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omments14.xml" ContentType="application/vnd.openxmlformats-officedocument.spreadsheetml.comment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TerriFlux\MFAData\Cowork\SOCLE\lot-2-refflux-v2\cereales\"/>
    </mc:Choice>
  </mc:AlternateContent>
  <xr:revisionPtr revIDLastSave="0" documentId="13_ncr:1_{CE8D536F-2C2B-41EC-A6F9-2CCC9B7E1532}" xr6:coauthVersionLast="47" xr6:coauthVersionMax="47" xr10:uidLastSave="{00000000-0000-0000-0000-000000000000}"/>
  <bookViews>
    <workbookView xWindow="-108" yWindow="-108" windowWidth="23256" windowHeight="12576" tabRatio="930" firstSheet="13" activeTab="20" xr2:uid="{E8B10E1F-D64C-47D3-8DAA-FC1296CADBAB}"/>
  </bookViews>
  <sheets>
    <sheet name="Informations générales" sheetId="182" r:id="rId1"/>
    <sheet name="SOMMAIRE" sheetId="183" r:id="rId2"/>
    <sheet name="Lecture du fichier" sheetId="184" r:id="rId3"/>
    <sheet name="Etiquettes" sheetId="8" r:id="rId4"/>
    <sheet name="Produits" sheetId="1" r:id="rId5"/>
    <sheet name="Secteurs" sheetId="2" r:id="rId6"/>
    <sheet name="Structure des flux" sheetId="177" r:id="rId7"/>
    <sheet name=" Données " sheetId="181" r:id="rId8"/>
    <sheet name="Données" sheetId="5" r:id="rId9"/>
    <sheet name="Prétraitement bilans" sheetId="67" r:id="rId10"/>
    <sheet name="Bilans Blé tendre - FAM" sheetId="58" r:id="rId11"/>
    <sheet name="Bilans Maïs - FAM" sheetId="60" r:id="rId12"/>
    <sheet name="Bilans Orge - FAM" sheetId="59" r:id="rId13"/>
    <sheet name="Bilans Blé dur - FAM" sheetId="61" r:id="rId14"/>
    <sheet name="Bilans Triticale - FAM" sheetId="62" r:id="rId15"/>
    <sheet name="Bilans Sorgho - FAM" sheetId="65" r:id="rId16"/>
    <sheet name="Bilans Avoine - FAM" sheetId="63" r:id="rId17"/>
    <sheet name="Bilans Seigle - FAM" sheetId="64" r:id="rId18"/>
    <sheet name="Bilans Sarrasin - FAM" sheetId="66" r:id="rId19"/>
    <sheet name="Epeautre et Millet - Ceresco" sheetId="180" r:id="rId20"/>
    <sheet name="Contraintes" sheetId="126" r:id="rId21"/>
    <sheet name=" Données" sheetId="6" state="hidden" r:id="rId22"/>
    <sheet name="Prétraitement issues" sheetId="115" r:id="rId23"/>
    <sheet name="Issues céréales - ONRB" sheetId="112" r:id="rId24"/>
    <sheet name="Issues maïs - ONRB" sheetId="113" r:id="rId25"/>
    <sheet name="Issues riz - ONRB" sheetId="114" r:id="rId26"/>
    <sheet name="Contraintes " sheetId="127" r:id="rId27"/>
    <sheet name="  Données" sheetId="152" state="hidden" r:id="rId28"/>
    <sheet name="Pertes à la ferme" sheetId="116" r:id="rId29"/>
    <sheet name="Contraintes  " sheetId="128" r:id="rId30"/>
    <sheet name="   Données" sheetId="153" state="hidden" r:id="rId31"/>
    <sheet name="Prétraitement semences fermière" sheetId="117" r:id="rId32"/>
    <sheet name="Semences fermières - AGRESTE" sheetId="30" r:id="rId33"/>
    <sheet name="Données      " sheetId="174" r:id="rId34"/>
    <sheet name="Prétraitement prod farine" sheetId="173" r:id="rId35"/>
    <sheet name="Fabrication de farine - FAM" sheetId="172" r:id="rId36"/>
    <sheet name="Données       " sheetId="175" r:id="rId37"/>
    <sheet name="Débouchés farine de blé - FAM" sheetId="171" r:id="rId38"/>
    <sheet name="Contraintes   " sheetId="7" r:id="rId39"/>
    <sheet name="    Données" sheetId="154" state="hidden" r:id="rId40"/>
    <sheet name="Coproduits meunerie - Réséda" sheetId="120" r:id="rId41"/>
    <sheet name="Coproduits meunerie - ONRB" sheetId="121" r:id="rId42"/>
    <sheet name="Contraintes    " sheetId="129" r:id="rId43"/>
    <sheet name="     Données" sheetId="155" state="hidden" r:id="rId44"/>
    <sheet name="Amidonnerie - Diverses" sheetId="122" r:id="rId45"/>
    <sheet name="Contraintes     " sheetId="130" r:id="rId46"/>
    <sheet name="      Données" sheetId="156" state="hidden" r:id="rId47"/>
    <sheet name="Semoulerie maïs- Diverses" sheetId="123" r:id="rId48"/>
    <sheet name="Contraintes      " sheetId="131" r:id="rId49"/>
    <sheet name="       Données" sheetId="157" state="hidden" r:id="rId50"/>
    <sheet name="Semoulerie blé dur - CFSI" sheetId="124" r:id="rId51"/>
    <sheet name="Contraintes       " sheetId="134" r:id="rId52"/>
    <sheet name="        Données" sheetId="158" state="hidden" r:id="rId53"/>
    <sheet name="Coproduits Semoulerie blé -ONRB" sheetId="133" r:id="rId54"/>
    <sheet name="Contraintes        " sheetId="135" r:id="rId55"/>
    <sheet name="         Données" sheetId="159" state="hidden" r:id="rId56"/>
    <sheet name="Indus. pâtes - SIFPAF" sheetId="125" r:id="rId57"/>
    <sheet name="Contraintes         " sheetId="136" r:id="rId58"/>
    <sheet name="          Données" sheetId="160" state="hidden" r:id="rId59"/>
    <sheet name="Coproduits Indus. - Réséda" sheetId="132" r:id="rId60"/>
    <sheet name="Contraintes          " sheetId="139" r:id="rId61"/>
    <sheet name="           Données" sheetId="161" state="hidden" r:id="rId62"/>
    <sheet name="Distillerie - Agreste" sheetId="138" r:id="rId63"/>
    <sheet name="Données " sheetId="142" r:id="rId64"/>
    <sheet name="Contraintes           " sheetId="143" r:id="rId65"/>
    <sheet name="            Données" sheetId="162" state="hidden" r:id="rId66"/>
    <sheet name="Malterie - ONRB" sheetId="141" r:id="rId67"/>
    <sheet name="Contraintes            " sheetId="145" r:id="rId68"/>
    <sheet name="             Données" sheetId="163" state="hidden" r:id="rId69"/>
    <sheet name="Brasserie - Diverses" sheetId="144" r:id="rId70"/>
    <sheet name="Données  " sheetId="149" r:id="rId71"/>
    <sheet name="Popcorn - Intercéréales" sheetId="148" r:id="rId72"/>
    <sheet name="Données   " sheetId="146" r:id="rId73"/>
    <sheet name="Prétraitement échanges" sheetId="57" r:id="rId74"/>
    <sheet name="Comext annuel - EUROSTAT" sheetId="54" r:id="rId75"/>
    <sheet name="Comext mensuel - EUROSTAT" sheetId="140" r:id="rId76"/>
    <sheet name="Données    " sheetId="150" r:id="rId77"/>
    <sheet name="Contraintes             " sheetId="169" r:id="rId78"/>
    <sheet name="              Données" sheetId="170" state="hidden" r:id="rId79"/>
    <sheet name="Riz - Diverses" sheetId="168" r:id="rId80"/>
    <sheet name="Données     " sheetId="166" r:id="rId81"/>
    <sheet name="Données        " sheetId="176" state="hidden" r:id="rId82"/>
    <sheet name="               Données" sheetId="178" state="hidden" r:id="rId83"/>
    <sheet name="Prétraitement récoltes" sheetId="41" state="hidden" r:id="rId84"/>
    <sheet name="Récoltes - AGRESTE" sheetId="40" state="hidden" r:id="rId85"/>
    <sheet name="Récoltes - Intercéréales" sheetId="42" state="hidden" r:id="rId86"/>
    <sheet name="Récoltes - FNPSMS" sheetId="43" state="hidden" r:id="rId87"/>
    <sheet name="Prétraitement collectes, stocks" sheetId="45" state="hidden" r:id="rId88"/>
    <sheet name="Collectes, stocks - FAM" sheetId="44" state="hidden" r:id="rId89"/>
    <sheet name="Prétraitement FAB" sheetId="53" state="hidden" r:id="rId90"/>
    <sheet name="FAB grains - FAM" sheetId="51" state="hidden" r:id="rId91"/>
    <sheet name="FAB produits, coproduits - FAB" sheetId="52" state="hidden" r:id="rId92"/>
    <sheet name="Pertes - Diverses" sheetId="29" state="hidden" r:id="rId93"/>
    <sheet name="Prétraitement fabrications" sheetId="56" state="hidden" r:id="rId94"/>
    <sheet name="Fabrications - PRODCOM" sheetId="55" state="hidden" r:id="rId95"/>
    <sheet name="Comparaison périmètres matières" sheetId="50" state="hidden" r:id="rId96"/>
  </sheets>
  <externalReferences>
    <externalReference r:id="rId97"/>
  </externalReferences>
  <definedNames>
    <definedName name="_xlnm._FilterDatabase" localSheetId="82" hidden="1">'               Données'!$A$1:$O$1</definedName>
    <definedName name="_xlnm._FilterDatabase" localSheetId="7" hidden="1">' Données '!$A$1:$O$1</definedName>
    <definedName name="_xlnm._FilterDatabase" localSheetId="88" hidden="1">'Collectes, stocks - FAM'!$A$5:$D$4080</definedName>
    <definedName name="_xlnm._FilterDatabase" localSheetId="37" hidden="1">'Débouchés farine de blé - FAM'!$A$4:$A$29</definedName>
    <definedName name="_xlnm._FilterDatabase" localSheetId="8" hidden="1">Données!$A$1:$O$1</definedName>
    <definedName name="_xlnm._FilterDatabase" localSheetId="63" hidden="1">'Données '!$A$1:$O$1</definedName>
    <definedName name="_xlnm._FilterDatabase" localSheetId="70" hidden="1">'Données  '!$A$1:$O$1</definedName>
    <definedName name="_xlnm._FilterDatabase" localSheetId="72" hidden="1">'Données   '!$A$1:$O$1</definedName>
    <definedName name="_xlnm._FilterDatabase" localSheetId="76" hidden="1">'Données    '!$A$1:$O$1</definedName>
    <definedName name="_xlnm._FilterDatabase" localSheetId="80" hidden="1">'Données     '!$A$1:$P$1</definedName>
    <definedName name="_xlnm._FilterDatabase" localSheetId="33" hidden="1">'Données      '!$A$1:$O$1</definedName>
    <definedName name="_xlnm._FilterDatabase" localSheetId="36" hidden="1">'Données       '!$A$1:$O$1</definedName>
    <definedName name="_xlnm._FilterDatabase" localSheetId="81" hidden="1">'Données        '!$A$1:$O$1</definedName>
    <definedName name="_xlnm._FilterDatabase" localSheetId="90" hidden="1">'FAB grains - FAM'!$A$5:$E$3081</definedName>
    <definedName name="_xlnm._FilterDatabase" localSheetId="35" hidden="1">'Fabrication de farine - FAM'!$A$5:$E$1209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81" l="1"/>
  <c r="E36" i="181"/>
  <c r="G35" i="181"/>
  <c r="H35" i="181"/>
  <c r="G36" i="181"/>
  <c r="H36" i="181"/>
  <c r="H19" i="166"/>
  <c r="G19" i="166"/>
  <c r="E19" i="166"/>
  <c r="F19" i="166"/>
  <c r="B70" i="183"/>
  <c r="B69" i="183"/>
  <c r="B68" i="183"/>
  <c r="B66" i="183"/>
  <c r="B65" i="183"/>
  <c r="B64" i="183"/>
  <c r="B62" i="183"/>
  <c r="B60" i="183"/>
  <c r="B57" i="183"/>
  <c r="B56" i="183"/>
  <c r="B55" i="183"/>
  <c r="B54" i="183"/>
  <c r="B53" i="183"/>
  <c r="B52" i="183"/>
  <c r="B51" i="183"/>
  <c r="B50" i="183"/>
  <c r="B49" i="183"/>
  <c r="B48" i="183"/>
  <c r="B47" i="183"/>
  <c r="B46" i="183"/>
  <c r="B45" i="183"/>
  <c r="B44" i="183"/>
  <c r="B43" i="183"/>
  <c r="B42" i="183"/>
  <c r="B41" i="183"/>
  <c r="B40" i="183"/>
  <c r="B39" i="183"/>
  <c r="B11" i="183"/>
  <c r="B10" i="183"/>
  <c r="A41" i="178"/>
  <c r="H37" i="181"/>
  <c r="G37" i="181"/>
  <c r="E37" i="181"/>
  <c r="A37" i="181"/>
  <c r="Q37" i="181"/>
  <c r="O37" i="181"/>
  <c r="B37" i="181"/>
  <c r="O17" i="166"/>
  <c r="P17" i="166"/>
  <c r="R17" i="166"/>
  <c r="O18" i="166"/>
  <c r="P18" i="166"/>
  <c r="R18" i="166"/>
  <c r="G18" i="166"/>
  <c r="G17" i="166"/>
  <c r="B18" i="166"/>
  <c r="A18" i="166"/>
  <c r="B17" i="166"/>
  <c r="A17" i="166"/>
  <c r="E17" i="166"/>
  <c r="E18" i="166"/>
  <c r="H16" i="166"/>
  <c r="G16" i="166"/>
  <c r="E16" i="166"/>
  <c r="B7" i="166"/>
  <c r="B41" i="178"/>
  <c r="E41" i="178"/>
  <c r="F41" i="178"/>
  <c r="G41" i="178"/>
  <c r="H41" i="178"/>
  <c r="I41" i="178"/>
  <c r="J41" i="178"/>
  <c r="K41" i="178"/>
  <c r="O41" i="178"/>
  <c r="P41" i="178"/>
  <c r="Q41" i="178"/>
  <c r="B11" i="176"/>
  <c r="H20" i="166"/>
  <c r="G20" i="166"/>
  <c r="E20" i="166"/>
  <c r="B40" i="178"/>
  <c r="E40" i="178"/>
  <c r="F40" i="178"/>
  <c r="G40" i="178"/>
  <c r="H40" i="178"/>
  <c r="I40" i="178"/>
  <c r="J40" i="178"/>
  <c r="K40" i="178"/>
  <c r="N40" i="178"/>
  <c r="O40" i="178"/>
  <c r="P40" i="178"/>
  <c r="Q40" i="178"/>
  <c r="A40" i="178"/>
  <c r="B37" i="178"/>
  <c r="B39" i="178"/>
  <c r="B38" i="178"/>
  <c r="E38" i="178"/>
  <c r="F38" i="178"/>
  <c r="G38" i="178"/>
  <c r="H38" i="178"/>
  <c r="I38" i="178"/>
  <c r="J38" i="178"/>
  <c r="K38" i="178"/>
  <c r="N38" i="178"/>
  <c r="O38" i="178"/>
  <c r="P38" i="178"/>
  <c r="Q38" i="178"/>
  <c r="E39" i="178"/>
  <c r="F39" i="178"/>
  <c r="G39" i="178"/>
  <c r="H39" i="178"/>
  <c r="I39" i="178"/>
  <c r="J39" i="178"/>
  <c r="K39" i="178"/>
  <c r="N39" i="178"/>
  <c r="O39" i="178"/>
  <c r="P39" i="178"/>
  <c r="Q39" i="178"/>
  <c r="A39" i="178"/>
  <c r="A38" i="178"/>
  <c r="B12" i="176"/>
  <c r="E12" i="176"/>
  <c r="F12" i="176"/>
  <c r="H12" i="176"/>
  <c r="I12" i="176"/>
  <c r="J12" i="176"/>
  <c r="K12" i="176"/>
  <c r="N12" i="176"/>
  <c r="O12" i="176"/>
  <c r="P12" i="176"/>
  <c r="Q12" i="176"/>
  <c r="A12" i="176"/>
  <c r="B409" i="5"/>
  <c r="B394" i="5"/>
  <c r="B22" i="175"/>
  <c r="P14" i="166"/>
  <c r="P11" i="166"/>
  <c r="P8" i="166"/>
  <c r="P5" i="166"/>
  <c r="Q36" i="181"/>
  <c r="O36" i="181"/>
  <c r="B36" i="181"/>
  <c r="A36" i="181"/>
  <c r="Q43" i="128"/>
  <c r="E37" i="178"/>
  <c r="F37" i="178"/>
  <c r="G37" i="178"/>
  <c r="H37" i="178"/>
  <c r="I37" i="178"/>
  <c r="J37" i="178"/>
  <c r="K37" i="178"/>
  <c r="L37" i="178"/>
  <c r="M37" i="178"/>
  <c r="N37" i="178"/>
  <c r="O37" i="178"/>
  <c r="P37" i="178"/>
  <c r="Q37" i="178"/>
  <c r="A37" i="178"/>
  <c r="Q35" i="181"/>
  <c r="O35" i="181"/>
  <c r="B35" i="181"/>
  <c r="A35" i="181"/>
  <c r="Q34" i="181"/>
  <c r="O34" i="181"/>
  <c r="B34" i="181"/>
  <c r="A34" i="181"/>
  <c r="Q33" i="181"/>
  <c r="O33" i="181"/>
  <c r="B33" i="181"/>
  <c r="A33" i="181"/>
  <c r="B34" i="178"/>
  <c r="B31" i="178"/>
  <c r="B36" i="178"/>
  <c r="B35" i="178"/>
  <c r="B33" i="178"/>
  <c r="B32" i="178"/>
  <c r="E31" i="178"/>
  <c r="F31" i="178"/>
  <c r="G31" i="178"/>
  <c r="H31" i="178"/>
  <c r="I31" i="178"/>
  <c r="J31" i="178"/>
  <c r="K31" i="178"/>
  <c r="O31" i="178"/>
  <c r="P31" i="178"/>
  <c r="Q31" i="178"/>
  <c r="E32" i="178"/>
  <c r="F32" i="178"/>
  <c r="G32" i="178"/>
  <c r="H32" i="178"/>
  <c r="I32" i="178"/>
  <c r="J32" i="178"/>
  <c r="K32" i="178"/>
  <c r="O32" i="178"/>
  <c r="P32" i="178"/>
  <c r="Q32" i="178"/>
  <c r="E33" i="178"/>
  <c r="F33" i="178"/>
  <c r="G33" i="178"/>
  <c r="H33" i="178"/>
  <c r="I33" i="178"/>
  <c r="J33" i="178"/>
  <c r="K33" i="178"/>
  <c r="O33" i="178"/>
  <c r="P33" i="178"/>
  <c r="Q33" i="178"/>
  <c r="E34" i="178"/>
  <c r="F34" i="178"/>
  <c r="G34" i="178"/>
  <c r="H34" i="178"/>
  <c r="I34" i="178"/>
  <c r="J34" i="178"/>
  <c r="K34" i="178"/>
  <c r="O34" i="178"/>
  <c r="P34" i="178"/>
  <c r="Q34" i="178"/>
  <c r="E35" i="178"/>
  <c r="F35" i="178"/>
  <c r="G35" i="178"/>
  <c r="H35" i="178"/>
  <c r="I35" i="178"/>
  <c r="J35" i="178"/>
  <c r="K35" i="178"/>
  <c r="O35" i="178"/>
  <c r="P35" i="178"/>
  <c r="Q35" i="178"/>
  <c r="E36" i="178"/>
  <c r="F36" i="178"/>
  <c r="G36" i="178"/>
  <c r="H36" i="178"/>
  <c r="I36" i="178"/>
  <c r="J36" i="178"/>
  <c r="K36" i="178"/>
  <c r="O36" i="178"/>
  <c r="P36" i="178"/>
  <c r="Q36" i="178"/>
  <c r="A36" i="178"/>
  <c r="A35" i="178"/>
  <c r="A34" i="178"/>
  <c r="A33" i="178"/>
  <c r="A32" i="178"/>
  <c r="A31" i="178"/>
  <c r="A28" i="178"/>
  <c r="A29" i="178"/>
  <c r="A30" i="178"/>
  <c r="A27" i="178"/>
  <c r="B27" i="178"/>
  <c r="E27" i="178"/>
  <c r="F27" i="178"/>
  <c r="G27" i="178"/>
  <c r="H27" i="178"/>
  <c r="I27" i="178"/>
  <c r="J27" i="178"/>
  <c r="K27" i="178"/>
  <c r="N27" i="178"/>
  <c r="O27" i="178"/>
  <c r="P27" i="178"/>
  <c r="Q27" i="178"/>
  <c r="B28" i="178"/>
  <c r="E28" i="178"/>
  <c r="F28" i="178"/>
  <c r="G28" i="178"/>
  <c r="H28" i="178"/>
  <c r="I28" i="178"/>
  <c r="J28" i="178"/>
  <c r="K28" i="178"/>
  <c r="N28" i="178"/>
  <c r="O28" i="178"/>
  <c r="P28" i="178"/>
  <c r="Q28" i="178"/>
  <c r="B29" i="178"/>
  <c r="E29" i="178"/>
  <c r="F29" i="178"/>
  <c r="G29" i="178"/>
  <c r="H29" i="178"/>
  <c r="I29" i="178"/>
  <c r="J29" i="178"/>
  <c r="K29" i="178"/>
  <c r="N29" i="178"/>
  <c r="O29" i="178"/>
  <c r="P29" i="178"/>
  <c r="Q29" i="178"/>
  <c r="B30" i="178"/>
  <c r="E30" i="178"/>
  <c r="F30" i="178"/>
  <c r="G30" i="178"/>
  <c r="H30" i="178"/>
  <c r="I30" i="178"/>
  <c r="J30" i="178"/>
  <c r="K30" i="178"/>
  <c r="N30" i="178"/>
  <c r="O30" i="178"/>
  <c r="P30" i="178"/>
  <c r="Q30" i="178"/>
  <c r="Q32" i="181"/>
  <c r="O32" i="181"/>
  <c r="A32" i="181"/>
  <c r="B32" i="181"/>
  <c r="Q31" i="181"/>
  <c r="O31" i="181"/>
  <c r="B31" i="181"/>
  <c r="A31" i="181"/>
  <c r="O30" i="181"/>
  <c r="Q30" i="181"/>
  <c r="F30" i="181"/>
  <c r="B30" i="181"/>
  <c r="A30" i="181"/>
  <c r="O29" i="181"/>
  <c r="Q29" i="181"/>
  <c r="B29" i="181"/>
  <c r="A29" i="181"/>
  <c r="Q28" i="181"/>
  <c r="O28" i="181"/>
  <c r="Q27" i="181"/>
  <c r="O27" i="181"/>
  <c r="B28" i="181"/>
  <c r="B27" i="181"/>
  <c r="A28" i="181"/>
  <c r="A27" i="181"/>
  <c r="Q26" i="181"/>
  <c r="O26" i="181"/>
  <c r="B26" i="181"/>
  <c r="A26" i="181"/>
  <c r="B25" i="181"/>
  <c r="B24" i="181"/>
  <c r="A25" i="181"/>
  <c r="A24" i="181"/>
  <c r="O24" i="181"/>
  <c r="Q24" i="181"/>
  <c r="O25" i="181"/>
  <c r="Q25" i="181"/>
  <c r="Q23" i="181"/>
  <c r="O23" i="181"/>
  <c r="B23" i="181"/>
  <c r="A23" i="181"/>
  <c r="P2" i="166"/>
  <c r="Q22" i="181"/>
  <c r="O22" i="181"/>
  <c r="B22" i="181"/>
  <c r="A22" i="181"/>
  <c r="O21" i="181"/>
  <c r="O20" i="181"/>
  <c r="Q20" i="181"/>
  <c r="Q21" i="181"/>
  <c r="B20" i="181"/>
  <c r="B21" i="181"/>
  <c r="A21" i="181"/>
  <c r="A20" i="181"/>
  <c r="Q19" i="181"/>
  <c r="O19" i="181"/>
  <c r="Q18" i="181"/>
  <c r="O18" i="181"/>
  <c r="Q17" i="181"/>
  <c r="O17" i="181"/>
  <c r="Q16" i="181"/>
  <c r="O16" i="181"/>
  <c r="Q15" i="181"/>
  <c r="O15" i="181"/>
  <c r="Q14" i="181"/>
  <c r="O14" i="181"/>
  <c r="B19" i="181"/>
  <c r="B18" i="181"/>
  <c r="B17" i="181"/>
  <c r="B16" i="181"/>
  <c r="B15" i="181"/>
  <c r="B14" i="181"/>
  <c r="A19" i="181"/>
  <c r="A18" i="181"/>
  <c r="A17" i="181"/>
  <c r="A16" i="181"/>
  <c r="A15" i="181"/>
  <c r="A14" i="181"/>
  <c r="O13" i="181"/>
  <c r="Q13" i="181"/>
  <c r="B13" i="181"/>
  <c r="A13" i="181"/>
  <c r="B26" i="178"/>
  <c r="F26" i="178"/>
  <c r="G26" i="178"/>
  <c r="H26" i="178"/>
  <c r="I26" i="178"/>
  <c r="J26" i="178"/>
  <c r="K26" i="178"/>
  <c r="N26" i="178"/>
  <c r="O26" i="178"/>
  <c r="P26" i="178"/>
  <c r="Q26" i="178"/>
  <c r="E26" i="178"/>
  <c r="A26" i="178"/>
  <c r="O11" i="181"/>
  <c r="Q11" i="181"/>
  <c r="O12" i="181"/>
  <c r="Q12" i="181"/>
  <c r="B12" i="181"/>
  <c r="B11" i="181"/>
  <c r="A12" i="181"/>
  <c r="A11" i="181"/>
  <c r="O9" i="181"/>
  <c r="Q9" i="181"/>
  <c r="O10" i="181"/>
  <c r="Q10" i="181"/>
  <c r="B10" i="181"/>
  <c r="B9" i="181"/>
  <c r="A10" i="181"/>
  <c r="A9" i="181"/>
  <c r="O8" i="181"/>
  <c r="Q8" i="181"/>
  <c r="B8" i="181"/>
  <c r="A8" i="181"/>
  <c r="B25" i="178"/>
  <c r="E25" i="178"/>
  <c r="F25" i="178"/>
  <c r="G25" i="178"/>
  <c r="H25" i="178"/>
  <c r="I25" i="178"/>
  <c r="J25" i="178"/>
  <c r="K25" i="178"/>
  <c r="N25" i="178"/>
  <c r="O25" i="178"/>
  <c r="P25" i="178"/>
  <c r="Q25" i="178"/>
  <c r="A25" i="178"/>
  <c r="B24" i="178"/>
  <c r="B23" i="178"/>
  <c r="B22" i="178"/>
  <c r="Q22" i="178"/>
  <c r="Q23" i="178"/>
  <c r="Q24" i="178"/>
  <c r="E22" i="178"/>
  <c r="F22" i="178"/>
  <c r="G22" i="178"/>
  <c r="H22" i="178"/>
  <c r="I22" i="178"/>
  <c r="J22" i="178"/>
  <c r="K22" i="178"/>
  <c r="O22" i="178"/>
  <c r="P22" i="178"/>
  <c r="E23" i="178"/>
  <c r="F23" i="178"/>
  <c r="G23" i="178"/>
  <c r="H23" i="178"/>
  <c r="I23" i="178"/>
  <c r="J23" i="178"/>
  <c r="K23" i="178"/>
  <c r="O23" i="178"/>
  <c r="P23" i="178"/>
  <c r="E24" i="178"/>
  <c r="F24" i="178"/>
  <c r="G24" i="178"/>
  <c r="H24" i="178"/>
  <c r="I24" i="178"/>
  <c r="J24" i="178"/>
  <c r="K24" i="178"/>
  <c r="O24" i="178"/>
  <c r="P24" i="178"/>
  <c r="A24" i="178"/>
  <c r="A23" i="178"/>
  <c r="A22" i="178"/>
  <c r="B21" i="178"/>
  <c r="H21" i="178"/>
  <c r="I21" i="178"/>
  <c r="J21" i="178"/>
  <c r="K21" i="178"/>
  <c r="N21" i="178"/>
  <c r="O21" i="178"/>
  <c r="P21" i="178"/>
  <c r="Q21" i="178"/>
  <c r="E21" i="178"/>
  <c r="F21" i="178"/>
  <c r="G21" i="178"/>
  <c r="A21" i="178"/>
  <c r="O5" i="181"/>
  <c r="Q5" i="181"/>
  <c r="O6" i="181"/>
  <c r="Q6" i="181"/>
  <c r="O7" i="181"/>
  <c r="Q7" i="181"/>
  <c r="B7" i="181"/>
  <c r="B6" i="181"/>
  <c r="B5" i="181"/>
  <c r="A7" i="181"/>
  <c r="A6" i="181"/>
  <c r="A5" i="181"/>
  <c r="R20" i="166"/>
  <c r="R19" i="166"/>
  <c r="P19" i="166"/>
  <c r="P20" i="166"/>
  <c r="O19" i="166"/>
  <c r="O20" i="166"/>
  <c r="B19" i="166"/>
  <c r="B20" i="166"/>
  <c r="A20" i="166"/>
  <c r="A19" i="166"/>
  <c r="R16" i="166"/>
  <c r="P16" i="166"/>
  <c r="O16" i="166"/>
  <c r="B16" i="166"/>
  <c r="A16" i="166"/>
  <c r="Q4" i="181"/>
  <c r="O4" i="181"/>
  <c r="B4" i="181"/>
  <c r="A4" i="181"/>
  <c r="O3" i="181"/>
  <c r="Q3" i="181"/>
  <c r="A3" i="181"/>
  <c r="B3" i="181"/>
  <c r="O2" i="181"/>
  <c r="N4" i="142"/>
  <c r="N3" i="142"/>
  <c r="N2" i="142"/>
  <c r="O3" i="142"/>
  <c r="P3" i="142"/>
  <c r="Q3" i="142"/>
  <c r="O4" i="142"/>
  <c r="P4" i="142"/>
  <c r="Q4" i="142"/>
  <c r="O2" i="142"/>
  <c r="P2" i="142"/>
  <c r="Q2" i="142"/>
  <c r="Q2" i="181"/>
  <c r="B2" i="181"/>
  <c r="A2" i="181"/>
  <c r="Q1" i="181"/>
  <c r="P1" i="181"/>
  <c r="O1" i="181"/>
  <c r="N1" i="181"/>
  <c r="M1" i="181"/>
  <c r="L1" i="181"/>
  <c r="K1" i="181"/>
  <c r="J1" i="181"/>
  <c r="I1" i="181"/>
  <c r="H1" i="181"/>
  <c r="G1" i="181"/>
  <c r="F1" i="181"/>
  <c r="E1" i="181"/>
  <c r="B13" i="166"/>
  <c r="B4" i="166"/>
  <c r="P2" i="178"/>
  <c r="Q2" i="178"/>
  <c r="P3" i="178"/>
  <c r="Q3" i="178"/>
  <c r="P4" i="178"/>
  <c r="Q4" i="178"/>
  <c r="P5" i="178"/>
  <c r="Q5" i="178"/>
  <c r="P6" i="178"/>
  <c r="Q6" i="178"/>
  <c r="P7" i="178"/>
  <c r="Q7" i="178"/>
  <c r="P8" i="178"/>
  <c r="Q8" i="178"/>
  <c r="P9" i="178"/>
  <c r="Q9" i="178"/>
  <c r="P10" i="178"/>
  <c r="Q10" i="178"/>
  <c r="P11" i="178"/>
  <c r="Q11" i="178"/>
  <c r="P12" i="178"/>
  <c r="Q12" i="178"/>
  <c r="P13" i="178"/>
  <c r="Q13" i="178"/>
  <c r="P14" i="178"/>
  <c r="Q14" i="178"/>
  <c r="P15" i="178"/>
  <c r="Q15" i="178"/>
  <c r="P16" i="178"/>
  <c r="Q16" i="178"/>
  <c r="P17" i="178"/>
  <c r="Q17" i="178"/>
  <c r="P18" i="178"/>
  <c r="Q18" i="178"/>
  <c r="P19" i="178"/>
  <c r="Q19" i="178"/>
  <c r="P2" i="176"/>
  <c r="Q2" i="176"/>
  <c r="P3" i="176"/>
  <c r="Q3" i="176"/>
  <c r="P4" i="176"/>
  <c r="Q4" i="176"/>
  <c r="P5" i="176"/>
  <c r="Q5" i="176"/>
  <c r="P6" i="176"/>
  <c r="Q6" i="176"/>
  <c r="P7" i="176"/>
  <c r="Q7" i="176"/>
  <c r="P8" i="176"/>
  <c r="Q8" i="176"/>
  <c r="P9" i="176"/>
  <c r="Q9" i="176"/>
  <c r="P10" i="176"/>
  <c r="Q10" i="176"/>
  <c r="P11" i="176"/>
  <c r="Q11" i="176"/>
  <c r="R14" i="166"/>
  <c r="R11" i="166"/>
  <c r="R8" i="166"/>
  <c r="R5" i="166"/>
  <c r="R2" i="166"/>
  <c r="B14" i="166"/>
  <c r="A14" i="166"/>
  <c r="F14" i="166"/>
  <c r="E14" i="166"/>
  <c r="H14" i="166"/>
  <c r="G14" i="166"/>
  <c r="A11" i="166"/>
  <c r="B11" i="166"/>
  <c r="H11" i="166"/>
  <c r="G11" i="166"/>
  <c r="F11" i="166"/>
  <c r="E11" i="166"/>
  <c r="B8" i="166"/>
  <c r="A8" i="166"/>
  <c r="E8" i="166"/>
  <c r="G8" i="166"/>
  <c r="H8" i="166"/>
  <c r="F8" i="166"/>
  <c r="H5" i="166"/>
  <c r="G5" i="166"/>
  <c r="F5" i="166"/>
  <c r="E5" i="166"/>
  <c r="A5" i="166"/>
  <c r="B5" i="166"/>
  <c r="H2" i="166"/>
  <c r="G2" i="166"/>
  <c r="F2" i="166"/>
  <c r="E2" i="166"/>
  <c r="B2" i="166"/>
  <c r="A2" i="166"/>
  <c r="O14" i="166"/>
  <c r="O11" i="166"/>
  <c r="O8" i="166"/>
  <c r="O5" i="166"/>
  <c r="O2" i="166"/>
  <c r="Q23" i="169"/>
  <c r="S23" i="169"/>
  <c r="Q25" i="169"/>
  <c r="S25" i="169"/>
  <c r="Q27" i="169"/>
  <c r="S27" i="169"/>
  <c r="Q29" i="169"/>
  <c r="S29" i="169"/>
  <c r="Q31" i="169"/>
  <c r="S31" i="169"/>
  <c r="Q33" i="169"/>
  <c r="S33" i="169"/>
  <c r="Q35" i="169"/>
  <c r="S35" i="169"/>
  <c r="Q21" i="169"/>
  <c r="S21" i="169"/>
  <c r="S19" i="169"/>
  <c r="Q19" i="169"/>
  <c r="S17" i="169"/>
  <c r="Q17" i="169"/>
  <c r="S15" i="169"/>
  <c r="Q15" i="169"/>
  <c r="S13" i="169"/>
  <c r="Q13" i="169"/>
  <c r="S11" i="169"/>
  <c r="Q11" i="169"/>
  <c r="S9" i="169"/>
  <c r="Q9" i="169"/>
  <c r="S7" i="169"/>
  <c r="Q7" i="169"/>
  <c r="S5" i="169"/>
  <c r="Q5" i="169"/>
  <c r="Q3" i="169"/>
  <c r="S3" i="169"/>
  <c r="O10" i="150"/>
  <c r="P10" i="150"/>
  <c r="Q10" i="150"/>
  <c r="O11" i="150"/>
  <c r="P11" i="150"/>
  <c r="Q11" i="150"/>
  <c r="O9" i="150"/>
  <c r="Q9" i="150"/>
  <c r="P9" i="150"/>
  <c r="O3" i="150"/>
  <c r="P3" i="150"/>
  <c r="Q3" i="150"/>
  <c r="O4" i="150"/>
  <c r="P4" i="150"/>
  <c r="Q4" i="150"/>
  <c r="O2" i="150"/>
  <c r="Q2" i="150"/>
  <c r="P2" i="150"/>
  <c r="O3" i="146"/>
  <c r="P3" i="146"/>
  <c r="Q3" i="146"/>
  <c r="O4" i="146"/>
  <c r="P4" i="146"/>
  <c r="Q4" i="146"/>
  <c r="O5" i="146"/>
  <c r="P5" i="146"/>
  <c r="Q5" i="146"/>
  <c r="O6" i="146"/>
  <c r="P6" i="146"/>
  <c r="Q6" i="146"/>
  <c r="O7" i="146"/>
  <c r="P7" i="146"/>
  <c r="Q7" i="146"/>
  <c r="O8" i="146"/>
  <c r="P8" i="146"/>
  <c r="Q8" i="146"/>
  <c r="O9" i="146"/>
  <c r="P9" i="146"/>
  <c r="Q9" i="146"/>
  <c r="O10" i="146"/>
  <c r="P10" i="146"/>
  <c r="Q10" i="146"/>
  <c r="O11" i="146"/>
  <c r="P11" i="146"/>
  <c r="Q11" i="146"/>
  <c r="O12" i="146"/>
  <c r="P12" i="146"/>
  <c r="Q12" i="146"/>
  <c r="O13" i="146"/>
  <c r="P13" i="146"/>
  <c r="Q13" i="146"/>
  <c r="O14" i="146"/>
  <c r="P14" i="146"/>
  <c r="Q14" i="146"/>
  <c r="O15" i="146"/>
  <c r="P15" i="146"/>
  <c r="Q15" i="146"/>
  <c r="O16" i="146"/>
  <c r="P16" i="146"/>
  <c r="Q16" i="146"/>
  <c r="O17" i="146"/>
  <c r="P17" i="146"/>
  <c r="Q17" i="146"/>
  <c r="O18" i="146"/>
  <c r="P18" i="146"/>
  <c r="Q18" i="146"/>
  <c r="O19" i="146"/>
  <c r="P19" i="146"/>
  <c r="Q19" i="146"/>
  <c r="O20" i="146"/>
  <c r="P20" i="146"/>
  <c r="Q20" i="146"/>
  <c r="O21" i="146"/>
  <c r="P21" i="146"/>
  <c r="Q21" i="146"/>
  <c r="O22" i="146"/>
  <c r="P22" i="146"/>
  <c r="Q22" i="146"/>
  <c r="O23" i="146"/>
  <c r="P23" i="146"/>
  <c r="Q23" i="146"/>
  <c r="O24" i="146"/>
  <c r="P24" i="146"/>
  <c r="Q24" i="146"/>
  <c r="O25" i="146"/>
  <c r="P25" i="146"/>
  <c r="Q25" i="146"/>
  <c r="O26" i="146"/>
  <c r="P26" i="146"/>
  <c r="Q26" i="146"/>
  <c r="O27" i="146"/>
  <c r="P27" i="146"/>
  <c r="Q27" i="146"/>
  <c r="O28" i="146"/>
  <c r="P28" i="146"/>
  <c r="Q28" i="146"/>
  <c r="O29" i="146"/>
  <c r="P29" i="146"/>
  <c r="Q29" i="146"/>
  <c r="O30" i="146"/>
  <c r="P30" i="146"/>
  <c r="Q30" i="146"/>
  <c r="O31" i="146"/>
  <c r="P31" i="146"/>
  <c r="Q31" i="146"/>
  <c r="O32" i="146"/>
  <c r="P32" i="146"/>
  <c r="Q32" i="146"/>
  <c r="O33" i="146"/>
  <c r="P33" i="146"/>
  <c r="Q33" i="146"/>
  <c r="O34" i="146"/>
  <c r="P34" i="146"/>
  <c r="Q34" i="146"/>
  <c r="O35" i="146"/>
  <c r="P35" i="146"/>
  <c r="Q35" i="146"/>
  <c r="O36" i="146"/>
  <c r="P36" i="146"/>
  <c r="Q36" i="146"/>
  <c r="O37" i="146"/>
  <c r="P37" i="146"/>
  <c r="Q37" i="146"/>
  <c r="O38" i="146"/>
  <c r="P38" i="146"/>
  <c r="Q38" i="146"/>
  <c r="O39" i="146"/>
  <c r="P39" i="146"/>
  <c r="Q39" i="146"/>
  <c r="O40" i="146"/>
  <c r="P40" i="146"/>
  <c r="Q40" i="146"/>
  <c r="O41" i="146"/>
  <c r="P41" i="146"/>
  <c r="Q41" i="146"/>
  <c r="O42" i="146"/>
  <c r="P42" i="146"/>
  <c r="Q42" i="146"/>
  <c r="O43" i="146"/>
  <c r="P43" i="146"/>
  <c r="Q43" i="146"/>
  <c r="O44" i="146"/>
  <c r="P44" i="146"/>
  <c r="Q44" i="146"/>
  <c r="O45" i="146"/>
  <c r="P45" i="146"/>
  <c r="Q45" i="146"/>
  <c r="O46" i="146"/>
  <c r="P46" i="146"/>
  <c r="Q46" i="146"/>
  <c r="O47" i="146"/>
  <c r="P47" i="146"/>
  <c r="Q47" i="146"/>
  <c r="O48" i="146"/>
  <c r="P48" i="146"/>
  <c r="Q48" i="146"/>
  <c r="O49" i="146"/>
  <c r="P49" i="146"/>
  <c r="Q49" i="146"/>
  <c r="O50" i="146"/>
  <c r="P50" i="146"/>
  <c r="Q50" i="146"/>
  <c r="O51" i="146"/>
  <c r="P51" i="146"/>
  <c r="Q51" i="146"/>
  <c r="O52" i="146"/>
  <c r="P52" i="146"/>
  <c r="Q52" i="146"/>
  <c r="O53" i="146"/>
  <c r="P53" i="146"/>
  <c r="Q53" i="146"/>
  <c r="O54" i="146"/>
  <c r="P54" i="146"/>
  <c r="Q54" i="146"/>
  <c r="O55" i="146"/>
  <c r="P55" i="146"/>
  <c r="Q55" i="146"/>
  <c r="O56" i="146"/>
  <c r="P56" i="146"/>
  <c r="Q56" i="146"/>
  <c r="O57" i="146"/>
  <c r="P57" i="146"/>
  <c r="Q57" i="146"/>
  <c r="O58" i="146"/>
  <c r="P58" i="146"/>
  <c r="Q58" i="146"/>
  <c r="O59" i="146"/>
  <c r="P59" i="146"/>
  <c r="Q59" i="146"/>
  <c r="O60" i="146"/>
  <c r="P60" i="146"/>
  <c r="Q60" i="146"/>
  <c r="O61" i="146"/>
  <c r="P61" i="146"/>
  <c r="Q61" i="146"/>
  <c r="O62" i="146"/>
  <c r="P62" i="146"/>
  <c r="Q62" i="146"/>
  <c r="O63" i="146"/>
  <c r="P63" i="146"/>
  <c r="Q63" i="146"/>
  <c r="O64" i="146"/>
  <c r="P64" i="146"/>
  <c r="Q64" i="146"/>
  <c r="O65" i="146"/>
  <c r="P65" i="146"/>
  <c r="Q65" i="146"/>
  <c r="O66" i="146"/>
  <c r="P66" i="146"/>
  <c r="Q66" i="146"/>
  <c r="O67" i="146"/>
  <c r="P67" i="146"/>
  <c r="Q67" i="146"/>
  <c r="O68" i="146"/>
  <c r="P68" i="146"/>
  <c r="Q68" i="146"/>
  <c r="O69" i="146"/>
  <c r="P69" i="146"/>
  <c r="Q69" i="146"/>
  <c r="O70" i="146"/>
  <c r="P70" i="146"/>
  <c r="Q70" i="146"/>
  <c r="O71" i="146"/>
  <c r="P71" i="146"/>
  <c r="Q71" i="146"/>
  <c r="O72" i="146"/>
  <c r="P72" i="146"/>
  <c r="Q72" i="146"/>
  <c r="O73" i="146"/>
  <c r="P73" i="146"/>
  <c r="Q73" i="146"/>
  <c r="O74" i="146"/>
  <c r="P74" i="146"/>
  <c r="Q74" i="146"/>
  <c r="O75" i="146"/>
  <c r="P75" i="146"/>
  <c r="Q75" i="146"/>
  <c r="O76" i="146"/>
  <c r="P76" i="146"/>
  <c r="Q76" i="146"/>
  <c r="O77" i="146"/>
  <c r="P77" i="146"/>
  <c r="Q77" i="146"/>
  <c r="O78" i="146"/>
  <c r="P78" i="146"/>
  <c r="Q78" i="146"/>
  <c r="O79" i="146"/>
  <c r="P79" i="146"/>
  <c r="Q79" i="146"/>
  <c r="O80" i="146"/>
  <c r="P80" i="146"/>
  <c r="Q80" i="146"/>
  <c r="O81" i="146"/>
  <c r="P81" i="146"/>
  <c r="Q81" i="146"/>
  <c r="O82" i="146"/>
  <c r="P82" i="146"/>
  <c r="Q82" i="146"/>
  <c r="O83" i="146"/>
  <c r="P83" i="146"/>
  <c r="Q83" i="146"/>
  <c r="O84" i="146"/>
  <c r="P84" i="146"/>
  <c r="Q84" i="146"/>
  <c r="O85" i="146"/>
  <c r="P85" i="146"/>
  <c r="Q85" i="146"/>
  <c r="O86" i="146"/>
  <c r="P86" i="146"/>
  <c r="Q86" i="146"/>
  <c r="O87" i="146"/>
  <c r="P87" i="146"/>
  <c r="Q87" i="146"/>
  <c r="O88" i="146"/>
  <c r="P88" i="146"/>
  <c r="Q88" i="146"/>
  <c r="O89" i="146"/>
  <c r="P89" i="146"/>
  <c r="Q89" i="146"/>
  <c r="O90" i="146"/>
  <c r="P90" i="146"/>
  <c r="Q90" i="146"/>
  <c r="O91" i="146"/>
  <c r="P91" i="146"/>
  <c r="Q91" i="146"/>
  <c r="O92" i="146"/>
  <c r="P92" i="146"/>
  <c r="Q92" i="146"/>
  <c r="O93" i="146"/>
  <c r="P93" i="146"/>
  <c r="Q93" i="146"/>
  <c r="O94" i="146"/>
  <c r="P94" i="146"/>
  <c r="Q94" i="146"/>
  <c r="O95" i="146"/>
  <c r="P95" i="146"/>
  <c r="Q95" i="146"/>
  <c r="O96" i="146"/>
  <c r="P96" i="146"/>
  <c r="Q96" i="146"/>
  <c r="O97" i="146"/>
  <c r="P97" i="146"/>
  <c r="Q97" i="146"/>
  <c r="O100" i="146"/>
  <c r="P100" i="146"/>
  <c r="Q100" i="146"/>
  <c r="O101" i="146"/>
  <c r="P101" i="146"/>
  <c r="Q101" i="146"/>
  <c r="O102" i="146"/>
  <c r="P102" i="146"/>
  <c r="Q102" i="146"/>
  <c r="O103" i="146"/>
  <c r="P103" i="146"/>
  <c r="Q103" i="146"/>
  <c r="O104" i="146"/>
  <c r="P104" i="146"/>
  <c r="Q104" i="146"/>
  <c r="O105" i="146"/>
  <c r="P105" i="146"/>
  <c r="Q105" i="146"/>
  <c r="O106" i="146"/>
  <c r="P106" i="146"/>
  <c r="Q106" i="146"/>
  <c r="O107" i="146"/>
  <c r="P107" i="146"/>
  <c r="Q107" i="146"/>
  <c r="O108" i="146"/>
  <c r="P108" i="146"/>
  <c r="Q108" i="146"/>
  <c r="O109" i="146"/>
  <c r="P109" i="146"/>
  <c r="Q109" i="146"/>
  <c r="O110" i="146"/>
  <c r="P110" i="146"/>
  <c r="Q110" i="146"/>
  <c r="O111" i="146"/>
  <c r="P111" i="146"/>
  <c r="Q111" i="146"/>
  <c r="O112" i="146"/>
  <c r="P112" i="146"/>
  <c r="Q112" i="146"/>
  <c r="O113" i="146"/>
  <c r="P113" i="146"/>
  <c r="Q113" i="146"/>
  <c r="O114" i="146"/>
  <c r="P114" i="146"/>
  <c r="Q114" i="146"/>
  <c r="O115" i="146"/>
  <c r="P115" i="146"/>
  <c r="Q115" i="146"/>
  <c r="O116" i="146"/>
  <c r="P116" i="146"/>
  <c r="Q116" i="146"/>
  <c r="O117" i="146"/>
  <c r="P117" i="146"/>
  <c r="Q117" i="146"/>
  <c r="O118" i="146"/>
  <c r="P118" i="146"/>
  <c r="Q118" i="146"/>
  <c r="O119" i="146"/>
  <c r="P119" i="146"/>
  <c r="Q119" i="146"/>
  <c r="O120" i="146"/>
  <c r="P120" i="146"/>
  <c r="Q120" i="146"/>
  <c r="O121" i="146"/>
  <c r="P121" i="146"/>
  <c r="Q121" i="146"/>
  <c r="O122" i="146"/>
  <c r="P122" i="146"/>
  <c r="Q122" i="146"/>
  <c r="O123" i="146"/>
  <c r="P123" i="146"/>
  <c r="Q123" i="146"/>
  <c r="O124" i="146"/>
  <c r="P124" i="146"/>
  <c r="Q124" i="146"/>
  <c r="O125" i="146"/>
  <c r="P125" i="146"/>
  <c r="Q125" i="146"/>
  <c r="O126" i="146"/>
  <c r="P126" i="146"/>
  <c r="Q126" i="146"/>
  <c r="O127" i="146"/>
  <c r="P127" i="146"/>
  <c r="Q127" i="146"/>
  <c r="O128" i="146"/>
  <c r="P128" i="146"/>
  <c r="Q128" i="146"/>
  <c r="O129" i="146"/>
  <c r="P129" i="146"/>
  <c r="Q129" i="146"/>
  <c r="O130" i="146"/>
  <c r="P130" i="146"/>
  <c r="Q130" i="146"/>
  <c r="O131" i="146"/>
  <c r="P131" i="146"/>
  <c r="Q131" i="146"/>
  <c r="O132" i="146"/>
  <c r="P132" i="146"/>
  <c r="Q132" i="146"/>
  <c r="O133" i="146"/>
  <c r="P133" i="146"/>
  <c r="Q133" i="146"/>
  <c r="O134" i="146"/>
  <c r="P134" i="146"/>
  <c r="Q134" i="146"/>
  <c r="O135" i="146"/>
  <c r="P135" i="146"/>
  <c r="Q135" i="146"/>
  <c r="O138" i="146"/>
  <c r="P138" i="146"/>
  <c r="Q138" i="146"/>
  <c r="O139" i="146"/>
  <c r="P139" i="146"/>
  <c r="Q139" i="146"/>
  <c r="O140" i="146"/>
  <c r="P140" i="146"/>
  <c r="Q140" i="146"/>
  <c r="O141" i="146"/>
  <c r="P141" i="146"/>
  <c r="Q141" i="146"/>
  <c r="O142" i="146"/>
  <c r="P142" i="146"/>
  <c r="Q142" i="146"/>
  <c r="O143" i="146"/>
  <c r="P143" i="146"/>
  <c r="Q143" i="146"/>
  <c r="O146" i="146"/>
  <c r="P146" i="146"/>
  <c r="Q146" i="146"/>
  <c r="O147" i="146"/>
  <c r="P147" i="146"/>
  <c r="Q147" i="146"/>
  <c r="O148" i="146"/>
  <c r="P148" i="146"/>
  <c r="Q148" i="146"/>
  <c r="O149" i="146"/>
  <c r="P149" i="146"/>
  <c r="Q149" i="146"/>
  <c r="O150" i="146"/>
  <c r="P150" i="146"/>
  <c r="Q150" i="146"/>
  <c r="O151" i="146"/>
  <c r="P151" i="146"/>
  <c r="Q151" i="146"/>
  <c r="O152" i="146"/>
  <c r="P152" i="146"/>
  <c r="Q152" i="146"/>
  <c r="O153" i="146"/>
  <c r="P153" i="146"/>
  <c r="Q153" i="146"/>
  <c r="O154" i="146"/>
  <c r="P154" i="146"/>
  <c r="Q154" i="146"/>
  <c r="O155" i="146"/>
  <c r="P155" i="146"/>
  <c r="Q155" i="146"/>
  <c r="O156" i="146"/>
  <c r="P156" i="146"/>
  <c r="Q156" i="146"/>
  <c r="O157" i="146"/>
  <c r="P157" i="146"/>
  <c r="Q157" i="146"/>
  <c r="O158" i="146"/>
  <c r="P158" i="146"/>
  <c r="Q158" i="146"/>
  <c r="O159" i="146"/>
  <c r="P159" i="146"/>
  <c r="Q159" i="146"/>
  <c r="O160" i="146"/>
  <c r="P160" i="146"/>
  <c r="Q160" i="146"/>
  <c r="O161" i="146"/>
  <c r="P161" i="146"/>
  <c r="Q161" i="146"/>
  <c r="O162" i="146"/>
  <c r="P162" i="146"/>
  <c r="Q162" i="146"/>
  <c r="O163" i="146"/>
  <c r="P163" i="146"/>
  <c r="Q163" i="146"/>
  <c r="O164" i="146"/>
  <c r="P164" i="146"/>
  <c r="Q164" i="146"/>
  <c r="O165" i="146"/>
  <c r="P165" i="146"/>
  <c r="Q165" i="146"/>
  <c r="O166" i="146"/>
  <c r="P166" i="146"/>
  <c r="Q166" i="146"/>
  <c r="O167" i="146"/>
  <c r="P167" i="146"/>
  <c r="Q167" i="146"/>
  <c r="O168" i="146"/>
  <c r="P168" i="146"/>
  <c r="Q168" i="146"/>
  <c r="O169" i="146"/>
  <c r="P169" i="146"/>
  <c r="Q169" i="146"/>
  <c r="O170" i="146"/>
  <c r="P170" i="146"/>
  <c r="Q170" i="146"/>
  <c r="O171" i="146"/>
  <c r="P171" i="146"/>
  <c r="Q171" i="146"/>
  <c r="O172" i="146"/>
  <c r="P172" i="146"/>
  <c r="Q172" i="146"/>
  <c r="O173" i="146"/>
  <c r="P173" i="146"/>
  <c r="Q173" i="146"/>
  <c r="O174" i="146"/>
  <c r="P174" i="146"/>
  <c r="Q174" i="146"/>
  <c r="O175" i="146"/>
  <c r="P175" i="146"/>
  <c r="Q175" i="146"/>
  <c r="O176" i="146"/>
  <c r="P176" i="146"/>
  <c r="Q176" i="146"/>
  <c r="O177" i="146"/>
  <c r="P177" i="146"/>
  <c r="Q177" i="146"/>
  <c r="O178" i="146"/>
  <c r="P178" i="146"/>
  <c r="Q178" i="146"/>
  <c r="O179" i="146"/>
  <c r="P179" i="146"/>
  <c r="Q179" i="146"/>
  <c r="O180" i="146"/>
  <c r="P180" i="146"/>
  <c r="Q180" i="146"/>
  <c r="O181" i="146"/>
  <c r="P181" i="146"/>
  <c r="Q181" i="146"/>
  <c r="O182" i="146"/>
  <c r="P182" i="146"/>
  <c r="Q182" i="146"/>
  <c r="O183" i="146"/>
  <c r="P183" i="146"/>
  <c r="Q183" i="146"/>
  <c r="O186" i="146"/>
  <c r="P186" i="146"/>
  <c r="Q186" i="146"/>
  <c r="O187" i="146"/>
  <c r="P187" i="146"/>
  <c r="Q187" i="146"/>
  <c r="O188" i="146"/>
  <c r="P188" i="146"/>
  <c r="Q188" i="146"/>
  <c r="O189" i="146"/>
  <c r="P189" i="146"/>
  <c r="Q189" i="146"/>
  <c r="O190" i="146"/>
  <c r="P190" i="146"/>
  <c r="Q190" i="146"/>
  <c r="O191" i="146"/>
  <c r="P191" i="146"/>
  <c r="Q191" i="146"/>
  <c r="O192" i="146"/>
  <c r="P192" i="146"/>
  <c r="Q192" i="146"/>
  <c r="O193" i="146"/>
  <c r="P193" i="146"/>
  <c r="Q193" i="146"/>
  <c r="O194" i="146"/>
  <c r="P194" i="146"/>
  <c r="Q194" i="146"/>
  <c r="O195" i="146"/>
  <c r="P195" i="146"/>
  <c r="Q195" i="146"/>
  <c r="O196" i="146"/>
  <c r="P196" i="146"/>
  <c r="Q196" i="146"/>
  <c r="O197" i="146"/>
  <c r="P197" i="146"/>
  <c r="Q197" i="146"/>
  <c r="O2" i="146"/>
  <c r="Q2" i="146"/>
  <c r="P2" i="146"/>
  <c r="Q8" i="149"/>
  <c r="P8" i="149"/>
  <c r="O8" i="149"/>
  <c r="Q7" i="149"/>
  <c r="P7" i="149"/>
  <c r="O7" i="149"/>
  <c r="Q6" i="149"/>
  <c r="P6" i="149"/>
  <c r="O6" i="149"/>
  <c r="Q4" i="149"/>
  <c r="P4" i="149"/>
  <c r="O4" i="149"/>
  <c r="Q3" i="149"/>
  <c r="P3" i="149"/>
  <c r="O3" i="149"/>
  <c r="O2" i="149"/>
  <c r="Q2" i="149"/>
  <c r="P2" i="149"/>
  <c r="Q31" i="145"/>
  <c r="Q29" i="145"/>
  <c r="S31" i="145"/>
  <c r="S29" i="145"/>
  <c r="S27" i="145"/>
  <c r="Q27" i="145"/>
  <c r="S25" i="145"/>
  <c r="Q25" i="145"/>
  <c r="S23" i="145"/>
  <c r="Q23" i="145"/>
  <c r="S21" i="145"/>
  <c r="Q21" i="145"/>
  <c r="S19" i="145"/>
  <c r="Q19" i="145"/>
  <c r="S17" i="145"/>
  <c r="Q17" i="145"/>
  <c r="S15" i="145"/>
  <c r="Q15" i="145"/>
  <c r="S13" i="145"/>
  <c r="Q13" i="145"/>
  <c r="S11" i="145"/>
  <c r="Q11" i="145"/>
  <c r="S9" i="145"/>
  <c r="Q9" i="145"/>
  <c r="S7" i="145"/>
  <c r="Q7" i="145"/>
  <c r="S5" i="145"/>
  <c r="Q5" i="145"/>
  <c r="S2" i="145"/>
  <c r="Q2" i="145"/>
  <c r="S39" i="143"/>
  <c r="Q39" i="143"/>
  <c r="S37" i="143"/>
  <c r="Q37" i="143"/>
  <c r="S35" i="143"/>
  <c r="Q35" i="143"/>
  <c r="S33" i="143"/>
  <c r="Q33" i="143"/>
  <c r="S31" i="143"/>
  <c r="Q31" i="143"/>
  <c r="S29" i="143"/>
  <c r="Q29" i="143"/>
  <c r="S25" i="143"/>
  <c r="Q25" i="143"/>
  <c r="S21" i="143"/>
  <c r="Q21" i="143"/>
  <c r="S17" i="143"/>
  <c r="Q17" i="143"/>
  <c r="S13" i="143"/>
  <c r="Q13" i="143"/>
  <c r="S9" i="143"/>
  <c r="Q9" i="143"/>
  <c r="S5" i="143"/>
  <c r="Q5" i="143"/>
  <c r="S7" i="139"/>
  <c r="Q7" i="139"/>
  <c r="S5" i="139"/>
  <c r="Q5" i="139"/>
  <c r="S3" i="139"/>
  <c r="Q3" i="139"/>
  <c r="S3" i="136"/>
  <c r="Q3" i="136"/>
  <c r="S7" i="135"/>
  <c r="Q7" i="135"/>
  <c r="S5" i="135"/>
  <c r="Q5" i="135"/>
  <c r="Q3" i="135"/>
  <c r="S3" i="135"/>
  <c r="S5" i="134"/>
  <c r="Q5" i="134"/>
  <c r="S3" i="134"/>
  <c r="Q3" i="134"/>
  <c r="S5" i="131"/>
  <c r="Q5" i="131"/>
  <c r="S9" i="131"/>
  <c r="Q9" i="131"/>
  <c r="S21" i="130"/>
  <c r="Q21" i="130"/>
  <c r="S17" i="130"/>
  <c r="Q17" i="130"/>
  <c r="S13" i="130"/>
  <c r="Q13" i="130"/>
  <c r="S9" i="130"/>
  <c r="Q9" i="130"/>
  <c r="S5" i="130"/>
  <c r="Q5" i="130"/>
  <c r="S44" i="129"/>
  <c r="Q44" i="129"/>
  <c r="S42" i="129"/>
  <c r="Q42" i="129"/>
  <c r="S40" i="129"/>
  <c r="Q40" i="129"/>
  <c r="S38" i="129"/>
  <c r="Q38" i="129"/>
  <c r="S36" i="129"/>
  <c r="Q36" i="129"/>
  <c r="S32" i="129"/>
  <c r="Q32" i="129"/>
  <c r="S28" i="129"/>
  <c r="Q28" i="129"/>
  <c r="S24" i="129"/>
  <c r="Q24" i="129"/>
  <c r="S19" i="129"/>
  <c r="Q19" i="129"/>
  <c r="S15" i="129"/>
  <c r="Q15" i="129"/>
  <c r="S10" i="129"/>
  <c r="Q10" i="129"/>
  <c r="Q6" i="129"/>
  <c r="S6" i="129"/>
  <c r="S11" i="7"/>
  <c r="Q11" i="7"/>
  <c r="S9" i="7"/>
  <c r="Q9" i="7"/>
  <c r="S7" i="7"/>
  <c r="Q7" i="7"/>
  <c r="S5" i="7"/>
  <c r="Q5" i="7"/>
  <c r="Q3" i="7"/>
  <c r="S3" i="7"/>
  <c r="O3" i="175"/>
  <c r="O4" i="175"/>
  <c r="O5" i="175"/>
  <c r="O6" i="175"/>
  <c r="O7" i="175"/>
  <c r="O8" i="175"/>
  <c r="O9" i="175"/>
  <c r="O10" i="175"/>
  <c r="O11" i="175"/>
  <c r="O12" i="175"/>
  <c r="O13" i="175"/>
  <c r="O14" i="175"/>
  <c r="O15" i="175"/>
  <c r="O16" i="175"/>
  <c r="O17" i="175"/>
  <c r="O18" i="175"/>
  <c r="O19" i="175"/>
  <c r="O2" i="175"/>
  <c r="Q19" i="175"/>
  <c r="P19" i="175"/>
  <c r="Q18" i="175"/>
  <c r="P18" i="175"/>
  <c r="Q17" i="175"/>
  <c r="P17" i="175"/>
  <c r="Q16" i="175"/>
  <c r="P16" i="175"/>
  <c r="Q15" i="175"/>
  <c r="P15" i="175"/>
  <c r="Q14" i="175"/>
  <c r="P14" i="175"/>
  <c r="Q13" i="175"/>
  <c r="P13" i="175"/>
  <c r="Q12" i="175"/>
  <c r="P12" i="175"/>
  <c r="Q11" i="175"/>
  <c r="P11" i="175"/>
  <c r="Q10" i="175"/>
  <c r="P10" i="175"/>
  <c r="Q9" i="175"/>
  <c r="P9" i="175"/>
  <c r="Q8" i="175"/>
  <c r="P8" i="175"/>
  <c r="Q7" i="175"/>
  <c r="P7" i="175"/>
  <c r="Q6" i="175"/>
  <c r="P6" i="175"/>
  <c r="Q5" i="175"/>
  <c r="P5" i="175"/>
  <c r="Q4" i="175"/>
  <c r="P4" i="175"/>
  <c r="Q3" i="175"/>
  <c r="P3" i="175"/>
  <c r="Q2" i="175"/>
  <c r="P2" i="175"/>
  <c r="Q25" i="174"/>
  <c r="P25" i="174"/>
  <c r="O25" i="174"/>
  <c r="Q24" i="174"/>
  <c r="P24" i="174"/>
  <c r="O24" i="174"/>
  <c r="Q23" i="174"/>
  <c r="P23" i="174"/>
  <c r="O23" i="174"/>
  <c r="Q22" i="174"/>
  <c r="P22" i="174"/>
  <c r="O22" i="174"/>
  <c r="Q21" i="174"/>
  <c r="P21" i="174"/>
  <c r="O21" i="174"/>
  <c r="Q20" i="174"/>
  <c r="P20" i="174"/>
  <c r="O20" i="174"/>
  <c r="Q19" i="174"/>
  <c r="P19" i="174"/>
  <c r="O19" i="174"/>
  <c r="Q18" i="174"/>
  <c r="P18" i="174"/>
  <c r="O18" i="174"/>
  <c r="Q17" i="174"/>
  <c r="P17" i="174"/>
  <c r="O17" i="174"/>
  <c r="Q16" i="174"/>
  <c r="P16" i="174"/>
  <c r="O16" i="174"/>
  <c r="Q15" i="174"/>
  <c r="P15" i="174"/>
  <c r="O15" i="174"/>
  <c r="Q14" i="174"/>
  <c r="P14" i="174"/>
  <c r="O14" i="174"/>
  <c r="Q13" i="174"/>
  <c r="P13" i="174"/>
  <c r="O13" i="174"/>
  <c r="Q12" i="174"/>
  <c r="P12" i="174"/>
  <c r="O12" i="174"/>
  <c r="Q11" i="174"/>
  <c r="P11" i="174"/>
  <c r="O11" i="174"/>
  <c r="Q10" i="174"/>
  <c r="P10" i="174"/>
  <c r="O10" i="174"/>
  <c r="Q9" i="174"/>
  <c r="P9" i="174"/>
  <c r="O9" i="174"/>
  <c r="Q8" i="174"/>
  <c r="P8" i="174"/>
  <c r="O8" i="174"/>
  <c r="Q7" i="174"/>
  <c r="P7" i="174"/>
  <c r="O7" i="174"/>
  <c r="Q6" i="174"/>
  <c r="P6" i="174"/>
  <c r="O6" i="174"/>
  <c r="Q5" i="174"/>
  <c r="P5" i="174"/>
  <c r="O5" i="174"/>
  <c r="Q4" i="174"/>
  <c r="P4" i="174"/>
  <c r="O4" i="174"/>
  <c r="Q3" i="174"/>
  <c r="P3" i="174"/>
  <c r="O3" i="174"/>
  <c r="Q2" i="174"/>
  <c r="P2" i="174"/>
  <c r="O2" i="174"/>
  <c r="S43" i="128"/>
  <c r="S41" i="128"/>
  <c r="Q41" i="128"/>
  <c r="S39" i="128"/>
  <c r="Q39" i="128"/>
  <c r="S37" i="128"/>
  <c r="Q37" i="128"/>
  <c r="S35" i="128"/>
  <c r="Q35" i="128"/>
  <c r="S33" i="128"/>
  <c r="Q33" i="128"/>
  <c r="S31" i="128"/>
  <c r="Q31" i="128"/>
  <c r="S29" i="128"/>
  <c r="Q29" i="128"/>
  <c r="S27" i="128"/>
  <c r="Q27" i="128"/>
  <c r="S25" i="128"/>
  <c r="Q25" i="128"/>
  <c r="S23" i="128"/>
  <c r="Q23" i="128"/>
  <c r="S21" i="128"/>
  <c r="Q21" i="128"/>
  <c r="S19" i="128"/>
  <c r="Q19" i="128"/>
  <c r="S17" i="128"/>
  <c r="Q17" i="128"/>
  <c r="S15" i="128"/>
  <c r="Q15" i="128"/>
  <c r="S13" i="128"/>
  <c r="Q13" i="128"/>
  <c r="S11" i="128"/>
  <c r="Q11" i="128"/>
  <c r="S9" i="128"/>
  <c r="Q9" i="128"/>
  <c r="S7" i="128"/>
  <c r="Q7" i="128"/>
  <c r="S5" i="128"/>
  <c r="Q5" i="128"/>
  <c r="S3" i="128"/>
  <c r="Q3" i="128"/>
  <c r="S3" i="127"/>
  <c r="Q3" i="127"/>
  <c r="P3" i="5"/>
  <c r="Q3" i="5"/>
  <c r="P4" i="5"/>
  <c r="Q4" i="5"/>
  <c r="P5" i="5"/>
  <c r="Q5" i="5"/>
  <c r="P6" i="5"/>
  <c r="Q6" i="5"/>
  <c r="P7" i="5"/>
  <c r="Q7" i="5"/>
  <c r="P8" i="5"/>
  <c r="Q8" i="5"/>
  <c r="P9" i="5"/>
  <c r="Q9" i="5"/>
  <c r="P11" i="5"/>
  <c r="Q11" i="5"/>
  <c r="P12" i="5"/>
  <c r="Q12" i="5"/>
  <c r="P13" i="5"/>
  <c r="Q13" i="5"/>
  <c r="P14" i="5"/>
  <c r="Q14" i="5"/>
  <c r="P15" i="5"/>
  <c r="Q15" i="5"/>
  <c r="P16" i="5"/>
  <c r="Q16" i="5"/>
  <c r="P17" i="5"/>
  <c r="Q17" i="5"/>
  <c r="P18" i="5"/>
  <c r="Q18" i="5"/>
  <c r="P19" i="5"/>
  <c r="Q19" i="5"/>
  <c r="P20" i="5"/>
  <c r="Q20" i="5"/>
  <c r="P21" i="5"/>
  <c r="Q21" i="5"/>
  <c r="P22" i="5"/>
  <c r="Q22" i="5"/>
  <c r="P23" i="5"/>
  <c r="Q23" i="5"/>
  <c r="P24" i="5"/>
  <c r="Q24" i="5"/>
  <c r="P25" i="5"/>
  <c r="Q25" i="5"/>
  <c r="P26" i="5"/>
  <c r="Q26" i="5"/>
  <c r="P27" i="5"/>
  <c r="Q27" i="5"/>
  <c r="P28" i="5"/>
  <c r="Q28" i="5"/>
  <c r="P29" i="5"/>
  <c r="Q29" i="5"/>
  <c r="P30" i="5"/>
  <c r="Q30" i="5"/>
  <c r="P31" i="5"/>
  <c r="Q31" i="5"/>
  <c r="P32" i="5"/>
  <c r="Q32" i="5"/>
  <c r="P33" i="5"/>
  <c r="Q33" i="5"/>
  <c r="P34" i="5"/>
  <c r="Q34" i="5"/>
  <c r="P35" i="5"/>
  <c r="Q35" i="5"/>
  <c r="P36" i="5"/>
  <c r="Q36" i="5"/>
  <c r="P37" i="5"/>
  <c r="Q37" i="5"/>
  <c r="P38" i="5"/>
  <c r="Q38" i="5"/>
  <c r="P39" i="5"/>
  <c r="Q39" i="5"/>
  <c r="P40" i="5"/>
  <c r="Q40" i="5"/>
  <c r="P41" i="5"/>
  <c r="Q41" i="5"/>
  <c r="P42" i="5"/>
  <c r="Q42" i="5"/>
  <c r="P43" i="5"/>
  <c r="Q43" i="5"/>
  <c r="P44" i="5"/>
  <c r="Q44" i="5"/>
  <c r="P45" i="5"/>
  <c r="Q45" i="5"/>
  <c r="P46" i="5"/>
  <c r="Q46" i="5"/>
  <c r="P47" i="5"/>
  <c r="Q47" i="5"/>
  <c r="P48" i="5"/>
  <c r="Q48" i="5"/>
  <c r="P49" i="5"/>
  <c r="Q49" i="5"/>
  <c r="P50" i="5"/>
  <c r="Q50" i="5"/>
  <c r="P51" i="5"/>
  <c r="Q51" i="5"/>
  <c r="P52" i="5"/>
  <c r="Q52" i="5"/>
  <c r="P53" i="5"/>
  <c r="Q53" i="5"/>
  <c r="P54" i="5"/>
  <c r="Q54" i="5"/>
  <c r="P55" i="5"/>
  <c r="Q55" i="5"/>
  <c r="P56" i="5"/>
  <c r="Q56" i="5"/>
  <c r="P57" i="5"/>
  <c r="Q57" i="5"/>
  <c r="P58" i="5"/>
  <c r="Q58" i="5"/>
  <c r="P59" i="5"/>
  <c r="Q59" i="5"/>
  <c r="P60" i="5"/>
  <c r="Q60" i="5"/>
  <c r="P61" i="5"/>
  <c r="Q61" i="5"/>
  <c r="P62" i="5"/>
  <c r="Q62" i="5"/>
  <c r="P63" i="5"/>
  <c r="Q63" i="5"/>
  <c r="P64" i="5"/>
  <c r="Q64" i="5"/>
  <c r="P65" i="5"/>
  <c r="Q65" i="5"/>
  <c r="P66" i="5"/>
  <c r="Q66" i="5"/>
  <c r="P67" i="5"/>
  <c r="Q67" i="5"/>
  <c r="P68" i="5"/>
  <c r="Q68" i="5"/>
  <c r="P69" i="5"/>
  <c r="Q69" i="5"/>
  <c r="P70" i="5"/>
  <c r="Q70" i="5"/>
  <c r="P71" i="5"/>
  <c r="Q71" i="5"/>
  <c r="P72" i="5"/>
  <c r="Q72" i="5"/>
  <c r="P73" i="5"/>
  <c r="Q73" i="5"/>
  <c r="P74" i="5"/>
  <c r="Q74" i="5"/>
  <c r="P75" i="5"/>
  <c r="Q75" i="5"/>
  <c r="P76" i="5"/>
  <c r="Q76" i="5"/>
  <c r="P77" i="5"/>
  <c r="Q77" i="5"/>
  <c r="P78" i="5"/>
  <c r="Q78" i="5"/>
  <c r="P79" i="5"/>
  <c r="Q79" i="5"/>
  <c r="P80" i="5"/>
  <c r="Q80" i="5"/>
  <c r="P81" i="5"/>
  <c r="Q81" i="5"/>
  <c r="P82" i="5"/>
  <c r="Q82" i="5"/>
  <c r="P83" i="5"/>
  <c r="Q83" i="5"/>
  <c r="P84" i="5"/>
  <c r="Q84" i="5"/>
  <c r="P85" i="5"/>
  <c r="Q85" i="5"/>
  <c r="P86" i="5"/>
  <c r="Q86" i="5"/>
  <c r="P87" i="5"/>
  <c r="Q87" i="5"/>
  <c r="P88" i="5"/>
  <c r="Q88" i="5"/>
  <c r="P89" i="5"/>
  <c r="Q89" i="5"/>
  <c r="P90" i="5"/>
  <c r="Q90" i="5"/>
  <c r="P91" i="5"/>
  <c r="Q91" i="5"/>
  <c r="P92" i="5"/>
  <c r="Q92" i="5"/>
  <c r="P93" i="5"/>
  <c r="Q93" i="5"/>
  <c r="P94" i="5"/>
  <c r="Q94" i="5"/>
  <c r="P95" i="5"/>
  <c r="Q95" i="5"/>
  <c r="P96" i="5"/>
  <c r="Q96" i="5"/>
  <c r="P97" i="5"/>
  <c r="Q97" i="5"/>
  <c r="P98" i="5"/>
  <c r="Q98" i="5"/>
  <c r="P99" i="5"/>
  <c r="Q99" i="5"/>
  <c r="P100" i="5"/>
  <c r="Q100" i="5"/>
  <c r="P101" i="5"/>
  <c r="Q101" i="5"/>
  <c r="P102" i="5"/>
  <c r="Q102" i="5"/>
  <c r="P103" i="5"/>
  <c r="Q103" i="5"/>
  <c r="P104" i="5"/>
  <c r="Q104" i="5"/>
  <c r="P105" i="5"/>
  <c r="Q105" i="5"/>
  <c r="P106" i="5"/>
  <c r="Q106" i="5"/>
  <c r="P107" i="5"/>
  <c r="Q107" i="5"/>
  <c r="P108" i="5"/>
  <c r="Q108" i="5"/>
  <c r="P109" i="5"/>
  <c r="Q109" i="5"/>
  <c r="P110" i="5"/>
  <c r="Q110" i="5"/>
  <c r="P111" i="5"/>
  <c r="Q111" i="5"/>
  <c r="P112" i="5"/>
  <c r="Q112" i="5"/>
  <c r="P113" i="5"/>
  <c r="Q113" i="5"/>
  <c r="P114" i="5"/>
  <c r="Q114" i="5"/>
  <c r="P115" i="5"/>
  <c r="Q115" i="5"/>
  <c r="P116" i="5"/>
  <c r="Q116" i="5"/>
  <c r="P117" i="5"/>
  <c r="Q117" i="5"/>
  <c r="P118" i="5"/>
  <c r="Q118" i="5"/>
  <c r="P119" i="5"/>
  <c r="Q119" i="5"/>
  <c r="P120" i="5"/>
  <c r="Q120" i="5"/>
  <c r="P121" i="5"/>
  <c r="Q121" i="5"/>
  <c r="P122" i="5"/>
  <c r="Q122" i="5"/>
  <c r="P123" i="5"/>
  <c r="Q123" i="5"/>
  <c r="P124" i="5"/>
  <c r="Q124" i="5"/>
  <c r="P125" i="5"/>
  <c r="Q125" i="5"/>
  <c r="P126" i="5"/>
  <c r="Q126" i="5"/>
  <c r="P127" i="5"/>
  <c r="Q127" i="5"/>
  <c r="P128" i="5"/>
  <c r="Q128" i="5"/>
  <c r="P129" i="5"/>
  <c r="Q129" i="5"/>
  <c r="P130" i="5"/>
  <c r="Q130" i="5"/>
  <c r="P131" i="5"/>
  <c r="Q131" i="5"/>
  <c r="P132" i="5"/>
  <c r="Q132" i="5"/>
  <c r="P133" i="5"/>
  <c r="Q133" i="5"/>
  <c r="P134" i="5"/>
  <c r="Q134" i="5"/>
  <c r="P135" i="5"/>
  <c r="Q135" i="5"/>
  <c r="P137" i="5"/>
  <c r="Q137" i="5"/>
  <c r="P138" i="5"/>
  <c r="Q138" i="5"/>
  <c r="P139" i="5"/>
  <c r="Q139" i="5"/>
  <c r="P140" i="5"/>
  <c r="Q140" i="5"/>
  <c r="P141" i="5"/>
  <c r="Q141" i="5"/>
  <c r="P142" i="5"/>
  <c r="Q142" i="5"/>
  <c r="P143" i="5"/>
  <c r="Q143" i="5"/>
  <c r="P144" i="5"/>
  <c r="Q144" i="5"/>
  <c r="P145" i="5"/>
  <c r="Q145" i="5"/>
  <c r="P146" i="5"/>
  <c r="Q146" i="5"/>
  <c r="P147" i="5"/>
  <c r="Q147" i="5"/>
  <c r="P148" i="5"/>
  <c r="Q148" i="5"/>
  <c r="P149" i="5"/>
  <c r="Q149" i="5"/>
  <c r="P150" i="5"/>
  <c r="Q150" i="5"/>
  <c r="P151" i="5"/>
  <c r="Q151" i="5"/>
  <c r="P152" i="5"/>
  <c r="Q152" i="5"/>
  <c r="P153" i="5"/>
  <c r="Q153" i="5"/>
  <c r="P154" i="5"/>
  <c r="Q154" i="5"/>
  <c r="P155" i="5"/>
  <c r="Q155" i="5"/>
  <c r="P156" i="5"/>
  <c r="Q156" i="5"/>
  <c r="P157" i="5"/>
  <c r="Q157" i="5"/>
  <c r="P158" i="5"/>
  <c r="Q158" i="5"/>
  <c r="P159" i="5"/>
  <c r="Q159" i="5"/>
  <c r="P160" i="5"/>
  <c r="Q160" i="5"/>
  <c r="P161" i="5"/>
  <c r="Q161" i="5"/>
  <c r="P162" i="5"/>
  <c r="Q162" i="5"/>
  <c r="P163" i="5"/>
  <c r="Q163" i="5"/>
  <c r="P164" i="5"/>
  <c r="Q164" i="5"/>
  <c r="P165" i="5"/>
  <c r="Q165" i="5"/>
  <c r="P166" i="5"/>
  <c r="Q166" i="5"/>
  <c r="P167" i="5"/>
  <c r="Q167" i="5"/>
  <c r="P168" i="5"/>
  <c r="Q168" i="5"/>
  <c r="P169" i="5"/>
  <c r="Q169" i="5"/>
  <c r="P170" i="5"/>
  <c r="Q170" i="5"/>
  <c r="P171" i="5"/>
  <c r="Q171" i="5"/>
  <c r="P172" i="5"/>
  <c r="Q172" i="5"/>
  <c r="P173" i="5"/>
  <c r="Q173" i="5"/>
  <c r="P174" i="5"/>
  <c r="Q174" i="5"/>
  <c r="P175" i="5"/>
  <c r="Q175" i="5"/>
  <c r="P176" i="5"/>
  <c r="Q176" i="5"/>
  <c r="P177" i="5"/>
  <c r="Q177" i="5"/>
  <c r="P178" i="5"/>
  <c r="Q178" i="5"/>
  <c r="P179" i="5"/>
  <c r="Q179" i="5"/>
  <c r="P180" i="5"/>
  <c r="Q180" i="5"/>
  <c r="P181" i="5"/>
  <c r="Q181" i="5"/>
  <c r="P182" i="5"/>
  <c r="Q182" i="5"/>
  <c r="P183" i="5"/>
  <c r="Q183" i="5"/>
  <c r="P184" i="5"/>
  <c r="Q184" i="5"/>
  <c r="P185" i="5"/>
  <c r="Q185" i="5"/>
  <c r="P186" i="5"/>
  <c r="Q186" i="5"/>
  <c r="P187" i="5"/>
  <c r="Q187" i="5"/>
  <c r="P188" i="5"/>
  <c r="Q188" i="5"/>
  <c r="P189" i="5"/>
  <c r="Q189" i="5"/>
  <c r="P190" i="5"/>
  <c r="Q190" i="5"/>
  <c r="P191" i="5"/>
  <c r="Q191" i="5"/>
  <c r="P192" i="5"/>
  <c r="Q192" i="5"/>
  <c r="P193" i="5"/>
  <c r="Q193" i="5"/>
  <c r="P194" i="5"/>
  <c r="Q194" i="5"/>
  <c r="P195" i="5"/>
  <c r="Q195" i="5"/>
  <c r="P196" i="5"/>
  <c r="Q196" i="5"/>
  <c r="P197" i="5"/>
  <c r="Q197" i="5"/>
  <c r="P198" i="5"/>
  <c r="Q198" i="5"/>
  <c r="P199" i="5"/>
  <c r="Q199" i="5"/>
  <c r="P200" i="5"/>
  <c r="Q200" i="5"/>
  <c r="P201" i="5"/>
  <c r="Q201" i="5"/>
  <c r="P202" i="5"/>
  <c r="Q202" i="5"/>
  <c r="P203" i="5"/>
  <c r="Q203" i="5"/>
  <c r="P204" i="5"/>
  <c r="Q204" i="5"/>
  <c r="P205" i="5"/>
  <c r="Q205" i="5"/>
  <c r="P206" i="5"/>
  <c r="Q206" i="5"/>
  <c r="P207" i="5"/>
  <c r="Q207" i="5"/>
  <c r="P208" i="5"/>
  <c r="Q208" i="5"/>
  <c r="P209" i="5"/>
  <c r="Q209" i="5"/>
  <c r="P210" i="5"/>
  <c r="Q210" i="5"/>
  <c r="P211" i="5"/>
  <c r="Q211" i="5"/>
  <c r="P212" i="5"/>
  <c r="Q212" i="5"/>
  <c r="P213" i="5"/>
  <c r="Q213" i="5"/>
  <c r="P214" i="5"/>
  <c r="Q214" i="5"/>
  <c r="P215" i="5"/>
  <c r="Q215" i="5"/>
  <c r="P216" i="5"/>
  <c r="Q216" i="5"/>
  <c r="P217" i="5"/>
  <c r="Q217" i="5"/>
  <c r="P218" i="5"/>
  <c r="Q218" i="5"/>
  <c r="P219" i="5"/>
  <c r="Q219" i="5"/>
  <c r="P220" i="5"/>
  <c r="Q220" i="5"/>
  <c r="P221" i="5"/>
  <c r="Q221" i="5"/>
  <c r="P222" i="5"/>
  <c r="Q222" i="5"/>
  <c r="P223" i="5"/>
  <c r="Q223" i="5"/>
  <c r="P224" i="5"/>
  <c r="Q224" i="5"/>
  <c r="P225" i="5"/>
  <c r="Q225" i="5"/>
  <c r="P226" i="5"/>
  <c r="Q226" i="5"/>
  <c r="P227" i="5"/>
  <c r="Q227" i="5"/>
  <c r="P228" i="5"/>
  <c r="Q228" i="5"/>
  <c r="P229" i="5"/>
  <c r="Q229" i="5"/>
  <c r="P230" i="5"/>
  <c r="Q230" i="5"/>
  <c r="P231" i="5"/>
  <c r="Q231" i="5"/>
  <c r="P232" i="5"/>
  <c r="Q232" i="5"/>
  <c r="P233" i="5"/>
  <c r="Q233" i="5"/>
  <c r="P234" i="5"/>
  <c r="Q234" i="5"/>
  <c r="P235" i="5"/>
  <c r="Q235" i="5"/>
  <c r="P236" i="5"/>
  <c r="Q236" i="5"/>
  <c r="P237" i="5"/>
  <c r="Q237" i="5"/>
  <c r="P238" i="5"/>
  <c r="Q238" i="5"/>
  <c r="P239" i="5"/>
  <c r="Q239" i="5"/>
  <c r="P240" i="5"/>
  <c r="Q240" i="5"/>
  <c r="P241" i="5"/>
  <c r="Q241" i="5"/>
  <c r="P242" i="5"/>
  <c r="Q242" i="5"/>
  <c r="P243" i="5"/>
  <c r="Q243" i="5"/>
  <c r="P244" i="5"/>
  <c r="Q244" i="5"/>
  <c r="P245" i="5"/>
  <c r="Q245" i="5"/>
  <c r="P246" i="5"/>
  <c r="Q246" i="5"/>
  <c r="P247" i="5"/>
  <c r="Q247" i="5"/>
  <c r="P248" i="5"/>
  <c r="Q248" i="5"/>
  <c r="P249" i="5"/>
  <c r="Q249" i="5"/>
  <c r="P250" i="5"/>
  <c r="Q250" i="5"/>
  <c r="P251" i="5"/>
  <c r="Q251" i="5"/>
  <c r="P252" i="5"/>
  <c r="Q252" i="5"/>
  <c r="P253" i="5"/>
  <c r="Q253" i="5"/>
  <c r="P254" i="5"/>
  <c r="Q254" i="5"/>
  <c r="P255" i="5"/>
  <c r="Q255" i="5"/>
  <c r="P256" i="5"/>
  <c r="Q256" i="5"/>
  <c r="P257" i="5"/>
  <c r="Q257" i="5"/>
  <c r="P258" i="5"/>
  <c r="Q258" i="5"/>
  <c r="P259" i="5"/>
  <c r="Q259" i="5"/>
  <c r="P260" i="5"/>
  <c r="Q260" i="5"/>
  <c r="P261" i="5"/>
  <c r="Q261" i="5"/>
  <c r="P263" i="5"/>
  <c r="Q263" i="5"/>
  <c r="P264" i="5"/>
  <c r="Q264" i="5"/>
  <c r="P265" i="5"/>
  <c r="Q265" i="5"/>
  <c r="P266" i="5"/>
  <c r="Q266" i="5"/>
  <c r="P267" i="5"/>
  <c r="Q267" i="5"/>
  <c r="P268" i="5"/>
  <c r="Q268" i="5"/>
  <c r="P269" i="5"/>
  <c r="Q269" i="5"/>
  <c r="P270" i="5"/>
  <c r="Q270" i="5"/>
  <c r="P271" i="5"/>
  <c r="Q271" i="5"/>
  <c r="P272" i="5"/>
  <c r="Q272" i="5"/>
  <c r="P273" i="5"/>
  <c r="Q273" i="5"/>
  <c r="P274" i="5"/>
  <c r="Q274" i="5"/>
  <c r="P275" i="5"/>
  <c r="Q275" i="5"/>
  <c r="P276" i="5"/>
  <c r="Q276" i="5"/>
  <c r="P277" i="5"/>
  <c r="Q277" i="5"/>
  <c r="P278" i="5"/>
  <c r="Q278" i="5"/>
  <c r="P279" i="5"/>
  <c r="Q279" i="5"/>
  <c r="P280" i="5"/>
  <c r="Q280" i="5"/>
  <c r="P281" i="5"/>
  <c r="Q281" i="5"/>
  <c r="P282" i="5"/>
  <c r="Q282" i="5"/>
  <c r="P283" i="5"/>
  <c r="Q283" i="5"/>
  <c r="P284" i="5"/>
  <c r="Q284" i="5"/>
  <c r="P285" i="5"/>
  <c r="Q285" i="5"/>
  <c r="P286" i="5"/>
  <c r="Q286" i="5"/>
  <c r="P287" i="5"/>
  <c r="Q287" i="5"/>
  <c r="P288" i="5"/>
  <c r="Q288" i="5"/>
  <c r="P289" i="5"/>
  <c r="Q289" i="5"/>
  <c r="P290" i="5"/>
  <c r="Q290" i="5"/>
  <c r="P291" i="5"/>
  <c r="Q291" i="5"/>
  <c r="P292" i="5"/>
  <c r="Q292" i="5"/>
  <c r="P293" i="5"/>
  <c r="Q293" i="5"/>
  <c r="P294" i="5"/>
  <c r="Q294" i="5"/>
  <c r="P295" i="5"/>
  <c r="Q295" i="5"/>
  <c r="P296" i="5"/>
  <c r="Q296" i="5"/>
  <c r="P297" i="5"/>
  <c r="Q297" i="5"/>
  <c r="P298" i="5"/>
  <c r="Q298" i="5"/>
  <c r="P299" i="5"/>
  <c r="Q299" i="5"/>
  <c r="P300" i="5"/>
  <c r="Q300" i="5"/>
  <c r="P301" i="5"/>
  <c r="Q301" i="5"/>
  <c r="P302" i="5"/>
  <c r="Q302" i="5"/>
  <c r="P303" i="5"/>
  <c r="Q303" i="5"/>
  <c r="P304" i="5"/>
  <c r="Q304" i="5"/>
  <c r="P305" i="5"/>
  <c r="Q305" i="5"/>
  <c r="P306" i="5"/>
  <c r="Q306" i="5"/>
  <c r="P307" i="5"/>
  <c r="Q307" i="5"/>
  <c r="P308" i="5"/>
  <c r="Q308" i="5"/>
  <c r="P309" i="5"/>
  <c r="Q309" i="5"/>
  <c r="P310" i="5"/>
  <c r="Q310" i="5"/>
  <c r="P311" i="5"/>
  <c r="Q311" i="5"/>
  <c r="P312" i="5"/>
  <c r="Q312" i="5"/>
  <c r="P313" i="5"/>
  <c r="Q313" i="5"/>
  <c r="P314" i="5"/>
  <c r="Q314" i="5"/>
  <c r="P315" i="5"/>
  <c r="Q315" i="5"/>
  <c r="P316" i="5"/>
  <c r="Q316" i="5"/>
  <c r="P317" i="5"/>
  <c r="Q317" i="5"/>
  <c r="P318" i="5"/>
  <c r="Q318" i="5"/>
  <c r="P319" i="5"/>
  <c r="Q319" i="5"/>
  <c r="P320" i="5"/>
  <c r="Q320" i="5"/>
  <c r="P321" i="5"/>
  <c r="Q321" i="5"/>
  <c r="P322" i="5"/>
  <c r="Q322" i="5"/>
  <c r="P323" i="5"/>
  <c r="Q323" i="5"/>
  <c r="P324" i="5"/>
  <c r="Q324" i="5"/>
  <c r="P325" i="5"/>
  <c r="Q325" i="5"/>
  <c r="P326" i="5"/>
  <c r="Q326" i="5"/>
  <c r="P327" i="5"/>
  <c r="Q327" i="5"/>
  <c r="P328" i="5"/>
  <c r="Q328" i="5"/>
  <c r="P329" i="5"/>
  <c r="Q329" i="5"/>
  <c r="P330" i="5"/>
  <c r="Q330" i="5"/>
  <c r="P331" i="5"/>
  <c r="Q331" i="5"/>
  <c r="P332" i="5"/>
  <c r="Q332" i="5"/>
  <c r="P333" i="5"/>
  <c r="Q333" i="5"/>
  <c r="P334" i="5"/>
  <c r="Q334" i="5"/>
  <c r="P335" i="5"/>
  <c r="Q335" i="5"/>
  <c r="P336" i="5"/>
  <c r="Q336" i="5"/>
  <c r="P337" i="5"/>
  <c r="Q337" i="5"/>
  <c r="P338" i="5"/>
  <c r="Q338" i="5"/>
  <c r="P339" i="5"/>
  <c r="Q339" i="5"/>
  <c r="P340" i="5"/>
  <c r="Q340" i="5"/>
  <c r="P341" i="5"/>
  <c r="Q341" i="5"/>
  <c r="P342" i="5"/>
  <c r="Q342" i="5"/>
  <c r="P343" i="5"/>
  <c r="Q343" i="5"/>
  <c r="P344" i="5"/>
  <c r="Q344" i="5"/>
  <c r="P345" i="5"/>
  <c r="Q345" i="5"/>
  <c r="P346" i="5"/>
  <c r="Q346" i="5"/>
  <c r="P347" i="5"/>
  <c r="Q347" i="5"/>
  <c r="P348" i="5"/>
  <c r="Q348" i="5"/>
  <c r="P349" i="5"/>
  <c r="Q349" i="5"/>
  <c r="P350" i="5"/>
  <c r="Q350" i="5"/>
  <c r="P351" i="5"/>
  <c r="Q351" i="5"/>
  <c r="P352" i="5"/>
  <c r="Q352" i="5"/>
  <c r="P353" i="5"/>
  <c r="Q353" i="5"/>
  <c r="P354" i="5"/>
  <c r="Q354" i="5"/>
  <c r="P355" i="5"/>
  <c r="Q355" i="5"/>
  <c r="P356" i="5"/>
  <c r="Q356" i="5"/>
  <c r="P357" i="5"/>
  <c r="Q357" i="5"/>
  <c r="P358" i="5"/>
  <c r="Q358" i="5"/>
  <c r="P359" i="5"/>
  <c r="Q359" i="5"/>
  <c r="P360" i="5"/>
  <c r="Q360" i="5"/>
  <c r="P361" i="5"/>
  <c r="Q361" i="5"/>
  <c r="P362" i="5"/>
  <c r="Q362" i="5"/>
  <c r="P363" i="5"/>
  <c r="Q363" i="5"/>
  <c r="P364" i="5"/>
  <c r="Q364" i="5"/>
  <c r="P365" i="5"/>
  <c r="Q365" i="5"/>
  <c r="P366" i="5"/>
  <c r="Q366" i="5"/>
  <c r="P367" i="5"/>
  <c r="Q367" i="5"/>
  <c r="P368" i="5"/>
  <c r="Q368" i="5"/>
  <c r="P369" i="5"/>
  <c r="Q369" i="5"/>
  <c r="P370" i="5"/>
  <c r="Q370" i="5"/>
  <c r="P371" i="5"/>
  <c r="Q371" i="5"/>
  <c r="P372" i="5"/>
  <c r="Q372" i="5"/>
  <c r="P373" i="5"/>
  <c r="Q373" i="5"/>
  <c r="P374" i="5"/>
  <c r="Q374" i="5"/>
  <c r="P375" i="5"/>
  <c r="Q375" i="5"/>
  <c r="P376" i="5"/>
  <c r="Q376" i="5"/>
  <c r="P377" i="5"/>
  <c r="Q377" i="5"/>
  <c r="P378" i="5"/>
  <c r="Q378" i="5"/>
  <c r="P379" i="5"/>
  <c r="Q379" i="5"/>
  <c r="P380" i="5"/>
  <c r="Q380" i="5"/>
  <c r="P381" i="5"/>
  <c r="Q381" i="5"/>
  <c r="P382" i="5"/>
  <c r="Q382" i="5"/>
  <c r="P383" i="5"/>
  <c r="Q383" i="5"/>
  <c r="P384" i="5"/>
  <c r="Q384" i="5"/>
  <c r="P385" i="5"/>
  <c r="Q385" i="5"/>
  <c r="P386" i="5"/>
  <c r="Q386" i="5"/>
  <c r="P387" i="5"/>
  <c r="Q387" i="5"/>
  <c r="P388" i="5"/>
  <c r="Q388" i="5"/>
  <c r="P389" i="5"/>
  <c r="Q389" i="5"/>
  <c r="P390" i="5"/>
  <c r="Q390" i="5"/>
  <c r="P391" i="5"/>
  <c r="Q391" i="5"/>
  <c r="P392" i="5"/>
  <c r="Q392" i="5"/>
  <c r="P393" i="5"/>
  <c r="Q393" i="5"/>
  <c r="P394" i="5"/>
  <c r="Q394" i="5"/>
  <c r="P395" i="5"/>
  <c r="Q395" i="5"/>
  <c r="P396" i="5"/>
  <c r="Q396" i="5"/>
  <c r="P397" i="5"/>
  <c r="Q397" i="5"/>
  <c r="P398" i="5"/>
  <c r="Q398" i="5"/>
  <c r="P399" i="5"/>
  <c r="Q399" i="5"/>
  <c r="P400" i="5"/>
  <c r="Q400" i="5"/>
  <c r="P401" i="5"/>
  <c r="Q401" i="5"/>
  <c r="P402" i="5"/>
  <c r="Q402" i="5"/>
  <c r="P403" i="5"/>
  <c r="Q403" i="5"/>
  <c r="P404" i="5"/>
  <c r="Q404" i="5"/>
  <c r="P405" i="5"/>
  <c r="Q405" i="5"/>
  <c r="P406" i="5"/>
  <c r="Q406" i="5"/>
  <c r="P407" i="5"/>
  <c r="Q407" i="5"/>
  <c r="P408" i="5"/>
  <c r="Q408" i="5"/>
  <c r="P409" i="5"/>
  <c r="Q409" i="5"/>
  <c r="P414" i="5"/>
  <c r="Q414" i="5"/>
  <c r="P415" i="5"/>
  <c r="Q415" i="5"/>
  <c r="P416" i="5"/>
  <c r="Q416" i="5"/>
  <c r="P417" i="5"/>
  <c r="Q417" i="5"/>
  <c r="P418" i="5"/>
  <c r="Q418" i="5"/>
  <c r="P419" i="5"/>
  <c r="Q419" i="5"/>
  <c r="P420" i="5"/>
  <c r="Q420" i="5"/>
  <c r="P421" i="5"/>
  <c r="Q421" i="5"/>
  <c r="P422" i="5"/>
  <c r="Q422" i="5"/>
  <c r="P423" i="5"/>
  <c r="Q423" i="5"/>
  <c r="P424" i="5"/>
  <c r="Q424" i="5"/>
  <c r="P425" i="5"/>
  <c r="Q425" i="5"/>
  <c r="P426" i="5"/>
  <c r="Q426" i="5"/>
  <c r="P427" i="5"/>
  <c r="Q427" i="5"/>
  <c r="P428" i="5"/>
  <c r="Q428" i="5"/>
  <c r="P429" i="5"/>
  <c r="Q429" i="5"/>
  <c r="P430" i="5"/>
  <c r="Q430" i="5"/>
  <c r="P431" i="5"/>
  <c r="Q431" i="5"/>
  <c r="P432" i="5"/>
  <c r="Q432" i="5"/>
  <c r="P433" i="5"/>
  <c r="Q433" i="5"/>
  <c r="P434" i="5"/>
  <c r="Q434" i="5"/>
  <c r="P435" i="5"/>
  <c r="Q435" i="5"/>
  <c r="P436" i="5"/>
  <c r="Q436" i="5"/>
  <c r="P437" i="5"/>
  <c r="Q437" i="5"/>
  <c r="P438" i="5"/>
  <c r="Q438" i="5"/>
  <c r="P439" i="5"/>
  <c r="Q439" i="5"/>
  <c r="P440" i="5"/>
  <c r="Q440" i="5"/>
  <c r="P441" i="5"/>
  <c r="Q441" i="5"/>
  <c r="P442" i="5"/>
  <c r="Q442" i="5"/>
  <c r="P443" i="5"/>
  <c r="Q443" i="5"/>
  <c r="P444" i="5"/>
  <c r="Q444" i="5"/>
  <c r="P445" i="5"/>
  <c r="Q445" i="5"/>
  <c r="P446" i="5"/>
  <c r="Q446" i="5"/>
  <c r="P447" i="5"/>
  <c r="Q447" i="5"/>
  <c r="P448" i="5"/>
  <c r="Q448" i="5"/>
  <c r="P449" i="5"/>
  <c r="Q449" i="5"/>
  <c r="P450" i="5"/>
  <c r="Q450" i="5"/>
  <c r="P451" i="5"/>
  <c r="Q451" i="5"/>
  <c r="P452" i="5"/>
  <c r="Q452" i="5"/>
  <c r="P453" i="5"/>
  <c r="Q453" i="5"/>
  <c r="P454" i="5"/>
  <c r="Q454" i="5"/>
  <c r="P455" i="5"/>
  <c r="Q455" i="5"/>
  <c r="P456" i="5"/>
  <c r="Q456" i="5"/>
  <c r="P457" i="5"/>
  <c r="Q457" i="5"/>
  <c r="P458" i="5"/>
  <c r="Q458" i="5"/>
  <c r="P459" i="5"/>
  <c r="Q459" i="5"/>
  <c r="P460" i="5"/>
  <c r="Q460" i="5"/>
  <c r="P461" i="5"/>
  <c r="Q461" i="5"/>
  <c r="P462" i="5"/>
  <c r="Q462" i="5"/>
  <c r="P463" i="5"/>
  <c r="Q463" i="5"/>
  <c r="P464" i="5"/>
  <c r="Q464" i="5"/>
  <c r="P465" i="5"/>
  <c r="Q465" i="5"/>
  <c r="P466" i="5"/>
  <c r="Q466" i="5"/>
  <c r="P467" i="5"/>
  <c r="Q467" i="5"/>
  <c r="P468" i="5"/>
  <c r="Q468" i="5"/>
  <c r="P469" i="5"/>
  <c r="Q469" i="5"/>
  <c r="P470" i="5"/>
  <c r="Q470" i="5"/>
  <c r="P471" i="5"/>
  <c r="Q471" i="5"/>
  <c r="P472" i="5"/>
  <c r="Q472" i="5"/>
  <c r="P473" i="5"/>
  <c r="Q473" i="5"/>
  <c r="P474" i="5"/>
  <c r="Q474" i="5"/>
  <c r="P475" i="5"/>
  <c r="Q475" i="5"/>
  <c r="P476" i="5"/>
  <c r="Q476" i="5"/>
  <c r="P477" i="5"/>
  <c r="Q477" i="5"/>
  <c r="P478" i="5"/>
  <c r="Q478" i="5"/>
  <c r="P479" i="5"/>
  <c r="Q479" i="5"/>
  <c r="P480" i="5"/>
  <c r="Q480" i="5"/>
  <c r="P481" i="5"/>
  <c r="Q481" i="5"/>
  <c r="P482" i="5"/>
  <c r="Q482" i="5"/>
  <c r="P483" i="5"/>
  <c r="Q483" i="5"/>
  <c r="P484" i="5"/>
  <c r="Q484" i="5"/>
  <c r="P485" i="5"/>
  <c r="Q485" i="5"/>
  <c r="P486" i="5"/>
  <c r="Q486" i="5"/>
  <c r="P487" i="5"/>
  <c r="Q487" i="5"/>
  <c r="P488" i="5"/>
  <c r="Q488" i="5"/>
  <c r="P489" i="5"/>
  <c r="Q489" i="5"/>
  <c r="P490" i="5"/>
  <c r="Q490" i="5"/>
  <c r="P491" i="5"/>
  <c r="Q491" i="5"/>
  <c r="P492" i="5"/>
  <c r="Q492" i="5"/>
  <c r="P493" i="5"/>
  <c r="Q493" i="5"/>
  <c r="P494" i="5"/>
  <c r="Q494" i="5"/>
  <c r="P495" i="5"/>
  <c r="Q495" i="5"/>
  <c r="Q2" i="5"/>
  <c r="P2" i="5"/>
  <c r="S5" i="126"/>
  <c r="S7" i="126"/>
  <c r="S9" i="126"/>
  <c r="S11" i="126"/>
  <c r="S13" i="126"/>
  <c r="S15" i="126"/>
  <c r="S17" i="126"/>
  <c r="S19" i="126"/>
  <c r="S21" i="126"/>
  <c r="S23" i="126"/>
  <c r="S25" i="126"/>
  <c r="S27" i="126"/>
  <c r="S29" i="126"/>
  <c r="S31" i="126"/>
  <c r="S33" i="126"/>
  <c r="S35" i="126"/>
  <c r="S37" i="126"/>
  <c r="S39" i="126"/>
  <c r="S41" i="126"/>
  <c r="S43" i="126"/>
  <c r="S45" i="126"/>
  <c r="S47" i="126"/>
  <c r="S49" i="126"/>
  <c r="S51" i="126"/>
  <c r="S53" i="126"/>
  <c r="S3" i="126"/>
  <c r="Q5" i="126"/>
  <c r="Q7" i="126"/>
  <c r="Q9" i="126"/>
  <c r="Q11" i="126"/>
  <c r="Q13" i="126"/>
  <c r="Q15" i="126"/>
  <c r="Q17" i="126"/>
  <c r="Q19" i="126"/>
  <c r="Q21" i="126"/>
  <c r="Q23" i="126"/>
  <c r="Q25" i="126"/>
  <c r="Q27" i="126"/>
  <c r="Q29" i="126"/>
  <c r="Q31" i="126"/>
  <c r="Q33" i="126"/>
  <c r="Q35" i="126"/>
  <c r="Q37" i="126"/>
  <c r="Q39" i="126"/>
  <c r="Q41" i="126"/>
  <c r="Q43" i="126"/>
  <c r="Q45" i="126"/>
  <c r="Q47" i="126"/>
  <c r="Q49" i="126"/>
  <c r="Q51" i="126"/>
  <c r="Q53" i="126"/>
  <c r="Q3" i="126"/>
  <c r="O495" i="5"/>
  <c r="O494" i="5"/>
  <c r="O493" i="5"/>
  <c r="O492" i="5"/>
  <c r="O491" i="5"/>
  <c r="O490" i="5"/>
  <c r="O489" i="5"/>
  <c r="O488" i="5"/>
  <c r="O487" i="5"/>
  <c r="O486" i="5"/>
  <c r="O485" i="5"/>
  <c r="O484" i="5"/>
  <c r="O483" i="5"/>
  <c r="O482" i="5"/>
  <c r="O481" i="5"/>
  <c r="O480" i="5"/>
  <c r="O479" i="5"/>
  <c r="O478" i="5"/>
  <c r="O477" i="5"/>
  <c r="O476" i="5"/>
  <c r="O475" i="5"/>
  <c r="O474" i="5"/>
  <c r="O473" i="5"/>
  <c r="O472" i="5"/>
  <c r="O471" i="5"/>
  <c r="O470" i="5"/>
  <c r="O469" i="5"/>
  <c r="O468" i="5"/>
  <c r="O467" i="5"/>
  <c r="O466" i="5"/>
  <c r="O465" i="5"/>
  <c r="O464" i="5"/>
  <c r="O463" i="5"/>
  <c r="O462" i="5"/>
  <c r="O461" i="5"/>
  <c r="O460" i="5"/>
  <c r="O459" i="5"/>
  <c r="O458" i="5"/>
  <c r="O457" i="5"/>
  <c r="O456" i="5"/>
  <c r="O455" i="5"/>
  <c r="O454" i="5"/>
  <c r="O453" i="5"/>
  <c r="O452" i="5"/>
  <c r="O451" i="5"/>
  <c r="O450" i="5"/>
  <c r="O449" i="5"/>
  <c r="O448" i="5"/>
  <c r="O447" i="5"/>
  <c r="O446" i="5"/>
  <c r="O445" i="5"/>
  <c r="O444" i="5"/>
  <c r="O443" i="5"/>
  <c r="O442" i="5"/>
  <c r="O441" i="5"/>
  <c r="O440" i="5"/>
  <c r="O439" i="5"/>
  <c r="O438" i="5"/>
  <c r="O437" i="5"/>
  <c r="O436" i="5"/>
  <c r="O435" i="5"/>
  <c r="O434" i="5"/>
  <c r="O433" i="5"/>
  <c r="O432" i="5"/>
  <c r="O431" i="5"/>
  <c r="O430" i="5"/>
  <c r="O429" i="5"/>
  <c r="O428" i="5"/>
  <c r="O427" i="5"/>
  <c r="O426" i="5"/>
  <c r="O425" i="5"/>
  <c r="O424" i="5"/>
  <c r="O423" i="5"/>
  <c r="O422" i="5"/>
  <c r="O421" i="5"/>
  <c r="O420" i="5"/>
  <c r="O419" i="5"/>
  <c r="O418" i="5"/>
  <c r="O417" i="5"/>
  <c r="O416" i="5"/>
  <c r="O415" i="5"/>
  <c r="O414" i="5"/>
  <c r="O409" i="5"/>
  <c r="O408" i="5"/>
  <c r="O407" i="5"/>
  <c r="O406" i="5"/>
  <c r="O405" i="5"/>
  <c r="O404" i="5"/>
  <c r="O403" i="5"/>
  <c r="O402" i="5"/>
  <c r="O401" i="5"/>
  <c r="O400" i="5"/>
  <c r="O399" i="5"/>
  <c r="O398" i="5"/>
  <c r="O397" i="5"/>
  <c r="O396" i="5"/>
  <c r="O395" i="5"/>
  <c r="O394" i="5"/>
  <c r="O392" i="5"/>
  <c r="O393" i="5"/>
  <c r="O391" i="5"/>
  <c r="O390" i="5"/>
  <c r="O389" i="5"/>
  <c r="O388" i="5"/>
  <c r="O387" i="5"/>
  <c r="O386" i="5"/>
  <c r="O385" i="5"/>
  <c r="O384" i="5"/>
  <c r="O383" i="5"/>
  <c r="O382" i="5"/>
  <c r="O381" i="5"/>
  <c r="O380" i="5"/>
  <c r="O379" i="5"/>
  <c r="O378" i="5"/>
  <c r="O377" i="5"/>
  <c r="O376" i="5"/>
  <c r="O375" i="5"/>
  <c r="O374" i="5"/>
  <c r="O373" i="5"/>
  <c r="O372" i="5"/>
  <c r="O371" i="5"/>
  <c r="O370" i="5"/>
  <c r="O369" i="5"/>
  <c r="O368" i="5"/>
  <c r="O367" i="5"/>
  <c r="O366" i="5"/>
  <c r="O365" i="5"/>
  <c r="O364" i="5"/>
  <c r="O363" i="5"/>
  <c r="O362" i="5"/>
  <c r="O361" i="5"/>
  <c r="O360" i="5"/>
  <c r="O359" i="5"/>
  <c r="O358" i="5"/>
  <c r="O357" i="5"/>
  <c r="O356" i="5"/>
  <c r="O355" i="5"/>
  <c r="O354" i="5"/>
  <c r="O353" i="5"/>
  <c r="O352" i="5"/>
  <c r="O351" i="5"/>
  <c r="O350" i="5"/>
  <c r="O349" i="5"/>
  <c r="O348" i="5"/>
  <c r="O347" i="5"/>
  <c r="O346" i="5"/>
  <c r="O345" i="5"/>
  <c r="O344" i="5"/>
  <c r="O343" i="5"/>
  <c r="O342" i="5"/>
  <c r="O341" i="5"/>
  <c r="O340" i="5"/>
  <c r="O339" i="5"/>
  <c r="O338" i="5"/>
  <c r="O337" i="5"/>
  <c r="O336" i="5"/>
  <c r="O335" i="5"/>
  <c r="O334" i="5"/>
  <c r="O333" i="5"/>
  <c r="O332" i="5"/>
  <c r="O331" i="5"/>
  <c r="O330" i="5"/>
  <c r="O329" i="5"/>
  <c r="O328" i="5"/>
  <c r="O327" i="5"/>
  <c r="O326" i="5"/>
  <c r="O325" i="5"/>
  <c r="O324" i="5"/>
  <c r="O323" i="5"/>
  <c r="O322" i="5"/>
  <c r="O321" i="5"/>
  <c r="O320" i="5"/>
  <c r="O319" i="5"/>
  <c r="O318" i="5"/>
  <c r="O317" i="5"/>
  <c r="O316" i="5"/>
  <c r="O315" i="5"/>
  <c r="O314" i="5"/>
  <c r="O313" i="5"/>
  <c r="O312" i="5"/>
  <c r="O311" i="5"/>
  <c r="O310" i="5"/>
  <c r="O309" i="5"/>
  <c r="O308" i="5"/>
  <c r="O307" i="5"/>
  <c r="O306" i="5"/>
  <c r="O305" i="5"/>
  <c r="O304" i="5"/>
  <c r="O303" i="5"/>
  <c r="O302" i="5"/>
  <c r="O301" i="5"/>
  <c r="O300" i="5"/>
  <c r="O299" i="5"/>
  <c r="O298" i="5"/>
  <c r="O297" i="5"/>
  <c r="O296" i="5"/>
  <c r="O295" i="5"/>
  <c r="O294" i="5"/>
  <c r="O293" i="5"/>
  <c r="O292" i="5"/>
  <c r="O291" i="5"/>
  <c r="O290" i="5"/>
  <c r="O289" i="5"/>
  <c r="O288" i="5"/>
  <c r="O287" i="5"/>
  <c r="O286" i="5"/>
  <c r="O285" i="5"/>
  <c r="O284" i="5"/>
  <c r="O283" i="5"/>
  <c r="O282" i="5"/>
  <c r="O281" i="5"/>
  <c r="O280" i="5"/>
  <c r="O279" i="5"/>
  <c r="O278" i="5"/>
  <c r="O277" i="5"/>
  <c r="O276" i="5"/>
  <c r="O275" i="5"/>
  <c r="O274" i="5"/>
  <c r="O273" i="5"/>
  <c r="O272" i="5"/>
  <c r="O271" i="5"/>
  <c r="O270" i="5"/>
  <c r="O269" i="5"/>
  <c r="O268" i="5"/>
  <c r="O267" i="5"/>
  <c r="O266" i="5"/>
  <c r="O265" i="5"/>
  <c r="O264" i="5"/>
  <c r="O263" i="5"/>
  <c r="O261" i="5"/>
  <c r="O260" i="5"/>
  <c r="O259" i="5"/>
  <c r="O258" i="5"/>
  <c r="O257" i="5"/>
  <c r="O256" i="5"/>
  <c r="O255" i="5"/>
  <c r="O254" i="5"/>
  <c r="O253" i="5"/>
  <c r="O252" i="5"/>
  <c r="O251" i="5"/>
  <c r="O250" i="5"/>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4" i="5"/>
  <c r="O29" i="5"/>
  <c r="O28" i="5"/>
  <c r="O27" i="5"/>
  <c r="O26" i="5"/>
  <c r="O25" i="5"/>
  <c r="O23" i="5"/>
  <c r="O22" i="5"/>
  <c r="O21" i="5"/>
  <c r="O20" i="5"/>
  <c r="O19" i="5"/>
  <c r="O18" i="5"/>
  <c r="O17" i="5"/>
  <c r="O16" i="5"/>
  <c r="O15" i="5"/>
  <c r="O14" i="5"/>
  <c r="O13" i="5"/>
  <c r="O12" i="5"/>
  <c r="O11" i="5"/>
  <c r="O9" i="5"/>
  <c r="O8" i="5"/>
  <c r="O7" i="5"/>
  <c r="O6" i="5"/>
  <c r="O5" i="5"/>
  <c r="O3" i="5"/>
  <c r="O4" i="5"/>
  <c r="O2" i="5"/>
  <c r="Q1" i="178"/>
  <c r="P1" i="178"/>
  <c r="Q1" i="176"/>
  <c r="P1" i="176"/>
  <c r="R1" i="166"/>
  <c r="Q1" i="166"/>
  <c r="S1" i="169"/>
  <c r="R1" i="169"/>
  <c r="Q1" i="150"/>
  <c r="P1" i="150"/>
  <c r="Q1" i="146"/>
  <c r="P1" i="146"/>
  <c r="Q1" i="149"/>
  <c r="P1" i="149"/>
  <c r="S1" i="145"/>
  <c r="R1" i="145"/>
  <c r="S1" i="143"/>
  <c r="R1" i="143"/>
  <c r="Q1" i="142"/>
  <c r="P1" i="142"/>
  <c r="S1" i="139"/>
  <c r="R1" i="139"/>
  <c r="S1" i="136"/>
  <c r="R1" i="136"/>
  <c r="S1" i="135"/>
  <c r="R1" i="135"/>
  <c r="S1" i="134"/>
  <c r="R1" i="134"/>
  <c r="S1" i="131"/>
  <c r="R1" i="131"/>
  <c r="S1" i="130"/>
  <c r="R1" i="130"/>
  <c r="S1" i="129"/>
  <c r="R1" i="129"/>
  <c r="S1" i="7"/>
  <c r="R1" i="7"/>
  <c r="Q1" i="175"/>
  <c r="P1" i="175"/>
  <c r="Q1" i="174"/>
  <c r="P1" i="174"/>
  <c r="S1" i="128"/>
  <c r="R1" i="128"/>
  <c r="S1" i="127"/>
  <c r="R1" i="127"/>
  <c r="S1" i="126"/>
  <c r="R1" i="126"/>
  <c r="Q1" i="5"/>
  <c r="P1" i="5"/>
  <c r="D50" i="1"/>
  <c r="D51" i="1"/>
  <c r="C11" i="8" l="1"/>
  <c r="G12" i="8" a="1"/>
  <c r="G10" i="8" a="1"/>
  <c r="G8" i="8" a="1"/>
  <c r="G9" i="8" a="1"/>
  <c r="G7" i="8" a="1"/>
  <c r="G12" i="8" l="1"/>
  <c r="G9" i="8"/>
  <c r="G8" i="8"/>
  <c r="G10" i="8"/>
  <c r="G7" i="8"/>
  <c r="H22" i="175" l="1"/>
  <c r="E22" i="175"/>
  <c r="H21" i="175"/>
  <c r="E21" i="175"/>
  <c r="A22" i="175"/>
  <c r="B21" i="175"/>
  <c r="A21" i="175"/>
  <c r="B20" i="178"/>
  <c r="B3" i="178"/>
  <c r="I3" i="178"/>
  <c r="J3" i="178"/>
  <c r="K3" i="178"/>
  <c r="O3" i="178"/>
  <c r="G7" i="166"/>
  <c r="G6" i="166"/>
  <c r="F7" i="166"/>
  <c r="F6" i="166"/>
  <c r="H7" i="166"/>
  <c r="E7" i="166"/>
  <c r="A7" i="166"/>
  <c r="H6" i="166"/>
  <c r="E6" i="166"/>
  <c r="B6" i="166"/>
  <c r="A6" i="166"/>
  <c r="G13" i="166"/>
  <c r="G12" i="166"/>
  <c r="D30" i="145"/>
  <c r="P31" i="145" s="1"/>
  <c r="D28" i="145"/>
  <c r="P29" i="145" s="1"/>
  <c r="C31" i="145"/>
  <c r="C29" i="145"/>
  <c r="B29" i="145"/>
  <c r="B30" i="145"/>
  <c r="B31" i="145"/>
  <c r="B28" i="145"/>
  <c r="O31" i="145"/>
  <c r="J31" i="145"/>
  <c r="G31" i="145"/>
  <c r="J30" i="145"/>
  <c r="G30" i="145"/>
  <c r="C30" i="145"/>
  <c r="O29" i="145"/>
  <c r="M25" i="178" s="1"/>
  <c r="J29" i="145"/>
  <c r="G29" i="145"/>
  <c r="J28" i="145"/>
  <c r="G28" i="145"/>
  <c r="C28" i="145"/>
  <c r="N31" i="145" a="1"/>
  <c r="N29" i="145" a="1"/>
  <c r="N29" i="145" l="1"/>
  <c r="L25" i="178" s="1"/>
  <c r="N31" i="145"/>
  <c r="C11" i="7"/>
  <c r="D10" i="7"/>
  <c r="P11" i="7" s="1"/>
  <c r="O11" i="7"/>
  <c r="J11" i="7"/>
  <c r="H11" i="7"/>
  <c r="G11" i="7"/>
  <c r="B11" i="7"/>
  <c r="J10" i="7"/>
  <c r="H10" i="7"/>
  <c r="G10" i="7"/>
  <c r="C10" i="7"/>
  <c r="B10" i="7"/>
  <c r="B19" i="175"/>
  <c r="B13" i="175"/>
  <c r="B7" i="175"/>
  <c r="D24" i="143"/>
  <c r="D23" i="143"/>
  <c r="D22" i="143"/>
  <c r="J28" i="143"/>
  <c r="H28" i="143"/>
  <c r="G28" i="143"/>
  <c r="C28" i="143"/>
  <c r="B28" i="143"/>
  <c r="J27" i="143"/>
  <c r="H27" i="143"/>
  <c r="G27" i="143"/>
  <c r="C27" i="143"/>
  <c r="B27" i="143"/>
  <c r="J24" i="143"/>
  <c r="H24" i="143"/>
  <c r="G24" i="143"/>
  <c r="C24" i="143"/>
  <c r="B24" i="143"/>
  <c r="J23" i="143"/>
  <c r="H23" i="143"/>
  <c r="G23" i="143"/>
  <c r="C23" i="143"/>
  <c r="B23" i="143"/>
  <c r="H19" i="143"/>
  <c r="H20" i="143"/>
  <c r="J20" i="143"/>
  <c r="G20" i="143"/>
  <c r="C20" i="143"/>
  <c r="B20" i="143"/>
  <c r="J19" i="143"/>
  <c r="G19" i="143"/>
  <c r="C19" i="143"/>
  <c r="B19" i="143"/>
  <c r="D12" i="143"/>
  <c r="D11" i="143"/>
  <c r="D10" i="143"/>
  <c r="J16" i="143"/>
  <c r="H16" i="143"/>
  <c r="G16" i="143"/>
  <c r="C16" i="143"/>
  <c r="B16" i="143"/>
  <c r="J15" i="143"/>
  <c r="H15" i="143"/>
  <c r="G15" i="143"/>
  <c r="C15" i="143"/>
  <c r="B15" i="143"/>
  <c r="J12" i="143"/>
  <c r="H12" i="143"/>
  <c r="G12" i="143"/>
  <c r="C12" i="143"/>
  <c r="B12" i="143"/>
  <c r="J11" i="143"/>
  <c r="H11" i="143"/>
  <c r="G11" i="143"/>
  <c r="C11" i="143"/>
  <c r="B11" i="143"/>
  <c r="D8" i="143"/>
  <c r="D7" i="143"/>
  <c r="D6" i="143"/>
  <c r="H7" i="143"/>
  <c r="H8" i="143"/>
  <c r="J8" i="143"/>
  <c r="G8" i="143"/>
  <c r="C8" i="143"/>
  <c r="B8" i="143"/>
  <c r="J7" i="143"/>
  <c r="G7" i="143"/>
  <c r="C7" i="143"/>
  <c r="B7" i="143"/>
  <c r="D4" i="143"/>
  <c r="D3" i="143"/>
  <c r="D2" i="143"/>
  <c r="B4" i="143"/>
  <c r="C3" i="143"/>
  <c r="J4" i="143"/>
  <c r="G4" i="143"/>
  <c r="C4" i="143"/>
  <c r="J3" i="143"/>
  <c r="G3" i="143"/>
  <c r="B3" i="143"/>
  <c r="D12" i="131"/>
  <c r="D11" i="131"/>
  <c r="D8" i="131"/>
  <c r="D7" i="131"/>
  <c r="D6" i="131"/>
  <c r="J12" i="131"/>
  <c r="H12" i="131"/>
  <c r="G12" i="131"/>
  <c r="C12" i="131"/>
  <c r="B12" i="131"/>
  <c r="J11" i="131"/>
  <c r="H11" i="131"/>
  <c r="G11" i="131"/>
  <c r="C11" i="131"/>
  <c r="B11" i="131"/>
  <c r="J8" i="131"/>
  <c r="H8" i="131"/>
  <c r="G8" i="131"/>
  <c r="C8" i="131"/>
  <c r="B8" i="131"/>
  <c r="J7" i="131"/>
  <c r="H7" i="131"/>
  <c r="G7" i="131"/>
  <c r="C7" i="131"/>
  <c r="B7" i="131"/>
  <c r="D4" i="131"/>
  <c r="D3" i="131"/>
  <c r="D2" i="131"/>
  <c r="D10" i="131" s="1"/>
  <c r="H3" i="131"/>
  <c r="H4" i="131"/>
  <c r="J4" i="131"/>
  <c r="G4" i="131"/>
  <c r="C4" i="131"/>
  <c r="B4" i="131"/>
  <c r="J3" i="131"/>
  <c r="G3" i="131"/>
  <c r="C3" i="131"/>
  <c r="B3" i="131"/>
  <c r="D20" i="130"/>
  <c r="D19" i="130"/>
  <c r="D18" i="130"/>
  <c r="D16" i="130"/>
  <c r="D15" i="130"/>
  <c r="D14" i="130"/>
  <c r="D12" i="130"/>
  <c r="D11" i="130"/>
  <c r="D10" i="130"/>
  <c r="J20" i="130"/>
  <c r="H20" i="130"/>
  <c r="G20" i="130"/>
  <c r="C20" i="130"/>
  <c r="B20" i="130"/>
  <c r="J19" i="130"/>
  <c r="H19" i="130"/>
  <c r="G19" i="130"/>
  <c r="C19" i="130"/>
  <c r="B19" i="130"/>
  <c r="J16" i="130"/>
  <c r="H16" i="130"/>
  <c r="G16" i="130"/>
  <c r="C16" i="130"/>
  <c r="B16" i="130"/>
  <c r="J15" i="130"/>
  <c r="H15" i="130"/>
  <c r="G15" i="130"/>
  <c r="C15" i="130"/>
  <c r="B15" i="130"/>
  <c r="J12" i="130"/>
  <c r="H12" i="130"/>
  <c r="G12" i="130"/>
  <c r="C12" i="130"/>
  <c r="B12" i="130"/>
  <c r="J11" i="130"/>
  <c r="H11" i="130"/>
  <c r="G11" i="130"/>
  <c r="C11" i="130"/>
  <c r="B11" i="130"/>
  <c r="D8" i="130"/>
  <c r="D7" i="130"/>
  <c r="D6" i="130"/>
  <c r="B8" i="130"/>
  <c r="C7" i="130"/>
  <c r="B4" i="130"/>
  <c r="C3" i="130"/>
  <c r="J8" i="130"/>
  <c r="H8" i="130"/>
  <c r="G8" i="130"/>
  <c r="C8" i="130"/>
  <c r="J7" i="130"/>
  <c r="H7" i="130"/>
  <c r="G7" i="130"/>
  <c r="B7" i="130"/>
  <c r="D4" i="130"/>
  <c r="D3" i="130"/>
  <c r="D2" i="130"/>
  <c r="J4" i="130"/>
  <c r="H4" i="130"/>
  <c r="G4" i="130"/>
  <c r="C4" i="130"/>
  <c r="J3" i="130"/>
  <c r="H3" i="130"/>
  <c r="G3" i="130"/>
  <c r="B3" i="130"/>
  <c r="D35" i="129"/>
  <c r="D34" i="129"/>
  <c r="D33" i="129"/>
  <c r="D31" i="129"/>
  <c r="D30" i="129"/>
  <c r="D29" i="129"/>
  <c r="D27" i="129"/>
  <c r="D26" i="129"/>
  <c r="D25" i="129"/>
  <c r="D18" i="129"/>
  <c r="D17" i="129"/>
  <c r="D16" i="129"/>
  <c r="J35" i="129"/>
  <c r="H35" i="129"/>
  <c r="G35" i="129"/>
  <c r="C35" i="129"/>
  <c r="B35" i="129"/>
  <c r="J34" i="129"/>
  <c r="H34" i="129"/>
  <c r="G34" i="129"/>
  <c r="C34" i="129"/>
  <c r="B34" i="129"/>
  <c r="J31" i="129"/>
  <c r="H31" i="129"/>
  <c r="G31" i="129"/>
  <c r="C31" i="129"/>
  <c r="B31" i="129"/>
  <c r="J30" i="129"/>
  <c r="H30" i="129"/>
  <c r="G30" i="129"/>
  <c r="C30" i="129"/>
  <c r="B30" i="129"/>
  <c r="J27" i="129"/>
  <c r="H27" i="129"/>
  <c r="G27" i="129"/>
  <c r="C27" i="129"/>
  <c r="B27" i="129"/>
  <c r="J26" i="129"/>
  <c r="H26" i="129"/>
  <c r="G26" i="129"/>
  <c r="C26" i="129"/>
  <c r="B26" i="129"/>
  <c r="J18" i="129"/>
  <c r="H18" i="129"/>
  <c r="G18" i="129"/>
  <c r="C18" i="129"/>
  <c r="B18" i="129"/>
  <c r="J17" i="129"/>
  <c r="H17" i="129"/>
  <c r="G17" i="129"/>
  <c r="C17" i="129"/>
  <c r="B17" i="129"/>
  <c r="D23" i="129"/>
  <c r="D22" i="129"/>
  <c r="D21" i="129"/>
  <c r="D14" i="129"/>
  <c r="D13" i="129"/>
  <c r="D12" i="129"/>
  <c r="J23" i="129"/>
  <c r="H23" i="129"/>
  <c r="G23" i="129"/>
  <c r="C23" i="129"/>
  <c r="B23" i="129"/>
  <c r="J22" i="129"/>
  <c r="H22" i="129"/>
  <c r="G22" i="129"/>
  <c r="C22" i="129"/>
  <c r="B22" i="129"/>
  <c r="J14" i="129"/>
  <c r="H14" i="129"/>
  <c r="G14" i="129"/>
  <c r="C14" i="129"/>
  <c r="B14" i="129"/>
  <c r="J13" i="129"/>
  <c r="H13" i="129"/>
  <c r="G13" i="129"/>
  <c r="C13" i="129"/>
  <c r="B13" i="129"/>
  <c r="H8" i="129"/>
  <c r="H9" i="129"/>
  <c r="D9" i="129"/>
  <c r="D8" i="129"/>
  <c r="D7" i="129"/>
  <c r="J9" i="129"/>
  <c r="G9" i="129"/>
  <c r="C9" i="129"/>
  <c r="B9" i="129"/>
  <c r="J8" i="129"/>
  <c r="G8" i="129"/>
  <c r="C8" i="129"/>
  <c r="B8" i="129"/>
  <c r="J5" i="129"/>
  <c r="H5" i="129"/>
  <c r="G5" i="129"/>
  <c r="J4" i="129"/>
  <c r="H4" i="129"/>
  <c r="G4" i="129"/>
  <c r="C5" i="129"/>
  <c r="B5" i="129"/>
  <c r="C4" i="129"/>
  <c r="B4" i="129"/>
  <c r="D5" i="129"/>
  <c r="D4" i="129"/>
  <c r="D2" i="129"/>
  <c r="M495" i="5"/>
  <c r="H495" i="5"/>
  <c r="E495" i="5"/>
  <c r="N495" i="5"/>
  <c r="B495" i="5"/>
  <c r="A495" i="5"/>
  <c r="M494" i="5"/>
  <c r="H494" i="5"/>
  <c r="E494" i="5"/>
  <c r="N494" i="5"/>
  <c r="B494" i="5"/>
  <c r="A494" i="5"/>
  <c r="M493" i="5"/>
  <c r="H493" i="5"/>
  <c r="E493" i="5"/>
  <c r="N493" i="5" s="1"/>
  <c r="B493" i="5"/>
  <c r="A493" i="5"/>
  <c r="M492" i="5"/>
  <c r="H492" i="5"/>
  <c r="E492" i="5"/>
  <c r="N492" i="5" s="1"/>
  <c r="B492" i="5"/>
  <c r="A492" i="5"/>
  <c r="M491" i="5"/>
  <c r="H491" i="5"/>
  <c r="E491" i="5"/>
  <c r="N491" i="5"/>
  <c r="B491" i="5"/>
  <c r="A491" i="5"/>
  <c r="M490" i="5"/>
  <c r="H490" i="5"/>
  <c r="E490" i="5"/>
  <c r="N490" i="5"/>
  <c r="B490" i="5"/>
  <c r="A490" i="5"/>
  <c r="M489" i="5"/>
  <c r="H489" i="5"/>
  <c r="E489" i="5"/>
  <c r="N489" i="5"/>
  <c r="B489" i="5"/>
  <c r="A489" i="5"/>
  <c r="M488" i="5"/>
  <c r="H488" i="5"/>
  <c r="E488" i="5"/>
  <c r="N488" i="5" s="1"/>
  <c r="B488" i="5"/>
  <c r="A488" i="5"/>
  <c r="M487" i="5"/>
  <c r="H487" i="5"/>
  <c r="E487" i="5"/>
  <c r="N487" i="5"/>
  <c r="B487" i="5"/>
  <c r="A487" i="5"/>
  <c r="M486" i="5"/>
  <c r="H486" i="5"/>
  <c r="E486" i="5"/>
  <c r="N486" i="5"/>
  <c r="B486" i="5"/>
  <c r="A486" i="5"/>
  <c r="C485" i="5"/>
  <c r="C484" i="5"/>
  <c r="N484" i="5" s="1"/>
  <c r="C483" i="5"/>
  <c r="C482" i="5"/>
  <c r="N482" i="5" s="1"/>
  <c r="C481" i="5"/>
  <c r="C480" i="5"/>
  <c r="N480" i="5" s="1"/>
  <c r="F481" i="5"/>
  <c r="F482" i="5"/>
  <c r="F483" i="5"/>
  <c r="F484" i="5"/>
  <c r="F485" i="5"/>
  <c r="F480" i="5"/>
  <c r="M485" i="5"/>
  <c r="H485" i="5"/>
  <c r="G485" i="5"/>
  <c r="E485" i="5"/>
  <c r="N485" i="5" s="1"/>
  <c r="B485" i="5"/>
  <c r="A485" i="5"/>
  <c r="M484" i="5"/>
  <c r="H484" i="5"/>
  <c r="G484" i="5"/>
  <c r="E484" i="5"/>
  <c r="B484" i="5"/>
  <c r="A484" i="5"/>
  <c r="M483" i="5"/>
  <c r="H483" i="5"/>
  <c r="G483" i="5"/>
  <c r="E483" i="5"/>
  <c r="N483" i="5"/>
  <c r="B483" i="5"/>
  <c r="A483" i="5"/>
  <c r="M482" i="5"/>
  <c r="H482" i="5"/>
  <c r="G482" i="5"/>
  <c r="E482" i="5"/>
  <c r="B482" i="5"/>
  <c r="A482" i="5"/>
  <c r="M481" i="5"/>
  <c r="H481" i="5"/>
  <c r="G481" i="5"/>
  <c r="E481" i="5"/>
  <c r="N481" i="5"/>
  <c r="B481" i="5"/>
  <c r="A481" i="5"/>
  <c r="M480" i="5"/>
  <c r="H480" i="5"/>
  <c r="G480" i="5"/>
  <c r="E480" i="5"/>
  <c r="B480" i="5"/>
  <c r="A480" i="5"/>
  <c r="N477" i="5"/>
  <c r="C477" i="5"/>
  <c r="C476" i="5"/>
  <c r="N476" i="5" s="1"/>
  <c r="C479" i="5"/>
  <c r="C478" i="5"/>
  <c r="N478" i="5" s="1"/>
  <c r="C475" i="5"/>
  <c r="C474" i="5"/>
  <c r="N474" i="5" s="1"/>
  <c r="F474" i="5"/>
  <c r="F475" i="5"/>
  <c r="F476" i="5"/>
  <c r="F477" i="5"/>
  <c r="F478" i="5"/>
  <c r="F479" i="5"/>
  <c r="M479" i="5"/>
  <c r="H479" i="5"/>
  <c r="G479" i="5"/>
  <c r="E479" i="5"/>
  <c r="N479" i="5" s="1"/>
  <c r="B479" i="5"/>
  <c r="A479" i="5"/>
  <c r="M478" i="5"/>
  <c r="H478" i="5"/>
  <c r="G478" i="5"/>
  <c r="E478" i="5"/>
  <c r="B478" i="5"/>
  <c r="A478" i="5"/>
  <c r="M477" i="5"/>
  <c r="H477" i="5"/>
  <c r="G477" i="5"/>
  <c r="E477" i="5"/>
  <c r="B477" i="5"/>
  <c r="A477" i="5"/>
  <c r="M476" i="5"/>
  <c r="H476" i="5"/>
  <c r="G476" i="5"/>
  <c r="E476" i="5"/>
  <c r="B476" i="5"/>
  <c r="A476" i="5"/>
  <c r="M475" i="5"/>
  <c r="H475" i="5"/>
  <c r="G475" i="5"/>
  <c r="E475" i="5"/>
  <c r="N475" i="5" s="1"/>
  <c r="B475" i="5"/>
  <c r="A475" i="5"/>
  <c r="M474" i="5"/>
  <c r="H474" i="5"/>
  <c r="G474" i="5"/>
  <c r="E474" i="5"/>
  <c r="B474" i="5"/>
  <c r="A474" i="5"/>
  <c r="C473" i="5"/>
  <c r="C472" i="5"/>
  <c r="N472" i="5" s="1"/>
  <c r="C471" i="5"/>
  <c r="C470" i="5"/>
  <c r="N470" i="5" s="1"/>
  <c r="C469" i="5"/>
  <c r="C468" i="5"/>
  <c r="C467" i="5"/>
  <c r="C466" i="5"/>
  <c r="N466" i="5" s="1"/>
  <c r="C465" i="5"/>
  <c r="C464" i="5"/>
  <c r="N464" i="5" s="1"/>
  <c r="C463" i="5"/>
  <c r="C462" i="5"/>
  <c r="F463" i="5"/>
  <c r="F464" i="5"/>
  <c r="F465" i="5"/>
  <c r="F466" i="5"/>
  <c r="F467" i="5"/>
  <c r="F468" i="5"/>
  <c r="F469" i="5"/>
  <c r="F470" i="5"/>
  <c r="F471" i="5"/>
  <c r="F472" i="5"/>
  <c r="F473" i="5"/>
  <c r="F462" i="5"/>
  <c r="M473" i="5"/>
  <c r="H473" i="5"/>
  <c r="G473" i="5"/>
  <c r="E473" i="5"/>
  <c r="N473" i="5" s="1"/>
  <c r="B473" i="5"/>
  <c r="A473" i="5"/>
  <c r="M472" i="5"/>
  <c r="H472" i="5"/>
  <c r="G472" i="5"/>
  <c r="E472" i="5"/>
  <c r="B472" i="5"/>
  <c r="A472" i="5"/>
  <c r="M471" i="5"/>
  <c r="H471" i="5"/>
  <c r="G471" i="5"/>
  <c r="E471" i="5"/>
  <c r="N471" i="5" s="1"/>
  <c r="B471" i="5"/>
  <c r="A471" i="5"/>
  <c r="M470" i="5"/>
  <c r="H470" i="5"/>
  <c r="G470" i="5"/>
  <c r="E470" i="5"/>
  <c r="B470" i="5"/>
  <c r="A470" i="5"/>
  <c r="M469" i="5"/>
  <c r="H469" i="5"/>
  <c r="G469" i="5"/>
  <c r="E469" i="5"/>
  <c r="B469" i="5"/>
  <c r="A469" i="5"/>
  <c r="M468" i="5"/>
  <c r="H468" i="5"/>
  <c r="G468" i="5"/>
  <c r="E468" i="5"/>
  <c r="B468" i="5"/>
  <c r="A468" i="5"/>
  <c r="M467" i="5"/>
  <c r="H467" i="5"/>
  <c r="G467" i="5"/>
  <c r="E467" i="5"/>
  <c r="B467" i="5"/>
  <c r="A467" i="5"/>
  <c r="M466" i="5"/>
  <c r="H466" i="5"/>
  <c r="G466" i="5"/>
  <c r="E466" i="5"/>
  <c r="B466" i="5"/>
  <c r="A466" i="5"/>
  <c r="M465" i="5"/>
  <c r="H465" i="5"/>
  <c r="G465" i="5"/>
  <c r="E465" i="5"/>
  <c r="N465" i="5" s="1"/>
  <c r="B465" i="5"/>
  <c r="A465" i="5"/>
  <c r="M464" i="5"/>
  <c r="H464" i="5"/>
  <c r="G464" i="5"/>
  <c r="E464" i="5"/>
  <c r="B464" i="5"/>
  <c r="A464" i="5"/>
  <c r="M463" i="5"/>
  <c r="H463" i="5"/>
  <c r="G463" i="5"/>
  <c r="E463" i="5"/>
  <c r="N463" i="5" s="1"/>
  <c r="B463" i="5"/>
  <c r="A463" i="5"/>
  <c r="M462" i="5"/>
  <c r="H462" i="5"/>
  <c r="G462" i="5"/>
  <c r="E462" i="5"/>
  <c r="B462" i="5"/>
  <c r="A462" i="5"/>
  <c r="C461" i="5"/>
  <c r="C460" i="5"/>
  <c r="C459" i="5"/>
  <c r="C458" i="5"/>
  <c r="C457" i="5"/>
  <c r="C456" i="5"/>
  <c r="N456" i="5" s="1"/>
  <c r="C455" i="5"/>
  <c r="C454" i="5"/>
  <c r="C453" i="5"/>
  <c r="C452" i="5"/>
  <c r="N452" i="5" s="1"/>
  <c r="C451" i="5"/>
  <c r="C450" i="5"/>
  <c r="A457" i="5"/>
  <c r="A461" i="5"/>
  <c r="B460" i="5"/>
  <c r="B456" i="5"/>
  <c r="A453" i="5"/>
  <c r="B452" i="5"/>
  <c r="F451" i="5"/>
  <c r="F452" i="5"/>
  <c r="F453" i="5"/>
  <c r="F454" i="5"/>
  <c r="F455" i="5"/>
  <c r="F456" i="5"/>
  <c r="F457" i="5"/>
  <c r="F458" i="5"/>
  <c r="F459" i="5"/>
  <c r="F460" i="5"/>
  <c r="F461" i="5"/>
  <c r="F450" i="5"/>
  <c r="M461" i="5"/>
  <c r="H461" i="5"/>
  <c r="G461" i="5"/>
  <c r="E461" i="5"/>
  <c r="B461" i="5"/>
  <c r="M460" i="5"/>
  <c r="H460" i="5"/>
  <c r="G460" i="5"/>
  <c r="E460" i="5"/>
  <c r="A460" i="5"/>
  <c r="M459" i="5"/>
  <c r="H459" i="5"/>
  <c r="G459" i="5"/>
  <c r="E459" i="5"/>
  <c r="B459" i="5"/>
  <c r="A459" i="5"/>
  <c r="M458" i="5"/>
  <c r="H458" i="5"/>
  <c r="G458" i="5"/>
  <c r="E458" i="5"/>
  <c r="N458" i="5" s="1"/>
  <c r="B458" i="5"/>
  <c r="A458" i="5"/>
  <c r="M457" i="5"/>
  <c r="H457" i="5"/>
  <c r="G457" i="5"/>
  <c r="E457" i="5"/>
  <c r="B457" i="5"/>
  <c r="M456" i="5"/>
  <c r="H456" i="5"/>
  <c r="G456" i="5"/>
  <c r="E456" i="5"/>
  <c r="A456" i="5"/>
  <c r="M455" i="5"/>
  <c r="H455" i="5"/>
  <c r="G455" i="5"/>
  <c r="E455" i="5"/>
  <c r="B455" i="5"/>
  <c r="A455" i="5"/>
  <c r="M454" i="5"/>
  <c r="H454" i="5"/>
  <c r="G454" i="5"/>
  <c r="E454" i="5"/>
  <c r="B454" i="5"/>
  <c r="A454" i="5"/>
  <c r="M453" i="5"/>
  <c r="H453" i="5"/>
  <c r="G453" i="5"/>
  <c r="E453" i="5"/>
  <c r="B453" i="5"/>
  <c r="M452" i="5"/>
  <c r="H452" i="5"/>
  <c r="G452" i="5"/>
  <c r="E452" i="5"/>
  <c r="A452" i="5"/>
  <c r="M451" i="5"/>
  <c r="H451" i="5"/>
  <c r="G451" i="5"/>
  <c r="E451" i="5"/>
  <c r="N451" i="5" s="1"/>
  <c r="B451" i="5"/>
  <c r="A451" i="5"/>
  <c r="M450" i="5"/>
  <c r="H450" i="5"/>
  <c r="G450" i="5"/>
  <c r="E450" i="5"/>
  <c r="N450" i="5" s="1"/>
  <c r="B450" i="5"/>
  <c r="A450" i="5"/>
  <c r="N445" i="5"/>
  <c r="C449" i="5"/>
  <c r="C448" i="5"/>
  <c r="C447" i="5"/>
  <c r="C446" i="5"/>
  <c r="C445" i="5"/>
  <c r="C444" i="5"/>
  <c r="C443" i="5"/>
  <c r="C442" i="5"/>
  <c r="N442" i="5" s="1"/>
  <c r="C441" i="5"/>
  <c r="C440" i="5"/>
  <c r="C439" i="5"/>
  <c r="C438" i="5"/>
  <c r="C437" i="5"/>
  <c r="C436" i="5"/>
  <c r="C435" i="5"/>
  <c r="C434" i="5"/>
  <c r="C433" i="5"/>
  <c r="C432" i="5"/>
  <c r="A447" i="5"/>
  <c r="B446" i="5"/>
  <c r="A441" i="5"/>
  <c r="B440" i="5"/>
  <c r="A435" i="5"/>
  <c r="B434" i="5"/>
  <c r="F433" i="5"/>
  <c r="F434" i="5"/>
  <c r="F435" i="5"/>
  <c r="F436" i="5"/>
  <c r="F437" i="5"/>
  <c r="F438" i="5"/>
  <c r="F439" i="5"/>
  <c r="F440" i="5"/>
  <c r="F441" i="5"/>
  <c r="F442" i="5"/>
  <c r="F443" i="5"/>
  <c r="F444" i="5"/>
  <c r="F445" i="5"/>
  <c r="F446" i="5"/>
  <c r="F447" i="5"/>
  <c r="F448" i="5"/>
  <c r="F449" i="5"/>
  <c r="F432" i="5"/>
  <c r="M449" i="5"/>
  <c r="H449" i="5"/>
  <c r="G449" i="5"/>
  <c r="E449" i="5"/>
  <c r="B449" i="5"/>
  <c r="A449" i="5"/>
  <c r="M448" i="5"/>
  <c r="H448" i="5"/>
  <c r="G448" i="5"/>
  <c r="E448" i="5"/>
  <c r="B448" i="5"/>
  <c r="A448" i="5"/>
  <c r="M447" i="5"/>
  <c r="H447" i="5"/>
  <c r="G447" i="5"/>
  <c r="E447" i="5"/>
  <c r="B447" i="5"/>
  <c r="M446" i="5"/>
  <c r="H446" i="5"/>
  <c r="G446" i="5"/>
  <c r="E446" i="5"/>
  <c r="A446" i="5"/>
  <c r="M445" i="5"/>
  <c r="H445" i="5"/>
  <c r="G445" i="5"/>
  <c r="E445" i="5"/>
  <c r="B445" i="5"/>
  <c r="A445" i="5"/>
  <c r="M444" i="5"/>
  <c r="H444" i="5"/>
  <c r="G444" i="5"/>
  <c r="E444" i="5"/>
  <c r="B444" i="5"/>
  <c r="A444" i="5"/>
  <c r="M443" i="5"/>
  <c r="H443" i="5"/>
  <c r="G443" i="5"/>
  <c r="E443" i="5"/>
  <c r="B443" i="5"/>
  <c r="A443" i="5"/>
  <c r="M442" i="5"/>
  <c r="H442" i="5"/>
  <c r="G442" i="5"/>
  <c r="E442" i="5"/>
  <c r="B442" i="5"/>
  <c r="A442" i="5"/>
  <c r="M441" i="5"/>
  <c r="H441" i="5"/>
  <c r="G441" i="5"/>
  <c r="E441" i="5"/>
  <c r="B441" i="5"/>
  <c r="M440" i="5"/>
  <c r="H440" i="5"/>
  <c r="G440" i="5"/>
  <c r="E440" i="5"/>
  <c r="A440" i="5"/>
  <c r="M439" i="5"/>
  <c r="H439" i="5"/>
  <c r="G439" i="5"/>
  <c r="E439" i="5"/>
  <c r="B439" i="5"/>
  <c r="A439" i="5"/>
  <c r="M438" i="5"/>
  <c r="H438" i="5"/>
  <c r="G438" i="5"/>
  <c r="E438" i="5"/>
  <c r="B438" i="5"/>
  <c r="A438" i="5"/>
  <c r="M437" i="5"/>
  <c r="H437" i="5"/>
  <c r="G437" i="5"/>
  <c r="E437" i="5"/>
  <c r="B437" i="5"/>
  <c r="A437" i="5"/>
  <c r="M436" i="5"/>
  <c r="H436" i="5"/>
  <c r="G436" i="5"/>
  <c r="E436" i="5"/>
  <c r="N436" i="5" s="1"/>
  <c r="B436" i="5"/>
  <c r="A436" i="5"/>
  <c r="M435" i="5"/>
  <c r="H435" i="5"/>
  <c r="G435" i="5"/>
  <c r="E435" i="5"/>
  <c r="B435" i="5"/>
  <c r="M434" i="5"/>
  <c r="H434" i="5"/>
  <c r="G434" i="5"/>
  <c r="E434" i="5"/>
  <c r="A434" i="5"/>
  <c r="M433" i="5"/>
  <c r="H433" i="5"/>
  <c r="G433" i="5"/>
  <c r="E433" i="5"/>
  <c r="B433" i="5"/>
  <c r="A433" i="5"/>
  <c r="M432" i="5"/>
  <c r="H432" i="5"/>
  <c r="G432" i="5"/>
  <c r="E432" i="5"/>
  <c r="B432" i="5"/>
  <c r="A432" i="5"/>
  <c r="M415" i="5"/>
  <c r="M416" i="5"/>
  <c r="M417" i="5"/>
  <c r="M418" i="5"/>
  <c r="M419" i="5"/>
  <c r="M420" i="5"/>
  <c r="M421" i="5"/>
  <c r="M422" i="5"/>
  <c r="M423" i="5"/>
  <c r="M424" i="5"/>
  <c r="M425" i="5"/>
  <c r="M426" i="5"/>
  <c r="M427" i="5"/>
  <c r="M428" i="5"/>
  <c r="M429" i="5"/>
  <c r="M430" i="5"/>
  <c r="M431" i="5"/>
  <c r="M414" i="5"/>
  <c r="H414" i="5"/>
  <c r="H415" i="5"/>
  <c r="H416" i="5"/>
  <c r="H417" i="5"/>
  <c r="H418" i="5"/>
  <c r="H419" i="5"/>
  <c r="H420" i="5"/>
  <c r="H421" i="5"/>
  <c r="H422" i="5"/>
  <c r="H423" i="5"/>
  <c r="H424" i="5"/>
  <c r="H425" i="5"/>
  <c r="H426" i="5"/>
  <c r="H427" i="5"/>
  <c r="H428" i="5"/>
  <c r="H429" i="5"/>
  <c r="H430" i="5"/>
  <c r="H431" i="5"/>
  <c r="F415" i="5"/>
  <c r="F416" i="5"/>
  <c r="F417" i="5"/>
  <c r="F418" i="5"/>
  <c r="F419" i="5"/>
  <c r="F420" i="5"/>
  <c r="F421" i="5"/>
  <c r="F422" i="5"/>
  <c r="F423" i="5"/>
  <c r="F424" i="5"/>
  <c r="F425" i="5"/>
  <c r="F426" i="5"/>
  <c r="F427" i="5"/>
  <c r="F428" i="5"/>
  <c r="F429" i="5"/>
  <c r="F430" i="5"/>
  <c r="F431" i="5"/>
  <c r="F414" i="5"/>
  <c r="G421" i="5"/>
  <c r="G422" i="5"/>
  <c r="G423" i="5"/>
  <c r="G424" i="5"/>
  <c r="G425" i="5"/>
  <c r="G420" i="5"/>
  <c r="G415" i="5"/>
  <c r="G416" i="5"/>
  <c r="G417" i="5"/>
  <c r="G418" i="5"/>
  <c r="G419" i="5"/>
  <c r="G414" i="5"/>
  <c r="G431" i="5"/>
  <c r="G430" i="5"/>
  <c r="G429" i="5"/>
  <c r="G428" i="5"/>
  <c r="G427" i="5"/>
  <c r="G426" i="5"/>
  <c r="E414" i="5"/>
  <c r="E415" i="5"/>
  <c r="E416" i="5"/>
  <c r="E417" i="5"/>
  <c r="E418" i="5"/>
  <c r="E419" i="5"/>
  <c r="E420" i="5"/>
  <c r="E421" i="5"/>
  <c r="E422" i="5"/>
  <c r="E423" i="5"/>
  <c r="E424" i="5"/>
  <c r="E425" i="5"/>
  <c r="E426" i="5"/>
  <c r="E427" i="5"/>
  <c r="E428" i="5"/>
  <c r="E429" i="5"/>
  <c r="E430" i="5"/>
  <c r="E431" i="5"/>
  <c r="B431" i="5"/>
  <c r="A431" i="5"/>
  <c r="B430" i="5"/>
  <c r="A430" i="5"/>
  <c r="B429" i="5"/>
  <c r="A429" i="5"/>
  <c r="B428" i="5"/>
  <c r="A428" i="5"/>
  <c r="B427" i="5"/>
  <c r="A427" i="5"/>
  <c r="B426" i="5"/>
  <c r="A426" i="5"/>
  <c r="B425" i="5"/>
  <c r="A425" i="5"/>
  <c r="B424" i="5"/>
  <c r="A424" i="5"/>
  <c r="B423" i="5"/>
  <c r="A423" i="5"/>
  <c r="B422" i="5"/>
  <c r="A422" i="5"/>
  <c r="B421" i="5"/>
  <c r="A421" i="5"/>
  <c r="B420" i="5"/>
  <c r="A420" i="5"/>
  <c r="C431" i="5"/>
  <c r="C430" i="5"/>
  <c r="C429" i="5"/>
  <c r="C428" i="5"/>
  <c r="C427" i="5"/>
  <c r="N427" i="5" s="1"/>
  <c r="C426" i="5"/>
  <c r="N426" i="5" s="1"/>
  <c r="C425" i="5"/>
  <c r="C424" i="5"/>
  <c r="C423" i="5"/>
  <c r="C422" i="5"/>
  <c r="C421" i="5"/>
  <c r="C420" i="5"/>
  <c r="C419" i="5"/>
  <c r="N419" i="5" s="1"/>
  <c r="C418" i="5"/>
  <c r="C417" i="5"/>
  <c r="C416" i="5"/>
  <c r="C415" i="5"/>
  <c r="C414" i="5"/>
  <c r="A419" i="5"/>
  <c r="B418" i="5"/>
  <c r="A417" i="5"/>
  <c r="B416" i="5"/>
  <c r="B419" i="5"/>
  <c r="A418" i="5"/>
  <c r="B417" i="5"/>
  <c r="A416" i="5"/>
  <c r="A415" i="5"/>
  <c r="B414" i="5"/>
  <c r="B415" i="5"/>
  <c r="A414" i="5"/>
  <c r="B413" i="5"/>
  <c r="B412" i="5"/>
  <c r="B411" i="5"/>
  <c r="A413" i="5"/>
  <c r="A412" i="5"/>
  <c r="A411" i="5"/>
  <c r="A410" i="5"/>
  <c r="A398" i="5"/>
  <c r="A396" i="5"/>
  <c r="B397" i="5"/>
  <c r="A383" i="5"/>
  <c r="A381" i="5"/>
  <c r="B382" i="5"/>
  <c r="A7" i="150"/>
  <c r="A6" i="150"/>
  <c r="B8" i="150"/>
  <c r="A7" i="67"/>
  <c r="A4" i="67"/>
  <c r="B6" i="67"/>
  <c r="B25" i="67"/>
  <c r="C57" i="146"/>
  <c r="C58" i="146"/>
  <c r="C59" i="146"/>
  <c r="C60" i="146"/>
  <c r="C61" i="146"/>
  <c r="C56" i="146"/>
  <c r="C39" i="146"/>
  <c r="C40" i="146"/>
  <c r="C41" i="146"/>
  <c r="C42" i="146"/>
  <c r="C43" i="146"/>
  <c r="C38" i="146"/>
  <c r="C33" i="146"/>
  <c r="C34" i="146"/>
  <c r="C35" i="146"/>
  <c r="C36" i="146"/>
  <c r="C37" i="146"/>
  <c r="C32" i="146"/>
  <c r="C27" i="146"/>
  <c r="C28" i="146"/>
  <c r="C29" i="146"/>
  <c r="C30" i="146"/>
  <c r="C31" i="146"/>
  <c r="C26" i="146"/>
  <c r="C21" i="146"/>
  <c r="C22" i="146"/>
  <c r="C23" i="146"/>
  <c r="C24" i="146"/>
  <c r="C25" i="146"/>
  <c r="C20" i="146"/>
  <c r="C15" i="146"/>
  <c r="C16" i="146"/>
  <c r="C17" i="146"/>
  <c r="C18" i="146"/>
  <c r="C19" i="146"/>
  <c r="C14" i="146"/>
  <c r="C9" i="146"/>
  <c r="C10" i="146"/>
  <c r="C11" i="146"/>
  <c r="C12" i="146"/>
  <c r="C13" i="146"/>
  <c r="C8" i="146"/>
  <c r="C3" i="146"/>
  <c r="C4" i="146"/>
  <c r="C5" i="146"/>
  <c r="C6" i="146"/>
  <c r="C7" i="146"/>
  <c r="C2" i="146"/>
  <c r="H199" i="146"/>
  <c r="E199" i="146"/>
  <c r="B199" i="146"/>
  <c r="A199" i="146"/>
  <c r="H198" i="146"/>
  <c r="E198" i="146"/>
  <c r="B198" i="146"/>
  <c r="A198" i="146"/>
  <c r="C193" i="146"/>
  <c r="C194" i="146"/>
  <c r="C195" i="146"/>
  <c r="C196" i="146"/>
  <c r="C197" i="146"/>
  <c r="C192" i="146"/>
  <c r="M197" i="146"/>
  <c r="M196" i="146"/>
  <c r="M195" i="146"/>
  <c r="M194" i="146"/>
  <c r="H194" i="146"/>
  <c r="H195" i="146"/>
  <c r="H196" i="146"/>
  <c r="H197" i="146"/>
  <c r="E194" i="146"/>
  <c r="F194" i="146"/>
  <c r="E195" i="146"/>
  <c r="F195" i="146"/>
  <c r="E196" i="146"/>
  <c r="F196" i="146"/>
  <c r="E197" i="146"/>
  <c r="F197" i="146"/>
  <c r="B197" i="146"/>
  <c r="A197" i="146"/>
  <c r="I197" i="146" s="1"/>
  <c r="N197" i="146" s="1"/>
  <c r="B196" i="146"/>
  <c r="I196" i="146" s="1"/>
  <c r="N196" i="146" s="1"/>
  <c r="A196" i="146"/>
  <c r="B195" i="146"/>
  <c r="A195" i="146"/>
  <c r="I195" i="146" s="1"/>
  <c r="B194" i="146"/>
  <c r="I194" i="146" s="1"/>
  <c r="N194" i="146" s="1"/>
  <c r="A194" i="146"/>
  <c r="G197" i="146"/>
  <c r="G196" i="146"/>
  <c r="G195" i="146"/>
  <c r="G194" i="146"/>
  <c r="G193" i="146"/>
  <c r="G192" i="146"/>
  <c r="F193" i="146"/>
  <c r="F192" i="146"/>
  <c r="A193" i="146"/>
  <c r="I193" i="146" s="1"/>
  <c r="N193" i="146" s="1"/>
  <c r="B192" i="146"/>
  <c r="I192" i="146" s="1"/>
  <c r="M193" i="146"/>
  <c r="H193" i="146"/>
  <c r="E193" i="146"/>
  <c r="B193" i="146"/>
  <c r="M192" i="146"/>
  <c r="H192" i="146"/>
  <c r="E192" i="146"/>
  <c r="A192" i="146"/>
  <c r="R71" i="57"/>
  <c r="S71" i="57"/>
  <c r="T71" i="57"/>
  <c r="U71" i="57"/>
  <c r="V71" i="57"/>
  <c r="Q71" i="57"/>
  <c r="R21" i="57"/>
  <c r="S21" i="57"/>
  <c r="T21" i="57"/>
  <c r="U21" i="57"/>
  <c r="V21" i="57"/>
  <c r="Q21" i="57"/>
  <c r="R14" i="57"/>
  <c r="S14" i="57"/>
  <c r="T14" i="57"/>
  <c r="U14" i="57"/>
  <c r="V14" i="57"/>
  <c r="Q14" i="57"/>
  <c r="R12" i="57"/>
  <c r="S12" i="57"/>
  <c r="T12" i="57"/>
  <c r="U12" i="57"/>
  <c r="V12" i="57"/>
  <c r="Q12" i="57"/>
  <c r="R10" i="57"/>
  <c r="S10" i="57"/>
  <c r="T10" i="57"/>
  <c r="U10" i="57"/>
  <c r="V10" i="57"/>
  <c r="Q10" i="57"/>
  <c r="Q8" i="57"/>
  <c r="R8" i="57"/>
  <c r="S8" i="57"/>
  <c r="T8" i="57"/>
  <c r="U8" i="57"/>
  <c r="V8" i="57"/>
  <c r="R4" i="57"/>
  <c r="S4" i="57"/>
  <c r="T4" i="57"/>
  <c r="U4" i="57"/>
  <c r="V4" i="57"/>
  <c r="Q4" i="57"/>
  <c r="Q5" i="57"/>
  <c r="R5" i="57"/>
  <c r="J23" i="130"/>
  <c r="J22" i="130"/>
  <c r="J21" i="130"/>
  <c r="J18" i="130"/>
  <c r="J17" i="130"/>
  <c r="J14" i="130"/>
  <c r="J13" i="130"/>
  <c r="J10" i="130"/>
  <c r="J9" i="130"/>
  <c r="J6" i="130"/>
  <c r="J5" i="130"/>
  <c r="J2" i="130"/>
  <c r="J1" i="130"/>
  <c r="L437" i="5" a="1"/>
  <c r="L429" i="5" a="1"/>
  <c r="L443" i="5" a="1"/>
  <c r="L447" i="5" a="1"/>
  <c r="L436" i="5" a="1"/>
  <c r="L479" i="5" a="1"/>
  <c r="L461" i="5" a="1"/>
  <c r="L418" i="5" a="1"/>
  <c r="L439" i="5" a="1"/>
  <c r="L456" i="5" a="1"/>
  <c r="L431" i="5" a="1"/>
  <c r="L484" i="5" a="1"/>
  <c r="L449" i="5" a="1"/>
  <c r="L487" i="5" a="1"/>
  <c r="L464" i="5" a="1"/>
  <c r="L440" i="5" a="1"/>
  <c r="L495" i="5" a="1"/>
  <c r="L465" i="5" a="1"/>
  <c r="L424" i="5" a="1"/>
  <c r="L414" i="5" a="1"/>
  <c r="L491" i="5" a="1"/>
  <c r="L448" i="5" a="1"/>
  <c r="L442" i="5" a="1"/>
  <c r="L419" i="5" a="1"/>
  <c r="L482" i="5" a="1"/>
  <c r="L438" i="5" a="1"/>
  <c r="L432" i="5" a="1"/>
  <c r="L425" i="5" a="1"/>
  <c r="L416" i="5" a="1"/>
  <c r="L195" i="146" a="1"/>
  <c r="L428" i="5" a="1"/>
  <c r="L422" i="5" a="1"/>
  <c r="L492" i="5" a="1"/>
  <c r="L430" i="5" a="1"/>
  <c r="L194" i="146" a="1"/>
  <c r="L426" i="5" a="1"/>
  <c r="L453" i="5" a="1"/>
  <c r="L467" i="5" a="1"/>
  <c r="L471" i="5" a="1"/>
  <c r="L454" i="5" a="1"/>
  <c r="L421" i="5" a="1"/>
  <c r="L420" i="5" a="1"/>
  <c r="L417" i="5" a="1"/>
  <c r="L485" i="5" a="1"/>
  <c r="L433" i="5" a="1"/>
  <c r="L489" i="5" a="1"/>
  <c r="L434" i="5" a="1"/>
  <c r="L463" i="5" a="1"/>
  <c r="L459" i="5" a="1"/>
  <c r="L196" i="146" a="1"/>
  <c r="L423" i="5" a="1"/>
  <c r="L451" i="5" a="1"/>
  <c r="N11" i="7" a="1"/>
  <c r="L478" i="5" a="1"/>
  <c r="L458" i="5" a="1"/>
  <c r="L469" i="5" a="1"/>
  <c r="L193" i="146" a="1"/>
  <c r="L488" i="5" a="1"/>
  <c r="L472" i="5" a="1"/>
  <c r="L473" i="5" a="1"/>
  <c r="L455" i="5" a="1"/>
  <c r="L460" i="5" a="1"/>
  <c r="L197" i="146" a="1"/>
  <c r="L441" i="5" a="1"/>
  <c r="L474" i="5" a="1"/>
  <c r="L494" i="5" a="1"/>
  <c r="L475" i="5" a="1"/>
  <c r="L481" i="5" a="1"/>
  <c r="L486" i="5" a="1"/>
  <c r="L444" i="5" a="1"/>
  <c r="L493" i="5" a="1"/>
  <c r="L192" i="146" a="1"/>
  <c r="L445" i="5" a="1"/>
  <c r="L415" i="5" a="1"/>
  <c r="L457" i="5" a="1"/>
  <c r="L435" i="5" a="1"/>
  <c r="L446" i="5" a="1"/>
  <c r="L480" i="5" a="1"/>
  <c r="L483" i="5" a="1"/>
  <c r="L470" i="5" a="1"/>
  <c r="L477" i="5" a="1"/>
  <c r="L450" i="5" a="1"/>
  <c r="L427" i="5" a="1"/>
  <c r="L476" i="5" a="1"/>
  <c r="L466" i="5" a="1"/>
  <c r="L468" i="5" a="1"/>
  <c r="L462" i="5" a="1"/>
  <c r="L452" i="5" a="1"/>
  <c r="L490" i="5" a="1"/>
  <c r="N195" i="146" l="1"/>
  <c r="D16" i="143"/>
  <c r="D15" i="143"/>
  <c r="D14" i="143"/>
  <c r="D19" i="143"/>
  <c r="D18" i="143"/>
  <c r="D28" i="143" s="1"/>
  <c r="D20" i="143"/>
  <c r="N420" i="5"/>
  <c r="N428" i="5"/>
  <c r="N414" i="5"/>
  <c r="N422" i="5"/>
  <c r="N430" i="5"/>
  <c r="N425" i="5"/>
  <c r="N417" i="5"/>
  <c r="N467" i="5"/>
  <c r="N468" i="5"/>
  <c r="N469" i="5"/>
  <c r="N462" i="5"/>
  <c r="N443" i="5"/>
  <c r="N453" i="5"/>
  <c r="N461" i="5"/>
  <c r="N11" i="7"/>
  <c r="L495" i="5"/>
  <c r="L494" i="5"/>
  <c r="L492" i="5"/>
  <c r="L493" i="5"/>
  <c r="L487" i="5"/>
  <c r="L490" i="5"/>
  <c r="L491" i="5"/>
  <c r="L486" i="5"/>
  <c r="L489" i="5"/>
  <c r="L488" i="5"/>
  <c r="L485" i="5"/>
  <c r="L481" i="5"/>
  <c r="L482" i="5"/>
  <c r="L480" i="5"/>
  <c r="L484" i="5"/>
  <c r="L483" i="5"/>
  <c r="N415" i="5"/>
  <c r="N423" i="5"/>
  <c r="N431" i="5"/>
  <c r="N444" i="5"/>
  <c r="N454" i="5"/>
  <c r="N460" i="5"/>
  <c r="N418" i="5"/>
  <c r="N457" i="5"/>
  <c r="N448" i="5"/>
  <c r="N455" i="5"/>
  <c r="N433" i="5"/>
  <c r="N441" i="5"/>
  <c r="N449" i="5"/>
  <c r="N459" i="5"/>
  <c r="L476" i="5"/>
  <c r="L475" i="5"/>
  <c r="L478" i="5"/>
  <c r="L477" i="5"/>
  <c r="L479" i="5"/>
  <c r="L474" i="5"/>
  <c r="N416" i="5"/>
  <c r="N438" i="5"/>
  <c r="N446" i="5"/>
  <c r="N421" i="5"/>
  <c r="N429" i="5"/>
  <c r="N439" i="5"/>
  <c r="N447" i="5"/>
  <c r="N424" i="5"/>
  <c r="N432" i="5"/>
  <c r="N440" i="5"/>
  <c r="L471" i="5"/>
  <c r="L466" i="5"/>
  <c r="L472" i="5"/>
  <c r="L463" i="5"/>
  <c r="L469" i="5"/>
  <c r="L468" i="5"/>
  <c r="L465" i="5"/>
  <c r="L470" i="5"/>
  <c r="L467" i="5"/>
  <c r="L473" i="5"/>
  <c r="L462" i="5"/>
  <c r="L464" i="5"/>
  <c r="N434" i="5"/>
  <c r="N435" i="5"/>
  <c r="N437" i="5"/>
  <c r="L459" i="5"/>
  <c r="L450" i="5"/>
  <c r="L456" i="5"/>
  <c r="L453" i="5"/>
  <c r="L451" i="5"/>
  <c r="L457" i="5"/>
  <c r="L458" i="5"/>
  <c r="L455" i="5"/>
  <c r="L461" i="5"/>
  <c r="L454" i="5"/>
  <c r="L460" i="5"/>
  <c r="L452" i="5"/>
  <c r="L432" i="5"/>
  <c r="L435" i="5"/>
  <c r="L443" i="5"/>
  <c r="L448" i="5"/>
  <c r="L438" i="5"/>
  <c r="L446" i="5"/>
  <c r="L437" i="5"/>
  <c r="L440" i="5"/>
  <c r="L433" i="5"/>
  <c r="L441" i="5"/>
  <c r="L449" i="5"/>
  <c r="L436" i="5"/>
  <c r="L444" i="5"/>
  <c r="L439" i="5"/>
  <c r="L447" i="5"/>
  <c r="L445" i="5"/>
  <c r="L434" i="5"/>
  <c r="L442" i="5"/>
  <c r="L430" i="5"/>
  <c r="L428" i="5"/>
  <c r="L426" i="5"/>
  <c r="L424" i="5"/>
  <c r="L422" i="5"/>
  <c r="L420" i="5"/>
  <c r="L418" i="5"/>
  <c r="L416" i="5"/>
  <c r="L431" i="5"/>
  <c r="L429" i="5"/>
  <c r="L427" i="5"/>
  <c r="L425" i="5"/>
  <c r="L423" i="5"/>
  <c r="L421" i="5"/>
  <c r="L419" i="5"/>
  <c r="L417" i="5"/>
  <c r="L415" i="5"/>
  <c r="L414" i="5"/>
  <c r="N192" i="146"/>
  <c r="L197" i="146"/>
  <c r="L196" i="146"/>
  <c r="L195" i="146"/>
  <c r="L194" i="146"/>
  <c r="L192" i="146"/>
  <c r="L193" i="146"/>
  <c r="D27" i="143" l="1"/>
  <c r="D26" i="143"/>
  <c r="A15" i="166"/>
  <c r="A12" i="166"/>
  <c r="A10" i="166"/>
  <c r="A9" i="166"/>
  <c r="A3" i="166"/>
  <c r="H413" i="5"/>
  <c r="E413" i="5"/>
  <c r="H412" i="5"/>
  <c r="E412" i="5"/>
  <c r="H411" i="5"/>
  <c r="E411" i="5"/>
  <c r="B410" i="5"/>
  <c r="E410" i="5"/>
  <c r="H410" i="5"/>
  <c r="C408" i="5"/>
  <c r="C407" i="5"/>
  <c r="N407" i="5" s="1"/>
  <c r="C405" i="5"/>
  <c r="C403" i="5"/>
  <c r="C399" i="5"/>
  <c r="C398" i="5"/>
  <c r="C395" i="5"/>
  <c r="F396" i="5"/>
  <c r="F397" i="5"/>
  <c r="F398" i="5"/>
  <c r="F399" i="5"/>
  <c r="F400" i="5"/>
  <c r="F401" i="5"/>
  <c r="F402" i="5"/>
  <c r="F403" i="5"/>
  <c r="F404" i="5"/>
  <c r="F405" i="5"/>
  <c r="F406" i="5"/>
  <c r="F407" i="5"/>
  <c r="F408" i="5"/>
  <c r="F409" i="5"/>
  <c r="F395" i="5"/>
  <c r="M409" i="5"/>
  <c r="H409" i="5"/>
  <c r="G409" i="5"/>
  <c r="E409" i="5"/>
  <c r="N409" i="5" s="1"/>
  <c r="A409" i="5"/>
  <c r="M408" i="5"/>
  <c r="H408" i="5"/>
  <c r="G408" i="5"/>
  <c r="E408" i="5"/>
  <c r="N408" i="5"/>
  <c r="B408" i="5"/>
  <c r="A408" i="5"/>
  <c r="M407" i="5"/>
  <c r="H407" i="5"/>
  <c r="G407" i="5"/>
  <c r="E407" i="5"/>
  <c r="B407" i="5"/>
  <c r="A407" i="5"/>
  <c r="M406" i="5"/>
  <c r="H406" i="5"/>
  <c r="G406" i="5"/>
  <c r="E406" i="5"/>
  <c r="N406" i="5" s="1"/>
  <c r="B406" i="5"/>
  <c r="A406" i="5"/>
  <c r="M405" i="5"/>
  <c r="H405" i="5"/>
  <c r="G405" i="5"/>
  <c r="E405" i="5"/>
  <c r="B405" i="5"/>
  <c r="A405" i="5"/>
  <c r="M404" i="5"/>
  <c r="H404" i="5"/>
  <c r="G404" i="5"/>
  <c r="E404" i="5"/>
  <c r="N404" i="5" s="1"/>
  <c r="B404" i="5"/>
  <c r="A404" i="5"/>
  <c r="M403" i="5"/>
  <c r="H403" i="5"/>
  <c r="G403" i="5"/>
  <c r="E403" i="5"/>
  <c r="N403" i="5" s="1"/>
  <c r="B403" i="5"/>
  <c r="A403" i="5"/>
  <c r="N402" i="5"/>
  <c r="M402" i="5"/>
  <c r="H402" i="5"/>
  <c r="G402" i="5"/>
  <c r="E402" i="5"/>
  <c r="B402" i="5"/>
  <c r="A402" i="5"/>
  <c r="M401" i="5"/>
  <c r="H401" i="5"/>
  <c r="G401" i="5"/>
  <c r="E401" i="5"/>
  <c r="N401" i="5" s="1"/>
  <c r="B401" i="5"/>
  <c r="A401" i="5"/>
  <c r="M400" i="5"/>
  <c r="H400" i="5"/>
  <c r="G400" i="5"/>
  <c r="E400" i="5"/>
  <c r="N400" i="5" s="1"/>
  <c r="B400" i="5"/>
  <c r="A400" i="5"/>
  <c r="M399" i="5"/>
  <c r="H399" i="5"/>
  <c r="G399" i="5"/>
  <c r="E399" i="5"/>
  <c r="B399" i="5"/>
  <c r="A399" i="5"/>
  <c r="M398" i="5"/>
  <c r="H398" i="5"/>
  <c r="G398" i="5"/>
  <c r="E398" i="5"/>
  <c r="N398" i="5"/>
  <c r="B398" i="5"/>
  <c r="N397" i="5"/>
  <c r="M397" i="5"/>
  <c r="H397" i="5"/>
  <c r="G397" i="5"/>
  <c r="E397" i="5"/>
  <c r="A397" i="5"/>
  <c r="M396" i="5"/>
  <c r="H396" i="5"/>
  <c r="G396" i="5"/>
  <c r="E396" i="5"/>
  <c r="N396" i="5" s="1"/>
  <c r="B396" i="5"/>
  <c r="M395" i="5"/>
  <c r="H395" i="5"/>
  <c r="G395" i="5"/>
  <c r="E395" i="5"/>
  <c r="B395" i="5"/>
  <c r="A395" i="5"/>
  <c r="M393" i="5"/>
  <c r="M394" i="5"/>
  <c r="E393" i="5"/>
  <c r="F393" i="5"/>
  <c r="G393" i="5"/>
  <c r="H393" i="5"/>
  <c r="E394" i="5"/>
  <c r="F394" i="5"/>
  <c r="G394" i="5"/>
  <c r="H394" i="5"/>
  <c r="F381" i="5"/>
  <c r="F382" i="5"/>
  <c r="F383" i="5"/>
  <c r="F384" i="5"/>
  <c r="F385" i="5"/>
  <c r="F386" i="5"/>
  <c r="F387" i="5"/>
  <c r="F388" i="5"/>
  <c r="F389" i="5"/>
  <c r="F390" i="5"/>
  <c r="F391" i="5"/>
  <c r="F392" i="5"/>
  <c r="F380" i="5"/>
  <c r="M392" i="5"/>
  <c r="H392" i="5"/>
  <c r="G392" i="5"/>
  <c r="E392" i="5"/>
  <c r="M391" i="5"/>
  <c r="H391" i="5"/>
  <c r="G391" i="5"/>
  <c r="E391" i="5"/>
  <c r="M390" i="5"/>
  <c r="H390" i="5"/>
  <c r="G390" i="5"/>
  <c r="E390" i="5"/>
  <c r="M389" i="5"/>
  <c r="H389" i="5"/>
  <c r="G389" i="5"/>
  <c r="E389" i="5"/>
  <c r="N389" i="5" s="1"/>
  <c r="M388" i="5"/>
  <c r="H388" i="5"/>
  <c r="G388" i="5"/>
  <c r="E388" i="5"/>
  <c r="N388" i="5" s="1"/>
  <c r="M387" i="5"/>
  <c r="H387" i="5"/>
  <c r="G387" i="5"/>
  <c r="E387" i="5"/>
  <c r="N387" i="5" s="1"/>
  <c r="M386" i="5"/>
  <c r="H386" i="5"/>
  <c r="G386" i="5"/>
  <c r="E386" i="5"/>
  <c r="N386" i="5" s="1"/>
  <c r="M385" i="5"/>
  <c r="H385" i="5"/>
  <c r="G385" i="5"/>
  <c r="E385" i="5"/>
  <c r="N385" i="5" s="1"/>
  <c r="M384" i="5"/>
  <c r="H384" i="5"/>
  <c r="G384" i="5"/>
  <c r="E384" i="5"/>
  <c r="M383" i="5"/>
  <c r="H383" i="5"/>
  <c r="G383" i="5"/>
  <c r="E383" i="5"/>
  <c r="M382" i="5"/>
  <c r="H382" i="5"/>
  <c r="G382" i="5"/>
  <c r="E382" i="5"/>
  <c r="N382" i="5" s="1"/>
  <c r="M381" i="5"/>
  <c r="H381" i="5"/>
  <c r="G381" i="5"/>
  <c r="E381" i="5"/>
  <c r="N381" i="5" s="1"/>
  <c r="M380" i="5"/>
  <c r="H380" i="5"/>
  <c r="G380" i="5"/>
  <c r="E380" i="5"/>
  <c r="C394" i="5"/>
  <c r="A394" i="5"/>
  <c r="C391" i="5"/>
  <c r="N391" i="5" s="1"/>
  <c r="C390" i="5"/>
  <c r="N390" i="5" s="1"/>
  <c r="C393" i="5"/>
  <c r="C392" i="5"/>
  <c r="B393" i="5"/>
  <c r="A393" i="5"/>
  <c r="B392" i="5"/>
  <c r="A392" i="5"/>
  <c r="C384" i="5"/>
  <c r="C383" i="5"/>
  <c r="N383" i="5" s="1"/>
  <c r="C380" i="5"/>
  <c r="A384" i="5"/>
  <c r="B391" i="5"/>
  <c r="B390" i="5"/>
  <c r="B389" i="5"/>
  <c r="B388" i="5"/>
  <c r="B387" i="5"/>
  <c r="B386" i="5"/>
  <c r="B385" i="5"/>
  <c r="A386" i="5"/>
  <c r="A387" i="5"/>
  <c r="A388" i="5"/>
  <c r="A389" i="5"/>
  <c r="A390" i="5"/>
  <c r="A391" i="5"/>
  <c r="A385" i="5"/>
  <c r="B384" i="5"/>
  <c r="B383" i="5"/>
  <c r="B380" i="5"/>
  <c r="B381" i="5"/>
  <c r="A382" i="5"/>
  <c r="A380" i="5"/>
  <c r="F12" i="166"/>
  <c r="F17" i="174"/>
  <c r="F13" i="174"/>
  <c r="F9" i="174"/>
  <c r="M17" i="174"/>
  <c r="H17" i="174"/>
  <c r="G17" i="174"/>
  <c r="E17" i="174"/>
  <c r="N17" i="174"/>
  <c r="B17" i="174"/>
  <c r="A17" i="174"/>
  <c r="M13" i="174"/>
  <c r="H13" i="174"/>
  <c r="G13" i="174"/>
  <c r="E13" i="174"/>
  <c r="N13" i="174"/>
  <c r="B13" i="174"/>
  <c r="A13" i="174"/>
  <c r="M9" i="174"/>
  <c r="H9" i="174"/>
  <c r="G9" i="174"/>
  <c r="E9" i="174"/>
  <c r="N9" i="174"/>
  <c r="B9" i="174"/>
  <c r="A9" i="174"/>
  <c r="F21" i="174"/>
  <c r="F25" i="174"/>
  <c r="F5" i="174"/>
  <c r="M5" i="174"/>
  <c r="H5" i="174"/>
  <c r="G5" i="174"/>
  <c r="E5" i="174"/>
  <c r="N5" i="174"/>
  <c r="B5" i="174"/>
  <c r="A5" i="174"/>
  <c r="M25" i="174"/>
  <c r="H25" i="174"/>
  <c r="G25" i="174"/>
  <c r="E25" i="174"/>
  <c r="C25" i="174"/>
  <c r="N25" i="174" s="1"/>
  <c r="B25" i="174"/>
  <c r="A25" i="174"/>
  <c r="M21" i="174"/>
  <c r="H21" i="174"/>
  <c r="G21" i="174"/>
  <c r="E21" i="174"/>
  <c r="C21" i="174"/>
  <c r="N21" i="174" s="1"/>
  <c r="B21" i="174"/>
  <c r="A21" i="174"/>
  <c r="C6" i="8"/>
  <c r="E14" i="168"/>
  <c r="E13" i="168"/>
  <c r="E12" i="168"/>
  <c r="E11" i="168"/>
  <c r="K1" i="5"/>
  <c r="L399" i="5" a="1"/>
  <c r="L406" i="5" a="1"/>
  <c r="L409" i="5" a="1"/>
  <c r="L407" i="5" a="1"/>
  <c r="L385" i="5" a="1"/>
  <c r="L405" i="5" a="1"/>
  <c r="L396" i="5" a="1"/>
  <c r="L5" i="174" a="1"/>
  <c r="L387" i="5" a="1"/>
  <c r="L384" i="5" a="1"/>
  <c r="L394" i="5" a="1"/>
  <c r="L25" i="174" a="1"/>
  <c r="L404" i="5" a="1"/>
  <c r="L381" i="5" a="1"/>
  <c r="L400" i="5" a="1"/>
  <c r="L395" i="5" a="1"/>
  <c r="L390" i="5" a="1"/>
  <c r="L21" i="174" a="1"/>
  <c r="L388" i="5" a="1"/>
  <c r="L403" i="5" a="1"/>
  <c r="L386" i="5" a="1"/>
  <c r="L408" i="5" a="1"/>
  <c r="L393" i="5" a="1"/>
  <c r="L401" i="5" a="1"/>
  <c r="L9" i="174" a="1"/>
  <c r="L13" i="174" a="1"/>
  <c r="L389" i="5" a="1"/>
  <c r="L397" i="5" a="1"/>
  <c r="L382" i="5" a="1"/>
  <c r="L391" i="5" a="1"/>
  <c r="L380" i="5" a="1"/>
  <c r="L383" i="5" a="1"/>
  <c r="L402" i="5" a="1"/>
  <c r="L17" i="174" a="1"/>
  <c r="L392" i="5" a="1"/>
  <c r="L398" i="5" a="1"/>
  <c r="N394" i="5" l="1"/>
  <c r="N384" i="5"/>
  <c r="N392" i="5"/>
  <c r="N393" i="5"/>
  <c r="N405" i="5"/>
  <c r="N395" i="5"/>
  <c r="N380" i="5"/>
  <c r="N399" i="5"/>
  <c r="L398" i="5"/>
  <c r="L405" i="5"/>
  <c r="L402" i="5"/>
  <c r="L408" i="5"/>
  <c r="L396" i="5"/>
  <c r="L399" i="5"/>
  <c r="L403" i="5"/>
  <c r="L406" i="5"/>
  <c r="L409" i="5"/>
  <c r="L395" i="5"/>
  <c r="L397" i="5"/>
  <c r="L400" i="5"/>
  <c r="L404" i="5"/>
  <c r="L407" i="5"/>
  <c r="L401" i="5"/>
  <c r="L384" i="5"/>
  <c r="L388" i="5"/>
  <c r="L383" i="5"/>
  <c r="L387" i="5"/>
  <c r="L394" i="5"/>
  <c r="L390" i="5"/>
  <c r="L386" i="5"/>
  <c r="L382" i="5"/>
  <c r="L391" i="5"/>
  <c r="L392" i="5"/>
  <c r="L393" i="5"/>
  <c r="L389" i="5"/>
  <c r="L385" i="5"/>
  <c r="L381" i="5"/>
  <c r="L380" i="5"/>
  <c r="L17" i="174"/>
  <c r="L13" i="174"/>
  <c r="L9" i="174"/>
  <c r="L5" i="174"/>
  <c r="L25" i="174"/>
  <c r="L21" i="174"/>
  <c r="E262" i="5"/>
  <c r="F262" i="5"/>
  <c r="G262" i="5"/>
  <c r="H262" i="5"/>
  <c r="E136" i="5"/>
  <c r="F136" i="5"/>
  <c r="G136" i="5"/>
  <c r="H136" i="5"/>
  <c r="E10" i="5"/>
  <c r="F10" i="5"/>
  <c r="G10" i="5"/>
  <c r="H10" i="5"/>
  <c r="N1" i="178"/>
  <c r="O19" i="178"/>
  <c r="K19" i="178"/>
  <c r="J19" i="178"/>
  <c r="I19" i="178"/>
  <c r="F19" i="178"/>
  <c r="B19" i="178"/>
  <c r="O18" i="178"/>
  <c r="K18" i="178"/>
  <c r="J18" i="178"/>
  <c r="I18" i="178"/>
  <c r="G18" i="178"/>
  <c r="F18" i="178"/>
  <c r="B18" i="178"/>
  <c r="O17" i="178"/>
  <c r="K17" i="178"/>
  <c r="J17" i="178"/>
  <c r="I17" i="178"/>
  <c r="G17" i="178"/>
  <c r="F17" i="178"/>
  <c r="B17" i="178"/>
  <c r="O16" i="178"/>
  <c r="K16" i="178"/>
  <c r="J16" i="178"/>
  <c r="I16" i="178"/>
  <c r="G16" i="178"/>
  <c r="F16" i="178"/>
  <c r="B16" i="178"/>
  <c r="O15" i="178"/>
  <c r="K15" i="178"/>
  <c r="J15" i="178"/>
  <c r="I15" i="178"/>
  <c r="G15" i="178"/>
  <c r="F15" i="178"/>
  <c r="B15" i="178"/>
  <c r="O14" i="178"/>
  <c r="K14" i="178"/>
  <c r="J14" i="178"/>
  <c r="I14" i="178"/>
  <c r="G14" i="178"/>
  <c r="F14" i="178"/>
  <c r="B14" i="178"/>
  <c r="O13" i="178"/>
  <c r="K13" i="178"/>
  <c r="J13" i="178"/>
  <c r="I13" i="178"/>
  <c r="G13" i="178"/>
  <c r="F13" i="178"/>
  <c r="B13" i="178"/>
  <c r="O12" i="178"/>
  <c r="K12" i="178"/>
  <c r="J12" i="178"/>
  <c r="I12" i="178"/>
  <c r="G12" i="178"/>
  <c r="F12" i="178"/>
  <c r="B12" i="178"/>
  <c r="O11" i="178"/>
  <c r="K11" i="178"/>
  <c r="J11" i="178"/>
  <c r="I11" i="178"/>
  <c r="G11" i="178"/>
  <c r="F11" i="178"/>
  <c r="B11" i="178"/>
  <c r="O10" i="178"/>
  <c r="K10" i="178"/>
  <c r="J10" i="178"/>
  <c r="I10" i="178"/>
  <c r="G10" i="178"/>
  <c r="F10" i="178"/>
  <c r="B10" i="178"/>
  <c r="O9" i="178"/>
  <c r="K9" i="178"/>
  <c r="J9" i="178"/>
  <c r="I9" i="178"/>
  <c r="G9" i="178"/>
  <c r="F9" i="178"/>
  <c r="B9" i="178"/>
  <c r="O8" i="178"/>
  <c r="K8" i="178"/>
  <c r="J8" i="178"/>
  <c r="I8" i="178"/>
  <c r="G8" i="178"/>
  <c r="F8" i="178"/>
  <c r="B8" i="178"/>
  <c r="O7" i="178"/>
  <c r="K7" i="178"/>
  <c r="J7" i="178"/>
  <c r="I7" i="178"/>
  <c r="G7" i="178"/>
  <c r="F7" i="178"/>
  <c r="B7" i="178"/>
  <c r="O6" i="178"/>
  <c r="K6" i="178"/>
  <c r="J6" i="178"/>
  <c r="I6" i="178"/>
  <c r="G6" i="178"/>
  <c r="F6" i="178"/>
  <c r="B6" i="178"/>
  <c r="O5" i="178"/>
  <c r="K5" i="178"/>
  <c r="J5" i="178"/>
  <c r="I5" i="178"/>
  <c r="G5" i="178"/>
  <c r="F5" i="178"/>
  <c r="B5" i="178"/>
  <c r="O4" i="178"/>
  <c r="K4" i="178"/>
  <c r="J4" i="178"/>
  <c r="I4" i="178"/>
  <c r="G4" i="178"/>
  <c r="F4" i="178"/>
  <c r="B4" i="178"/>
  <c r="O2" i="178"/>
  <c r="K2" i="178"/>
  <c r="J2" i="178"/>
  <c r="I2" i="178"/>
  <c r="B2" i="178"/>
  <c r="O1" i="178"/>
  <c r="M1" i="178"/>
  <c r="L1" i="178"/>
  <c r="J1" i="178"/>
  <c r="I1" i="178"/>
  <c r="H1" i="178"/>
  <c r="G1" i="178"/>
  <c r="F1" i="178"/>
  <c r="E1" i="178"/>
  <c r="N1" i="146"/>
  <c r="P1" i="169"/>
  <c r="P1" i="145"/>
  <c r="P1" i="143"/>
  <c r="P1" i="139"/>
  <c r="P1" i="136"/>
  <c r="P1" i="135"/>
  <c r="P1" i="134"/>
  <c r="P1" i="131"/>
  <c r="P1" i="130"/>
  <c r="P1" i="129"/>
  <c r="P1" i="7"/>
  <c r="P1" i="128"/>
  <c r="P1" i="127"/>
  <c r="P1" i="126"/>
  <c r="J11" i="176" l="1"/>
  <c r="J1" i="176"/>
  <c r="O1" i="169"/>
  <c r="N1" i="169"/>
  <c r="L1" i="169"/>
  <c r="K1" i="169"/>
  <c r="O1" i="145"/>
  <c r="N1" i="145"/>
  <c r="L1" i="145"/>
  <c r="K1" i="145"/>
  <c r="O1" i="143"/>
  <c r="N1" i="143"/>
  <c r="L1" i="143"/>
  <c r="K1" i="143"/>
  <c r="O1" i="139"/>
  <c r="N1" i="139"/>
  <c r="L1" i="139"/>
  <c r="K1" i="139"/>
  <c r="O1" i="136"/>
  <c r="N1" i="136"/>
  <c r="L1" i="136"/>
  <c r="K1" i="136"/>
  <c r="O1" i="135"/>
  <c r="N1" i="135"/>
  <c r="L1" i="135"/>
  <c r="K1" i="135"/>
  <c r="O1" i="134" l="1"/>
  <c r="N1" i="134"/>
  <c r="L1" i="134"/>
  <c r="K1" i="134"/>
  <c r="O1" i="131"/>
  <c r="N1" i="131"/>
  <c r="L1" i="131"/>
  <c r="K1" i="131"/>
  <c r="Q1" i="130" l="1"/>
  <c r="O1" i="130"/>
  <c r="L1" i="130"/>
  <c r="K1" i="130"/>
  <c r="L1" i="129"/>
  <c r="L1" i="7"/>
  <c r="L1" i="128"/>
  <c r="L1" i="127"/>
  <c r="L1" i="126"/>
  <c r="O1" i="166"/>
  <c r="J1" i="166"/>
  <c r="M5" i="150"/>
  <c r="M6" i="150"/>
  <c r="J1" i="150"/>
  <c r="J1" i="146"/>
  <c r="G7" i="149"/>
  <c r="G6" i="149"/>
  <c r="C7" i="149"/>
  <c r="M7" i="149"/>
  <c r="H7" i="149"/>
  <c r="F7" i="149"/>
  <c r="E7" i="149"/>
  <c r="B7" i="149"/>
  <c r="A7" i="149"/>
  <c r="G2" i="149"/>
  <c r="G3" i="149"/>
  <c r="C3" i="149"/>
  <c r="C2" i="149"/>
  <c r="M3" i="149"/>
  <c r="H3" i="149"/>
  <c r="F3" i="149"/>
  <c r="E3" i="149"/>
  <c r="B3" i="149"/>
  <c r="A3" i="149"/>
  <c r="J1" i="149"/>
  <c r="J1" i="142"/>
  <c r="J1" i="175"/>
  <c r="J1" i="174"/>
  <c r="J1" i="5"/>
  <c r="L311" i="5" a="1"/>
  <c r="L153" i="5" a="1"/>
  <c r="L148" i="5" a="1"/>
  <c r="L19" i="5" a="1"/>
  <c r="N21" i="126" a="1"/>
  <c r="N27" i="169" a="1"/>
  <c r="L12" i="175" a="1"/>
  <c r="L6" i="175" a="1"/>
  <c r="L148" i="146" a="1"/>
  <c r="N25" i="126" a="1"/>
  <c r="N23" i="169" a="1"/>
  <c r="L50" i="146" a="1"/>
  <c r="L132" i="146" a="1"/>
  <c r="L32" i="146" a="1"/>
  <c r="L270" i="5" a="1"/>
  <c r="L3" i="149" a="1"/>
  <c r="L78" i="5" a="1"/>
  <c r="L342" i="5" a="1"/>
  <c r="L313" i="5" a="1"/>
  <c r="N3" i="134" a="1"/>
  <c r="L18" i="146" a="1"/>
  <c r="N3" i="139" a="1"/>
  <c r="L62" i="146" a="1"/>
  <c r="N13" i="130" a="1"/>
  <c r="L112" i="5" a="1"/>
  <c r="L67" i="146" a="1"/>
  <c r="L167" i="146" a="1"/>
  <c r="L379" i="5" a="1"/>
  <c r="N17" i="169" a="1"/>
  <c r="L326" i="5" a="1"/>
  <c r="N3" i="169" a="1"/>
  <c r="L172" i="146" a="1"/>
  <c r="L160" i="146" a="1"/>
  <c r="L299" i="5" a="1"/>
  <c r="L191" i="146" a="1"/>
  <c r="L223" i="5" a="1"/>
  <c r="N19" i="129" a="1"/>
  <c r="N29" i="126" a="1"/>
  <c r="L152" i="5" a="1"/>
  <c r="N17" i="126" a="1"/>
  <c r="L34" i="5" a="1"/>
  <c r="L145" i="5" a="1"/>
  <c r="L202" i="5" a="1"/>
  <c r="N21" i="143" a="1"/>
  <c r="L271" i="5" a="1"/>
  <c r="L153" i="146" a="1"/>
  <c r="L47" i="146" a="1"/>
  <c r="L57" i="146" a="1"/>
  <c r="N7" i="139" a="1"/>
  <c r="L46" i="146" a="1"/>
  <c r="L360" i="5" a="1"/>
  <c r="N49" i="126" a="1"/>
  <c r="N21" i="145" a="1"/>
  <c r="L18" i="174" a="1"/>
  <c r="L63" i="146" a="1"/>
  <c r="L189" i="5" a="1"/>
  <c r="N3" i="136" a="1"/>
  <c r="L129" i="5" a="1"/>
  <c r="L2" i="146" a="1"/>
  <c r="L88" i="5" a="1"/>
  <c r="L208" i="5" a="1"/>
  <c r="L19" i="146" a="1"/>
  <c r="N7" i="7" a="1"/>
  <c r="L338" i="5" a="1"/>
  <c r="N9" i="128" a="1"/>
  <c r="L22" i="5" a="1"/>
  <c r="L89" i="5" a="1"/>
  <c r="N9" i="143" a="1"/>
  <c r="L7" i="174" a="1"/>
  <c r="N45" i="126" a="1"/>
  <c r="L14" i="175" a="1"/>
  <c r="L237" i="5" a="1"/>
  <c r="L12" i="174" a="1"/>
  <c r="N39" i="126" a="1"/>
  <c r="L81" i="146" a="1"/>
  <c r="L2" i="149" a="1"/>
  <c r="L45" i="146" a="1"/>
  <c r="L305" i="5" a="1"/>
  <c r="L174" i="5" a="1"/>
  <c r="L108" i="146" a="1"/>
  <c r="L10" i="150" a="1"/>
  <c r="L60" i="5" a="1"/>
  <c r="L24" i="174" a="1"/>
  <c r="L66" i="146" a="1"/>
  <c r="L69" i="5" a="1"/>
  <c r="L8" i="149" a="1"/>
  <c r="L135" i="5" a="1"/>
  <c r="L13" i="175" a="1"/>
  <c r="L317" i="5" a="1"/>
  <c r="L353" i="5" a="1"/>
  <c r="L138" i="146" a="1"/>
  <c r="L72" i="5" a="1"/>
  <c r="L362" i="5" a="1"/>
  <c r="L3" i="174" a="1"/>
  <c r="L105" i="5" a="1"/>
  <c r="N19" i="126" a="1"/>
  <c r="L25" i="146" a="1"/>
  <c r="L157" i="5" a="1"/>
  <c r="N35" i="126" a="1"/>
  <c r="L58" i="5" a="1"/>
  <c r="L142" i="146" a="1"/>
  <c r="L143" i="5" a="1"/>
  <c r="N36" i="129" a="1"/>
  <c r="L267" i="5" a="1"/>
  <c r="N3" i="128" a="1"/>
  <c r="L376" i="5" a="1"/>
  <c r="N17" i="130" a="1"/>
  <c r="N19" i="145" a="1"/>
  <c r="L7" i="175" a="1"/>
  <c r="L78" i="146" a="1"/>
  <c r="L75" i="5" a="1"/>
  <c r="L327" i="5" a="1"/>
  <c r="L253" i="5" a="1"/>
  <c r="L15" i="146" a="1"/>
  <c r="L11" i="146" a="1"/>
  <c r="L286" i="5" a="1"/>
  <c r="N3" i="126" a="1"/>
  <c r="L2" i="174" a="1"/>
  <c r="L172" i="5" a="1"/>
  <c r="L52" i="146" a="1"/>
  <c r="L37" i="146" a="1"/>
  <c r="L101" i="5" a="1"/>
  <c r="L103" i="5" a="1"/>
  <c r="L131" i="146" a="1"/>
  <c r="L337" i="5" a="1"/>
  <c r="N41" i="128" a="1"/>
  <c r="L129" i="146" a="1"/>
  <c r="L138" i="5" a="1"/>
  <c r="N13" i="145" a="1"/>
  <c r="N25" i="128" a="1"/>
  <c r="N29" i="143" a="1"/>
  <c r="L146" i="5" a="1"/>
  <c r="L55" i="5" a="1"/>
  <c r="L180" i="146" a="1"/>
  <c r="L276" i="5" a="1"/>
  <c r="L118" i="146" a="1"/>
  <c r="L155" i="5" a="1"/>
  <c r="L123" i="146" a="1"/>
  <c r="L321" i="5" a="1"/>
  <c r="N7" i="126" a="1"/>
  <c r="N9" i="7" a="1"/>
  <c r="N11" i="128" a="1"/>
  <c r="L111" i="146" a="1"/>
  <c r="N21" i="130" a="1"/>
  <c r="L163" i="146" a="1"/>
  <c r="N5" i="128" a="1"/>
  <c r="N31" i="169" a="1"/>
  <c r="L12" i="146" a="1"/>
  <c r="N35" i="128" a="1"/>
  <c r="N5" i="131" a="1"/>
  <c r="L179" i="146" a="1"/>
  <c r="L8" i="146" a="1"/>
  <c r="L23" i="5" a="1"/>
  <c r="N37" i="126" a="1"/>
  <c r="L190" i="5" a="1"/>
  <c r="N13" i="126" a="1"/>
  <c r="L303" i="5" a="1"/>
  <c r="L73" i="5" a="1"/>
  <c r="L352" i="5" a="1"/>
  <c r="L158" i="146" a="1"/>
  <c r="L140" i="5" a="1"/>
  <c r="L168" i="5" a="1"/>
  <c r="L260" i="5" a="1"/>
  <c r="L26" i="146" a="1"/>
  <c r="L16" i="146" a="1"/>
  <c r="L377" i="5" a="1"/>
  <c r="L44" i="146" a="1"/>
  <c r="L301" i="5" a="1"/>
  <c r="L226" i="5" a="1"/>
  <c r="L156" i="5" a="1"/>
  <c r="L178" i="146" a="1"/>
  <c r="L244" i="5" a="1"/>
  <c r="L35" i="146" a="1"/>
  <c r="L175" i="5" a="1"/>
  <c r="L20" i="174" a="1"/>
  <c r="L275" i="5" a="1"/>
  <c r="L86" i="146" a="1"/>
  <c r="L70" i="146" a="1"/>
  <c r="L79" i="146" a="1"/>
  <c r="L137" i="5" a="1"/>
  <c r="L101" i="146" a="1"/>
  <c r="L328" i="5" a="1"/>
  <c r="N28" i="129" a="1"/>
  <c r="N44" i="129" a="1"/>
  <c r="L20" i="146" a="1"/>
  <c r="L283" i="5" a="1"/>
  <c r="L166" i="5" a="1"/>
  <c r="L181" i="146" a="1"/>
  <c r="L3" i="142" a="1"/>
  <c r="L108" i="5" a="1"/>
  <c r="N42" i="129" a="1"/>
  <c r="L282" i="5" a="1"/>
  <c r="L140" i="146" a="1"/>
  <c r="L28" i="146" a="1"/>
  <c r="L135" i="146" a="1"/>
  <c r="L94" i="146" a="1"/>
  <c r="L40" i="146" a="1"/>
  <c r="L343" i="5" a="1"/>
  <c r="L159" i="5" a="1"/>
  <c r="L348" i="5" a="1"/>
  <c r="L190" i="146" a="1"/>
  <c r="L280" i="5" a="1"/>
  <c r="N19" i="169" a="1"/>
  <c r="L83" i="5" a="1"/>
  <c r="L264" i="5" a="1"/>
  <c r="N5" i="134" a="1"/>
  <c r="L349" i="5" a="1"/>
  <c r="L75" i="146" a="1"/>
  <c r="N19" i="128" a="1"/>
  <c r="L316" i="5" a="1"/>
  <c r="L233" i="5" a="1"/>
  <c r="L91" i="5" a="1"/>
  <c r="L34" i="146" a="1"/>
  <c r="L47" i="5" a="1"/>
  <c r="L359" i="5" a="1"/>
  <c r="L179" i="5" a="1"/>
  <c r="L207" i="5" a="1"/>
  <c r="L163" i="5" a="1"/>
  <c r="L110" i="146" a="1"/>
  <c r="L194" i="5" a="1"/>
  <c r="N10" i="139" a="1"/>
  <c r="L16" i="175" a="1"/>
  <c r="L110" i="5" a="1"/>
  <c r="L162" i="5" a="1"/>
  <c r="L23" i="174" a="1"/>
  <c r="L216" i="5" a="1"/>
  <c r="L173" i="5" a="1"/>
  <c r="L126" i="5" a="1"/>
  <c r="L232" i="5" a="1"/>
  <c r="L320" i="5" a="1"/>
  <c r="L357" i="5" a="1"/>
  <c r="L103" i="146" a="1"/>
  <c r="L336" i="5" a="1"/>
  <c r="L38" i="146" a="1"/>
  <c r="L324" i="5" a="1"/>
  <c r="L114" i="146" a="1"/>
  <c r="L81" i="5" a="1"/>
  <c r="L193" i="5" a="1"/>
  <c r="L151" i="5" a="1"/>
  <c r="L127" i="146" a="1"/>
  <c r="N9" i="169" a="1"/>
  <c r="L93" i="5" a="1"/>
  <c r="L171" i="146" a="1"/>
  <c r="L87" i="146" a="1"/>
  <c r="L218" i="5" a="1"/>
  <c r="N3" i="127" a="1"/>
  <c r="N5" i="145" a="1"/>
  <c r="L183" i="5" a="1"/>
  <c r="L363" i="5" a="1"/>
  <c r="N9" i="130" a="1"/>
  <c r="L13" i="146" a="1"/>
  <c r="L2" i="5" a="1"/>
  <c r="L241" i="5" a="1"/>
  <c r="L3" i="5" a="1"/>
  <c r="L117" i="146" a="1"/>
  <c r="L24" i="146" a="1"/>
  <c r="L10" i="174" a="1"/>
  <c r="L122" i="5" a="1"/>
  <c r="L4" i="174" a="1"/>
  <c r="L169" i="5" a="1"/>
  <c r="L164" i="146" a="1"/>
  <c r="N33" i="126" a="1"/>
  <c r="N33" i="143" a="1"/>
  <c r="L199" i="5" a="1"/>
  <c r="L73" i="146" a="1"/>
  <c r="L19" i="174" a="1"/>
  <c r="L294" i="5" a="1"/>
  <c r="L159" i="146" a="1"/>
  <c r="L147" i="146" a="1"/>
  <c r="L161" i="5" a="1"/>
  <c r="L79" i="5" a="1"/>
  <c r="L333" i="5" a="1"/>
  <c r="L41" i="146" a="1"/>
  <c r="L205" i="5" a="1"/>
  <c r="N11" i="126" a="1"/>
  <c r="L293" i="5" a="1"/>
  <c r="N13" i="143" a="1"/>
  <c r="L245" i="5" a="1"/>
  <c r="L266" i="5" a="1"/>
  <c r="L187" i="5" a="1"/>
  <c r="N35" i="143" a="1"/>
  <c r="L96" i="5" a="1"/>
  <c r="L3" i="146" a="1"/>
  <c r="L100" i="146" a="1"/>
  <c r="N9" i="126" a="1"/>
  <c r="L142" i="5" a="1"/>
  <c r="N13" i="169" a="1"/>
  <c r="L38" i="5" a="1"/>
  <c r="L36" i="5" a="1"/>
  <c r="L125" i="146" a="1"/>
  <c r="L122" i="146" a="1"/>
  <c r="L146" i="146" a="1"/>
  <c r="L6" i="5" a="1"/>
  <c r="L296" i="5" a="1"/>
  <c r="N38" i="129" a="1"/>
  <c r="L351" i="5" a="1"/>
  <c r="L10" i="175" a="1"/>
  <c r="N31" i="126" a="1"/>
  <c r="L288" i="5" a="1"/>
  <c r="L48" i="146" a="1"/>
  <c r="L9" i="175" a="1"/>
  <c r="L62" i="5" a="1"/>
  <c r="L185" i="5" a="1"/>
  <c r="N39" i="143" a="1"/>
  <c r="N37" i="143" a="1"/>
  <c r="L49" i="146" a="1"/>
  <c r="N10" i="129" a="1"/>
  <c r="L31" i="146" a="1"/>
  <c r="L178" i="5" a="1"/>
  <c r="L366" i="5" a="1"/>
  <c r="N5" i="130" a="1"/>
  <c r="L76" i="5" a="1"/>
  <c r="L161" i="146" a="1"/>
  <c r="L231" i="5" a="1"/>
  <c r="L77" i="146" a="1"/>
  <c r="L290" i="5" a="1"/>
  <c r="L21" i="5" a="1"/>
  <c r="N29" i="169" a="1"/>
  <c r="L217" i="5" a="1"/>
  <c r="L11" i="174" a="1"/>
  <c r="N9" i="139" a="1"/>
  <c r="L91" i="146" a="1"/>
  <c r="L89" i="146" a="1"/>
  <c r="L222" i="5" a="1"/>
  <c r="L65" i="5" a="1"/>
  <c r="L358" i="5" a="1"/>
  <c r="L257" i="5" a="1"/>
  <c r="L39" i="146" a="1"/>
  <c r="L259" i="5" a="1"/>
  <c r="L182" i="146" a="1"/>
  <c r="L21" i="146" a="1"/>
  <c r="L22" i="174" a="1"/>
  <c r="L295" i="5" a="1"/>
  <c r="L92" i="146" a="1"/>
  <c r="N31" i="143" a="1"/>
  <c r="L361" i="5" a="1"/>
  <c r="L19" i="175" a="1"/>
  <c r="L147" i="5" a="1"/>
  <c r="L105" i="146" a="1"/>
  <c r="N39" i="128" a="1"/>
  <c r="L243" i="5" a="1"/>
  <c r="L113" i="146" a="1"/>
  <c r="L308" i="5" a="1"/>
  <c r="L55" i="146" a="1"/>
  <c r="L68" i="146" a="1"/>
  <c r="L183" i="146" a="1"/>
  <c r="L176" i="146" a="1"/>
  <c r="L149" i="5" a="1"/>
  <c r="L310" i="5" a="1"/>
  <c r="L254" i="5" a="1"/>
  <c r="L171" i="5" a="1"/>
  <c r="L344" i="5" a="1"/>
  <c r="L287" i="5" a="1"/>
  <c r="L56" i="5" a="1"/>
  <c r="L40" i="5" a="1"/>
  <c r="L121" i="5" a="1"/>
  <c r="N9" i="145" a="1"/>
  <c r="L4" i="142" a="1"/>
  <c r="L84" i="5" a="1"/>
  <c r="N21" i="169" a="1"/>
  <c r="L72" i="146" a="1"/>
  <c r="L97" i="146" a="1"/>
  <c r="L106" i="146" a="1"/>
  <c r="L53" i="5" a="1"/>
  <c r="L174" i="146" a="1"/>
  <c r="L4" i="146" a="1"/>
  <c r="L36" i="146" a="1"/>
  <c r="L6" i="150" a="1"/>
  <c r="L347" i="5" a="1"/>
  <c r="L117" i="5" a="1"/>
  <c r="L189" i="146" a="1"/>
  <c r="L246" i="5" a="1"/>
  <c r="L16" i="174" a="1"/>
  <c r="N41" i="126" a="1"/>
  <c r="L74" i="5" a="1"/>
  <c r="L364" i="5" a="1"/>
  <c r="L44" i="5" a="1"/>
  <c r="L242" i="5" a="1"/>
  <c r="L49" i="5" a="1"/>
  <c r="L4" i="149" a="1"/>
  <c r="L354" i="5" a="1"/>
  <c r="L6" i="174" a="1"/>
  <c r="L375" i="5" a="1"/>
  <c r="L367" i="5" a="1"/>
  <c r="L196" i="5" a="1"/>
  <c r="L113" i="5" a="1"/>
  <c r="L74" i="146" a="1"/>
  <c r="L151" i="146" a="1"/>
  <c r="N23" i="145" a="1"/>
  <c r="L25" i="5" a="1"/>
  <c r="N31" i="128" a="1"/>
  <c r="L198" i="5" a="1"/>
  <c r="L8" i="5" a="1"/>
  <c r="L144" i="5" a="1"/>
  <c r="N25" i="143" a="1"/>
  <c r="L14" i="5" a="1"/>
  <c r="L170" i="146" a="1"/>
  <c r="L374" i="5" a="1"/>
  <c r="L154" i="146" a="1"/>
  <c r="L128" i="5" a="1"/>
  <c r="L121" i="146" a="1"/>
  <c r="N5" i="139" a="1"/>
  <c r="N23" i="126" a="1"/>
  <c r="L350" i="5" a="1"/>
  <c r="L93" i="146" a="1"/>
  <c r="L7" i="5" a="1"/>
  <c r="L220" i="5" a="1"/>
  <c r="L69" i="146" a="1"/>
  <c r="L170" i="5" a="1"/>
  <c r="L339" i="5" a="1"/>
  <c r="L6" i="149" a="1"/>
  <c r="L261" i="5" a="1"/>
  <c r="L119" i="5" a="1"/>
  <c r="L2" i="175" a="1"/>
  <c r="L329" i="5" a="1"/>
  <c r="L209" i="5" a="1"/>
  <c r="L263" i="5" a="1"/>
  <c r="L85" i="146" a="1"/>
  <c r="N40" i="129" a="1"/>
  <c r="L33" i="5" a="1"/>
  <c r="L114" i="5" a="1"/>
  <c r="L249" i="5" a="1"/>
  <c r="L272" i="5" a="1"/>
  <c r="L46" i="5" a="1"/>
  <c r="L17" i="175" a="1"/>
  <c r="N7" i="169" a="1"/>
  <c r="L64" i="146" a="1"/>
  <c r="L18" i="5" a="1"/>
  <c r="N17" i="143" a="1"/>
  <c r="L177" i="146" a="1"/>
  <c r="L18" i="175" a="1"/>
  <c r="L133" i="146" a="1"/>
  <c r="L162" i="146" a="1"/>
  <c r="L86" i="5" a="1"/>
  <c r="L50" i="5" a="1"/>
  <c r="L35" i="5" a="1"/>
  <c r="L16" i="5" a="1"/>
  <c r="L297" i="5" a="1"/>
  <c r="L43" i="146" a="1"/>
  <c r="L39" i="5" a="1"/>
  <c r="L54" i="146" a="1"/>
  <c r="L255" i="5" a="1"/>
  <c r="L3" i="150" a="1"/>
  <c r="L7" i="146" a="1"/>
  <c r="L165" i="5" a="1"/>
  <c r="L256" i="5" a="1"/>
  <c r="L54" i="5" a="1"/>
  <c r="L340" i="5" a="1"/>
  <c r="L64" i="5" a="1"/>
  <c r="L371" i="5" a="1"/>
  <c r="N17" i="128" a="1"/>
  <c r="L52" i="5" a="1"/>
  <c r="N51" i="126" a="1"/>
  <c r="N11" i="145" a="1"/>
  <c r="L125" i="5" a="1"/>
  <c r="L83" i="146" a="1"/>
  <c r="L158" i="5" a="1"/>
  <c r="N7" i="145" a="1"/>
  <c r="L20" i="5" a="1"/>
  <c r="L234" i="5" a="1"/>
  <c r="L43" i="5" a="1"/>
  <c r="L90" i="5" a="1"/>
  <c r="L14" i="146" a="1"/>
  <c r="N47" i="126" a="1"/>
  <c r="N27" i="126" a="1"/>
  <c r="L152" i="146" a="1"/>
  <c r="N7" i="135" a="1"/>
  <c r="L248" i="5" a="1"/>
  <c r="L130" i="146" a="1"/>
  <c r="L289" i="5" a="1"/>
  <c r="N5" i="143" a="1"/>
  <c r="N53" i="126" a="1"/>
  <c r="L133" i="5" a="1"/>
  <c r="L325" i="5" a="1"/>
  <c r="L309" i="5" a="1"/>
  <c r="L307" i="5" a="1"/>
  <c r="L14" i="174" a="1"/>
  <c r="L141" i="5" a="1"/>
  <c r="L118" i="5" a="1"/>
  <c r="L116" i="5" a="1"/>
  <c r="L85" i="5" a="1"/>
  <c r="L150" i="146" a="1"/>
  <c r="L195" i="5" a="1"/>
  <c r="L252" i="5" a="1"/>
  <c r="L130" i="5" a="1"/>
  <c r="L192" i="5" a="1"/>
  <c r="L95" i="146" a="1"/>
  <c r="L63" i="5" a="1"/>
  <c r="L368" i="5" a="1"/>
  <c r="L372" i="5" a="1"/>
  <c r="L201" i="5" a="1"/>
  <c r="L186" i="5" a="1"/>
  <c r="N2" i="145" a="1"/>
  <c r="L225" i="5" a="1"/>
  <c r="L6" i="146" a="1"/>
  <c r="N43" i="126" a="1"/>
  <c r="L95" i="5" a="1"/>
  <c r="L84" i="146" a="1"/>
  <c r="L30" i="146" a="1"/>
  <c r="L345" i="5" a="1"/>
  <c r="L235" i="5" a="1"/>
  <c r="L143" i="146" a="1"/>
  <c r="L107" i="146" a="1"/>
  <c r="N27" i="128" a="1"/>
  <c r="N33" i="169" a="1"/>
  <c r="L184" i="5" a="1"/>
  <c r="L67" i="5" a="1"/>
  <c r="L247" i="5" a="1"/>
  <c r="N15" i="169" a="1"/>
  <c r="L281" i="5" a="1"/>
  <c r="L33" i="146" a="1"/>
  <c r="L284" i="5" a="1"/>
  <c r="L45" i="5" a="1"/>
  <c r="L206" i="5" a="1"/>
  <c r="N5" i="126" a="1"/>
  <c r="L61" i="146" a="1"/>
  <c r="L41" i="5" a="1"/>
  <c r="L109" i="146" a="1"/>
  <c r="L116" i="146" a="1"/>
  <c r="N11" i="169" a="1"/>
  <c r="L239" i="5" a="1"/>
  <c r="L92" i="5" a="1"/>
  <c r="L165" i="146" a="1"/>
  <c r="L370" i="5" a="1"/>
  <c r="L15" i="174" a="1"/>
  <c r="L29" i="146" a="1"/>
  <c r="L258" i="5" a="1"/>
  <c r="L139" i="5" a="1"/>
  <c r="L160" i="5" a="1"/>
  <c r="L200" i="5" a="1"/>
  <c r="L11" i="175" a="1"/>
  <c r="N24" i="129" a="1"/>
  <c r="L278" i="5" a="1"/>
  <c r="L219" i="5" a="1"/>
  <c r="L173" i="146" a="1"/>
  <c r="L104" i="146" a="1"/>
  <c r="L115" i="5" a="1"/>
  <c r="L319" i="5" a="1"/>
  <c r="L11" i="150" a="1"/>
  <c r="L341" i="5" a="1"/>
  <c r="L315" i="5" a="1"/>
  <c r="L2" i="142" a="1"/>
  <c r="L111" i="5" a="1"/>
  <c r="N15" i="126" a="1"/>
  <c r="L169" i="146" a="1"/>
  <c r="L187" i="146" a="1"/>
  <c r="L330" i="5" a="1"/>
  <c r="L13" i="5" a="1"/>
  <c r="L228" i="5" a="1"/>
  <c r="L90" i="146" a="1"/>
  <c r="L109" i="5" a="1"/>
  <c r="L373" i="5" a="1"/>
  <c r="L175" i="146" a="1"/>
  <c r="L312" i="5" a="1"/>
  <c r="L134" i="5" a="1"/>
  <c r="L212" i="5" a="1"/>
  <c r="L154" i="5" a="1"/>
  <c r="L42" i="5" a="1"/>
  <c r="L120" i="146" a="1"/>
  <c r="L314" i="5" a="1"/>
  <c r="L9" i="150" a="1"/>
  <c r="N3" i="7" a="1"/>
  <c r="L15" i="175" a="1"/>
  <c r="L128" i="146" a="1"/>
  <c r="L99" i="5" a="1"/>
  <c r="L5" i="146" a="1"/>
  <c r="L134" i="146" a="1"/>
  <c r="N37" i="128" a="1"/>
  <c r="L37" i="5" a="1"/>
  <c r="L115" i="146" a="1"/>
  <c r="L9" i="146" a="1"/>
  <c r="L29" i="5" a="1"/>
  <c r="N15" i="145" a="1"/>
  <c r="L335" i="5" a="1"/>
  <c r="L77" i="5" a="1"/>
  <c r="L268" i="5" a="1"/>
  <c r="L94" i="5" a="1"/>
  <c r="L104" i="5" a="1"/>
  <c r="L57" i="5" a="1"/>
  <c r="L60" i="146" a="1"/>
  <c r="L277" i="5" a="1"/>
  <c r="L126" i="146" a="1"/>
  <c r="L124" i="5" a="1"/>
  <c r="L7" i="150" a="1"/>
  <c r="L4" i="150" a="1"/>
  <c r="L323" i="5" a="1"/>
  <c r="L298" i="5" a="1"/>
  <c r="L24" i="5" a="1"/>
  <c r="L167" i="5" a="1"/>
  <c r="L8" i="175" a="1"/>
  <c r="L332" i="5" a="1"/>
  <c r="L31" i="5" a="1"/>
  <c r="L65" i="146" a="1"/>
  <c r="L127" i="5" a="1"/>
  <c r="L227" i="5" a="1"/>
  <c r="L27" i="146" a="1"/>
  <c r="L102" i="146" a="1"/>
  <c r="L59" i="5" a="1"/>
  <c r="L71" i="146" a="1"/>
  <c r="L30" i="5" a="1"/>
  <c r="L17" i="5" a="1"/>
  <c r="L124" i="146" a="1"/>
  <c r="L102" i="5" a="1"/>
  <c r="L106" i="5" a="1"/>
  <c r="N33" i="128" a="1"/>
  <c r="L107" i="5" a="1"/>
  <c r="L27" i="5" a="1"/>
  <c r="L177" i="5" a="1"/>
  <c r="L97" i="5" a="1"/>
  <c r="L157" i="146" a="1"/>
  <c r="L15" i="5" a="1"/>
  <c r="L236" i="5" a="1"/>
  <c r="N9" i="131" a="1"/>
  <c r="L61" i="5" a="1"/>
  <c r="N32" i="129" a="1"/>
  <c r="L5" i="150" a="1"/>
  <c r="L150" i="5" a="1"/>
  <c r="L82" i="146" a="1"/>
  <c r="L274" i="5" a="1"/>
  <c r="L273" i="5" a="1"/>
  <c r="L100" i="5" a="1"/>
  <c r="L229" i="5" a="1"/>
  <c r="L168" i="146" a="1"/>
  <c r="L197" i="5" a="1"/>
  <c r="L279" i="5" a="1"/>
  <c r="L120" i="5" a="1"/>
  <c r="L17" i="146" a="1"/>
  <c r="L32" i="5" a="1"/>
  <c r="L3" i="175" a="1"/>
  <c r="L302" i="5" a="1"/>
  <c r="L4" i="175" a="1"/>
  <c r="N5" i="135" a="1"/>
  <c r="L318" i="5" a="1"/>
  <c r="L5" i="175" a="1"/>
  <c r="L211" i="5" a="1"/>
  <c r="N5" i="7" a="1"/>
  <c r="L188" i="5" a="1"/>
  <c r="L300" i="5" a="1"/>
  <c r="L269" i="5" a="1"/>
  <c r="L369" i="5" a="1"/>
  <c r="L76" i="146" a="1"/>
  <c r="L28" i="5" a="1"/>
  <c r="L131" i="5" a="1"/>
  <c r="L346" i="5" a="1"/>
  <c r="L11" i="5" a="1"/>
  <c r="L265" i="5" a="1"/>
  <c r="L7" i="149" a="1"/>
  <c r="L80" i="5" a="1"/>
  <c r="L213" i="5" a="1"/>
  <c r="L2" i="150" a="1"/>
  <c r="L186" i="146" a="1"/>
  <c r="L56" i="146" a="1"/>
  <c r="L355" i="5" a="1"/>
  <c r="L123" i="5" a="1"/>
  <c r="L98" i="5" a="1"/>
  <c r="L155" i="146" a="1"/>
  <c r="L53" i="146" a="1"/>
  <c r="L188" i="146" a="1"/>
  <c r="N25" i="169" a="1"/>
  <c r="N17" i="145" a="1"/>
  <c r="L58" i="146" a="1"/>
  <c r="L149" i="146" a="1"/>
  <c r="L5" i="5" a="1"/>
  <c r="L166" i="146" a="1"/>
  <c r="L365" i="5" a="1"/>
  <c r="L250" i="5" a="1"/>
  <c r="L59" i="146" a="1"/>
  <c r="N15" i="129" a="1"/>
  <c r="L48" i="5" a="1"/>
  <c r="L334" i="5" a="1"/>
  <c r="L70" i="5" a="1"/>
  <c r="L203" i="5" a="1"/>
  <c r="L215" i="5" a="1"/>
  <c r="L26" i="5" a="1"/>
  <c r="L8" i="150" a="1"/>
  <c r="N35" i="169" a="1"/>
  <c r="L22" i="146" a="1"/>
  <c r="L23" i="146" a="1"/>
  <c r="L66" i="5" a="1"/>
  <c r="L224" i="5" a="1"/>
  <c r="L8" i="174" a="1"/>
  <c r="L12" i="5" a="1"/>
  <c r="L10" i="146" a="1"/>
  <c r="L251" i="5" a="1"/>
  <c r="L230" i="5" a="1"/>
  <c r="L80" i="146" a="1"/>
  <c r="L9" i="5" a="1"/>
  <c r="L285" i="5" a="1"/>
  <c r="L4" i="5" a="1"/>
  <c r="L180" i="5" a="1"/>
  <c r="L132" i="5" a="1"/>
  <c r="L214" i="5" a="1"/>
  <c r="N21" i="128" a="1"/>
  <c r="L322" i="5" a="1"/>
  <c r="L96" i="146" a="1"/>
  <c r="L210" i="5" a="1"/>
  <c r="L71" i="5" a="1"/>
  <c r="L88" i="146" a="1"/>
  <c r="L68" i="5" a="1"/>
  <c r="N23" i="128" a="1"/>
  <c r="L238" i="5" a="1"/>
  <c r="N7" i="128" a="1"/>
  <c r="L176" i="5" a="1"/>
  <c r="L119" i="146" a="1"/>
  <c r="L306" i="5" a="1"/>
  <c r="L42" i="146" a="1"/>
  <c r="N5" i="169" a="1"/>
  <c r="L156" i="146" a="1"/>
  <c r="L191" i="5" a="1"/>
  <c r="L51" i="146" a="1"/>
  <c r="N3" i="135" a="1"/>
  <c r="L112" i="146" a="1"/>
  <c r="L164" i="5" a="1"/>
  <c r="L292" i="5" a="1"/>
  <c r="N25" i="145" a="1"/>
  <c r="L139" i="146" a="1"/>
  <c r="L304" i="5" a="1"/>
  <c r="L181" i="5" a="1"/>
  <c r="N6" i="129" a="1"/>
  <c r="L331" i="5" a="1"/>
  <c r="L182" i="5" a="1"/>
  <c r="L378" i="5" a="1"/>
  <c r="L291" i="5" a="1"/>
  <c r="N27" i="145" a="1"/>
  <c r="L51" i="5" a="1"/>
  <c r="L356" i="5" a="1"/>
  <c r="L82" i="5" a="1"/>
  <c r="L221" i="5" a="1"/>
  <c r="L141" i="146" a="1"/>
  <c r="L204" i="5" a="1"/>
  <c r="L240" i="5" a="1"/>
  <c r="L87" i="5" a="1"/>
  <c r="L181" i="146" l="1"/>
  <c r="L30" i="146"/>
  <c r="N27" i="145"/>
  <c r="L24" i="178" s="1"/>
  <c r="L238" i="5"/>
  <c r="L8" i="175"/>
  <c r="N5" i="134"/>
  <c r="N19" i="169"/>
  <c r="L28" i="146"/>
  <c r="L166" i="5"/>
  <c r="N19" i="126"/>
  <c r="N2" i="145"/>
  <c r="N23" i="128"/>
  <c r="L167" i="5"/>
  <c r="L252" i="5"/>
  <c r="L231" i="5"/>
  <c r="L31" i="146"/>
  <c r="L283" i="5"/>
  <c r="L87" i="5"/>
  <c r="N29" i="169"/>
  <c r="L68" i="5"/>
  <c r="L24" i="5"/>
  <c r="L264" i="5"/>
  <c r="L280" i="5"/>
  <c r="L140" i="146"/>
  <c r="L20" i="146"/>
  <c r="L110" i="5"/>
  <c r="L91" i="5"/>
  <c r="L88" i="146"/>
  <c r="L298" i="5"/>
  <c r="L195" i="5"/>
  <c r="L161" i="146"/>
  <c r="L282" i="5"/>
  <c r="N44" i="129"/>
  <c r="N9" i="139"/>
  <c r="L177" i="5"/>
  <c r="L71" i="5"/>
  <c r="L323" i="5"/>
  <c r="L83" i="5"/>
  <c r="L190" i="146"/>
  <c r="N42" i="129"/>
  <c r="N28" i="129"/>
  <c r="L240" i="5"/>
  <c r="L186" i="5"/>
  <c r="L210" i="5"/>
  <c r="L4" i="150"/>
  <c r="L77" i="146"/>
  <c r="L76" i="5"/>
  <c r="N10" i="129"/>
  <c r="L328" i="5"/>
  <c r="L84" i="146"/>
  <c r="L21" i="5"/>
  <c r="L96" i="146"/>
  <c r="L7" i="150"/>
  <c r="L150" i="146"/>
  <c r="L348" i="5"/>
  <c r="L108" i="5"/>
  <c r="L101" i="146"/>
  <c r="L11" i="174"/>
  <c r="L27" i="5"/>
  <c r="L322" i="5"/>
  <c r="L124" i="5"/>
  <c r="L85" i="5"/>
  <c r="L159" i="5"/>
  <c r="L49" i="146"/>
  <c r="L137" i="5"/>
  <c r="L16" i="175"/>
  <c r="L201" i="5"/>
  <c r="N21" i="128"/>
  <c r="L126" i="146"/>
  <c r="L116" i="5"/>
  <c r="N5" i="130"/>
  <c r="N37" i="143"/>
  <c r="L39" i="178" s="1"/>
  <c r="L79" i="146"/>
  <c r="L97" i="5"/>
  <c r="L233" i="5"/>
  <c r="L214" i="5"/>
  <c r="L277" i="5"/>
  <c r="L118" i="5"/>
  <c r="L366" i="5"/>
  <c r="L3" i="142"/>
  <c r="L70" i="146"/>
  <c r="L105" i="5"/>
  <c r="L372" i="5"/>
  <c r="L132" i="5"/>
  <c r="L60" i="146"/>
  <c r="L141" i="5"/>
  <c r="L343" i="5"/>
  <c r="N39" i="143"/>
  <c r="L86" i="146"/>
  <c r="L204" i="5"/>
  <c r="L107" i="5"/>
  <c r="L180" i="5"/>
  <c r="L57" i="5"/>
  <c r="L14" i="174"/>
  <c r="L40" i="146"/>
  <c r="L185" i="5"/>
  <c r="L275" i="5"/>
  <c r="L3" i="174"/>
  <c r="L316" i="5"/>
  <c r="L4" i="5"/>
  <c r="L104" i="5"/>
  <c r="L307" i="5"/>
  <c r="L94" i="146"/>
  <c r="L62" i="5"/>
  <c r="L20" i="174"/>
  <c r="N10" i="139"/>
  <c r="L368" i="5"/>
  <c r="L285" i="5"/>
  <c r="L94" i="5"/>
  <c r="L309" i="5"/>
  <c r="L135" i="146"/>
  <c r="L9" i="175"/>
  <c r="L175" i="5"/>
  <c r="L194" i="5"/>
  <c r="N33" i="128"/>
  <c r="L9" i="5"/>
  <c r="L268" i="5"/>
  <c r="L325" i="5"/>
  <c r="L178" i="5"/>
  <c r="L48" i="146"/>
  <c r="L35" i="146"/>
  <c r="L217" i="5"/>
  <c r="N19" i="128"/>
  <c r="L80" i="146"/>
  <c r="L77" i="5"/>
  <c r="L133" i="5"/>
  <c r="L170" i="146"/>
  <c r="L288" i="5"/>
  <c r="L244" i="5"/>
  <c r="L362" i="5"/>
  <c r="L106" i="5"/>
  <c r="L230" i="5"/>
  <c r="L335" i="5"/>
  <c r="N53" i="126"/>
  <c r="L14" i="5"/>
  <c r="N31" i="126"/>
  <c r="L178" i="146"/>
  <c r="L110" i="146"/>
  <c r="L63" i="5"/>
  <c r="L251" i="5"/>
  <c r="N15" i="145"/>
  <c r="N5" i="143"/>
  <c r="N25" i="143"/>
  <c r="L10" i="175"/>
  <c r="L156" i="5"/>
  <c r="L95" i="5"/>
  <c r="L102" i="5"/>
  <c r="L10" i="146"/>
  <c r="L29" i="5"/>
  <c r="L289" i="5"/>
  <c r="L144" i="5"/>
  <c r="L351" i="5"/>
  <c r="L226" i="5"/>
  <c r="L163" i="5"/>
  <c r="L290" i="5"/>
  <c r="L12" i="5"/>
  <c r="L9" i="146"/>
  <c r="L130" i="146"/>
  <c r="L8" i="5"/>
  <c r="N38" i="129"/>
  <c r="L301" i="5"/>
  <c r="L141" i="146"/>
  <c r="L95" i="146"/>
  <c r="L8" i="174"/>
  <c r="L115" i="146"/>
  <c r="L248" i="5"/>
  <c r="L198" i="5"/>
  <c r="L296" i="5"/>
  <c r="L44" i="146"/>
  <c r="L207" i="5"/>
  <c r="L75" i="146"/>
  <c r="L224" i="5"/>
  <c r="L37" i="5"/>
  <c r="N7" i="135"/>
  <c r="N31" i="128"/>
  <c r="L6" i="5"/>
  <c r="L377" i="5"/>
  <c r="L221" i="5"/>
  <c r="L192" i="5"/>
  <c r="L66" i="5"/>
  <c r="N37" i="128"/>
  <c r="L152" i="146"/>
  <c r="L25" i="5"/>
  <c r="L146" i="146"/>
  <c r="L16" i="146"/>
  <c r="L179" i="5"/>
  <c r="L349" i="5"/>
  <c r="L23" i="146"/>
  <c r="L134" i="146"/>
  <c r="N27" i="126"/>
  <c r="N23" i="145"/>
  <c r="L122" i="146"/>
  <c r="L26" i="146"/>
  <c r="L82" i="5"/>
  <c r="L130" i="5"/>
  <c r="L22" i="146"/>
  <c r="L5" i="146"/>
  <c r="N47" i="126"/>
  <c r="L151" i="146"/>
  <c r="L125" i="146"/>
  <c r="L260" i="5"/>
  <c r="L359" i="5"/>
  <c r="L124" i="146"/>
  <c r="N35" i="169"/>
  <c r="L36" i="178" s="1"/>
  <c r="L99" i="5"/>
  <c r="L14" i="146"/>
  <c r="L74" i="146"/>
  <c r="L36" i="5"/>
  <c r="L168" i="5"/>
  <c r="N43" i="126"/>
  <c r="L17" i="5"/>
  <c r="L8" i="150"/>
  <c r="L128" i="146"/>
  <c r="L90" i="5"/>
  <c r="L113" i="5"/>
  <c r="L38" i="5"/>
  <c r="L140" i="5"/>
  <c r="L356" i="5"/>
  <c r="L291" i="5"/>
  <c r="L26" i="5"/>
  <c r="L15" i="175"/>
  <c r="L43" i="5"/>
  <c r="L196" i="5"/>
  <c r="N13" i="169"/>
  <c r="L30" i="178" s="1"/>
  <c r="L158" i="146"/>
  <c r="L6" i="146"/>
  <c r="L378" i="5"/>
  <c r="L215" i="5"/>
  <c r="N3" i="7"/>
  <c r="L40" i="178" s="1"/>
  <c r="L234" i="5"/>
  <c r="L367" i="5"/>
  <c r="L142" i="5"/>
  <c r="L352" i="5"/>
  <c r="L47" i="5"/>
  <c r="L182" i="5"/>
  <c r="L203" i="5"/>
  <c r="L9" i="150"/>
  <c r="L20" i="5"/>
  <c r="L375" i="5"/>
  <c r="N9" i="126"/>
  <c r="L73" i="5"/>
  <c r="L51" i="5"/>
  <c r="L30" i="5"/>
  <c r="L70" i="5"/>
  <c r="L314" i="5"/>
  <c r="N7" i="145"/>
  <c r="L6" i="174"/>
  <c r="L100" i="146"/>
  <c r="L303" i="5"/>
  <c r="L225" i="5"/>
  <c r="L71" i="146"/>
  <c r="L334" i="5"/>
  <c r="L120" i="146"/>
  <c r="L158" i="5"/>
  <c r="L354" i="5"/>
  <c r="L3" i="146"/>
  <c r="N13" i="126"/>
  <c r="L34" i="146"/>
  <c r="L59" i="5"/>
  <c r="L48" i="5"/>
  <c r="L42" i="5"/>
  <c r="L83" i="146"/>
  <c r="L4" i="149"/>
  <c r="L96" i="5"/>
  <c r="L190" i="5"/>
  <c r="L72" i="5"/>
  <c r="L102" i="146"/>
  <c r="N15" i="129"/>
  <c r="L154" i="5"/>
  <c r="L125" i="5"/>
  <c r="L49" i="5"/>
  <c r="N35" i="143"/>
  <c r="N37" i="126"/>
  <c r="L138" i="146"/>
  <c r="L27" i="146"/>
  <c r="L59" i="146"/>
  <c r="L212" i="5"/>
  <c r="N11" i="145"/>
  <c r="L242" i="5"/>
  <c r="L187" i="5"/>
  <c r="L23" i="5"/>
  <c r="L353" i="5"/>
  <c r="L227" i="5"/>
  <c r="L250" i="5"/>
  <c r="L134" i="5"/>
  <c r="N51" i="126"/>
  <c r="L44" i="5"/>
  <c r="L266" i="5"/>
  <c r="L8" i="146"/>
  <c r="L317" i="5"/>
  <c r="L127" i="5"/>
  <c r="L365" i="5"/>
  <c r="L312" i="5"/>
  <c r="L52" i="5"/>
  <c r="L364" i="5"/>
  <c r="L245" i="5"/>
  <c r="L179" i="146"/>
  <c r="L13" i="175"/>
  <c r="L65" i="146"/>
  <c r="L166" i="146"/>
  <c r="L175" i="146"/>
  <c r="N17" i="128"/>
  <c r="L74" i="5"/>
  <c r="N13" i="143"/>
  <c r="N5" i="131"/>
  <c r="L135" i="5"/>
  <c r="L31" i="5"/>
  <c r="L5" i="5"/>
  <c r="L373" i="5"/>
  <c r="L371" i="5"/>
  <c r="N41" i="126"/>
  <c r="L293" i="5"/>
  <c r="N35" i="128"/>
  <c r="L8" i="149"/>
  <c r="L160" i="146"/>
  <c r="L149" i="146"/>
  <c r="L109" i="5"/>
  <c r="L64" i="5"/>
  <c r="L16" i="174"/>
  <c r="N11" i="126"/>
  <c r="L12" i="146"/>
  <c r="L69" i="5"/>
  <c r="L331" i="5"/>
  <c r="L58" i="146"/>
  <c r="L90" i="146"/>
  <c r="L340" i="5"/>
  <c r="L246" i="5"/>
  <c r="L205" i="5"/>
  <c r="N31" i="169"/>
  <c r="L34" i="178" s="1"/>
  <c r="L66" i="146"/>
  <c r="L332" i="5"/>
  <c r="N17" i="145"/>
  <c r="L21" i="178" s="1"/>
  <c r="L228" i="5"/>
  <c r="L54" i="5"/>
  <c r="L189" i="146"/>
  <c r="L41" i="146"/>
  <c r="N5" i="128"/>
  <c r="L24" i="174"/>
  <c r="L172" i="146"/>
  <c r="N25" i="169"/>
  <c r="L32" i="178" s="1"/>
  <c r="L13" i="5"/>
  <c r="L256" i="5"/>
  <c r="L117" i="5"/>
  <c r="L333" i="5"/>
  <c r="L163" i="146"/>
  <c r="L60" i="5"/>
  <c r="N6" i="129"/>
  <c r="L188" i="146"/>
  <c r="L330" i="5"/>
  <c r="L165" i="5"/>
  <c r="L347" i="5"/>
  <c r="L79" i="5"/>
  <c r="N21" i="130"/>
  <c r="L10" i="150"/>
  <c r="L181" i="5"/>
  <c r="L53" i="146"/>
  <c r="L187" i="146"/>
  <c r="L7" i="146"/>
  <c r="L6" i="150"/>
  <c r="L161" i="5"/>
  <c r="L111" i="146"/>
  <c r="L108" i="146"/>
  <c r="N3" i="169"/>
  <c r="L155" i="146"/>
  <c r="L169" i="146"/>
  <c r="L3" i="150"/>
  <c r="L36" i="146"/>
  <c r="L147" i="146"/>
  <c r="N11" i="128"/>
  <c r="L174" i="5"/>
  <c r="L304" i="5"/>
  <c r="L98" i="5"/>
  <c r="N15" i="126"/>
  <c r="L255" i="5"/>
  <c r="L4" i="146"/>
  <c r="L159" i="146"/>
  <c r="N9" i="7"/>
  <c r="L26" i="178" s="1"/>
  <c r="L305" i="5"/>
  <c r="L139" i="146"/>
  <c r="L123" i="5"/>
  <c r="L111" i="5"/>
  <c r="L54" i="146"/>
  <c r="L174" i="146"/>
  <c r="L294" i="5"/>
  <c r="N7" i="126"/>
  <c r="L45" i="146"/>
  <c r="N25" i="145"/>
  <c r="L23" i="178" s="1"/>
  <c r="L355" i="5"/>
  <c r="L2" i="142"/>
  <c r="L39" i="5"/>
  <c r="L53" i="5"/>
  <c r="L19" i="174"/>
  <c r="L321" i="5"/>
  <c r="L2" i="149"/>
  <c r="L292" i="5"/>
  <c r="L56" i="146"/>
  <c r="L315" i="5"/>
  <c r="L43" i="146"/>
  <c r="L106" i="146"/>
  <c r="L73" i="146"/>
  <c r="L123" i="146"/>
  <c r="L81" i="146"/>
  <c r="L164" i="5"/>
  <c r="L186" i="146"/>
  <c r="L341" i="5"/>
  <c r="L297" i="5"/>
  <c r="L97" i="146"/>
  <c r="L199" i="5"/>
  <c r="L155" i="5"/>
  <c r="N39" i="126"/>
  <c r="L112" i="146"/>
  <c r="L2" i="150"/>
  <c r="L11" i="150"/>
  <c r="L16" i="5"/>
  <c r="L72" i="146"/>
  <c r="N33" i="143"/>
  <c r="L118" i="146"/>
  <c r="L12" i="174"/>
  <c r="L326" i="5"/>
  <c r="L213" i="5"/>
  <c r="L319" i="5"/>
  <c r="L35" i="5"/>
  <c r="N21" i="169"/>
  <c r="N33" i="126"/>
  <c r="L276" i="5"/>
  <c r="L237" i="5"/>
  <c r="N3" i="135"/>
  <c r="L80" i="5"/>
  <c r="L115" i="5"/>
  <c r="L50" i="5"/>
  <c r="L84" i="5"/>
  <c r="L164" i="146"/>
  <c r="L180" i="146"/>
  <c r="L14" i="175"/>
  <c r="N17" i="169"/>
  <c r="L7" i="149"/>
  <c r="L104" i="146"/>
  <c r="L86" i="5"/>
  <c r="L4" i="142"/>
  <c r="L169" i="5"/>
  <c r="L55" i="5"/>
  <c r="N45" i="126"/>
  <c r="L379" i="5"/>
  <c r="L265" i="5"/>
  <c r="L173" i="146"/>
  <c r="L162" i="146"/>
  <c r="N9" i="145"/>
  <c r="L4" i="174"/>
  <c r="L146" i="5"/>
  <c r="L7" i="174"/>
  <c r="L51" i="146"/>
  <c r="L11" i="5"/>
  <c r="L219" i="5"/>
  <c r="L133" i="146"/>
  <c r="L121" i="5"/>
  <c r="L122" i="5"/>
  <c r="N29" i="143"/>
  <c r="N9" i="143"/>
  <c r="L167" i="146"/>
  <c r="L346" i="5"/>
  <c r="L278" i="5"/>
  <c r="L18" i="175"/>
  <c r="L40" i="5"/>
  <c r="L10" i="174"/>
  <c r="N25" i="128"/>
  <c r="L89" i="5"/>
  <c r="L191" i="5"/>
  <c r="L131" i="5"/>
  <c r="N24" i="129"/>
  <c r="L177" i="146"/>
  <c r="L56" i="5"/>
  <c r="L24" i="146"/>
  <c r="N13" i="145"/>
  <c r="L22" i="5"/>
  <c r="L156" i="146"/>
  <c r="L28" i="5"/>
  <c r="L11" i="175"/>
  <c r="N17" i="143"/>
  <c r="L287" i="5"/>
  <c r="L117" i="146"/>
  <c r="L138" i="5"/>
  <c r="N9" i="128"/>
  <c r="L67" i="146"/>
  <c r="L76" i="146"/>
  <c r="L200" i="5"/>
  <c r="L18" i="5"/>
  <c r="L344" i="5"/>
  <c r="L3" i="5"/>
  <c r="L129" i="146"/>
  <c r="L338" i="5"/>
  <c r="N5" i="169"/>
  <c r="L369" i="5"/>
  <c r="L160" i="5"/>
  <c r="L64" i="146"/>
  <c r="L171" i="5"/>
  <c r="L241" i="5"/>
  <c r="N41" i="128"/>
  <c r="N7" i="7"/>
  <c r="L42" i="146"/>
  <c r="L269" i="5"/>
  <c r="L139" i="5"/>
  <c r="N7" i="169"/>
  <c r="L27" i="178" s="1"/>
  <c r="L254" i="5"/>
  <c r="L2" i="5"/>
  <c r="L337" i="5"/>
  <c r="L19" i="146"/>
  <c r="L306" i="5"/>
  <c r="L300" i="5"/>
  <c r="L258" i="5"/>
  <c r="L17" i="175"/>
  <c r="L310" i="5"/>
  <c r="L13" i="146"/>
  <c r="L131" i="146"/>
  <c r="L208" i="5"/>
  <c r="L119" i="146"/>
  <c r="L188" i="5"/>
  <c r="L29" i="146"/>
  <c r="L46" i="5"/>
  <c r="L149" i="5"/>
  <c r="N9" i="130"/>
  <c r="L103" i="5"/>
  <c r="L88" i="5"/>
  <c r="L176" i="5"/>
  <c r="N5" i="7"/>
  <c r="L15" i="174"/>
  <c r="L272" i="5"/>
  <c r="L176" i="146"/>
  <c r="L363" i="5"/>
  <c r="L101" i="5"/>
  <c r="L2" i="146"/>
  <c r="N7" i="128"/>
  <c r="L211" i="5"/>
  <c r="L370" i="5"/>
  <c r="L249" i="5"/>
  <c r="L183" i="146"/>
  <c r="L183" i="5"/>
  <c r="L37" i="146"/>
  <c r="L129" i="5"/>
  <c r="L112" i="5"/>
  <c r="L5" i="175"/>
  <c r="L165" i="146"/>
  <c r="L114" i="5"/>
  <c r="L68" i="146"/>
  <c r="N5" i="145"/>
  <c r="L52" i="146"/>
  <c r="N3" i="136"/>
  <c r="N13" i="130"/>
  <c r="L318" i="5"/>
  <c r="L92" i="5"/>
  <c r="L33" i="5"/>
  <c r="L55" i="146"/>
  <c r="N3" i="127"/>
  <c r="L3" i="178" s="1"/>
  <c r="L172" i="5"/>
  <c r="L189" i="5"/>
  <c r="L62" i="146"/>
  <c r="N5" i="135"/>
  <c r="L239" i="5"/>
  <c r="N40" i="129"/>
  <c r="L308" i="5"/>
  <c r="L218" i="5"/>
  <c r="L2" i="174"/>
  <c r="L63" i="146"/>
  <c r="N3" i="139"/>
  <c r="L4" i="175"/>
  <c r="N11" i="169"/>
  <c r="L29" i="178" s="1"/>
  <c r="L85" i="146"/>
  <c r="L113" i="146"/>
  <c r="L87" i="146"/>
  <c r="N3" i="126"/>
  <c r="L18" i="174"/>
  <c r="L18" i="146"/>
  <c r="L302" i="5"/>
  <c r="L116" i="146"/>
  <c r="L263" i="5"/>
  <c r="L243" i="5"/>
  <c r="L171" i="146"/>
  <c r="L286" i="5"/>
  <c r="N21" i="145"/>
  <c r="L22" i="178" s="1"/>
  <c r="N3" i="134"/>
  <c r="L3" i="175"/>
  <c r="L109" i="146"/>
  <c r="L209" i="5"/>
  <c r="N39" i="128"/>
  <c r="L93" i="5"/>
  <c r="L11" i="146"/>
  <c r="N49" i="126"/>
  <c r="L313" i="5"/>
  <c r="L32" i="5"/>
  <c r="L41" i="5"/>
  <c r="L329" i="5"/>
  <c r="L105" i="146"/>
  <c r="N9" i="169"/>
  <c r="L28" i="178" s="1"/>
  <c r="L15" i="146"/>
  <c r="L360" i="5"/>
  <c r="L342" i="5"/>
  <c r="L17" i="146"/>
  <c r="L61" i="146"/>
  <c r="L2" i="175"/>
  <c r="L147" i="5"/>
  <c r="L127" i="146"/>
  <c r="L253" i="5"/>
  <c r="L46" i="146"/>
  <c r="L78" i="5"/>
  <c r="L120" i="5"/>
  <c r="N5" i="126"/>
  <c r="L119" i="5"/>
  <c r="L19" i="175"/>
  <c r="L12" i="176" s="1"/>
  <c r="L151" i="5"/>
  <c r="L327" i="5"/>
  <c r="N7" i="139"/>
  <c r="L3" i="149"/>
  <c r="L279" i="5"/>
  <c r="L206" i="5"/>
  <c r="L261" i="5"/>
  <c r="L361" i="5"/>
  <c r="L193" i="5"/>
  <c r="L75" i="5"/>
  <c r="L57" i="146"/>
  <c r="L270" i="5"/>
  <c r="L197" i="5"/>
  <c r="L45" i="5"/>
  <c r="L6" i="149"/>
  <c r="N31" i="143"/>
  <c r="L38" i="178" s="1"/>
  <c r="L81" i="5"/>
  <c r="L78" i="146"/>
  <c r="L47" i="146"/>
  <c r="L32" i="146"/>
  <c r="L168" i="146"/>
  <c r="L284" i="5"/>
  <c r="L339" i="5"/>
  <c r="L92" i="146"/>
  <c r="L114" i="146"/>
  <c r="L7" i="175"/>
  <c r="L153" i="146"/>
  <c r="L132" i="146"/>
  <c r="L229" i="5"/>
  <c r="L33" i="146"/>
  <c r="L170" i="5"/>
  <c r="L295" i="5"/>
  <c r="L324" i="5"/>
  <c r="N19" i="145"/>
  <c r="L271" i="5"/>
  <c r="L50" i="146"/>
  <c r="L100" i="5"/>
  <c r="L281" i="5"/>
  <c r="L69" i="146"/>
  <c r="L22" i="174"/>
  <c r="L38" i="146"/>
  <c r="N17" i="130"/>
  <c r="N21" i="143"/>
  <c r="N23" i="169"/>
  <c r="L31" i="178" s="1"/>
  <c r="L273" i="5"/>
  <c r="N15" i="169"/>
  <c r="L220" i="5"/>
  <c r="L21" i="146"/>
  <c r="L336" i="5"/>
  <c r="L376" i="5"/>
  <c r="L202" i="5"/>
  <c r="N25" i="126"/>
  <c r="L274" i="5"/>
  <c r="L247" i="5"/>
  <c r="L7" i="5"/>
  <c r="L182" i="146"/>
  <c r="L103" i="146"/>
  <c r="N3" i="128"/>
  <c r="L145" i="5"/>
  <c r="L148" i="146"/>
  <c r="L82" i="146"/>
  <c r="L67" i="5"/>
  <c r="L93" i="146"/>
  <c r="L259" i="5"/>
  <c r="L357" i="5"/>
  <c r="L267" i="5"/>
  <c r="L34" i="5"/>
  <c r="L6" i="175"/>
  <c r="L150" i="5"/>
  <c r="L184" i="5"/>
  <c r="L350" i="5"/>
  <c r="L39" i="146"/>
  <c r="L320" i="5"/>
  <c r="N36" i="129"/>
  <c r="N17" i="126"/>
  <c r="L41" i="178" s="1"/>
  <c r="L12" i="175"/>
  <c r="L5" i="150"/>
  <c r="N33" i="169"/>
  <c r="L35" i="178" s="1"/>
  <c r="N23" i="126"/>
  <c r="L257" i="5"/>
  <c r="L232" i="5"/>
  <c r="L143" i="5"/>
  <c r="L152" i="5"/>
  <c r="N27" i="169"/>
  <c r="L33" i="178" s="1"/>
  <c r="N32" i="129"/>
  <c r="N27" i="128"/>
  <c r="N5" i="139"/>
  <c r="L358" i="5"/>
  <c r="L126" i="5"/>
  <c r="L142" i="146"/>
  <c r="N29" i="126"/>
  <c r="N21" i="126"/>
  <c r="L61" i="5"/>
  <c r="L107" i="146"/>
  <c r="L121" i="146"/>
  <c r="L65" i="5"/>
  <c r="L173" i="5"/>
  <c r="L58" i="5"/>
  <c r="N19" i="129"/>
  <c r="L19" i="5"/>
  <c r="N9" i="131"/>
  <c r="L143" i="146"/>
  <c r="L128" i="5"/>
  <c r="L222" i="5"/>
  <c r="L216" i="5"/>
  <c r="N35" i="126"/>
  <c r="L223" i="5"/>
  <c r="L148" i="5"/>
  <c r="L236" i="5"/>
  <c r="L235" i="5"/>
  <c r="L154" i="146"/>
  <c r="L89" i="146"/>
  <c r="L23" i="174"/>
  <c r="L157" i="5"/>
  <c r="L191" i="146"/>
  <c r="L153" i="5"/>
  <c r="L15" i="5"/>
  <c r="L345" i="5"/>
  <c r="L374" i="5"/>
  <c r="L91" i="146"/>
  <c r="L162" i="5"/>
  <c r="L25" i="146"/>
  <c r="L299" i="5"/>
  <c r="L311" i="5"/>
  <c r="L157" i="146"/>
  <c r="N3" i="149"/>
  <c r="N7" i="149"/>
  <c r="O1" i="129"/>
  <c r="N1" i="129"/>
  <c r="K1" i="129"/>
  <c r="O1" i="7"/>
  <c r="N1" i="7"/>
  <c r="K1" i="7"/>
  <c r="O1" i="128"/>
  <c r="N1" i="128"/>
  <c r="K1" i="128"/>
  <c r="O3" i="127"/>
  <c r="M3" i="178" s="1"/>
  <c r="O1" i="127"/>
  <c r="N1" i="127"/>
  <c r="K1" i="127"/>
  <c r="K2" i="176"/>
  <c r="K3" i="176"/>
  <c r="K4" i="176"/>
  <c r="K5" i="176"/>
  <c r="K6" i="176"/>
  <c r="K7" i="176"/>
  <c r="K8" i="176"/>
  <c r="K9" i="176"/>
  <c r="K10" i="176"/>
  <c r="K11" i="176"/>
  <c r="I2" i="176"/>
  <c r="I3" i="176"/>
  <c r="I4" i="176"/>
  <c r="I5" i="176"/>
  <c r="I6" i="176"/>
  <c r="I7" i="176"/>
  <c r="I8" i="176"/>
  <c r="I9" i="176"/>
  <c r="I10" i="176"/>
  <c r="I11" i="176"/>
  <c r="N1" i="176"/>
  <c r="M1" i="176"/>
  <c r="L1" i="176"/>
  <c r="I1" i="176"/>
  <c r="N1" i="166"/>
  <c r="M1" i="166"/>
  <c r="L1" i="166"/>
  <c r="I1" i="166"/>
  <c r="N1" i="150"/>
  <c r="M1" i="150"/>
  <c r="L1" i="150"/>
  <c r="I1" i="150"/>
  <c r="M1" i="146"/>
  <c r="L1" i="146"/>
  <c r="I1" i="146"/>
  <c r="N1" i="149"/>
  <c r="M1" i="149"/>
  <c r="L1" i="149"/>
  <c r="I1" i="149"/>
  <c r="N1" i="142"/>
  <c r="M1" i="142"/>
  <c r="L1" i="142"/>
  <c r="I1" i="142"/>
  <c r="N1" i="175"/>
  <c r="M1" i="175"/>
  <c r="L1" i="175"/>
  <c r="I1" i="175"/>
  <c r="N1" i="174"/>
  <c r="M1" i="174"/>
  <c r="L1" i="174"/>
  <c r="I1" i="174"/>
  <c r="K1" i="126"/>
  <c r="K2" i="177"/>
  <c r="J2" i="177"/>
  <c r="I2" i="177"/>
  <c r="H2" i="177"/>
  <c r="G2" i="177"/>
  <c r="F2" i="177"/>
  <c r="E2" i="177"/>
  <c r="D2" i="177"/>
  <c r="C2" i="177"/>
  <c r="B49" i="177"/>
  <c r="B99" i="177" s="1"/>
  <c r="B48" i="177"/>
  <c r="B98" i="177" s="1"/>
  <c r="B47" i="177"/>
  <c r="B97" i="177" s="1"/>
  <c r="B46" i="177"/>
  <c r="B96" i="177" s="1"/>
  <c r="B45" i="177"/>
  <c r="B95" i="177" s="1"/>
  <c r="B44" i="177"/>
  <c r="B94" i="177" s="1"/>
  <c r="B43" i="177"/>
  <c r="B93" i="177" s="1"/>
  <c r="B42" i="177"/>
  <c r="B92" i="177" s="1"/>
  <c r="B41" i="177"/>
  <c r="B91" i="177" s="1"/>
  <c r="B40" i="177"/>
  <c r="B90" i="177" s="1"/>
  <c r="B39" i="177"/>
  <c r="B89" i="177" s="1"/>
  <c r="B38" i="177"/>
  <c r="B88" i="177" s="1"/>
  <c r="B37" i="177"/>
  <c r="B87" i="177" s="1"/>
  <c r="B36" i="177"/>
  <c r="B86" i="177" s="1"/>
  <c r="B35" i="177"/>
  <c r="B85" i="177" s="1"/>
  <c r="B34" i="177"/>
  <c r="B84" i="177" s="1"/>
  <c r="B33" i="177"/>
  <c r="B83" i="177" s="1"/>
  <c r="B32" i="177"/>
  <c r="B82" i="177" s="1"/>
  <c r="B31" i="177"/>
  <c r="B81" i="177" s="1"/>
  <c r="B30" i="177"/>
  <c r="B80" i="177" s="1"/>
  <c r="B29" i="177"/>
  <c r="B79" i="177" s="1"/>
  <c r="B28" i="177"/>
  <c r="B78" i="177" s="1"/>
  <c r="B27" i="177"/>
  <c r="B77" i="177" s="1"/>
  <c r="B26" i="177"/>
  <c r="B76" i="177" s="1"/>
  <c r="B25" i="177"/>
  <c r="B75" i="177" s="1"/>
  <c r="B24" i="177"/>
  <c r="B74" i="177" s="1"/>
  <c r="B23" i="177"/>
  <c r="B73" i="177" s="1"/>
  <c r="B22" i="177"/>
  <c r="B72" i="177" s="1"/>
  <c r="B21" i="177"/>
  <c r="B71" i="177" s="1"/>
  <c r="B20" i="177"/>
  <c r="B70" i="177" s="1"/>
  <c r="B19" i="177"/>
  <c r="B69" i="177" s="1"/>
  <c r="B18" i="177"/>
  <c r="B68" i="177" s="1"/>
  <c r="B17" i="177"/>
  <c r="B67" i="177" s="1"/>
  <c r="B16" i="177"/>
  <c r="B66" i="177" s="1"/>
  <c r="B15" i="177"/>
  <c r="B65" i="177" s="1"/>
  <c r="B14" i="177"/>
  <c r="B64" i="177" s="1"/>
  <c r="B13" i="177"/>
  <c r="B63" i="177" s="1"/>
  <c r="B12" i="177"/>
  <c r="B62" i="177" s="1"/>
  <c r="B11" i="177"/>
  <c r="B61" i="177" s="1"/>
  <c r="B10" i="177"/>
  <c r="B60" i="177" s="1"/>
  <c r="B9" i="177"/>
  <c r="B59" i="177" s="1"/>
  <c r="B8" i="177"/>
  <c r="B58" i="177" s="1"/>
  <c r="B7" i="177"/>
  <c r="B57" i="177" s="1"/>
  <c r="B6" i="177"/>
  <c r="B56" i="177" s="1"/>
  <c r="B5" i="177"/>
  <c r="B55" i="177" s="1"/>
  <c r="B4" i="177"/>
  <c r="B54" i="177" s="1"/>
  <c r="B3" i="177"/>
  <c r="B53" i="177" s="1"/>
  <c r="BC2" i="177"/>
  <c r="BB2" i="177"/>
  <c r="BA2" i="177"/>
  <c r="AZ2" i="177"/>
  <c r="AY2" i="177"/>
  <c r="AX2" i="177"/>
  <c r="AW2" i="177"/>
  <c r="AV2" i="177"/>
  <c r="AU2" i="177"/>
  <c r="AT2" i="177"/>
  <c r="AS2" i="177"/>
  <c r="AR2" i="177"/>
  <c r="AQ2" i="177"/>
  <c r="AP2" i="177"/>
  <c r="AO2" i="177"/>
  <c r="AN2" i="177"/>
  <c r="AM2" i="177"/>
  <c r="AL2" i="177"/>
  <c r="AK2" i="177"/>
  <c r="AJ2" i="177"/>
  <c r="AI2" i="177"/>
  <c r="AH2" i="177"/>
  <c r="AG2" i="177"/>
  <c r="AF2" i="177"/>
  <c r="AE2" i="177"/>
  <c r="AD2" i="177"/>
  <c r="AC2" i="177"/>
  <c r="AB2" i="177"/>
  <c r="AA2" i="177"/>
  <c r="Z2" i="177"/>
  <c r="Y2" i="177"/>
  <c r="X2" i="177"/>
  <c r="W2" i="177"/>
  <c r="V2" i="177"/>
  <c r="U2" i="177"/>
  <c r="T2" i="177"/>
  <c r="S2" i="177"/>
  <c r="R2" i="177"/>
  <c r="Q2" i="177"/>
  <c r="P2" i="177"/>
  <c r="O2" i="177"/>
  <c r="N2" i="177"/>
  <c r="M2" i="177"/>
  <c r="L2" i="177"/>
  <c r="E1" i="152" l="1" a="1"/>
  <c r="E1" i="152" s="1"/>
  <c r="I1" i="5"/>
  <c r="N1" i="5" l="1"/>
  <c r="O11" i="176"/>
  <c r="O10" i="176"/>
  <c r="O9" i="176"/>
  <c r="O8" i="176"/>
  <c r="O7" i="176"/>
  <c r="O6" i="176"/>
  <c r="O5" i="176"/>
  <c r="O4" i="176"/>
  <c r="O3" i="176"/>
  <c r="O2" i="176"/>
  <c r="B10" i="176"/>
  <c r="B3" i="176"/>
  <c r="B4" i="176"/>
  <c r="B5" i="176"/>
  <c r="B6" i="176"/>
  <c r="B7" i="176"/>
  <c r="B8" i="176"/>
  <c r="B9" i="176"/>
  <c r="B2" i="176"/>
  <c r="O1" i="176"/>
  <c r="H1" i="176"/>
  <c r="G1" i="176"/>
  <c r="F1" i="176"/>
  <c r="E1" i="176"/>
  <c r="N1" i="130"/>
  <c r="N1" i="126"/>
  <c r="L1" i="5"/>
  <c r="P24" i="129"/>
  <c r="D20" i="129"/>
  <c r="P15" i="129"/>
  <c r="D11" i="129"/>
  <c r="G12" i="129"/>
  <c r="G21" i="129"/>
  <c r="H21" i="129"/>
  <c r="J21" i="129"/>
  <c r="H12" i="129"/>
  <c r="J12" i="129"/>
  <c r="C21" i="129"/>
  <c r="B21" i="129"/>
  <c r="C12" i="129"/>
  <c r="B12" i="129"/>
  <c r="D3" i="129"/>
  <c r="P6" i="129" s="1"/>
  <c r="F12" i="175"/>
  <c r="F13" i="175"/>
  <c r="F14" i="175"/>
  <c r="F15" i="175"/>
  <c r="F16" i="175"/>
  <c r="F17" i="175"/>
  <c r="F18" i="175"/>
  <c r="F19" i="175"/>
  <c r="C38" i="169"/>
  <c r="G3" i="129"/>
  <c r="H3" i="129"/>
  <c r="J3" i="129"/>
  <c r="B3" i="129"/>
  <c r="C3" i="129"/>
  <c r="B191" i="146"/>
  <c r="B189" i="146"/>
  <c r="B187" i="146"/>
  <c r="B185" i="146"/>
  <c r="B183" i="146"/>
  <c r="B181" i="146"/>
  <c r="B179" i="146"/>
  <c r="B177" i="146"/>
  <c r="B175" i="146"/>
  <c r="B173" i="146"/>
  <c r="B171" i="146"/>
  <c r="B169" i="146"/>
  <c r="B167" i="146"/>
  <c r="B165" i="146"/>
  <c r="B163" i="146"/>
  <c r="B161" i="146"/>
  <c r="B159" i="146"/>
  <c r="B157" i="146"/>
  <c r="B155" i="146"/>
  <c r="B153" i="146"/>
  <c r="B151" i="146"/>
  <c r="B149" i="146"/>
  <c r="B147" i="146"/>
  <c r="B145" i="146"/>
  <c r="B143" i="146"/>
  <c r="B141" i="146"/>
  <c r="B139" i="146"/>
  <c r="B137" i="146"/>
  <c r="B135" i="146"/>
  <c r="B133" i="146"/>
  <c r="B131" i="146"/>
  <c r="B129" i="146"/>
  <c r="B127" i="146"/>
  <c r="B125" i="146"/>
  <c r="B123" i="146"/>
  <c r="B121" i="146"/>
  <c r="B119" i="146"/>
  <c r="B117" i="146"/>
  <c r="B115" i="146"/>
  <c r="B113" i="146"/>
  <c r="B111" i="146"/>
  <c r="B109" i="146"/>
  <c r="B107" i="146"/>
  <c r="B105" i="146"/>
  <c r="B103" i="146"/>
  <c r="B101" i="146"/>
  <c r="B99" i="146"/>
  <c r="B97" i="146"/>
  <c r="B95" i="146"/>
  <c r="B93" i="146"/>
  <c r="B91" i="146"/>
  <c r="B89" i="146"/>
  <c r="B87" i="146"/>
  <c r="B85" i="146"/>
  <c r="B83" i="146"/>
  <c r="B81" i="146"/>
  <c r="B79" i="146"/>
  <c r="B77" i="146"/>
  <c r="B75" i="146"/>
  <c r="B73" i="146"/>
  <c r="B71" i="146"/>
  <c r="B69" i="146"/>
  <c r="B67" i="146"/>
  <c r="B65" i="146"/>
  <c r="B63" i="146"/>
  <c r="B61" i="146"/>
  <c r="B59" i="146"/>
  <c r="B57" i="146"/>
  <c r="B55" i="146"/>
  <c r="B53" i="146"/>
  <c r="B51" i="146"/>
  <c r="B49" i="146"/>
  <c r="B47" i="146"/>
  <c r="B45" i="146"/>
  <c r="B43" i="146"/>
  <c r="B41" i="146"/>
  <c r="B39" i="146"/>
  <c r="B37" i="146"/>
  <c r="B35" i="146"/>
  <c r="B33" i="146"/>
  <c r="B31" i="146"/>
  <c r="B29" i="146"/>
  <c r="B27" i="146"/>
  <c r="B25" i="146"/>
  <c r="B23" i="146"/>
  <c r="B21" i="146"/>
  <c r="B19" i="146"/>
  <c r="B17" i="146"/>
  <c r="B15" i="146"/>
  <c r="B13" i="146"/>
  <c r="B11" i="146"/>
  <c r="B9" i="146"/>
  <c r="B7" i="146"/>
  <c r="B5" i="146"/>
  <c r="B3" i="146"/>
  <c r="B18" i="175"/>
  <c r="B17" i="175"/>
  <c r="B16" i="175"/>
  <c r="B15" i="175"/>
  <c r="B14" i="175"/>
  <c r="B12" i="175"/>
  <c r="B11" i="175"/>
  <c r="B10" i="175"/>
  <c r="B9" i="175"/>
  <c r="B8" i="175"/>
  <c r="A9" i="175"/>
  <c r="A10" i="175"/>
  <c r="A11" i="175"/>
  <c r="A12" i="175"/>
  <c r="A13" i="175"/>
  <c r="A14" i="175"/>
  <c r="A15" i="175"/>
  <c r="A16" i="175"/>
  <c r="A17" i="175"/>
  <c r="A18" i="175"/>
  <c r="A19" i="175"/>
  <c r="C19" i="175"/>
  <c r="C18" i="175"/>
  <c r="C17" i="175"/>
  <c r="C16" i="175"/>
  <c r="C15" i="175"/>
  <c r="C14" i="175"/>
  <c r="C13" i="175"/>
  <c r="C12" i="175"/>
  <c r="C11" i="175"/>
  <c r="C10" i="175"/>
  <c r="C9" i="175"/>
  <c r="C8" i="175"/>
  <c r="B20" i="175"/>
  <c r="A20" i="175"/>
  <c r="C7" i="175"/>
  <c r="C6" i="175"/>
  <c r="C5" i="175"/>
  <c r="C4" i="175"/>
  <c r="C3" i="175"/>
  <c r="C2" i="175"/>
  <c r="B6" i="175"/>
  <c r="B5" i="175"/>
  <c r="B4" i="175"/>
  <c r="B3" i="175"/>
  <c r="B2" i="175"/>
  <c r="C42" i="129"/>
  <c r="C38" i="129"/>
  <c r="C9" i="7"/>
  <c r="F3" i="175"/>
  <c r="F4" i="175"/>
  <c r="F5" i="175"/>
  <c r="F6" i="175"/>
  <c r="F7" i="175"/>
  <c r="F8" i="175"/>
  <c r="F9" i="175"/>
  <c r="F10" i="175"/>
  <c r="F11" i="175"/>
  <c r="A3" i="175"/>
  <c r="A4" i="175"/>
  <c r="A5" i="175"/>
  <c r="A6" i="175"/>
  <c r="A7" i="175"/>
  <c r="A8" i="175"/>
  <c r="H20" i="175"/>
  <c r="E20" i="175"/>
  <c r="M19" i="175"/>
  <c r="M12" i="176" s="1"/>
  <c r="H19" i="175"/>
  <c r="G19" i="175"/>
  <c r="E19" i="175"/>
  <c r="M18" i="175"/>
  <c r="H18" i="175"/>
  <c r="G18" i="175"/>
  <c r="E18" i="175"/>
  <c r="N18" i="175" s="1"/>
  <c r="M17" i="175"/>
  <c r="H17" i="175"/>
  <c r="G17" i="175"/>
  <c r="E17" i="175"/>
  <c r="N17" i="175" s="1"/>
  <c r="M16" i="175"/>
  <c r="H16" i="175"/>
  <c r="G16" i="175"/>
  <c r="E16" i="175"/>
  <c r="N16" i="175" s="1"/>
  <c r="M15" i="175"/>
  <c r="H15" i="175"/>
  <c r="G15" i="175"/>
  <c r="E15" i="175"/>
  <c r="M14" i="175"/>
  <c r="H14" i="175"/>
  <c r="G14" i="175"/>
  <c r="E14" i="175"/>
  <c r="N14" i="175" s="1"/>
  <c r="M13" i="175"/>
  <c r="H13" i="175"/>
  <c r="G13" i="175"/>
  <c r="E13" i="175"/>
  <c r="N13" i="175" s="1"/>
  <c r="M12" i="175"/>
  <c r="H12" i="175"/>
  <c r="G12" i="175"/>
  <c r="E12" i="175"/>
  <c r="M11" i="175"/>
  <c r="H11" i="175"/>
  <c r="G11" i="175"/>
  <c r="E11" i="175"/>
  <c r="N11" i="175" s="1"/>
  <c r="M10" i="175"/>
  <c r="H10" i="175"/>
  <c r="G10" i="175"/>
  <c r="E10" i="175"/>
  <c r="N10" i="175" s="1"/>
  <c r="M9" i="175"/>
  <c r="H9" i="175"/>
  <c r="G9" i="175"/>
  <c r="E9" i="175"/>
  <c r="N9" i="175" s="1"/>
  <c r="M8" i="175"/>
  <c r="H8" i="175"/>
  <c r="G8" i="175"/>
  <c r="E8" i="175"/>
  <c r="N8" i="175" s="1"/>
  <c r="M7" i="175"/>
  <c r="H7" i="175"/>
  <c r="G7" i="175"/>
  <c r="E7" i="175"/>
  <c r="M6" i="175"/>
  <c r="H6" i="175"/>
  <c r="G6" i="175"/>
  <c r="E6" i="175"/>
  <c r="N6" i="175" s="1"/>
  <c r="M5" i="175"/>
  <c r="H5" i="175"/>
  <c r="G5" i="175"/>
  <c r="E5" i="175"/>
  <c r="N5" i="175" s="1"/>
  <c r="A2" i="175"/>
  <c r="A11" i="176" s="1"/>
  <c r="M4" i="175"/>
  <c r="H4" i="175"/>
  <c r="G4" i="175"/>
  <c r="E4" i="175"/>
  <c r="N4" i="175" s="1"/>
  <c r="M3" i="175"/>
  <c r="H3" i="175"/>
  <c r="G3" i="175"/>
  <c r="E3" i="175"/>
  <c r="N3" i="175" s="1"/>
  <c r="M2" i="175"/>
  <c r="M11" i="176" s="1"/>
  <c r="H2" i="175"/>
  <c r="H11" i="176" s="1"/>
  <c r="G2" i="175"/>
  <c r="F2" i="175"/>
  <c r="F11" i="176" s="1"/>
  <c r="E2" i="175"/>
  <c r="N2" i="175" s="1"/>
  <c r="O1" i="175"/>
  <c r="H1" i="175"/>
  <c r="G1" i="175"/>
  <c r="F1" i="175"/>
  <c r="E1" i="175"/>
  <c r="AG36" i="171"/>
  <c r="A5" i="126"/>
  <c r="A7" i="126" s="1"/>
  <c r="A9" i="126" s="1"/>
  <c r="A11" i="126" s="1"/>
  <c r="A13" i="126" s="1"/>
  <c r="A15" i="126" s="1"/>
  <c r="A17" i="126" s="1"/>
  <c r="A19" i="126" s="1"/>
  <c r="A21" i="126" s="1"/>
  <c r="A23" i="126" s="1"/>
  <c r="A25" i="126" s="1"/>
  <c r="A27" i="126" s="1"/>
  <c r="A29" i="126" s="1"/>
  <c r="A31" i="126" s="1"/>
  <c r="A33" i="126" s="1"/>
  <c r="A35" i="126" s="1"/>
  <c r="A37" i="126" s="1"/>
  <c r="A39" i="126" s="1"/>
  <c r="A41" i="126" s="1"/>
  <c r="A43" i="126" s="1"/>
  <c r="A45" i="126" s="1"/>
  <c r="A47" i="126" s="1"/>
  <c r="A49" i="126" s="1"/>
  <c r="A51" i="126" s="1"/>
  <c r="A53" i="126" s="1"/>
  <c r="A3" i="127" s="1"/>
  <c r="A3" i="128" s="1"/>
  <c r="A5" i="128" s="1"/>
  <c r="A7" i="128" s="1"/>
  <c r="A9" i="128" s="1"/>
  <c r="A11" i="128" s="1"/>
  <c r="A13" i="128" s="1"/>
  <c r="A15" i="128" s="1"/>
  <c r="A17" i="128" s="1"/>
  <c r="A19" i="128" s="1"/>
  <c r="A21" i="128" s="1"/>
  <c r="A23" i="128" s="1"/>
  <c r="A25" i="128" s="1"/>
  <c r="A27" i="128" s="1"/>
  <c r="A29" i="128" s="1"/>
  <c r="A31" i="128" s="1"/>
  <c r="A33" i="128" s="1"/>
  <c r="A35" i="128" s="1"/>
  <c r="A37" i="128" s="1"/>
  <c r="A39" i="128" s="1"/>
  <c r="A41" i="128" s="1"/>
  <c r="A43" i="128" s="1"/>
  <c r="A3" i="7" s="1"/>
  <c r="A5" i="7" s="1"/>
  <c r="A7" i="7" s="1"/>
  <c r="A9" i="7" s="1"/>
  <c r="A11" i="7" s="1"/>
  <c r="A4" i="126"/>
  <c r="A6" i="126" s="1"/>
  <c r="A8" i="126" s="1"/>
  <c r="A10" i="126" s="1"/>
  <c r="A12" i="126" s="1"/>
  <c r="A14" i="126" s="1"/>
  <c r="A16" i="126" s="1"/>
  <c r="A18" i="126" s="1"/>
  <c r="A20" i="126" s="1"/>
  <c r="A22" i="126" s="1"/>
  <c r="A24" i="126" s="1"/>
  <c r="A26" i="126" s="1"/>
  <c r="A28" i="126" s="1"/>
  <c r="A30" i="126" s="1"/>
  <c r="A32" i="126" s="1"/>
  <c r="A34" i="126" s="1"/>
  <c r="A36" i="126" s="1"/>
  <c r="A38" i="126" s="1"/>
  <c r="A40" i="126" s="1"/>
  <c r="A42" i="126" s="1"/>
  <c r="A44" i="126" s="1"/>
  <c r="A46" i="126" s="1"/>
  <c r="A48" i="126" s="1"/>
  <c r="A50" i="126" s="1"/>
  <c r="A52" i="126" s="1"/>
  <c r="A2" i="127" s="1"/>
  <c r="A2" i="128" s="1"/>
  <c r="A4" i="128" s="1"/>
  <c r="A6" i="128" s="1"/>
  <c r="A8" i="128" s="1"/>
  <c r="A10" i="128" s="1"/>
  <c r="A12" i="128" s="1"/>
  <c r="A14" i="128" s="1"/>
  <c r="A16" i="128" s="1"/>
  <c r="A18" i="128" s="1"/>
  <c r="A20" i="128" s="1"/>
  <c r="A22" i="128" s="1"/>
  <c r="A24" i="128" s="1"/>
  <c r="A26" i="128" s="1"/>
  <c r="A28" i="128" s="1"/>
  <c r="A30" i="128" s="1"/>
  <c r="A32" i="128" s="1"/>
  <c r="A34" i="128" s="1"/>
  <c r="A36" i="128" s="1"/>
  <c r="A38" i="128" s="1"/>
  <c r="A40" i="128" s="1"/>
  <c r="A42" i="128" s="1"/>
  <c r="A2" i="7" s="1"/>
  <c r="A4" i="7" s="1"/>
  <c r="A6" i="7" s="1"/>
  <c r="A8" i="7" s="1"/>
  <c r="O3" i="7"/>
  <c r="O5" i="7"/>
  <c r="O7" i="7"/>
  <c r="M3" i="174"/>
  <c r="M4" i="174"/>
  <c r="M6" i="174"/>
  <c r="M7" i="174"/>
  <c r="M8" i="174"/>
  <c r="M10" i="174"/>
  <c r="M11" i="174"/>
  <c r="M12" i="174"/>
  <c r="M14" i="174"/>
  <c r="M15" i="174"/>
  <c r="M16" i="174"/>
  <c r="M18" i="174"/>
  <c r="M19" i="174"/>
  <c r="M20" i="174"/>
  <c r="M22" i="174"/>
  <c r="M23" i="174"/>
  <c r="M24" i="174"/>
  <c r="M2" i="174"/>
  <c r="H24" i="174"/>
  <c r="G24" i="174"/>
  <c r="F24" i="174"/>
  <c r="H23" i="174"/>
  <c r="G23" i="174"/>
  <c r="F23" i="174"/>
  <c r="H22" i="174"/>
  <c r="G22" i="174"/>
  <c r="F22" i="174"/>
  <c r="H16" i="174"/>
  <c r="G16" i="174"/>
  <c r="F16" i="174"/>
  <c r="H15" i="174"/>
  <c r="G15" i="174"/>
  <c r="F15" i="174"/>
  <c r="H14" i="174"/>
  <c r="G14" i="174"/>
  <c r="F14" i="174"/>
  <c r="H8" i="174"/>
  <c r="G8" i="174"/>
  <c r="F8" i="174"/>
  <c r="H7" i="174"/>
  <c r="G7" i="174"/>
  <c r="F7" i="174"/>
  <c r="H6" i="174"/>
  <c r="G6" i="174"/>
  <c r="F6" i="174"/>
  <c r="E6" i="174"/>
  <c r="E7" i="174"/>
  <c r="E8" i="174"/>
  <c r="E10" i="174"/>
  <c r="E11" i="174"/>
  <c r="E12" i="174"/>
  <c r="E14" i="174"/>
  <c r="E15" i="174"/>
  <c r="E16" i="174"/>
  <c r="E18" i="174"/>
  <c r="E19" i="174"/>
  <c r="E20" i="174"/>
  <c r="E22" i="174"/>
  <c r="E23" i="174"/>
  <c r="E24" i="174"/>
  <c r="B24" i="174"/>
  <c r="B23" i="174"/>
  <c r="B22" i="174"/>
  <c r="B16" i="174"/>
  <c r="B15" i="174"/>
  <c r="B14" i="174"/>
  <c r="B7" i="174"/>
  <c r="B8" i="174"/>
  <c r="B6" i="174"/>
  <c r="A24" i="174"/>
  <c r="A23" i="174"/>
  <c r="A22" i="174"/>
  <c r="A16" i="174"/>
  <c r="A15" i="174"/>
  <c r="A14" i="174"/>
  <c r="A8" i="174"/>
  <c r="A7" i="174"/>
  <c r="A6" i="174"/>
  <c r="H19" i="174"/>
  <c r="H20" i="174"/>
  <c r="H26" i="174"/>
  <c r="E26" i="174"/>
  <c r="F20" i="174"/>
  <c r="F19" i="174"/>
  <c r="F18" i="174"/>
  <c r="F12" i="174"/>
  <c r="F11" i="174"/>
  <c r="F10" i="174"/>
  <c r="G19" i="174"/>
  <c r="G20" i="174"/>
  <c r="G18" i="174"/>
  <c r="G11" i="174"/>
  <c r="G12" i="174"/>
  <c r="G10" i="174"/>
  <c r="G4" i="174"/>
  <c r="G3" i="174"/>
  <c r="G2" i="174"/>
  <c r="F3" i="174"/>
  <c r="F4" i="174"/>
  <c r="F2" i="174"/>
  <c r="B3" i="174"/>
  <c r="B4" i="174"/>
  <c r="B10" i="174"/>
  <c r="B11" i="174"/>
  <c r="B12" i="174"/>
  <c r="B18" i="174"/>
  <c r="B19" i="174"/>
  <c r="B20" i="174"/>
  <c r="B26" i="174"/>
  <c r="A3" i="174"/>
  <c r="A4" i="174"/>
  <c r="A10" i="174"/>
  <c r="A11" i="174"/>
  <c r="A12" i="174"/>
  <c r="A18" i="174"/>
  <c r="A19" i="174"/>
  <c r="A20" i="174"/>
  <c r="A26" i="174"/>
  <c r="B2" i="174"/>
  <c r="A2" i="174"/>
  <c r="H18" i="174"/>
  <c r="H12" i="174"/>
  <c r="H11" i="174"/>
  <c r="H10" i="174"/>
  <c r="H4" i="174"/>
  <c r="E4" i="174"/>
  <c r="H3" i="174"/>
  <c r="E3" i="174"/>
  <c r="H2" i="174"/>
  <c r="E2" i="174"/>
  <c r="O1" i="174"/>
  <c r="H1" i="174"/>
  <c r="G1" i="174"/>
  <c r="F1" i="174"/>
  <c r="E1" i="174"/>
  <c r="D3" i="173"/>
  <c r="C3" i="174" s="1"/>
  <c r="E3" i="173"/>
  <c r="C11" i="174" s="1"/>
  <c r="F3" i="173"/>
  <c r="C19" i="174" s="1"/>
  <c r="D4" i="173"/>
  <c r="C4" i="174" s="1"/>
  <c r="E4" i="173"/>
  <c r="C12" i="174" s="1"/>
  <c r="F4" i="173"/>
  <c r="C20" i="174" s="1"/>
  <c r="D5" i="173"/>
  <c r="E5" i="173"/>
  <c r="F5" i="173"/>
  <c r="E2" i="173"/>
  <c r="C10" i="174" s="1"/>
  <c r="F2" i="173"/>
  <c r="C18" i="174" s="1"/>
  <c r="D2" i="173"/>
  <c r="C2" i="174" s="1"/>
  <c r="D7" i="173"/>
  <c r="C7" i="174" s="1"/>
  <c r="E7" i="173"/>
  <c r="C15" i="174" s="1"/>
  <c r="F7" i="173"/>
  <c r="C23" i="174" s="1"/>
  <c r="D8" i="173"/>
  <c r="C8" i="174" s="1"/>
  <c r="E8" i="173"/>
  <c r="C16" i="174" s="1"/>
  <c r="F8" i="173"/>
  <c r="C24" i="174" s="1"/>
  <c r="D9" i="173"/>
  <c r="E9" i="173"/>
  <c r="F9" i="173"/>
  <c r="E6" i="173"/>
  <c r="C14" i="174" s="1"/>
  <c r="F6" i="173"/>
  <c r="C22" i="174" s="1"/>
  <c r="D6" i="173"/>
  <c r="C6" i="174" s="1"/>
  <c r="M40" i="178" l="1"/>
  <c r="A10" i="7"/>
  <c r="A5" i="129"/>
  <c r="A3" i="129"/>
  <c r="A8" i="129" s="1"/>
  <c r="A12" i="129" s="1"/>
  <c r="A17" i="129" s="1"/>
  <c r="N15" i="175"/>
  <c r="N19" i="175"/>
  <c r="N7" i="175"/>
  <c r="N15" i="174"/>
  <c r="N12" i="175"/>
  <c r="N4" i="174"/>
  <c r="N16" i="174"/>
  <c r="N6" i="174"/>
  <c r="N24" i="174"/>
  <c r="N14" i="174"/>
  <c r="N23" i="174"/>
  <c r="N12" i="174"/>
  <c r="N2" i="174"/>
  <c r="N22" i="174"/>
  <c r="N11" i="174"/>
  <c r="N20" i="174"/>
  <c r="N10" i="174"/>
  <c r="N3" i="174"/>
  <c r="N19" i="174"/>
  <c r="N8" i="174"/>
  <c r="N18" i="174"/>
  <c r="N7" i="174"/>
  <c r="E11" i="176"/>
  <c r="A6" i="129" l="1"/>
  <c r="A10" i="129" s="1"/>
  <c r="A14" i="129" s="1"/>
  <c r="A4" i="129"/>
  <c r="A9" i="129" s="1"/>
  <c r="A13" i="129" s="1"/>
  <c r="A18" i="129" s="1"/>
  <c r="A2" i="129"/>
  <c r="A7" i="129" s="1"/>
  <c r="A11" i="129" s="1"/>
  <c r="A16" i="129" s="1"/>
  <c r="A20" i="129" s="1"/>
  <c r="A25" i="129" s="1"/>
  <c r="L2" i="176"/>
  <c r="L5" i="176"/>
  <c r="L5" i="178"/>
  <c r="L10" i="178"/>
  <c r="L19" i="178"/>
  <c r="L10" i="176"/>
  <c r="L4" i="176"/>
  <c r="L9" i="178"/>
  <c r="L14" i="178"/>
  <c r="L6" i="176"/>
  <c r="L9" i="176"/>
  <c r="L4" i="178"/>
  <c r="L8" i="178"/>
  <c r="L11" i="178"/>
  <c r="L12" i="178"/>
  <c r="L3" i="176"/>
  <c r="L7" i="178"/>
  <c r="L2" i="178"/>
  <c r="L18" i="178"/>
  <c r="L16" i="178"/>
  <c r="L8" i="176"/>
  <c r="L13" i="178"/>
  <c r="L15" i="178"/>
  <c r="L7" i="176"/>
  <c r="L6" i="178"/>
  <c r="L17" i="178"/>
  <c r="L11" i="176"/>
  <c r="N11" i="176"/>
  <c r="A15" i="129" l="1"/>
  <c r="A19" i="129" s="1"/>
  <c r="A21" i="129" s="1"/>
  <c r="A26" i="129" s="1"/>
  <c r="A31" i="129" s="1"/>
  <c r="A22" i="129"/>
  <c r="A27" i="129" s="1"/>
  <c r="A29" i="129"/>
  <c r="A30" i="129"/>
  <c r="A35" i="129" s="1"/>
  <c r="A24" i="129" l="1"/>
  <c r="A28" i="129" s="1"/>
  <c r="A32" i="129" s="1"/>
  <c r="A36" i="129" s="1"/>
  <c r="A38" i="129" s="1"/>
  <c r="A40" i="129" s="1"/>
  <c r="A42" i="129" s="1"/>
  <c r="A44" i="129" s="1"/>
  <c r="A3" i="130" s="1"/>
  <c r="A7" i="130" s="1"/>
  <c r="A11" i="130" s="1"/>
  <c r="A15" i="130" s="1"/>
  <c r="A19" i="130" s="1"/>
  <c r="A23" i="129"/>
  <c r="A5" i="130"/>
  <c r="A9" i="130" s="1"/>
  <c r="A13" i="130" s="1"/>
  <c r="A17" i="130" s="1"/>
  <c r="A21" i="130" s="1"/>
  <c r="A23" i="130" s="1"/>
  <c r="A33" i="129"/>
  <c r="A37" i="129" s="1"/>
  <c r="A39" i="129" s="1"/>
  <c r="A41" i="129" s="1"/>
  <c r="A43" i="129" s="1"/>
  <c r="A34" i="129"/>
  <c r="H99" i="146"/>
  <c r="E99" i="146"/>
  <c r="A99" i="146"/>
  <c r="H98" i="146"/>
  <c r="E98" i="146"/>
  <c r="B98" i="146"/>
  <c r="A98" i="146"/>
  <c r="B19" i="169"/>
  <c r="C18" i="169"/>
  <c r="B17" i="169"/>
  <c r="C16" i="169"/>
  <c r="B15" i="169"/>
  <c r="C14" i="169"/>
  <c r="B13" i="169"/>
  <c r="C12" i="169"/>
  <c r="B11" i="169"/>
  <c r="C10" i="169"/>
  <c r="B9" i="169"/>
  <c r="C8" i="169"/>
  <c r="B7" i="169"/>
  <c r="C6" i="169"/>
  <c r="G36" i="169"/>
  <c r="H36" i="169"/>
  <c r="J36" i="169"/>
  <c r="G37" i="169"/>
  <c r="H37" i="169"/>
  <c r="J37" i="169"/>
  <c r="G38" i="169"/>
  <c r="H38" i="169"/>
  <c r="J38" i="169"/>
  <c r="G39" i="169"/>
  <c r="H39" i="169"/>
  <c r="J39" i="169"/>
  <c r="G40" i="169"/>
  <c r="H40" i="169"/>
  <c r="J40" i="169"/>
  <c r="G41" i="169"/>
  <c r="H41" i="169"/>
  <c r="J41" i="169"/>
  <c r="B41" i="169"/>
  <c r="C39" i="169"/>
  <c r="C41" i="169"/>
  <c r="C40" i="169"/>
  <c r="B40" i="169"/>
  <c r="B39" i="169"/>
  <c r="B38" i="169"/>
  <c r="C37" i="169"/>
  <c r="B37" i="169"/>
  <c r="C36" i="169"/>
  <c r="B36" i="169"/>
  <c r="H6" i="150"/>
  <c r="F6" i="150"/>
  <c r="E6" i="150"/>
  <c r="N6" i="150" s="1"/>
  <c r="B6" i="150"/>
  <c r="A79" i="146"/>
  <c r="I79" i="146" s="1"/>
  <c r="A75" i="146"/>
  <c r="I75" i="146" s="1"/>
  <c r="A77" i="146"/>
  <c r="I77" i="146" s="1"/>
  <c r="B78" i="146"/>
  <c r="I78" i="146" s="1"/>
  <c r="B76" i="146"/>
  <c r="I76" i="146" s="1"/>
  <c r="B74" i="146"/>
  <c r="I74" i="146" s="1"/>
  <c r="M79" i="146"/>
  <c r="H79" i="146"/>
  <c r="G79" i="146"/>
  <c r="F79" i="146"/>
  <c r="E79" i="146"/>
  <c r="M78" i="146"/>
  <c r="H78" i="146"/>
  <c r="G78" i="146"/>
  <c r="F78" i="146"/>
  <c r="E78" i="146"/>
  <c r="A78" i="146"/>
  <c r="M77" i="146"/>
  <c r="H77" i="146"/>
  <c r="G77" i="146"/>
  <c r="F77" i="146"/>
  <c r="E77" i="146"/>
  <c r="M76" i="146"/>
  <c r="H76" i="146"/>
  <c r="G76" i="146"/>
  <c r="F76" i="146"/>
  <c r="E76" i="146"/>
  <c r="A76" i="146"/>
  <c r="M75" i="146"/>
  <c r="H75" i="146"/>
  <c r="G75" i="146"/>
  <c r="F75" i="146"/>
  <c r="E75" i="146"/>
  <c r="M74" i="146"/>
  <c r="H74" i="146"/>
  <c r="G74" i="146"/>
  <c r="F74" i="146"/>
  <c r="E74" i="146"/>
  <c r="A74" i="146"/>
  <c r="A69" i="146"/>
  <c r="I69" i="146" s="1"/>
  <c r="A71" i="146"/>
  <c r="I71" i="146" s="1"/>
  <c r="A73" i="146"/>
  <c r="I73" i="146" s="1"/>
  <c r="B72" i="146"/>
  <c r="I72" i="146" s="1"/>
  <c r="B70" i="146"/>
  <c r="I70" i="146" s="1"/>
  <c r="B68" i="146"/>
  <c r="I68" i="146" s="1"/>
  <c r="A67" i="146"/>
  <c r="I67" i="146" s="1"/>
  <c r="A63" i="146"/>
  <c r="I63" i="146" s="1"/>
  <c r="A65" i="146"/>
  <c r="I65" i="146" s="1"/>
  <c r="B66" i="146"/>
  <c r="I66" i="146" s="1"/>
  <c r="B64" i="146"/>
  <c r="I64" i="146" s="1"/>
  <c r="B62" i="146"/>
  <c r="I62" i="146" s="1"/>
  <c r="M73" i="146"/>
  <c r="H73" i="146"/>
  <c r="G73" i="146"/>
  <c r="F73" i="146"/>
  <c r="E73" i="146"/>
  <c r="M72" i="146"/>
  <c r="H72" i="146"/>
  <c r="G72" i="146"/>
  <c r="F72" i="146"/>
  <c r="E72" i="146"/>
  <c r="A72" i="146"/>
  <c r="M71" i="146"/>
  <c r="H71" i="146"/>
  <c r="G71" i="146"/>
  <c r="F71" i="146"/>
  <c r="E71" i="146"/>
  <c r="M70" i="146"/>
  <c r="H70" i="146"/>
  <c r="G70" i="146"/>
  <c r="F70" i="146"/>
  <c r="E70" i="146"/>
  <c r="A70" i="146"/>
  <c r="M69" i="146"/>
  <c r="H69" i="146"/>
  <c r="G69" i="146"/>
  <c r="F69" i="146"/>
  <c r="E69" i="146"/>
  <c r="M68" i="146"/>
  <c r="H68" i="146"/>
  <c r="G68" i="146"/>
  <c r="F68" i="146"/>
  <c r="E68" i="146"/>
  <c r="A68" i="146"/>
  <c r="M67" i="146"/>
  <c r="H67" i="146"/>
  <c r="G67" i="146"/>
  <c r="F67" i="146"/>
  <c r="E67" i="146"/>
  <c r="M66" i="146"/>
  <c r="H66" i="146"/>
  <c r="G66" i="146"/>
  <c r="F66" i="146"/>
  <c r="E66" i="146"/>
  <c r="A66" i="146"/>
  <c r="M65" i="146"/>
  <c r="H65" i="146"/>
  <c r="G65" i="146"/>
  <c r="F65" i="146"/>
  <c r="E65" i="146"/>
  <c r="M64" i="146"/>
  <c r="H64" i="146"/>
  <c r="G64" i="146"/>
  <c r="F64" i="146"/>
  <c r="E64" i="146"/>
  <c r="A64" i="146"/>
  <c r="M63" i="146"/>
  <c r="H63" i="146"/>
  <c r="G63" i="146"/>
  <c r="F63" i="146"/>
  <c r="E63" i="146"/>
  <c r="M62" i="146"/>
  <c r="H62" i="146"/>
  <c r="G62" i="146"/>
  <c r="F62" i="146"/>
  <c r="E62" i="146"/>
  <c r="A62" i="146"/>
  <c r="F57" i="146"/>
  <c r="F58" i="146"/>
  <c r="F59" i="146"/>
  <c r="F60" i="146"/>
  <c r="F61" i="146"/>
  <c r="F56" i="146"/>
  <c r="M61" i="146"/>
  <c r="H61" i="146"/>
  <c r="G61" i="146"/>
  <c r="E61" i="146"/>
  <c r="N61" i="146" s="1"/>
  <c r="A61" i="146"/>
  <c r="M60" i="146"/>
  <c r="H60" i="146"/>
  <c r="G60" i="146"/>
  <c r="E60" i="146"/>
  <c r="N60" i="146" s="1"/>
  <c r="B60" i="146"/>
  <c r="A60" i="146"/>
  <c r="M59" i="146"/>
  <c r="H59" i="146"/>
  <c r="G59" i="146"/>
  <c r="E59" i="146"/>
  <c r="N59" i="146" s="1"/>
  <c r="A59" i="146"/>
  <c r="M58" i="146"/>
  <c r="H58" i="146"/>
  <c r="G58" i="146"/>
  <c r="E58" i="146"/>
  <c r="N58" i="146" s="1"/>
  <c r="B58" i="146"/>
  <c r="A58" i="146"/>
  <c r="M57" i="146"/>
  <c r="H57" i="146"/>
  <c r="G57" i="146"/>
  <c r="E57" i="146"/>
  <c r="N57" i="146" s="1"/>
  <c r="A57" i="146"/>
  <c r="M56" i="146"/>
  <c r="H56" i="146"/>
  <c r="G56" i="146"/>
  <c r="E56" i="146"/>
  <c r="N56" i="146" s="1"/>
  <c r="B56" i="146"/>
  <c r="A56" i="146"/>
  <c r="C35" i="169"/>
  <c r="D34" i="169"/>
  <c r="P35" i="169" s="1"/>
  <c r="N36" i="178" s="1"/>
  <c r="C34" i="169"/>
  <c r="C33" i="169"/>
  <c r="D32" i="169"/>
  <c r="P33" i="169" s="1"/>
  <c r="N35" i="178" s="1"/>
  <c r="C32" i="169"/>
  <c r="C31" i="169"/>
  <c r="D30" i="169"/>
  <c r="P31" i="169" s="1"/>
  <c r="N34" i="178" s="1"/>
  <c r="C30" i="169"/>
  <c r="C29" i="169"/>
  <c r="D28" i="169"/>
  <c r="P29" i="169" s="1"/>
  <c r="C28" i="169"/>
  <c r="C27" i="169"/>
  <c r="C25" i="169"/>
  <c r="C23" i="169"/>
  <c r="C21" i="169"/>
  <c r="D26" i="169"/>
  <c r="P27" i="169" s="1"/>
  <c r="N33" i="178" s="1"/>
  <c r="D24" i="169"/>
  <c r="P25" i="169" s="1"/>
  <c r="N32" i="178" s="1"/>
  <c r="D22" i="169"/>
  <c r="P23" i="169" s="1"/>
  <c r="N31" i="178" s="1"/>
  <c r="D20" i="169"/>
  <c r="P21" i="169" s="1"/>
  <c r="C26" i="169"/>
  <c r="C24" i="169"/>
  <c r="C22" i="169"/>
  <c r="C20" i="169"/>
  <c r="B35" i="169"/>
  <c r="B34" i="169"/>
  <c r="B33" i="169"/>
  <c r="B32" i="169"/>
  <c r="B31" i="169"/>
  <c r="B30" i="169"/>
  <c r="B29" i="169"/>
  <c r="B28" i="169"/>
  <c r="B27" i="169"/>
  <c r="B26" i="169"/>
  <c r="B25" i="169"/>
  <c r="B24" i="169"/>
  <c r="B23" i="169"/>
  <c r="B22" i="169"/>
  <c r="B21" i="169"/>
  <c r="B20" i="169"/>
  <c r="O23" i="169"/>
  <c r="M31" i="178" s="1"/>
  <c r="O25" i="169"/>
  <c r="M32" i="178" s="1"/>
  <c r="O27" i="169"/>
  <c r="M33" i="178" s="1"/>
  <c r="O29" i="169"/>
  <c r="O31" i="169"/>
  <c r="M34" i="178" s="1"/>
  <c r="O33" i="169"/>
  <c r="M35" i="178" s="1"/>
  <c r="O35" i="169"/>
  <c r="M36" i="178" s="1"/>
  <c r="O21" i="169"/>
  <c r="G35" i="169"/>
  <c r="H35" i="169"/>
  <c r="J35" i="169"/>
  <c r="G28" i="169"/>
  <c r="H28" i="169"/>
  <c r="J28" i="169"/>
  <c r="G29" i="169"/>
  <c r="H29" i="169"/>
  <c r="J29" i="169"/>
  <c r="G30" i="169"/>
  <c r="H30" i="169"/>
  <c r="J30" i="169"/>
  <c r="G31" i="169"/>
  <c r="H31" i="169"/>
  <c r="J31" i="169"/>
  <c r="G32" i="169"/>
  <c r="H32" i="169"/>
  <c r="J32" i="169"/>
  <c r="G33" i="169"/>
  <c r="H33" i="169"/>
  <c r="J33" i="169"/>
  <c r="G34" i="169"/>
  <c r="H34" i="169"/>
  <c r="J34" i="169"/>
  <c r="O5" i="169"/>
  <c r="O7" i="169"/>
  <c r="M27" i="178" s="1"/>
  <c r="O9" i="169"/>
  <c r="M28" i="178" s="1"/>
  <c r="O11" i="169"/>
  <c r="M29" i="178" s="1"/>
  <c r="O13" i="169"/>
  <c r="M30" i="178" s="1"/>
  <c r="O15" i="169"/>
  <c r="O17" i="169"/>
  <c r="O19" i="169"/>
  <c r="B18" i="169"/>
  <c r="B16" i="169"/>
  <c r="B14" i="169"/>
  <c r="C15" i="169"/>
  <c r="C19" i="169"/>
  <c r="C17" i="169"/>
  <c r="C13" i="169"/>
  <c r="C11" i="169"/>
  <c r="C7" i="169"/>
  <c r="C9" i="169"/>
  <c r="B12" i="169"/>
  <c r="B10" i="169"/>
  <c r="B8" i="169"/>
  <c r="B6" i="169"/>
  <c r="B4" i="169"/>
  <c r="B5" i="169"/>
  <c r="C4" i="169"/>
  <c r="B3" i="169"/>
  <c r="C5" i="169"/>
  <c r="C3" i="169"/>
  <c r="C2" i="169"/>
  <c r="B2" i="169"/>
  <c r="M11" i="150"/>
  <c r="M10" i="150"/>
  <c r="M9" i="150"/>
  <c r="M8" i="150"/>
  <c r="M7" i="150"/>
  <c r="M4" i="150"/>
  <c r="M3" i="150"/>
  <c r="M2" i="150"/>
  <c r="H3" i="169"/>
  <c r="H4" i="169"/>
  <c r="H5" i="169"/>
  <c r="H6" i="169"/>
  <c r="H7" i="169"/>
  <c r="H8" i="169"/>
  <c r="H9" i="169"/>
  <c r="H10" i="169"/>
  <c r="H11" i="169"/>
  <c r="H12" i="169"/>
  <c r="H13" i="169"/>
  <c r="H14" i="169"/>
  <c r="H15" i="169"/>
  <c r="H16" i="169"/>
  <c r="H17" i="169"/>
  <c r="H18" i="169"/>
  <c r="H19" i="169"/>
  <c r="H20" i="169"/>
  <c r="H21" i="169"/>
  <c r="H22" i="169"/>
  <c r="H23" i="169"/>
  <c r="H24" i="169"/>
  <c r="H25" i="169"/>
  <c r="H26" i="169"/>
  <c r="H27" i="169"/>
  <c r="H2" i="169"/>
  <c r="D14" i="169"/>
  <c r="P15" i="169" s="1"/>
  <c r="D12" i="169"/>
  <c r="P13" i="169" s="1"/>
  <c r="D10" i="169"/>
  <c r="P11" i="169" s="1"/>
  <c r="D8" i="169"/>
  <c r="P9" i="169" s="1"/>
  <c r="D6" i="169"/>
  <c r="P7" i="169" s="1"/>
  <c r="D4" i="169"/>
  <c r="P5" i="169" s="1"/>
  <c r="D2" i="169"/>
  <c r="P3" i="169" s="1"/>
  <c r="Q67" i="168"/>
  <c r="D16" i="169" s="1"/>
  <c r="P17" i="169" s="1"/>
  <c r="J27" i="169"/>
  <c r="G27" i="169"/>
  <c r="J26" i="169"/>
  <c r="G26" i="169"/>
  <c r="J25" i="169"/>
  <c r="G25" i="169"/>
  <c r="J24" i="169"/>
  <c r="G24" i="169"/>
  <c r="J23" i="169"/>
  <c r="G23" i="169"/>
  <c r="J22" i="169"/>
  <c r="G22" i="169"/>
  <c r="J21" i="169"/>
  <c r="G21" i="169"/>
  <c r="J20" i="169"/>
  <c r="G20" i="169"/>
  <c r="J19" i="169"/>
  <c r="G19" i="169"/>
  <c r="J18" i="169"/>
  <c r="G18" i="169"/>
  <c r="J17" i="169"/>
  <c r="G17" i="169"/>
  <c r="J16" i="169"/>
  <c r="G16" i="169"/>
  <c r="J15" i="169"/>
  <c r="G15" i="169"/>
  <c r="J14" i="169"/>
  <c r="G14" i="169"/>
  <c r="J13" i="169"/>
  <c r="G13" i="169"/>
  <c r="J12" i="169"/>
  <c r="G12" i="169"/>
  <c r="J11" i="169"/>
  <c r="G11" i="169"/>
  <c r="J10" i="169"/>
  <c r="G10" i="169"/>
  <c r="J9" i="169"/>
  <c r="G9" i="169"/>
  <c r="J8" i="169"/>
  <c r="G8" i="169"/>
  <c r="J7" i="169"/>
  <c r="G7" i="169"/>
  <c r="J6" i="169"/>
  <c r="G6" i="169"/>
  <c r="J5" i="169"/>
  <c r="G5" i="169"/>
  <c r="J4" i="169"/>
  <c r="G4" i="169"/>
  <c r="O3" i="169"/>
  <c r="J3" i="169"/>
  <c r="G3" i="169"/>
  <c r="J2" i="169"/>
  <c r="G2" i="169"/>
  <c r="Q1" i="169"/>
  <c r="J1" i="169"/>
  <c r="I1" i="169"/>
  <c r="H1" i="169"/>
  <c r="G1" i="169"/>
  <c r="H11" i="150"/>
  <c r="E11" i="150"/>
  <c r="B11" i="150"/>
  <c r="C11" i="150"/>
  <c r="F11" i="150"/>
  <c r="A11" i="150"/>
  <c r="C10" i="150"/>
  <c r="E10" i="150"/>
  <c r="E12" i="150"/>
  <c r="E13" i="150"/>
  <c r="F9" i="150"/>
  <c r="F10" i="150"/>
  <c r="H10" i="150"/>
  <c r="H12" i="150"/>
  <c r="H13" i="150"/>
  <c r="B13" i="150"/>
  <c r="B12" i="150"/>
  <c r="B10" i="150"/>
  <c r="A13" i="150"/>
  <c r="A10" i="150"/>
  <c r="A12" i="150"/>
  <c r="C9" i="150"/>
  <c r="A9" i="150"/>
  <c r="B9" i="150"/>
  <c r="C8" i="150"/>
  <c r="C7" i="150"/>
  <c r="F7" i="150"/>
  <c r="F8" i="150"/>
  <c r="A8" i="150"/>
  <c r="B7" i="150"/>
  <c r="G4" i="150"/>
  <c r="G3" i="150"/>
  <c r="G2" i="150"/>
  <c r="F3" i="150"/>
  <c r="F4" i="150"/>
  <c r="F5" i="150"/>
  <c r="F2" i="150"/>
  <c r="B5" i="150"/>
  <c r="A3" i="150"/>
  <c r="B3" i="150"/>
  <c r="A4" i="150"/>
  <c r="B4" i="150"/>
  <c r="B2" i="150"/>
  <c r="A2" i="150"/>
  <c r="D49" i="1"/>
  <c r="D48" i="1"/>
  <c r="D46" i="1"/>
  <c r="D47" i="1"/>
  <c r="D45" i="1"/>
  <c r="E1" i="170" l="1" a="1"/>
  <c r="E1" i="170" s="1"/>
  <c r="A5" i="131"/>
  <c r="A9" i="131" s="1"/>
  <c r="A13" i="131" s="1"/>
  <c r="A3" i="134" s="1"/>
  <c r="A5" i="134" s="1"/>
  <c r="A3" i="135" s="1"/>
  <c r="A5" i="135" s="1"/>
  <c r="A7" i="135" s="1"/>
  <c r="A3" i="136" s="1"/>
  <c r="A3" i="139" s="1"/>
  <c r="A5" i="139" s="1"/>
  <c r="A7" i="139" s="1"/>
  <c r="A9" i="139" s="1"/>
  <c r="A3" i="131"/>
  <c r="A7" i="131" s="1"/>
  <c r="A11" i="131" s="1"/>
  <c r="A2" i="130"/>
  <c r="A6" i="130" s="1"/>
  <c r="A10" i="130" s="1"/>
  <c r="A14" i="130" s="1"/>
  <c r="A18" i="130" s="1"/>
  <c r="A22" i="130" s="1"/>
  <c r="A4" i="130"/>
  <c r="A8" i="130" s="1"/>
  <c r="A12" i="130" s="1"/>
  <c r="A16" i="130" s="1"/>
  <c r="A20" i="130" s="1"/>
  <c r="N11" i="150"/>
  <c r="N10" i="150"/>
  <c r="R67" i="168"/>
  <c r="D18" i="169" s="1"/>
  <c r="P19" i="169" s="1"/>
  <c r="A2" i="170" a="1"/>
  <c r="A2" i="170" s="1"/>
  <c r="G83" i="168"/>
  <c r="G79" i="168"/>
  <c r="G74" i="168"/>
  <c r="G78" i="168" s="1"/>
  <c r="G73" i="168"/>
  <c r="G71" i="168"/>
  <c r="G82" i="168"/>
  <c r="R17" i="168"/>
  <c r="R16" i="168"/>
  <c r="N11" i="168"/>
  <c r="P11" i="168" s="1"/>
  <c r="R11" i="168" s="1"/>
  <c r="Q12" i="168" s="1"/>
  <c r="Q13" i="168" s="1"/>
  <c r="M15" i="168"/>
  <c r="O14" i="168"/>
  <c r="J15" i="168"/>
  <c r="F14" i="168"/>
  <c r="G14" i="168"/>
  <c r="F13" i="168"/>
  <c r="G13" i="168"/>
  <c r="G12" i="168"/>
  <c r="F12" i="168"/>
  <c r="G11" i="168"/>
  <c r="F11" i="168"/>
  <c r="H15" i="166"/>
  <c r="F15" i="166"/>
  <c r="E15" i="166"/>
  <c r="B15" i="166"/>
  <c r="H13" i="166"/>
  <c r="F13" i="166"/>
  <c r="E13" i="166"/>
  <c r="A13" i="166"/>
  <c r="H12" i="166"/>
  <c r="E12" i="166"/>
  <c r="B12" i="166"/>
  <c r="H10" i="166"/>
  <c r="F10" i="166"/>
  <c r="E10" i="166"/>
  <c r="B10" i="166"/>
  <c r="H9" i="166"/>
  <c r="E9" i="166"/>
  <c r="B9" i="166"/>
  <c r="H4" i="166"/>
  <c r="F4" i="166"/>
  <c r="E4" i="166"/>
  <c r="A4" i="166"/>
  <c r="H3" i="166"/>
  <c r="E3" i="166"/>
  <c r="B3" i="166"/>
  <c r="P1" i="166"/>
  <c r="H1" i="166"/>
  <c r="G1" i="166"/>
  <c r="F1" i="166"/>
  <c r="E1" i="166"/>
  <c r="A2" i="143" l="1"/>
  <c r="A6" i="143" s="1"/>
  <c r="A10" i="143" s="1"/>
  <c r="A14" i="143" s="1"/>
  <c r="A18" i="143" s="1"/>
  <c r="A22" i="143" s="1"/>
  <c r="A26" i="143" s="1"/>
  <c r="A30" i="143" s="1"/>
  <c r="A32" i="143" s="1"/>
  <c r="A34" i="143" s="1"/>
  <c r="A36" i="143" s="1"/>
  <c r="A38" i="143" s="1"/>
  <c r="A2" i="145" s="1"/>
  <c r="A4" i="145" s="1"/>
  <c r="A6" i="145" s="1"/>
  <c r="A8" i="145" s="1"/>
  <c r="A10" i="145" s="1"/>
  <c r="A12" i="145" s="1"/>
  <c r="A14" i="145" s="1"/>
  <c r="A16" i="145" s="1"/>
  <c r="A18" i="145" s="1"/>
  <c r="A20" i="145" s="1"/>
  <c r="A22" i="145" s="1"/>
  <c r="A24" i="145" s="1"/>
  <c r="A26" i="145" s="1"/>
  <c r="A4" i="143"/>
  <c r="A8" i="143" s="1"/>
  <c r="A12" i="143" s="1"/>
  <c r="A16" i="143" s="1"/>
  <c r="A20" i="143" s="1"/>
  <c r="A24" i="143" s="1"/>
  <c r="A28" i="143" s="1"/>
  <c r="A10" i="139"/>
  <c r="A4" i="131"/>
  <c r="A8" i="131" s="1"/>
  <c r="A12" i="131" s="1"/>
  <c r="A2" i="131"/>
  <c r="A6" i="131" s="1"/>
  <c r="A10" i="131" s="1"/>
  <c r="A2" i="134" s="1"/>
  <c r="A4" i="134" s="1"/>
  <c r="A2" i="135" s="1"/>
  <c r="A4" i="135" s="1"/>
  <c r="A6" i="135" s="1"/>
  <c r="A2" i="136" s="1"/>
  <c r="A2" i="139" s="1"/>
  <c r="A4" i="139" s="1"/>
  <c r="A6" i="139" s="1"/>
  <c r="A8" i="139" s="1"/>
  <c r="M2" i="149"/>
  <c r="M8" i="149"/>
  <c r="M6" i="149"/>
  <c r="M4" i="149"/>
  <c r="M177" i="146"/>
  <c r="M176" i="146"/>
  <c r="M191" i="146"/>
  <c r="M190" i="146"/>
  <c r="M189" i="146"/>
  <c r="M188" i="146"/>
  <c r="M187" i="146"/>
  <c r="M186" i="146"/>
  <c r="M183" i="146"/>
  <c r="M182" i="146"/>
  <c r="M181" i="146"/>
  <c r="M180" i="146"/>
  <c r="M179" i="146"/>
  <c r="M178" i="146"/>
  <c r="M175" i="146"/>
  <c r="M174" i="146"/>
  <c r="M173" i="146"/>
  <c r="M172" i="146"/>
  <c r="M171" i="146"/>
  <c r="M170" i="146"/>
  <c r="M169" i="146"/>
  <c r="M168" i="146"/>
  <c r="M167" i="146"/>
  <c r="M166" i="146"/>
  <c r="M165" i="146"/>
  <c r="M164" i="146"/>
  <c r="M163" i="146"/>
  <c r="M162" i="146"/>
  <c r="M161" i="146"/>
  <c r="M160" i="146"/>
  <c r="M159" i="146"/>
  <c r="M158" i="146"/>
  <c r="M157" i="146"/>
  <c r="M156" i="146"/>
  <c r="M155" i="146"/>
  <c r="M154" i="146"/>
  <c r="M153" i="146"/>
  <c r="M152" i="146"/>
  <c r="M151" i="146"/>
  <c r="M150" i="146"/>
  <c r="M149" i="146"/>
  <c r="M148" i="146"/>
  <c r="M147" i="146"/>
  <c r="M146" i="146"/>
  <c r="M143" i="146"/>
  <c r="M142" i="146"/>
  <c r="M141" i="146"/>
  <c r="M140" i="146"/>
  <c r="M139" i="146"/>
  <c r="M138" i="146"/>
  <c r="M17" i="146"/>
  <c r="M18" i="146"/>
  <c r="M19" i="146"/>
  <c r="M20" i="146"/>
  <c r="M21" i="146"/>
  <c r="M22" i="146"/>
  <c r="M23" i="146"/>
  <c r="M24" i="146"/>
  <c r="M25" i="146"/>
  <c r="M26" i="146"/>
  <c r="M27" i="146"/>
  <c r="M28" i="146"/>
  <c r="M29" i="146"/>
  <c r="M30" i="146"/>
  <c r="M31" i="146"/>
  <c r="M32" i="146"/>
  <c r="M33" i="146"/>
  <c r="M34" i="146"/>
  <c r="M35" i="146"/>
  <c r="M36" i="146"/>
  <c r="M37" i="146"/>
  <c r="M38" i="146"/>
  <c r="M39" i="146"/>
  <c r="M40" i="146"/>
  <c r="M41" i="146"/>
  <c r="M42" i="146"/>
  <c r="M43" i="146"/>
  <c r="M44" i="146"/>
  <c r="M45" i="146"/>
  <c r="M46" i="146"/>
  <c r="M47" i="146"/>
  <c r="M48" i="146"/>
  <c r="M49" i="146"/>
  <c r="M50" i="146"/>
  <c r="M51" i="146"/>
  <c r="M52" i="146"/>
  <c r="M53" i="146"/>
  <c r="M54" i="146"/>
  <c r="M55" i="146"/>
  <c r="M80" i="146"/>
  <c r="M81" i="146"/>
  <c r="M82" i="146"/>
  <c r="M83" i="146"/>
  <c r="M84" i="146"/>
  <c r="M85" i="146"/>
  <c r="M86" i="146"/>
  <c r="M87" i="146"/>
  <c r="M88" i="146"/>
  <c r="M89" i="146"/>
  <c r="M90" i="146"/>
  <c r="M91" i="146"/>
  <c r="M92" i="146"/>
  <c r="M93" i="146"/>
  <c r="M94" i="146"/>
  <c r="M95" i="146"/>
  <c r="M96" i="146"/>
  <c r="M97" i="146"/>
  <c r="M100" i="146"/>
  <c r="M101" i="146"/>
  <c r="M102" i="146"/>
  <c r="M103" i="146"/>
  <c r="M104" i="146"/>
  <c r="M105" i="146"/>
  <c r="M106" i="146"/>
  <c r="M107" i="146"/>
  <c r="M108" i="146"/>
  <c r="M109" i="146"/>
  <c r="M110" i="146"/>
  <c r="M111" i="146"/>
  <c r="M112" i="146"/>
  <c r="M113" i="146"/>
  <c r="M114" i="146"/>
  <c r="M115" i="146"/>
  <c r="M116" i="146"/>
  <c r="M117" i="146"/>
  <c r="M118" i="146"/>
  <c r="M119" i="146"/>
  <c r="M120" i="146"/>
  <c r="M121" i="146"/>
  <c r="M122" i="146"/>
  <c r="M123" i="146"/>
  <c r="M124" i="146"/>
  <c r="M125" i="146"/>
  <c r="M126" i="146"/>
  <c r="M127" i="146"/>
  <c r="M128" i="146"/>
  <c r="M129" i="146"/>
  <c r="M130" i="146"/>
  <c r="M131" i="146"/>
  <c r="M132" i="146"/>
  <c r="M133" i="146"/>
  <c r="M134" i="146"/>
  <c r="M135" i="146"/>
  <c r="M4" i="146"/>
  <c r="M5" i="146"/>
  <c r="M6" i="146"/>
  <c r="M7" i="146"/>
  <c r="M8" i="146"/>
  <c r="M9" i="146"/>
  <c r="M10" i="146"/>
  <c r="M11" i="146"/>
  <c r="M12" i="146"/>
  <c r="M13" i="146"/>
  <c r="M14" i="146"/>
  <c r="M15" i="146"/>
  <c r="M16" i="146"/>
  <c r="M2" i="146"/>
  <c r="M3" i="146"/>
  <c r="O23" i="145"/>
  <c r="O25" i="145"/>
  <c r="M23" i="178" s="1"/>
  <c r="O27" i="145"/>
  <c r="M24" i="178" s="1"/>
  <c r="O21" i="145"/>
  <c r="M22" i="178" s="1"/>
  <c r="O13" i="145"/>
  <c r="O15" i="145"/>
  <c r="O17" i="145"/>
  <c r="M21" i="178" s="1"/>
  <c r="O19" i="145"/>
  <c r="O11" i="145"/>
  <c r="O5" i="145"/>
  <c r="O7" i="145"/>
  <c r="O9" i="145"/>
  <c r="O2" i="145"/>
  <c r="Q1" i="145"/>
  <c r="O33" i="143"/>
  <c r="O35" i="143"/>
  <c r="O37" i="143"/>
  <c r="M39" i="178" s="1"/>
  <c r="O39" i="143"/>
  <c r="O31" i="143"/>
  <c r="M38" i="178" s="1"/>
  <c r="O29" i="143"/>
  <c r="O13" i="143"/>
  <c r="O17" i="143"/>
  <c r="O21" i="143"/>
  <c r="O25" i="143"/>
  <c r="O9" i="143"/>
  <c r="O5" i="143"/>
  <c r="Q1" i="143"/>
  <c r="M3" i="142"/>
  <c r="M4" i="142"/>
  <c r="M2" i="142"/>
  <c r="O10" i="139"/>
  <c r="O9" i="139"/>
  <c r="O7" i="139"/>
  <c r="O5" i="139"/>
  <c r="O3" i="139"/>
  <c r="Q1" i="139"/>
  <c r="O3" i="136"/>
  <c r="E1" i="160" s="1" a="1"/>
  <c r="E1" i="160" s="1"/>
  <c r="Q1" i="136"/>
  <c r="O7" i="135"/>
  <c r="O5" i="135"/>
  <c r="O3" i="135"/>
  <c r="Q1" i="135"/>
  <c r="O5" i="134"/>
  <c r="O3" i="134"/>
  <c r="Q1" i="134"/>
  <c r="O9" i="131"/>
  <c r="O5" i="131"/>
  <c r="Q1" i="131"/>
  <c r="O9" i="130"/>
  <c r="O13" i="130"/>
  <c r="O17" i="130"/>
  <c r="O21" i="130"/>
  <c r="O5" i="130"/>
  <c r="O36" i="129"/>
  <c r="O32" i="129"/>
  <c r="O28" i="129"/>
  <c r="O24" i="129"/>
  <c r="O19" i="129"/>
  <c r="O15" i="129"/>
  <c r="O10" i="129"/>
  <c r="O6" i="129"/>
  <c r="O44" i="129"/>
  <c r="O42" i="129"/>
  <c r="O40" i="129"/>
  <c r="O38" i="129"/>
  <c r="M19" i="178" s="1"/>
  <c r="Q1" i="126"/>
  <c r="Q1" i="127"/>
  <c r="Q1" i="128"/>
  <c r="Q1" i="7"/>
  <c r="Q1" i="129"/>
  <c r="O9" i="7"/>
  <c r="O23" i="128"/>
  <c r="O25" i="128"/>
  <c r="O27" i="128"/>
  <c r="O29" i="128"/>
  <c r="O31" i="128"/>
  <c r="O33" i="128"/>
  <c r="O35" i="128"/>
  <c r="O37" i="128"/>
  <c r="O39" i="128"/>
  <c r="O41" i="128"/>
  <c r="O43" i="128"/>
  <c r="O15" i="128"/>
  <c r="O17" i="128"/>
  <c r="O19" i="128"/>
  <c r="O21" i="128"/>
  <c r="O13" i="128"/>
  <c r="O11" i="128"/>
  <c r="O9" i="128"/>
  <c r="O7" i="128"/>
  <c r="O5" i="128"/>
  <c r="O3" i="128"/>
  <c r="O53" i="126"/>
  <c r="M18" i="178" s="1"/>
  <c r="O51" i="126"/>
  <c r="M17" i="178" s="1"/>
  <c r="O49" i="126"/>
  <c r="M16" i="178" s="1"/>
  <c r="O47" i="126"/>
  <c r="O45" i="126"/>
  <c r="O43" i="126"/>
  <c r="O41" i="126"/>
  <c r="M15" i="178" s="1"/>
  <c r="O39" i="126"/>
  <c r="M14" i="178" s="1"/>
  <c r="O37" i="126"/>
  <c r="M13" i="178" s="1"/>
  <c r="O35" i="126"/>
  <c r="O33" i="126"/>
  <c r="O31" i="126"/>
  <c r="O29" i="126"/>
  <c r="M12" i="178" s="1"/>
  <c r="O27" i="126"/>
  <c r="M11" i="178" s="1"/>
  <c r="O25" i="126"/>
  <c r="M10" i="178" s="1"/>
  <c r="O23" i="126"/>
  <c r="M9" i="178" s="1"/>
  <c r="O21" i="126"/>
  <c r="M8" i="178" s="1"/>
  <c r="O19" i="126"/>
  <c r="M7" i="178" s="1"/>
  <c r="O17" i="126"/>
  <c r="O15" i="126"/>
  <c r="M5" i="178" s="1"/>
  <c r="O13" i="126"/>
  <c r="M4" i="178" s="1"/>
  <c r="O11" i="126"/>
  <c r="O9" i="126"/>
  <c r="O7" i="126"/>
  <c r="O5" i="126"/>
  <c r="O3" i="126"/>
  <c r="O1" i="126"/>
  <c r="M3" i="5"/>
  <c r="M4" i="5"/>
  <c r="M5" i="5"/>
  <c r="M6" i="5"/>
  <c r="M7" i="5"/>
  <c r="M8" i="5"/>
  <c r="M9" i="5"/>
  <c r="M11" i="5"/>
  <c r="M12" i="5"/>
  <c r="M13" i="5"/>
  <c r="M14" i="5"/>
  <c r="M2" i="176" s="1"/>
  <c r="M15" i="5"/>
  <c r="M16" i="5"/>
  <c r="M17" i="5"/>
  <c r="M18" i="5"/>
  <c r="M19" i="5"/>
  <c r="M20" i="5"/>
  <c r="M21" i="5"/>
  <c r="M22" i="5"/>
  <c r="M23" i="5"/>
  <c r="M24" i="5"/>
  <c r="M25" i="5"/>
  <c r="M26" i="5"/>
  <c r="M27" i="5"/>
  <c r="M28" i="5"/>
  <c r="M3" i="176" s="1"/>
  <c r="M29" i="5"/>
  <c r="M30" i="5"/>
  <c r="M31" i="5"/>
  <c r="M32" i="5"/>
  <c r="M33" i="5"/>
  <c r="M34" i="5"/>
  <c r="M35" i="5"/>
  <c r="M36" i="5"/>
  <c r="M37" i="5"/>
  <c r="M38" i="5"/>
  <c r="M39" i="5"/>
  <c r="M40" i="5"/>
  <c r="M41" i="5"/>
  <c r="M42" i="5"/>
  <c r="M4" i="176" s="1"/>
  <c r="M43" i="5"/>
  <c r="M44" i="5"/>
  <c r="M45" i="5"/>
  <c r="M46" i="5"/>
  <c r="M47" i="5"/>
  <c r="M48" i="5"/>
  <c r="M49" i="5"/>
  <c r="M50" i="5"/>
  <c r="M51" i="5"/>
  <c r="M52" i="5"/>
  <c r="M53" i="5"/>
  <c r="M54" i="5"/>
  <c r="M55" i="5"/>
  <c r="M56" i="5"/>
  <c r="M5" i="176" s="1"/>
  <c r="M57" i="5"/>
  <c r="M58" i="5"/>
  <c r="M59" i="5"/>
  <c r="M60" i="5"/>
  <c r="M61" i="5"/>
  <c r="M62" i="5"/>
  <c r="M63" i="5"/>
  <c r="M64" i="5"/>
  <c r="M65" i="5"/>
  <c r="M66" i="5"/>
  <c r="M67" i="5"/>
  <c r="M68" i="5"/>
  <c r="M69" i="5"/>
  <c r="M70" i="5"/>
  <c r="M6" i="176" s="1"/>
  <c r="M71" i="5"/>
  <c r="M72" i="5"/>
  <c r="M73" i="5"/>
  <c r="M74" i="5"/>
  <c r="M75" i="5"/>
  <c r="M76" i="5"/>
  <c r="M77" i="5"/>
  <c r="M78" i="5"/>
  <c r="M79" i="5"/>
  <c r="M80" i="5"/>
  <c r="M81" i="5"/>
  <c r="M82" i="5"/>
  <c r="M83" i="5"/>
  <c r="M84" i="5"/>
  <c r="M7" i="176" s="1"/>
  <c r="M85" i="5"/>
  <c r="M86" i="5"/>
  <c r="M87" i="5"/>
  <c r="M88" i="5"/>
  <c r="M89" i="5"/>
  <c r="M90" i="5"/>
  <c r="M91" i="5"/>
  <c r="M92" i="5"/>
  <c r="M93" i="5"/>
  <c r="M94" i="5"/>
  <c r="M95" i="5"/>
  <c r="M96" i="5"/>
  <c r="M97" i="5"/>
  <c r="M98" i="5"/>
  <c r="M8" i="176" s="1"/>
  <c r="M99" i="5"/>
  <c r="M100" i="5"/>
  <c r="M101" i="5"/>
  <c r="M102" i="5"/>
  <c r="M103" i="5"/>
  <c r="M104" i="5"/>
  <c r="M105" i="5"/>
  <c r="M106" i="5"/>
  <c r="M107" i="5"/>
  <c r="M108" i="5"/>
  <c r="M109" i="5"/>
  <c r="M110" i="5"/>
  <c r="M111" i="5"/>
  <c r="M112" i="5"/>
  <c r="M9" i="176" s="1"/>
  <c r="M113" i="5"/>
  <c r="M114" i="5"/>
  <c r="M115" i="5"/>
  <c r="M116" i="5"/>
  <c r="M117" i="5"/>
  <c r="M118" i="5"/>
  <c r="M119" i="5"/>
  <c r="M120" i="5"/>
  <c r="M121" i="5"/>
  <c r="M122" i="5"/>
  <c r="M123" i="5"/>
  <c r="M124" i="5"/>
  <c r="M125" i="5"/>
  <c r="M126" i="5"/>
  <c r="M10" i="176" s="1"/>
  <c r="M127" i="5"/>
  <c r="M128" i="5"/>
  <c r="M129" i="5"/>
  <c r="M130" i="5"/>
  <c r="M131" i="5"/>
  <c r="M132" i="5"/>
  <c r="M133" i="5"/>
  <c r="M134" i="5"/>
  <c r="M135"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M202" i="5"/>
  <c r="M203" i="5"/>
  <c r="M204" i="5"/>
  <c r="M205" i="5"/>
  <c r="M206" i="5"/>
  <c r="M207" i="5"/>
  <c r="M208" i="5"/>
  <c r="M209" i="5"/>
  <c r="M210" i="5"/>
  <c r="M211" i="5"/>
  <c r="M212" i="5"/>
  <c r="M213" i="5"/>
  <c r="M214" i="5"/>
  <c r="M215" i="5"/>
  <c r="M216" i="5"/>
  <c r="M217" i="5"/>
  <c r="M218" i="5"/>
  <c r="M219" i="5"/>
  <c r="M220" i="5"/>
  <c r="M221" i="5"/>
  <c r="M222" i="5"/>
  <c r="M223" i="5"/>
  <c r="M224" i="5"/>
  <c r="M225" i="5"/>
  <c r="M226" i="5"/>
  <c r="M227" i="5"/>
  <c r="M228" i="5"/>
  <c r="M229" i="5"/>
  <c r="M230" i="5"/>
  <c r="M231" i="5"/>
  <c r="M232" i="5"/>
  <c r="M233" i="5"/>
  <c r="M234" i="5"/>
  <c r="M235" i="5"/>
  <c r="M236" i="5"/>
  <c r="M237" i="5"/>
  <c r="M238" i="5"/>
  <c r="M239" i="5"/>
  <c r="M240" i="5"/>
  <c r="M241" i="5"/>
  <c r="M242" i="5"/>
  <c r="M243" i="5"/>
  <c r="M244" i="5"/>
  <c r="M245" i="5"/>
  <c r="M246" i="5"/>
  <c r="M247" i="5"/>
  <c r="M248" i="5"/>
  <c r="M249" i="5"/>
  <c r="M250" i="5"/>
  <c r="M251" i="5"/>
  <c r="M252" i="5"/>
  <c r="M253" i="5"/>
  <c r="M254" i="5"/>
  <c r="M255" i="5"/>
  <c r="M256" i="5"/>
  <c r="M257" i="5"/>
  <c r="M258" i="5"/>
  <c r="M259" i="5"/>
  <c r="M260" i="5"/>
  <c r="M261" i="5"/>
  <c r="M263" i="5"/>
  <c r="M264" i="5"/>
  <c r="M265" i="5"/>
  <c r="M266" i="5"/>
  <c r="M267" i="5"/>
  <c r="M268" i="5"/>
  <c r="M269" i="5"/>
  <c r="M270" i="5"/>
  <c r="M271" i="5"/>
  <c r="M272" i="5"/>
  <c r="M273" i="5"/>
  <c r="M274" i="5"/>
  <c r="M275" i="5"/>
  <c r="M276" i="5"/>
  <c r="M277" i="5"/>
  <c r="M278" i="5"/>
  <c r="M279" i="5"/>
  <c r="M280" i="5"/>
  <c r="M281" i="5"/>
  <c r="M282" i="5"/>
  <c r="M283" i="5"/>
  <c r="M284" i="5"/>
  <c r="M285" i="5"/>
  <c r="M286" i="5"/>
  <c r="M287" i="5"/>
  <c r="M288" i="5"/>
  <c r="M289" i="5"/>
  <c r="M290" i="5"/>
  <c r="M291" i="5"/>
  <c r="M292" i="5"/>
  <c r="M293" i="5"/>
  <c r="M294" i="5"/>
  <c r="M295" i="5"/>
  <c r="M296" i="5"/>
  <c r="M297" i="5"/>
  <c r="M298" i="5"/>
  <c r="M299" i="5"/>
  <c r="M300" i="5"/>
  <c r="M301" i="5"/>
  <c r="M302" i="5"/>
  <c r="M303" i="5"/>
  <c r="M304" i="5"/>
  <c r="M305" i="5"/>
  <c r="M306" i="5"/>
  <c r="M307" i="5"/>
  <c r="M308" i="5"/>
  <c r="M309" i="5"/>
  <c r="M310" i="5"/>
  <c r="M311" i="5"/>
  <c r="M312" i="5"/>
  <c r="M313" i="5"/>
  <c r="M314" i="5"/>
  <c r="M315" i="5"/>
  <c r="M316" i="5"/>
  <c r="M317" i="5"/>
  <c r="M318" i="5"/>
  <c r="M319" i="5"/>
  <c r="M320" i="5"/>
  <c r="M321" i="5"/>
  <c r="M322" i="5"/>
  <c r="M323" i="5"/>
  <c r="M324" i="5"/>
  <c r="M325" i="5"/>
  <c r="M326" i="5"/>
  <c r="M327" i="5"/>
  <c r="M328" i="5"/>
  <c r="M329" i="5"/>
  <c r="M330" i="5"/>
  <c r="M331" i="5"/>
  <c r="M332" i="5"/>
  <c r="M333" i="5"/>
  <c r="M334" i="5"/>
  <c r="M335" i="5"/>
  <c r="M336" i="5"/>
  <c r="M337" i="5"/>
  <c r="M338" i="5"/>
  <c r="M339" i="5"/>
  <c r="M340" i="5"/>
  <c r="M341" i="5"/>
  <c r="M342" i="5"/>
  <c r="M343" i="5"/>
  <c r="M344" i="5"/>
  <c r="M345" i="5"/>
  <c r="M346" i="5"/>
  <c r="M347" i="5"/>
  <c r="M348" i="5"/>
  <c r="M349" i="5"/>
  <c r="M350" i="5"/>
  <c r="M351" i="5"/>
  <c r="M352" i="5"/>
  <c r="M353" i="5"/>
  <c r="M354" i="5"/>
  <c r="M355" i="5"/>
  <c r="M356" i="5"/>
  <c r="M357" i="5"/>
  <c r="M358" i="5"/>
  <c r="M359" i="5"/>
  <c r="M360" i="5"/>
  <c r="M361" i="5"/>
  <c r="M362" i="5"/>
  <c r="M363" i="5"/>
  <c r="M364" i="5"/>
  <c r="M365" i="5"/>
  <c r="M366" i="5"/>
  <c r="M367" i="5"/>
  <c r="M368" i="5"/>
  <c r="M369" i="5"/>
  <c r="M370" i="5"/>
  <c r="M371" i="5"/>
  <c r="M372" i="5"/>
  <c r="M373" i="5"/>
  <c r="M374" i="5"/>
  <c r="M375" i="5"/>
  <c r="M376" i="5"/>
  <c r="M377" i="5"/>
  <c r="M378" i="5"/>
  <c r="M379" i="5"/>
  <c r="M2" i="5"/>
  <c r="M1" i="5"/>
  <c r="E1" i="157" l="1" a="1"/>
  <c r="E1" i="157" s="1"/>
  <c r="E1" i="159" a="1"/>
  <c r="E1" i="159" s="1"/>
  <c r="M26" i="178"/>
  <c r="E1" i="154" a="1"/>
  <c r="E1" i="155" a="1"/>
  <c r="E1" i="155" s="1"/>
  <c r="E1" i="156" a="1"/>
  <c r="E1" i="156" s="1"/>
  <c r="M2" i="178"/>
  <c r="E1" i="153" a="1"/>
  <c r="E1" i="153" s="1"/>
  <c r="E1" i="158" a="1"/>
  <c r="E1" i="158" s="1"/>
  <c r="E1" i="161" a="1"/>
  <c r="E1" i="161" s="1"/>
  <c r="M6" i="178"/>
  <c r="M41" i="178"/>
  <c r="E1" i="162" a="1"/>
  <c r="E1" i="162" s="1"/>
  <c r="A28" i="145"/>
  <c r="A30" i="145" s="1"/>
  <c r="A2" i="169" s="1"/>
  <c r="A4" i="169" s="1"/>
  <c r="A6" i="169" s="1"/>
  <c r="A8" i="169" s="1"/>
  <c r="A10" i="169" s="1"/>
  <c r="A12" i="169" s="1"/>
  <c r="A14" i="169" s="1"/>
  <c r="A16" i="169" s="1"/>
  <c r="A18" i="169" s="1"/>
  <c r="A20" i="169" s="1"/>
  <c r="A22" i="169" s="1"/>
  <c r="A24" i="169" s="1"/>
  <c r="A26" i="169" s="1"/>
  <c r="A28" i="169" s="1"/>
  <c r="A30" i="169" s="1"/>
  <c r="A32" i="169" s="1"/>
  <c r="A34" i="169" s="1"/>
  <c r="A40" i="169" s="1"/>
  <c r="A5" i="143"/>
  <c r="A9" i="143" s="1"/>
  <c r="A13" i="143" s="1"/>
  <c r="A17" i="143" s="1"/>
  <c r="A21" i="143" s="1"/>
  <c r="A25" i="143" s="1"/>
  <c r="A29" i="143" s="1"/>
  <c r="A31" i="143" s="1"/>
  <c r="A33" i="143" s="1"/>
  <c r="A35" i="143" s="1"/>
  <c r="A37" i="143" s="1"/>
  <c r="A39" i="143" s="1"/>
  <c r="A3" i="145" s="1"/>
  <c r="A5" i="145" s="1"/>
  <c r="A7" i="145" s="1"/>
  <c r="A9" i="145" s="1"/>
  <c r="A11" i="145" s="1"/>
  <c r="A13" i="145" s="1"/>
  <c r="A15" i="145" s="1"/>
  <c r="A17" i="145" s="1"/>
  <c r="A19" i="145" s="1"/>
  <c r="A21" i="145" s="1"/>
  <c r="A23" i="145" s="1"/>
  <c r="A25" i="145" s="1"/>
  <c r="A27" i="145" s="1"/>
  <c r="A3" i="143"/>
  <c r="A7" i="143" s="1"/>
  <c r="A11" i="143" s="1"/>
  <c r="A15" i="143" s="1"/>
  <c r="A19" i="143" s="1"/>
  <c r="A23" i="143" s="1"/>
  <c r="A27" i="143" s="1"/>
  <c r="H9" i="150"/>
  <c r="E9" i="150"/>
  <c r="N9" i="150" s="1"/>
  <c r="H8" i="150"/>
  <c r="E8" i="150"/>
  <c r="N8" i="150" s="1"/>
  <c r="H7" i="150"/>
  <c r="E7" i="150"/>
  <c r="N7" i="150" s="1"/>
  <c r="H74" i="5"/>
  <c r="G74" i="5"/>
  <c r="F74" i="5"/>
  <c r="E74" i="5"/>
  <c r="H73" i="5"/>
  <c r="G73" i="5"/>
  <c r="F73" i="5"/>
  <c r="E73" i="5"/>
  <c r="H72" i="5"/>
  <c r="G72" i="5"/>
  <c r="F72" i="5"/>
  <c r="E72" i="5"/>
  <c r="C73" i="5"/>
  <c r="A5" i="150"/>
  <c r="E5" i="150"/>
  <c r="N5" i="150" s="1"/>
  <c r="H5" i="150"/>
  <c r="H4" i="150"/>
  <c r="E4" i="150"/>
  <c r="E3" i="150"/>
  <c r="H3" i="150"/>
  <c r="H2" i="150"/>
  <c r="E2" i="150"/>
  <c r="O1" i="150"/>
  <c r="H1" i="150"/>
  <c r="G1" i="150"/>
  <c r="F1" i="150"/>
  <c r="E1" i="150"/>
  <c r="A185" i="146"/>
  <c r="B184" i="146"/>
  <c r="A184" i="146"/>
  <c r="H185" i="146"/>
  <c r="E185" i="146"/>
  <c r="H184" i="146"/>
  <c r="E184" i="146"/>
  <c r="A137" i="146"/>
  <c r="B136" i="146"/>
  <c r="A136" i="146"/>
  <c r="E137" i="146"/>
  <c r="H137" i="146"/>
  <c r="H136" i="146"/>
  <c r="E136" i="146"/>
  <c r="C13" i="131"/>
  <c r="J13" i="131"/>
  <c r="H13" i="131"/>
  <c r="G13" i="131"/>
  <c r="B13" i="131"/>
  <c r="J10" i="131"/>
  <c r="H10" i="131"/>
  <c r="G10" i="131"/>
  <c r="C10" i="131"/>
  <c r="B10" i="131"/>
  <c r="B18" i="67"/>
  <c r="F169" i="146"/>
  <c r="F168" i="146"/>
  <c r="F167" i="146"/>
  <c r="F166" i="146"/>
  <c r="F165" i="146"/>
  <c r="F164" i="146"/>
  <c r="A165" i="146"/>
  <c r="I165" i="146" s="1"/>
  <c r="A167" i="146"/>
  <c r="I167" i="146" s="1"/>
  <c r="A169" i="146"/>
  <c r="I169" i="146" s="1"/>
  <c r="B168" i="146"/>
  <c r="I168" i="146" s="1"/>
  <c r="B166" i="146"/>
  <c r="I166" i="146" s="1"/>
  <c r="B164" i="146"/>
  <c r="I164" i="146" s="1"/>
  <c r="H169" i="146"/>
  <c r="G169" i="146"/>
  <c r="E169" i="146"/>
  <c r="H168" i="146"/>
  <c r="G168" i="146"/>
  <c r="E168" i="146"/>
  <c r="A168" i="146"/>
  <c r="H167" i="146"/>
  <c r="G167" i="146"/>
  <c r="E167" i="146"/>
  <c r="H166" i="146"/>
  <c r="G166" i="146"/>
  <c r="E166" i="146"/>
  <c r="A166" i="146"/>
  <c r="H165" i="146"/>
  <c r="G165" i="146"/>
  <c r="E165" i="146"/>
  <c r="H164" i="146"/>
  <c r="G164" i="146"/>
  <c r="E164" i="146"/>
  <c r="A164" i="146"/>
  <c r="C8" i="149"/>
  <c r="C6" i="149"/>
  <c r="H8" i="149"/>
  <c r="G8" i="149"/>
  <c r="F8" i="149"/>
  <c r="H6" i="149"/>
  <c r="F6" i="149"/>
  <c r="E6" i="149"/>
  <c r="N6" i="149" s="1"/>
  <c r="E8" i="149"/>
  <c r="N8" i="149" s="1"/>
  <c r="B8" i="149"/>
  <c r="B6" i="149"/>
  <c r="A8" i="149"/>
  <c r="A6" i="149"/>
  <c r="C4" i="149"/>
  <c r="H5" i="149"/>
  <c r="G4" i="149"/>
  <c r="H4" i="149"/>
  <c r="F4" i="149"/>
  <c r="E4" i="149"/>
  <c r="E5" i="149"/>
  <c r="A4" i="149"/>
  <c r="B4" i="149"/>
  <c r="A5" i="149"/>
  <c r="B5" i="149"/>
  <c r="B2" i="149"/>
  <c r="F2" i="149"/>
  <c r="H2" i="149"/>
  <c r="E2" i="149"/>
  <c r="A2" i="149"/>
  <c r="O1" i="149"/>
  <c r="H1" i="149"/>
  <c r="G1" i="149"/>
  <c r="F1" i="149"/>
  <c r="E1" i="149"/>
  <c r="D43" i="1"/>
  <c r="D44" i="1"/>
  <c r="E17" i="148"/>
  <c r="D17" i="148"/>
  <c r="E16" i="148"/>
  <c r="D16" i="148"/>
  <c r="F177" i="146"/>
  <c r="F176" i="146"/>
  <c r="D8" i="139"/>
  <c r="C10" i="139"/>
  <c r="C9" i="139"/>
  <c r="B9" i="139"/>
  <c r="G9" i="139"/>
  <c r="J9" i="139"/>
  <c r="D22" i="130"/>
  <c r="C23" i="130"/>
  <c r="P21" i="130"/>
  <c r="P17" i="130"/>
  <c r="P13" i="130"/>
  <c r="P9" i="130"/>
  <c r="P5" i="130"/>
  <c r="F119" i="146"/>
  <c r="F120" i="146"/>
  <c r="F121" i="146"/>
  <c r="F122" i="146"/>
  <c r="F123" i="146"/>
  <c r="F118" i="146"/>
  <c r="H145" i="146"/>
  <c r="E145" i="146"/>
  <c r="A145" i="146"/>
  <c r="H144" i="146"/>
  <c r="E144" i="146"/>
  <c r="B144" i="146"/>
  <c r="A144" i="146"/>
  <c r="G22" i="130"/>
  <c r="H22" i="130"/>
  <c r="G23" i="130"/>
  <c r="H23" i="130"/>
  <c r="C22" i="130"/>
  <c r="B23" i="130"/>
  <c r="B22" i="130"/>
  <c r="J8" i="139"/>
  <c r="J10" i="139"/>
  <c r="G8" i="139"/>
  <c r="G10" i="139"/>
  <c r="C8" i="139"/>
  <c r="B10" i="139"/>
  <c r="B8" i="139"/>
  <c r="F27" i="138"/>
  <c r="F26" i="138"/>
  <c r="C43" i="129"/>
  <c r="C41" i="129"/>
  <c r="J1" i="127"/>
  <c r="I1" i="127"/>
  <c r="I1" i="7"/>
  <c r="J1" i="7"/>
  <c r="H3" i="146"/>
  <c r="H4" i="146"/>
  <c r="H5" i="146"/>
  <c r="H6" i="146"/>
  <c r="H7" i="146"/>
  <c r="H8" i="146"/>
  <c r="H9" i="146"/>
  <c r="H10" i="146"/>
  <c r="H11" i="146"/>
  <c r="H12" i="146"/>
  <c r="H13" i="146"/>
  <c r="H14" i="146"/>
  <c r="H15" i="146"/>
  <c r="H16" i="146"/>
  <c r="H17" i="146"/>
  <c r="H18" i="146"/>
  <c r="H19" i="146"/>
  <c r="H20" i="146"/>
  <c r="H21" i="146"/>
  <c r="H22" i="146"/>
  <c r="H23" i="146"/>
  <c r="H24" i="146"/>
  <c r="H25" i="146"/>
  <c r="H26" i="146"/>
  <c r="H27" i="146"/>
  <c r="H28" i="146"/>
  <c r="H29" i="146"/>
  <c r="H30" i="146"/>
  <c r="H31" i="146"/>
  <c r="H32" i="146"/>
  <c r="H33" i="146"/>
  <c r="H34" i="146"/>
  <c r="H35" i="146"/>
  <c r="H36" i="146"/>
  <c r="H37" i="146"/>
  <c r="H38" i="146"/>
  <c r="H39" i="146"/>
  <c r="H40" i="146"/>
  <c r="H41" i="146"/>
  <c r="H42" i="146"/>
  <c r="H43" i="146"/>
  <c r="H44" i="146"/>
  <c r="H45" i="146"/>
  <c r="H46" i="146"/>
  <c r="H47" i="146"/>
  <c r="H48" i="146"/>
  <c r="H49" i="146"/>
  <c r="H50" i="146"/>
  <c r="H51" i="146"/>
  <c r="H52" i="146"/>
  <c r="H53" i="146"/>
  <c r="H54" i="146"/>
  <c r="H55" i="146"/>
  <c r="H80" i="146"/>
  <c r="H81" i="146"/>
  <c r="H82" i="146"/>
  <c r="H83" i="146"/>
  <c r="H84" i="146"/>
  <c r="H85" i="146"/>
  <c r="H86" i="146"/>
  <c r="H87" i="146"/>
  <c r="H88" i="146"/>
  <c r="H89" i="146"/>
  <c r="H90" i="146"/>
  <c r="H91" i="146"/>
  <c r="H92" i="146"/>
  <c r="H93" i="146"/>
  <c r="H94" i="146"/>
  <c r="H95" i="146"/>
  <c r="H96" i="146"/>
  <c r="H97" i="146"/>
  <c r="H100" i="146"/>
  <c r="H101" i="146"/>
  <c r="H102" i="146"/>
  <c r="H103" i="146"/>
  <c r="H104" i="146"/>
  <c r="H105" i="146"/>
  <c r="H106" i="146"/>
  <c r="H107" i="146"/>
  <c r="H108" i="146"/>
  <c r="H109" i="146"/>
  <c r="H110" i="146"/>
  <c r="H111" i="146"/>
  <c r="H112" i="146"/>
  <c r="H113" i="146"/>
  <c r="H114" i="146"/>
  <c r="H115" i="146"/>
  <c r="H116" i="146"/>
  <c r="H117" i="146"/>
  <c r="H118" i="146"/>
  <c r="H119" i="146"/>
  <c r="H120" i="146"/>
  <c r="H121" i="146"/>
  <c r="H122" i="146"/>
  <c r="H123" i="146"/>
  <c r="H124" i="146"/>
  <c r="H125" i="146"/>
  <c r="H126" i="146"/>
  <c r="H127" i="146"/>
  <c r="H128" i="146"/>
  <c r="H129" i="146"/>
  <c r="H130" i="146"/>
  <c r="H131" i="146"/>
  <c r="H132" i="146"/>
  <c r="H133" i="146"/>
  <c r="H134" i="146"/>
  <c r="H135" i="146"/>
  <c r="H138" i="146"/>
  <c r="H139" i="146"/>
  <c r="H140" i="146"/>
  <c r="H141" i="146"/>
  <c r="H142" i="146"/>
  <c r="H143" i="146"/>
  <c r="H146" i="146"/>
  <c r="H147" i="146"/>
  <c r="H148" i="146"/>
  <c r="H149" i="146"/>
  <c r="H150" i="146"/>
  <c r="H151" i="146"/>
  <c r="H152" i="146"/>
  <c r="H153" i="146"/>
  <c r="H154" i="146"/>
  <c r="H155" i="146"/>
  <c r="H156" i="146"/>
  <c r="H157" i="146"/>
  <c r="H158" i="146"/>
  <c r="H159" i="146"/>
  <c r="H160" i="146"/>
  <c r="H161" i="146"/>
  <c r="H162" i="146"/>
  <c r="H163" i="146"/>
  <c r="H170" i="146"/>
  <c r="H171" i="146"/>
  <c r="H172" i="146"/>
  <c r="H173" i="146"/>
  <c r="H174" i="146"/>
  <c r="H175" i="146"/>
  <c r="H176" i="146"/>
  <c r="H177" i="146"/>
  <c r="H178" i="146"/>
  <c r="H179" i="146"/>
  <c r="H180" i="146"/>
  <c r="H181" i="146"/>
  <c r="H182" i="146"/>
  <c r="H183" i="146"/>
  <c r="H186" i="146"/>
  <c r="H187" i="146"/>
  <c r="H188" i="146"/>
  <c r="H189" i="146"/>
  <c r="H190" i="146"/>
  <c r="H191" i="146"/>
  <c r="H2" i="146"/>
  <c r="H1" i="146"/>
  <c r="J3" i="145"/>
  <c r="J4" i="145"/>
  <c r="J5" i="145"/>
  <c r="J6" i="145"/>
  <c r="J7" i="145"/>
  <c r="J8" i="145"/>
  <c r="J9" i="145"/>
  <c r="J10" i="145"/>
  <c r="J11" i="145"/>
  <c r="J12" i="145"/>
  <c r="J13" i="145"/>
  <c r="J14" i="145"/>
  <c r="J15" i="145"/>
  <c r="J16" i="145"/>
  <c r="J17" i="145"/>
  <c r="J18" i="145"/>
  <c r="J19" i="145"/>
  <c r="J20" i="145"/>
  <c r="J21" i="145"/>
  <c r="J22" i="145"/>
  <c r="J23" i="145"/>
  <c r="J24" i="145"/>
  <c r="J25" i="145"/>
  <c r="J26" i="145"/>
  <c r="J27" i="145"/>
  <c r="J2" i="145"/>
  <c r="J1" i="145"/>
  <c r="J5" i="143"/>
  <c r="J6" i="143"/>
  <c r="J9" i="143"/>
  <c r="J10" i="143"/>
  <c r="J13" i="143"/>
  <c r="J14" i="143"/>
  <c r="J17" i="143"/>
  <c r="J18" i="143"/>
  <c r="J21" i="143"/>
  <c r="J22" i="143"/>
  <c r="J25" i="143"/>
  <c r="J26" i="143"/>
  <c r="J29" i="143"/>
  <c r="J30" i="143"/>
  <c r="J31" i="143"/>
  <c r="J32" i="143"/>
  <c r="J33" i="143"/>
  <c r="J34" i="143"/>
  <c r="J35" i="143"/>
  <c r="J36" i="143"/>
  <c r="J37" i="143"/>
  <c r="J38" i="143"/>
  <c r="J39" i="143"/>
  <c r="J2" i="143"/>
  <c r="J1" i="143"/>
  <c r="I1" i="143"/>
  <c r="H3" i="142"/>
  <c r="H4" i="142"/>
  <c r="H2" i="142"/>
  <c r="H1" i="142"/>
  <c r="G1" i="142"/>
  <c r="J3" i="139"/>
  <c r="J4" i="139"/>
  <c r="J5" i="139"/>
  <c r="J6" i="139"/>
  <c r="J7" i="139"/>
  <c r="J2" i="139"/>
  <c r="J1" i="139"/>
  <c r="J3" i="136"/>
  <c r="J2" i="136"/>
  <c r="J1" i="136"/>
  <c r="I1" i="136"/>
  <c r="J3" i="135"/>
  <c r="J4" i="135"/>
  <c r="J5" i="135"/>
  <c r="J6" i="135"/>
  <c r="J7" i="135"/>
  <c r="J2" i="135"/>
  <c r="J1" i="135"/>
  <c r="J3" i="134"/>
  <c r="J4" i="134"/>
  <c r="J5" i="134"/>
  <c r="J2" i="134"/>
  <c r="J1" i="134"/>
  <c r="J5" i="131"/>
  <c r="J6" i="131"/>
  <c r="J9" i="131"/>
  <c r="J2" i="131"/>
  <c r="J1" i="131"/>
  <c r="J6" i="129"/>
  <c r="J7" i="129"/>
  <c r="J10" i="129"/>
  <c r="J11" i="129"/>
  <c r="J15" i="129"/>
  <c r="J16" i="129"/>
  <c r="J19" i="129"/>
  <c r="J20" i="129"/>
  <c r="J24" i="129"/>
  <c r="J25" i="129"/>
  <c r="J28" i="129"/>
  <c r="J29" i="129"/>
  <c r="J32" i="129"/>
  <c r="J33" i="129"/>
  <c r="J36" i="129"/>
  <c r="J37" i="129"/>
  <c r="J38" i="129"/>
  <c r="H19" i="178" s="1"/>
  <c r="J39" i="129"/>
  <c r="J40" i="129"/>
  <c r="J41" i="129"/>
  <c r="J42" i="129"/>
  <c r="J43" i="129"/>
  <c r="J44" i="129"/>
  <c r="J2" i="129"/>
  <c r="J1" i="129"/>
  <c r="J2" i="7"/>
  <c r="J3" i="7"/>
  <c r="J4" i="7"/>
  <c r="J5" i="7"/>
  <c r="J6" i="7"/>
  <c r="J7" i="7"/>
  <c r="J8" i="7"/>
  <c r="J9" i="7"/>
  <c r="J3" i="128"/>
  <c r="H2" i="178" s="1"/>
  <c r="J4" i="128"/>
  <c r="J5" i="128"/>
  <c r="J6" i="128"/>
  <c r="J7" i="128"/>
  <c r="J8" i="128"/>
  <c r="J9" i="128"/>
  <c r="J10" i="128"/>
  <c r="J11" i="128"/>
  <c r="J12" i="128"/>
  <c r="J13" i="128"/>
  <c r="J14" i="128"/>
  <c r="J15" i="128"/>
  <c r="J16" i="128"/>
  <c r="J17" i="128"/>
  <c r="J18" i="128"/>
  <c r="J19" i="128"/>
  <c r="J20" i="128"/>
  <c r="J21" i="128"/>
  <c r="J22" i="128"/>
  <c r="J23" i="128"/>
  <c r="J24" i="128"/>
  <c r="J25" i="128"/>
  <c r="J26" i="128"/>
  <c r="J27" i="128"/>
  <c r="J28" i="128"/>
  <c r="J29" i="128"/>
  <c r="J30" i="128"/>
  <c r="J31" i="128"/>
  <c r="J32" i="128"/>
  <c r="J33" i="128"/>
  <c r="J34" i="128"/>
  <c r="J35" i="128"/>
  <c r="J36" i="128"/>
  <c r="J37" i="128"/>
  <c r="J38" i="128"/>
  <c r="J39" i="128"/>
  <c r="J40" i="128"/>
  <c r="J41" i="128"/>
  <c r="J42" i="128"/>
  <c r="J43" i="128"/>
  <c r="J2" i="128"/>
  <c r="J1" i="128"/>
  <c r="J3" i="127"/>
  <c r="H3" i="178" s="1"/>
  <c r="J2" i="127"/>
  <c r="J3" i="126"/>
  <c r="J4" i="126"/>
  <c r="J5" i="126"/>
  <c r="J6" i="126"/>
  <c r="J7" i="126"/>
  <c r="J8" i="126"/>
  <c r="J9" i="126"/>
  <c r="J10" i="126"/>
  <c r="J11" i="126"/>
  <c r="J12" i="126"/>
  <c r="J13" i="126"/>
  <c r="H4" i="178" s="1"/>
  <c r="J14" i="126"/>
  <c r="J15" i="126"/>
  <c r="H5" i="178" s="1"/>
  <c r="J16" i="126"/>
  <c r="J17" i="126"/>
  <c r="H6" i="178" s="1"/>
  <c r="J18" i="126"/>
  <c r="J19" i="126"/>
  <c r="H7" i="178" s="1"/>
  <c r="J20" i="126"/>
  <c r="J21" i="126"/>
  <c r="H8" i="178" s="1"/>
  <c r="J22" i="126"/>
  <c r="J23" i="126"/>
  <c r="H9" i="178" s="1"/>
  <c r="J24" i="126"/>
  <c r="J25" i="126"/>
  <c r="H10" i="178" s="1"/>
  <c r="J26" i="126"/>
  <c r="J27" i="126"/>
  <c r="H11" i="178" s="1"/>
  <c r="J28" i="126"/>
  <c r="J29" i="126"/>
  <c r="H12" i="178" s="1"/>
  <c r="J30" i="126"/>
  <c r="J31" i="126"/>
  <c r="J32" i="126"/>
  <c r="J33" i="126"/>
  <c r="J34" i="126"/>
  <c r="J35" i="126"/>
  <c r="J36" i="126"/>
  <c r="J37" i="126"/>
  <c r="H13" i="178" s="1"/>
  <c r="J38" i="126"/>
  <c r="J39" i="126"/>
  <c r="H14" i="178" s="1"/>
  <c r="J40" i="126"/>
  <c r="J41" i="126"/>
  <c r="H15" i="178" s="1"/>
  <c r="J42" i="126"/>
  <c r="J43" i="126"/>
  <c r="J44" i="126"/>
  <c r="J45" i="126"/>
  <c r="J46" i="126"/>
  <c r="J47" i="126"/>
  <c r="J48" i="126"/>
  <c r="J49" i="126"/>
  <c r="H16" i="178" s="1"/>
  <c r="J50" i="126"/>
  <c r="J51" i="126"/>
  <c r="H17" i="178" s="1"/>
  <c r="J52" i="126"/>
  <c r="J53" i="126"/>
  <c r="H18" i="178" s="1"/>
  <c r="J2" i="126"/>
  <c r="J1" i="126"/>
  <c r="H3" i="5"/>
  <c r="H4" i="5"/>
  <c r="H5" i="5"/>
  <c r="H6" i="5"/>
  <c r="H7" i="5"/>
  <c r="H8" i="5"/>
  <c r="H9" i="5"/>
  <c r="H11" i="5"/>
  <c r="H12" i="5"/>
  <c r="H13" i="5"/>
  <c r="H14" i="5"/>
  <c r="H2" i="176" s="1"/>
  <c r="H15" i="5"/>
  <c r="H16" i="5"/>
  <c r="H17" i="5"/>
  <c r="H18" i="5"/>
  <c r="H19" i="5"/>
  <c r="H20" i="5"/>
  <c r="H21" i="5"/>
  <c r="H22" i="5"/>
  <c r="H23" i="5"/>
  <c r="H24" i="5"/>
  <c r="H25" i="5"/>
  <c r="H26" i="5"/>
  <c r="H27" i="5"/>
  <c r="H28" i="5"/>
  <c r="H3" i="176" s="1"/>
  <c r="H29" i="5"/>
  <c r="H30" i="5"/>
  <c r="H31" i="5"/>
  <c r="H32" i="5"/>
  <c r="H33" i="5"/>
  <c r="H34" i="5"/>
  <c r="H35" i="5"/>
  <c r="H36" i="5"/>
  <c r="H37" i="5"/>
  <c r="H38" i="5"/>
  <c r="H39" i="5"/>
  <c r="H40" i="5"/>
  <c r="H41" i="5"/>
  <c r="H42" i="5"/>
  <c r="H4" i="176" s="1"/>
  <c r="H43" i="5"/>
  <c r="H44" i="5"/>
  <c r="H45" i="5"/>
  <c r="H46" i="5"/>
  <c r="H47" i="5"/>
  <c r="H48" i="5"/>
  <c r="H49" i="5"/>
  <c r="H50" i="5"/>
  <c r="H51" i="5"/>
  <c r="H52" i="5"/>
  <c r="H53" i="5"/>
  <c r="H54" i="5"/>
  <c r="H55" i="5"/>
  <c r="H56" i="5"/>
  <c r="H5" i="176" s="1"/>
  <c r="H57" i="5"/>
  <c r="H58" i="5"/>
  <c r="H59" i="5"/>
  <c r="H60" i="5"/>
  <c r="H61" i="5"/>
  <c r="H62" i="5"/>
  <c r="H63" i="5"/>
  <c r="H64" i="5"/>
  <c r="H65" i="5"/>
  <c r="H66" i="5"/>
  <c r="H67" i="5"/>
  <c r="H68" i="5"/>
  <c r="H69" i="5"/>
  <c r="H70" i="5"/>
  <c r="H6" i="176" s="1"/>
  <c r="H71" i="5"/>
  <c r="H75" i="5"/>
  <c r="H76" i="5"/>
  <c r="H77" i="5"/>
  <c r="H78" i="5"/>
  <c r="H79" i="5"/>
  <c r="H80" i="5"/>
  <c r="H81" i="5"/>
  <c r="H82" i="5"/>
  <c r="H83" i="5"/>
  <c r="H84" i="5"/>
  <c r="H7" i="176" s="1"/>
  <c r="H85" i="5"/>
  <c r="H86" i="5"/>
  <c r="H87" i="5"/>
  <c r="H88" i="5"/>
  <c r="H89" i="5"/>
  <c r="H90" i="5"/>
  <c r="H91" i="5"/>
  <c r="H92" i="5"/>
  <c r="H93" i="5"/>
  <c r="H94" i="5"/>
  <c r="H95" i="5"/>
  <c r="H96" i="5"/>
  <c r="H97" i="5"/>
  <c r="H98" i="5"/>
  <c r="H8" i="176" s="1"/>
  <c r="H99" i="5"/>
  <c r="H100" i="5"/>
  <c r="H101" i="5"/>
  <c r="H102" i="5"/>
  <c r="H103" i="5"/>
  <c r="H104" i="5"/>
  <c r="H105" i="5"/>
  <c r="H106" i="5"/>
  <c r="H107" i="5"/>
  <c r="H108" i="5"/>
  <c r="H109" i="5"/>
  <c r="H110" i="5"/>
  <c r="H111" i="5"/>
  <c r="H112" i="5"/>
  <c r="H9" i="176" s="1"/>
  <c r="H113" i="5"/>
  <c r="H114" i="5"/>
  <c r="H115" i="5"/>
  <c r="H116" i="5"/>
  <c r="H117" i="5"/>
  <c r="H118" i="5"/>
  <c r="H119" i="5"/>
  <c r="H120" i="5"/>
  <c r="H121" i="5"/>
  <c r="H122" i="5"/>
  <c r="H123" i="5"/>
  <c r="H124" i="5"/>
  <c r="H125" i="5"/>
  <c r="H126" i="5"/>
  <c r="H10" i="176" s="1"/>
  <c r="H127" i="5"/>
  <c r="H128" i="5"/>
  <c r="H129" i="5"/>
  <c r="H130" i="5"/>
  <c r="H131" i="5"/>
  <c r="H132" i="5"/>
  <c r="H133" i="5"/>
  <c r="H134" i="5"/>
  <c r="H135"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2" i="5"/>
  <c r="H1" i="5"/>
  <c r="D36" i="1"/>
  <c r="D37" i="1"/>
  <c r="D35" i="1"/>
  <c r="D42" i="1"/>
  <c r="D28" i="1"/>
  <c r="D38" i="1"/>
  <c r="D29" i="1"/>
  <c r="D26" i="1"/>
  <c r="D23" i="1"/>
  <c r="D17" i="1"/>
  <c r="D15" i="1"/>
  <c r="D12" i="1"/>
  <c r="D11" i="1"/>
  <c r="D6" i="1"/>
  <c r="D41" i="1"/>
  <c r="D40" i="1"/>
  <c r="D39" i="1"/>
  <c r="D34" i="1"/>
  <c r="D33" i="1"/>
  <c r="D32" i="1"/>
  <c r="D31" i="1"/>
  <c r="D30" i="1"/>
  <c r="D27" i="1"/>
  <c r="D25" i="1"/>
  <c r="D22" i="1"/>
  <c r="D21" i="1"/>
  <c r="D20" i="1"/>
  <c r="D19" i="1"/>
  <c r="D18" i="1"/>
  <c r="D16" i="1"/>
  <c r="D14" i="1"/>
  <c r="D13" i="1"/>
  <c r="D10" i="1"/>
  <c r="D9" i="1"/>
  <c r="D8" i="1"/>
  <c r="D7" i="1"/>
  <c r="D5" i="1"/>
  <c r="D4" i="1"/>
  <c r="D3" i="1"/>
  <c r="D2" i="1"/>
  <c r="D1" i="1"/>
  <c r="E177" i="146"/>
  <c r="A177" i="146"/>
  <c r="I177" i="146" s="1"/>
  <c r="E176" i="146"/>
  <c r="B176" i="146"/>
  <c r="I176" i="146" s="1"/>
  <c r="A176" i="146"/>
  <c r="D43" i="129"/>
  <c r="P44" i="129" s="1"/>
  <c r="D41" i="129"/>
  <c r="P42" i="129" s="1"/>
  <c r="G41" i="129"/>
  <c r="G42" i="129"/>
  <c r="G43" i="129"/>
  <c r="G44" i="129"/>
  <c r="H44" i="129"/>
  <c r="H43" i="129"/>
  <c r="H42" i="129"/>
  <c r="H41" i="129"/>
  <c r="C44" i="129"/>
  <c r="B44" i="129"/>
  <c r="B43" i="129"/>
  <c r="B42" i="129"/>
  <c r="B41" i="129"/>
  <c r="E1" i="154" l="1"/>
  <c r="P20" i="178"/>
  <c r="Q20" i="178"/>
  <c r="A29" i="145"/>
  <c r="A31" i="145" s="1"/>
  <c r="A3" i="169" s="1"/>
  <c r="A5" i="169" s="1"/>
  <c r="A7" i="169" s="1"/>
  <c r="A9" i="169" s="1"/>
  <c r="A11" i="169" s="1"/>
  <c r="A13" i="169" s="1"/>
  <c r="A15" i="169" s="1"/>
  <c r="A17" i="169" s="1"/>
  <c r="A19" i="169" s="1"/>
  <c r="A21" i="169" s="1"/>
  <c r="A23" i="169" s="1"/>
  <c r="A25" i="169" s="1"/>
  <c r="A27" i="169" s="1"/>
  <c r="A29" i="169" s="1"/>
  <c r="A31" i="169" s="1"/>
  <c r="A33" i="169" s="1"/>
  <c r="A35" i="169" s="1"/>
  <c r="A36" i="169"/>
  <c r="A38" i="169"/>
  <c r="N176" i="146"/>
  <c r="N177" i="146"/>
  <c r="P9" i="139"/>
  <c r="P10" i="139"/>
  <c r="N2" i="149"/>
  <c r="N4" i="149"/>
  <c r="N73" i="5"/>
  <c r="B188" i="146"/>
  <c r="I188" i="146" s="1"/>
  <c r="B190" i="146"/>
  <c r="I190" i="146" s="1"/>
  <c r="A191" i="146"/>
  <c r="I191" i="146" s="1"/>
  <c r="A189" i="146"/>
  <c r="I189" i="146" s="1"/>
  <c r="A187" i="146"/>
  <c r="I187" i="146" s="1"/>
  <c r="B186" i="146"/>
  <c r="I186" i="146" s="1"/>
  <c r="G191" i="146"/>
  <c r="F191" i="146"/>
  <c r="E191" i="146"/>
  <c r="G190" i="146"/>
  <c r="F190" i="146"/>
  <c r="E190" i="146"/>
  <c r="A190" i="146"/>
  <c r="G189" i="146"/>
  <c r="F189" i="146"/>
  <c r="E189" i="146"/>
  <c r="G188" i="146"/>
  <c r="F188" i="146"/>
  <c r="E188" i="146"/>
  <c r="A188" i="146"/>
  <c r="G187" i="146"/>
  <c r="F187" i="146"/>
  <c r="E187" i="146"/>
  <c r="G186" i="146"/>
  <c r="F186" i="146"/>
  <c r="E186" i="146"/>
  <c r="A186" i="146"/>
  <c r="A183" i="146"/>
  <c r="I183" i="146" s="1"/>
  <c r="B182" i="146"/>
  <c r="I182" i="146" s="1"/>
  <c r="A181" i="146"/>
  <c r="I181" i="146" s="1"/>
  <c r="B180" i="146"/>
  <c r="I180" i="146" s="1"/>
  <c r="A179" i="146"/>
  <c r="I179" i="146" s="1"/>
  <c r="B178" i="146"/>
  <c r="I178" i="146" s="1"/>
  <c r="F183" i="146"/>
  <c r="F182" i="146"/>
  <c r="F181" i="146"/>
  <c r="F180" i="146"/>
  <c r="F179" i="146"/>
  <c r="F178" i="146"/>
  <c r="G183" i="146"/>
  <c r="E183" i="146"/>
  <c r="G182" i="146"/>
  <c r="E182" i="146"/>
  <c r="A182" i="146"/>
  <c r="G181" i="146"/>
  <c r="E181" i="146"/>
  <c r="G180" i="146"/>
  <c r="E180" i="146"/>
  <c r="A180" i="146"/>
  <c r="G179" i="146"/>
  <c r="E179" i="146"/>
  <c r="G178" i="146"/>
  <c r="E178" i="146"/>
  <c r="A178" i="146"/>
  <c r="F171" i="146"/>
  <c r="F172" i="146"/>
  <c r="F173" i="146"/>
  <c r="F174" i="146"/>
  <c r="F175" i="146"/>
  <c r="F170" i="146"/>
  <c r="A175" i="146"/>
  <c r="I175" i="146" s="1"/>
  <c r="B174" i="146"/>
  <c r="I174" i="146" s="1"/>
  <c r="A173" i="146"/>
  <c r="I173" i="146" s="1"/>
  <c r="B172" i="146"/>
  <c r="I172" i="146" s="1"/>
  <c r="A171" i="146"/>
  <c r="I171" i="146" s="1"/>
  <c r="B170" i="146"/>
  <c r="I170" i="146" s="1"/>
  <c r="G175" i="146"/>
  <c r="E175" i="146"/>
  <c r="G174" i="146"/>
  <c r="E174" i="146"/>
  <c r="A174" i="146"/>
  <c r="G173" i="146"/>
  <c r="E173" i="146"/>
  <c r="G172" i="146"/>
  <c r="E172" i="146"/>
  <c r="A172" i="146"/>
  <c r="G171" i="146"/>
  <c r="E171" i="146"/>
  <c r="G170" i="146"/>
  <c r="E170" i="146"/>
  <c r="A170" i="146"/>
  <c r="A159" i="146"/>
  <c r="I159" i="146" s="1"/>
  <c r="A161" i="146"/>
  <c r="I161" i="146" s="1"/>
  <c r="A163" i="146"/>
  <c r="I163" i="146" s="1"/>
  <c r="B162" i="146"/>
  <c r="I162" i="146" s="1"/>
  <c r="B160" i="146"/>
  <c r="I160" i="146" s="1"/>
  <c r="B158" i="146"/>
  <c r="I158" i="146" s="1"/>
  <c r="G163" i="146"/>
  <c r="F163" i="146"/>
  <c r="E163" i="146"/>
  <c r="G162" i="146"/>
  <c r="F162" i="146"/>
  <c r="E162" i="146"/>
  <c r="A162" i="146"/>
  <c r="G161" i="146"/>
  <c r="F161" i="146"/>
  <c r="E161" i="146"/>
  <c r="G160" i="146"/>
  <c r="F160" i="146"/>
  <c r="E160" i="146"/>
  <c r="A160" i="146"/>
  <c r="G159" i="146"/>
  <c r="F159" i="146"/>
  <c r="E159" i="146"/>
  <c r="G158" i="146"/>
  <c r="F158" i="146"/>
  <c r="E158" i="146"/>
  <c r="A158" i="146"/>
  <c r="A157" i="146"/>
  <c r="I157" i="146" s="1"/>
  <c r="B156" i="146"/>
  <c r="I156" i="146" s="1"/>
  <c r="A155" i="146"/>
  <c r="I155" i="146" s="1"/>
  <c r="B154" i="146"/>
  <c r="I154" i="146" s="1"/>
  <c r="A153" i="146"/>
  <c r="I153" i="146" s="1"/>
  <c r="B152" i="146"/>
  <c r="I152" i="146" s="1"/>
  <c r="F153" i="146"/>
  <c r="F154" i="146"/>
  <c r="F155" i="146"/>
  <c r="F156" i="146"/>
  <c r="F157" i="146"/>
  <c r="F152" i="146"/>
  <c r="G157" i="146"/>
  <c r="E157" i="146"/>
  <c r="G156" i="146"/>
  <c r="E156" i="146"/>
  <c r="A156" i="146"/>
  <c r="G155" i="146"/>
  <c r="E155" i="146"/>
  <c r="G154" i="146"/>
  <c r="E154" i="146"/>
  <c r="A154" i="146"/>
  <c r="G153" i="146"/>
  <c r="E153" i="146"/>
  <c r="G152" i="146"/>
  <c r="E152" i="146"/>
  <c r="A152" i="146"/>
  <c r="A151" i="146"/>
  <c r="I151" i="146" s="1"/>
  <c r="B150" i="146"/>
  <c r="I150" i="146" s="1"/>
  <c r="A149" i="146"/>
  <c r="I149" i="146" s="1"/>
  <c r="B148" i="146"/>
  <c r="I148" i="146" s="1"/>
  <c r="A147" i="146"/>
  <c r="I147" i="146" s="1"/>
  <c r="B146" i="146"/>
  <c r="I146" i="146" s="1"/>
  <c r="F151" i="146"/>
  <c r="F150" i="146"/>
  <c r="F149" i="146"/>
  <c r="F148" i="146"/>
  <c r="F147" i="146"/>
  <c r="F146" i="146"/>
  <c r="G151" i="146"/>
  <c r="E151" i="146"/>
  <c r="G150" i="146"/>
  <c r="E150" i="146"/>
  <c r="A150" i="146"/>
  <c r="G149" i="146"/>
  <c r="E149" i="146"/>
  <c r="G148" i="146"/>
  <c r="E148" i="146"/>
  <c r="A148" i="146"/>
  <c r="G147" i="146"/>
  <c r="E147" i="146"/>
  <c r="G146" i="146"/>
  <c r="E146" i="146"/>
  <c r="A146" i="146"/>
  <c r="A143" i="146"/>
  <c r="I143" i="146" s="1"/>
  <c r="B142" i="146"/>
  <c r="I142" i="146" s="1"/>
  <c r="A141" i="146"/>
  <c r="I141" i="146" s="1"/>
  <c r="B140" i="146"/>
  <c r="I140" i="146" s="1"/>
  <c r="A139" i="146"/>
  <c r="I139" i="146" s="1"/>
  <c r="B138" i="146"/>
  <c r="I138" i="146" s="1"/>
  <c r="F143" i="146"/>
  <c r="F142" i="146"/>
  <c r="F141" i="146"/>
  <c r="F140" i="146"/>
  <c r="F139" i="146"/>
  <c r="F138" i="146"/>
  <c r="G143" i="146"/>
  <c r="E143" i="146"/>
  <c r="G142" i="146"/>
  <c r="E142" i="146"/>
  <c r="A142" i="146"/>
  <c r="G141" i="146"/>
  <c r="E141" i="146"/>
  <c r="G140" i="146"/>
  <c r="E140" i="146"/>
  <c r="A140" i="146"/>
  <c r="G139" i="146"/>
  <c r="E139" i="146"/>
  <c r="G138" i="146"/>
  <c r="E138" i="146"/>
  <c r="A138" i="146"/>
  <c r="F135" i="146"/>
  <c r="F134" i="146"/>
  <c r="F133" i="146"/>
  <c r="F132" i="146"/>
  <c r="F131" i="146"/>
  <c r="F130" i="146"/>
  <c r="G135" i="146"/>
  <c r="E135" i="146"/>
  <c r="A135" i="146"/>
  <c r="I135" i="146" s="1"/>
  <c r="G134" i="146"/>
  <c r="E134" i="146"/>
  <c r="B134" i="146"/>
  <c r="I134" i="146" s="1"/>
  <c r="A134" i="146"/>
  <c r="G133" i="146"/>
  <c r="E133" i="146"/>
  <c r="A133" i="146"/>
  <c r="I133" i="146" s="1"/>
  <c r="G132" i="146"/>
  <c r="E132" i="146"/>
  <c r="B132" i="146"/>
  <c r="I132" i="146" s="1"/>
  <c r="A132" i="146"/>
  <c r="G131" i="146"/>
  <c r="E131" i="146"/>
  <c r="A131" i="146"/>
  <c r="I131" i="146" s="1"/>
  <c r="G130" i="146"/>
  <c r="E130" i="146"/>
  <c r="B130" i="146"/>
  <c r="I130" i="146" s="1"/>
  <c r="A130" i="146"/>
  <c r="A129" i="146"/>
  <c r="I129" i="146" s="1"/>
  <c r="B128" i="146"/>
  <c r="I128" i="146" s="1"/>
  <c r="A127" i="146"/>
  <c r="I127" i="146" s="1"/>
  <c r="B126" i="146"/>
  <c r="I126" i="146" s="1"/>
  <c r="A125" i="146"/>
  <c r="I125" i="146" s="1"/>
  <c r="B124" i="146"/>
  <c r="I124" i="146" s="1"/>
  <c r="G129" i="146"/>
  <c r="F129" i="146"/>
  <c r="E129" i="146"/>
  <c r="G128" i="146"/>
  <c r="F128" i="146"/>
  <c r="E128" i="146"/>
  <c r="A128" i="146"/>
  <c r="G127" i="146"/>
  <c r="F127" i="146"/>
  <c r="E127" i="146"/>
  <c r="G126" i="146"/>
  <c r="F126" i="146"/>
  <c r="E126" i="146"/>
  <c r="A126" i="146"/>
  <c r="G125" i="146"/>
  <c r="F125" i="146"/>
  <c r="E125" i="146"/>
  <c r="G124" i="146"/>
  <c r="F124" i="146"/>
  <c r="E124" i="146"/>
  <c r="A124" i="146"/>
  <c r="G123" i="146"/>
  <c r="E123" i="146"/>
  <c r="A123" i="146"/>
  <c r="I123" i="146" s="1"/>
  <c r="G122" i="146"/>
  <c r="E122" i="146"/>
  <c r="B122" i="146"/>
  <c r="I122" i="146" s="1"/>
  <c r="A122" i="146"/>
  <c r="G121" i="146"/>
  <c r="E121" i="146"/>
  <c r="A121" i="146"/>
  <c r="I121" i="146" s="1"/>
  <c r="G120" i="146"/>
  <c r="E120" i="146"/>
  <c r="B120" i="146"/>
  <c r="I120" i="146" s="1"/>
  <c r="A120" i="146"/>
  <c r="G119" i="146"/>
  <c r="E119" i="146"/>
  <c r="A119" i="146"/>
  <c r="I119" i="146" s="1"/>
  <c r="G118" i="146"/>
  <c r="E118" i="146"/>
  <c r="B118" i="146"/>
  <c r="I118" i="146" s="1"/>
  <c r="A118" i="146"/>
  <c r="A117" i="146"/>
  <c r="I117" i="146" s="1"/>
  <c r="B116" i="146"/>
  <c r="I116" i="146" s="1"/>
  <c r="A115" i="146"/>
  <c r="I115" i="146" s="1"/>
  <c r="B114" i="146"/>
  <c r="I114" i="146" s="1"/>
  <c r="A113" i="146"/>
  <c r="I113" i="146" s="1"/>
  <c r="B112" i="146"/>
  <c r="I112" i="146" s="1"/>
  <c r="F113" i="146"/>
  <c r="F114" i="146"/>
  <c r="F115" i="146"/>
  <c r="F116" i="146"/>
  <c r="F117" i="146"/>
  <c r="F112" i="146"/>
  <c r="G117" i="146"/>
  <c r="E117" i="146"/>
  <c r="G116" i="146"/>
  <c r="E116" i="146"/>
  <c r="A116" i="146"/>
  <c r="G115" i="146"/>
  <c r="E115" i="146"/>
  <c r="G114" i="146"/>
  <c r="E114" i="146"/>
  <c r="A114" i="146"/>
  <c r="G113" i="146"/>
  <c r="E113" i="146"/>
  <c r="G112" i="146"/>
  <c r="E112" i="146"/>
  <c r="A112" i="146"/>
  <c r="A111" i="146"/>
  <c r="I111" i="146" s="1"/>
  <c r="B110" i="146"/>
  <c r="I110" i="146" s="1"/>
  <c r="A110" i="146"/>
  <c r="A109" i="146"/>
  <c r="I109" i="146" s="1"/>
  <c r="B108" i="146"/>
  <c r="I108" i="146" s="1"/>
  <c r="A108" i="146"/>
  <c r="A107" i="146"/>
  <c r="I107" i="146" s="1"/>
  <c r="B106" i="146"/>
  <c r="I106" i="146" s="1"/>
  <c r="A106" i="146"/>
  <c r="G111" i="146"/>
  <c r="F111" i="146"/>
  <c r="E111" i="146"/>
  <c r="G110" i="146"/>
  <c r="F110" i="146"/>
  <c r="E110" i="146"/>
  <c r="G109" i="146"/>
  <c r="F109" i="146"/>
  <c r="E109" i="146"/>
  <c r="G108" i="146"/>
  <c r="F108" i="146"/>
  <c r="E108" i="146"/>
  <c r="G107" i="146"/>
  <c r="F107" i="146"/>
  <c r="E107" i="146"/>
  <c r="G106" i="146"/>
  <c r="F106" i="146"/>
  <c r="E106" i="146"/>
  <c r="A105" i="146"/>
  <c r="I105" i="146" s="1"/>
  <c r="A103" i="146"/>
  <c r="I103" i="146" s="1"/>
  <c r="A101" i="146"/>
  <c r="I101" i="146" s="1"/>
  <c r="B104" i="146"/>
  <c r="I104" i="146" s="1"/>
  <c r="B102" i="146"/>
  <c r="I102" i="146" s="1"/>
  <c r="B100" i="146"/>
  <c r="I100" i="146" s="1"/>
  <c r="F101" i="146"/>
  <c r="F102" i="146"/>
  <c r="F103" i="146"/>
  <c r="F104" i="146"/>
  <c r="F105" i="146"/>
  <c r="F100" i="146"/>
  <c r="F93" i="146"/>
  <c r="F94" i="146"/>
  <c r="F95" i="146"/>
  <c r="F96" i="146"/>
  <c r="F97" i="146"/>
  <c r="F92" i="146"/>
  <c r="G105" i="146"/>
  <c r="E105" i="146"/>
  <c r="G104" i="146"/>
  <c r="E104" i="146"/>
  <c r="A104" i="146"/>
  <c r="G103" i="146"/>
  <c r="E103" i="146"/>
  <c r="G102" i="146"/>
  <c r="E102" i="146"/>
  <c r="A102" i="146"/>
  <c r="G101" i="146"/>
  <c r="E101" i="146"/>
  <c r="G100" i="146"/>
  <c r="E100" i="146"/>
  <c r="A100" i="146"/>
  <c r="G97" i="146"/>
  <c r="E97" i="146"/>
  <c r="A97" i="146"/>
  <c r="I97" i="146" s="1"/>
  <c r="G96" i="146"/>
  <c r="E96" i="146"/>
  <c r="B96" i="146"/>
  <c r="I96" i="146" s="1"/>
  <c r="A96" i="146"/>
  <c r="G95" i="146"/>
  <c r="E95" i="146"/>
  <c r="A95" i="146"/>
  <c r="I95" i="146" s="1"/>
  <c r="G94" i="146"/>
  <c r="E94" i="146"/>
  <c r="B94" i="146"/>
  <c r="I94" i="146" s="1"/>
  <c r="A94" i="146"/>
  <c r="G93" i="146"/>
  <c r="E93" i="146"/>
  <c r="A93" i="146"/>
  <c r="I93" i="146" s="1"/>
  <c r="G92" i="146"/>
  <c r="E92" i="146"/>
  <c r="B92" i="146"/>
  <c r="I92" i="146" s="1"/>
  <c r="A92" i="146"/>
  <c r="F87" i="146"/>
  <c r="F88" i="146"/>
  <c r="F89" i="146"/>
  <c r="F90" i="146"/>
  <c r="F91" i="146"/>
  <c r="F86" i="146"/>
  <c r="A91" i="146"/>
  <c r="I91" i="146" s="1"/>
  <c r="B90" i="146"/>
  <c r="I90" i="146" s="1"/>
  <c r="A89" i="146"/>
  <c r="I89" i="146" s="1"/>
  <c r="B88" i="146"/>
  <c r="I88" i="146" s="1"/>
  <c r="A87" i="146"/>
  <c r="I87" i="146" s="1"/>
  <c r="B86" i="146"/>
  <c r="I86" i="146" s="1"/>
  <c r="G91" i="146"/>
  <c r="E91" i="146"/>
  <c r="G90" i="146"/>
  <c r="E90" i="146"/>
  <c r="A90" i="146"/>
  <c r="G89" i="146"/>
  <c r="E89" i="146"/>
  <c r="G88" i="146"/>
  <c r="E88" i="146"/>
  <c r="A88" i="146"/>
  <c r="G87" i="146"/>
  <c r="E87" i="146"/>
  <c r="G86" i="146"/>
  <c r="E86" i="146"/>
  <c r="A86" i="146"/>
  <c r="A85" i="146"/>
  <c r="I85" i="146" s="1"/>
  <c r="B84" i="146"/>
  <c r="I84" i="146" s="1"/>
  <c r="A83" i="146"/>
  <c r="I83" i="146" s="1"/>
  <c r="B82" i="146"/>
  <c r="I82" i="146" s="1"/>
  <c r="A81" i="146"/>
  <c r="I81" i="146" s="1"/>
  <c r="B80" i="146"/>
  <c r="I80" i="146" s="1"/>
  <c r="F81" i="146"/>
  <c r="F82" i="146"/>
  <c r="F83" i="146"/>
  <c r="F84" i="146"/>
  <c r="F85" i="146"/>
  <c r="F80" i="146"/>
  <c r="G85" i="146"/>
  <c r="E85" i="146"/>
  <c r="G84" i="146"/>
  <c r="E84" i="146"/>
  <c r="A84" i="146"/>
  <c r="G83" i="146"/>
  <c r="E83" i="146"/>
  <c r="G82" i="146"/>
  <c r="E82" i="146"/>
  <c r="A82" i="146"/>
  <c r="G81" i="146"/>
  <c r="E81" i="146"/>
  <c r="G80" i="146"/>
  <c r="E80" i="146"/>
  <c r="A80" i="146"/>
  <c r="F15" i="146"/>
  <c r="F16" i="146"/>
  <c r="F17" i="146"/>
  <c r="F18" i="146"/>
  <c r="F19" i="146"/>
  <c r="F14" i="146"/>
  <c r="G19" i="146"/>
  <c r="E19" i="146"/>
  <c r="N19" i="146" s="1"/>
  <c r="A19" i="146"/>
  <c r="G18" i="146"/>
  <c r="E18" i="146"/>
  <c r="N18" i="146" s="1"/>
  <c r="B18" i="146"/>
  <c r="A18" i="146"/>
  <c r="G17" i="146"/>
  <c r="E17" i="146"/>
  <c r="N17" i="146" s="1"/>
  <c r="A17" i="146"/>
  <c r="G16" i="146"/>
  <c r="E16" i="146"/>
  <c r="N16" i="146" s="1"/>
  <c r="B16" i="146"/>
  <c r="A16" i="146"/>
  <c r="G15" i="146"/>
  <c r="E15" i="146"/>
  <c r="N15" i="146" s="1"/>
  <c r="A15" i="146"/>
  <c r="G14" i="146"/>
  <c r="E14" i="146"/>
  <c r="N14" i="146" s="1"/>
  <c r="B14" i="146"/>
  <c r="A14" i="146"/>
  <c r="F51" i="146"/>
  <c r="F52" i="146"/>
  <c r="F53" i="146"/>
  <c r="F54" i="146"/>
  <c r="F55" i="146"/>
  <c r="F50" i="146"/>
  <c r="G55" i="146"/>
  <c r="E55" i="146"/>
  <c r="A55" i="146"/>
  <c r="G54" i="146"/>
  <c r="E54" i="146"/>
  <c r="B54" i="146"/>
  <c r="A54" i="146"/>
  <c r="G53" i="146"/>
  <c r="E53" i="146"/>
  <c r="A53" i="146"/>
  <c r="G52" i="146"/>
  <c r="E52" i="146"/>
  <c r="B52" i="146"/>
  <c r="A52" i="146"/>
  <c r="G51" i="146"/>
  <c r="E51" i="146"/>
  <c r="A51" i="146"/>
  <c r="G50" i="146"/>
  <c r="E50" i="146"/>
  <c r="B50" i="146"/>
  <c r="A50" i="146"/>
  <c r="F45" i="146"/>
  <c r="F46" i="146"/>
  <c r="F47" i="146"/>
  <c r="F48" i="146"/>
  <c r="F49" i="146"/>
  <c r="F44" i="146"/>
  <c r="G49" i="146"/>
  <c r="E49" i="146"/>
  <c r="A49" i="146"/>
  <c r="G48" i="146"/>
  <c r="E48" i="146"/>
  <c r="B48" i="146"/>
  <c r="A48" i="146"/>
  <c r="G47" i="146"/>
  <c r="E47" i="146"/>
  <c r="A47" i="146"/>
  <c r="G46" i="146"/>
  <c r="E46" i="146"/>
  <c r="B46" i="146"/>
  <c r="A46" i="146"/>
  <c r="G45" i="146"/>
  <c r="E45" i="146"/>
  <c r="A45" i="146"/>
  <c r="G44" i="146"/>
  <c r="E44" i="146"/>
  <c r="B44" i="146"/>
  <c r="A44" i="146"/>
  <c r="F39" i="146"/>
  <c r="F40" i="146"/>
  <c r="F41" i="146"/>
  <c r="F42" i="146"/>
  <c r="F43" i="146"/>
  <c r="F38" i="146"/>
  <c r="G43" i="146"/>
  <c r="E43" i="146"/>
  <c r="N43" i="146" s="1"/>
  <c r="A43" i="146"/>
  <c r="G42" i="146"/>
  <c r="E42" i="146"/>
  <c r="N42" i="146" s="1"/>
  <c r="B42" i="146"/>
  <c r="A42" i="146"/>
  <c r="G41" i="146"/>
  <c r="E41" i="146"/>
  <c r="N41" i="146" s="1"/>
  <c r="A41" i="146"/>
  <c r="G40" i="146"/>
  <c r="E40" i="146"/>
  <c r="N40" i="146" s="1"/>
  <c r="B40" i="146"/>
  <c r="A40" i="146"/>
  <c r="G39" i="146"/>
  <c r="E39" i="146"/>
  <c r="N39" i="146" s="1"/>
  <c r="A39" i="146"/>
  <c r="G38" i="146"/>
  <c r="E38" i="146"/>
  <c r="N38" i="146" s="1"/>
  <c r="B38" i="146"/>
  <c r="A38" i="146"/>
  <c r="F33" i="146"/>
  <c r="F34" i="146"/>
  <c r="F35" i="146"/>
  <c r="F36" i="146"/>
  <c r="F37" i="146"/>
  <c r="F32" i="146"/>
  <c r="G37" i="146"/>
  <c r="E37" i="146"/>
  <c r="N37" i="146" s="1"/>
  <c r="A37" i="146"/>
  <c r="G36" i="146"/>
  <c r="E36" i="146"/>
  <c r="N36" i="146" s="1"/>
  <c r="B36" i="146"/>
  <c r="A36" i="146"/>
  <c r="G35" i="146"/>
  <c r="E35" i="146"/>
  <c r="N35" i="146" s="1"/>
  <c r="A35" i="146"/>
  <c r="G34" i="146"/>
  <c r="E34" i="146"/>
  <c r="N34" i="146" s="1"/>
  <c r="B34" i="146"/>
  <c r="A34" i="146"/>
  <c r="G33" i="146"/>
  <c r="E33" i="146"/>
  <c r="N33" i="146" s="1"/>
  <c r="A33" i="146"/>
  <c r="G32" i="146"/>
  <c r="E32" i="146"/>
  <c r="N32" i="146" s="1"/>
  <c r="B32" i="146"/>
  <c r="A32" i="146"/>
  <c r="F27" i="146"/>
  <c r="F28" i="146"/>
  <c r="F29" i="146"/>
  <c r="F30" i="146"/>
  <c r="F31" i="146"/>
  <c r="F26" i="146"/>
  <c r="G31" i="146"/>
  <c r="E31" i="146"/>
  <c r="N31" i="146" s="1"/>
  <c r="A31" i="146"/>
  <c r="G30" i="146"/>
  <c r="E30" i="146"/>
  <c r="N30" i="146" s="1"/>
  <c r="B30" i="146"/>
  <c r="A30" i="146"/>
  <c r="G29" i="146"/>
  <c r="E29" i="146"/>
  <c r="N29" i="146" s="1"/>
  <c r="A29" i="146"/>
  <c r="G28" i="146"/>
  <c r="E28" i="146"/>
  <c r="N28" i="146" s="1"/>
  <c r="B28" i="146"/>
  <c r="A28" i="146"/>
  <c r="G27" i="146"/>
  <c r="E27" i="146"/>
  <c r="N27" i="146" s="1"/>
  <c r="A27" i="146"/>
  <c r="G26" i="146"/>
  <c r="E26" i="146"/>
  <c r="N26" i="146" s="1"/>
  <c r="B26" i="146"/>
  <c r="A26" i="146"/>
  <c r="F21" i="146"/>
  <c r="F22" i="146"/>
  <c r="F23" i="146"/>
  <c r="F24" i="146"/>
  <c r="F25" i="146"/>
  <c r="F20" i="146"/>
  <c r="G25" i="146"/>
  <c r="E25" i="146"/>
  <c r="N25" i="146" s="1"/>
  <c r="A25" i="146"/>
  <c r="G24" i="146"/>
  <c r="E24" i="146"/>
  <c r="N24" i="146" s="1"/>
  <c r="B24" i="146"/>
  <c r="A24" i="146"/>
  <c r="G23" i="146"/>
  <c r="E23" i="146"/>
  <c r="N23" i="146" s="1"/>
  <c r="A23" i="146"/>
  <c r="G22" i="146"/>
  <c r="E22" i="146"/>
  <c r="N22" i="146" s="1"/>
  <c r="B22" i="146"/>
  <c r="A22" i="146"/>
  <c r="G21" i="146"/>
  <c r="E21" i="146"/>
  <c r="N21" i="146" s="1"/>
  <c r="A21" i="146"/>
  <c r="G20" i="146"/>
  <c r="E20" i="146"/>
  <c r="N20" i="146" s="1"/>
  <c r="B20" i="146"/>
  <c r="A20" i="146"/>
  <c r="F9" i="146"/>
  <c r="F10" i="146"/>
  <c r="F11" i="146"/>
  <c r="F12" i="146"/>
  <c r="F13" i="146"/>
  <c r="F8" i="146"/>
  <c r="G13" i="146"/>
  <c r="E13" i="146"/>
  <c r="N13" i="146" s="1"/>
  <c r="A13" i="146"/>
  <c r="G12" i="146"/>
  <c r="E12" i="146"/>
  <c r="N12" i="146" s="1"/>
  <c r="B12" i="146"/>
  <c r="A12" i="146"/>
  <c r="G11" i="146"/>
  <c r="E11" i="146"/>
  <c r="N11" i="146" s="1"/>
  <c r="A11" i="146"/>
  <c r="G10" i="146"/>
  <c r="E10" i="146"/>
  <c r="N10" i="146" s="1"/>
  <c r="B10" i="146"/>
  <c r="A10" i="146"/>
  <c r="G9" i="146"/>
  <c r="E9" i="146"/>
  <c r="N9" i="146" s="1"/>
  <c r="A9" i="146"/>
  <c r="G8" i="146"/>
  <c r="E8" i="146"/>
  <c r="N8" i="146" s="1"/>
  <c r="B8" i="146"/>
  <c r="A8" i="146"/>
  <c r="A7" i="146"/>
  <c r="B6" i="146"/>
  <c r="A6" i="146"/>
  <c r="A5" i="146"/>
  <c r="B4" i="146"/>
  <c r="A4" i="146"/>
  <c r="A2" i="146"/>
  <c r="E5" i="146"/>
  <c r="N5" i="146" s="1"/>
  <c r="E6" i="146"/>
  <c r="N6" i="146" s="1"/>
  <c r="E7" i="146"/>
  <c r="N7" i="146" s="1"/>
  <c r="G7" i="146"/>
  <c r="G5" i="146"/>
  <c r="G3" i="146"/>
  <c r="F3" i="146"/>
  <c r="F4" i="146"/>
  <c r="F5" i="146"/>
  <c r="F6" i="146"/>
  <c r="F7" i="146"/>
  <c r="F2" i="146"/>
  <c r="G6" i="146"/>
  <c r="E4" i="146"/>
  <c r="N4" i="146" s="1"/>
  <c r="G4" i="146"/>
  <c r="E3" i="146"/>
  <c r="N3" i="146" s="1"/>
  <c r="A3" i="146"/>
  <c r="G2" i="146"/>
  <c r="E2" i="146"/>
  <c r="B2" i="146"/>
  <c r="O1" i="146"/>
  <c r="G1" i="146"/>
  <c r="F1" i="146"/>
  <c r="E1" i="146"/>
  <c r="U2" i="57"/>
  <c r="S2" i="57"/>
  <c r="Q2" i="57"/>
  <c r="D26" i="145"/>
  <c r="P27" i="145" s="1"/>
  <c r="N24" i="178" s="1"/>
  <c r="D24" i="145"/>
  <c r="P25" i="145" s="1"/>
  <c r="N23" i="178" s="1"/>
  <c r="D22" i="145"/>
  <c r="P23" i="145" s="1"/>
  <c r="D20" i="145"/>
  <c r="P21" i="145" s="1"/>
  <c r="C27" i="145"/>
  <c r="C25" i="145"/>
  <c r="C23" i="145"/>
  <c r="C21" i="145"/>
  <c r="C26" i="145"/>
  <c r="B27" i="145"/>
  <c r="B26" i="145"/>
  <c r="B25" i="145"/>
  <c r="B24" i="145"/>
  <c r="B23" i="145"/>
  <c r="B22" i="145"/>
  <c r="B21" i="145"/>
  <c r="B20" i="145"/>
  <c r="D18" i="145"/>
  <c r="P19" i="145" s="1"/>
  <c r="D16" i="145"/>
  <c r="P17" i="145" s="1"/>
  <c r="C17" i="145"/>
  <c r="B19" i="145"/>
  <c r="B18" i="145"/>
  <c r="B17" i="145"/>
  <c r="B16" i="145"/>
  <c r="D14" i="145"/>
  <c r="P15" i="145" s="1"/>
  <c r="D12" i="145"/>
  <c r="P13" i="145" s="1"/>
  <c r="D10" i="145"/>
  <c r="P11" i="145" s="1"/>
  <c r="C15" i="145"/>
  <c r="C13" i="145"/>
  <c r="C11" i="145"/>
  <c r="D8" i="145"/>
  <c r="P9" i="145" s="1"/>
  <c r="D6" i="145"/>
  <c r="P7" i="145" s="1"/>
  <c r="D4" i="145"/>
  <c r="P5" i="145" s="1"/>
  <c r="D2" i="145"/>
  <c r="P2" i="145" s="1"/>
  <c r="B9" i="145"/>
  <c r="B7" i="145"/>
  <c r="B5" i="145"/>
  <c r="B3" i="145"/>
  <c r="B15" i="145"/>
  <c r="C14" i="145"/>
  <c r="B14" i="145"/>
  <c r="B13" i="145"/>
  <c r="C12" i="145"/>
  <c r="B12" i="145"/>
  <c r="B11" i="145"/>
  <c r="C10" i="145"/>
  <c r="B10" i="145"/>
  <c r="C9" i="145"/>
  <c r="C8" i="145"/>
  <c r="B8" i="145"/>
  <c r="C7" i="145"/>
  <c r="C6" i="145"/>
  <c r="B6" i="145"/>
  <c r="C5" i="145"/>
  <c r="C4" i="145"/>
  <c r="B4" i="145"/>
  <c r="C3" i="145"/>
  <c r="C2" i="145"/>
  <c r="B2" i="145"/>
  <c r="G26" i="145"/>
  <c r="G27" i="145"/>
  <c r="J59" i="144"/>
  <c r="G25" i="145"/>
  <c r="G24" i="145"/>
  <c r="C24" i="145"/>
  <c r="G23" i="145"/>
  <c r="G22" i="145"/>
  <c r="C22" i="145"/>
  <c r="G21" i="145"/>
  <c r="G20" i="145"/>
  <c r="C20" i="145"/>
  <c r="G19" i="145"/>
  <c r="C19" i="145"/>
  <c r="G18" i="145"/>
  <c r="C18" i="145"/>
  <c r="G17" i="145"/>
  <c r="G16" i="145"/>
  <c r="C16" i="145"/>
  <c r="G15" i="145"/>
  <c r="G14" i="145"/>
  <c r="G13" i="145"/>
  <c r="G12" i="145"/>
  <c r="G11" i="145"/>
  <c r="G10" i="145"/>
  <c r="G9" i="145"/>
  <c r="G8" i="145"/>
  <c r="G7" i="145"/>
  <c r="G6" i="145"/>
  <c r="G5" i="145"/>
  <c r="G4" i="145"/>
  <c r="G3" i="145"/>
  <c r="G2" i="145"/>
  <c r="I1" i="145"/>
  <c r="H1" i="145"/>
  <c r="G1" i="145"/>
  <c r="M12" i="144"/>
  <c r="M13" i="144"/>
  <c r="M11" i="144"/>
  <c r="J57" i="144"/>
  <c r="J58" i="144"/>
  <c r="J56" i="144"/>
  <c r="I58" i="144"/>
  <c r="I23" i="144"/>
  <c r="I22" i="144"/>
  <c r="L9" i="144"/>
  <c r="L14" i="144"/>
  <c r="T47" i="144"/>
  <c r="S47" i="144"/>
  <c r="O47" i="144"/>
  <c r="N47" i="144" s="1"/>
  <c r="J47" i="144"/>
  <c r="I47" i="144"/>
  <c r="E47" i="144"/>
  <c r="D47" i="144"/>
  <c r="D38" i="143"/>
  <c r="P39" i="143" s="1"/>
  <c r="D36" i="143"/>
  <c r="P37" i="143" s="1"/>
  <c r="D34" i="143"/>
  <c r="P35" i="143" s="1"/>
  <c r="D32" i="143"/>
  <c r="P33" i="143" s="1"/>
  <c r="D30" i="143"/>
  <c r="P31" i="143" s="1"/>
  <c r="C35" i="143"/>
  <c r="C39" i="143"/>
  <c r="C33" i="143"/>
  <c r="C37" i="143"/>
  <c r="C31" i="143"/>
  <c r="C38" i="143"/>
  <c r="C36" i="143"/>
  <c r="C34" i="143"/>
  <c r="C32" i="143"/>
  <c r="C30" i="143"/>
  <c r="H39" i="143"/>
  <c r="H38" i="143"/>
  <c r="H37" i="143"/>
  <c r="H36" i="143"/>
  <c r="H35" i="143"/>
  <c r="H34" i="143"/>
  <c r="H33" i="143"/>
  <c r="H32" i="143"/>
  <c r="H31" i="143"/>
  <c r="H30" i="143"/>
  <c r="B39" i="143"/>
  <c r="B38" i="143"/>
  <c r="B37" i="143"/>
  <c r="B36" i="143"/>
  <c r="B35" i="143"/>
  <c r="B34" i="143"/>
  <c r="B33" i="143"/>
  <c r="B32" i="143"/>
  <c r="B31" i="143"/>
  <c r="B30" i="143"/>
  <c r="P25" i="143"/>
  <c r="P13" i="143"/>
  <c r="P9" i="143"/>
  <c r="P5" i="143"/>
  <c r="G14" i="143"/>
  <c r="G17" i="143"/>
  <c r="G18" i="143"/>
  <c r="G21" i="143"/>
  <c r="G22" i="143"/>
  <c r="G25" i="143"/>
  <c r="G26" i="143"/>
  <c r="G29" i="143"/>
  <c r="G30" i="143"/>
  <c r="G31" i="143"/>
  <c r="G32" i="143"/>
  <c r="G33" i="143"/>
  <c r="G34" i="143"/>
  <c r="G35" i="143"/>
  <c r="G36" i="143"/>
  <c r="G37" i="143"/>
  <c r="G38" i="143"/>
  <c r="G39" i="143"/>
  <c r="H14" i="143"/>
  <c r="H17" i="143"/>
  <c r="H26" i="143"/>
  <c r="H29" i="143"/>
  <c r="C29" i="143"/>
  <c r="B29" i="143"/>
  <c r="C26" i="143"/>
  <c r="B26" i="143"/>
  <c r="C17" i="143"/>
  <c r="B17" i="143"/>
  <c r="C14" i="143"/>
  <c r="B14" i="143"/>
  <c r="C25" i="143"/>
  <c r="C21" i="143"/>
  <c r="C13" i="143"/>
  <c r="C9" i="143"/>
  <c r="B25" i="143"/>
  <c r="C22" i="143"/>
  <c r="B22" i="143"/>
  <c r="B21" i="143"/>
  <c r="C18" i="143"/>
  <c r="B18" i="143"/>
  <c r="B13" i="143"/>
  <c r="C10" i="143"/>
  <c r="B10" i="143"/>
  <c r="B9" i="143"/>
  <c r="C6" i="143"/>
  <c r="B6" i="143"/>
  <c r="H21" i="143"/>
  <c r="H22" i="143"/>
  <c r="H25" i="143"/>
  <c r="H18" i="143"/>
  <c r="H9" i="143"/>
  <c r="H10" i="143"/>
  <c r="H13" i="143"/>
  <c r="H6" i="143"/>
  <c r="C5" i="143"/>
  <c r="B5" i="143"/>
  <c r="C2" i="143"/>
  <c r="G13" i="143"/>
  <c r="G10" i="143"/>
  <c r="G9" i="143"/>
  <c r="G6" i="143"/>
  <c r="G5" i="143"/>
  <c r="G2" i="143"/>
  <c r="B2" i="143"/>
  <c r="H1" i="143"/>
  <c r="G1" i="143"/>
  <c r="C4" i="142"/>
  <c r="C3" i="142"/>
  <c r="C2" i="142"/>
  <c r="E3" i="142"/>
  <c r="E4" i="142"/>
  <c r="E2" i="142"/>
  <c r="G4" i="142"/>
  <c r="G3" i="142"/>
  <c r="F3" i="142"/>
  <c r="F4" i="142"/>
  <c r="G2" i="142"/>
  <c r="F2" i="142"/>
  <c r="A3" i="142"/>
  <c r="B3" i="142"/>
  <c r="A4" i="142"/>
  <c r="B4" i="142"/>
  <c r="B2" i="142"/>
  <c r="A2" i="142"/>
  <c r="O1" i="142"/>
  <c r="F1" i="142"/>
  <c r="E1" i="142"/>
  <c r="V15" i="67"/>
  <c r="M15" i="67"/>
  <c r="D15" i="67"/>
  <c r="S34" i="141"/>
  <c r="R34" i="141"/>
  <c r="P34" i="141"/>
  <c r="O34" i="141"/>
  <c r="M34" i="141"/>
  <c r="E34" i="141" s="1"/>
  <c r="J34" i="141"/>
  <c r="I34" i="141"/>
  <c r="G34" i="141"/>
  <c r="F34" i="141"/>
  <c r="G19" i="67"/>
  <c r="P19" i="67"/>
  <c r="Y19" i="67"/>
  <c r="W19" i="67"/>
  <c r="N19" i="67"/>
  <c r="E19" i="67"/>
  <c r="X17" i="67"/>
  <c r="O17" i="67"/>
  <c r="F17" i="67"/>
  <c r="K5" i="57"/>
  <c r="L5" i="57"/>
  <c r="M5" i="57"/>
  <c r="N5" i="57"/>
  <c r="O5" i="57"/>
  <c r="P5" i="57"/>
  <c r="K6" i="57"/>
  <c r="L6" i="57"/>
  <c r="M6" i="57"/>
  <c r="N6" i="57"/>
  <c r="O6" i="57"/>
  <c r="P6" i="57"/>
  <c r="K7" i="57"/>
  <c r="L7" i="57"/>
  <c r="M7" i="57"/>
  <c r="N7" i="57"/>
  <c r="O7" i="57"/>
  <c r="P7" i="57"/>
  <c r="K8" i="57"/>
  <c r="L8" i="57"/>
  <c r="M8" i="57"/>
  <c r="N8" i="57"/>
  <c r="O8" i="57"/>
  <c r="P8" i="57"/>
  <c r="K9" i="57"/>
  <c r="L9" i="57"/>
  <c r="M9" i="57"/>
  <c r="N9" i="57"/>
  <c r="O9" i="57"/>
  <c r="P9" i="57"/>
  <c r="K10" i="57"/>
  <c r="L10" i="57"/>
  <c r="M10" i="57"/>
  <c r="N10" i="57"/>
  <c r="O10" i="57"/>
  <c r="P10" i="57"/>
  <c r="K11" i="57"/>
  <c r="L11" i="57"/>
  <c r="M11" i="57"/>
  <c r="N11" i="57"/>
  <c r="O11" i="57"/>
  <c r="P11" i="57"/>
  <c r="K12" i="57"/>
  <c r="L12" i="57"/>
  <c r="M12" i="57"/>
  <c r="N12" i="57"/>
  <c r="O12" i="57"/>
  <c r="P12" i="57"/>
  <c r="K13" i="57"/>
  <c r="L13" i="57"/>
  <c r="M13" i="57"/>
  <c r="N13" i="57"/>
  <c r="O13" i="57"/>
  <c r="P13" i="57"/>
  <c r="K14" i="57"/>
  <c r="L14" i="57"/>
  <c r="M14" i="57"/>
  <c r="N14" i="57"/>
  <c r="O14" i="57"/>
  <c r="P14" i="57"/>
  <c r="K15" i="57"/>
  <c r="L15" i="57"/>
  <c r="M15" i="57"/>
  <c r="N15" i="57"/>
  <c r="O15" i="57"/>
  <c r="P15" i="57"/>
  <c r="K16" i="57"/>
  <c r="L16" i="57"/>
  <c r="M16" i="57"/>
  <c r="N16" i="57"/>
  <c r="O16" i="57"/>
  <c r="P16" i="57"/>
  <c r="K17" i="57"/>
  <c r="L17" i="57"/>
  <c r="M17" i="57"/>
  <c r="N17" i="57"/>
  <c r="O17" i="57"/>
  <c r="P17" i="57"/>
  <c r="K18" i="57"/>
  <c r="L18" i="57"/>
  <c r="M18" i="57"/>
  <c r="N18" i="57"/>
  <c r="O18" i="57"/>
  <c r="P18" i="57"/>
  <c r="K19" i="57"/>
  <c r="L19" i="57"/>
  <c r="M19" i="57"/>
  <c r="N19" i="57"/>
  <c r="O19" i="57"/>
  <c r="P19" i="57"/>
  <c r="K20" i="57"/>
  <c r="L20" i="57"/>
  <c r="M20" i="57"/>
  <c r="N20" i="57"/>
  <c r="O20" i="57"/>
  <c r="P20" i="57"/>
  <c r="K21" i="57"/>
  <c r="L21" i="57"/>
  <c r="M21" i="57"/>
  <c r="N21" i="57"/>
  <c r="O21" i="57"/>
  <c r="P21" i="57"/>
  <c r="K22" i="57"/>
  <c r="L22" i="57"/>
  <c r="M22" i="57"/>
  <c r="N22" i="57"/>
  <c r="O22" i="57"/>
  <c r="P22" i="57"/>
  <c r="K23" i="57"/>
  <c r="L23" i="57"/>
  <c r="M23" i="57"/>
  <c r="N23" i="57"/>
  <c r="O23" i="57"/>
  <c r="P23" i="57"/>
  <c r="K24" i="57"/>
  <c r="L24" i="57"/>
  <c r="M24" i="57"/>
  <c r="N24" i="57"/>
  <c r="O24" i="57"/>
  <c r="P24" i="57"/>
  <c r="K25" i="57"/>
  <c r="L25" i="57"/>
  <c r="M25" i="57"/>
  <c r="N25" i="57"/>
  <c r="O25" i="57"/>
  <c r="P25" i="57"/>
  <c r="K26" i="57"/>
  <c r="L26" i="57"/>
  <c r="M26" i="57"/>
  <c r="N26" i="57"/>
  <c r="O26" i="57"/>
  <c r="P26" i="57"/>
  <c r="K27" i="57"/>
  <c r="L27" i="57"/>
  <c r="M27" i="57"/>
  <c r="N27" i="57"/>
  <c r="O27" i="57"/>
  <c r="P27" i="57"/>
  <c r="K28" i="57"/>
  <c r="L28" i="57"/>
  <c r="M28" i="57"/>
  <c r="N28" i="57"/>
  <c r="O28" i="57"/>
  <c r="P28" i="57"/>
  <c r="K29" i="57"/>
  <c r="L29" i="57"/>
  <c r="M29" i="57"/>
  <c r="N29" i="57"/>
  <c r="O29" i="57"/>
  <c r="P29" i="57"/>
  <c r="K30" i="57"/>
  <c r="L30" i="57"/>
  <c r="M30" i="57"/>
  <c r="N30" i="57"/>
  <c r="O30" i="57"/>
  <c r="P30" i="57"/>
  <c r="K31" i="57"/>
  <c r="L31" i="57"/>
  <c r="M31" i="57"/>
  <c r="N31" i="57"/>
  <c r="O31" i="57"/>
  <c r="P31" i="57"/>
  <c r="K32" i="57"/>
  <c r="L32" i="57"/>
  <c r="M32" i="57"/>
  <c r="N32" i="57"/>
  <c r="O32" i="57"/>
  <c r="P32" i="57"/>
  <c r="K33" i="57"/>
  <c r="L33" i="57"/>
  <c r="M33" i="57"/>
  <c r="N33" i="57"/>
  <c r="O33" i="57"/>
  <c r="P33" i="57"/>
  <c r="K34" i="57"/>
  <c r="L34" i="57"/>
  <c r="M34" i="57"/>
  <c r="N34" i="57"/>
  <c r="O34" i="57"/>
  <c r="P34" i="57"/>
  <c r="K35" i="57"/>
  <c r="L35" i="57"/>
  <c r="M35" i="57"/>
  <c r="N35" i="57"/>
  <c r="O35" i="57"/>
  <c r="P35" i="57"/>
  <c r="K36" i="57"/>
  <c r="L36" i="57"/>
  <c r="M36" i="57"/>
  <c r="N36" i="57"/>
  <c r="O36" i="57"/>
  <c r="P36" i="57"/>
  <c r="K37" i="57"/>
  <c r="L37" i="57"/>
  <c r="M37" i="57"/>
  <c r="N37" i="57"/>
  <c r="O37" i="57"/>
  <c r="P37" i="57"/>
  <c r="K38" i="57"/>
  <c r="L38" i="57"/>
  <c r="M38" i="57"/>
  <c r="N38" i="57"/>
  <c r="O38" i="57"/>
  <c r="P38" i="57"/>
  <c r="K39" i="57"/>
  <c r="L39" i="57"/>
  <c r="M39" i="57"/>
  <c r="N39" i="57"/>
  <c r="O39" i="57"/>
  <c r="P39" i="57"/>
  <c r="K40" i="57"/>
  <c r="L40" i="57"/>
  <c r="M40" i="57"/>
  <c r="N40" i="57"/>
  <c r="O40" i="57"/>
  <c r="P40" i="57"/>
  <c r="K41" i="57"/>
  <c r="L41" i="57"/>
  <c r="M41" i="57"/>
  <c r="N41" i="57"/>
  <c r="O41" i="57"/>
  <c r="P41" i="57"/>
  <c r="K42" i="57"/>
  <c r="L42" i="57"/>
  <c r="M42" i="57"/>
  <c r="N42" i="57"/>
  <c r="O42" i="57"/>
  <c r="P42" i="57"/>
  <c r="K43" i="57"/>
  <c r="L43" i="57"/>
  <c r="M43" i="57"/>
  <c r="N43" i="57"/>
  <c r="O43" i="57"/>
  <c r="P43" i="57"/>
  <c r="K44" i="57"/>
  <c r="L44" i="57"/>
  <c r="M44" i="57"/>
  <c r="N44" i="57"/>
  <c r="O44" i="57"/>
  <c r="P44" i="57"/>
  <c r="K45" i="57"/>
  <c r="L45" i="57"/>
  <c r="M45" i="57"/>
  <c r="N45" i="57"/>
  <c r="O45" i="57"/>
  <c r="P45" i="57"/>
  <c r="K46" i="57"/>
  <c r="L46" i="57"/>
  <c r="M46" i="57"/>
  <c r="N46" i="57"/>
  <c r="O46" i="57"/>
  <c r="P46" i="57"/>
  <c r="K47" i="57"/>
  <c r="L47" i="57"/>
  <c r="M47" i="57"/>
  <c r="N47" i="57"/>
  <c r="O47" i="57"/>
  <c r="P47" i="57"/>
  <c r="K48" i="57"/>
  <c r="L48" i="57"/>
  <c r="M48" i="57"/>
  <c r="N48" i="57"/>
  <c r="O48" i="57"/>
  <c r="P48" i="57"/>
  <c r="K49" i="57"/>
  <c r="L49" i="57"/>
  <c r="M49" i="57"/>
  <c r="N49" i="57"/>
  <c r="O49" i="57"/>
  <c r="P49" i="57"/>
  <c r="K50" i="57"/>
  <c r="L50" i="57"/>
  <c r="M50" i="57"/>
  <c r="N50" i="57"/>
  <c r="O50" i="57"/>
  <c r="P50" i="57"/>
  <c r="K51" i="57"/>
  <c r="L51" i="57"/>
  <c r="M51" i="57"/>
  <c r="N51" i="57"/>
  <c r="O51" i="57"/>
  <c r="P51" i="57"/>
  <c r="K52" i="57"/>
  <c r="L52" i="57"/>
  <c r="M52" i="57"/>
  <c r="N52" i="57"/>
  <c r="O52" i="57"/>
  <c r="P52" i="57"/>
  <c r="K53" i="57"/>
  <c r="L53" i="57"/>
  <c r="M53" i="57"/>
  <c r="N53" i="57"/>
  <c r="O53" i="57"/>
  <c r="P53" i="57"/>
  <c r="K54" i="57"/>
  <c r="L54" i="57"/>
  <c r="M54" i="57"/>
  <c r="N54" i="57"/>
  <c r="O54" i="57"/>
  <c r="P54" i="57"/>
  <c r="K55" i="57"/>
  <c r="L55" i="57"/>
  <c r="M55" i="57"/>
  <c r="N55" i="57"/>
  <c r="O55" i="57"/>
  <c r="P55" i="57"/>
  <c r="K56" i="57"/>
  <c r="L56" i="57"/>
  <c r="M56" i="57"/>
  <c r="N56" i="57"/>
  <c r="O56" i="57"/>
  <c r="P56" i="57"/>
  <c r="K57" i="57"/>
  <c r="L57" i="57"/>
  <c r="M57" i="57"/>
  <c r="N57" i="57"/>
  <c r="O57" i="57"/>
  <c r="P57" i="57"/>
  <c r="K58" i="57"/>
  <c r="L58" i="57"/>
  <c r="M58" i="57"/>
  <c r="N58" i="57"/>
  <c r="O58" i="57"/>
  <c r="P58" i="57"/>
  <c r="K59" i="57"/>
  <c r="L59" i="57"/>
  <c r="M59" i="57"/>
  <c r="N59" i="57"/>
  <c r="O59" i="57"/>
  <c r="P59" i="57"/>
  <c r="K60" i="57"/>
  <c r="L60" i="57"/>
  <c r="M60" i="57"/>
  <c r="N60" i="57"/>
  <c r="O60" i="57"/>
  <c r="P60" i="57"/>
  <c r="K61" i="57"/>
  <c r="L61" i="57"/>
  <c r="M61" i="57"/>
  <c r="N61" i="57"/>
  <c r="O61" i="57"/>
  <c r="P61" i="57"/>
  <c r="K62" i="57"/>
  <c r="L62" i="57"/>
  <c r="M62" i="57"/>
  <c r="N62" i="57"/>
  <c r="O62" i="57"/>
  <c r="P62" i="57"/>
  <c r="K63" i="57"/>
  <c r="L63" i="57"/>
  <c r="M63" i="57"/>
  <c r="N63" i="57"/>
  <c r="O63" i="57"/>
  <c r="P63" i="57"/>
  <c r="K64" i="57"/>
  <c r="L64" i="57"/>
  <c r="M64" i="57"/>
  <c r="N64" i="57"/>
  <c r="O64" i="57"/>
  <c r="P64" i="57"/>
  <c r="K65" i="57"/>
  <c r="L65" i="57"/>
  <c r="M65" i="57"/>
  <c r="N65" i="57"/>
  <c r="O65" i="57"/>
  <c r="P65" i="57"/>
  <c r="K66" i="57"/>
  <c r="L66" i="57"/>
  <c r="M66" i="57"/>
  <c r="N66" i="57"/>
  <c r="O66" i="57"/>
  <c r="P66" i="57"/>
  <c r="K67" i="57"/>
  <c r="L67" i="57"/>
  <c r="M67" i="57"/>
  <c r="N67" i="57"/>
  <c r="O67" i="57"/>
  <c r="P67" i="57"/>
  <c r="K68" i="57"/>
  <c r="L68" i="57"/>
  <c r="M68" i="57"/>
  <c r="N68" i="57"/>
  <c r="O68" i="57"/>
  <c r="P68" i="57"/>
  <c r="K69" i="57"/>
  <c r="C74" i="146" s="1"/>
  <c r="N74" i="146" s="1"/>
  <c r="L69" i="57"/>
  <c r="C75" i="146" s="1"/>
  <c r="N75" i="146" s="1"/>
  <c r="M69" i="57"/>
  <c r="C76" i="146" s="1"/>
  <c r="N76" i="146" s="1"/>
  <c r="N69" i="57"/>
  <c r="C77" i="146" s="1"/>
  <c r="N77" i="146" s="1"/>
  <c r="O69" i="57"/>
  <c r="C78" i="146" s="1"/>
  <c r="N78" i="146" s="1"/>
  <c r="P69" i="57"/>
  <c r="C79" i="146" s="1"/>
  <c r="N79" i="146" s="1"/>
  <c r="K70" i="57"/>
  <c r="L70" i="57"/>
  <c r="M70" i="57"/>
  <c r="N70" i="57"/>
  <c r="O70" i="57"/>
  <c r="P70" i="57"/>
  <c r="K71" i="57"/>
  <c r="L71" i="57"/>
  <c r="M71" i="57"/>
  <c r="N71" i="57"/>
  <c r="O71" i="57"/>
  <c r="P71" i="57"/>
  <c r="K72" i="57"/>
  <c r="L72" i="57"/>
  <c r="M72" i="57"/>
  <c r="N72" i="57"/>
  <c r="O72" i="57"/>
  <c r="P72" i="57"/>
  <c r="K73" i="57"/>
  <c r="C44" i="146" s="1"/>
  <c r="N44" i="146" s="1"/>
  <c r="L73" i="57"/>
  <c r="C45" i="146" s="1"/>
  <c r="N45" i="146" s="1"/>
  <c r="M73" i="57"/>
  <c r="C46" i="146" s="1"/>
  <c r="N46" i="146" s="1"/>
  <c r="N73" i="57"/>
  <c r="C47" i="146" s="1"/>
  <c r="N47" i="146" s="1"/>
  <c r="O73" i="57"/>
  <c r="C48" i="146" s="1"/>
  <c r="N48" i="146" s="1"/>
  <c r="P73" i="57"/>
  <c r="C49" i="146" s="1"/>
  <c r="N49" i="146" s="1"/>
  <c r="K74" i="57"/>
  <c r="L74" i="57"/>
  <c r="M74" i="57"/>
  <c r="N74" i="57"/>
  <c r="O74" i="57"/>
  <c r="P74" i="57"/>
  <c r="K75" i="57"/>
  <c r="L75" i="57"/>
  <c r="M75" i="57"/>
  <c r="N75" i="57"/>
  <c r="O75" i="57"/>
  <c r="P75" i="57"/>
  <c r="K76" i="57"/>
  <c r="L76" i="57"/>
  <c r="M76" i="57"/>
  <c r="N76" i="57"/>
  <c r="O76" i="57"/>
  <c r="P76" i="57"/>
  <c r="K77" i="57"/>
  <c r="L77" i="57"/>
  <c r="M77" i="57"/>
  <c r="N77" i="57"/>
  <c r="O77" i="57"/>
  <c r="P77" i="57"/>
  <c r="K78" i="57"/>
  <c r="L78" i="57"/>
  <c r="M78" i="57"/>
  <c r="N78" i="57"/>
  <c r="O78" i="57"/>
  <c r="P78" i="57"/>
  <c r="K79" i="57"/>
  <c r="C50" i="146" s="1"/>
  <c r="N50" i="146" s="1"/>
  <c r="L79" i="57"/>
  <c r="C51" i="146" s="1"/>
  <c r="N51" i="146" s="1"/>
  <c r="M79" i="57"/>
  <c r="C52" i="146" s="1"/>
  <c r="N52" i="146" s="1"/>
  <c r="N79" i="57"/>
  <c r="C53" i="146" s="1"/>
  <c r="N53" i="146" s="1"/>
  <c r="O79" i="57"/>
  <c r="C54" i="146" s="1"/>
  <c r="N54" i="146" s="1"/>
  <c r="P79" i="57"/>
  <c r="C55" i="146" s="1"/>
  <c r="N55" i="146" s="1"/>
  <c r="K80" i="57"/>
  <c r="L80" i="57"/>
  <c r="M80" i="57"/>
  <c r="N80" i="57"/>
  <c r="O80" i="57"/>
  <c r="P80" i="57"/>
  <c r="K81" i="57"/>
  <c r="L81" i="57"/>
  <c r="M81" i="57"/>
  <c r="N81" i="57"/>
  <c r="O81" i="57"/>
  <c r="P81" i="57"/>
  <c r="K82" i="57"/>
  <c r="C80" i="146" s="1"/>
  <c r="L82" i="57"/>
  <c r="C81" i="146" s="1"/>
  <c r="M82" i="57"/>
  <c r="C82" i="146" s="1"/>
  <c r="N82" i="57"/>
  <c r="C83" i="146" s="1"/>
  <c r="O82" i="57"/>
  <c r="C84" i="146" s="1"/>
  <c r="P82" i="57"/>
  <c r="C85" i="146" s="1"/>
  <c r="K83" i="57"/>
  <c r="L83" i="57"/>
  <c r="M83" i="57"/>
  <c r="N83" i="57"/>
  <c r="O83" i="57"/>
  <c r="P83" i="57"/>
  <c r="K84" i="57"/>
  <c r="C86" i="146" s="1"/>
  <c r="L84" i="57"/>
  <c r="C87" i="146" s="1"/>
  <c r="M84" i="57"/>
  <c r="C88" i="146" s="1"/>
  <c r="N84" i="57"/>
  <c r="C89" i="146" s="1"/>
  <c r="O84" i="57"/>
  <c r="C90" i="146" s="1"/>
  <c r="P84" i="57"/>
  <c r="C91" i="146" s="1"/>
  <c r="K85" i="57"/>
  <c r="L85" i="57"/>
  <c r="M85" i="57"/>
  <c r="N85" i="57"/>
  <c r="O85" i="57"/>
  <c r="P85" i="57"/>
  <c r="K86" i="57"/>
  <c r="L86" i="57"/>
  <c r="M86" i="57"/>
  <c r="N86" i="57"/>
  <c r="O86" i="57"/>
  <c r="P86" i="57"/>
  <c r="K87" i="57"/>
  <c r="L87" i="57"/>
  <c r="M87" i="57"/>
  <c r="N87" i="57"/>
  <c r="O87" i="57"/>
  <c r="P87" i="57"/>
  <c r="K88" i="57"/>
  <c r="L88" i="57"/>
  <c r="M88" i="57"/>
  <c r="N88" i="57"/>
  <c r="O88" i="57"/>
  <c r="P88" i="57"/>
  <c r="K89" i="57"/>
  <c r="C92" i="146" s="1"/>
  <c r="L89" i="57"/>
  <c r="C93" i="146" s="1"/>
  <c r="M89" i="57"/>
  <c r="C94" i="146" s="1"/>
  <c r="N89" i="57"/>
  <c r="C95" i="146" s="1"/>
  <c r="O89" i="57"/>
  <c r="C96" i="146" s="1"/>
  <c r="P89" i="57"/>
  <c r="C97" i="146" s="1"/>
  <c r="K90" i="57"/>
  <c r="L90" i="57"/>
  <c r="M90" i="57"/>
  <c r="N90" i="57"/>
  <c r="O90" i="57"/>
  <c r="P90" i="57"/>
  <c r="K91" i="57"/>
  <c r="C100" i="146" s="1"/>
  <c r="L91" i="57"/>
  <c r="C101" i="146" s="1"/>
  <c r="M91" i="57"/>
  <c r="C102" i="146" s="1"/>
  <c r="N91" i="57"/>
  <c r="C103" i="146" s="1"/>
  <c r="O91" i="57"/>
  <c r="C104" i="146" s="1"/>
  <c r="P91" i="57"/>
  <c r="C105" i="146" s="1"/>
  <c r="K92" i="57"/>
  <c r="L92" i="57"/>
  <c r="M92" i="57"/>
  <c r="N92" i="57"/>
  <c r="O92" i="57"/>
  <c r="P92" i="57"/>
  <c r="K93" i="57"/>
  <c r="C106" i="146" s="1"/>
  <c r="L93" i="57"/>
  <c r="C107" i="146" s="1"/>
  <c r="M93" i="57"/>
  <c r="C108" i="146" s="1"/>
  <c r="N93" i="57"/>
  <c r="C109" i="146" s="1"/>
  <c r="O93" i="57"/>
  <c r="C110" i="146" s="1"/>
  <c r="P93" i="57"/>
  <c r="C111" i="146" s="1"/>
  <c r="K94" i="57"/>
  <c r="L94" i="57"/>
  <c r="M94" i="57"/>
  <c r="N94" i="57"/>
  <c r="O94" i="57"/>
  <c r="P94" i="57"/>
  <c r="K95" i="57"/>
  <c r="L95" i="57"/>
  <c r="M95" i="57"/>
  <c r="N95" i="57"/>
  <c r="O95" i="57"/>
  <c r="P95" i="57"/>
  <c r="K96" i="57"/>
  <c r="L96" i="57"/>
  <c r="M96" i="57"/>
  <c r="N96" i="57"/>
  <c r="O96" i="57"/>
  <c r="P96" i="57"/>
  <c r="K97" i="57"/>
  <c r="L97" i="57"/>
  <c r="M97" i="57"/>
  <c r="N97" i="57"/>
  <c r="O97" i="57"/>
  <c r="P97" i="57"/>
  <c r="K98" i="57"/>
  <c r="L98" i="57"/>
  <c r="M98" i="57"/>
  <c r="N98" i="57"/>
  <c r="O98" i="57"/>
  <c r="P98" i="57"/>
  <c r="K99" i="57"/>
  <c r="L99" i="57"/>
  <c r="M99" i="57"/>
  <c r="N99" i="57"/>
  <c r="O99" i="57"/>
  <c r="P99" i="57"/>
  <c r="K100" i="57"/>
  <c r="L100" i="57"/>
  <c r="M100" i="57"/>
  <c r="N100" i="57"/>
  <c r="O100" i="57"/>
  <c r="P100" i="57"/>
  <c r="K101" i="57"/>
  <c r="L101" i="57"/>
  <c r="M101" i="57"/>
  <c r="N101" i="57"/>
  <c r="O101" i="57"/>
  <c r="P101" i="57"/>
  <c r="K102" i="57"/>
  <c r="L102" i="57"/>
  <c r="M102" i="57"/>
  <c r="N102" i="57"/>
  <c r="O102" i="57"/>
  <c r="P102" i="57"/>
  <c r="K103" i="57"/>
  <c r="L103" i="57"/>
  <c r="M103" i="57"/>
  <c r="N103" i="57"/>
  <c r="O103" i="57"/>
  <c r="P103" i="57"/>
  <c r="K104" i="57"/>
  <c r="L104" i="57"/>
  <c r="M104" i="57"/>
  <c r="N104" i="57"/>
  <c r="O104" i="57"/>
  <c r="P104" i="57"/>
  <c r="K105" i="57"/>
  <c r="L105" i="57"/>
  <c r="M105" i="57"/>
  <c r="N105" i="57"/>
  <c r="O105" i="57"/>
  <c r="P105" i="57"/>
  <c r="K106" i="57"/>
  <c r="L106" i="57"/>
  <c r="M106" i="57"/>
  <c r="N106" i="57"/>
  <c r="O106" i="57"/>
  <c r="P106" i="57"/>
  <c r="K107" i="57"/>
  <c r="L107" i="57"/>
  <c r="M107" i="57"/>
  <c r="N107" i="57"/>
  <c r="O107" i="57"/>
  <c r="P107" i="57"/>
  <c r="K108" i="57"/>
  <c r="L108" i="57"/>
  <c r="M108" i="57"/>
  <c r="N108" i="57"/>
  <c r="O108" i="57"/>
  <c r="P108" i="57"/>
  <c r="K109" i="57"/>
  <c r="L109" i="57"/>
  <c r="M109" i="57"/>
  <c r="N109" i="57"/>
  <c r="O109" i="57"/>
  <c r="P109" i="57"/>
  <c r="K110" i="57"/>
  <c r="L110" i="57"/>
  <c r="M110" i="57"/>
  <c r="N110" i="57"/>
  <c r="O110" i="57"/>
  <c r="P110" i="57"/>
  <c r="K111" i="57"/>
  <c r="L111" i="57"/>
  <c r="M111" i="57"/>
  <c r="N111" i="57"/>
  <c r="O111" i="57"/>
  <c r="P111" i="57"/>
  <c r="K112" i="57"/>
  <c r="L112" i="57"/>
  <c r="M112" i="57"/>
  <c r="N112" i="57"/>
  <c r="O112" i="57"/>
  <c r="P112" i="57"/>
  <c r="K113" i="57"/>
  <c r="L113" i="57"/>
  <c r="M113" i="57"/>
  <c r="N113" i="57"/>
  <c r="O113" i="57"/>
  <c r="P113" i="57"/>
  <c r="K114" i="57"/>
  <c r="L114" i="57"/>
  <c r="M114" i="57"/>
  <c r="N114" i="57"/>
  <c r="O114" i="57"/>
  <c r="P114" i="57"/>
  <c r="K115" i="57"/>
  <c r="L115" i="57"/>
  <c r="M115" i="57"/>
  <c r="N115" i="57"/>
  <c r="O115" i="57"/>
  <c r="P115" i="57"/>
  <c r="K116" i="57"/>
  <c r="L116" i="57"/>
  <c r="M116" i="57"/>
  <c r="N116" i="57"/>
  <c r="O116" i="57"/>
  <c r="P116" i="57"/>
  <c r="K117" i="57"/>
  <c r="L117" i="57"/>
  <c r="M117" i="57"/>
  <c r="N117" i="57"/>
  <c r="O117" i="57"/>
  <c r="P117" i="57"/>
  <c r="K118" i="57"/>
  <c r="L118" i="57"/>
  <c r="M118" i="57"/>
  <c r="N118" i="57"/>
  <c r="O118" i="57"/>
  <c r="P118" i="57"/>
  <c r="K119" i="57"/>
  <c r="L119" i="57"/>
  <c r="M119" i="57"/>
  <c r="N119" i="57"/>
  <c r="O119" i="57"/>
  <c r="P119" i="57"/>
  <c r="K120" i="57"/>
  <c r="L120" i="57"/>
  <c r="M120" i="57"/>
  <c r="N120" i="57"/>
  <c r="O120" i="57"/>
  <c r="P120" i="57"/>
  <c r="K121" i="57"/>
  <c r="L121" i="57"/>
  <c r="M121" i="57"/>
  <c r="N121" i="57"/>
  <c r="O121" i="57"/>
  <c r="P121" i="57"/>
  <c r="K122" i="57"/>
  <c r="L122" i="57"/>
  <c r="M122" i="57"/>
  <c r="N122" i="57"/>
  <c r="O122" i="57"/>
  <c r="P122" i="57"/>
  <c r="K123" i="57"/>
  <c r="L123" i="57"/>
  <c r="M123" i="57"/>
  <c r="N123" i="57"/>
  <c r="O123" i="57"/>
  <c r="P123" i="57"/>
  <c r="K124" i="57"/>
  <c r="L124" i="57"/>
  <c r="M124" i="57"/>
  <c r="N124" i="57"/>
  <c r="O124" i="57"/>
  <c r="P124" i="57"/>
  <c r="K125" i="57"/>
  <c r="L125" i="57"/>
  <c r="M125" i="57"/>
  <c r="N125" i="57"/>
  <c r="O125" i="57"/>
  <c r="P125" i="57"/>
  <c r="K126" i="57"/>
  <c r="L126" i="57"/>
  <c r="M126" i="57"/>
  <c r="N126" i="57"/>
  <c r="O126" i="57"/>
  <c r="P126" i="57"/>
  <c r="K127" i="57"/>
  <c r="L127" i="57"/>
  <c r="M127" i="57"/>
  <c r="N127" i="57"/>
  <c r="O127" i="57"/>
  <c r="P127" i="57"/>
  <c r="K128" i="57"/>
  <c r="L128" i="57"/>
  <c r="M128" i="57"/>
  <c r="N128" i="57"/>
  <c r="O128" i="57"/>
  <c r="P128" i="57"/>
  <c r="K129" i="57"/>
  <c r="L129" i="57"/>
  <c r="M129" i="57"/>
  <c r="N129" i="57"/>
  <c r="O129" i="57"/>
  <c r="P129" i="57"/>
  <c r="K130" i="57"/>
  <c r="L130" i="57"/>
  <c r="M130" i="57"/>
  <c r="N130" i="57"/>
  <c r="O130" i="57"/>
  <c r="P130" i="57"/>
  <c r="K131" i="57"/>
  <c r="L131" i="57"/>
  <c r="M131" i="57"/>
  <c r="N131" i="57"/>
  <c r="O131" i="57"/>
  <c r="P131" i="57"/>
  <c r="K132" i="57"/>
  <c r="L132" i="57"/>
  <c r="M132" i="57"/>
  <c r="N132" i="57"/>
  <c r="O132" i="57"/>
  <c r="P132" i="57"/>
  <c r="K133" i="57"/>
  <c r="L133" i="57"/>
  <c r="M133" i="57"/>
  <c r="N133" i="57"/>
  <c r="O133" i="57"/>
  <c r="P133" i="57"/>
  <c r="K134" i="57"/>
  <c r="L134" i="57"/>
  <c r="M134" i="57"/>
  <c r="N134" i="57"/>
  <c r="O134" i="57"/>
  <c r="P134" i="57"/>
  <c r="K135" i="57"/>
  <c r="L135" i="57"/>
  <c r="M135" i="57"/>
  <c r="N135" i="57"/>
  <c r="O135" i="57"/>
  <c r="P135" i="57"/>
  <c r="K136" i="57"/>
  <c r="L136" i="57"/>
  <c r="M136" i="57"/>
  <c r="N136" i="57"/>
  <c r="O136" i="57"/>
  <c r="P136" i="57"/>
  <c r="K137" i="57"/>
  <c r="L137" i="57"/>
  <c r="M137" i="57"/>
  <c r="N137" i="57"/>
  <c r="O137" i="57"/>
  <c r="P137" i="57"/>
  <c r="K138" i="57"/>
  <c r="L138" i="57"/>
  <c r="M138" i="57"/>
  <c r="N138" i="57"/>
  <c r="O138" i="57"/>
  <c r="P138" i="57"/>
  <c r="K139" i="57"/>
  <c r="L139" i="57"/>
  <c r="M139" i="57"/>
  <c r="N139" i="57"/>
  <c r="O139" i="57"/>
  <c r="P139" i="57"/>
  <c r="K140" i="57"/>
  <c r="L140" i="57"/>
  <c r="M140" i="57"/>
  <c r="N140" i="57"/>
  <c r="O140" i="57"/>
  <c r="P140" i="57"/>
  <c r="K141" i="57"/>
  <c r="L141" i="57"/>
  <c r="M141" i="57"/>
  <c r="N141" i="57"/>
  <c r="O141" i="57"/>
  <c r="P141" i="57"/>
  <c r="K142" i="57"/>
  <c r="L142" i="57"/>
  <c r="M142" i="57"/>
  <c r="N142" i="57"/>
  <c r="O142" i="57"/>
  <c r="P142" i="57"/>
  <c r="K143" i="57"/>
  <c r="C112" i="146" s="1"/>
  <c r="L143" i="57"/>
  <c r="C113" i="146" s="1"/>
  <c r="M143" i="57"/>
  <c r="C114" i="146" s="1"/>
  <c r="N143" i="57"/>
  <c r="C115" i="146" s="1"/>
  <c r="O143" i="57"/>
  <c r="C116" i="146" s="1"/>
  <c r="P143" i="57"/>
  <c r="C117" i="146" s="1"/>
  <c r="K144" i="57"/>
  <c r="L144" i="57"/>
  <c r="M144" i="57"/>
  <c r="N144" i="57"/>
  <c r="O144" i="57"/>
  <c r="P144" i="57"/>
  <c r="K145" i="57"/>
  <c r="C118" i="146" s="1"/>
  <c r="L145" i="57"/>
  <c r="C119" i="146" s="1"/>
  <c r="M145" i="57"/>
  <c r="C120" i="146" s="1"/>
  <c r="N145" i="57"/>
  <c r="C121" i="146" s="1"/>
  <c r="O145" i="57"/>
  <c r="C122" i="146" s="1"/>
  <c r="P145" i="57"/>
  <c r="C123" i="146" s="1"/>
  <c r="K146" i="57"/>
  <c r="L146" i="57"/>
  <c r="M146" i="57"/>
  <c r="N146" i="57"/>
  <c r="O146" i="57"/>
  <c r="P146" i="57"/>
  <c r="K147" i="57"/>
  <c r="L147" i="57"/>
  <c r="M147" i="57"/>
  <c r="N147" i="57"/>
  <c r="O147" i="57"/>
  <c r="P147" i="57"/>
  <c r="K148" i="57"/>
  <c r="C124" i="146" s="1"/>
  <c r="L148" i="57"/>
  <c r="C125" i="146" s="1"/>
  <c r="M148" i="57"/>
  <c r="C126" i="146" s="1"/>
  <c r="N148" i="57"/>
  <c r="C127" i="146" s="1"/>
  <c r="O148" i="57"/>
  <c r="C128" i="146" s="1"/>
  <c r="P148" i="57"/>
  <c r="C129" i="146" s="1"/>
  <c r="K149" i="57"/>
  <c r="C130" i="146" s="1"/>
  <c r="L149" i="57"/>
  <c r="C131" i="146" s="1"/>
  <c r="M149" i="57"/>
  <c r="C132" i="146" s="1"/>
  <c r="N149" i="57"/>
  <c r="C133" i="146" s="1"/>
  <c r="O149" i="57"/>
  <c r="C134" i="146" s="1"/>
  <c r="P149" i="57"/>
  <c r="C135" i="146" s="1"/>
  <c r="K150" i="57"/>
  <c r="L150" i="57"/>
  <c r="M150" i="57"/>
  <c r="N150" i="57"/>
  <c r="O150" i="57"/>
  <c r="P150" i="57"/>
  <c r="K151" i="57"/>
  <c r="C138" i="146" s="1"/>
  <c r="L151" i="57"/>
  <c r="C139" i="146" s="1"/>
  <c r="M151" i="57"/>
  <c r="C140" i="146" s="1"/>
  <c r="N151" i="57"/>
  <c r="C141" i="146" s="1"/>
  <c r="O151" i="57"/>
  <c r="C142" i="146" s="1"/>
  <c r="P151" i="57"/>
  <c r="C143" i="146" s="1"/>
  <c r="K152" i="57"/>
  <c r="C146" i="146" s="1"/>
  <c r="L152" i="57"/>
  <c r="C147" i="146" s="1"/>
  <c r="M152" i="57"/>
  <c r="C148" i="146" s="1"/>
  <c r="N152" i="57"/>
  <c r="C149" i="146" s="1"/>
  <c r="O152" i="57"/>
  <c r="C150" i="146" s="1"/>
  <c r="P152" i="57"/>
  <c r="C151" i="146" s="1"/>
  <c r="K153" i="57"/>
  <c r="L153" i="57"/>
  <c r="M153" i="57"/>
  <c r="N153" i="57"/>
  <c r="O153" i="57"/>
  <c r="P153" i="57"/>
  <c r="K154" i="57"/>
  <c r="L154" i="57"/>
  <c r="M154" i="57"/>
  <c r="N154" i="57"/>
  <c r="O154" i="57"/>
  <c r="P154" i="57"/>
  <c r="K155" i="57"/>
  <c r="L155" i="57"/>
  <c r="M155" i="57"/>
  <c r="N155" i="57"/>
  <c r="O155" i="57"/>
  <c r="P155" i="57"/>
  <c r="K156" i="57"/>
  <c r="L156" i="57"/>
  <c r="M156" i="57"/>
  <c r="N156" i="57"/>
  <c r="O156" i="57"/>
  <c r="P156" i="57"/>
  <c r="K157" i="57"/>
  <c r="L157" i="57"/>
  <c r="M157" i="57"/>
  <c r="N157" i="57"/>
  <c r="O157" i="57"/>
  <c r="P157" i="57"/>
  <c r="K158" i="57"/>
  <c r="L158" i="57"/>
  <c r="M158" i="57"/>
  <c r="N158" i="57"/>
  <c r="O158" i="57"/>
  <c r="P158" i="57"/>
  <c r="K159" i="57"/>
  <c r="L159" i="57"/>
  <c r="M159" i="57"/>
  <c r="N159" i="57"/>
  <c r="O159" i="57"/>
  <c r="P159" i="57"/>
  <c r="K160" i="57"/>
  <c r="L160" i="57"/>
  <c r="M160" i="57"/>
  <c r="N160" i="57"/>
  <c r="O160" i="57"/>
  <c r="P160" i="57"/>
  <c r="K161" i="57"/>
  <c r="C152" i="146" s="1"/>
  <c r="L161" i="57"/>
  <c r="C153" i="146" s="1"/>
  <c r="M161" i="57"/>
  <c r="C154" i="146" s="1"/>
  <c r="N161" i="57"/>
  <c r="C155" i="146" s="1"/>
  <c r="O161" i="57"/>
  <c r="C156" i="146" s="1"/>
  <c r="P161" i="57"/>
  <c r="C157" i="146" s="1"/>
  <c r="K162" i="57"/>
  <c r="L162" i="57"/>
  <c r="M162" i="57"/>
  <c r="N162" i="57"/>
  <c r="O162" i="57"/>
  <c r="P162" i="57"/>
  <c r="K163" i="57"/>
  <c r="L163" i="57"/>
  <c r="M163" i="57"/>
  <c r="N163" i="57"/>
  <c r="O163" i="57"/>
  <c r="P163" i="57"/>
  <c r="K164" i="57"/>
  <c r="C158" i="146" s="1"/>
  <c r="L164" i="57"/>
  <c r="C159" i="146" s="1"/>
  <c r="M164" i="57"/>
  <c r="C160" i="146" s="1"/>
  <c r="N164" i="57"/>
  <c r="C161" i="146" s="1"/>
  <c r="O164" i="57"/>
  <c r="C162" i="146" s="1"/>
  <c r="P164" i="57"/>
  <c r="C163" i="146" s="1"/>
  <c r="K165" i="57"/>
  <c r="L165" i="57"/>
  <c r="M165" i="57"/>
  <c r="N165" i="57"/>
  <c r="O165" i="57"/>
  <c r="P165" i="57"/>
  <c r="K166" i="57"/>
  <c r="C164" i="146" s="1"/>
  <c r="N164" i="146" s="1"/>
  <c r="L166" i="57"/>
  <c r="C165" i="146" s="1"/>
  <c r="N165" i="146" s="1"/>
  <c r="M166" i="57"/>
  <c r="C166" i="146" s="1"/>
  <c r="N166" i="146" s="1"/>
  <c r="N166" i="57"/>
  <c r="C167" i="146" s="1"/>
  <c r="N167" i="146" s="1"/>
  <c r="O166" i="57"/>
  <c r="C168" i="146" s="1"/>
  <c r="N168" i="146" s="1"/>
  <c r="P166" i="57"/>
  <c r="C169" i="146" s="1"/>
  <c r="N169" i="146" s="1"/>
  <c r="K167" i="57"/>
  <c r="L167" i="57"/>
  <c r="M167" i="57"/>
  <c r="N167" i="57"/>
  <c r="O167" i="57"/>
  <c r="P167" i="57"/>
  <c r="K168" i="57"/>
  <c r="L168" i="57"/>
  <c r="M168" i="57"/>
  <c r="N168" i="57"/>
  <c r="O168" i="57"/>
  <c r="P168" i="57"/>
  <c r="K169" i="57"/>
  <c r="L169" i="57"/>
  <c r="M169" i="57"/>
  <c r="N169" i="57"/>
  <c r="O169" i="57"/>
  <c r="P169" i="57"/>
  <c r="K170" i="57"/>
  <c r="L170" i="57"/>
  <c r="M170" i="57"/>
  <c r="N170" i="57"/>
  <c r="O170" i="57"/>
  <c r="P170" i="57"/>
  <c r="K171" i="57"/>
  <c r="L171" i="57"/>
  <c r="M171" i="57"/>
  <c r="N171" i="57"/>
  <c r="O171" i="57"/>
  <c r="P171" i="57"/>
  <c r="K172" i="57"/>
  <c r="L172" i="57"/>
  <c r="M172" i="57"/>
  <c r="N172" i="57"/>
  <c r="O172" i="57"/>
  <c r="P172" i="57"/>
  <c r="K173" i="57"/>
  <c r="L173" i="57"/>
  <c r="M173" i="57"/>
  <c r="N173" i="57"/>
  <c r="O173" i="57"/>
  <c r="P173" i="57"/>
  <c r="K174" i="57"/>
  <c r="L174" i="57"/>
  <c r="M174" i="57"/>
  <c r="N174" i="57"/>
  <c r="O174" i="57"/>
  <c r="P174" i="57"/>
  <c r="K175" i="57"/>
  <c r="L175" i="57"/>
  <c r="M175" i="57"/>
  <c r="N175" i="57"/>
  <c r="O175" i="57"/>
  <c r="P175" i="57"/>
  <c r="K176" i="57"/>
  <c r="L176" i="57"/>
  <c r="M176" i="57"/>
  <c r="N176" i="57"/>
  <c r="O176" i="57"/>
  <c r="P176" i="57"/>
  <c r="K177" i="57"/>
  <c r="L177" i="57"/>
  <c r="M177" i="57"/>
  <c r="N177" i="57"/>
  <c r="O177" i="57"/>
  <c r="P177" i="57"/>
  <c r="K178" i="57"/>
  <c r="C170" i="146" s="1"/>
  <c r="L178" i="57"/>
  <c r="C171" i="146" s="1"/>
  <c r="M178" i="57"/>
  <c r="C172" i="146" s="1"/>
  <c r="N178" i="57"/>
  <c r="C173" i="146" s="1"/>
  <c r="O178" i="57"/>
  <c r="C174" i="146" s="1"/>
  <c r="P178" i="57"/>
  <c r="C175" i="146" s="1"/>
  <c r="K179" i="57"/>
  <c r="L179" i="57"/>
  <c r="M179" i="57"/>
  <c r="N179" i="57"/>
  <c r="O179" i="57"/>
  <c r="P179" i="57"/>
  <c r="K180" i="57"/>
  <c r="L180" i="57"/>
  <c r="M180" i="57"/>
  <c r="N180" i="57"/>
  <c r="O180" i="57"/>
  <c r="P180" i="57"/>
  <c r="K181" i="57"/>
  <c r="L181" i="57"/>
  <c r="M181" i="57"/>
  <c r="N181" i="57"/>
  <c r="O181" i="57"/>
  <c r="P181" i="57"/>
  <c r="K182" i="57"/>
  <c r="L182" i="57"/>
  <c r="M182" i="57"/>
  <c r="N182" i="57"/>
  <c r="O182" i="57"/>
  <c r="P182" i="57"/>
  <c r="K183" i="57"/>
  <c r="L183" i="57"/>
  <c r="M183" i="57"/>
  <c r="N183" i="57"/>
  <c r="O183" i="57"/>
  <c r="P183" i="57"/>
  <c r="K184" i="57"/>
  <c r="L184" i="57"/>
  <c r="M184" i="57"/>
  <c r="N184" i="57"/>
  <c r="O184" i="57"/>
  <c r="P184" i="57"/>
  <c r="K185" i="57"/>
  <c r="L185" i="57"/>
  <c r="M185" i="57"/>
  <c r="N185" i="57"/>
  <c r="O185" i="57"/>
  <c r="P185" i="57"/>
  <c r="K186" i="57"/>
  <c r="L186" i="57"/>
  <c r="M186" i="57"/>
  <c r="N186" i="57"/>
  <c r="O186" i="57"/>
  <c r="P186" i="57"/>
  <c r="K187" i="57"/>
  <c r="L187" i="57"/>
  <c r="M187" i="57"/>
  <c r="N187" i="57"/>
  <c r="O187" i="57"/>
  <c r="P187" i="57"/>
  <c r="K188" i="57"/>
  <c r="L188" i="57"/>
  <c r="M188" i="57"/>
  <c r="N188" i="57"/>
  <c r="O188" i="57"/>
  <c r="P188" i="57"/>
  <c r="K189" i="57"/>
  <c r="C178" i="146" s="1"/>
  <c r="L189" i="57"/>
  <c r="C179" i="146" s="1"/>
  <c r="M189" i="57"/>
  <c r="C180" i="146" s="1"/>
  <c r="N189" i="57"/>
  <c r="C181" i="146" s="1"/>
  <c r="O189" i="57"/>
  <c r="C182" i="146" s="1"/>
  <c r="P189" i="57"/>
  <c r="C183" i="146" s="1"/>
  <c r="K190" i="57"/>
  <c r="L190" i="57"/>
  <c r="M190" i="57"/>
  <c r="N190" i="57"/>
  <c r="O190" i="57"/>
  <c r="P190" i="57"/>
  <c r="K191" i="57"/>
  <c r="L191" i="57"/>
  <c r="M191" i="57"/>
  <c r="N191" i="57"/>
  <c r="O191" i="57"/>
  <c r="P191" i="57"/>
  <c r="K192" i="57"/>
  <c r="L192" i="57"/>
  <c r="M192" i="57"/>
  <c r="N192" i="57"/>
  <c r="O192" i="57"/>
  <c r="P192" i="57"/>
  <c r="K193" i="57"/>
  <c r="C186" i="146" s="1"/>
  <c r="L193" i="57"/>
  <c r="C187" i="146" s="1"/>
  <c r="M193" i="57"/>
  <c r="C188" i="146" s="1"/>
  <c r="N193" i="57"/>
  <c r="C189" i="146" s="1"/>
  <c r="O193" i="57"/>
  <c r="C190" i="146" s="1"/>
  <c r="P193" i="57"/>
  <c r="C191" i="146" s="1"/>
  <c r="P4" i="57"/>
  <c r="O4" i="57"/>
  <c r="N4" i="57"/>
  <c r="M4" i="57"/>
  <c r="L4" i="57"/>
  <c r="K4" i="57"/>
  <c r="O2" i="57"/>
  <c r="M2" i="57"/>
  <c r="K2" i="57"/>
  <c r="C7" i="139"/>
  <c r="C5" i="139"/>
  <c r="C3" i="139"/>
  <c r="B6" i="139"/>
  <c r="B4" i="139"/>
  <c r="B7" i="139"/>
  <c r="C6" i="139"/>
  <c r="B5" i="139"/>
  <c r="C4" i="139"/>
  <c r="B3" i="139"/>
  <c r="C2" i="139"/>
  <c r="B2" i="139"/>
  <c r="D6" i="139"/>
  <c r="P7" i="139" s="1"/>
  <c r="D4" i="139"/>
  <c r="P5" i="139" s="1"/>
  <c r="D2" i="139"/>
  <c r="P3" i="139" s="1"/>
  <c r="G6" i="139"/>
  <c r="G7" i="139"/>
  <c r="G5" i="139"/>
  <c r="G4" i="139"/>
  <c r="G3" i="139"/>
  <c r="G2" i="139"/>
  <c r="I1" i="139"/>
  <c r="H1" i="139"/>
  <c r="G1" i="139"/>
  <c r="F12" i="138"/>
  <c r="F11" i="138"/>
  <c r="F10" i="138"/>
  <c r="D2" i="136"/>
  <c r="P3" i="136" s="1"/>
  <c r="C3" i="136"/>
  <c r="B2" i="136"/>
  <c r="C2" i="136"/>
  <c r="H3" i="136"/>
  <c r="G3" i="136"/>
  <c r="B3" i="136"/>
  <c r="H2" i="136"/>
  <c r="G2" i="136"/>
  <c r="H1" i="136"/>
  <c r="G1" i="136"/>
  <c r="D6" i="135"/>
  <c r="P7" i="135" s="1"/>
  <c r="D4" i="135"/>
  <c r="P5" i="135" s="1"/>
  <c r="D2" i="135"/>
  <c r="P3" i="135" s="1"/>
  <c r="C7" i="135"/>
  <c r="C6" i="135"/>
  <c r="C5" i="135"/>
  <c r="C4" i="135"/>
  <c r="C3" i="135"/>
  <c r="C2" i="135"/>
  <c r="G6" i="135"/>
  <c r="G7" i="135"/>
  <c r="H6" i="135"/>
  <c r="H7" i="135"/>
  <c r="I7" i="135"/>
  <c r="I6" i="135"/>
  <c r="I5" i="135"/>
  <c r="I4" i="135"/>
  <c r="I3" i="135"/>
  <c r="I2" i="135"/>
  <c r="B3" i="135"/>
  <c r="B4" i="135"/>
  <c r="B5" i="135"/>
  <c r="B6" i="135"/>
  <c r="B7" i="135"/>
  <c r="B2" i="135"/>
  <c r="O8" i="125"/>
  <c r="H5" i="135"/>
  <c r="G5" i="135"/>
  <c r="H4" i="135"/>
  <c r="G4" i="135"/>
  <c r="H3" i="135"/>
  <c r="G3" i="135"/>
  <c r="H2" i="135"/>
  <c r="G2" i="135"/>
  <c r="I1" i="135"/>
  <c r="H1" i="135"/>
  <c r="G1" i="135"/>
  <c r="D4" i="134"/>
  <c r="P5" i="134" s="1"/>
  <c r="D2" i="134"/>
  <c r="P3" i="134" s="1"/>
  <c r="C5" i="134"/>
  <c r="C3" i="134"/>
  <c r="C4" i="134"/>
  <c r="C2" i="134"/>
  <c r="B5" i="134"/>
  <c r="B4" i="134"/>
  <c r="B3" i="134"/>
  <c r="B2" i="134"/>
  <c r="H5" i="134"/>
  <c r="G5" i="134"/>
  <c r="H4" i="134"/>
  <c r="G4" i="134"/>
  <c r="H3" i="134"/>
  <c r="G3" i="134"/>
  <c r="H2" i="134"/>
  <c r="G2" i="134"/>
  <c r="I1" i="134"/>
  <c r="H1" i="134"/>
  <c r="G1" i="134"/>
  <c r="P9" i="131"/>
  <c r="C9" i="131"/>
  <c r="B9" i="131"/>
  <c r="C6" i="131"/>
  <c r="B6" i="131"/>
  <c r="H5" i="131"/>
  <c r="H6" i="131"/>
  <c r="H9" i="131"/>
  <c r="H2" i="131"/>
  <c r="G9" i="131"/>
  <c r="G6" i="131"/>
  <c r="G5" i="131"/>
  <c r="C5" i="131"/>
  <c r="B5" i="131"/>
  <c r="G2" i="131"/>
  <c r="C2" i="131"/>
  <c r="B2" i="131"/>
  <c r="I1" i="131"/>
  <c r="H1" i="131"/>
  <c r="G1" i="131"/>
  <c r="C21" i="130"/>
  <c r="C17" i="130"/>
  <c r="C13" i="130"/>
  <c r="C9" i="130"/>
  <c r="C5" i="130"/>
  <c r="C10" i="130"/>
  <c r="C14" i="130"/>
  <c r="C18" i="130"/>
  <c r="B21" i="130"/>
  <c r="B17" i="130"/>
  <c r="B13" i="130"/>
  <c r="B9" i="130"/>
  <c r="C6" i="130"/>
  <c r="B5" i="130"/>
  <c r="C2" i="130"/>
  <c r="H10" i="130"/>
  <c r="H13" i="130"/>
  <c r="H14" i="130"/>
  <c r="H17" i="130"/>
  <c r="H18" i="130"/>
  <c r="H21" i="130"/>
  <c r="H2" i="130"/>
  <c r="H5" i="130"/>
  <c r="G21" i="130"/>
  <c r="G18" i="130"/>
  <c r="B18" i="130"/>
  <c r="G17" i="130"/>
  <c r="G14" i="130"/>
  <c r="B14" i="130"/>
  <c r="G13" i="130"/>
  <c r="G10" i="130"/>
  <c r="B10" i="130"/>
  <c r="H9" i="130"/>
  <c r="G9" i="130"/>
  <c r="H6" i="130"/>
  <c r="G6" i="130"/>
  <c r="B6" i="130"/>
  <c r="G5" i="130"/>
  <c r="G2" i="130"/>
  <c r="B2" i="130"/>
  <c r="I1" i="130"/>
  <c r="H1" i="130"/>
  <c r="G1" i="130"/>
  <c r="G25" i="129"/>
  <c r="G28" i="129"/>
  <c r="G29" i="129"/>
  <c r="G32" i="129"/>
  <c r="G33" i="129"/>
  <c r="G36" i="129"/>
  <c r="G37" i="129"/>
  <c r="G38" i="129"/>
  <c r="E19" i="178" s="1"/>
  <c r="G39" i="129"/>
  <c r="G40" i="129"/>
  <c r="D39" i="129"/>
  <c r="P40" i="129" s="1"/>
  <c r="D37" i="129"/>
  <c r="P38" i="129" s="1"/>
  <c r="N19" i="178" s="1"/>
  <c r="P36" i="129"/>
  <c r="P32" i="129"/>
  <c r="P28" i="129"/>
  <c r="P19" i="129"/>
  <c r="P10" i="129"/>
  <c r="C40" i="129"/>
  <c r="B40" i="129"/>
  <c r="C39" i="129"/>
  <c r="B39" i="129"/>
  <c r="B38" i="129"/>
  <c r="A19" i="178" s="1"/>
  <c r="C37" i="129"/>
  <c r="B37" i="129"/>
  <c r="H29" i="129"/>
  <c r="H32" i="129"/>
  <c r="H33" i="129"/>
  <c r="H36" i="129"/>
  <c r="C36" i="129"/>
  <c r="C32" i="129"/>
  <c r="B36" i="129"/>
  <c r="C33" i="129"/>
  <c r="B33" i="129"/>
  <c r="B32" i="129"/>
  <c r="C29" i="129"/>
  <c r="B29" i="129"/>
  <c r="C28" i="129"/>
  <c r="B28" i="129"/>
  <c r="C25" i="129"/>
  <c r="B25" i="129"/>
  <c r="H28" i="129"/>
  <c r="H25" i="129"/>
  <c r="H24" i="129"/>
  <c r="H20" i="129"/>
  <c r="H19" i="129"/>
  <c r="H16" i="129"/>
  <c r="H15" i="129"/>
  <c r="H11" i="129"/>
  <c r="C24" i="129"/>
  <c r="B24" i="129"/>
  <c r="C20" i="129"/>
  <c r="B20" i="129"/>
  <c r="C19" i="129"/>
  <c r="B19" i="129"/>
  <c r="C16" i="129"/>
  <c r="B16" i="129"/>
  <c r="C15" i="129"/>
  <c r="B15" i="129"/>
  <c r="C11" i="129"/>
  <c r="B11" i="129"/>
  <c r="H10" i="129"/>
  <c r="H7" i="129"/>
  <c r="C10" i="129"/>
  <c r="B10" i="129"/>
  <c r="C7" i="129"/>
  <c r="B7" i="129"/>
  <c r="H6" i="129"/>
  <c r="H2" i="129"/>
  <c r="C6" i="129"/>
  <c r="B6" i="129"/>
  <c r="C2" i="129"/>
  <c r="B2" i="129"/>
  <c r="G24" i="129"/>
  <c r="G20" i="129"/>
  <c r="G19" i="129"/>
  <c r="G16" i="129"/>
  <c r="G15" i="129"/>
  <c r="G11" i="129"/>
  <c r="G10" i="129"/>
  <c r="G7" i="129"/>
  <c r="G6" i="129"/>
  <c r="G2" i="129"/>
  <c r="I1" i="129"/>
  <c r="H1" i="129"/>
  <c r="G1" i="129"/>
  <c r="I43" i="128"/>
  <c r="G43" i="128"/>
  <c r="C43" i="128"/>
  <c r="B43" i="128"/>
  <c r="I42" i="128"/>
  <c r="G42" i="128"/>
  <c r="D42" i="128"/>
  <c r="P43" i="128" s="1"/>
  <c r="C42" i="128"/>
  <c r="B42" i="128"/>
  <c r="I41" i="128"/>
  <c r="H41" i="128"/>
  <c r="G41" i="128"/>
  <c r="C41" i="128"/>
  <c r="B41" i="128"/>
  <c r="I40" i="128"/>
  <c r="H40" i="128"/>
  <c r="G40" i="128"/>
  <c r="C40" i="128"/>
  <c r="B40" i="128"/>
  <c r="I39" i="128"/>
  <c r="H39" i="128"/>
  <c r="G39" i="128"/>
  <c r="C39" i="128"/>
  <c r="B39" i="128"/>
  <c r="I38" i="128"/>
  <c r="H38" i="128"/>
  <c r="G38" i="128"/>
  <c r="C38" i="128"/>
  <c r="B38" i="128"/>
  <c r="I37" i="128"/>
  <c r="H37" i="128"/>
  <c r="G37" i="128"/>
  <c r="C37" i="128"/>
  <c r="B37" i="128"/>
  <c r="I36" i="128"/>
  <c r="H36" i="128"/>
  <c r="G36" i="128"/>
  <c r="C36" i="128"/>
  <c r="B36" i="128"/>
  <c r="I35" i="128"/>
  <c r="H35" i="128"/>
  <c r="G35" i="128"/>
  <c r="C35" i="128"/>
  <c r="B35" i="128"/>
  <c r="I34" i="128"/>
  <c r="H34" i="128"/>
  <c r="G34" i="128"/>
  <c r="C34" i="128"/>
  <c r="B34" i="128"/>
  <c r="I33" i="128"/>
  <c r="G33" i="128"/>
  <c r="C33" i="128"/>
  <c r="B33" i="128"/>
  <c r="I32" i="128"/>
  <c r="G32" i="128"/>
  <c r="C32" i="128"/>
  <c r="B32" i="128"/>
  <c r="I31" i="128"/>
  <c r="H31" i="128"/>
  <c r="G31" i="128"/>
  <c r="C31" i="128"/>
  <c r="B31" i="128"/>
  <c r="I30" i="128"/>
  <c r="H30" i="128"/>
  <c r="G30" i="128"/>
  <c r="C30" i="128"/>
  <c r="B30" i="128"/>
  <c r="I29" i="128"/>
  <c r="G29" i="128"/>
  <c r="C29" i="128"/>
  <c r="B29" i="128"/>
  <c r="I28" i="128"/>
  <c r="G28" i="128"/>
  <c r="D28" i="128"/>
  <c r="P29" i="128" s="1"/>
  <c r="C28" i="128"/>
  <c r="B28" i="128"/>
  <c r="I27" i="128"/>
  <c r="H27" i="128"/>
  <c r="G27" i="128"/>
  <c r="C27" i="128"/>
  <c r="B27" i="128"/>
  <c r="I26" i="128"/>
  <c r="H26" i="128"/>
  <c r="G26" i="128"/>
  <c r="C26" i="128"/>
  <c r="B26" i="128"/>
  <c r="I25" i="128"/>
  <c r="H25" i="128"/>
  <c r="G25" i="128"/>
  <c r="C25" i="128"/>
  <c r="B25" i="128"/>
  <c r="I24" i="128"/>
  <c r="H24" i="128"/>
  <c r="G24" i="128"/>
  <c r="C24" i="128"/>
  <c r="B24" i="128"/>
  <c r="I23" i="128"/>
  <c r="H23" i="128"/>
  <c r="G23" i="128"/>
  <c r="C23" i="128"/>
  <c r="B23" i="128"/>
  <c r="I22" i="128"/>
  <c r="H22" i="128"/>
  <c r="G22" i="128"/>
  <c r="C22" i="128"/>
  <c r="B22" i="128"/>
  <c r="I21" i="128"/>
  <c r="H21" i="128"/>
  <c r="G21" i="128"/>
  <c r="C21" i="128"/>
  <c r="B21" i="128"/>
  <c r="I20" i="128"/>
  <c r="H20" i="128"/>
  <c r="G20" i="128"/>
  <c r="C20" i="128"/>
  <c r="B20" i="128"/>
  <c r="I19" i="128"/>
  <c r="G19" i="128"/>
  <c r="C19" i="128"/>
  <c r="B19" i="128"/>
  <c r="I18" i="128"/>
  <c r="G18" i="128"/>
  <c r="C18" i="128"/>
  <c r="B18" i="128"/>
  <c r="I17" i="128"/>
  <c r="H17" i="128"/>
  <c r="G17" i="128"/>
  <c r="C17" i="128"/>
  <c r="B17" i="128"/>
  <c r="I16" i="128"/>
  <c r="H16" i="128"/>
  <c r="G16" i="128"/>
  <c r="C16" i="128"/>
  <c r="B16" i="128"/>
  <c r="I15" i="128"/>
  <c r="G15" i="128"/>
  <c r="C15" i="128"/>
  <c r="B15" i="128"/>
  <c r="I14" i="128"/>
  <c r="G14" i="128"/>
  <c r="D14" i="128"/>
  <c r="P15" i="128" s="1"/>
  <c r="C14" i="128"/>
  <c r="B14" i="128"/>
  <c r="I13" i="128"/>
  <c r="H13" i="128"/>
  <c r="G13" i="128"/>
  <c r="C13" i="128"/>
  <c r="B13" i="128"/>
  <c r="I12" i="128"/>
  <c r="H12" i="128"/>
  <c r="G12" i="128"/>
  <c r="D12" i="128"/>
  <c r="P13" i="128" s="1"/>
  <c r="C12" i="128"/>
  <c r="B12" i="128"/>
  <c r="I11" i="128"/>
  <c r="H11" i="128"/>
  <c r="G11" i="128"/>
  <c r="C11" i="128"/>
  <c r="B11" i="128"/>
  <c r="I10" i="128"/>
  <c r="H10" i="128"/>
  <c r="G10" i="128"/>
  <c r="C10" i="128"/>
  <c r="B10" i="128"/>
  <c r="I9" i="128"/>
  <c r="H9" i="128"/>
  <c r="G9" i="128"/>
  <c r="C9" i="128"/>
  <c r="B9" i="128"/>
  <c r="I8" i="128"/>
  <c r="H8" i="128"/>
  <c r="G8" i="128"/>
  <c r="C8" i="128"/>
  <c r="B8" i="128"/>
  <c r="I7" i="128"/>
  <c r="H7" i="128"/>
  <c r="G7" i="128"/>
  <c r="C7" i="128"/>
  <c r="B7" i="128"/>
  <c r="I6" i="128"/>
  <c r="H6" i="128"/>
  <c r="G6" i="128"/>
  <c r="C6" i="128"/>
  <c r="B6" i="128"/>
  <c r="I5" i="128"/>
  <c r="G5" i="128"/>
  <c r="C5" i="128"/>
  <c r="B5" i="128"/>
  <c r="I4" i="128"/>
  <c r="G4" i="128"/>
  <c r="C4" i="128"/>
  <c r="B4" i="128"/>
  <c r="I3" i="128"/>
  <c r="H3" i="128"/>
  <c r="G3" i="128"/>
  <c r="C3" i="128"/>
  <c r="B3" i="128"/>
  <c r="A2" i="178" s="1"/>
  <c r="I2" i="128"/>
  <c r="H2" i="128"/>
  <c r="G2" i="128"/>
  <c r="E2" i="178" s="1"/>
  <c r="C2" i="128"/>
  <c r="B2" i="128"/>
  <c r="I1" i="128"/>
  <c r="H1" i="128"/>
  <c r="G1" i="128"/>
  <c r="G3" i="127"/>
  <c r="E3" i="178" s="1"/>
  <c r="C3" i="127"/>
  <c r="B3" i="127"/>
  <c r="A3" i="178" s="1"/>
  <c r="G2" i="127"/>
  <c r="D2" i="127"/>
  <c r="P3" i="127" s="1"/>
  <c r="N3" i="178" s="1"/>
  <c r="C2" i="127"/>
  <c r="B2" i="127"/>
  <c r="H1" i="127"/>
  <c r="G1" i="127"/>
  <c r="G53" i="126"/>
  <c r="E18" i="178" s="1"/>
  <c r="C53" i="126"/>
  <c r="B53" i="126"/>
  <c r="A18" i="178" s="1"/>
  <c r="G52" i="126"/>
  <c r="C52" i="126"/>
  <c r="B52" i="126"/>
  <c r="G51" i="126"/>
  <c r="E17" i="178" s="1"/>
  <c r="C51" i="126"/>
  <c r="B51" i="126"/>
  <c r="A17" i="178" s="1"/>
  <c r="G50" i="126"/>
  <c r="C50" i="126"/>
  <c r="B50" i="126"/>
  <c r="G49" i="126"/>
  <c r="E16" i="178" s="1"/>
  <c r="C49" i="126"/>
  <c r="B49" i="126"/>
  <c r="A16" i="178" s="1"/>
  <c r="G48" i="126"/>
  <c r="C48" i="126"/>
  <c r="B48" i="126"/>
  <c r="G47" i="126"/>
  <c r="C47" i="126"/>
  <c r="B47" i="126"/>
  <c r="G46" i="126"/>
  <c r="C46" i="126"/>
  <c r="B46" i="126"/>
  <c r="G45" i="126"/>
  <c r="C45" i="126"/>
  <c r="B45" i="126"/>
  <c r="G44" i="126"/>
  <c r="C44" i="126"/>
  <c r="B44" i="126"/>
  <c r="G43" i="126"/>
  <c r="C43" i="126"/>
  <c r="B43" i="126"/>
  <c r="G42" i="126"/>
  <c r="C42" i="126"/>
  <c r="B42" i="126"/>
  <c r="G41" i="126"/>
  <c r="E15" i="178" s="1"/>
  <c r="C41" i="126"/>
  <c r="B41" i="126"/>
  <c r="A15" i="178" s="1"/>
  <c r="G40" i="126"/>
  <c r="C40" i="126"/>
  <c r="B40" i="126"/>
  <c r="G39" i="126"/>
  <c r="E14" i="178" s="1"/>
  <c r="C39" i="126"/>
  <c r="B39" i="126"/>
  <c r="A14" i="178" s="1"/>
  <c r="G38" i="126"/>
  <c r="C38" i="126"/>
  <c r="B38" i="126"/>
  <c r="G37" i="126"/>
  <c r="E13" i="178" s="1"/>
  <c r="C37" i="126"/>
  <c r="B37" i="126"/>
  <c r="A13" i="178" s="1"/>
  <c r="G36" i="126"/>
  <c r="C36" i="126"/>
  <c r="B36" i="126"/>
  <c r="G35" i="126"/>
  <c r="C35" i="126"/>
  <c r="B35" i="126"/>
  <c r="G34" i="126"/>
  <c r="C34" i="126"/>
  <c r="B34" i="126"/>
  <c r="G33" i="126"/>
  <c r="C33" i="126"/>
  <c r="B33" i="126"/>
  <c r="G32" i="126"/>
  <c r="C32" i="126"/>
  <c r="B32" i="126"/>
  <c r="G31" i="126"/>
  <c r="C31" i="126"/>
  <c r="B31" i="126"/>
  <c r="G30" i="126"/>
  <c r="C30" i="126"/>
  <c r="B30" i="126"/>
  <c r="G29" i="126"/>
  <c r="E12" i="178" s="1"/>
  <c r="C29" i="126"/>
  <c r="B29" i="126"/>
  <c r="A12" i="178" s="1"/>
  <c r="G28" i="126"/>
  <c r="C28" i="126"/>
  <c r="B28" i="126"/>
  <c r="G27" i="126"/>
  <c r="E11" i="178" s="1"/>
  <c r="C27" i="126"/>
  <c r="B27" i="126"/>
  <c r="A11" i="178" s="1"/>
  <c r="G26" i="126"/>
  <c r="C26" i="126"/>
  <c r="B26" i="126"/>
  <c r="G25" i="126"/>
  <c r="E10" i="178" s="1"/>
  <c r="C25" i="126"/>
  <c r="B25" i="126"/>
  <c r="A10" i="178" s="1"/>
  <c r="G24" i="126"/>
  <c r="C24" i="126"/>
  <c r="B24" i="126"/>
  <c r="G23" i="126"/>
  <c r="E9" i="178" s="1"/>
  <c r="C23" i="126"/>
  <c r="B23" i="126"/>
  <c r="A9" i="178" s="1"/>
  <c r="G22" i="126"/>
  <c r="C22" i="126"/>
  <c r="B22" i="126"/>
  <c r="G21" i="126"/>
  <c r="E8" i="178" s="1"/>
  <c r="C21" i="126"/>
  <c r="B21" i="126"/>
  <c r="A8" i="178" s="1"/>
  <c r="G20" i="126"/>
  <c r="C20" i="126"/>
  <c r="B20" i="126"/>
  <c r="G19" i="126"/>
  <c r="E7" i="178" s="1"/>
  <c r="C19" i="126"/>
  <c r="B19" i="126"/>
  <c r="A7" i="178" s="1"/>
  <c r="G18" i="126"/>
  <c r="C18" i="126"/>
  <c r="B18" i="126"/>
  <c r="G17" i="126"/>
  <c r="E6" i="178" s="1"/>
  <c r="C17" i="126"/>
  <c r="B17" i="126"/>
  <c r="A6" i="178" s="1"/>
  <c r="G16" i="126"/>
  <c r="C16" i="126"/>
  <c r="B16" i="126"/>
  <c r="G15" i="126"/>
  <c r="E5" i="178" s="1"/>
  <c r="C15" i="126"/>
  <c r="B15" i="126"/>
  <c r="A5" i="178" s="1"/>
  <c r="G14" i="126"/>
  <c r="C14" i="126"/>
  <c r="B14" i="126"/>
  <c r="G13" i="126"/>
  <c r="E4" i="178" s="1"/>
  <c r="C13" i="126"/>
  <c r="B13" i="126"/>
  <c r="A4" i="178" s="1"/>
  <c r="G12" i="126"/>
  <c r="C12" i="126"/>
  <c r="B12" i="126"/>
  <c r="G11" i="126"/>
  <c r="C11" i="126"/>
  <c r="B11" i="126"/>
  <c r="G10" i="126"/>
  <c r="C10" i="126"/>
  <c r="B10" i="126"/>
  <c r="G9" i="126"/>
  <c r="C9" i="126"/>
  <c r="B9" i="126"/>
  <c r="G8" i="126"/>
  <c r="C8" i="126"/>
  <c r="B8" i="126"/>
  <c r="G7" i="126"/>
  <c r="C7" i="126"/>
  <c r="B7" i="126"/>
  <c r="G6" i="126"/>
  <c r="C6" i="126"/>
  <c r="B6" i="126"/>
  <c r="H5" i="126"/>
  <c r="G5" i="126"/>
  <c r="C5" i="126"/>
  <c r="B5" i="126"/>
  <c r="H4" i="126"/>
  <c r="G4" i="126"/>
  <c r="C4" i="126"/>
  <c r="B4" i="126"/>
  <c r="G3" i="126"/>
  <c r="C3" i="126"/>
  <c r="B3" i="126"/>
  <c r="G2" i="126"/>
  <c r="C2" i="126"/>
  <c r="B2" i="126"/>
  <c r="I1" i="126"/>
  <c r="H1" i="126"/>
  <c r="G1" i="126"/>
  <c r="E1" i="5"/>
  <c r="C366" i="5"/>
  <c r="E366" i="5"/>
  <c r="F366" i="5"/>
  <c r="G366" i="5"/>
  <c r="C367" i="5"/>
  <c r="E367" i="5"/>
  <c r="F367" i="5"/>
  <c r="G367" i="5"/>
  <c r="C368" i="5"/>
  <c r="E368" i="5"/>
  <c r="F368" i="5"/>
  <c r="G368" i="5"/>
  <c r="C369" i="5"/>
  <c r="E369" i="5"/>
  <c r="F369" i="5"/>
  <c r="G369" i="5"/>
  <c r="E370" i="5"/>
  <c r="F370" i="5"/>
  <c r="G370" i="5"/>
  <c r="E371" i="5"/>
  <c r="F371" i="5"/>
  <c r="G371" i="5"/>
  <c r="C372" i="5"/>
  <c r="E372" i="5"/>
  <c r="F372" i="5"/>
  <c r="G372" i="5"/>
  <c r="C373" i="5"/>
  <c r="E373" i="5"/>
  <c r="F373" i="5"/>
  <c r="G373" i="5"/>
  <c r="C374" i="5"/>
  <c r="E374" i="5"/>
  <c r="F374" i="5"/>
  <c r="G374" i="5"/>
  <c r="C375" i="5"/>
  <c r="E375" i="5"/>
  <c r="F375" i="5"/>
  <c r="G375" i="5"/>
  <c r="C376" i="5"/>
  <c r="E376" i="5"/>
  <c r="F376" i="5"/>
  <c r="G376" i="5"/>
  <c r="E377" i="5"/>
  <c r="F377" i="5"/>
  <c r="G377" i="5"/>
  <c r="E378" i="5"/>
  <c r="F378" i="5"/>
  <c r="G378" i="5"/>
  <c r="E379" i="5"/>
  <c r="F379" i="5"/>
  <c r="G379" i="5"/>
  <c r="E352" i="5"/>
  <c r="F352" i="5"/>
  <c r="G352" i="5"/>
  <c r="C353" i="5"/>
  <c r="E353" i="5"/>
  <c r="F353" i="5"/>
  <c r="G353" i="5"/>
  <c r="E354" i="5"/>
  <c r="F354" i="5"/>
  <c r="G354" i="5"/>
  <c r="C355" i="5"/>
  <c r="E355" i="5"/>
  <c r="F355" i="5"/>
  <c r="G355" i="5"/>
  <c r="E356" i="5"/>
  <c r="F356" i="5"/>
  <c r="G356" i="5"/>
  <c r="E357" i="5"/>
  <c r="F357" i="5"/>
  <c r="G357" i="5"/>
  <c r="C358" i="5"/>
  <c r="E358" i="5"/>
  <c r="F358" i="5"/>
  <c r="G358" i="5"/>
  <c r="C359" i="5"/>
  <c r="E359" i="5"/>
  <c r="F359" i="5"/>
  <c r="G359" i="5"/>
  <c r="C360" i="5"/>
  <c r="E360" i="5"/>
  <c r="F360" i="5"/>
  <c r="G360" i="5"/>
  <c r="C361" i="5"/>
  <c r="E361" i="5"/>
  <c r="F361" i="5"/>
  <c r="G361" i="5"/>
  <c r="C362" i="5"/>
  <c r="E362" i="5"/>
  <c r="F362" i="5"/>
  <c r="G362" i="5"/>
  <c r="E363" i="5"/>
  <c r="F363" i="5"/>
  <c r="G363" i="5"/>
  <c r="E364" i="5"/>
  <c r="F364" i="5"/>
  <c r="G364" i="5"/>
  <c r="E365" i="5"/>
  <c r="F365" i="5"/>
  <c r="G365" i="5"/>
  <c r="E338" i="5"/>
  <c r="F338" i="5"/>
  <c r="G338" i="5"/>
  <c r="C339" i="5"/>
  <c r="E339" i="5"/>
  <c r="F339" i="5"/>
  <c r="G339" i="5"/>
  <c r="E340" i="5"/>
  <c r="F340" i="5"/>
  <c r="G340" i="5"/>
  <c r="C341" i="5"/>
  <c r="E341" i="5"/>
  <c r="F341" i="5"/>
  <c r="G341" i="5"/>
  <c r="E342" i="5"/>
  <c r="F342" i="5"/>
  <c r="G342" i="5"/>
  <c r="E343" i="5"/>
  <c r="F343" i="5"/>
  <c r="G343" i="5"/>
  <c r="C344" i="5"/>
  <c r="E344" i="5"/>
  <c r="F344" i="5"/>
  <c r="G344" i="5"/>
  <c r="C345" i="5"/>
  <c r="E345" i="5"/>
  <c r="F345" i="5"/>
  <c r="G345" i="5"/>
  <c r="C346" i="5"/>
  <c r="E346" i="5"/>
  <c r="F346" i="5"/>
  <c r="G346" i="5"/>
  <c r="E347" i="5"/>
  <c r="F347" i="5"/>
  <c r="G347" i="5"/>
  <c r="C348" i="5"/>
  <c r="E348" i="5"/>
  <c r="F348" i="5"/>
  <c r="G348" i="5"/>
  <c r="E349" i="5"/>
  <c r="F349" i="5"/>
  <c r="G349" i="5"/>
  <c r="E350" i="5"/>
  <c r="F350" i="5"/>
  <c r="G350" i="5"/>
  <c r="E351" i="5"/>
  <c r="F351" i="5"/>
  <c r="G351" i="5"/>
  <c r="E324" i="5"/>
  <c r="F324" i="5"/>
  <c r="G324" i="5"/>
  <c r="C325" i="5"/>
  <c r="E325" i="5"/>
  <c r="F325" i="5"/>
  <c r="G325" i="5"/>
  <c r="E326" i="5"/>
  <c r="F326" i="5"/>
  <c r="G326" i="5"/>
  <c r="C327" i="5"/>
  <c r="E327" i="5"/>
  <c r="F327" i="5"/>
  <c r="G327" i="5"/>
  <c r="E328" i="5"/>
  <c r="F328" i="5"/>
  <c r="G328" i="5"/>
  <c r="E329" i="5"/>
  <c r="F329" i="5"/>
  <c r="G329" i="5"/>
  <c r="C330" i="5"/>
  <c r="E330" i="5"/>
  <c r="F330" i="5"/>
  <c r="G330" i="5"/>
  <c r="C331" i="5"/>
  <c r="E331" i="5"/>
  <c r="F331" i="5"/>
  <c r="G331" i="5"/>
  <c r="C332" i="5"/>
  <c r="E332" i="5"/>
  <c r="F332" i="5"/>
  <c r="G332" i="5"/>
  <c r="C333" i="5"/>
  <c r="E333" i="5"/>
  <c r="F333" i="5"/>
  <c r="G333" i="5"/>
  <c r="C334" i="5"/>
  <c r="E334" i="5"/>
  <c r="F334" i="5"/>
  <c r="G334" i="5"/>
  <c r="E335" i="5"/>
  <c r="F335" i="5"/>
  <c r="G335" i="5"/>
  <c r="E336" i="5"/>
  <c r="F336" i="5"/>
  <c r="G336" i="5"/>
  <c r="E337" i="5"/>
  <c r="F337" i="5"/>
  <c r="G337" i="5"/>
  <c r="E310" i="5"/>
  <c r="F310" i="5"/>
  <c r="G310" i="5"/>
  <c r="C311" i="5"/>
  <c r="E311" i="5"/>
  <c r="F311" i="5"/>
  <c r="G311" i="5"/>
  <c r="E312" i="5"/>
  <c r="F312" i="5"/>
  <c r="G312" i="5"/>
  <c r="C313" i="5"/>
  <c r="E313" i="5"/>
  <c r="F313" i="5"/>
  <c r="G313" i="5"/>
  <c r="E314" i="5"/>
  <c r="F314" i="5"/>
  <c r="G314" i="5"/>
  <c r="E315" i="5"/>
  <c r="F315" i="5"/>
  <c r="G315" i="5"/>
  <c r="C316" i="5"/>
  <c r="E316" i="5"/>
  <c r="F316" i="5"/>
  <c r="G316" i="5"/>
  <c r="C317" i="5"/>
  <c r="E317" i="5"/>
  <c r="F317" i="5"/>
  <c r="G317" i="5"/>
  <c r="C318" i="5"/>
  <c r="E318" i="5"/>
  <c r="F318" i="5"/>
  <c r="G318" i="5"/>
  <c r="C319" i="5"/>
  <c r="E319" i="5"/>
  <c r="F319" i="5"/>
  <c r="G319" i="5"/>
  <c r="C320" i="5"/>
  <c r="E320" i="5"/>
  <c r="F320" i="5"/>
  <c r="G320" i="5"/>
  <c r="E321" i="5"/>
  <c r="F321" i="5"/>
  <c r="G321" i="5"/>
  <c r="E322" i="5"/>
  <c r="F322" i="5"/>
  <c r="G322" i="5"/>
  <c r="E323" i="5"/>
  <c r="F323" i="5"/>
  <c r="G323" i="5"/>
  <c r="E296" i="5"/>
  <c r="F296" i="5"/>
  <c r="G296" i="5"/>
  <c r="E297" i="5"/>
  <c r="F297" i="5"/>
  <c r="G297" i="5"/>
  <c r="E298" i="5"/>
  <c r="F298" i="5"/>
  <c r="G298" i="5"/>
  <c r="E299" i="5"/>
  <c r="F299" i="5"/>
  <c r="G299" i="5"/>
  <c r="E300" i="5"/>
  <c r="F300" i="5"/>
  <c r="G300" i="5"/>
  <c r="E301" i="5"/>
  <c r="F301" i="5"/>
  <c r="G301" i="5"/>
  <c r="C302" i="5"/>
  <c r="E302" i="5"/>
  <c r="F302" i="5"/>
  <c r="G302" i="5"/>
  <c r="C303" i="5"/>
  <c r="E303" i="5"/>
  <c r="F303" i="5"/>
  <c r="G303" i="5"/>
  <c r="C304" i="5"/>
  <c r="E304" i="5"/>
  <c r="F304" i="5"/>
  <c r="G304" i="5"/>
  <c r="C305" i="5"/>
  <c r="E305" i="5"/>
  <c r="F305" i="5"/>
  <c r="G305" i="5"/>
  <c r="C306" i="5"/>
  <c r="E306" i="5"/>
  <c r="F306" i="5"/>
  <c r="G306" i="5"/>
  <c r="E307" i="5"/>
  <c r="F307" i="5"/>
  <c r="G307" i="5"/>
  <c r="E308" i="5"/>
  <c r="F308" i="5"/>
  <c r="G308" i="5"/>
  <c r="E309" i="5"/>
  <c r="F309" i="5"/>
  <c r="G309" i="5"/>
  <c r="E282" i="5"/>
  <c r="F282" i="5"/>
  <c r="G282" i="5"/>
  <c r="E283" i="5"/>
  <c r="F283" i="5"/>
  <c r="G283" i="5"/>
  <c r="E284" i="5"/>
  <c r="F284" i="5"/>
  <c r="G284" i="5"/>
  <c r="E285" i="5"/>
  <c r="F285" i="5"/>
  <c r="G285" i="5"/>
  <c r="E286" i="5"/>
  <c r="F286" i="5"/>
  <c r="G286" i="5"/>
  <c r="E287" i="5"/>
  <c r="F287" i="5"/>
  <c r="G287" i="5"/>
  <c r="C288" i="5"/>
  <c r="E288" i="5"/>
  <c r="F288" i="5"/>
  <c r="G288" i="5"/>
  <c r="C289" i="5"/>
  <c r="E289" i="5"/>
  <c r="F289" i="5"/>
  <c r="G289" i="5"/>
  <c r="C290" i="5"/>
  <c r="E290" i="5"/>
  <c r="F290" i="5"/>
  <c r="G290" i="5"/>
  <c r="E291" i="5"/>
  <c r="F291" i="5"/>
  <c r="G291" i="5"/>
  <c r="C292" i="5"/>
  <c r="E292" i="5"/>
  <c r="F292" i="5"/>
  <c r="G292" i="5"/>
  <c r="E293" i="5"/>
  <c r="F293" i="5"/>
  <c r="G293" i="5"/>
  <c r="E294" i="5"/>
  <c r="F294" i="5"/>
  <c r="G294" i="5"/>
  <c r="E295" i="5"/>
  <c r="F295" i="5"/>
  <c r="G295" i="5"/>
  <c r="E268" i="5"/>
  <c r="F268" i="5"/>
  <c r="G268" i="5"/>
  <c r="C269" i="5"/>
  <c r="E269" i="5"/>
  <c r="F269" i="5"/>
  <c r="G269" i="5"/>
  <c r="E270" i="5"/>
  <c r="F270" i="5"/>
  <c r="G270" i="5"/>
  <c r="C271" i="5"/>
  <c r="E271" i="5"/>
  <c r="F271" i="5"/>
  <c r="G271" i="5"/>
  <c r="E272" i="5"/>
  <c r="F272" i="5"/>
  <c r="G272" i="5"/>
  <c r="E273" i="5"/>
  <c r="F273" i="5"/>
  <c r="G273" i="5"/>
  <c r="E274" i="5"/>
  <c r="F274" i="5"/>
  <c r="G274" i="5"/>
  <c r="E275" i="5"/>
  <c r="F275" i="5"/>
  <c r="G275" i="5"/>
  <c r="C276" i="5"/>
  <c r="E276" i="5"/>
  <c r="F276" i="5"/>
  <c r="G276" i="5"/>
  <c r="C277" i="5"/>
  <c r="E277" i="5"/>
  <c r="F277" i="5"/>
  <c r="G277" i="5"/>
  <c r="C278" i="5"/>
  <c r="E278" i="5"/>
  <c r="F278" i="5"/>
  <c r="G278" i="5"/>
  <c r="E279" i="5"/>
  <c r="F279" i="5"/>
  <c r="G279" i="5"/>
  <c r="E280" i="5"/>
  <c r="F280" i="5"/>
  <c r="G280" i="5"/>
  <c r="E281" i="5"/>
  <c r="F281" i="5"/>
  <c r="G281" i="5"/>
  <c r="E254" i="5"/>
  <c r="F254" i="5"/>
  <c r="G254" i="5"/>
  <c r="E255" i="5"/>
  <c r="F255" i="5"/>
  <c r="G255" i="5"/>
  <c r="E256" i="5"/>
  <c r="F256" i="5"/>
  <c r="G256" i="5"/>
  <c r="E257" i="5"/>
  <c r="F257" i="5"/>
  <c r="G257" i="5"/>
  <c r="E258" i="5"/>
  <c r="F258" i="5"/>
  <c r="G258" i="5"/>
  <c r="E259" i="5"/>
  <c r="F259" i="5"/>
  <c r="G259" i="5"/>
  <c r="E260" i="5"/>
  <c r="F260" i="5"/>
  <c r="G260" i="5"/>
  <c r="E261" i="5"/>
  <c r="F261" i="5"/>
  <c r="G261" i="5"/>
  <c r="C263" i="5"/>
  <c r="E263" i="5"/>
  <c r="F263" i="5"/>
  <c r="G263" i="5"/>
  <c r="C264" i="5"/>
  <c r="E264" i="5"/>
  <c r="F264" i="5"/>
  <c r="G264" i="5"/>
  <c r="E265" i="5"/>
  <c r="F265" i="5"/>
  <c r="G265" i="5"/>
  <c r="E266" i="5"/>
  <c r="F266" i="5"/>
  <c r="G266" i="5"/>
  <c r="E267" i="5"/>
  <c r="F267" i="5"/>
  <c r="G267" i="5"/>
  <c r="C240" i="5"/>
  <c r="E240" i="5"/>
  <c r="F240" i="5"/>
  <c r="G240" i="5"/>
  <c r="C241" i="5"/>
  <c r="E241" i="5"/>
  <c r="F241" i="5"/>
  <c r="G241" i="5"/>
  <c r="E242" i="5"/>
  <c r="F242" i="5"/>
  <c r="G242" i="5"/>
  <c r="C243" i="5"/>
  <c r="E243" i="5"/>
  <c r="F243" i="5"/>
  <c r="G243" i="5"/>
  <c r="E244" i="5"/>
  <c r="F244" i="5"/>
  <c r="G244" i="5"/>
  <c r="E245" i="5"/>
  <c r="F245" i="5"/>
  <c r="G245" i="5"/>
  <c r="C246" i="5"/>
  <c r="E246" i="5"/>
  <c r="F246" i="5"/>
  <c r="G246" i="5"/>
  <c r="C247" i="5"/>
  <c r="E247" i="5"/>
  <c r="F247" i="5"/>
  <c r="G247" i="5"/>
  <c r="C248" i="5"/>
  <c r="E248" i="5"/>
  <c r="F248" i="5"/>
  <c r="G248" i="5"/>
  <c r="C249" i="5"/>
  <c r="E249" i="5"/>
  <c r="F249" i="5"/>
  <c r="G249" i="5"/>
  <c r="C250" i="5"/>
  <c r="E250" i="5"/>
  <c r="F250" i="5"/>
  <c r="G250" i="5"/>
  <c r="E251" i="5"/>
  <c r="F251" i="5"/>
  <c r="G251" i="5"/>
  <c r="E252" i="5"/>
  <c r="F252" i="5"/>
  <c r="G252" i="5"/>
  <c r="E253" i="5"/>
  <c r="F253" i="5"/>
  <c r="G253" i="5"/>
  <c r="E226" i="5"/>
  <c r="F226" i="5"/>
  <c r="G226" i="5"/>
  <c r="C227" i="5"/>
  <c r="E227" i="5"/>
  <c r="F227" i="5"/>
  <c r="G227" i="5"/>
  <c r="E228" i="5"/>
  <c r="F228" i="5"/>
  <c r="G228" i="5"/>
  <c r="C229" i="5"/>
  <c r="E229" i="5"/>
  <c r="F229" i="5"/>
  <c r="G229" i="5"/>
  <c r="E230" i="5"/>
  <c r="F230" i="5"/>
  <c r="G230" i="5"/>
  <c r="E231" i="5"/>
  <c r="F231" i="5"/>
  <c r="G231" i="5"/>
  <c r="C232" i="5"/>
  <c r="E232" i="5"/>
  <c r="F232" i="5"/>
  <c r="G232" i="5"/>
  <c r="C233" i="5"/>
  <c r="E233" i="5"/>
  <c r="F233" i="5"/>
  <c r="G233" i="5"/>
  <c r="C234" i="5"/>
  <c r="E234" i="5"/>
  <c r="F234" i="5"/>
  <c r="G234" i="5"/>
  <c r="C235" i="5"/>
  <c r="E235" i="5"/>
  <c r="F235" i="5"/>
  <c r="G235" i="5"/>
  <c r="C236" i="5"/>
  <c r="E236" i="5"/>
  <c r="F236" i="5"/>
  <c r="G236" i="5"/>
  <c r="E237" i="5"/>
  <c r="F237" i="5"/>
  <c r="G237" i="5"/>
  <c r="E238" i="5"/>
  <c r="F238" i="5"/>
  <c r="G238" i="5"/>
  <c r="E239" i="5"/>
  <c r="F239" i="5"/>
  <c r="G239" i="5"/>
  <c r="E212" i="5"/>
  <c r="F212" i="5"/>
  <c r="G212" i="5"/>
  <c r="C213" i="5"/>
  <c r="E213" i="5"/>
  <c r="F213" i="5"/>
  <c r="G213" i="5"/>
  <c r="E214" i="5"/>
  <c r="F214" i="5"/>
  <c r="G214" i="5"/>
  <c r="C215" i="5"/>
  <c r="E215" i="5"/>
  <c r="F215" i="5"/>
  <c r="G215" i="5"/>
  <c r="E216" i="5"/>
  <c r="F216" i="5"/>
  <c r="G216" i="5"/>
  <c r="E217" i="5"/>
  <c r="F217" i="5"/>
  <c r="G217" i="5"/>
  <c r="C218" i="5"/>
  <c r="E218" i="5"/>
  <c r="F218" i="5"/>
  <c r="G218" i="5"/>
  <c r="C219" i="5"/>
  <c r="E219" i="5"/>
  <c r="F219" i="5"/>
  <c r="G219" i="5"/>
  <c r="C220" i="5"/>
  <c r="E220" i="5"/>
  <c r="F220" i="5"/>
  <c r="G220" i="5"/>
  <c r="E221" i="5"/>
  <c r="F221" i="5"/>
  <c r="G221" i="5"/>
  <c r="C222" i="5"/>
  <c r="E222" i="5"/>
  <c r="F222" i="5"/>
  <c r="G222" i="5"/>
  <c r="E223" i="5"/>
  <c r="F223" i="5"/>
  <c r="G223" i="5"/>
  <c r="E224" i="5"/>
  <c r="F224" i="5"/>
  <c r="G224" i="5"/>
  <c r="E225" i="5"/>
  <c r="F225" i="5"/>
  <c r="G225" i="5"/>
  <c r="E198" i="5"/>
  <c r="F198" i="5"/>
  <c r="G198" i="5"/>
  <c r="C199" i="5"/>
  <c r="E199" i="5"/>
  <c r="F199" i="5"/>
  <c r="G199" i="5"/>
  <c r="E200" i="5"/>
  <c r="F200" i="5"/>
  <c r="G200" i="5"/>
  <c r="C201" i="5"/>
  <c r="E201" i="5"/>
  <c r="F201" i="5"/>
  <c r="G201" i="5"/>
  <c r="E202" i="5"/>
  <c r="F202" i="5"/>
  <c r="G202" i="5"/>
  <c r="E203" i="5"/>
  <c r="F203" i="5"/>
  <c r="G203" i="5"/>
  <c r="C204" i="5"/>
  <c r="E204" i="5"/>
  <c r="F204" i="5"/>
  <c r="G204" i="5"/>
  <c r="C205" i="5"/>
  <c r="E205" i="5"/>
  <c r="F205" i="5"/>
  <c r="G205" i="5"/>
  <c r="C206" i="5"/>
  <c r="E206" i="5"/>
  <c r="F206" i="5"/>
  <c r="G206" i="5"/>
  <c r="C207" i="5"/>
  <c r="E207" i="5"/>
  <c r="F207" i="5"/>
  <c r="G207" i="5"/>
  <c r="C208" i="5"/>
  <c r="E208" i="5"/>
  <c r="F208" i="5"/>
  <c r="G208" i="5"/>
  <c r="E209" i="5"/>
  <c r="F209" i="5"/>
  <c r="G209" i="5"/>
  <c r="E210" i="5"/>
  <c r="F210" i="5"/>
  <c r="G210" i="5"/>
  <c r="E211" i="5"/>
  <c r="F211" i="5"/>
  <c r="G211" i="5"/>
  <c r="E184" i="5"/>
  <c r="F184" i="5"/>
  <c r="G184" i="5"/>
  <c r="C185" i="5"/>
  <c r="E185" i="5"/>
  <c r="F185" i="5"/>
  <c r="G185" i="5"/>
  <c r="E186" i="5"/>
  <c r="F186" i="5"/>
  <c r="G186" i="5"/>
  <c r="C187" i="5"/>
  <c r="E187" i="5"/>
  <c r="F187" i="5"/>
  <c r="G187" i="5"/>
  <c r="E188" i="5"/>
  <c r="F188" i="5"/>
  <c r="G188" i="5"/>
  <c r="E189" i="5"/>
  <c r="F189" i="5"/>
  <c r="G189" i="5"/>
  <c r="C190" i="5"/>
  <c r="E190" i="5"/>
  <c r="F190" i="5"/>
  <c r="G190" i="5"/>
  <c r="C191" i="5"/>
  <c r="E191" i="5"/>
  <c r="F191" i="5"/>
  <c r="G191" i="5"/>
  <c r="C192" i="5"/>
  <c r="E192" i="5"/>
  <c r="F192" i="5"/>
  <c r="G192" i="5"/>
  <c r="C193" i="5"/>
  <c r="E193" i="5"/>
  <c r="F193" i="5"/>
  <c r="G193" i="5"/>
  <c r="C194" i="5"/>
  <c r="E194" i="5"/>
  <c r="F194" i="5"/>
  <c r="G194" i="5"/>
  <c r="E195" i="5"/>
  <c r="F195" i="5"/>
  <c r="G195" i="5"/>
  <c r="E196" i="5"/>
  <c r="F196" i="5"/>
  <c r="G196" i="5"/>
  <c r="E197" i="5"/>
  <c r="F197" i="5"/>
  <c r="G197" i="5"/>
  <c r="E170" i="5"/>
  <c r="F170" i="5"/>
  <c r="G170" i="5"/>
  <c r="E171" i="5"/>
  <c r="F171" i="5"/>
  <c r="G171" i="5"/>
  <c r="E172" i="5"/>
  <c r="F172" i="5"/>
  <c r="G172" i="5"/>
  <c r="E173" i="5"/>
  <c r="F173" i="5"/>
  <c r="G173" i="5"/>
  <c r="E174" i="5"/>
  <c r="F174" i="5"/>
  <c r="G174" i="5"/>
  <c r="E175" i="5"/>
  <c r="F175" i="5"/>
  <c r="G175" i="5"/>
  <c r="C176" i="5"/>
  <c r="E176" i="5"/>
  <c r="F176" i="5"/>
  <c r="G176" i="5"/>
  <c r="C177" i="5"/>
  <c r="E177" i="5"/>
  <c r="F177" i="5"/>
  <c r="G177" i="5"/>
  <c r="C178" i="5"/>
  <c r="E178" i="5"/>
  <c r="F178" i="5"/>
  <c r="G178" i="5"/>
  <c r="C179" i="5"/>
  <c r="E179" i="5"/>
  <c r="F179" i="5"/>
  <c r="G179" i="5"/>
  <c r="C180" i="5"/>
  <c r="E180" i="5"/>
  <c r="F180" i="5"/>
  <c r="G180" i="5"/>
  <c r="E181" i="5"/>
  <c r="F181" i="5"/>
  <c r="G181" i="5"/>
  <c r="E182" i="5"/>
  <c r="F182" i="5"/>
  <c r="G182" i="5"/>
  <c r="E183" i="5"/>
  <c r="F183" i="5"/>
  <c r="G183" i="5"/>
  <c r="E156" i="5"/>
  <c r="F156" i="5"/>
  <c r="G156" i="5"/>
  <c r="E157" i="5"/>
  <c r="F157" i="5"/>
  <c r="G157" i="5"/>
  <c r="E158" i="5"/>
  <c r="F158" i="5"/>
  <c r="G158" i="5"/>
  <c r="E159" i="5"/>
  <c r="F159" i="5"/>
  <c r="G159" i="5"/>
  <c r="E160" i="5"/>
  <c r="F160" i="5"/>
  <c r="G160" i="5"/>
  <c r="E161" i="5"/>
  <c r="F161" i="5"/>
  <c r="G161" i="5"/>
  <c r="C162" i="5"/>
  <c r="E162" i="5"/>
  <c r="F162" i="5"/>
  <c r="G162" i="5"/>
  <c r="C163" i="5"/>
  <c r="E163" i="5"/>
  <c r="F163" i="5"/>
  <c r="G163" i="5"/>
  <c r="C164" i="5"/>
  <c r="E164" i="5"/>
  <c r="F164" i="5"/>
  <c r="G164" i="5"/>
  <c r="E165" i="5"/>
  <c r="F165" i="5"/>
  <c r="G165" i="5"/>
  <c r="C166" i="5"/>
  <c r="E166" i="5"/>
  <c r="F166" i="5"/>
  <c r="G166" i="5"/>
  <c r="E167" i="5"/>
  <c r="F167" i="5"/>
  <c r="G167" i="5"/>
  <c r="E168" i="5"/>
  <c r="F168" i="5"/>
  <c r="G168" i="5"/>
  <c r="E169" i="5"/>
  <c r="F169" i="5"/>
  <c r="G169" i="5"/>
  <c r="E142" i="5"/>
  <c r="F142" i="5"/>
  <c r="G142" i="5"/>
  <c r="C143" i="5"/>
  <c r="E143" i="5"/>
  <c r="F143" i="5"/>
  <c r="G143" i="5"/>
  <c r="E144" i="5"/>
  <c r="F144" i="5"/>
  <c r="G144" i="5"/>
  <c r="C145" i="5"/>
  <c r="E145" i="5"/>
  <c r="F145" i="5"/>
  <c r="G145" i="5"/>
  <c r="E146" i="5"/>
  <c r="F146" i="5"/>
  <c r="G146" i="5"/>
  <c r="E147" i="5"/>
  <c r="F147" i="5"/>
  <c r="G147" i="5"/>
  <c r="E148" i="5"/>
  <c r="F148" i="5"/>
  <c r="G148" i="5"/>
  <c r="E149" i="5"/>
  <c r="F149" i="5"/>
  <c r="G149" i="5"/>
  <c r="C150" i="5"/>
  <c r="E150" i="5"/>
  <c r="F150" i="5"/>
  <c r="G150" i="5"/>
  <c r="C151" i="5"/>
  <c r="E151" i="5"/>
  <c r="F151" i="5"/>
  <c r="G151" i="5"/>
  <c r="C152" i="5"/>
  <c r="E152" i="5"/>
  <c r="F152" i="5"/>
  <c r="G152" i="5"/>
  <c r="E153" i="5"/>
  <c r="F153" i="5"/>
  <c r="G153" i="5"/>
  <c r="E154" i="5"/>
  <c r="F154" i="5"/>
  <c r="G154" i="5"/>
  <c r="E155" i="5"/>
  <c r="F155" i="5"/>
  <c r="G155" i="5"/>
  <c r="E128" i="5"/>
  <c r="F128" i="5"/>
  <c r="G128" i="5"/>
  <c r="E129" i="5"/>
  <c r="F129" i="5"/>
  <c r="G129" i="5"/>
  <c r="E130" i="5"/>
  <c r="F130" i="5"/>
  <c r="G130" i="5"/>
  <c r="E131" i="5"/>
  <c r="F131" i="5"/>
  <c r="G131" i="5"/>
  <c r="E132" i="5"/>
  <c r="F132" i="5"/>
  <c r="G132" i="5"/>
  <c r="E133" i="5"/>
  <c r="F133" i="5"/>
  <c r="G133" i="5"/>
  <c r="E134" i="5"/>
  <c r="F134" i="5"/>
  <c r="G134" i="5"/>
  <c r="E135" i="5"/>
  <c r="F135" i="5"/>
  <c r="G135" i="5"/>
  <c r="C137" i="5"/>
  <c r="E137" i="5"/>
  <c r="F137" i="5"/>
  <c r="G137" i="5"/>
  <c r="C138" i="5"/>
  <c r="E138" i="5"/>
  <c r="F138" i="5"/>
  <c r="G138" i="5"/>
  <c r="E139" i="5"/>
  <c r="F139" i="5"/>
  <c r="G139" i="5"/>
  <c r="E140" i="5"/>
  <c r="F140" i="5"/>
  <c r="G140" i="5"/>
  <c r="E141" i="5"/>
  <c r="F141" i="5"/>
  <c r="G141" i="5"/>
  <c r="C114" i="5"/>
  <c r="E114" i="5"/>
  <c r="F114" i="5"/>
  <c r="G114" i="5"/>
  <c r="C115" i="5"/>
  <c r="E115" i="5"/>
  <c r="F115" i="5"/>
  <c r="G115" i="5"/>
  <c r="E116" i="5"/>
  <c r="F116" i="5"/>
  <c r="G116" i="5"/>
  <c r="C117" i="5"/>
  <c r="E117" i="5"/>
  <c r="F117" i="5"/>
  <c r="G117" i="5"/>
  <c r="E118" i="5"/>
  <c r="F118" i="5"/>
  <c r="G118" i="5"/>
  <c r="E119" i="5"/>
  <c r="F119" i="5"/>
  <c r="G119" i="5"/>
  <c r="C120" i="5"/>
  <c r="E120" i="5"/>
  <c r="F120" i="5"/>
  <c r="G120" i="5"/>
  <c r="C121" i="5"/>
  <c r="E121" i="5"/>
  <c r="F121" i="5"/>
  <c r="G121" i="5"/>
  <c r="C122" i="5"/>
  <c r="E122" i="5"/>
  <c r="F122" i="5"/>
  <c r="G122" i="5"/>
  <c r="C123" i="5"/>
  <c r="E123" i="5"/>
  <c r="F123" i="5"/>
  <c r="G123" i="5"/>
  <c r="C124" i="5"/>
  <c r="E124" i="5"/>
  <c r="F124" i="5"/>
  <c r="G124" i="5"/>
  <c r="E125" i="5"/>
  <c r="F125" i="5"/>
  <c r="G125" i="5"/>
  <c r="E126" i="5"/>
  <c r="F126" i="5"/>
  <c r="F10" i="176" s="1"/>
  <c r="G126" i="5"/>
  <c r="E127" i="5"/>
  <c r="F127" i="5"/>
  <c r="G127" i="5"/>
  <c r="E100" i="5"/>
  <c r="F100" i="5"/>
  <c r="G100" i="5"/>
  <c r="C101" i="5"/>
  <c r="E101" i="5"/>
  <c r="F101" i="5"/>
  <c r="G101" i="5"/>
  <c r="E102" i="5"/>
  <c r="F102" i="5"/>
  <c r="G102" i="5"/>
  <c r="C103" i="5"/>
  <c r="E103" i="5"/>
  <c r="F103" i="5"/>
  <c r="G103" i="5"/>
  <c r="E104" i="5"/>
  <c r="F104" i="5"/>
  <c r="G104" i="5"/>
  <c r="E105" i="5"/>
  <c r="F105" i="5"/>
  <c r="G105" i="5"/>
  <c r="C106" i="5"/>
  <c r="E106" i="5"/>
  <c r="F106" i="5"/>
  <c r="G106" i="5"/>
  <c r="C107" i="5"/>
  <c r="E107" i="5"/>
  <c r="F107" i="5"/>
  <c r="G107" i="5"/>
  <c r="C108" i="5"/>
  <c r="E108" i="5"/>
  <c r="F108" i="5"/>
  <c r="G108" i="5"/>
  <c r="C109" i="5"/>
  <c r="E109" i="5"/>
  <c r="F109" i="5"/>
  <c r="G109" i="5"/>
  <c r="C110" i="5"/>
  <c r="E110" i="5"/>
  <c r="F110" i="5"/>
  <c r="G110" i="5"/>
  <c r="E111" i="5"/>
  <c r="F111" i="5"/>
  <c r="G111" i="5"/>
  <c r="E112" i="5"/>
  <c r="F112" i="5"/>
  <c r="F9" i="176" s="1"/>
  <c r="G112" i="5"/>
  <c r="E113" i="5"/>
  <c r="F113" i="5"/>
  <c r="G113" i="5"/>
  <c r="E86" i="5"/>
  <c r="F86" i="5"/>
  <c r="G86" i="5"/>
  <c r="C87" i="5"/>
  <c r="E87" i="5"/>
  <c r="F87" i="5"/>
  <c r="G87" i="5"/>
  <c r="E88" i="5"/>
  <c r="F88" i="5"/>
  <c r="G88" i="5"/>
  <c r="C89" i="5"/>
  <c r="E89" i="5"/>
  <c r="F89" i="5"/>
  <c r="G89" i="5"/>
  <c r="E90" i="5"/>
  <c r="F90" i="5"/>
  <c r="G90" i="5"/>
  <c r="E91" i="5"/>
  <c r="F91" i="5"/>
  <c r="G91" i="5"/>
  <c r="C92" i="5"/>
  <c r="E92" i="5"/>
  <c r="F92" i="5"/>
  <c r="G92" i="5"/>
  <c r="C93" i="5"/>
  <c r="E93" i="5"/>
  <c r="F93" i="5"/>
  <c r="G93" i="5"/>
  <c r="C94" i="5"/>
  <c r="E94" i="5"/>
  <c r="F94" i="5"/>
  <c r="G94" i="5"/>
  <c r="E95" i="5"/>
  <c r="F95" i="5"/>
  <c r="G95" i="5"/>
  <c r="C96" i="5"/>
  <c r="E96" i="5"/>
  <c r="F96" i="5"/>
  <c r="G96" i="5"/>
  <c r="E97" i="5"/>
  <c r="F97" i="5"/>
  <c r="G97" i="5"/>
  <c r="E98" i="5"/>
  <c r="F98" i="5"/>
  <c r="F8" i="176" s="1"/>
  <c r="G98" i="5"/>
  <c r="E99" i="5"/>
  <c r="F99" i="5"/>
  <c r="G99" i="5"/>
  <c r="C75" i="5"/>
  <c r="E75" i="5"/>
  <c r="F75" i="5"/>
  <c r="G75" i="5"/>
  <c r="E76" i="5"/>
  <c r="F76" i="5"/>
  <c r="G76" i="5"/>
  <c r="E77" i="5"/>
  <c r="F77" i="5"/>
  <c r="G77" i="5"/>
  <c r="C78" i="5"/>
  <c r="E78" i="5"/>
  <c r="F78" i="5"/>
  <c r="G78" i="5"/>
  <c r="C79" i="5"/>
  <c r="E79" i="5"/>
  <c r="F79" i="5"/>
  <c r="G79" i="5"/>
  <c r="C80" i="5"/>
  <c r="E80" i="5"/>
  <c r="F80" i="5"/>
  <c r="G80" i="5"/>
  <c r="C81" i="5"/>
  <c r="E81" i="5"/>
  <c r="F81" i="5"/>
  <c r="G81" i="5"/>
  <c r="C82" i="5"/>
  <c r="E82" i="5"/>
  <c r="F82" i="5"/>
  <c r="G82" i="5"/>
  <c r="E83" i="5"/>
  <c r="F83" i="5"/>
  <c r="G83" i="5"/>
  <c r="E84" i="5"/>
  <c r="F84" i="5"/>
  <c r="F7" i="176" s="1"/>
  <c r="G84" i="5"/>
  <c r="E85" i="5"/>
  <c r="F85" i="5"/>
  <c r="G85" i="5"/>
  <c r="E58" i="5"/>
  <c r="F58" i="5"/>
  <c r="G58" i="5"/>
  <c r="C59" i="5"/>
  <c r="E59" i="5"/>
  <c r="F59" i="5"/>
  <c r="G59" i="5"/>
  <c r="E60" i="5"/>
  <c r="F60" i="5"/>
  <c r="G60" i="5"/>
  <c r="C61" i="5"/>
  <c r="E61" i="5"/>
  <c r="F61" i="5"/>
  <c r="G61" i="5"/>
  <c r="E62" i="5"/>
  <c r="F62" i="5"/>
  <c r="G62" i="5"/>
  <c r="E63" i="5"/>
  <c r="F63" i="5"/>
  <c r="G63" i="5"/>
  <c r="C64" i="5"/>
  <c r="E64" i="5"/>
  <c r="F64" i="5"/>
  <c r="G64" i="5"/>
  <c r="C65" i="5"/>
  <c r="E65" i="5"/>
  <c r="F65" i="5"/>
  <c r="G65" i="5"/>
  <c r="C66" i="5"/>
  <c r="E66" i="5"/>
  <c r="F66" i="5"/>
  <c r="G66" i="5"/>
  <c r="C67" i="5"/>
  <c r="E67" i="5"/>
  <c r="F67" i="5"/>
  <c r="G67" i="5"/>
  <c r="C68" i="5"/>
  <c r="E68" i="5"/>
  <c r="F68" i="5"/>
  <c r="G68" i="5"/>
  <c r="E69" i="5"/>
  <c r="F69" i="5"/>
  <c r="G69" i="5"/>
  <c r="E70" i="5"/>
  <c r="F70" i="5"/>
  <c r="F6" i="176" s="1"/>
  <c r="G70" i="5"/>
  <c r="E71" i="5"/>
  <c r="F71" i="5"/>
  <c r="G71" i="5"/>
  <c r="E44" i="5"/>
  <c r="F44" i="5"/>
  <c r="G44" i="5"/>
  <c r="E45" i="5"/>
  <c r="F45" i="5"/>
  <c r="G45" i="5"/>
  <c r="E46" i="5"/>
  <c r="F46" i="5"/>
  <c r="G46" i="5"/>
  <c r="E47" i="5"/>
  <c r="F47" i="5"/>
  <c r="G47" i="5"/>
  <c r="E48" i="5"/>
  <c r="F48" i="5"/>
  <c r="G48" i="5"/>
  <c r="E49" i="5"/>
  <c r="F49" i="5"/>
  <c r="G49" i="5"/>
  <c r="C50" i="5"/>
  <c r="E50" i="5"/>
  <c r="F50" i="5"/>
  <c r="G50" i="5"/>
  <c r="C51" i="5"/>
  <c r="E51" i="5"/>
  <c r="F51" i="5"/>
  <c r="G51" i="5"/>
  <c r="C52" i="5"/>
  <c r="E52" i="5"/>
  <c r="F52" i="5"/>
  <c r="G52" i="5"/>
  <c r="C53" i="5"/>
  <c r="E53" i="5"/>
  <c r="F53" i="5"/>
  <c r="G53" i="5"/>
  <c r="C54" i="5"/>
  <c r="E54" i="5"/>
  <c r="F54" i="5"/>
  <c r="G54" i="5"/>
  <c r="E55" i="5"/>
  <c r="F55" i="5"/>
  <c r="G55" i="5"/>
  <c r="E56" i="5"/>
  <c r="F56" i="5"/>
  <c r="F5" i="176" s="1"/>
  <c r="G56" i="5"/>
  <c r="E57" i="5"/>
  <c r="F57" i="5"/>
  <c r="G57" i="5"/>
  <c r="E30" i="5"/>
  <c r="F30" i="5"/>
  <c r="G30" i="5"/>
  <c r="E31" i="5"/>
  <c r="F31" i="5"/>
  <c r="G31" i="5"/>
  <c r="E32" i="5"/>
  <c r="F32" i="5"/>
  <c r="G32" i="5"/>
  <c r="E33" i="5"/>
  <c r="F33" i="5"/>
  <c r="G33" i="5"/>
  <c r="E34" i="5"/>
  <c r="F34" i="5"/>
  <c r="G34" i="5"/>
  <c r="E35" i="5"/>
  <c r="F35" i="5"/>
  <c r="G35" i="5"/>
  <c r="C36" i="5"/>
  <c r="E36" i="5"/>
  <c r="F36" i="5"/>
  <c r="G36" i="5"/>
  <c r="C37" i="5"/>
  <c r="E37" i="5"/>
  <c r="F37" i="5"/>
  <c r="G37" i="5"/>
  <c r="C38" i="5"/>
  <c r="E38" i="5"/>
  <c r="F38" i="5"/>
  <c r="G38" i="5"/>
  <c r="E39" i="5"/>
  <c r="F39" i="5"/>
  <c r="G39" i="5"/>
  <c r="C40" i="5"/>
  <c r="E40" i="5"/>
  <c r="F40" i="5"/>
  <c r="G40" i="5"/>
  <c r="E41" i="5"/>
  <c r="F41" i="5"/>
  <c r="G41" i="5"/>
  <c r="E42" i="5"/>
  <c r="F42" i="5"/>
  <c r="F4" i="176" s="1"/>
  <c r="G42" i="5"/>
  <c r="E43" i="5"/>
  <c r="F43" i="5"/>
  <c r="G43" i="5"/>
  <c r="E16" i="5"/>
  <c r="F16" i="5"/>
  <c r="G16" i="5"/>
  <c r="C17" i="5"/>
  <c r="E17" i="5"/>
  <c r="F17" i="5"/>
  <c r="G17" i="5"/>
  <c r="E18" i="5"/>
  <c r="F18" i="5"/>
  <c r="G18" i="5"/>
  <c r="C19" i="5"/>
  <c r="E19" i="5"/>
  <c r="F19" i="5"/>
  <c r="G19" i="5"/>
  <c r="E20" i="5"/>
  <c r="F20" i="5"/>
  <c r="G20" i="5"/>
  <c r="E21" i="5"/>
  <c r="F21" i="5"/>
  <c r="G21" i="5"/>
  <c r="E22" i="5"/>
  <c r="F22" i="5"/>
  <c r="G22" i="5"/>
  <c r="E23" i="5"/>
  <c r="F23" i="5"/>
  <c r="G23" i="5"/>
  <c r="C24" i="5"/>
  <c r="E24" i="5"/>
  <c r="F24" i="5"/>
  <c r="G24" i="5"/>
  <c r="C25" i="5"/>
  <c r="E25" i="5"/>
  <c r="F25" i="5"/>
  <c r="G25" i="5"/>
  <c r="C26" i="5"/>
  <c r="E26" i="5"/>
  <c r="F26" i="5"/>
  <c r="G26" i="5"/>
  <c r="E27" i="5"/>
  <c r="F27" i="5"/>
  <c r="G27" i="5"/>
  <c r="E28" i="5"/>
  <c r="F28" i="5"/>
  <c r="F3" i="176" s="1"/>
  <c r="G28" i="5"/>
  <c r="E29" i="5"/>
  <c r="F29" i="5"/>
  <c r="G29" i="5"/>
  <c r="N22" i="178" l="1"/>
  <c r="E1" i="163" a="1"/>
  <c r="E1" i="163" s="1"/>
  <c r="A41" i="169"/>
  <c r="A39" i="169"/>
  <c r="A37" i="169"/>
  <c r="N249" i="5"/>
  <c r="N180" i="5"/>
  <c r="N178" i="5"/>
  <c r="N176" i="5"/>
  <c r="N185" i="5"/>
  <c r="N208" i="5"/>
  <c r="N206" i="5"/>
  <c r="N204" i="5"/>
  <c r="N220" i="5"/>
  <c r="N218" i="5"/>
  <c r="N247" i="5"/>
  <c r="A2" i="6" a="1"/>
  <c r="A2" i="6" s="1"/>
  <c r="A2" i="156" a="1"/>
  <c r="A2" i="156" s="1"/>
  <c r="N53" i="5"/>
  <c r="N51" i="5"/>
  <c r="N81" i="5"/>
  <c r="N79" i="5"/>
  <c r="N123" i="5"/>
  <c r="N121" i="5"/>
  <c r="N269" i="5"/>
  <c r="N292" i="5"/>
  <c r="N40" i="5"/>
  <c r="N75" i="5"/>
  <c r="N93" i="5"/>
  <c r="N117" i="5"/>
  <c r="N138" i="5"/>
  <c r="N306" i="5"/>
  <c r="N304" i="5"/>
  <c r="N302" i="5"/>
  <c r="N311" i="5"/>
  <c r="N334" i="5"/>
  <c r="N332" i="5"/>
  <c r="N330" i="5"/>
  <c r="N346" i="5"/>
  <c r="N344" i="5"/>
  <c r="N368" i="5"/>
  <c r="N366" i="5"/>
  <c r="P5" i="131"/>
  <c r="A2" i="152" a="1"/>
  <c r="A2" i="152" s="1"/>
  <c r="N263" i="5"/>
  <c r="N327" i="5"/>
  <c r="N341" i="5"/>
  <c r="N353" i="5"/>
  <c r="N376" i="5"/>
  <c r="N374" i="5"/>
  <c r="N372" i="5"/>
  <c r="N94" i="146"/>
  <c r="N107" i="146"/>
  <c r="N115" i="146"/>
  <c r="N119" i="146"/>
  <c r="N126" i="146"/>
  <c r="N131" i="146"/>
  <c r="N158" i="146"/>
  <c r="N172" i="146"/>
  <c r="N179" i="146"/>
  <c r="N182" i="146"/>
  <c r="N188" i="146"/>
  <c r="N83" i="146"/>
  <c r="N91" i="146"/>
  <c r="N92" i="146"/>
  <c r="N105" i="146"/>
  <c r="N110" i="146"/>
  <c r="N112" i="146"/>
  <c r="N124" i="146"/>
  <c r="N139" i="146"/>
  <c r="N142" i="146"/>
  <c r="N149" i="146"/>
  <c r="N157" i="146"/>
  <c r="N163" i="146"/>
  <c r="N186" i="146"/>
  <c r="N80" i="146"/>
  <c r="N88" i="146"/>
  <c r="N97" i="146"/>
  <c r="N102" i="146"/>
  <c r="N129" i="146"/>
  <c r="N146" i="146"/>
  <c r="N154" i="146"/>
  <c r="N161" i="146"/>
  <c r="N173" i="146"/>
  <c r="N183" i="146"/>
  <c r="N191" i="146"/>
  <c r="N95" i="146"/>
  <c r="N108" i="146"/>
  <c r="N113" i="146"/>
  <c r="N116" i="146"/>
  <c r="N122" i="146"/>
  <c r="N127" i="146"/>
  <c r="N134" i="146"/>
  <c r="N143" i="146"/>
  <c r="N159" i="146"/>
  <c r="N170" i="146"/>
  <c r="N180" i="146"/>
  <c r="N189" i="146"/>
  <c r="N81" i="146"/>
  <c r="N84" i="146"/>
  <c r="N89" i="146"/>
  <c r="N93" i="146"/>
  <c r="N103" i="146"/>
  <c r="N111" i="146"/>
  <c r="N120" i="146"/>
  <c r="N125" i="146"/>
  <c r="N132" i="146"/>
  <c r="N140" i="146"/>
  <c r="N147" i="146"/>
  <c r="N150" i="146"/>
  <c r="N155" i="146"/>
  <c r="N187" i="146"/>
  <c r="N86" i="146"/>
  <c r="N100" i="146"/>
  <c r="N106" i="146"/>
  <c r="N117" i="146"/>
  <c r="N118" i="146"/>
  <c r="N130" i="146"/>
  <c r="N152" i="146"/>
  <c r="N171" i="146"/>
  <c r="N174" i="146"/>
  <c r="N181" i="146"/>
  <c r="N85" i="146"/>
  <c r="N109" i="146"/>
  <c r="N114" i="146"/>
  <c r="N123" i="146"/>
  <c r="N135" i="146"/>
  <c r="N141" i="146"/>
  <c r="N151" i="146"/>
  <c r="N162" i="146"/>
  <c r="N178" i="146"/>
  <c r="N2" i="146"/>
  <c r="N82" i="146"/>
  <c r="N87" i="146"/>
  <c r="N90" i="146"/>
  <c r="N96" i="146"/>
  <c r="N101" i="146"/>
  <c r="N104" i="146"/>
  <c r="N121" i="146"/>
  <c r="N128" i="146"/>
  <c r="N133" i="146"/>
  <c r="N138" i="146"/>
  <c r="N148" i="146"/>
  <c r="N153" i="146"/>
  <c r="N156" i="146"/>
  <c r="N160" i="146"/>
  <c r="N175" i="146"/>
  <c r="N190" i="146"/>
  <c r="N94" i="5"/>
  <c r="N92" i="5"/>
  <c r="N137" i="5"/>
  <c r="N143" i="5"/>
  <c r="N166" i="5"/>
  <c r="N201" i="5"/>
  <c r="N215" i="5"/>
  <c r="N227" i="5"/>
  <c r="N250" i="5"/>
  <c r="N248" i="5"/>
  <c r="N246" i="5"/>
  <c r="N305" i="5"/>
  <c r="N303" i="5"/>
  <c r="N333" i="5"/>
  <c r="N331" i="5"/>
  <c r="N345" i="5"/>
  <c r="N369" i="5"/>
  <c r="N367" i="5"/>
  <c r="N25" i="5"/>
  <c r="N68" i="5"/>
  <c r="N66" i="5"/>
  <c r="N64" i="5"/>
  <c r="N96" i="5"/>
  <c r="N110" i="5"/>
  <c r="N108" i="5"/>
  <c r="N106" i="5"/>
  <c r="N152" i="5"/>
  <c r="N150" i="5"/>
  <c r="N145" i="5"/>
  <c r="N193" i="5"/>
  <c r="N191" i="5"/>
  <c r="N229" i="5"/>
  <c r="N241" i="5"/>
  <c r="N289" i="5"/>
  <c r="N38" i="5"/>
  <c r="N36" i="5"/>
  <c r="N103" i="5"/>
  <c r="N163" i="5"/>
  <c r="N235" i="5"/>
  <c r="N233" i="5"/>
  <c r="N277" i="5"/>
  <c r="N320" i="5"/>
  <c r="N318" i="5"/>
  <c r="N316" i="5"/>
  <c r="N54" i="5"/>
  <c r="N52" i="5"/>
  <c r="N50" i="5"/>
  <c r="N82" i="5"/>
  <c r="N80" i="5"/>
  <c r="N78" i="5"/>
  <c r="N89" i="5"/>
  <c r="N124" i="5"/>
  <c r="N122" i="5"/>
  <c r="N120" i="5"/>
  <c r="N179" i="5"/>
  <c r="N177" i="5"/>
  <c r="N207" i="5"/>
  <c r="N205" i="5"/>
  <c r="N219" i="5"/>
  <c r="N243" i="5"/>
  <c r="N264" i="5"/>
  <c r="N375" i="5"/>
  <c r="N373" i="5"/>
  <c r="N26" i="5"/>
  <c r="N24" i="5"/>
  <c r="N67" i="5"/>
  <c r="N65" i="5"/>
  <c r="N109" i="5"/>
  <c r="N107" i="5"/>
  <c r="N151" i="5"/>
  <c r="N194" i="5"/>
  <c r="N192" i="5"/>
  <c r="N190" i="5"/>
  <c r="N240" i="5"/>
  <c r="N290" i="5"/>
  <c r="N288" i="5"/>
  <c r="N313" i="5"/>
  <c r="N325" i="5"/>
  <c r="N348" i="5"/>
  <c r="N339" i="5"/>
  <c r="N362" i="5"/>
  <c r="N360" i="5"/>
  <c r="N358" i="5"/>
  <c r="N37" i="5"/>
  <c r="N114" i="5"/>
  <c r="N164" i="5"/>
  <c r="N162" i="5"/>
  <c r="N187" i="5"/>
  <c r="N199" i="5"/>
  <c r="N222" i="5"/>
  <c r="N213" i="5"/>
  <c r="N236" i="5"/>
  <c r="N234" i="5"/>
  <c r="N232" i="5"/>
  <c r="N278" i="5"/>
  <c r="N276" i="5"/>
  <c r="N271" i="5"/>
  <c r="N319" i="5"/>
  <c r="N317" i="5"/>
  <c r="N355" i="5"/>
  <c r="N361" i="5"/>
  <c r="N359" i="5"/>
  <c r="E4" i="176"/>
  <c r="E3" i="176"/>
  <c r="N87" i="5"/>
  <c r="N59" i="5"/>
  <c r="N101" i="5"/>
  <c r="E6" i="176"/>
  <c r="N61" i="5"/>
  <c r="E8" i="176"/>
  <c r="E9" i="176"/>
  <c r="N115" i="5"/>
  <c r="N19" i="5"/>
  <c r="N17" i="5"/>
  <c r="E5" i="176"/>
  <c r="E7" i="176"/>
  <c r="E10" i="176"/>
  <c r="C68" i="146"/>
  <c r="N68" i="146" s="1"/>
  <c r="C66" i="146"/>
  <c r="N66" i="146" s="1"/>
  <c r="C65" i="146"/>
  <c r="N65" i="146" s="1"/>
  <c r="C64" i="146"/>
  <c r="N64" i="146" s="1"/>
  <c r="C73" i="146"/>
  <c r="N73" i="146" s="1"/>
  <c r="C63" i="146"/>
  <c r="N63" i="146" s="1"/>
  <c r="C72" i="146"/>
  <c r="N72" i="146" s="1"/>
  <c r="C62" i="146"/>
  <c r="N62" i="146" s="1"/>
  <c r="C71" i="146"/>
  <c r="N71" i="146" s="1"/>
  <c r="C70" i="146"/>
  <c r="N70" i="146" s="1"/>
  <c r="C69" i="146"/>
  <c r="N69" i="146" s="1"/>
  <c r="C67" i="146"/>
  <c r="N67" i="146" s="1"/>
  <c r="A2" i="159" a="1"/>
  <c r="A2" i="159" s="1"/>
  <c r="A2" i="160" a="1"/>
  <c r="A2" i="160" s="1"/>
  <c r="A2" i="163" a="1"/>
  <c r="A2" i="163" s="1"/>
  <c r="A2" i="158" a="1"/>
  <c r="A2" i="158" s="1"/>
  <c r="A2" i="161" a="1"/>
  <c r="A2" i="161" s="1"/>
  <c r="A2" i="162" a="1"/>
  <c r="A2" i="162" s="1"/>
  <c r="A2" i="157" a="1"/>
  <c r="A2" i="157" s="1"/>
  <c r="A2" i="153" a="1"/>
  <c r="A2" i="153" s="1"/>
  <c r="A2" i="155" a="1"/>
  <c r="A2" i="155" s="1"/>
  <c r="P17" i="143"/>
  <c r="L34" i="141"/>
  <c r="D34" i="141"/>
  <c r="P8" i="125"/>
  <c r="Q8" i="125"/>
  <c r="Z10" i="124"/>
  <c r="Z8" i="124"/>
  <c r="AA8" i="124"/>
  <c r="Y8" i="124"/>
  <c r="Z7" i="124"/>
  <c r="AA7" i="124"/>
  <c r="Y7" i="124"/>
  <c r="Z6" i="124"/>
  <c r="AA6" i="124"/>
  <c r="Y6" i="124"/>
  <c r="B28" i="122"/>
  <c r="B26" i="122"/>
  <c r="B29" i="122" s="1"/>
  <c r="P29" i="143" l="1"/>
  <c r="P21" i="143"/>
  <c r="G2" i="7"/>
  <c r="G3" i="7"/>
  <c r="G4" i="7"/>
  <c r="G5" i="7"/>
  <c r="G6" i="7"/>
  <c r="G7" i="7"/>
  <c r="G8" i="7"/>
  <c r="G9" i="7"/>
  <c r="G1" i="7"/>
  <c r="D8" i="7"/>
  <c r="P9" i="7" s="1"/>
  <c r="B9" i="7"/>
  <c r="C8" i="7"/>
  <c r="B8" i="7"/>
  <c r="C7" i="7"/>
  <c r="C5" i="7"/>
  <c r="D4" i="7"/>
  <c r="P5" i="7" s="1"/>
  <c r="D6" i="7"/>
  <c r="P7" i="7" s="1"/>
  <c r="D2" i="7"/>
  <c r="P3" i="7" s="1"/>
  <c r="B7" i="7"/>
  <c r="C6" i="7"/>
  <c r="B6" i="7"/>
  <c r="B5" i="7"/>
  <c r="C4" i="7"/>
  <c r="B4" i="7"/>
  <c r="C3" i="7"/>
  <c r="B3" i="7"/>
  <c r="C2" i="7"/>
  <c r="B2" i="7"/>
  <c r="D16" i="121"/>
  <c r="D14" i="120"/>
  <c r="D13" i="120"/>
  <c r="D12" i="120"/>
  <c r="E16" i="117"/>
  <c r="F15" i="117"/>
  <c r="F14" i="117"/>
  <c r="D38" i="128" s="1"/>
  <c r="P39" i="128" s="1"/>
  <c r="F13" i="117"/>
  <c r="D36" i="128" s="1"/>
  <c r="P37" i="128" s="1"/>
  <c r="F12" i="117"/>
  <c r="D34" i="128" s="1"/>
  <c r="P35" i="128" s="1"/>
  <c r="F11" i="117"/>
  <c r="D32" i="128" s="1"/>
  <c r="P33" i="128" s="1"/>
  <c r="F10" i="117"/>
  <c r="D30" i="128" s="1"/>
  <c r="P31" i="128" s="1"/>
  <c r="D14" i="117"/>
  <c r="D13" i="117"/>
  <c r="D12" i="117"/>
  <c r="D6" i="128" s="1"/>
  <c r="P7" i="128" s="1"/>
  <c r="D11" i="117"/>
  <c r="D4" i="128" s="1"/>
  <c r="P5" i="128" s="1"/>
  <c r="D10" i="117"/>
  <c r="D2" i="128" s="1"/>
  <c r="P3" i="128" s="1"/>
  <c r="N2" i="178" s="1"/>
  <c r="D22" i="67"/>
  <c r="E22" i="67"/>
  <c r="F22" i="67"/>
  <c r="G22" i="67"/>
  <c r="H22" i="67"/>
  <c r="I22" i="67"/>
  <c r="J22" i="67"/>
  <c r="K22" i="67"/>
  <c r="L22" i="67"/>
  <c r="M22" i="67"/>
  <c r="N22" i="67"/>
  <c r="O22" i="67"/>
  <c r="P22" i="67"/>
  <c r="Q22" i="67"/>
  <c r="R22" i="67"/>
  <c r="S22" i="67"/>
  <c r="T22" i="67"/>
  <c r="U22" i="67"/>
  <c r="V22" i="67"/>
  <c r="W22" i="67"/>
  <c r="X22" i="67"/>
  <c r="Y22" i="67"/>
  <c r="Z22" i="67"/>
  <c r="AA22" i="67"/>
  <c r="AB22" i="67"/>
  <c r="AC22" i="67"/>
  <c r="AD22" i="67"/>
  <c r="H1" i="7"/>
  <c r="J12" i="115"/>
  <c r="D52" i="126" s="1"/>
  <c r="P53" i="126" s="1"/>
  <c r="N18" i="178" s="1"/>
  <c r="I12" i="115"/>
  <c r="D46" i="126" s="1"/>
  <c r="P47" i="126" s="1"/>
  <c r="H12" i="115"/>
  <c r="D40" i="126" s="1"/>
  <c r="P41" i="126" s="1"/>
  <c r="N15" i="178" s="1"/>
  <c r="G12" i="115"/>
  <c r="D34" i="126" s="1"/>
  <c r="P35" i="126" s="1"/>
  <c r="F12" i="115"/>
  <c r="D28" i="126" s="1"/>
  <c r="P29" i="126" s="1"/>
  <c r="N12" i="178" s="1"/>
  <c r="E12" i="115"/>
  <c r="D22" i="126" s="1"/>
  <c r="P23" i="126" s="1"/>
  <c r="N9" i="178" s="1"/>
  <c r="D12" i="115"/>
  <c r="D16" i="126" s="1"/>
  <c r="P17" i="126" s="1"/>
  <c r="J11" i="115"/>
  <c r="D50" i="126" s="1"/>
  <c r="P51" i="126" s="1"/>
  <c r="N17" i="178" s="1"/>
  <c r="I11" i="115"/>
  <c r="D44" i="126" s="1"/>
  <c r="P45" i="126" s="1"/>
  <c r="H11" i="115"/>
  <c r="D38" i="126" s="1"/>
  <c r="P39" i="126" s="1"/>
  <c r="N14" i="178" s="1"/>
  <c r="G11" i="115"/>
  <c r="D32" i="126" s="1"/>
  <c r="P33" i="126" s="1"/>
  <c r="F11" i="115"/>
  <c r="D26" i="126" s="1"/>
  <c r="P27" i="126" s="1"/>
  <c r="N11" i="178" s="1"/>
  <c r="E11" i="115"/>
  <c r="D20" i="126" s="1"/>
  <c r="P21" i="126" s="1"/>
  <c r="N8" i="178" s="1"/>
  <c r="D11" i="115"/>
  <c r="D14" i="126" s="1"/>
  <c r="P15" i="126" s="1"/>
  <c r="N5" i="178" s="1"/>
  <c r="J10" i="115"/>
  <c r="D48" i="126" s="1"/>
  <c r="P49" i="126" s="1"/>
  <c r="N16" i="178" s="1"/>
  <c r="I10" i="115"/>
  <c r="D42" i="126" s="1"/>
  <c r="P43" i="126" s="1"/>
  <c r="H10" i="115"/>
  <c r="D36" i="126" s="1"/>
  <c r="P37" i="126" s="1"/>
  <c r="N13" i="178" s="1"/>
  <c r="G10" i="115"/>
  <c r="D30" i="126" s="1"/>
  <c r="P31" i="126" s="1"/>
  <c r="F10" i="115"/>
  <c r="D24" i="126" s="1"/>
  <c r="P25" i="126" s="1"/>
  <c r="N10" i="178" s="1"/>
  <c r="E10" i="115"/>
  <c r="D18" i="126" s="1"/>
  <c r="P19" i="126" s="1"/>
  <c r="N7" i="178" s="1"/>
  <c r="D10" i="115"/>
  <c r="D12" i="126" s="1"/>
  <c r="P13" i="126" s="1"/>
  <c r="N4" i="178" s="1"/>
  <c r="D7" i="115"/>
  <c r="D10" i="126" s="1"/>
  <c r="P11" i="126" s="1"/>
  <c r="D6" i="115"/>
  <c r="D8" i="126" s="1"/>
  <c r="P9" i="126" s="1"/>
  <c r="D5" i="115"/>
  <c r="D6" i="126" s="1"/>
  <c r="P7" i="126" s="1"/>
  <c r="D4" i="115"/>
  <c r="D4" i="126" s="1"/>
  <c r="P5" i="126" s="1"/>
  <c r="D3" i="115"/>
  <c r="D2" i="126" s="1"/>
  <c r="P3" i="126" s="1"/>
  <c r="E16" i="114"/>
  <c r="E15" i="112"/>
  <c r="E3" i="5"/>
  <c r="E4" i="5"/>
  <c r="E5" i="5"/>
  <c r="E6" i="5"/>
  <c r="E7" i="5"/>
  <c r="E8" i="5"/>
  <c r="E9" i="5"/>
  <c r="E11" i="5"/>
  <c r="E12" i="5"/>
  <c r="E13" i="5"/>
  <c r="E14" i="5"/>
  <c r="E15" i="5"/>
  <c r="E2" i="5"/>
  <c r="C11" i="5"/>
  <c r="C12" i="5"/>
  <c r="F3" i="5"/>
  <c r="G3" i="5"/>
  <c r="F4" i="5"/>
  <c r="G4" i="5"/>
  <c r="F5" i="5"/>
  <c r="G5" i="5"/>
  <c r="F6" i="5"/>
  <c r="G6" i="5"/>
  <c r="F7" i="5"/>
  <c r="G7" i="5"/>
  <c r="F8" i="5"/>
  <c r="G8" i="5"/>
  <c r="F9" i="5"/>
  <c r="G9" i="5"/>
  <c r="F11" i="5"/>
  <c r="G11" i="5"/>
  <c r="F12" i="5"/>
  <c r="G12" i="5"/>
  <c r="F13" i="5"/>
  <c r="G13" i="5"/>
  <c r="F14" i="5"/>
  <c r="F2" i="176" s="1"/>
  <c r="G14" i="5"/>
  <c r="F15" i="5"/>
  <c r="G15" i="5"/>
  <c r="G2" i="5"/>
  <c r="F2" i="5"/>
  <c r="AD25" i="67"/>
  <c r="C379" i="5" s="1"/>
  <c r="N379" i="5" s="1"/>
  <c r="AD24" i="67"/>
  <c r="V73" i="57" s="1"/>
  <c r="AD23" i="67"/>
  <c r="AD21" i="67"/>
  <c r="C378" i="5" s="1"/>
  <c r="N378" i="5" s="1"/>
  <c r="AD20" i="67"/>
  <c r="C377" i="5" s="1"/>
  <c r="N377" i="5" s="1"/>
  <c r="AD11" i="67"/>
  <c r="AD9" i="67"/>
  <c r="U73" i="57" s="1"/>
  <c r="AD8" i="67"/>
  <c r="C371" i="5" s="1"/>
  <c r="N371" i="5" s="1"/>
  <c r="AD7" i="67"/>
  <c r="C370" i="5" s="1"/>
  <c r="N370" i="5" s="1"/>
  <c r="U25" i="67"/>
  <c r="C253" i="5" s="1"/>
  <c r="N253" i="5" s="1"/>
  <c r="U24" i="67"/>
  <c r="T73" i="57" s="1"/>
  <c r="U23" i="67"/>
  <c r="U21" i="67"/>
  <c r="C252" i="5" s="1"/>
  <c r="N252" i="5" s="1"/>
  <c r="U20" i="67"/>
  <c r="C251" i="5" s="1"/>
  <c r="N251" i="5" s="1"/>
  <c r="U11" i="67"/>
  <c r="U9" i="67"/>
  <c r="S73" i="57" s="1"/>
  <c r="U8" i="67"/>
  <c r="U7" i="67"/>
  <c r="C244" i="5" s="1"/>
  <c r="N244" i="5" s="1"/>
  <c r="L7" i="67"/>
  <c r="C118" i="5" s="1"/>
  <c r="N118" i="5" s="1"/>
  <c r="L25" i="67"/>
  <c r="C127" i="5" s="1"/>
  <c r="N127" i="5" s="1"/>
  <c r="L24" i="67"/>
  <c r="R73" i="57" s="1"/>
  <c r="L23" i="67"/>
  <c r="L21" i="67"/>
  <c r="C126" i="5" s="1"/>
  <c r="N126" i="5" s="1"/>
  <c r="N10" i="176" s="1"/>
  <c r="L20" i="67"/>
  <c r="C125" i="5" s="1"/>
  <c r="N125" i="5" s="1"/>
  <c r="L11" i="67"/>
  <c r="L9" i="67"/>
  <c r="Q73" i="57" s="1"/>
  <c r="L8" i="67"/>
  <c r="AC25" i="67"/>
  <c r="C365" i="5" s="1"/>
  <c r="N365" i="5" s="1"/>
  <c r="AC24" i="67"/>
  <c r="V11" i="57" s="1"/>
  <c r="AC23" i="67"/>
  <c r="AC21" i="67"/>
  <c r="C364" i="5" s="1"/>
  <c r="N364" i="5" s="1"/>
  <c r="AC20" i="67"/>
  <c r="C363" i="5" s="1"/>
  <c r="N363" i="5" s="1"/>
  <c r="AC11" i="67"/>
  <c r="AC10" i="67"/>
  <c r="AC9" i="67"/>
  <c r="U11" i="57" s="1"/>
  <c r="AC8" i="67"/>
  <c r="C357" i="5" s="1"/>
  <c r="N357" i="5" s="1"/>
  <c r="AC7" i="67"/>
  <c r="C356" i="5" s="1"/>
  <c r="N356" i="5" s="1"/>
  <c r="AC5" i="67"/>
  <c r="C354" i="5" s="1"/>
  <c r="N354" i="5" s="1"/>
  <c r="AC3" i="67"/>
  <c r="C352" i="5" s="1"/>
  <c r="N352" i="5" s="1"/>
  <c r="T25" i="67"/>
  <c r="C239" i="5" s="1"/>
  <c r="N239" i="5" s="1"/>
  <c r="T24" i="67"/>
  <c r="T11" i="57" s="1"/>
  <c r="T23" i="67"/>
  <c r="T21" i="67"/>
  <c r="C238" i="5" s="1"/>
  <c r="N238" i="5" s="1"/>
  <c r="T20" i="67"/>
  <c r="C237" i="5" s="1"/>
  <c r="N237" i="5" s="1"/>
  <c r="T11" i="67"/>
  <c r="T10" i="67"/>
  <c r="T9" i="67"/>
  <c r="S11" i="57" s="1"/>
  <c r="T8" i="67"/>
  <c r="C231" i="5" s="1"/>
  <c r="N231" i="5" s="1"/>
  <c r="T7" i="67"/>
  <c r="C230" i="5" s="1"/>
  <c r="N230" i="5" s="1"/>
  <c r="T5" i="67"/>
  <c r="C228" i="5" s="1"/>
  <c r="N228" i="5" s="1"/>
  <c r="T3" i="67"/>
  <c r="C226" i="5" s="1"/>
  <c r="N226" i="5" s="1"/>
  <c r="K7" i="67"/>
  <c r="C104" i="5" s="1"/>
  <c r="N104" i="5" s="1"/>
  <c r="K25" i="67"/>
  <c r="C113" i="5" s="1"/>
  <c r="N113" i="5" s="1"/>
  <c r="K24" i="67"/>
  <c r="R11" i="57" s="1"/>
  <c r="K23" i="67"/>
  <c r="K21" i="67"/>
  <c r="C112" i="5" s="1"/>
  <c r="N112" i="5" s="1"/>
  <c r="N9" i="176" s="1"/>
  <c r="K20" i="67"/>
  <c r="C111" i="5" s="1"/>
  <c r="N111" i="5" s="1"/>
  <c r="K11" i="67"/>
  <c r="A11" i="67"/>
  <c r="K10" i="67"/>
  <c r="K9" i="67"/>
  <c r="Q11" i="57" s="1"/>
  <c r="K8" i="67"/>
  <c r="C105" i="5" s="1"/>
  <c r="N105" i="5" s="1"/>
  <c r="K5" i="67"/>
  <c r="C102" i="5" s="1"/>
  <c r="N102" i="5" s="1"/>
  <c r="K3" i="67"/>
  <c r="C100" i="5" s="1"/>
  <c r="N100" i="5" s="1"/>
  <c r="AB25" i="67"/>
  <c r="C351" i="5" s="1"/>
  <c r="N351" i="5" s="1"/>
  <c r="AB24" i="67"/>
  <c r="V15" i="57" s="1"/>
  <c r="AB23" i="67"/>
  <c r="AB21" i="67"/>
  <c r="C350" i="5" s="1"/>
  <c r="N350" i="5" s="1"/>
  <c r="AB20" i="67"/>
  <c r="C349" i="5" s="1"/>
  <c r="N349" i="5" s="1"/>
  <c r="AB18" i="67"/>
  <c r="C347" i="5" s="1"/>
  <c r="N347" i="5" s="1"/>
  <c r="AB9" i="67"/>
  <c r="U15" i="57" s="1"/>
  <c r="AB8" i="67"/>
  <c r="C343" i="5" s="1"/>
  <c r="N343" i="5" s="1"/>
  <c r="AB7" i="67"/>
  <c r="C342" i="5" s="1"/>
  <c r="N342" i="5" s="1"/>
  <c r="AB5" i="67"/>
  <c r="C340" i="5" s="1"/>
  <c r="N340" i="5" s="1"/>
  <c r="AB3" i="67"/>
  <c r="C338" i="5" s="1"/>
  <c r="N338" i="5" s="1"/>
  <c r="S25" i="67"/>
  <c r="C225" i="5" s="1"/>
  <c r="N225" i="5" s="1"/>
  <c r="S24" i="67"/>
  <c r="T15" i="57" s="1"/>
  <c r="S23" i="67"/>
  <c r="S21" i="67"/>
  <c r="C224" i="5" s="1"/>
  <c r="N224" i="5" s="1"/>
  <c r="S20" i="67"/>
  <c r="C223" i="5" s="1"/>
  <c r="N223" i="5" s="1"/>
  <c r="S18" i="67"/>
  <c r="C221" i="5" s="1"/>
  <c r="N221" i="5" s="1"/>
  <c r="S9" i="67"/>
  <c r="S15" i="57" s="1"/>
  <c r="S8" i="67"/>
  <c r="C217" i="5" s="1"/>
  <c r="N217" i="5" s="1"/>
  <c r="S7" i="67"/>
  <c r="C216" i="5" s="1"/>
  <c r="N216" i="5" s="1"/>
  <c r="S5" i="67"/>
  <c r="C214" i="5" s="1"/>
  <c r="N214" i="5" s="1"/>
  <c r="S3" i="67"/>
  <c r="C212" i="5" s="1"/>
  <c r="N212" i="5" s="1"/>
  <c r="J7" i="67"/>
  <c r="C90" i="5" s="1"/>
  <c r="N90" i="5" s="1"/>
  <c r="J25" i="67"/>
  <c r="C99" i="5" s="1"/>
  <c r="N99" i="5" s="1"/>
  <c r="J24" i="67"/>
  <c r="R15" i="57" s="1"/>
  <c r="J23" i="67"/>
  <c r="J21" i="67"/>
  <c r="C98" i="5" s="1"/>
  <c r="N98" i="5" s="1"/>
  <c r="N8" i="176" s="1"/>
  <c r="J20" i="67"/>
  <c r="C97" i="5" s="1"/>
  <c r="N97" i="5" s="1"/>
  <c r="J18" i="67"/>
  <c r="C95" i="5" s="1"/>
  <c r="N95" i="5" s="1"/>
  <c r="J9" i="67"/>
  <c r="Q15" i="57" s="1"/>
  <c r="J8" i="67"/>
  <c r="C91" i="5" s="1"/>
  <c r="N91" i="5" s="1"/>
  <c r="J5" i="67"/>
  <c r="C88" i="5" s="1"/>
  <c r="N88" i="5" s="1"/>
  <c r="J3" i="67"/>
  <c r="C86" i="5" s="1"/>
  <c r="N86" i="5" s="1"/>
  <c r="AA25" i="67"/>
  <c r="C337" i="5" s="1"/>
  <c r="N337" i="5" s="1"/>
  <c r="AA24" i="67"/>
  <c r="V72" i="57" s="1"/>
  <c r="AA23" i="67"/>
  <c r="AA21" i="67"/>
  <c r="C336" i="5" s="1"/>
  <c r="N336" i="5" s="1"/>
  <c r="AA20" i="67"/>
  <c r="C335" i="5" s="1"/>
  <c r="N335" i="5" s="1"/>
  <c r="AA9" i="67"/>
  <c r="U72" i="57" s="1"/>
  <c r="AA8" i="67"/>
  <c r="C329" i="5" s="1"/>
  <c r="N329" i="5" s="1"/>
  <c r="AA7" i="67"/>
  <c r="C328" i="5" s="1"/>
  <c r="N328" i="5" s="1"/>
  <c r="AA5" i="67"/>
  <c r="C326" i="5" s="1"/>
  <c r="N326" i="5" s="1"/>
  <c r="AA3" i="67"/>
  <c r="C324" i="5" s="1"/>
  <c r="N324" i="5" s="1"/>
  <c r="R25" i="67"/>
  <c r="C211" i="5" s="1"/>
  <c r="N211" i="5" s="1"/>
  <c r="R24" i="67"/>
  <c r="T72" i="57" s="1"/>
  <c r="R23" i="67"/>
  <c r="R21" i="67"/>
  <c r="C210" i="5" s="1"/>
  <c r="N210" i="5" s="1"/>
  <c r="R20" i="67"/>
  <c r="C209" i="5" s="1"/>
  <c r="N209" i="5" s="1"/>
  <c r="R9" i="67"/>
  <c r="S72" i="57" s="1"/>
  <c r="R8" i="67"/>
  <c r="C203" i="5" s="1"/>
  <c r="N203" i="5" s="1"/>
  <c r="R7" i="67"/>
  <c r="C202" i="5" s="1"/>
  <c r="N202" i="5" s="1"/>
  <c r="R5" i="67"/>
  <c r="C200" i="5" s="1"/>
  <c r="N200" i="5" s="1"/>
  <c r="R3" i="67"/>
  <c r="C198" i="5" s="1"/>
  <c r="N198" i="5" s="1"/>
  <c r="I7" i="67"/>
  <c r="C76" i="5" s="1"/>
  <c r="N76" i="5" s="1"/>
  <c r="I25" i="67"/>
  <c r="C85" i="5" s="1"/>
  <c r="N85" i="5" s="1"/>
  <c r="I24" i="67"/>
  <c r="R72" i="57" s="1"/>
  <c r="I23" i="67"/>
  <c r="I21" i="67"/>
  <c r="C84" i="5" s="1"/>
  <c r="N84" i="5" s="1"/>
  <c r="N7" i="176" s="1"/>
  <c r="I20" i="67"/>
  <c r="C83" i="5" s="1"/>
  <c r="N83" i="5" s="1"/>
  <c r="I9" i="67"/>
  <c r="Q72" i="57" s="1"/>
  <c r="I8" i="67"/>
  <c r="C77" i="5" s="1"/>
  <c r="N77" i="5" s="1"/>
  <c r="I5" i="67"/>
  <c r="C74" i="5" s="1"/>
  <c r="N74" i="5" s="1"/>
  <c r="I3" i="67"/>
  <c r="C72" i="5" s="1"/>
  <c r="N72" i="5" s="1"/>
  <c r="Z25" i="67"/>
  <c r="C323" i="5" s="1"/>
  <c r="N323" i="5" s="1"/>
  <c r="Z24" i="67"/>
  <c r="V79" i="57" s="1"/>
  <c r="Z23" i="67"/>
  <c r="Z21" i="67"/>
  <c r="C322" i="5" s="1"/>
  <c r="N322" i="5" s="1"/>
  <c r="Z20" i="67"/>
  <c r="C321" i="5" s="1"/>
  <c r="N321" i="5" s="1"/>
  <c r="Z9" i="67"/>
  <c r="U79" i="57" s="1"/>
  <c r="Z8" i="67"/>
  <c r="C315" i="5" s="1"/>
  <c r="N315" i="5" s="1"/>
  <c r="Z7" i="67"/>
  <c r="C314" i="5" s="1"/>
  <c r="N314" i="5" s="1"/>
  <c r="Z5" i="67"/>
  <c r="C312" i="5" s="1"/>
  <c r="N312" i="5" s="1"/>
  <c r="Z3" i="67"/>
  <c r="C310" i="5" s="1"/>
  <c r="N310" i="5" s="1"/>
  <c r="Q25" i="67"/>
  <c r="C197" i="5" s="1"/>
  <c r="N197" i="5" s="1"/>
  <c r="Q24" i="67"/>
  <c r="T79" i="57" s="1"/>
  <c r="Q23" i="67"/>
  <c r="Q21" i="67"/>
  <c r="C196" i="5" s="1"/>
  <c r="N196" i="5" s="1"/>
  <c r="Q20" i="67"/>
  <c r="C195" i="5" s="1"/>
  <c r="N195" i="5" s="1"/>
  <c r="Q9" i="67"/>
  <c r="S79" i="57" s="1"/>
  <c r="Q8" i="67"/>
  <c r="C189" i="5" s="1"/>
  <c r="N189" i="5" s="1"/>
  <c r="Q7" i="67"/>
  <c r="C188" i="5" s="1"/>
  <c r="N188" i="5" s="1"/>
  <c r="Q5" i="67"/>
  <c r="C186" i="5" s="1"/>
  <c r="N186" i="5" s="1"/>
  <c r="Q3" i="67"/>
  <c r="C184" i="5" s="1"/>
  <c r="N184" i="5" s="1"/>
  <c r="H7" i="67"/>
  <c r="C62" i="5" s="1"/>
  <c r="N62" i="5" s="1"/>
  <c r="H25" i="67"/>
  <c r="C71" i="5" s="1"/>
  <c r="N71" i="5" s="1"/>
  <c r="H24" i="67"/>
  <c r="R79" i="57" s="1"/>
  <c r="H21" i="67"/>
  <c r="C70" i="5" s="1"/>
  <c r="N70" i="5" s="1"/>
  <c r="N6" i="176" s="1"/>
  <c r="H23" i="67"/>
  <c r="H20" i="67"/>
  <c r="C69" i="5" s="1"/>
  <c r="N69" i="5" s="1"/>
  <c r="H9" i="67"/>
  <c r="Q79" i="57" s="1"/>
  <c r="H8" i="67"/>
  <c r="C63" i="5" s="1"/>
  <c r="N63" i="5" s="1"/>
  <c r="H5" i="67"/>
  <c r="C60" i="5" s="1"/>
  <c r="N60" i="5" s="1"/>
  <c r="H3" i="67"/>
  <c r="C58" i="5" s="1"/>
  <c r="N58" i="5" s="1"/>
  <c r="Y25" i="67"/>
  <c r="C309" i="5" s="1"/>
  <c r="N309" i="5" s="1"/>
  <c r="Y24" i="67"/>
  <c r="V5" i="57" s="1"/>
  <c r="Y23" i="67"/>
  <c r="Y21" i="67"/>
  <c r="C308" i="5" s="1"/>
  <c r="N308" i="5" s="1"/>
  <c r="Y20" i="67"/>
  <c r="C307" i="5" s="1"/>
  <c r="N307" i="5" s="1"/>
  <c r="Y10" i="67"/>
  <c r="Y9" i="67"/>
  <c r="U5" i="57" s="1"/>
  <c r="Y8" i="67"/>
  <c r="C301" i="5" s="1"/>
  <c r="N301" i="5" s="1"/>
  <c r="Y7" i="67"/>
  <c r="C300" i="5" s="1"/>
  <c r="N300" i="5" s="1"/>
  <c r="Y6" i="67"/>
  <c r="C299" i="5" s="1"/>
  <c r="N299" i="5" s="1"/>
  <c r="Y4" i="67"/>
  <c r="C297" i="5" s="1"/>
  <c r="N297" i="5" s="1"/>
  <c r="Y3" i="67"/>
  <c r="P25" i="67"/>
  <c r="C183" i="5" s="1"/>
  <c r="N183" i="5" s="1"/>
  <c r="P24" i="67"/>
  <c r="T5" i="57" s="1"/>
  <c r="P23" i="67"/>
  <c r="P21" i="67"/>
  <c r="C182" i="5" s="1"/>
  <c r="N182" i="5" s="1"/>
  <c r="P20" i="67"/>
  <c r="C181" i="5" s="1"/>
  <c r="N181" i="5" s="1"/>
  <c r="P10" i="67"/>
  <c r="P9" i="67"/>
  <c r="S5" i="57" s="1"/>
  <c r="P8" i="67"/>
  <c r="C175" i="5" s="1"/>
  <c r="N175" i="5" s="1"/>
  <c r="P7" i="67"/>
  <c r="C174" i="5" s="1"/>
  <c r="N174" i="5" s="1"/>
  <c r="P6" i="67"/>
  <c r="C173" i="5" s="1"/>
  <c r="N173" i="5" s="1"/>
  <c r="P4" i="67"/>
  <c r="P3" i="67"/>
  <c r="C170" i="5" s="1"/>
  <c r="N170" i="5" s="1"/>
  <c r="G7" i="67"/>
  <c r="C48" i="5" s="1"/>
  <c r="N48" i="5" s="1"/>
  <c r="G25" i="67"/>
  <c r="C57" i="5" s="1"/>
  <c r="N57" i="5" s="1"/>
  <c r="G24" i="67"/>
  <c r="G23" i="67"/>
  <c r="G21" i="67"/>
  <c r="C56" i="5" s="1"/>
  <c r="N56" i="5" s="1"/>
  <c r="N5" i="176" s="1"/>
  <c r="G20" i="67"/>
  <c r="C55" i="5" s="1"/>
  <c r="N55" i="5" s="1"/>
  <c r="G10" i="67"/>
  <c r="G9" i="67"/>
  <c r="G8" i="67"/>
  <c r="C49" i="5" s="1"/>
  <c r="N49" i="5" s="1"/>
  <c r="G5" i="67"/>
  <c r="C46" i="5" s="1"/>
  <c r="N46" i="5" s="1"/>
  <c r="G6" i="67"/>
  <c r="C47" i="5" s="1"/>
  <c r="N47" i="5" s="1"/>
  <c r="G4" i="67"/>
  <c r="C45" i="5" s="1"/>
  <c r="N45" i="5" s="1"/>
  <c r="G3" i="67"/>
  <c r="C44" i="5" s="1"/>
  <c r="N44" i="5" s="1"/>
  <c r="X25" i="67"/>
  <c r="C295" i="5" s="1"/>
  <c r="N295" i="5" s="1"/>
  <c r="X24" i="67"/>
  <c r="V13" i="57" s="1"/>
  <c r="X23" i="67"/>
  <c r="X21" i="67"/>
  <c r="C294" i="5" s="1"/>
  <c r="N294" i="5" s="1"/>
  <c r="X20" i="67"/>
  <c r="C293" i="5" s="1"/>
  <c r="N293" i="5" s="1"/>
  <c r="X18" i="67"/>
  <c r="C291" i="5" s="1"/>
  <c r="N291" i="5" s="1"/>
  <c r="X10" i="67"/>
  <c r="X9" i="67"/>
  <c r="U13" i="57" s="1"/>
  <c r="X8" i="67"/>
  <c r="C287" i="5" s="1"/>
  <c r="N287" i="5" s="1"/>
  <c r="X7" i="67"/>
  <c r="C286" i="5" s="1"/>
  <c r="N286" i="5" s="1"/>
  <c r="X6" i="67"/>
  <c r="C285" i="5" s="1"/>
  <c r="N285" i="5" s="1"/>
  <c r="X5" i="67"/>
  <c r="C284" i="5" s="1"/>
  <c r="N284" i="5" s="1"/>
  <c r="X4" i="67"/>
  <c r="C283" i="5" s="1"/>
  <c r="N283" i="5" s="1"/>
  <c r="X3" i="67"/>
  <c r="C282" i="5" s="1"/>
  <c r="N282" i="5" s="1"/>
  <c r="O25" i="67"/>
  <c r="C169" i="5" s="1"/>
  <c r="N169" i="5" s="1"/>
  <c r="O24" i="67"/>
  <c r="T13" i="57" s="1"/>
  <c r="O23" i="67"/>
  <c r="O21" i="67"/>
  <c r="C168" i="5" s="1"/>
  <c r="N168" i="5" s="1"/>
  <c r="O20" i="67"/>
  <c r="C167" i="5" s="1"/>
  <c r="N167" i="5" s="1"/>
  <c r="O18" i="67"/>
  <c r="C165" i="5" s="1"/>
  <c r="N165" i="5" s="1"/>
  <c r="O10" i="67"/>
  <c r="O9" i="67"/>
  <c r="S13" i="57" s="1"/>
  <c r="O8" i="67"/>
  <c r="C161" i="5" s="1"/>
  <c r="N161" i="5" s="1"/>
  <c r="O7" i="67"/>
  <c r="C160" i="5" s="1"/>
  <c r="N160" i="5" s="1"/>
  <c r="O6" i="67"/>
  <c r="C159" i="5" s="1"/>
  <c r="N159" i="5" s="1"/>
  <c r="O5" i="67"/>
  <c r="C158" i="5" s="1"/>
  <c r="N158" i="5" s="1"/>
  <c r="O4" i="67"/>
  <c r="C157" i="5" s="1"/>
  <c r="N157" i="5" s="1"/>
  <c r="O3" i="67"/>
  <c r="C156" i="5" s="1"/>
  <c r="N156" i="5" s="1"/>
  <c r="F7" i="67"/>
  <c r="C34" i="5" s="1"/>
  <c r="N34" i="5" s="1"/>
  <c r="F25" i="67"/>
  <c r="C43" i="5" s="1"/>
  <c r="N43" i="5" s="1"/>
  <c r="F24" i="67"/>
  <c r="R13" i="57" s="1"/>
  <c r="F21" i="67"/>
  <c r="C42" i="5" s="1"/>
  <c r="N42" i="5" s="1"/>
  <c r="N4" i="176" s="1"/>
  <c r="F23" i="67"/>
  <c r="F20" i="67"/>
  <c r="C41" i="5" s="1"/>
  <c r="N41" i="5" s="1"/>
  <c r="A18" i="67"/>
  <c r="F18" i="67"/>
  <c r="C39" i="5" s="1"/>
  <c r="N39" i="5" s="1"/>
  <c r="A17" i="67"/>
  <c r="B17" i="67"/>
  <c r="F10" i="67"/>
  <c r="F9" i="67"/>
  <c r="Q13" i="57" s="1"/>
  <c r="F8" i="67"/>
  <c r="C35" i="5" s="1"/>
  <c r="N35" i="5" s="1"/>
  <c r="F6" i="67"/>
  <c r="C33" i="5" s="1"/>
  <c r="N33" i="5" s="1"/>
  <c r="F4" i="67"/>
  <c r="C31" i="5" s="1"/>
  <c r="N31" i="5" s="1"/>
  <c r="F3" i="67"/>
  <c r="W25" i="67"/>
  <c r="C281" i="5" s="1"/>
  <c r="N281" i="5" s="1"/>
  <c r="W24" i="67"/>
  <c r="V22" i="57" s="1"/>
  <c r="W23" i="67"/>
  <c r="W21" i="67"/>
  <c r="C280" i="5" s="1"/>
  <c r="N280" i="5" s="1"/>
  <c r="W20" i="67"/>
  <c r="C279" i="5" s="1"/>
  <c r="N279" i="5" s="1"/>
  <c r="W16" i="67"/>
  <c r="C275" i="5" s="1"/>
  <c r="N275" i="5" s="1"/>
  <c r="W13" i="67"/>
  <c r="C274" i="5" s="1"/>
  <c r="N274" i="5" s="1"/>
  <c r="W9" i="67"/>
  <c r="U22" i="57" s="1"/>
  <c r="W8" i="67"/>
  <c r="C273" i="5" s="1"/>
  <c r="N273" i="5" s="1"/>
  <c r="W7" i="67"/>
  <c r="C272" i="5" s="1"/>
  <c r="N272" i="5" s="1"/>
  <c r="W5" i="67"/>
  <c r="C270" i="5" s="1"/>
  <c r="N270" i="5" s="1"/>
  <c r="W3" i="67"/>
  <c r="C268" i="5" s="1"/>
  <c r="N268" i="5" s="1"/>
  <c r="N25" i="67"/>
  <c r="C155" i="5" s="1"/>
  <c r="N155" i="5" s="1"/>
  <c r="N24" i="67"/>
  <c r="T22" i="57" s="1"/>
  <c r="N23" i="67"/>
  <c r="N21" i="67"/>
  <c r="C154" i="5" s="1"/>
  <c r="N154" i="5" s="1"/>
  <c r="N20" i="67"/>
  <c r="C153" i="5" s="1"/>
  <c r="N153" i="5" s="1"/>
  <c r="N16" i="67"/>
  <c r="C149" i="5" s="1"/>
  <c r="N149" i="5" s="1"/>
  <c r="N13" i="67"/>
  <c r="C148" i="5" s="1"/>
  <c r="N148" i="5" s="1"/>
  <c r="N9" i="67"/>
  <c r="S22" i="57" s="1"/>
  <c r="N8" i="67"/>
  <c r="C147" i="5" s="1"/>
  <c r="N147" i="5" s="1"/>
  <c r="N7" i="67"/>
  <c r="C146" i="5" s="1"/>
  <c r="N146" i="5" s="1"/>
  <c r="N5" i="67"/>
  <c r="C144" i="5" s="1"/>
  <c r="N144" i="5" s="1"/>
  <c r="N3" i="67"/>
  <c r="C142" i="5" s="1"/>
  <c r="N142" i="5" s="1"/>
  <c r="E7" i="67"/>
  <c r="C20" i="5" s="1"/>
  <c r="N20" i="5" s="1"/>
  <c r="E25" i="67"/>
  <c r="C29" i="5" s="1"/>
  <c r="N29" i="5" s="1"/>
  <c r="E24" i="67"/>
  <c r="R22" i="57" s="1"/>
  <c r="E21" i="67"/>
  <c r="C28" i="5" s="1"/>
  <c r="N28" i="5" s="1"/>
  <c r="N3" i="176" s="1"/>
  <c r="E23" i="67"/>
  <c r="E20" i="67"/>
  <c r="C27" i="5" s="1"/>
  <c r="N27" i="5" s="1"/>
  <c r="E16" i="67"/>
  <c r="C23" i="5" s="1"/>
  <c r="N23" i="5" s="1"/>
  <c r="A19" i="67"/>
  <c r="B19" i="67"/>
  <c r="E13" i="67"/>
  <c r="C22" i="5" s="1"/>
  <c r="N22" i="5" s="1"/>
  <c r="E9" i="67"/>
  <c r="Q22" i="57" s="1"/>
  <c r="E8" i="67"/>
  <c r="C21" i="5" s="1"/>
  <c r="N21" i="5" s="1"/>
  <c r="E5" i="67"/>
  <c r="C18" i="5" s="1"/>
  <c r="N18" i="5" s="1"/>
  <c r="E3" i="67"/>
  <c r="C16" i="5" s="1"/>
  <c r="N16" i="5" s="1"/>
  <c r="V25" i="67"/>
  <c r="C267" i="5" s="1"/>
  <c r="N267" i="5" s="1"/>
  <c r="V24" i="67"/>
  <c r="V9" i="57" s="1"/>
  <c r="V23" i="67"/>
  <c r="V21" i="67"/>
  <c r="C266" i="5" s="1"/>
  <c r="N266" i="5" s="1"/>
  <c r="V20" i="67"/>
  <c r="C265" i="5" s="1"/>
  <c r="N265" i="5" s="1"/>
  <c r="V16" i="67"/>
  <c r="C261" i="5" s="1"/>
  <c r="N261" i="5" s="1"/>
  <c r="V14" i="67"/>
  <c r="V13" i="67"/>
  <c r="C260" i="5" s="1"/>
  <c r="N260" i="5" s="1"/>
  <c r="V12" i="67"/>
  <c r="V9" i="67"/>
  <c r="U9" i="57" s="1"/>
  <c r="V8" i="67"/>
  <c r="C259" i="5" s="1"/>
  <c r="N259" i="5" s="1"/>
  <c r="V7" i="67"/>
  <c r="C258" i="5" s="1"/>
  <c r="N258" i="5" s="1"/>
  <c r="V6" i="67"/>
  <c r="C257" i="5" s="1"/>
  <c r="N257" i="5" s="1"/>
  <c r="V5" i="67"/>
  <c r="C256" i="5" s="1"/>
  <c r="N256" i="5" s="1"/>
  <c r="V4" i="67"/>
  <c r="C255" i="5" s="1"/>
  <c r="N255" i="5" s="1"/>
  <c r="V3" i="67"/>
  <c r="C254" i="5" s="1"/>
  <c r="N254" i="5" s="1"/>
  <c r="M25" i="67"/>
  <c r="C141" i="5" s="1"/>
  <c r="N141" i="5" s="1"/>
  <c r="M24" i="67"/>
  <c r="T9" i="57" s="1"/>
  <c r="M23" i="67"/>
  <c r="M21" i="67"/>
  <c r="C140" i="5" s="1"/>
  <c r="N140" i="5" s="1"/>
  <c r="M20" i="67"/>
  <c r="C139" i="5" s="1"/>
  <c r="N139" i="5" s="1"/>
  <c r="M16" i="67"/>
  <c r="C135" i="5" s="1"/>
  <c r="N135" i="5" s="1"/>
  <c r="M14" i="67"/>
  <c r="M13" i="67"/>
  <c r="C134" i="5" s="1"/>
  <c r="N134" i="5" s="1"/>
  <c r="M12" i="67"/>
  <c r="M9" i="67"/>
  <c r="S9" i="57" s="1"/>
  <c r="M8" i="67"/>
  <c r="C133" i="5" s="1"/>
  <c r="N133" i="5" s="1"/>
  <c r="M7" i="67"/>
  <c r="C132" i="5" s="1"/>
  <c r="N132" i="5" s="1"/>
  <c r="M6" i="67"/>
  <c r="C131" i="5" s="1"/>
  <c r="N131" i="5" s="1"/>
  <c r="M5" i="67"/>
  <c r="C130" i="5" s="1"/>
  <c r="N130" i="5" s="1"/>
  <c r="M4" i="67"/>
  <c r="C129" i="5" s="1"/>
  <c r="N129" i="5" s="1"/>
  <c r="M3" i="67"/>
  <c r="C128" i="5" s="1"/>
  <c r="N128" i="5" s="1"/>
  <c r="D24" i="67"/>
  <c r="R9" i="57" s="1"/>
  <c r="D7" i="67"/>
  <c r="C6" i="5" s="1"/>
  <c r="D25" i="67"/>
  <c r="C15" i="5" s="1"/>
  <c r="A25" i="67"/>
  <c r="D21" i="67"/>
  <c r="C14" i="5" s="1"/>
  <c r="D23" i="67"/>
  <c r="D20" i="67"/>
  <c r="C13" i="5" s="1"/>
  <c r="A21" i="67"/>
  <c r="B21" i="67"/>
  <c r="A20" i="67"/>
  <c r="B20" i="67"/>
  <c r="D16" i="67"/>
  <c r="C9" i="5" s="1"/>
  <c r="A16" i="67"/>
  <c r="B16" i="67"/>
  <c r="D14" i="67"/>
  <c r="D12" i="67"/>
  <c r="D13" i="67"/>
  <c r="C8" i="5" s="1"/>
  <c r="A13" i="67"/>
  <c r="B13" i="67"/>
  <c r="D9" i="67"/>
  <c r="Q9" i="57" s="1"/>
  <c r="D8" i="67"/>
  <c r="C7" i="5" s="1"/>
  <c r="B8" i="67"/>
  <c r="A8" i="67"/>
  <c r="B7" i="67"/>
  <c r="D6" i="67"/>
  <c r="C5" i="5" s="1"/>
  <c r="D5" i="67"/>
  <c r="C4" i="5" s="1"/>
  <c r="D4" i="67"/>
  <c r="C3" i="5" s="1"/>
  <c r="B5" i="67"/>
  <c r="B74" i="5" s="1"/>
  <c r="A5" i="67"/>
  <c r="A74" i="5" s="1"/>
  <c r="A6" i="67"/>
  <c r="B4" i="67"/>
  <c r="B73" i="5" s="1"/>
  <c r="A73" i="5"/>
  <c r="D3" i="67"/>
  <c r="C2" i="5" s="1"/>
  <c r="B3" i="67"/>
  <c r="B72" i="5" s="1"/>
  <c r="A3" i="67"/>
  <c r="A72" i="5" s="1"/>
  <c r="V1" i="67"/>
  <c r="M1" i="67"/>
  <c r="C5" i="8"/>
  <c r="AD2" i="67"/>
  <c r="AC2" i="67"/>
  <c r="AB2" i="67"/>
  <c r="AA2" i="67"/>
  <c r="Z2" i="67"/>
  <c r="Y2" i="67"/>
  <c r="X2" i="67"/>
  <c r="W2" i="67"/>
  <c r="V2" i="67"/>
  <c r="U2" i="67"/>
  <c r="T2" i="67"/>
  <c r="S2" i="67"/>
  <c r="R2" i="67"/>
  <c r="Q2" i="67"/>
  <c r="P2" i="67"/>
  <c r="O2" i="67"/>
  <c r="N2" i="67"/>
  <c r="M2" i="67"/>
  <c r="L2" i="67"/>
  <c r="K2" i="67"/>
  <c r="J2" i="67"/>
  <c r="I2" i="67"/>
  <c r="H2" i="67"/>
  <c r="G2" i="67"/>
  <c r="F2" i="67"/>
  <c r="E2" i="67"/>
  <c r="D2" i="67"/>
  <c r="D1" i="67"/>
  <c r="F1" i="5"/>
  <c r="W40" i="66"/>
  <c r="V40" i="66"/>
  <c r="W20" i="66" s="1"/>
  <c r="U40" i="66"/>
  <c r="T40" i="66"/>
  <c r="S40" i="66"/>
  <c r="R40" i="66"/>
  <c r="Q40" i="66"/>
  <c r="P40" i="66"/>
  <c r="Q20" i="66" s="1"/>
  <c r="Q24" i="66" s="1"/>
  <c r="O40" i="66"/>
  <c r="N40" i="66"/>
  <c r="O20" i="66" s="1"/>
  <c r="M40" i="66"/>
  <c r="L40" i="66"/>
  <c r="K40" i="66"/>
  <c r="J40" i="66"/>
  <c r="I40" i="66"/>
  <c r="H40" i="66"/>
  <c r="I20" i="66" s="1"/>
  <c r="I24" i="66" s="1"/>
  <c r="G40" i="66"/>
  <c r="F40" i="66"/>
  <c r="G20" i="66" s="1"/>
  <c r="E40" i="66"/>
  <c r="D40" i="66"/>
  <c r="C40" i="66"/>
  <c r="B40" i="66"/>
  <c r="M38" i="66"/>
  <c r="X37" i="66"/>
  <c r="W37" i="66"/>
  <c r="W38" i="66" s="1"/>
  <c r="V37" i="66"/>
  <c r="U37" i="66"/>
  <c r="T37" i="66"/>
  <c r="T38" i="66" s="1"/>
  <c r="S37" i="66"/>
  <c r="R37" i="66"/>
  <c r="Q37" i="66"/>
  <c r="Q38" i="66" s="1"/>
  <c r="P37" i="66"/>
  <c r="O37" i="66"/>
  <c r="O38" i="66" s="1"/>
  <c r="N37" i="66"/>
  <c r="M37" i="66"/>
  <c r="L37" i="66"/>
  <c r="L38" i="66" s="1"/>
  <c r="K37" i="66"/>
  <c r="J37" i="66"/>
  <c r="I37" i="66"/>
  <c r="I38" i="66" s="1"/>
  <c r="H37" i="66"/>
  <c r="G37" i="66"/>
  <c r="G38" i="66" s="1"/>
  <c r="F37" i="66"/>
  <c r="E37" i="66"/>
  <c r="D37" i="66"/>
  <c r="D38" i="66" s="1"/>
  <c r="C37" i="66"/>
  <c r="B37" i="66"/>
  <c r="S33" i="66"/>
  <c r="Q33" i="66"/>
  <c r="K33" i="66"/>
  <c r="K38" i="66" s="1"/>
  <c r="I33" i="66"/>
  <c r="C33" i="66"/>
  <c r="C38" i="66" s="1"/>
  <c r="X31" i="66"/>
  <c r="X33" i="66" s="1"/>
  <c r="W31" i="66"/>
  <c r="W33" i="66" s="1"/>
  <c r="V31" i="66"/>
  <c r="V33" i="66" s="1"/>
  <c r="U31" i="66"/>
  <c r="U33" i="66" s="1"/>
  <c r="U38" i="66" s="1"/>
  <c r="T31" i="66"/>
  <c r="T33" i="66" s="1"/>
  <c r="S31" i="66"/>
  <c r="R31" i="66"/>
  <c r="R33" i="66" s="1"/>
  <c r="Q31" i="66"/>
  <c r="P31" i="66"/>
  <c r="P33" i="66" s="1"/>
  <c r="O31" i="66"/>
  <c r="O33" i="66" s="1"/>
  <c r="N31" i="66"/>
  <c r="N33" i="66" s="1"/>
  <c r="M31" i="66"/>
  <c r="M33" i="66" s="1"/>
  <c r="L31" i="66"/>
  <c r="L33" i="66" s="1"/>
  <c r="K31" i="66"/>
  <c r="J31" i="66"/>
  <c r="J33" i="66" s="1"/>
  <c r="I31" i="66"/>
  <c r="H31" i="66"/>
  <c r="H33" i="66" s="1"/>
  <c r="G31" i="66"/>
  <c r="G33" i="66" s="1"/>
  <c r="F31" i="66"/>
  <c r="F33" i="66" s="1"/>
  <c r="E31" i="66"/>
  <c r="E33" i="66" s="1"/>
  <c r="E38" i="66" s="1"/>
  <c r="D31" i="66"/>
  <c r="D33" i="66" s="1"/>
  <c r="C31" i="66"/>
  <c r="B31" i="66"/>
  <c r="B33" i="66" s="1"/>
  <c r="W24" i="66"/>
  <c r="O24" i="66"/>
  <c r="G24" i="66"/>
  <c r="X20" i="66"/>
  <c r="X24" i="66" s="1"/>
  <c r="V20" i="66"/>
  <c r="V24" i="66" s="1"/>
  <c r="U20" i="66"/>
  <c r="U24" i="66" s="1"/>
  <c r="T20" i="66"/>
  <c r="T24" i="66" s="1"/>
  <c r="S20" i="66"/>
  <c r="S24" i="66" s="1"/>
  <c r="R20" i="66"/>
  <c r="R24" i="66" s="1"/>
  <c r="P20" i="66"/>
  <c r="P24" i="66" s="1"/>
  <c r="N20" i="66"/>
  <c r="N24" i="66" s="1"/>
  <c r="M20" i="66"/>
  <c r="M24" i="66" s="1"/>
  <c r="L20" i="66"/>
  <c r="L24" i="66" s="1"/>
  <c r="K20" i="66"/>
  <c r="K24" i="66" s="1"/>
  <c r="J20" i="66"/>
  <c r="J24" i="66" s="1"/>
  <c r="H20" i="66"/>
  <c r="H24" i="66" s="1"/>
  <c r="F20" i="66"/>
  <c r="F24" i="66" s="1"/>
  <c r="E20" i="66"/>
  <c r="E24" i="66" s="1"/>
  <c r="D20" i="66"/>
  <c r="D24" i="66" s="1"/>
  <c r="C20" i="66"/>
  <c r="C24" i="66" s="1"/>
  <c r="B20" i="66"/>
  <c r="B24" i="66" s="1"/>
  <c r="X16" i="66"/>
  <c r="W16" i="66"/>
  <c r="V16" i="66"/>
  <c r="U16" i="66"/>
  <c r="J16" i="66"/>
  <c r="I16" i="66"/>
  <c r="H16" i="66"/>
  <c r="G16" i="66"/>
  <c r="F16" i="66"/>
  <c r="E16" i="66"/>
  <c r="D16" i="66"/>
  <c r="C16" i="66"/>
  <c r="B16" i="66"/>
  <c r="X3" i="66"/>
  <c r="X17" i="66" s="1"/>
  <c r="W3" i="66"/>
  <c r="W17" i="66" s="1"/>
  <c r="Z39" i="65"/>
  <c r="Y39" i="65"/>
  <c r="Z20" i="65" s="1"/>
  <c r="Z24" i="65" s="1"/>
  <c r="X39" i="65"/>
  <c r="Y20" i="65" s="1"/>
  <c r="Y24" i="65" s="1"/>
  <c r="W39" i="65"/>
  <c r="X20" i="65" s="1"/>
  <c r="X24" i="65" s="1"/>
  <c r="V39" i="65"/>
  <c r="U39" i="65"/>
  <c r="T39" i="65"/>
  <c r="S39" i="65"/>
  <c r="T20" i="65" s="1"/>
  <c r="T24" i="65" s="1"/>
  <c r="R39" i="65"/>
  <c r="Q39" i="65"/>
  <c r="R20" i="65" s="1"/>
  <c r="R24" i="65" s="1"/>
  <c r="P39" i="65"/>
  <c r="Q20" i="65" s="1"/>
  <c r="Q24" i="65" s="1"/>
  <c r="O39" i="65"/>
  <c r="P20" i="65" s="1"/>
  <c r="P24" i="65" s="1"/>
  <c r="N39" i="65"/>
  <c r="M39" i="65"/>
  <c r="L39" i="65"/>
  <c r="K39" i="65"/>
  <c r="L20" i="65" s="1"/>
  <c r="L24" i="65" s="1"/>
  <c r="J39" i="65"/>
  <c r="I39" i="65"/>
  <c r="J20" i="65" s="1"/>
  <c r="J24" i="65" s="1"/>
  <c r="H39" i="65"/>
  <c r="I20" i="65" s="1"/>
  <c r="I24" i="65" s="1"/>
  <c r="G39" i="65"/>
  <c r="H20" i="65" s="1"/>
  <c r="H24" i="65" s="1"/>
  <c r="F39" i="65"/>
  <c r="E39" i="65"/>
  <c r="D39" i="65"/>
  <c r="C39" i="65"/>
  <c r="D20" i="65" s="1"/>
  <c r="D24" i="65" s="1"/>
  <c r="B39" i="65"/>
  <c r="AA37" i="65"/>
  <c r="T37" i="65"/>
  <c r="S37" i="65"/>
  <c r="L37" i="65"/>
  <c r="D37" i="65"/>
  <c r="AA36" i="65"/>
  <c r="Z36" i="65"/>
  <c r="Y36" i="65"/>
  <c r="X36" i="65"/>
  <c r="W36" i="65"/>
  <c r="V36" i="65"/>
  <c r="V37" i="65" s="1"/>
  <c r="U36" i="65"/>
  <c r="U37" i="65" s="1"/>
  <c r="T36" i="65"/>
  <c r="S36" i="65"/>
  <c r="R36" i="65"/>
  <c r="Q36" i="65"/>
  <c r="P36" i="65"/>
  <c r="O36" i="65"/>
  <c r="O37" i="65" s="1"/>
  <c r="N36" i="65"/>
  <c r="N37" i="65" s="1"/>
  <c r="M36" i="65"/>
  <c r="M37" i="65" s="1"/>
  <c r="L36" i="65"/>
  <c r="K36" i="65"/>
  <c r="J36" i="65"/>
  <c r="I36" i="65"/>
  <c r="H36" i="65"/>
  <c r="G36" i="65"/>
  <c r="G37" i="65" s="1"/>
  <c r="F36" i="65"/>
  <c r="F37" i="65" s="1"/>
  <c r="E36" i="65"/>
  <c r="E37" i="65" s="1"/>
  <c r="D36" i="65"/>
  <c r="C36" i="65"/>
  <c r="B36" i="65"/>
  <c r="X32" i="65"/>
  <c r="X37" i="65" s="1"/>
  <c r="W32" i="65"/>
  <c r="V32" i="65"/>
  <c r="U32" i="65"/>
  <c r="T32" i="65"/>
  <c r="P32" i="65"/>
  <c r="P37" i="65" s="1"/>
  <c r="O32" i="65"/>
  <c r="N32" i="65"/>
  <c r="M32" i="65"/>
  <c r="L32" i="65"/>
  <c r="H32" i="65"/>
  <c r="H37" i="65" s="1"/>
  <c r="G32" i="65"/>
  <c r="F32" i="65"/>
  <c r="E32" i="65"/>
  <c r="D32" i="65"/>
  <c r="AA30" i="65"/>
  <c r="AA32" i="65" s="1"/>
  <c r="Z30" i="65"/>
  <c r="Z32" i="65" s="1"/>
  <c r="Z37" i="65" s="1"/>
  <c r="Y30" i="65"/>
  <c r="Y32" i="65" s="1"/>
  <c r="Y37" i="65" s="1"/>
  <c r="X30" i="65"/>
  <c r="W30" i="65"/>
  <c r="V30" i="65"/>
  <c r="U30" i="65"/>
  <c r="T30" i="65"/>
  <c r="S30" i="65"/>
  <c r="S32" i="65" s="1"/>
  <c r="R30" i="65"/>
  <c r="R32" i="65" s="1"/>
  <c r="R37" i="65" s="1"/>
  <c r="Q30" i="65"/>
  <c r="Q32" i="65" s="1"/>
  <c r="Q37" i="65" s="1"/>
  <c r="P30" i="65"/>
  <c r="O30" i="65"/>
  <c r="N30" i="65"/>
  <c r="M30" i="65"/>
  <c r="L30" i="65"/>
  <c r="K30" i="65"/>
  <c r="K32" i="65" s="1"/>
  <c r="K37" i="65" s="1"/>
  <c r="J30" i="65"/>
  <c r="J32" i="65" s="1"/>
  <c r="J37" i="65" s="1"/>
  <c r="I30" i="65"/>
  <c r="I32" i="65" s="1"/>
  <c r="I37" i="65" s="1"/>
  <c r="H30" i="65"/>
  <c r="G30" i="65"/>
  <c r="F30" i="65"/>
  <c r="E30" i="65"/>
  <c r="D30" i="65"/>
  <c r="C30" i="65"/>
  <c r="C32" i="65" s="1"/>
  <c r="C37" i="65" s="1"/>
  <c r="B30" i="65"/>
  <c r="B32" i="65" s="1"/>
  <c r="B37" i="65" s="1"/>
  <c r="AA24" i="65"/>
  <c r="AA39" i="65" s="1"/>
  <c r="S24" i="65"/>
  <c r="M24" i="65"/>
  <c r="K24" i="65"/>
  <c r="E24" i="65"/>
  <c r="C24" i="65"/>
  <c r="B24" i="65"/>
  <c r="AA20" i="65"/>
  <c r="W20" i="65"/>
  <c r="W24" i="65" s="1"/>
  <c r="V20" i="65"/>
  <c r="V24" i="65" s="1"/>
  <c r="U20" i="65"/>
  <c r="U24" i="65" s="1"/>
  <c r="S20" i="65"/>
  <c r="O20" i="65"/>
  <c r="O24" i="65" s="1"/>
  <c r="N20" i="65"/>
  <c r="N24" i="65" s="1"/>
  <c r="M20" i="65"/>
  <c r="K20" i="65"/>
  <c r="G20" i="65"/>
  <c r="G24" i="65" s="1"/>
  <c r="F20" i="65"/>
  <c r="F24" i="65" s="1"/>
  <c r="E20" i="65"/>
  <c r="C20" i="65"/>
  <c r="AA16" i="65"/>
  <c r="Z16" i="65"/>
  <c r="Y16" i="65"/>
  <c r="X16" i="65"/>
  <c r="M16" i="65"/>
  <c r="L16" i="65"/>
  <c r="K16" i="65"/>
  <c r="J16" i="65"/>
  <c r="I16" i="65"/>
  <c r="H16" i="65"/>
  <c r="G16" i="65"/>
  <c r="F16" i="65"/>
  <c r="E16" i="65"/>
  <c r="D16" i="65"/>
  <c r="C16" i="65"/>
  <c r="B16"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B11" i="65"/>
  <c r="AA8" i="65"/>
  <c r="Z8" i="65"/>
  <c r="Y8" i="65"/>
  <c r="X8" i="65"/>
  <c r="W8" i="65"/>
  <c r="V8" i="65"/>
  <c r="U8" i="65"/>
  <c r="T8" i="65"/>
  <c r="S8" i="65"/>
  <c r="R8" i="65"/>
  <c r="Q8" i="65"/>
  <c r="P8" i="65"/>
  <c r="O8" i="65"/>
  <c r="N8" i="65"/>
  <c r="M8" i="65"/>
  <c r="L8" i="65"/>
  <c r="K8" i="65"/>
  <c r="J8" i="65"/>
  <c r="I8" i="65"/>
  <c r="H8" i="65"/>
  <c r="G8" i="65"/>
  <c r="F8" i="65"/>
  <c r="E8" i="65"/>
  <c r="D8" i="65"/>
  <c r="C8" i="65"/>
  <c r="B8" i="65"/>
  <c r="AA5" i="65"/>
  <c r="Z5" i="65"/>
  <c r="Y5" i="65"/>
  <c r="X5" i="65"/>
  <c r="W5" i="65"/>
  <c r="V5" i="65"/>
  <c r="U5" i="65"/>
  <c r="T5" i="65"/>
  <c r="S5" i="65"/>
  <c r="R5" i="65"/>
  <c r="Q5" i="65"/>
  <c r="P5" i="65"/>
  <c r="O5" i="65"/>
  <c r="N5" i="65"/>
  <c r="M5" i="65"/>
  <c r="L5" i="65"/>
  <c r="K5" i="65"/>
  <c r="J5" i="65"/>
  <c r="I5" i="65"/>
  <c r="H5" i="65"/>
  <c r="G5" i="65"/>
  <c r="F5" i="65"/>
  <c r="E5" i="65"/>
  <c r="D5" i="65"/>
  <c r="C5" i="65"/>
  <c r="B5" i="65"/>
  <c r="AA3" i="65"/>
  <c r="AA17" i="65" s="1"/>
  <c r="Z3" i="65"/>
  <c r="Z17" i="65" s="1"/>
  <c r="Z40" i="64"/>
  <c r="AA20" i="64" s="1"/>
  <c r="AA24" i="64" s="1"/>
  <c r="Y40" i="64"/>
  <c r="X40" i="64"/>
  <c r="W40" i="64"/>
  <c r="X20" i="64" s="1"/>
  <c r="X24" i="64" s="1"/>
  <c r="V40" i="64"/>
  <c r="W20" i="64" s="1"/>
  <c r="U40" i="64"/>
  <c r="V20" i="64" s="1"/>
  <c r="V24" i="64" s="1"/>
  <c r="T40" i="64"/>
  <c r="S40" i="64"/>
  <c r="R40" i="64"/>
  <c r="S20" i="64" s="1"/>
  <c r="S24" i="64" s="1"/>
  <c r="Q40" i="64"/>
  <c r="P40" i="64"/>
  <c r="Q20" i="64" s="1"/>
  <c r="Q24" i="64" s="1"/>
  <c r="O40" i="64"/>
  <c r="P20" i="64" s="1"/>
  <c r="P24" i="64" s="1"/>
  <c r="N40" i="64"/>
  <c r="O20" i="64" s="1"/>
  <c r="M40" i="64"/>
  <c r="L40" i="64"/>
  <c r="K40" i="64"/>
  <c r="J40" i="64"/>
  <c r="K20" i="64" s="1"/>
  <c r="K24" i="64" s="1"/>
  <c r="I40" i="64"/>
  <c r="H40" i="64"/>
  <c r="I20" i="64" s="1"/>
  <c r="I24" i="64" s="1"/>
  <c r="G40" i="64"/>
  <c r="H20" i="64" s="1"/>
  <c r="H24" i="64" s="1"/>
  <c r="F40" i="64"/>
  <c r="G20" i="64" s="1"/>
  <c r="E40" i="64"/>
  <c r="D40" i="64"/>
  <c r="C40" i="64"/>
  <c r="B40" i="64"/>
  <c r="C20" i="64" s="1"/>
  <c r="C24" i="64" s="1"/>
  <c r="W38" i="64"/>
  <c r="O38" i="64"/>
  <c r="J38" i="64"/>
  <c r="G38" i="64"/>
  <c r="B38" i="64"/>
  <c r="AA37" i="64"/>
  <c r="Z37" i="64"/>
  <c r="Y37" i="64"/>
  <c r="Y38" i="64" s="1"/>
  <c r="X37" i="64"/>
  <c r="W37" i="64"/>
  <c r="V37" i="64"/>
  <c r="U37" i="64"/>
  <c r="T37" i="64"/>
  <c r="T38" i="64" s="1"/>
  <c r="S37" i="64"/>
  <c r="S38" i="64" s="1"/>
  <c r="R37" i="64"/>
  <c r="Q37" i="64"/>
  <c r="Q38" i="64" s="1"/>
  <c r="P37" i="64"/>
  <c r="O37" i="64"/>
  <c r="N37" i="64"/>
  <c r="N38" i="64" s="1"/>
  <c r="M37" i="64"/>
  <c r="L37" i="64"/>
  <c r="L38" i="64" s="1"/>
  <c r="K37" i="64"/>
  <c r="J37" i="64"/>
  <c r="I37" i="64"/>
  <c r="I38" i="64" s="1"/>
  <c r="H37" i="64"/>
  <c r="G37" i="64"/>
  <c r="F37" i="64"/>
  <c r="E37" i="64"/>
  <c r="D37" i="64"/>
  <c r="D38" i="64" s="1"/>
  <c r="C37" i="64"/>
  <c r="C38" i="64" s="1"/>
  <c r="B37" i="64"/>
  <c r="AA33" i="64"/>
  <c r="V33" i="64"/>
  <c r="T33" i="64"/>
  <c r="S33" i="64"/>
  <c r="P33" i="64"/>
  <c r="P38" i="64" s="1"/>
  <c r="N33" i="64"/>
  <c r="L33" i="64"/>
  <c r="K33" i="64"/>
  <c r="F33" i="64"/>
  <c r="D33" i="64"/>
  <c r="C33" i="64"/>
  <c r="AA31" i="64"/>
  <c r="Z31" i="64"/>
  <c r="Z33" i="64" s="1"/>
  <c r="Z38" i="64" s="1"/>
  <c r="Y31" i="64"/>
  <c r="Y33" i="64" s="1"/>
  <c r="X31" i="64"/>
  <c r="X33" i="64" s="1"/>
  <c r="X38" i="64" s="1"/>
  <c r="W31" i="64"/>
  <c r="W33" i="64" s="1"/>
  <c r="V31" i="64"/>
  <c r="U31" i="64"/>
  <c r="U33" i="64" s="1"/>
  <c r="T31" i="64"/>
  <c r="S31" i="64"/>
  <c r="R31" i="64"/>
  <c r="R33" i="64" s="1"/>
  <c r="R38" i="64" s="1"/>
  <c r="Q31" i="64"/>
  <c r="Q33" i="64" s="1"/>
  <c r="P31" i="64"/>
  <c r="O31" i="64"/>
  <c r="O33" i="64" s="1"/>
  <c r="N31" i="64"/>
  <c r="M31" i="64"/>
  <c r="M33" i="64" s="1"/>
  <c r="L31" i="64"/>
  <c r="K31" i="64"/>
  <c r="J31" i="64"/>
  <c r="J33" i="64" s="1"/>
  <c r="I31" i="64"/>
  <c r="I33" i="64" s="1"/>
  <c r="H31" i="64"/>
  <c r="H33" i="64" s="1"/>
  <c r="H38" i="64" s="1"/>
  <c r="G31" i="64"/>
  <c r="G33" i="64" s="1"/>
  <c r="F31" i="64"/>
  <c r="E31" i="64"/>
  <c r="E33" i="64" s="1"/>
  <c r="D31" i="64"/>
  <c r="C31" i="64"/>
  <c r="B31" i="64"/>
  <c r="B33" i="64" s="1"/>
  <c r="Z24" i="64"/>
  <c r="W24" i="64"/>
  <c r="R24" i="64"/>
  <c r="O24" i="64"/>
  <c r="J24" i="64"/>
  <c r="G24" i="64"/>
  <c r="B24" i="64"/>
  <c r="Z20" i="64"/>
  <c r="Y20" i="64"/>
  <c r="Y24" i="64" s="1"/>
  <c r="U20" i="64"/>
  <c r="U24" i="64" s="1"/>
  <c r="T20" i="64"/>
  <c r="T24" i="64" s="1"/>
  <c r="R20" i="64"/>
  <c r="N20" i="64"/>
  <c r="N24" i="64" s="1"/>
  <c r="M20" i="64"/>
  <c r="M24" i="64" s="1"/>
  <c r="L20" i="64"/>
  <c r="L24" i="64" s="1"/>
  <c r="J20" i="64"/>
  <c r="F20" i="64"/>
  <c r="F24" i="64" s="1"/>
  <c r="E20" i="64"/>
  <c r="E24" i="64" s="1"/>
  <c r="D20" i="64"/>
  <c r="D24" i="64" s="1"/>
  <c r="AA16" i="64"/>
  <c r="Z16" i="64"/>
  <c r="Y16" i="64"/>
  <c r="X16" i="64"/>
  <c r="M16" i="64"/>
  <c r="L16" i="64"/>
  <c r="K16" i="64"/>
  <c r="J16" i="64"/>
  <c r="I16" i="64"/>
  <c r="H16" i="64"/>
  <c r="G16" i="64"/>
  <c r="F16" i="64"/>
  <c r="E16" i="64"/>
  <c r="D16" i="64"/>
  <c r="C16" i="64"/>
  <c r="B16" i="64"/>
  <c r="AA11" i="64"/>
  <c r="Z11" i="64"/>
  <c r="Y11" i="64"/>
  <c r="X11" i="64"/>
  <c r="W11" i="64"/>
  <c r="V11" i="64"/>
  <c r="U11" i="64"/>
  <c r="T11" i="64"/>
  <c r="S11" i="64"/>
  <c r="R11" i="64"/>
  <c r="Q11" i="64"/>
  <c r="P11" i="64"/>
  <c r="O11" i="64"/>
  <c r="N11" i="64"/>
  <c r="M11" i="64"/>
  <c r="L11" i="64"/>
  <c r="K11" i="64"/>
  <c r="J11" i="64"/>
  <c r="I11" i="64"/>
  <c r="H11" i="64"/>
  <c r="G11" i="64"/>
  <c r="F11" i="64"/>
  <c r="E11" i="64"/>
  <c r="D11" i="64"/>
  <c r="C11" i="64"/>
  <c r="B11" i="64"/>
  <c r="AA8" i="64"/>
  <c r="Z8" i="64"/>
  <c r="Y8" i="64"/>
  <c r="X8" i="64"/>
  <c r="W8" i="64"/>
  <c r="V8" i="64"/>
  <c r="U8" i="64"/>
  <c r="T8" i="64"/>
  <c r="S8" i="64"/>
  <c r="R8" i="64"/>
  <c r="Q8" i="64"/>
  <c r="P8" i="64"/>
  <c r="O8" i="64"/>
  <c r="N8" i="64"/>
  <c r="M8" i="64"/>
  <c r="L8" i="64"/>
  <c r="K8" i="64"/>
  <c r="J8" i="64"/>
  <c r="I8" i="64"/>
  <c r="H8" i="64"/>
  <c r="G8" i="64"/>
  <c r="F8" i="64"/>
  <c r="E8" i="64"/>
  <c r="D8" i="64"/>
  <c r="C8" i="64"/>
  <c r="B8" i="64"/>
  <c r="AA5" i="64"/>
  <c r="Z5" i="64"/>
  <c r="Y5" i="64"/>
  <c r="X5" i="64"/>
  <c r="W5" i="64"/>
  <c r="V5" i="64"/>
  <c r="U5" i="64"/>
  <c r="T5" i="64"/>
  <c r="S5" i="64"/>
  <c r="R5" i="64"/>
  <c r="Q5" i="64"/>
  <c r="P5" i="64"/>
  <c r="O5" i="64"/>
  <c r="N5" i="64"/>
  <c r="M5" i="64"/>
  <c r="L5" i="64"/>
  <c r="K5" i="64"/>
  <c r="J5" i="64"/>
  <c r="I5" i="64"/>
  <c r="H5" i="64"/>
  <c r="G5" i="64"/>
  <c r="F5" i="64"/>
  <c r="E5" i="64"/>
  <c r="D5" i="64"/>
  <c r="C5" i="64"/>
  <c r="B5" i="64"/>
  <c r="AA3" i="64"/>
  <c r="AA17" i="64" s="1"/>
  <c r="Z3" i="64"/>
  <c r="Z17" i="64" s="1"/>
  <c r="Z40" i="63"/>
  <c r="Y40" i="63"/>
  <c r="Z20" i="63" s="1"/>
  <c r="Z24" i="63" s="1"/>
  <c r="X40" i="63"/>
  <c r="W40" i="63"/>
  <c r="V40" i="63"/>
  <c r="W20" i="63" s="1"/>
  <c r="W24" i="63" s="1"/>
  <c r="U40" i="63"/>
  <c r="V20" i="63" s="1"/>
  <c r="T40" i="63"/>
  <c r="U20" i="63" s="1"/>
  <c r="U24" i="63" s="1"/>
  <c r="S40" i="63"/>
  <c r="R40" i="63"/>
  <c r="Q40" i="63"/>
  <c r="R20" i="63" s="1"/>
  <c r="R24" i="63" s="1"/>
  <c r="P40" i="63"/>
  <c r="O40" i="63"/>
  <c r="N40" i="63"/>
  <c r="O20" i="63" s="1"/>
  <c r="O24" i="63" s="1"/>
  <c r="M40" i="63"/>
  <c r="N20" i="63" s="1"/>
  <c r="L40" i="63"/>
  <c r="M20" i="63" s="1"/>
  <c r="M24" i="63" s="1"/>
  <c r="K40" i="63"/>
  <c r="J40" i="63"/>
  <c r="I40" i="63"/>
  <c r="J20" i="63" s="1"/>
  <c r="J24" i="63" s="1"/>
  <c r="H40" i="63"/>
  <c r="G40" i="63"/>
  <c r="F40" i="63"/>
  <c r="G20" i="63" s="1"/>
  <c r="G24" i="63" s="1"/>
  <c r="E40" i="63"/>
  <c r="F20" i="63" s="1"/>
  <c r="D40" i="63"/>
  <c r="E20" i="63" s="1"/>
  <c r="E24" i="63" s="1"/>
  <c r="C40" i="63"/>
  <c r="B40" i="63"/>
  <c r="AA38" i="63"/>
  <c r="Y38" i="63"/>
  <c r="S38" i="63"/>
  <c r="N38" i="63"/>
  <c r="K38" i="63"/>
  <c r="F38" i="63"/>
  <c r="C38" i="63"/>
  <c r="AA37" i="63"/>
  <c r="Z37" i="63"/>
  <c r="Z38" i="63" s="1"/>
  <c r="Y37" i="63"/>
  <c r="X37" i="63"/>
  <c r="W37" i="63"/>
  <c r="V37" i="63"/>
  <c r="U37" i="63"/>
  <c r="U38" i="63" s="1"/>
  <c r="T37" i="63"/>
  <c r="S37" i="63"/>
  <c r="R37" i="63"/>
  <c r="R38" i="63" s="1"/>
  <c r="Q37" i="63"/>
  <c r="P37" i="63"/>
  <c r="O37" i="63"/>
  <c r="N37" i="63"/>
  <c r="M37" i="63"/>
  <c r="L37" i="63"/>
  <c r="K37" i="63"/>
  <c r="J37" i="63"/>
  <c r="J38" i="63" s="1"/>
  <c r="I37" i="63"/>
  <c r="H37" i="63"/>
  <c r="G37" i="63"/>
  <c r="F37" i="63"/>
  <c r="E37" i="63"/>
  <c r="E38" i="63" s="1"/>
  <c r="D37" i="63"/>
  <c r="C37" i="63"/>
  <c r="B37" i="63"/>
  <c r="B38" i="63" s="1"/>
  <c r="AA33" i="63"/>
  <c r="Z33" i="63"/>
  <c r="U33" i="63"/>
  <c r="S33" i="63"/>
  <c r="R33" i="63"/>
  <c r="M33" i="63"/>
  <c r="K33" i="63"/>
  <c r="J33" i="63"/>
  <c r="E33" i="63"/>
  <c r="C33" i="63"/>
  <c r="B33" i="63"/>
  <c r="AA31" i="63"/>
  <c r="Z31" i="63"/>
  <c r="Y31" i="63"/>
  <c r="Y33" i="63" s="1"/>
  <c r="X31" i="63"/>
  <c r="X33" i="63" s="1"/>
  <c r="W31" i="63"/>
  <c r="W33" i="63" s="1"/>
  <c r="W38" i="63" s="1"/>
  <c r="V31" i="63"/>
  <c r="V33" i="63" s="1"/>
  <c r="V38" i="63" s="1"/>
  <c r="U31" i="63"/>
  <c r="T31" i="63"/>
  <c r="T33" i="63" s="1"/>
  <c r="S31" i="63"/>
  <c r="R31" i="63"/>
  <c r="Q31" i="63"/>
  <c r="Q33" i="63" s="1"/>
  <c r="Q38" i="63" s="1"/>
  <c r="P31" i="63"/>
  <c r="P33" i="63" s="1"/>
  <c r="O31" i="63"/>
  <c r="O33" i="63" s="1"/>
  <c r="O38" i="63" s="1"/>
  <c r="N31" i="63"/>
  <c r="N33" i="63" s="1"/>
  <c r="M31" i="63"/>
  <c r="L31" i="63"/>
  <c r="L33" i="63" s="1"/>
  <c r="K31" i="63"/>
  <c r="J31" i="63"/>
  <c r="I31" i="63"/>
  <c r="I33" i="63" s="1"/>
  <c r="I38" i="63" s="1"/>
  <c r="H31" i="63"/>
  <c r="H33" i="63" s="1"/>
  <c r="G31" i="63"/>
  <c r="G33" i="63" s="1"/>
  <c r="G38" i="63" s="1"/>
  <c r="F31" i="63"/>
  <c r="F33" i="63" s="1"/>
  <c r="E31" i="63"/>
  <c r="D31" i="63"/>
  <c r="D33" i="63" s="1"/>
  <c r="C31" i="63"/>
  <c r="B31" i="63"/>
  <c r="Y24" i="63"/>
  <c r="V24" i="63"/>
  <c r="Q24" i="63"/>
  <c r="N24" i="63"/>
  <c r="I24" i="63"/>
  <c r="F24" i="63"/>
  <c r="B24" i="63"/>
  <c r="AA20" i="63"/>
  <c r="AA24" i="63" s="1"/>
  <c r="AA40" i="63" s="1"/>
  <c r="Y20" i="63"/>
  <c r="X20" i="63"/>
  <c r="X24" i="63" s="1"/>
  <c r="T20" i="63"/>
  <c r="T24" i="63" s="1"/>
  <c r="S20" i="63"/>
  <c r="S24" i="63" s="1"/>
  <c r="Q20" i="63"/>
  <c r="P20" i="63"/>
  <c r="P24" i="63" s="1"/>
  <c r="L20" i="63"/>
  <c r="L24" i="63" s="1"/>
  <c r="K20" i="63"/>
  <c r="K24" i="63" s="1"/>
  <c r="I20" i="63"/>
  <c r="H20" i="63"/>
  <c r="H24" i="63" s="1"/>
  <c r="D20" i="63"/>
  <c r="D24" i="63" s="1"/>
  <c r="C20" i="63"/>
  <c r="C24" i="63" s="1"/>
  <c r="AA16" i="63"/>
  <c r="Z16" i="63"/>
  <c r="Y16" i="63"/>
  <c r="X16" i="63"/>
  <c r="M16" i="63"/>
  <c r="L16" i="63"/>
  <c r="K16" i="63"/>
  <c r="J16" i="63"/>
  <c r="I16" i="63"/>
  <c r="H16" i="63"/>
  <c r="G16" i="63"/>
  <c r="F16" i="63"/>
  <c r="E16" i="63"/>
  <c r="D16" i="63"/>
  <c r="C16" i="63"/>
  <c r="B16" i="63"/>
  <c r="AA11" i="63"/>
  <c r="Z11" i="63"/>
  <c r="Y11" i="63"/>
  <c r="X11" i="63"/>
  <c r="W11" i="63"/>
  <c r="V11" i="63"/>
  <c r="U11" i="63"/>
  <c r="T11" i="63"/>
  <c r="S11" i="63"/>
  <c r="R11" i="63"/>
  <c r="Q11" i="63"/>
  <c r="P11" i="63"/>
  <c r="O11" i="63"/>
  <c r="N11" i="63"/>
  <c r="M11" i="63"/>
  <c r="L11" i="63"/>
  <c r="K11" i="63"/>
  <c r="J11" i="63"/>
  <c r="I11" i="63"/>
  <c r="H11" i="63"/>
  <c r="G11" i="63"/>
  <c r="F11" i="63"/>
  <c r="E11" i="63"/>
  <c r="D11" i="63"/>
  <c r="C11" i="63"/>
  <c r="B11" i="63"/>
  <c r="AA8" i="63"/>
  <c r="Z8" i="63"/>
  <c r="Y8" i="63"/>
  <c r="X8" i="63"/>
  <c r="W8" i="63"/>
  <c r="V8" i="63"/>
  <c r="U8" i="63"/>
  <c r="T8" i="63"/>
  <c r="S8" i="63"/>
  <c r="R8" i="63"/>
  <c r="Q8" i="63"/>
  <c r="P8" i="63"/>
  <c r="O8" i="63"/>
  <c r="N8" i="63"/>
  <c r="M8" i="63"/>
  <c r="L8" i="63"/>
  <c r="K8" i="63"/>
  <c r="J8" i="63"/>
  <c r="I8" i="63"/>
  <c r="H8" i="63"/>
  <c r="G8" i="63"/>
  <c r="F8" i="63"/>
  <c r="E8" i="63"/>
  <c r="D8" i="63"/>
  <c r="C8" i="63"/>
  <c r="B8" i="63"/>
  <c r="AA5" i="63"/>
  <c r="Z5" i="63"/>
  <c r="Y5" i="63"/>
  <c r="X5" i="63"/>
  <c r="W5" i="63"/>
  <c r="V5" i="63"/>
  <c r="U5" i="63"/>
  <c r="T5" i="63"/>
  <c r="S5" i="63"/>
  <c r="R5" i="63"/>
  <c r="Q5" i="63"/>
  <c r="P5" i="63"/>
  <c r="O5" i="63"/>
  <c r="N5" i="63"/>
  <c r="M5" i="63"/>
  <c r="L5" i="63"/>
  <c r="K5" i="63"/>
  <c r="J5" i="63"/>
  <c r="I5" i="63"/>
  <c r="H5" i="63"/>
  <c r="G5" i="63"/>
  <c r="F5" i="63"/>
  <c r="E5" i="63"/>
  <c r="D5" i="63"/>
  <c r="C5" i="63"/>
  <c r="B5" i="63"/>
  <c r="AA3" i="63"/>
  <c r="AA17" i="63" s="1"/>
  <c r="Z3" i="63"/>
  <c r="Z17" i="63" s="1"/>
  <c r="Z39" i="62"/>
  <c r="Y39" i="62"/>
  <c r="X39" i="62"/>
  <c r="Y20" i="62" s="1"/>
  <c r="Y24" i="62" s="1"/>
  <c r="W39" i="62"/>
  <c r="X20" i="62" s="1"/>
  <c r="X24" i="62" s="1"/>
  <c r="V39" i="62"/>
  <c r="U39" i="62"/>
  <c r="V20" i="62" s="1"/>
  <c r="V24" i="62" s="1"/>
  <c r="T39" i="62"/>
  <c r="U20" i="62" s="1"/>
  <c r="U24" i="62" s="1"/>
  <c r="S39" i="62"/>
  <c r="R39" i="62"/>
  <c r="Q39" i="62"/>
  <c r="P39" i="62"/>
  <c r="Q20" i="62" s="1"/>
  <c r="Q24" i="62" s="1"/>
  <c r="O39" i="62"/>
  <c r="P20" i="62" s="1"/>
  <c r="P24" i="62" s="1"/>
  <c r="N39" i="62"/>
  <c r="M39" i="62"/>
  <c r="N20" i="62" s="1"/>
  <c r="N24" i="62" s="1"/>
  <c r="L39" i="62"/>
  <c r="M20" i="62" s="1"/>
  <c r="M24" i="62" s="1"/>
  <c r="K39" i="62"/>
  <c r="J39" i="62"/>
  <c r="I39" i="62"/>
  <c r="H39" i="62"/>
  <c r="I20" i="62" s="1"/>
  <c r="I24" i="62" s="1"/>
  <c r="G39" i="62"/>
  <c r="H20" i="62" s="1"/>
  <c r="H24" i="62" s="1"/>
  <c r="F39" i="62"/>
  <c r="E39" i="62"/>
  <c r="F20" i="62" s="1"/>
  <c r="F24" i="62" s="1"/>
  <c r="D39" i="62"/>
  <c r="E20" i="62" s="1"/>
  <c r="E24" i="62" s="1"/>
  <c r="C39" i="62"/>
  <c r="B39" i="62"/>
  <c r="U37" i="62"/>
  <c r="M37" i="62"/>
  <c r="H37" i="62"/>
  <c r="E37" i="62"/>
  <c r="AA36" i="62"/>
  <c r="AA37" i="62" s="1"/>
  <c r="Z36" i="62"/>
  <c r="Z37" i="62" s="1"/>
  <c r="Y36" i="62"/>
  <c r="X36" i="62"/>
  <c r="W36" i="62"/>
  <c r="V36" i="62"/>
  <c r="U36" i="62"/>
  <c r="T36" i="62"/>
  <c r="T37" i="62" s="1"/>
  <c r="S36" i="62"/>
  <c r="S37" i="62" s="1"/>
  <c r="R36" i="62"/>
  <c r="R37" i="62" s="1"/>
  <c r="Q36" i="62"/>
  <c r="P36" i="62"/>
  <c r="O36" i="62"/>
  <c r="N36" i="62"/>
  <c r="M36" i="62"/>
  <c r="L36" i="62"/>
  <c r="K36" i="62"/>
  <c r="K37" i="62" s="1"/>
  <c r="J36" i="62"/>
  <c r="J37" i="62" s="1"/>
  <c r="I36" i="62"/>
  <c r="H36" i="62"/>
  <c r="G36" i="62"/>
  <c r="F36" i="62"/>
  <c r="E36" i="62"/>
  <c r="D36" i="62"/>
  <c r="C36" i="62"/>
  <c r="C37" i="62" s="1"/>
  <c r="B36" i="62"/>
  <c r="B37" i="62" s="1"/>
  <c r="Z32" i="62"/>
  <c r="Y32" i="62"/>
  <c r="Y37" i="62" s="1"/>
  <c r="U32" i="62"/>
  <c r="T32" i="62"/>
  <c r="R32" i="62"/>
  <c r="Q32" i="62"/>
  <c r="Q37" i="62" s="1"/>
  <c r="M32" i="62"/>
  <c r="L32" i="62"/>
  <c r="J32" i="62"/>
  <c r="I32" i="62"/>
  <c r="I37" i="62" s="1"/>
  <c r="E32" i="62"/>
  <c r="D32" i="62"/>
  <c r="B32" i="62"/>
  <c r="AA30" i="62"/>
  <c r="AA32" i="62" s="1"/>
  <c r="Z30" i="62"/>
  <c r="Y30" i="62"/>
  <c r="X30" i="62"/>
  <c r="X32" i="62" s="1"/>
  <c r="X37" i="62" s="1"/>
  <c r="W30" i="62"/>
  <c r="W32" i="62" s="1"/>
  <c r="V30" i="62"/>
  <c r="V32" i="62" s="1"/>
  <c r="V37" i="62" s="1"/>
  <c r="U30" i="62"/>
  <c r="T30" i="62"/>
  <c r="S30" i="62"/>
  <c r="S32" i="62" s="1"/>
  <c r="R30" i="62"/>
  <c r="Q30" i="62"/>
  <c r="P30" i="62"/>
  <c r="P32" i="62" s="1"/>
  <c r="P37" i="62" s="1"/>
  <c r="O30" i="62"/>
  <c r="O32" i="62" s="1"/>
  <c r="N30" i="62"/>
  <c r="N32" i="62" s="1"/>
  <c r="N37" i="62" s="1"/>
  <c r="M30" i="62"/>
  <c r="L30" i="62"/>
  <c r="K30" i="62"/>
  <c r="K32" i="62" s="1"/>
  <c r="J30" i="62"/>
  <c r="I30" i="62"/>
  <c r="H30" i="62"/>
  <c r="H32" i="62" s="1"/>
  <c r="G30" i="62"/>
  <c r="G32" i="62" s="1"/>
  <c r="F30" i="62"/>
  <c r="F32" i="62" s="1"/>
  <c r="F37" i="62" s="1"/>
  <c r="E30" i="62"/>
  <c r="D30" i="62"/>
  <c r="C30" i="62"/>
  <c r="C32" i="62" s="1"/>
  <c r="B30" i="62"/>
  <c r="J24" i="62"/>
  <c r="B24" i="62"/>
  <c r="AA20" i="62"/>
  <c r="AA24" i="62" s="1"/>
  <c r="Z20" i="62"/>
  <c r="Z24" i="62" s="1"/>
  <c r="W20" i="62"/>
  <c r="W24" i="62" s="1"/>
  <c r="T20" i="62"/>
  <c r="T24" i="62" s="1"/>
  <c r="S20" i="62"/>
  <c r="S24" i="62" s="1"/>
  <c r="R20" i="62"/>
  <c r="R24" i="62" s="1"/>
  <c r="O20" i="62"/>
  <c r="O24" i="62" s="1"/>
  <c r="L20" i="62"/>
  <c r="L24" i="62" s="1"/>
  <c r="K20" i="62"/>
  <c r="K24" i="62" s="1"/>
  <c r="J20" i="62"/>
  <c r="G20" i="62"/>
  <c r="G24" i="62" s="1"/>
  <c r="D20" i="62"/>
  <c r="D24" i="62" s="1"/>
  <c r="C20" i="62"/>
  <c r="C24" i="62" s="1"/>
  <c r="AA17" i="62"/>
  <c r="Y16" i="62"/>
  <c r="X16" i="62"/>
  <c r="M16" i="62"/>
  <c r="L16" i="62"/>
  <c r="K16" i="62"/>
  <c r="J16" i="62"/>
  <c r="I16" i="62"/>
  <c r="H16" i="62"/>
  <c r="G16" i="62"/>
  <c r="F16" i="62"/>
  <c r="E16" i="62"/>
  <c r="D16" i="62"/>
  <c r="C16" i="62"/>
  <c r="B16" i="62"/>
  <c r="AA11" i="62"/>
  <c r="Z11" i="62"/>
  <c r="Y11" i="62"/>
  <c r="X11" i="62"/>
  <c r="W11" i="62"/>
  <c r="V11" i="62"/>
  <c r="U11" i="62"/>
  <c r="T11" i="62"/>
  <c r="S11" i="62"/>
  <c r="R11" i="62"/>
  <c r="Q11" i="62"/>
  <c r="P11" i="62"/>
  <c r="O11" i="62"/>
  <c r="N11" i="62"/>
  <c r="M11" i="62"/>
  <c r="L11" i="62"/>
  <c r="K11" i="62"/>
  <c r="J11" i="62"/>
  <c r="I11" i="62"/>
  <c r="H11" i="62"/>
  <c r="G11" i="62"/>
  <c r="F11" i="62"/>
  <c r="E11" i="62"/>
  <c r="D11" i="62"/>
  <c r="C11" i="62"/>
  <c r="B11" i="62"/>
  <c r="AA8" i="62"/>
  <c r="Z8" i="62"/>
  <c r="Y8" i="62"/>
  <c r="X8" i="62"/>
  <c r="W8" i="62"/>
  <c r="V8" i="62"/>
  <c r="U8" i="62"/>
  <c r="T8" i="62"/>
  <c r="S8" i="62"/>
  <c r="R8" i="62"/>
  <c r="Q8" i="62"/>
  <c r="P8" i="62"/>
  <c r="O8" i="62"/>
  <c r="N8" i="62"/>
  <c r="M8" i="62"/>
  <c r="L8" i="62"/>
  <c r="K8" i="62"/>
  <c r="J8" i="62"/>
  <c r="I8" i="62"/>
  <c r="H8" i="62"/>
  <c r="G8" i="62"/>
  <c r="F8" i="62"/>
  <c r="E8" i="62"/>
  <c r="D8" i="62"/>
  <c r="C8" i="62"/>
  <c r="B8" i="62"/>
  <c r="AA5" i="62"/>
  <c r="Z5" i="62"/>
  <c r="Y5" i="62"/>
  <c r="X5" i="62"/>
  <c r="W5" i="62"/>
  <c r="V5" i="62"/>
  <c r="U5" i="62"/>
  <c r="T5" i="62"/>
  <c r="S5" i="62"/>
  <c r="R5" i="62"/>
  <c r="Q5" i="62"/>
  <c r="P5" i="62"/>
  <c r="O5" i="62"/>
  <c r="N5" i="62"/>
  <c r="M5" i="62"/>
  <c r="L5" i="62"/>
  <c r="K5" i="62"/>
  <c r="J5" i="62"/>
  <c r="I5" i="62"/>
  <c r="H5" i="62"/>
  <c r="G5" i="62"/>
  <c r="F5" i="62"/>
  <c r="E5" i="62"/>
  <c r="D5" i="62"/>
  <c r="C5" i="62"/>
  <c r="B5" i="62"/>
  <c r="AA3" i="62"/>
  <c r="Z3" i="62"/>
  <c r="Z17" i="62" s="1"/>
  <c r="AA2" i="62"/>
  <c r="AA16" i="62" s="1"/>
  <c r="Z2" i="62"/>
  <c r="Z16" i="62" s="1"/>
  <c r="AI48" i="61"/>
  <c r="AH48" i="61"/>
  <c r="AG48" i="61"/>
  <c r="AF48" i="61"/>
  <c r="AG22" i="61" s="1"/>
  <c r="AG26" i="61" s="1"/>
  <c r="AE48" i="61"/>
  <c r="AD48" i="61"/>
  <c r="AC48" i="61"/>
  <c r="AD22" i="61" s="1"/>
  <c r="AD26" i="61" s="1"/>
  <c r="AB48" i="61"/>
  <c r="AA48" i="61"/>
  <c r="Z48" i="61"/>
  <c r="Y48" i="61"/>
  <c r="X48" i="61"/>
  <c r="Y22" i="61" s="1"/>
  <c r="Y26" i="61" s="1"/>
  <c r="W48" i="61"/>
  <c r="V48" i="61"/>
  <c r="U48" i="61"/>
  <c r="T48" i="61"/>
  <c r="S48" i="61"/>
  <c r="R48" i="61"/>
  <c r="Q48" i="61"/>
  <c r="P48" i="61"/>
  <c r="Q22" i="61" s="1"/>
  <c r="Q26" i="61" s="1"/>
  <c r="O48" i="61"/>
  <c r="N48" i="61"/>
  <c r="M48" i="61"/>
  <c r="N22" i="61" s="1"/>
  <c r="N26" i="61" s="1"/>
  <c r="L48" i="61"/>
  <c r="K48" i="61"/>
  <c r="J48" i="61"/>
  <c r="I48" i="61"/>
  <c r="H48" i="61"/>
  <c r="I22" i="61" s="1"/>
  <c r="I26" i="61" s="1"/>
  <c r="G48" i="61"/>
  <c r="F48" i="61"/>
  <c r="E48" i="61"/>
  <c r="F22" i="61" s="1"/>
  <c r="F26" i="61" s="1"/>
  <c r="D48" i="61"/>
  <c r="C48" i="61"/>
  <c r="B48" i="61"/>
  <c r="E46" i="61"/>
  <c r="AF45" i="61"/>
  <c r="AE45" i="61"/>
  <c r="X45" i="61"/>
  <c r="W45" i="61"/>
  <c r="P45" i="61"/>
  <c r="O45" i="61"/>
  <c r="K45" i="61"/>
  <c r="K46" i="61" s="1"/>
  <c r="H45" i="61"/>
  <c r="H46" i="61" s="1"/>
  <c r="G45" i="61"/>
  <c r="B45" i="61"/>
  <c r="AJ42" i="61"/>
  <c r="AJ45" i="61" s="1"/>
  <c r="AI42" i="61"/>
  <c r="AI45" i="61" s="1"/>
  <c r="AH42" i="61"/>
  <c r="AH45" i="61" s="1"/>
  <c r="AG42" i="61"/>
  <c r="AG45" i="61" s="1"/>
  <c r="AF42" i="61"/>
  <c r="AE42" i="61"/>
  <c r="AD42" i="61"/>
  <c r="AD45" i="61" s="1"/>
  <c r="AC42" i="61"/>
  <c r="AC45" i="61" s="1"/>
  <c r="AB42" i="61"/>
  <c r="AB45" i="61" s="1"/>
  <c r="AA42" i="61"/>
  <c r="AA45" i="61" s="1"/>
  <c r="Z42" i="61"/>
  <c r="Z45" i="61" s="1"/>
  <c r="Y42" i="61"/>
  <c r="Y45" i="61" s="1"/>
  <c r="X42" i="61"/>
  <c r="W42" i="61"/>
  <c r="V42" i="61"/>
  <c r="V45" i="61" s="1"/>
  <c r="U42" i="61"/>
  <c r="U45" i="61" s="1"/>
  <c r="T42" i="61"/>
  <c r="T45" i="61" s="1"/>
  <c r="S42" i="61"/>
  <c r="S45" i="61" s="1"/>
  <c r="S46" i="61" s="1"/>
  <c r="R42" i="61"/>
  <c r="R45" i="61" s="1"/>
  <c r="Q42" i="61"/>
  <c r="Q45" i="61" s="1"/>
  <c r="P42" i="61"/>
  <c r="O42" i="61"/>
  <c r="N42" i="61"/>
  <c r="N45" i="61" s="1"/>
  <c r="M42" i="61"/>
  <c r="M45" i="61" s="1"/>
  <c r="L42" i="61"/>
  <c r="L45" i="61" s="1"/>
  <c r="K42" i="61"/>
  <c r="J42" i="61"/>
  <c r="J45" i="61" s="1"/>
  <c r="I42" i="61"/>
  <c r="I45" i="61" s="1"/>
  <c r="I46" i="61" s="1"/>
  <c r="H42" i="61"/>
  <c r="G42" i="61"/>
  <c r="F42" i="61"/>
  <c r="F45" i="61" s="1"/>
  <c r="E42" i="61"/>
  <c r="E45" i="61" s="1"/>
  <c r="D42" i="61"/>
  <c r="D45" i="61" s="1"/>
  <c r="C42" i="61"/>
  <c r="C45" i="61" s="1"/>
  <c r="C46" i="61" s="1"/>
  <c r="B42" i="61"/>
  <c r="AE38" i="61"/>
  <c r="H38" i="61"/>
  <c r="AI37" i="61"/>
  <c r="AI38" i="61" s="1"/>
  <c r="AG37" i="61"/>
  <c r="AF37" i="61"/>
  <c r="AB37" i="61"/>
  <c r="AB38" i="61" s="1"/>
  <c r="AA37" i="61"/>
  <c r="AA38" i="61" s="1"/>
  <c r="Y37" i="61"/>
  <c r="X37" i="61"/>
  <c r="W37" i="61"/>
  <c r="W38" i="61" s="1"/>
  <c r="T37" i="61"/>
  <c r="T38" i="61" s="1"/>
  <c r="S37" i="61"/>
  <c r="S38" i="61" s="1"/>
  <c r="R37" i="61"/>
  <c r="R38" i="61" s="1"/>
  <c r="Q37" i="61"/>
  <c r="P37" i="61"/>
  <c r="O37" i="61"/>
  <c r="O38" i="61" s="1"/>
  <c r="K37" i="61"/>
  <c r="K38" i="61" s="1"/>
  <c r="J37" i="61"/>
  <c r="J38" i="61" s="1"/>
  <c r="I37" i="61"/>
  <c r="H37" i="61"/>
  <c r="C37" i="61"/>
  <c r="C38" i="61" s="1"/>
  <c r="AJ35" i="61"/>
  <c r="AJ37" i="61" s="1"/>
  <c r="AJ38" i="61" s="1"/>
  <c r="AI35" i="61"/>
  <c r="AH35" i="61"/>
  <c r="AH37" i="61" s="1"/>
  <c r="AH38" i="61" s="1"/>
  <c r="AG35" i="61"/>
  <c r="AF35" i="61"/>
  <c r="AE35" i="61"/>
  <c r="AE37" i="61" s="1"/>
  <c r="AD35" i="61"/>
  <c r="AD37" i="61" s="1"/>
  <c r="AD38" i="61" s="1"/>
  <c r="AC35" i="61"/>
  <c r="AC37" i="61" s="1"/>
  <c r="AB35" i="61"/>
  <c r="AA35" i="61"/>
  <c r="Z35" i="61"/>
  <c r="Z37" i="61" s="1"/>
  <c r="Z38" i="61" s="1"/>
  <c r="Y35" i="61"/>
  <c r="X35" i="61"/>
  <c r="W35" i="61"/>
  <c r="V35" i="61"/>
  <c r="V37" i="61" s="1"/>
  <c r="V38" i="61" s="1"/>
  <c r="U35" i="61"/>
  <c r="U37" i="61" s="1"/>
  <c r="T35" i="61"/>
  <c r="S35" i="61"/>
  <c r="R35" i="61"/>
  <c r="Q35" i="61"/>
  <c r="P35" i="61"/>
  <c r="O35" i="61"/>
  <c r="N35" i="61"/>
  <c r="N37" i="61" s="1"/>
  <c r="N38" i="61" s="1"/>
  <c r="M35" i="61"/>
  <c r="M37" i="61" s="1"/>
  <c r="L35" i="61"/>
  <c r="L37" i="61" s="1"/>
  <c r="L38" i="61" s="1"/>
  <c r="K35" i="61"/>
  <c r="J35" i="61"/>
  <c r="I35" i="61"/>
  <c r="H35" i="61"/>
  <c r="G35" i="61"/>
  <c r="G37" i="61" s="1"/>
  <c r="G38" i="61" s="1"/>
  <c r="F35" i="61"/>
  <c r="F37" i="61" s="1"/>
  <c r="F38" i="61" s="1"/>
  <c r="E35" i="61"/>
  <c r="E37" i="61" s="1"/>
  <c r="E38" i="61" s="1"/>
  <c r="D35" i="61"/>
  <c r="D37" i="61" s="1"/>
  <c r="D38" i="61" s="1"/>
  <c r="C35" i="61"/>
  <c r="B35" i="61"/>
  <c r="B37" i="61" s="1"/>
  <c r="B38" i="61" s="1"/>
  <c r="AJ31" i="61"/>
  <c r="AI31" i="61"/>
  <c r="AH31" i="61"/>
  <c r="AG31" i="61"/>
  <c r="AG38" i="61" s="1"/>
  <c r="AF31" i="61"/>
  <c r="AF38" i="61" s="1"/>
  <c r="AF46" i="61" s="1"/>
  <c r="AE31" i="61"/>
  <c r="AD31" i="61"/>
  <c r="AC31" i="61"/>
  <c r="AB31" i="61"/>
  <c r="AA31" i="61"/>
  <c r="Z31" i="61"/>
  <c r="Y31" i="61"/>
  <c r="Y38" i="61" s="1"/>
  <c r="X31" i="61"/>
  <c r="X38" i="61" s="1"/>
  <c r="X46" i="61" s="1"/>
  <c r="W31" i="61"/>
  <c r="V31" i="61"/>
  <c r="U31" i="61"/>
  <c r="T31" i="61"/>
  <c r="S31" i="61"/>
  <c r="R31" i="61"/>
  <c r="Q31" i="61"/>
  <c r="Q38" i="61" s="1"/>
  <c r="P31" i="61"/>
  <c r="P38" i="61" s="1"/>
  <c r="O31" i="61"/>
  <c r="N31" i="61"/>
  <c r="M31" i="61"/>
  <c r="L31" i="61"/>
  <c r="K31" i="61"/>
  <c r="J31" i="61"/>
  <c r="I31" i="61"/>
  <c r="I38" i="61" s="1"/>
  <c r="H31" i="61"/>
  <c r="G31" i="61"/>
  <c r="F31" i="61"/>
  <c r="E31" i="61"/>
  <c r="D31" i="61"/>
  <c r="C31" i="61"/>
  <c r="B31" i="61"/>
  <c r="AJ26" i="61"/>
  <c r="AH26" i="61"/>
  <c r="AF26" i="61"/>
  <c r="AB26" i="61"/>
  <c r="Z26" i="61"/>
  <c r="X26" i="61"/>
  <c r="T26" i="61"/>
  <c r="S26" i="61"/>
  <c r="R26" i="61"/>
  <c r="P26" i="61"/>
  <c r="L26" i="61"/>
  <c r="J26" i="61"/>
  <c r="H26" i="61"/>
  <c r="E26" i="61"/>
  <c r="D26" i="61"/>
  <c r="C26" i="61"/>
  <c r="B26" i="61"/>
  <c r="AJ22" i="61"/>
  <c r="AI22" i="61"/>
  <c r="AI26" i="61" s="1"/>
  <c r="AH22" i="61"/>
  <c r="AF22" i="61"/>
  <c r="AE22" i="61"/>
  <c r="AE26" i="61" s="1"/>
  <c r="AC22" i="61"/>
  <c r="AC26" i="61" s="1"/>
  <c r="AB22" i="61"/>
  <c r="AA22" i="61"/>
  <c r="AA26" i="61" s="1"/>
  <c r="Z22" i="61"/>
  <c r="X22" i="61"/>
  <c r="W22" i="61"/>
  <c r="W26" i="61" s="1"/>
  <c r="V22" i="61"/>
  <c r="V26" i="61" s="1"/>
  <c r="U22" i="61"/>
  <c r="U26" i="61" s="1"/>
  <c r="T22" i="61"/>
  <c r="S22" i="61"/>
  <c r="R22" i="61"/>
  <c r="P22" i="61"/>
  <c r="O22" i="61"/>
  <c r="O26" i="61" s="1"/>
  <c r="M22" i="61"/>
  <c r="M26" i="61" s="1"/>
  <c r="L22" i="61"/>
  <c r="K22" i="61"/>
  <c r="K26" i="61" s="1"/>
  <c r="J22" i="61"/>
  <c r="H22" i="61"/>
  <c r="G22" i="61"/>
  <c r="G26" i="61" s="1"/>
  <c r="E22" i="61"/>
  <c r="D22" i="61"/>
  <c r="C22" i="61"/>
  <c r="AJ18" i="61"/>
  <c r="AI18" i="61"/>
  <c r="AH18" i="61"/>
  <c r="AG18" i="61"/>
  <c r="V18" i="61"/>
  <c r="U18" i="61"/>
  <c r="T18" i="61"/>
  <c r="S18" i="61"/>
  <c r="R18" i="61"/>
  <c r="Q18" i="61"/>
  <c r="P18" i="61"/>
  <c r="O18" i="61"/>
  <c r="N18" i="61"/>
  <c r="M18" i="61"/>
  <c r="L18" i="61"/>
  <c r="K18" i="61"/>
  <c r="J18" i="61"/>
  <c r="I18" i="61"/>
  <c r="H18" i="61"/>
  <c r="G18" i="61"/>
  <c r="F18" i="61"/>
  <c r="E18" i="61"/>
  <c r="D18" i="61"/>
  <c r="C18" i="61"/>
  <c r="B18" i="61"/>
  <c r="AJ8" i="61"/>
  <c r="AI8" i="61"/>
  <c r="AH8" i="61"/>
  <c r="AG8" i="61"/>
  <c r="AF8" i="61"/>
  <c r="AE8" i="61"/>
  <c r="AD8" i="61"/>
  <c r="AC8" i="61"/>
  <c r="AB8" i="61"/>
  <c r="AA8" i="61"/>
  <c r="Z8" i="61"/>
  <c r="Y8" i="61"/>
  <c r="X8" i="61"/>
  <c r="W8" i="61"/>
  <c r="V8" i="61"/>
  <c r="U8" i="61"/>
  <c r="T8" i="61"/>
  <c r="S8" i="61"/>
  <c r="R8" i="61"/>
  <c r="Q8" i="61"/>
  <c r="P8" i="61"/>
  <c r="O8" i="61"/>
  <c r="N8" i="61"/>
  <c r="M8" i="61"/>
  <c r="L8" i="61"/>
  <c r="K8" i="61"/>
  <c r="J8" i="61"/>
  <c r="I8" i="61"/>
  <c r="H8" i="61"/>
  <c r="G8" i="61"/>
  <c r="F8" i="61"/>
  <c r="E8" i="61"/>
  <c r="D8" i="61"/>
  <c r="C8" i="61"/>
  <c r="B8" i="61"/>
  <c r="AJ5" i="61"/>
  <c r="AI5" i="61"/>
  <c r="AH5" i="61"/>
  <c r="AG5" i="61"/>
  <c r="AF5" i="61"/>
  <c r="AE5" i="61"/>
  <c r="AD5" i="61"/>
  <c r="AC5" i="61"/>
  <c r="AB5" i="61"/>
  <c r="AA5" i="61"/>
  <c r="Z5" i="61"/>
  <c r="Y5" i="61"/>
  <c r="X5" i="61"/>
  <c r="W5" i="61"/>
  <c r="V5" i="61"/>
  <c r="U5" i="61"/>
  <c r="T5" i="61"/>
  <c r="S5" i="61"/>
  <c r="R5" i="61"/>
  <c r="Q5" i="61"/>
  <c r="P5" i="61"/>
  <c r="O5" i="61"/>
  <c r="N5" i="61"/>
  <c r="M5" i="61"/>
  <c r="L5" i="61"/>
  <c r="K5" i="61"/>
  <c r="J5" i="61"/>
  <c r="I5" i="61"/>
  <c r="H5" i="61"/>
  <c r="G5" i="61"/>
  <c r="F5" i="61"/>
  <c r="E5" i="61"/>
  <c r="D5" i="61"/>
  <c r="C5" i="61"/>
  <c r="B5" i="61"/>
  <c r="AJ3" i="61"/>
  <c r="AJ19" i="61" s="1"/>
  <c r="AI3" i="61"/>
  <c r="AI19" i="61" s="1"/>
  <c r="AC49" i="60"/>
  <c r="AB49" i="60"/>
  <c r="AA49" i="60"/>
  <c r="Z49" i="60"/>
  <c r="AA20" i="60" s="1"/>
  <c r="AA24" i="60" s="1"/>
  <c r="Y49" i="60"/>
  <c r="X49" i="60"/>
  <c r="W49" i="60"/>
  <c r="X20" i="60" s="1"/>
  <c r="X24" i="60" s="1"/>
  <c r="V49" i="60"/>
  <c r="U49" i="60"/>
  <c r="T49" i="60"/>
  <c r="U20" i="60" s="1"/>
  <c r="S49" i="60"/>
  <c r="R49" i="60"/>
  <c r="S20" i="60" s="1"/>
  <c r="S24" i="60" s="1"/>
  <c r="Q49" i="60"/>
  <c r="P49" i="60"/>
  <c r="O49" i="60"/>
  <c r="P20" i="60" s="1"/>
  <c r="P24" i="60" s="1"/>
  <c r="N49" i="60"/>
  <c r="M49" i="60"/>
  <c r="L49" i="60"/>
  <c r="M20" i="60" s="1"/>
  <c r="M24" i="60" s="1"/>
  <c r="K49" i="60"/>
  <c r="J49" i="60"/>
  <c r="K20" i="60" s="1"/>
  <c r="K24" i="60" s="1"/>
  <c r="I49" i="60"/>
  <c r="H49" i="60"/>
  <c r="G49" i="60"/>
  <c r="H20" i="60" s="1"/>
  <c r="H24" i="60" s="1"/>
  <c r="F49" i="60"/>
  <c r="E49" i="60"/>
  <c r="D49" i="60"/>
  <c r="E20" i="60" s="1"/>
  <c r="E24" i="60" s="1"/>
  <c r="C49" i="60"/>
  <c r="B49" i="60"/>
  <c r="C20" i="60" s="1"/>
  <c r="C24" i="60" s="1"/>
  <c r="AA46" i="60"/>
  <c r="AA47" i="60" s="1"/>
  <c r="X46" i="60"/>
  <c r="W46" i="60"/>
  <c r="W47" i="60" s="1"/>
  <c r="P46" i="60"/>
  <c r="O46" i="60"/>
  <c r="I46" i="60"/>
  <c r="I47" i="60" s="1"/>
  <c r="G46" i="60"/>
  <c r="F46" i="60"/>
  <c r="C46" i="60"/>
  <c r="C47" i="60" s="1"/>
  <c r="AD44" i="60"/>
  <c r="AD46" i="60" s="1"/>
  <c r="AD47" i="60" s="1"/>
  <c r="AC44" i="60"/>
  <c r="AC46" i="60" s="1"/>
  <c r="AB44" i="60"/>
  <c r="AB46" i="60" s="1"/>
  <c r="AB47" i="60" s="1"/>
  <c r="AA44" i="60"/>
  <c r="Z44" i="60"/>
  <c r="Z46" i="60" s="1"/>
  <c r="Y44" i="60"/>
  <c r="Y46" i="60" s="1"/>
  <c r="X44" i="60"/>
  <c r="W44" i="60"/>
  <c r="V44" i="60"/>
  <c r="V46" i="60" s="1"/>
  <c r="V47" i="60" s="1"/>
  <c r="U44" i="60"/>
  <c r="U46" i="60" s="1"/>
  <c r="T44" i="60"/>
  <c r="T46" i="60" s="1"/>
  <c r="T47" i="60" s="1"/>
  <c r="S44" i="60"/>
  <c r="S46" i="60" s="1"/>
  <c r="R44" i="60"/>
  <c r="R46" i="60" s="1"/>
  <c r="Q44" i="60"/>
  <c r="Q46" i="60" s="1"/>
  <c r="Q47" i="60" s="1"/>
  <c r="P44" i="60"/>
  <c r="O44" i="60"/>
  <c r="N44" i="60"/>
  <c r="N46" i="60" s="1"/>
  <c r="N47" i="60" s="1"/>
  <c r="M44" i="60"/>
  <c r="M46" i="60" s="1"/>
  <c r="L44" i="60"/>
  <c r="L46" i="60" s="1"/>
  <c r="L47" i="60" s="1"/>
  <c r="K44" i="60"/>
  <c r="K46" i="60" s="1"/>
  <c r="J44" i="60"/>
  <c r="J46" i="60" s="1"/>
  <c r="I44" i="60"/>
  <c r="H44" i="60"/>
  <c r="H46" i="60" s="1"/>
  <c r="G44" i="60"/>
  <c r="F44" i="60"/>
  <c r="E44" i="60"/>
  <c r="E46" i="60" s="1"/>
  <c r="D44" i="60"/>
  <c r="D46" i="60" s="1"/>
  <c r="D47" i="60" s="1"/>
  <c r="C44" i="60"/>
  <c r="B44" i="60"/>
  <c r="B46" i="60" s="1"/>
  <c r="AD38" i="60"/>
  <c r="O38" i="60"/>
  <c r="B38" i="60"/>
  <c r="B47" i="60" s="1"/>
  <c r="AD37" i="60"/>
  <c r="AC37" i="60"/>
  <c r="AB37" i="60"/>
  <c r="AB38" i="60" s="1"/>
  <c r="Z37" i="60"/>
  <c r="Z38" i="60" s="1"/>
  <c r="Z47" i="60" s="1"/>
  <c r="W37" i="60"/>
  <c r="W38" i="60" s="1"/>
  <c r="V37" i="60"/>
  <c r="V38" i="60" s="1"/>
  <c r="T37" i="60"/>
  <c r="T38" i="60" s="1"/>
  <c r="Q37" i="60"/>
  <c r="Q38" i="60" s="1"/>
  <c r="O37" i="60"/>
  <c r="N37" i="60"/>
  <c r="N38" i="60" s="1"/>
  <c r="L37" i="60"/>
  <c r="L38" i="60" s="1"/>
  <c r="J37" i="60"/>
  <c r="J38" i="60" s="1"/>
  <c r="I37" i="60"/>
  <c r="I38" i="60" s="1"/>
  <c r="G37" i="60"/>
  <c r="G38" i="60" s="1"/>
  <c r="F37" i="60"/>
  <c r="F38" i="60" s="1"/>
  <c r="D37" i="60"/>
  <c r="D38" i="60" s="1"/>
  <c r="B37" i="60"/>
  <c r="AA35" i="60"/>
  <c r="AA37" i="60" s="1"/>
  <c r="AA38" i="60" s="1"/>
  <c r="Z35" i="60"/>
  <c r="Y35" i="60"/>
  <c r="Y37" i="60" s="1"/>
  <c r="Y38" i="60" s="1"/>
  <c r="X35" i="60"/>
  <c r="X37" i="60" s="1"/>
  <c r="X38" i="60" s="1"/>
  <c r="W35" i="60"/>
  <c r="V35" i="60"/>
  <c r="U35" i="60"/>
  <c r="U37" i="60" s="1"/>
  <c r="T35" i="60"/>
  <c r="S35" i="60"/>
  <c r="S37" i="60" s="1"/>
  <c r="S38" i="60" s="1"/>
  <c r="R35" i="60"/>
  <c r="R37" i="60" s="1"/>
  <c r="R38" i="60" s="1"/>
  <c r="R47" i="60" s="1"/>
  <c r="Q35" i="60"/>
  <c r="P35" i="60"/>
  <c r="P37" i="60" s="1"/>
  <c r="P38" i="60" s="1"/>
  <c r="O35" i="60"/>
  <c r="N35" i="60"/>
  <c r="M35" i="60"/>
  <c r="M37" i="60" s="1"/>
  <c r="L35" i="60"/>
  <c r="K35" i="60"/>
  <c r="K37" i="60" s="1"/>
  <c r="K38" i="60" s="1"/>
  <c r="J35" i="60"/>
  <c r="I35" i="60"/>
  <c r="H35" i="60"/>
  <c r="H37" i="60" s="1"/>
  <c r="H38" i="60" s="1"/>
  <c r="G35" i="60"/>
  <c r="F35" i="60"/>
  <c r="E35" i="60"/>
  <c r="E37" i="60" s="1"/>
  <c r="D35" i="60"/>
  <c r="C35" i="60"/>
  <c r="C37" i="60" s="1"/>
  <c r="C38" i="60" s="1"/>
  <c r="B35" i="60"/>
  <c r="AD31" i="60"/>
  <c r="AC31" i="60"/>
  <c r="AB31" i="60"/>
  <c r="AA31" i="60"/>
  <c r="Z31" i="60"/>
  <c r="Y31" i="60"/>
  <c r="X31" i="60"/>
  <c r="W31" i="60"/>
  <c r="V31" i="60"/>
  <c r="U31" i="60"/>
  <c r="U38" i="60" s="1"/>
  <c r="T31" i="60"/>
  <c r="S31" i="60"/>
  <c r="R31" i="60"/>
  <c r="Q31" i="60"/>
  <c r="P31" i="60"/>
  <c r="O31" i="60"/>
  <c r="N31" i="60"/>
  <c r="M31" i="60"/>
  <c r="L31" i="60"/>
  <c r="K31" i="60"/>
  <c r="J31" i="60"/>
  <c r="I31" i="60"/>
  <c r="H31" i="60"/>
  <c r="G31" i="60"/>
  <c r="F31" i="60"/>
  <c r="E31" i="60"/>
  <c r="D31" i="60"/>
  <c r="C31" i="60"/>
  <c r="B31" i="60"/>
  <c r="AD24" i="60"/>
  <c r="AC24" i="60"/>
  <c r="AB24" i="60"/>
  <c r="Z24" i="60"/>
  <c r="U24" i="60"/>
  <c r="R24" i="60"/>
  <c r="J24" i="60"/>
  <c r="B24" i="60"/>
  <c r="Z20" i="60"/>
  <c r="Y20" i="60"/>
  <c r="Y24" i="60" s="1"/>
  <c r="W20" i="60"/>
  <c r="W24" i="60" s="1"/>
  <c r="V20" i="60"/>
  <c r="V24" i="60" s="1"/>
  <c r="T20" i="60"/>
  <c r="T24" i="60" s="1"/>
  <c r="R20" i="60"/>
  <c r="Q20" i="60"/>
  <c r="Q24" i="60" s="1"/>
  <c r="O20" i="60"/>
  <c r="O24" i="60" s="1"/>
  <c r="N20" i="60"/>
  <c r="N24" i="60" s="1"/>
  <c r="L20" i="60"/>
  <c r="L24" i="60" s="1"/>
  <c r="J20" i="60"/>
  <c r="I20" i="60"/>
  <c r="I24" i="60" s="1"/>
  <c r="G20" i="60"/>
  <c r="G24" i="60" s="1"/>
  <c r="F20" i="60"/>
  <c r="F24" i="60" s="1"/>
  <c r="D20" i="60"/>
  <c r="D24" i="60" s="1"/>
  <c r="AD16" i="60"/>
  <c r="AC16" i="60"/>
  <c r="AB16" i="60"/>
  <c r="AA16" i="60"/>
  <c r="AD11" i="60"/>
  <c r="AC11" i="60"/>
  <c r="AB11" i="60"/>
  <c r="AA11" i="60"/>
  <c r="Z11" i="60"/>
  <c r="Y11" i="60"/>
  <c r="X11" i="60"/>
  <c r="W11" i="60"/>
  <c r="V11" i="60"/>
  <c r="U11" i="60"/>
  <c r="T11" i="60"/>
  <c r="S11" i="60"/>
  <c r="R11" i="60"/>
  <c r="Q11" i="60"/>
  <c r="P11" i="60"/>
  <c r="O11" i="60"/>
  <c r="N11" i="60"/>
  <c r="M11" i="60"/>
  <c r="L11" i="60"/>
  <c r="K11" i="60"/>
  <c r="J11" i="60"/>
  <c r="I11" i="60"/>
  <c r="H11" i="60"/>
  <c r="G11" i="60"/>
  <c r="F11" i="60"/>
  <c r="E11" i="60"/>
  <c r="D11" i="60"/>
  <c r="C11" i="60"/>
  <c r="B11" i="60"/>
  <c r="AD8" i="60"/>
  <c r="AC8" i="60"/>
  <c r="AB8" i="60"/>
  <c r="AA8" i="60"/>
  <c r="Z8" i="60"/>
  <c r="Y8" i="60"/>
  <c r="X8" i="60"/>
  <c r="W8" i="60"/>
  <c r="V8" i="60"/>
  <c r="U8" i="60"/>
  <c r="T8" i="60"/>
  <c r="S8" i="60"/>
  <c r="R8" i="60"/>
  <c r="Q8" i="60"/>
  <c r="P8" i="60"/>
  <c r="O8" i="60"/>
  <c r="N8" i="60"/>
  <c r="M8" i="60"/>
  <c r="L8" i="60"/>
  <c r="K8" i="60"/>
  <c r="J8" i="60"/>
  <c r="I8" i="60"/>
  <c r="H8" i="60"/>
  <c r="G8" i="60"/>
  <c r="F8" i="60"/>
  <c r="E8" i="60"/>
  <c r="D8" i="60"/>
  <c r="C8" i="60"/>
  <c r="B8" i="60"/>
  <c r="AD5" i="60"/>
  <c r="AC5" i="60"/>
  <c r="AB5" i="60"/>
  <c r="AA5" i="60"/>
  <c r="Z5" i="60"/>
  <c r="Y5" i="60"/>
  <c r="X5" i="60"/>
  <c r="W5" i="60"/>
  <c r="V5" i="60"/>
  <c r="U5" i="60"/>
  <c r="T5" i="60"/>
  <c r="S5" i="60"/>
  <c r="R5" i="60"/>
  <c r="Q5" i="60"/>
  <c r="P5" i="60"/>
  <c r="O5" i="60"/>
  <c r="N5" i="60"/>
  <c r="M5" i="60"/>
  <c r="L5" i="60"/>
  <c r="K5" i="60"/>
  <c r="J5" i="60"/>
  <c r="I5" i="60"/>
  <c r="H5" i="60"/>
  <c r="G5" i="60"/>
  <c r="F5" i="60"/>
  <c r="E5" i="60"/>
  <c r="D5" i="60"/>
  <c r="C5" i="60"/>
  <c r="B5" i="60"/>
  <c r="AD3" i="60"/>
  <c r="AD17" i="60" s="1"/>
  <c r="AC3" i="60"/>
  <c r="AC17" i="60" s="1"/>
  <c r="AC52" i="59"/>
  <c r="AB52" i="59"/>
  <c r="AA52" i="59"/>
  <c r="Z52" i="59"/>
  <c r="Y52" i="59"/>
  <c r="X52" i="59"/>
  <c r="W52" i="59"/>
  <c r="X22" i="59" s="1"/>
  <c r="X26" i="59" s="1"/>
  <c r="V52" i="59"/>
  <c r="U52" i="59"/>
  <c r="T52" i="59"/>
  <c r="U22" i="59" s="1"/>
  <c r="U26" i="59" s="1"/>
  <c r="S52" i="59"/>
  <c r="R52" i="59"/>
  <c r="S22" i="59" s="1"/>
  <c r="S26" i="59" s="1"/>
  <c r="Q52" i="59"/>
  <c r="P52" i="59"/>
  <c r="O52" i="59"/>
  <c r="P22" i="59" s="1"/>
  <c r="P26" i="59" s="1"/>
  <c r="N52" i="59"/>
  <c r="M52" i="59"/>
  <c r="L52" i="59"/>
  <c r="M22" i="59" s="1"/>
  <c r="M26" i="59" s="1"/>
  <c r="K52" i="59"/>
  <c r="J52" i="59"/>
  <c r="K22" i="59" s="1"/>
  <c r="K26" i="59" s="1"/>
  <c r="I52" i="59"/>
  <c r="H52" i="59"/>
  <c r="G52" i="59"/>
  <c r="H22" i="59" s="1"/>
  <c r="H26" i="59" s="1"/>
  <c r="F52" i="59"/>
  <c r="E52" i="59"/>
  <c r="D52" i="59"/>
  <c r="E22" i="59" s="1"/>
  <c r="E26" i="59" s="1"/>
  <c r="C52" i="59"/>
  <c r="B52" i="59"/>
  <c r="C22" i="59" s="1"/>
  <c r="C26" i="59" s="1"/>
  <c r="AB49" i="59"/>
  <c r="Y49" i="59"/>
  <c r="Y50" i="59" s="1"/>
  <c r="W49" i="59"/>
  <c r="T49" i="59"/>
  <c r="T50" i="59" s="1"/>
  <c r="O49" i="59"/>
  <c r="L49" i="59"/>
  <c r="L50" i="59" s="1"/>
  <c r="G49" i="59"/>
  <c r="D49" i="59"/>
  <c r="D50" i="59" s="1"/>
  <c r="AD48" i="59"/>
  <c r="AD49" i="59" s="1"/>
  <c r="AD50" i="59" s="1"/>
  <c r="AC48" i="59"/>
  <c r="AC49" i="59" s="1"/>
  <c r="AC50" i="59" s="1"/>
  <c r="AB48" i="59"/>
  <c r="AA48" i="59"/>
  <c r="Z48" i="59"/>
  <c r="Z49" i="59" s="1"/>
  <c r="Y48" i="59"/>
  <c r="X48" i="59"/>
  <c r="X49" i="59" s="1"/>
  <c r="W48" i="59"/>
  <c r="V48" i="59"/>
  <c r="V49" i="59" s="1"/>
  <c r="V50" i="59" s="1"/>
  <c r="U48" i="59"/>
  <c r="U49" i="59" s="1"/>
  <c r="T48" i="59"/>
  <c r="S48" i="59"/>
  <c r="R48" i="59"/>
  <c r="R49" i="59" s="1"/>
  <c r="Q48" i="59"/>
  <c r="Q49" i="59" s="1"/>
  <c r="Q50" i="59" s="1"/>
  <c r="P48" i="59"/>
  <c r="P49" i="59" s="1"/>
  <c r="O48" i="59"/>
  <c r="N48" i="59"/>
  <c r="N49" i="59" s="1"/>
  <c r="N50" i="59" s="1"/>
  <c r="M48" i="59"/>
  <c r="M49" i="59" s="1"/>
  <c r="L48" i="59"/>
  <c r="K48" i="59"/>
  <c r="J48" i="59"/>
  <c r="J49" i="59" s="1"/>
  <c r="I48" i="59"/>
  <c r="I49" i="59" s="1"/>
  <c r="I50" i="59" s="1"/>
  <c r="H48" i="59"/>
  <c r="H49" i="59" s="1"/>
  <c r="G48" i="59"/>
  <c r="F48" i="59"/>
  <c r="F49" i="59" s="1"/>
  <c r="F50" i="59" s="1"/>
  <c r="E48" i="59"/>
  <c r="E49" i="59" s="1"/>
  <c r="D48" i="59"/>
  <c r="C48" i="59"/>
  <c r="B48" i="59"/>
  <c r="B49" i="59" s="1"/>
  <c r="AD44" i="59"/>
  <c r="AC44" i="59"/>
  <c r="AB44" i="59"/>
  <c r="AA44" i="59"/>
  <c r="Z44" i="59"/>
  <c r="Y44" i="59"/>
  <c r="X44" i="59"/>
  <c r="W44" i="59"/>
  <c r="V44" i="59"/>
  <c r="U44" i="59"/>
  <c r="T44" i="59"/>
  <c r="S44" i="59"/>
  <c r="R44" i="59"/>
  <c r="Q44" i="59"/>
  <c r="P44" i="59"/>
  <c r="O44" i="59"/>
  <c r="N44" i="59"/>
  <c r="M44" i="59"/>
  <c r="L44" i="59"/>
  <c r="K44" i="59"/>
  <c r="J44" i="59"/>
  <c r="I44" i="59"/>
  <c r="H44" i="59"/>
  <c r="G44" i="59"/>
  <c r="F44" i="59"/>
  <c r="E44" i="59"/>
  <c r="D44" i="59"/>
  <c r="C44" i="59"/>
  <c r="B44" i="59"/>
  <c r="AD39" i="59"/>
  <c r="P39" i="59"/>
  <c r="K39" i="59"/>
  <c r="H39" i="59"/>
  <c r="AD38" i="59"/>
  <c r="AC38" i="59"/>
  <c r="AC39" i="59" s="1"/>
  <c r="AB38" i="59"/>
  <c r="Y38" i="59"/>
  <c r="Y39" i="59" s="1"/>
  <c r="X38" i="59"/>
  <c r="X39" i="59" s="1"/>
  <c r="U38" i="59"/>
  <c r="U39" i="59" s="1"/>
  <c r="Q38" i="59"/>
  <c r="Q39" i="59" s="1"/>
  <c r="P38" i="59"/>
  <c r="M38" i="59"/>
  <c r="M39" i="59" s="1"/>
  <c r="I38" i="59"/>
  <c r="I39" i="59" s="1"/>
  <c r="H38" i="59"/>
  <c r="E38" i="59"/>
  <c r="E39" i="59" s="1"/>
  <c r="AA36" i="59"/>
  <c r="AA38" i="59" s="1"/>
  <c r="AA39" i="59" s="1"/>
  <c r="Z36" i="59"/>
  <c r="Z38" i="59" s="1"/>
  <c r="Z39" i="59" s="1"/>
  <c r="Y36" i="59"/>
  <c r="X36" i="59"/>
  <c r="W36" i="59"/>
  <c r="W38" i="59" s="1"/>
  <c r="V36" i="59"/>
  <c r="V38" i="59" s="1"/>
  <c r="V39" i="59" s="1"/>
  <c r="U36" i="59"/>
  <c r="T36" i="59"/>
  <c r="T38" i="59" s="1"/>
  <c r="T39" i="59" s="1"/>
  <c r="S36" i="59"/>
  <c r="S38" i="59" s="1"/>
  <c r="S39" i="59" s="1"/>
  <c r="R36" i="59"/>
  <c r="R38" i="59" s="1"/>
  <c r="R39" i="59" s="1"/>
  <c r="Q36" i="59"/>
  <c r="P36" i="59"/>
  <c r="O36" i="59"/>
  <c r="O38" i="59" s="1"/>
  <c r="N36" i="59"/>
  <c r="N38" i="59" s="1"/>
  <c r="N39" i="59" s="1"/>
  <c r="M36" i="59"/>
  <c r="L36" i="59"/>
  <c r="L38" i="59" s="1"/>
  <c r="L39" i="59" s="1"/>
  <c r="K36" i="59"/>
  <c r="K38" i="59" s="1"/>
  <c r="J36" i="59"/>
  <c r="J38" i="59" s="1"/>
  <c r="J39" i="59" s="1"/>
  <c r="I36" i="59"/>
  <c r="H36" i="59"/>
  <c r="G36" i="59"/>
  <c r="G38" i="59" s="1"/>
  <c r="F36" i="59"/>
  <c r="F38" i="59" s="1"/>
  <c r="F39" i="59" s="1"/>
  <c r="E36" i="59"/>
  <c r="D36" i="59"/>
  <c r="D38" i="59" s="1"/>
  <c r="D39" i="59" s="1"/>
  <c r="C36" i="59"/>
  <c r="C38" i="59" s="1"/>
  <c r="C39" i="59" s="1"/>
  <c r="B36" i="59"/>
  <c r="B38" i="59" s="1"/>
  <c r="B39" i="59" s="1"/>
  <c r="AD32" i="59"/>
  <c r="AC32" i="59"/>
  <c r="AB32" i="59"/>
  <c r="AA32" i="59"/>
  <c r="Z32" i="59"/>
  <c r="Y32" i="59"/>
  <c r="X32" i="59"/>
  <c r="W32" i="59"/>
  <c r="V32" i="59"/>
  <c r="U32" i="59"/>
  <c r="T32" i="59"/>
  <c r="S32" i="59"/>
  <c r="R32" i="59"/>
  <c r="Q32" i="59"/>
  <c r="P32" i="59"/>
  <c r="O32" i="59"/>
  <c r="N32" i="59"/>
  <c r="M32" i="59"/>
  <c r="L32" i="59"/>
  <c r="K32" i="59"/>
  <c r="J32" i="59"/>
  <c r="I32" i="59"/>
  <c r="H32" i="59"/>
  <c r="G32" i="59"/>
  <c r="F32" i="59"/>
  <c r="E32" i="59"/>
  <c r="D32" i="59"/>
  <c r="C32" i="59"/>
  <c r="B32" i="59"/>
  <c r="AD26" i="59"/>
  <c r="AC26" i="59"/>
  <c r="AB26" i="59"/>
  <c r="Y26" i="59"/>
  <c r="T26" i="59"/>
  <c r="Q26" i="59"/>
  <c r="L26" i="59"/>
  <c r="I26" i="59"/>
  <c r="D26" i="59"/>
  <c r="B26" i="59"/>
  <c r="AA22" i="59"/>
  <c r="AA26" i="59" s="1"/>
  <c r="Z22" i="59"/>
  <c r="Z26" i="59" s="1"/>
  <c r="Y22" i="59"/>
  <c r="W22" i="59"/>
  <c r="W26" i="59" s="1"/>
  <c r="V22" i="59"/>
  <c r="V26" i="59" s="1"/>
  <c r="T22" i="59"/>
  <c r="R22" i="59"/>
  <c r="R26" i="59" s="1"/>
  <c r="Q22" i="59"/>
  <c r="O22" i="59"/>
  <c r="O26" i="59" s="1"/>
  <c r="N22" i="59"/>
  <c r="N26" i="59" s="1"/>
  <c r="L22" i="59"/>
  <c r="J22" i="59"/>
  <c r="J26" i="59" s="1"/>
  <c r="I22" i="59"/>
  <c r="G22" i="59"/>
  <c r="G26" i="59" s="1"/>
  <c r="F22" i="59"/>
  <c r="F26" i="59" s="1"/>
  <c r="D22" i="59"/>
  <c r="AD18" i="59"/>
  <c r="AC18" i="59"/>
  <c r="AB18" i="59"/>
  <c r="AA18" i="59"/>
  <c r="Z18" i="59"/>
  <c r="Y18" i="59"/>
  <c r="S18" i="59"/>
  <c r="AD12" i="59"/>
  <c r="AC12" i="59"/>
  <c r="AB12" i="59"/>
  <c r="AA12" i="59"/>
  <c r="X12" i="59"/>
  <c r="U12" i="59"/>
  <c r="T12" i="59"/>
  <c r="S12" i="59"/>
  <c r="R12" i="59"/>
  <c r="Q12" i="59"/>
  <c r="P12" i="59"/>
  <c r="O12" i="59"/>
  <c r="N12" i="59"/>
  <c r="M12" i="59"/>
  <c r="L12" i="59"/>
  <c r="K12" i="59"/>
  <c r="J12" i="59"/>
  <c r="I12" i="59"/>
  <c r="H12" i="59"/>
  <c r="G12" i="59"/>
  <c r="F12" i="59"/>
  <c r="E12" i="59"/>
  <c r="D12" i="59"/>
  <c r="C12" i="59"/>
  <c r="B12" i="59"/>
  <c r="AB11" i="59"/>
  <c r="AA11" i="59"/>
  <c r="Z11" i="59"/>
  <c r="Z12" i="59" s="1"/>
  <c r="Y11" i="59"/>
  <c r="Y12" i="59" s="1"/>
  <c r="X11" i="59"/>
  <c r="W11" i="59"/>
  <c r="W12" i="59" s="1"/>
  <c r="V11" i="59"/>
  <c r="V12" i="59" s="1"/>
  <c r="U11" i="59"/>
  <c r="T11" i="59"/>
  <c r="S11" i="59"/>
  <c r="AD8" i="59"/>
  <c r="AC8" i="59"/>
  <c r="AB8" i="59"/>
  <c r="AA8" i="59"/>
  <c r="Z8" i="59"/>
  <c r="Y8" i="59"/>
  <c r="X8" i="59"/>
  <c r="W8" i="59"/>
  <c r="V8" i="59"/>
  <c r="U8" i="59"/>
  <c r="T8" i="59"/>
  <c r="S8" i="59"/>
  <c r="R8" i="59"/>
  <c r="Q8" i="59"/>
  <c r="P8" i="59"/>
  <c r="O8" i="59"/>
  <c r="N8" i="59"/>
  <c r="M8" i="59"/>
  <c r="L8" i="59"/>
  <c r="K8" i="59"/>
  <c r="J8" i="59"/>
  <c r="I8" i="59"/>
  <c r="H8" i="59"/>
  <c r="G8" i="59"/>
  <c r="F8" i="59"/>
  <c r="E8" i="59"/>
  <c r="D8" i="59"/>
  <c r="C8" i="59"/>
  <c r="B8" i="59"/>
  <c r="AD5" i="59"/>
  <c r="AC5" i="59"/>
  <c r="AB5" i="59"/>
  <c r="AA5" i="59"/>
  <c r="Z5" i="59"/>
  <c r="Y5" i="59"/>
  <c r="X5" i="59"/>
  <c r="W5" i="59"/>
  <c r="V5" i="59"/>
  <c r="U5" i="59"/>
  <c r="T5" i="59"/>
  <c r="S5" i="59"/>
  <c r="R5" i="59"/>
  <c r="Q5" i="59"/>
  <c r="P5" i="59"/>
  <c r="O5" i="59"/>
  <c r="N5" i="59"/>
  <c r="M5" i="59"/>
  <c r="L5" i="59"/>
  <c r="K5" i="59"/>
  <c r="J5" i="59"/>
  <c r="I5" i="59"/>
  <c r="H5" i="59"/>
  <c r="G5" i="59"/>
  <c r="F5" i="59"/>
  <c r="E5" i="59"/>
  <c r="D5" i="59"/>
  <c r="C5" i="59"/>
  <c r="B5" i="59"/>
  <c r="AD3" i="59"/>
  <c r="AD19" i="59" s="1"/>
  <c r="AC3" i="59"/>
  <c r="AC19" i="59" s="1"/>
  <c r="AC57" i="58"/>
  <c r="AB57" i="58"/>
  <c r="AA57" i="58"/>
  <c r="Z57" i="58"/>
  <c r="Y57" i="58"/>
  <c r="X57" i="58"/>
  <c r="Y22" i="58" s="1"/>
  <c r="Y26" i="58" s="1"/>
  <c r="W57" i="58"/>
  <c r="V57" i="58"/>
  <c r="W22" i="58" s="1"/>
  <c r="W26" i="58" s="1"/>
  <c r="U57" i="58"/>
  <c r="T57" i="58"/>
  <c r="S57" i="58"/>
  <c r="R57" i="58"/>
  <c r="Q57" i="58"/>
  <c r="P57" i="58"/>
  <c r="Q22" i="58" s="1"/>
  <c r="Q26" i="58" s="1"/>
  <c r="O57" i="58"/>
  <c r="N57" i="58"/>
  <c r="O22" i="58" s="1"/>
  <c r="O26" i="58" s="1"/>
  <c r="M57" i="58"/>
  <c r="L57" i="58"/>
  <c r="K57" i="58"/>
  <c r="J57" i="58"/>
  <c r="I57" i="58"/>
  <c r="H57" i="58"/>
  <c r="I22" i="58" s="1"/>
  <c r="I26" i="58" s="1"/>
  <c r="G57" i="58"/>
  <c r="H22" i="58" s="1"/>
  <c r="H26" i="58" s="1"/>
  <c r="F57" i="58"/>
  <c r="G22" i="58" s="1"/>
  <c r="G26" i="58" s="1"/>
  <c r="E57" i="58"/>
  <c r="D57" i="58"/>
  <c r="C57" i="58"/>
  <c r="B57" i="58"/>
  <c r="AA55" i="58"/>
  <c r="X55" i="58"/>
  <c r="T55" i="58"/>
  <c r="C55" i="58"/>
  <c r="AC54" i="58"/>
  <c r="AC55" i="58" s="1"/>
  <c r="Y54" i="58"/>
  <c r="X54" i="58"/>
  <c r="Q54" i="58"/>
  <c r="P54" i="58"/>
  <c r="P55" i="58" s="1"/>
  <c r="M54" i="58"/>
  <c r="M55" i="58" s="1"/>
  <c r="I54" i="58"/>
  <c r="H54" i="58"/>
  <c r="H55" i="58" s="1"/>
  <c r="AD53" i="58"/>
  <c r="AD54" i="58" s="1"/>
  <c r="AC53" i="58"/>
  <c r="AB53" i="58"/>
  <c r="AA53" i="58"/>
  <c r="Z53" i="58"/>
  <c r="Z54" i="58" s="1"/>
  <c r="Z55" i="58" s="1"/>
  <c r="Y53" i="58"/>
  <c r="X53" i="58"/>
  <c r="W53" i="58"/>
  <c r="V53" i="58"/>
  <c r="V54" i="58" s="1"/>
  <c r="U53" i="58"/>
  <c r="U54" i="58" s="1"/>
  <c r="U55" i="58" s="1"/>
  <c r="T53" i="58"/>
  <c r="S53" i="58"/>
  <c r="R53" i="58"/>
  <c r="R54" i="58" s="1"/>
  <c r="Q53" i="58"/>
  <c r="P53" i="58"/>
  <c r="O53" i="58"/>
  <c r="N53" i="58"/>
  <c r="N54" i="58" s="1"/>
  <c r="M53" i="58"/>
  <c r="L53" i="58"/>
  <c r="K53" i="58"/>
  <c r="J53" i="58"/>
  <c r="J54" i="58" s="1"/>
  <c r="I53" i="58"/>
  <c r="H53" i="58"/>
  <c r="G53" i="58"/>
  <c r="F53" i="58"/>
  <c r="F54" i="58" s="1"/>
  <c r="E53" i="58"/>
  <c r="E54" i="58" s="1"/>
  <c r="E55" i="58" s="1"/>
  <c r="D53" i="58"/>
  <c r="C53" i="58"/>
  <c r="B53" i="58"/>
  <c r="B54" i="58" s="1"/>
  <c r="B55" i="58" s="1"/>
  <c r="AD47" i="58"/>
  <c r="AC47" i="58"/>
  <c r="AB47" i="58"/>
  <c r="AB54" i="58" s="1"/>
  <c r="AA47" i="58"/>
  <c r="AA54" i="58" s="1"/>
  <c r="Z47" i="58"/>
  <c r="Y47" i="58"/>
  <c r="X47" i="58"/>
  <c r="W47" i="58"/>
  <c r="V47" i="58"/>
  <c r="U47" i="58"/>
  <c r="T47" i="58"/>
  <c r="T54" i="58" s="1"/>
  <c r="S47" i="58"/>
  <c r="S54" i="58" s="1"/>
  <c r="S55" i="58" s="1"/>
  <c r="R47" i="58"/>
  <c r="Q47" i="58"/>
  <c r="P47" i="58"/>
  <c r="O47" i="58"/>
  <c r="N47" i="58"/>
  <c r="M47" i="58"/>
  <c r="L47" i="58"/>
  <c r="L54" i="58" s="1"/>
  <c r="K47" i="58"/>
  <c r="K54" i="58" s="1"/>
  <c r="K55" i="58" s="1"/>
  <c r="J47" i="58"/>
  <c r="I47" i="58"/>
  <c r="H47" i="58"/>
  <c r="G47" i="58"/>
  <c r="F47" i="58"/>
  <c r="E47" i="58"/>
  <c r="D47" i="58"/>
  <c r="D54" i="58" s="1"/>
  <c r="C47" i="58"/>
  <c r="C54" i="58" s="1"/>
  <c r="B47" i="58"/>
  <c r="X42" i="58"/>
  <c r="W42" i="58"/>
  <c r="T42" i="58"/>
  <c r="P42" i="58"/>
  <c r="O42" i="58"/>
  <c r="H42" i="58"/>
  <c r="G42" i="58"/>
  <c r="D42" i="58"/>
  <c r="D55" i="58" s="1"/>
  <c r="AD41" i="58"/>
  <c r="AC41" i="58"/>
  <c r="AC42" i="58" s="1"/>
  <c r="AB41" i="58"/>
  <c r="AB42" i="58" s="1"/>
  <c r="AB55" i="58" s="1"/>
  <c r="AA41" i="58"/>
  <c r="Z41" i="58"/>
  <c r="Y41" i="58"/>
  <c r="Y42" i="58" s="1"/>
  <c r="X41" i="58"/>
  <c r="W41" i="58"/>
  <c r="V41" i="58"/>
  <c r="U41" i="58"/>
  <c r="U42" i="58" s="1"/>
  <c r="T41" i="58"/>
  <c r="S41" i="58"/>
  <c r="R41" i="58"/>
  <c r="Q41" i="58"/>
  <c r="Q42" i="58" s="1"/>
  <c r="P41" i="58"/>
  <c r="O41" i="58"/>
  <c r="N41" i="58"/>
  <c r="M41" i="58"/>
  <c r="M42" i="58" s="1"/>
  <c r="L41" i="58"/>
  <c r="L42" i="58" s="1"/>
  <c r="K41" i="58"/>
  <c r="J41" i="58"/>
  <c r="I41" i="58"/>
  <c r="I42" i="58" s="1"/>
  <c r="H41" i="58"/>
  <c r="G41" i="58"/>
  <c r="F41" i="58"/>
  <c r="E41" i="58"/>
  <c r="E42" i="58" s="1"/>
  <c r="D41" i="58"/>
  <c r="C41" i="58"/>
  <c r="B41" i="58"/>
  <c r="AD35" i="58"/>
  <c r="AC35" i="58"/>
  <c r="AB35" i="58"/>
  <c r="AA35" i="58"/>
  <c r="AA42" i="58" s="1"/>
  <c r="Z35" i="58"/>
  <c r="Z42" i="58" s="1"/>
  <c r="Y35" i="58"/>
  <c r="X35" i="58"/>
  <c r="W35" i="58"/>
  <c r="V35" i="58"/>
  <c r="U35" i="58"/>
  <c r="T35" i="58"/>
  <c r="S35" i="58"/>
  <c r="S42" i="58" s="1"/>
  <c r="R35" i="58"/>
  <c r="Q35" i="58"/>
  <c r="P35" i="58"/>
  <c r="O35" i="58"/>
  <c r="N35" i="58"/>
  <c r="M35" i="58"/>
  <c r="L35" i="58"/>
  <c r="K35" i="58"/>
  <c r="K42" i="58" s="1"/>
  <c r="J35" i="58"/>
  <c r="I35" i="58"/>
  <c r="H35" i="58"/>
  <c r="G35" i="58"/>
  <c r="F35" i="58"/>
  <c r="E35" i="58"/>
  <c r="D35" i="58"/>
  <c r="C35" i="58"/>
  <c r="C42" i="58" s="1"/>
  <c r="B35" i="58"/>
  <c r="B42" i="58" s="1"/>
  <c r="AD26" i="58"/>
  <c r="X26" i="58"/>
  <c r="V26" i="58"/>
  <c r="S26" i="58"/>
  <c r="P26" i="58"/>
  <c r="N26" i="58"/>
  <c r="F26" i="58"/>
  <c r="B26" i="58"/>
  <c r="AC22" i="58"/>
  <c r="AC26" i="58" s="1"/>
  <c r="AB22" i="58"/>
  <c r="AB26" i="58" s="1"/>
  <c r="AA22" i="58"/>
  <c r="AA26" i="58" s="1"/>
  <c r="Z22" i="58"/>
  <c r="Z26" i="58" s="1"/>
  <c r="X22" i="58"/>
  <c r="V22" i="58"/>
  <c r="U22" i="58"/>
  <c r="U26" i="58" s="1"/>
  <c r="T22" i="58"/>
  <c r="T26" i="58" s="1"/>
  <c r="S22" i="58"/>
  <c r="R22" i="58"/>
  <c r="R26" i="58" s="1"/>
  <c r="P22" i="58"/>
  <c r="N22" i="58"/>
  <c r="M22" i="58"/>
  <c r="M26" i="58" s="1"/>
  <c r="L22" i="58"/>
  <c r="L26" i="58" s="1"/>
  <c r="K22" i="58"/>
  <c r="K26" i="58" s="1"/>
  <c r="J22" i="58"/>
  <c r="J26" i="58" s="1"/>
  <c r="F22" i="58"/>
  <c r="E22" i="58"/>
  <c r="E26" i="58" s="1"/>
  <c r="D22" i="58"/>
  <c r="D26" i="58" s="1"/>
  <c r="C22" i="58"/>
  <c r="C26" i="58" s="1"/>
  <c r="AD19" i="58"/>
  <c r="AC19" i="58"/>
  <c r="AD18" i="58"/>
  <c r="AC18" i="58"/>
  <c r="AB18" i="58"/>
  <c r="AA18" i="58"/>
  <c r="AD12" i="58"/>
  <c r="AC12" i="58"/>
  <c r="AB12" i="58"/>
  <c r="Y12" i="58"/>
  <c r="U12" i="58"/>
  <c r="T12" i="58"/>
  <c r="R12" i="58"/>
  <c r="Q12" i="58"/>
  <c r="P12" i="58"/>
  <c r="O12" i="58"/>
  <c r="N12" i="58"/>
  <c r="M12" i="58"/>
  <c r="L12" i="58"/>
  <c r="K12" i="58"/>
  <c r="J12" i="58"/>
  <c r="I12" i="58"/>
  <c r="H12" i="58"/>
  <c r="G12" i="58"/>
  <c r="F12" i="58"/>
  <c r="E12" i="58"/>
  <c r="D12" i="58"/>
  <c r="C12" i="58"/>
  <c r="B12" i="58"/>
  <c r="AD11" i="58"/>
  <c r="AC11" i="58"/>
  <c r="AB11" i="58"/>
  <c r="AA11" i="58"/>
  <c r="AA12" i="58" s="1"/>
  <c r="Z11" i="58"/>
  <c r="Z12" i="58" s="1"/>
  <c r="Y11" i="58"/>
  <c r="X11" i="58"/>
  <c r="X12" i="58" s="1"/>
  <c r="W11" i="58"/>
  <c r="W12" i="58" s="1"/>
  <c r="V11" i="58"/>
  <c r="V12" i="58" s="1"/>
  <c r="U11" i="58"/>
  <c r="T11" i="58"/>
  <c r="S11" i="58"/>
  <c r="S12" i="58" s="1"/>
  <c r="AD8" i="58"/>
  <c r="AC8" i="58"/>
  <c r="AB8" i="58"/>
  <c r="AA8" i="58"/>
  <c r="Z8" i="58"/>
  <c r="Y8" i="58"/>
  <c r="X8" i="58"/>
  <c r="W8" i="58"/>
  <c r="V8" i="58"/>
  <c r="U8" i="58"/>
  <c r="T8" i="58"/>
  <c r="S8" i="58"/>
  <c r="R8" i="58"/>
  <c r="Q8" i="58"/>
  <c r="P8" i="58"/>
  <c r="O8" i="58"/>
  <c r="N8" i="58"/>
  <c r="M8" i="58"/>
  <c r="L8" i="58"/>
  <c r="K8" i="58"/>
  <c r="J8" i="58"/>
  <c r="I8" i="58"/>
  <c r="H8" i="58"/>
  <c r="G8" i="58"/>
  <c r="F8" i="58"/>
  <c r="E8" i="58"/>
  <c r="D8" i="58"/>
  <c r="C8" i="58"/>
  <c r="B8" i="58"/>
  <c r="AD5" i="58"/>
  <c r="AC5" i="58"/>
  <c r="AB5" i="58"/>
  <c r="AA5" i="58"/>
  <c r="Z5" i="58"/>
  <c r="Y5" i="58"/>
  <c r="X5" i="58"/>
  <c r="W5" i="58"/>
  <c r="V5" i="58"/>
  <c r="U5" i="58"/>
  <c r="T5" i="58"/>
  <c r="S5" i="58"/>
  <c r="R5" i="58"/>
  <c r="Q5" i="58"/>
  <c r="P5" i="58"/>
  <c r="O5" i="58"/>
  <c r="N5" i="58"/>
  <c r="M5" i="58"/>
  <c r="L5" i="58"/>
  <c r="K5" i="58"/>
  <c r="J5" i="58"/>
  <c r="I5" i="58"/>
  <c r="H5" i="58"/>
  <c r="G5" i="58"/>
  <c r="F5" i="58"/>
  <c r="E5" i="58"/>
  <c r="D5" i="58"/>
  <c r="C5" i="58"/>
  <c r="B5" i="58"/>
  <c r="E1" i="6" l="1" a="1"/>
  <c r="E1" i="6" s="1"/>
  <c r="N6" i="178"/>
  <c r="N41" i="178"/>
  <c r="G22" i="175"/>
  <c r="G21" i="175"/>
  <c r="G2" i="178"/>
  <c r="G199" i="146"/>
  <c r="G198" i="146"/>
  <c r="I31" i="145"/>
  <c r="I29" i="145"/>
  <c r="I30" i="145"/>
  <c r="I28" i="145"/>
  <c r="I12" i="143"/>
  <c r="I4" i="143"/>
  <c r="I7" i="131"/>
  <c r="I3" i="131"/>
  <c r="I15" i="130"/>
  <c r="I31" i="129"/>
  <c r="I18" i="129"/>
  <c r="I22" i="129"/>
  <c r="G487" i="5"/>
  <c r="G495" i="5"/>
  <c r="I4" i="129"/>
  <c r="I27" i="143"/>
  <c r="I8" i="143"/>
  <c r="I8" i="130"/>
  <c r="I5" i="129"/>
  <c r="G488" i="5"/>
  <c r="G486" i="5"/>
  <c r="I15" i="143"/>
  <c r="I8" i="131"/>
  <c r="I16" i="130"/>
  <c r="I34" i="129"/>
  <c r="I26" i="129"/>
  <c r="I23" i="129"/>
  <c r="G489" i="5"/>
  <c r="G492" i="5"/>
  <c r="I28" i="143"/>
  <c r="I4" i="131"/>
  <c r="I3" i="130"/>
  <c r="G490" i="5"/>
  <c r="I10" i="7"/>
  <c r="I19" i="143"/>
  <c r="I16" i="143"/>
  <c r="I3" i="143"/>
  <c r="I11" i="131"/>
  <c r="I19" i="130"/>
  <c r="I11" i="130"/>
  <c r="I35" i="129"/>
  <c r="I27" i="129"/>
  <c r="I13" i="129"/>
  <c r="I8" i="129"/>
  <c r="G491" i="5"/>
  <c r="I23" i="143"/>
  <c r="I11" i="7"/>
  <c r="I11" i="143"/>
  <c r="I7" i="143"/>
  <c r="I12" i="131"/>
  <c r="I20" i="130"/>
  <c r="I12" i="130"/>
  <c r="I7" i="130"/>
  <c r="I4" i="130"/>
  <c r="I30" i="129"/>
  <c r="I17" i="129"/>
  <c r="I14" i="129"/>
  <c r="G493" i="5"/>
  <c r="I24" i="143"/>
  <c r="I20" i="143"/>
  <c r="I9" i="129"/>
  <c r="G494" i="5"/>
  <c r="N11" i="5"/>
  <c r="N9" i="5"/>
  <c r="N2" i="5"/>
  <c r="N8" i="5"/>
  <c r="N7" i="5"/>
  <c r="N13" i="5"/>
  <c r="N12" i="5"/>
  <c r="N4" i="5"/>
  <c r="N15" i="5"/>
  <c r="N3" i="5"/>
  <c r="E2" i="176"/>
  <c r="N14" i="5"/>
  <c r="N2" i="176" s="1"/>
  <c r="N6" i="5"/>
  <c r="N5" i="5"/>
  <c r="E13" i="117"/>
  <c r="D22" i="128" s="1"/>
  <c r="P23" i="128" s="1"/>
  <c r="D8" i="128"/>
  <c r="P9" i="128" s="1"/>
  <c r="E14" i="117"/>
  <c r="D24" i="128" s="1"/>
  <c r="P25" i="128" s="1"/>
  <c r="D10" i="128"/>
  <c r="P11" i="128" s="1"/>
  <c r="F5" i="67"/>
  <c r="C32" i="5" s="1"/>
  <c r="N32" i="5" s="1"/>
  <c r="C30" i="5"/>
  <c r="N30" i="5" s="1"/>
  <c r="P5" i="67"/>
  <c r="C172" i="5" s="1"/>
  <c r="N172" i="5" s="1"/>
  <c r="C171" i="5"/>
  <c r="N171" i="5" s="1"/>
  <c r="L5" i="67"/>
  <c r="C116" i="5" s="1"/>
  <c r="N116" i="5" s="1"/>
  <c r="C119" i="5"/>
  <c r="N119" i="5" s="1"/>
  <c r="Y5" i="67"/>
  <c r="C298" i="5" s="1"/>
  <c r="N298" i="5" s="1"/>
  <c r="C296" i="5"/>
  <c r="N296" i="5" s="1"/>
  <c r="U5" i="67"/>
  <c r="C242" i="5" s="1"/>
  <c r="N242" i="5" s="1"/>
  <c r="C245" i="5"/>
  <c r="N245" i="5" s="1"/>
  <c r="E15" i="117"/>
  <c r="D26" i="128" s="1"/>
  <c r="P27" i="128" s="1"/>
  <c r="D40" i="128"/>
  <c r="P41" i="128" s="1"/>
  <c r="G11" i="176"/>
  <c r="G4" i="176"/>
  <c r="G5" i="176"/>
  <c r="G6" i="176"/>
  <c r="G7" i="176"/>
  <c r="G8" i="176"/>
  <c r="G10" i="176"/>
  <c r="G9" i="176"/>
  <c r="G2" i="176"/>
  <c r="G3" i="176"/>
  <c r="I12" i="129"/>
  <c r="G20" i="175"/>
  <c r="I21" i="129"/>
  <c r="I3" i="129"/>
  <c r="G26" i="174"/>
  <c r="G12" i="150"/>
  <c r="I28" i="169"/>
  <c r="I30" i="169"/>
  <c r="I32" i="169"/>
  <c r="I24" i="169"/>
  <c r="I16" i="169"/>
  <c r="I8" i="169"/>
  <c r="I3" i="169"/>
  <c r="I22" i="169"/>
  <c r="G6" i="150"/>
  <c r="G13" i="150"/>
  <c r="I21" i="169"/>
  <c r="I13" i="169"/>
  <c r="I5" i="169"/>
  <c r="G7" i="150"/>
  <c r="G5" i="150"/>
  <c r="I37" i="169"/>
  <c r="I39" i="169"/>
  <c r="I41" i="169"/>
  <c r="I26" i="169"/>
  <c r="I18" i="169"/>
  <c r="I10" i="169"/>
  <c r="G99" i="146"/>
  <c r="I23" i="169"/>
  <c r="I15" i="169"/>
  <c r="I7" i="169"/>
  <c r="I2" i="169"/>
  <c r="I35" i="169"/>
  <c r="I29" i="169"/>
  <c r="I31" i="169"/>
  <c r="I33" i="169"/>
  <c r="I20" i="169"/>
  <c r="I12" i="169"/>
  <c r="I4" i="169"/>
  <c r="G8" i="150"/>
  <c r="G9" i="150"/>
  <c r="I25" i="169"/>
  <c r="I17" i="169"/>
  <c r="I9" i="169"/>
  <c r="I36" i="169"/>
  <c r="I38" i="169"/>
  <c r="I40" i="169"/>
  <c r="G10" i="150"/>
  <c r="G98" i="146"/>
  <c r="G11" i="150"/>
  <c r="I27" i="169"/>
  <c r="I19" i="169"/>
  <c r="I11" i="169"/>
  <c r="I34" i="169"/>
  <c r="I14" i="169"/>
  <c r="I6" i="169"/>
  <c r="G4" i="166"/>
  <c r="G9" i="166"/>
  <c r="G3" i="166"/>
  <c r="A2" i="154" a="1"/>
  <c r="G136" i="146"/>
  <c r="G145" i="146"/>
  <c r="I8" i="139"/>
  <c r="G144" i="146"/>
  <c r="I23" i="130"/>
  <c r="I10" i="139"/>
  <c r="I10" i="131"/>
  <c r="G177" i="146"/>
  <c r="G185" i="146"/>
  <c r="G176" i="146"/>
  <c r="G184" i="146"/>
  <c r="I9" i="139"/>
  <c r="G5" i="149"/>
  <c r="G137" i="146"/>
  <c r="I13" i="131"/>
  <c r="I22" i="130"/>
  <c r="I41" i="129"/>
  <c r="I42" i="129"/>
  <c r="I43" i="129"/>
  <c r="I44" i="129"/>
  <c r="I27" i="145"/>
  <c r="I13" i="145"/>
  <c r="I9" i="145"/>
  <c r="I5" i="145"/>
  <c r="I17" i="143"/>
  <c r="I25" i="143"/>
  <c r="I35" i="143"/>
  <c r="I13" i="143"/>
  <c r="I5" i="143"/>
  <c r="I6" i="139"/>
  <c r="I2" i="139"/>
  <c r="I5" i="131"/>
  <c r="I17" i="130"/>
  <c r="I39" i="129"/>
  <c r="I19" i="129"/>
  <c r="I9" i="7"/>
  <c r="I18" i="145"/>
  <c r="I11" i="145"/>
  <c r="I3" i="145"/>
  <c r="I39" i="143"/>
  <c r="I4" i="139"/>
  <c r="I9" i="131"/>
  <c r="I10" i="129"/>
  <c r="I33" i="143"/>
  <c r="I3" i="127"/>
  <c r="G3" i="178" s="1"/>
  <c r="I4" i="134"/>
  <c r="I6" i="131"/>
  <c r="I33" i="129"/>
  <c r="I6" i="129"/>
  <c r="I23" i="145"/>
  <c r="I17" i="145"/>
  <c r="I14" i="143"/>
  <c r="I34" i="143"/>
  <c r="I2" i="127"/>
  <c r="I10" i="130"/>
  <c r="I38" i="129"/>
  <c r="G19" i="178" s="1"/>
  <c r="I36" i="129"/>
  <c r="I20" i="129"/>
  <c r="I8" i="7"/>
  <c r="I22" i="145"/>
  <c r="I19" i="145"/>
  <c r="I16" i="145"/>
  <c r="I26" i="143"/>
  <c r="I36" i="143"/>
  <c r="I7" i="139"/>
  <c r="I3" i="134"/>
  <c r="I5" i="130"/>
  <c r="I40" i="129"/>
  <c r="I16" i="129"/>
  <c r="I2" i="7"/>
  <c r="I21" i="145"/>
  <c r="I2" i="145"/>
  <c r="I3" i="139"/>
  <c r="I25" i="145"/>
  <c r="I12" i="145"/>
  <c r="I8" i="145"/>
  <c r="I4" i="145"/>
  <c r="I29" i="143"/>
  <c r="I37" i="143"/>
  <c r="I10" i="143"/>
  <c r="I2" i="143"/>
  <c r="I5" i="139"/>
  <c r="I14" i="130"/>
  <c r="I9" i="130"/>
  <c r="I25" i="129"/>
  <c r="I15" i="129"/>
  <c r="I3" i="7"/>
  <c r="I15" i="145"/>
  <c r="I7" i="145"/>
  <c r="I31" i="143"/>
  <c r="I9" i="143"/>
  <c r="I2" i="136"/>
  <c r="I2" i="134"/>
  <c r="I2" i="131"/>
  <c r="I29" i="129"/>
  <c r="I5" i="7"/>
  <c r="I37" i="129"/>
  <c r="I24" i="129"/>
  <c r="I22" i="143"/>
  <c r="I2" i="129"/>
  <c r="I30" i="143"/>
  <c r="I38" i="143"/>
  <c r="I3" i="136"/>
  <c r="I5" i="134"/>
  <c r="I21" i="130"/>
  <c r="I2" i="130"/>
  <c r="I28" i="129"/>
  <c r="I11" i="129"/>
  <c r="I4" i="7"/>
  <c r="I24" i="145"/>
  <c r="I7" i="7"/>
  <c r="I18" i="143"/>
  <c r="I32" i="143"/>
  <c r="I18" i="130"/>
  <c r="I13" i="130"/>
  <c r="I6" i="130"/>
  <c r="I32" i="129"/>
  <c r="I7" i="129"/>
  <c r="I6" i="7"/>
  <c r="I26" i="145"/>
  <c r="I20" i="145"/>
  <c r="I14" i="145"/>
  <c r="I10" i="145"/>
  <c r="I6" i="145"/>
  <c r="I21" i="143"/>
  <c r="I6" i="143"/>
  <c r="H3" i="127"/>
  <c r="F3" i="178" s="1"/>
  <c r="H7" i="7"/>
  <c r="H2" i="127"/>
  <c r="H8" i="7"/>
  <c r="H9" i="7"/>
  <c r="H5" i="7"/>
  <c r="H6" i="7"/>
  <c r="H2" i="7"/>
  <c r="H3" i="7"/>
  <c r="H4" i="7"/>
  <c r="A351" i="5"/>
  <c r="A295" i="5"/>
  <c r="A141" i="5"/>
  <c r="A57" i="5"/>
  <c r="A197" i="5"/>
  <c r="A183" i="5"/>
  <c r="A253" i="5"/>
  <c r="A365" i="5"/>
  <c r="A309" i="5"/>
  <c r="A99" i="5"/>
  <c r="A71" i="5"/>
  <c r="A267" i="5"/>
  <c r="A211" i="5"/>
  <c r="A155" i="5"/>
  <c r="A281" i="5"/>
  <c r="A239" i="5"/>
  <c r="A379" i="5"/>
  <c r="A323" i="5"/>
  <c r="A113" i="5"/>
  <c r="A85" i="5"/>
  <c r="A29" i="5"/>
  <c r="A43" i="5"/>
  <c r="A225" i="5"/>
  <c r="A169" i="5"/>
  <c r="A337" i="5"/>
  <c r="A127" i="5"/>
  <c r="A226" i="5"/>
  <c r="A198" i="5"/>
  <c r="A170" i="5"/>
  <c r="A366" i="5"/>
  <c r="A338" i="5"/>
  <c r="A310" i="5"/>
  <c r="A282" i="5"/>
  <c r="A254" i="5"/>
  <c r="A240" i="5"/>
  <c r="A212" i="5"/>
  <c r="A184" i="5"/>
  <c r="A156" i="5"/>
  <c r="A352" i="5"/>
  <c r="A324" i="5"/>
  <c r="A296" i="5"/>
  <c r="A268" i="5"/>
  <c r="A58" i="5"/>
  <c r="A30" i="5"/>
  <c r="A114" i="5"/>
  <c r="A86" i="5"/>
  <c r="A142" i="5"/>
  <c r="A44" i="5"/>
  <c r="A16" i="5"/>
  <c r="A100" i="5"/>
  <c r="A128" i="5"/>
  <c r="B242" i="5"/>
  <c r="B214" i="5"/>
  <c r="B186" i="5"/>
  <c r="B158" i="5"/>
  <c r="B354" i="5"/>
  <c r="B326" i="5"/>
  <c r="B298" i="5"/>
  <c r="B270" i="5"/>
  <c r="B228" i="5"/>
  <c r="B200" i="5"/>
  <c r="B368" i="5"/>
  <c r="B340" i="5"/>
  <c r="B312" i="5"/>
  <c r="B284" i="5"/>
  <c r="B256" i="5"/>
  <c r="B144" i="5"/>
  <c r="B18" i="5"/>
  <c r="B46" i="5"/>
  <c r="B102" i="5"/>
  <c r="B130" i="5"/>
  <c r="B60" i="5"/>
  <c r="B32" i="5"/>
  <c r="B172" i="5"/>
  <c r="B88" i="5"/>
  <c r="B116" i="5"/>
  <c r="B373" i="5"/>
  <c r="B345" i="5"/>
  <c r="B317" i="5"/>
  <c r="B289" i="5"/>
  <c r="B247" i="5"/>
  <c r="B359" i="5"/>
  <c r="B331" i="5"/>
  <c r="B303" i="5"/>
  <c r="B275" i="5"/>
  <c r="B191" i="5"/>
  <c r="B163" i="5"/>
  <c r="B121" i="5"/>
  <c r="B93" i="5"/>
  <c r="B233" i="5"/>
  <c r="B219" i="5"/>
  <c r="B177" i="5"/>
  <c r="B149" i="5"/>
  <c r="B79" i="5"/>
  <c r="B51" i="5"/>
  <c r="B23" i="5"/>
  <c r="B205" i="5"/>
  <c r="B261" i="5"/>
  <c r="B135" i="5"/>
  <c r="B107" i="5"/>
  <c r="B37" i="5"/>
  <c r="B65" i="5"/>
  <c r="A263" i="5"/>
  <c r="A235" i="5"/>
  <c r="A207" i="5"/>
  <c r="A375" i="5"/>
  <c r="A347" i="5"/>
  <c r="A319" i="5"/>
  <c r="A291" i="5"/>
  <c r="A137" i="5"/>
  <c r="A109" i="5"/>
  <c r="A53" i="5"/>
  <c r="A193" i="5"/>
  <c r="A25" i="5"/>
  <c r="A165" i="5"/>
  <c r="A67" i="5"/>
  <c r="A39" i="5"/>
  <c r="A333" i="5"/>
  <c r="A277" i="5"/>
  <c r="A249" i="5"/>
  <c r="A221" i="5"/>
  <c r="A81" i="5"/>
  <c r="A179" i="5"/>
  <c r="A123" i="5"/>
  <c r="A95" i="5"/>
  <c r="A361" i="5"/>
  <c r="A151" i="5"/>
  <c r="A305" i="5"/>
  <c r="B226" i="5"/>
  <c r="B198" i="5"/>
  <c r="B170" i="5"/>
  <c r="B366" i="5"/>
  <c r="B338" i="5"/>
  <c r="B310" i="5"/>
  <c r="B282" i="5"/>
  <c r="B254" i="5"/>
  <c r="B240" i="5"/>
  <c r="B212" i="5"/>
  <c r="B184" i="5"/>
  <c r="B352" i="5"/>
  <c r="B324" i="5"/>
  <c r="B296" i="5"/>
  <c r="B268" i="5"/>
  <c r="B128" i="5"/>
  <c r="B156" i="5"/>
  <c r="B58" i="5"/>
  <c r="B30" i="5"/>
  <c r="B114" i="5"/>
  <c r="B86" i="5"/>
  <c r="B142" i="5"/>
  <c r="B44" i="5"/>
  <c r="B16" i="5"/>
  <c r="B100" i="5"/>
  <c r="A247" i="5"/>
  <c r="A219" i="5"/>
  <c r="A191" i="5"/>
  <c r="A359" i="5"/>
  <c r="A331" i="5"/>
  <c r="A303" i="5"/>
  <c r="A275" i="5"/>
  <c r="A121" i="5"/>
  <c r="A93" i="5"/>
  <c r="A163" i="5"/>
  <c r="A345" i="5"/>
  <c r="A289" i="5"/>
  <c r="A233" i="5"/>
  <c r="A177" i="5"/>
  <c r="A149" i="5"/>
  <c r="A37" i="5"/>
  <c r="A79" i="5"/>
  <c r="A51" i="5"/>
  <c r="A23" i="5"/>
  <c r="A261" i="5"/>
  <c r="A135" i="5"/>
  <c r="A107" i="5"/>
  <c r="A65" i="5"/>
  <c r="A373" i="5"/>
  <c r="A317" i="5"/>
  <c r="A205" i="5"/>
  <c r="B264" i="5"/>
  <c r="B236" i="5"/>
  <c r="B208" i="5"/>
  <c r="B180" i="5"/>
  <c r="B376" i="5"/>
  <c r="B348" i="5"/>
  <c r="B320" i="5"/>
  <c r="B292" i="5"/>
  <c r="B250" i="5"/>
  <c r="B222" i="5"/>
  <c r="B194" i="5"/>
  <c r="B362" i="5"/>
  <c r="B334" i="5"/>
  <c r="B306" i="5"/>
  <c r="B278" i="5"/>
  <c r="B166" i="5"/>
  <c r="B68" i="5"/>
  <c r="B40" i="5"/>
  <c r="B124" i="5"/>
  <c r="B96" i="5"/>
  <c r="B152" i="5"/>
  <c r="B82" i="5"/>
  <c r="B54" i="5"/>
  <c r="B26" i="5"/>
  <c r="B110" i="5"/>
  <c r="B138" i="5"/>
  <c r="A264" i="5"/>
  <c r="A236" i="5"/>
  <c r="A208" i="5"/>
  <c r="A180" i="5"/>
  <c r="A376" i="5"/>
  <c r="A348" i="5"/>
  <c r="A320" i="5"/>
  <c r="A292" i="5"/>
  <c r="A250" i="5"/>
  <c r="A222" i="5"/>
  <c r="A194" i="5"/>
  <c r="A166" i="5"/>
  <c r="A362" i="5"/>
  <c r="A334" i="5"/>
  <c r="A306" i="5"/>
  <c r="A278" i="5"/>
  <c r="A68" i="5"/>
  <c r="A40" i="5"/>
  <c r="A124" i="5"/>
  <c r="A96" i="5"/>
  <c r="A152" i="5"/>
  <c r="A82" i="5"/>
  <c r="A54" i="5"/>
  <c r="A26" i="5"/>
  <c r="A110" i="5"/>
  <c r="A138" i="5"/>
  <c r="A241" i="5"/>
  <c r="A213" i="5"/>
  <c r="A185" i="5"/>
  <c r="A353" i="5"/>
  <c r="A325" i="5"/>
  <c r="A297" i="5"/>
  <c r="A269" i="5"/>
  <c r="A227" i="5"/>
  <c r="A115" i="5"/>
  <c r="A87" i="5"/>
  <c r="A157" i="5"/>
  <c r="A59" i="5"/>
  <c r="A171" i="5"/>
  <c r="A143" i="5"/>
  <c r="A31" i="5"/>
  <c r="A199" i="5"/>
  <c r="A45" i="5"/>
  <c r="A17" i="5"/>
  <c r="A255" i="5"/>
  <c r="A339" i="5"/>
  <c r="A283" i="5"/>
  <c r="A101" i="5"/>
  <c r="A311" i="5"/>
  <c r="A129" i="5"/>
  <c r="A367" i="5"/>
  <c r="B377" i="5"/>
  <c r="B349" i="5"/>
  <c r="B321" i="5"/>
  <c r="B293" i="5"/>
  <c r="B251" i="5"/>
  <c r="B363" i="5"/>
  <c r="B335" i="5"/>
  <c r="B307" i="5"/>
  <c r="B279" i="5"/>
  <c r="B167" i="5"/>
  <c r="B209" i="5"/>
  <c r="B125" i="5"/>
  <c r="B97" i="5"/>
  <c r="B265" i="5"/>
  <c r="B153" i="5"/>
  <c r="B195" i="5"/>
  <c r="B83" i="5"/>
  <c r="B55" i="5"/>
  <c r="B27" i="5"/>
  <c r="B181" i="5"/>
  <c r="B237" i="5"/>
  <c r="B223" i="5"/>
  <c r="B139" i="5"/>
  <c r="B111" i="5"/>
  <c r="B69" i="5"/>
  <c r="B41" i="5"/>
  <c r="B367" i="5"/>
  <c r="B339" i="5"/>
  <c r="B311" i="5"/>
  <c r="B283" i="5"/>
  <c r="B255" i="5"/>
  <c r="B241" i="5"/>
  <c r="B213" i="5"/>
  <c r="B353" i="5"/>
  <c r="B325" i="5"/>
  <c r="B297" i="5"/>
  <c r="B269" i="5"/>
  <c r="B185" i="5"/>
  <c r="B227" i="5"/>
  <c r="B115" i="5"/>
  <c r="B87" i="5"/>
  <c r="B129" i="5"/>
  <c r="B171" i="5"/>
  <c r="B143" i="5"/>
  <c r="B199" i="5"/>
  <c r="B45" i="5"/>
  <c r="B17" i="5"/>
  <c r="B157" i="5"/>
  <c r="B101" i="5"/>
  <c r="B59" i="5"/>
  <c r="B31" i="5"/>
  <c r="A230" i="5"/>
  <c r="A202" i="5"/>
  <c r="A174" i="5"/>
  <c r="A370" i="5"/>
  <c r="A342" i="5"/>
  <c r="A314" i="5"/>
  <c r="A286" i="5"/>
  <c r="A258" i="5"/>
  <c r="A244" i="5"/>
  <c r="A216" i="5"/>
  <c r="A188" i="5"/>
  <c r="A160" i="5"/>
  <c r="A356" i="5"/>
  <c r="A328" i="5"/>
  <c r="A300" i="5"/>
  <c r="A272" i="5"/>
  <c r="A62" i="5"/>
  <c r="A34" i="5"/>
  <c r="A132" i="5"/>
  <c r="A118" i="5"/>
  <c r="A90" i="5"/>
  <c r="A146" i="5"/>
  <c r="A76" i="5"/>
  <c r="A48" i="5"/>
  <c r="A20" i="5"/>
  <c r="A104" i="5"/>
  <c r="A251" i="5"/>
  <c r="A223" i="5"/>
  <c r="A195" i="5"/>
  <c r="A363" i="5"/>
  <c r="A335" i="5"/>
  <c r="A307" i="5"/>
  <c r="A279" i="5"/>
  <c r="A209" i="5"/>
  <c r="A125" i="5"/>
  <c r="A97" i="5"/>
  <c r="A41" i="5"/>
  <c r="A153" i="5"/>
  <c r="A377" i="5"/>
  <c r="A265" i="5"/>
  <c r="A69" i="5"/>
  <c r="A349" i="5"/>
  <c r="A293" i="5"/>
  <c r="A83" i="5"/>
  <c r="A55" i="5"/>
  <c r="A27" i="5"/>
  <c r="A321" i="5"/>
  <c r="A237" i="5"/>
  <c r="A139" i="5"/>
  <c r="A111" i="5"/>
  <c r="A167" i="5"/>
  <c r="A181" i="5"/>
  <c r="B248" i="5"/>
  <c r="B220" i="5"/>
  <c r="B192" i="5"/>
  <c r="B164" i="5"/>
  <c r="B360" i="5"/>
  <c r="B332" i="5"/>
  <c r="B304" i="5"/>
  <c r="B276" i="5"/>
  <c r="B262" i="5"/>
  <c r="B234" i="5"/>
  <c r="B206" i="5"/>
  <c r="B374" i="5"/>
  <c r="B346" i="5"/>
  <c r="B318" i="5"/>
  <c r="B290" i="5"/>
  <c r="B150" i="5"/>
  <c r="B24" i="5"/>
  <c r="B80" i="5"/>
  <c r="B52" i="5"/>
  <c r="B136" i="5"/>
  <c r="B108" i="5"/>
  <c r="B66" i="5"/>
  <c r="B38" i="5"/>
  <c r="B178" i="5"/>
  <c r="B94" i="5"/>
  <c r="B122" i="5"/>
  <c r="A229" i="5"/>
  <c r="A201" i="5"/>
  <c r="A369" i="5"/>
  <c r="A341" i="5"/>
  <c r="A313" i="5"/>
  <c r="A285" i="5"/>
  <c r="A257" i="5"/>
  <c r="A159" i="5"/>
  <c r="A103" i="5"/>
  <c r="A215" i="5"/>
  <c r="A131" i="5"/>
  <c r="A271" i="5"/>
  <c r="A355" i="5"/>
  <c r="A299" i="5"/>
  <c r="A61" i="5"/>
  <c r="A33" i="5"/>
  <c r="A19" i="5"/>
  <c r="A243" i="5"/>
  <c r="A173" i="5"/>
  <c r="A117" i="5"/>
  <c r="A89" i="5"/>
  <c r="A327" i="5"/>
  <c r="A75" i="5"/>
  <c r="A187" i="5"/>
  <c r="A145" i="5"/>
  <c r="A47" i="5"/>
  <c r="B230" i="5"/>
  <c r="B202" i="5"/>
  <c r="B174" i="5"/>
  <c r="B370" i="5"/>
  <c r="B342" i="5"/>
  <c r="B314" i="5"/>
  <c r="B286" i="5"/>
  <c r="B258" i="5"/>
  <c r="B244" i="5"/>
  <c r="B216" i="5"/>
  <c r="B188" i="5"/>
  <c r="B356" i="5"/>
  <c r="B328" i="5"/>
  <c r="B300" i="5"/>
  <c r="B272" i="5"/>
  <c r="B132" i="5"/>
  <c r="B62" i="5"/>
  <c r="B34" i="5"/>
  <c r="B118" i="5"/>
  <c r="B90" i="5"/>
  <c r="B160" i="5"/>
  <c r="B146" i="5"/>
  <c r="B76" i="5"/>
  <c r="B48" i="5"/>
  <c r="B20" i="5"/>
  <c r="B104" i="5"/>
  <c r="B252" i="5"/>
  <c r="B224" i="5"/>
  <c r="B196" i="5"/>
  <c r="B364" i="5"/>
  <c r="B336" i="5"/>
  <c r="B308" i="5"/>
  <c r="B280" i="5"/>
  <c r="B266" i="5"/>
  <c r="B238" i="5"/>
  <c r="B210" i="5"/>
  <c r="B378" i="5"/>
  <c r="B350" i="5"/>
  <c r="B322" i="5"/>
  <c r="B294" i="5"/>
  <c r="B154" i="5"/>
  <c r="B28" i="5"/>
  <c r="B84" i="5"/>
  <c r="B56" i="5"/>
  <c r="B140" i="5"/>
  <c r="B112" i="5"/>
  <c r="B182" i="5"/>
  <c r="B168" i="5"/>
  <c r="B70" i="5"/>
  <c r="B42" i="5"/>
  <c r="B126" i="5"/>
  <c r="B98" i="5"/>
  <c r="B379" i="5"/>
  <c r="B351" i="5"/>
  <c r="B323" i="5"/>
  <c r="B295" i="5"/>
  <c r="B253" i="5"/>
  <c r="B365" i="5"/>
  <c r="B337" i="5"/>
  <c r="B309" i="5"/>
  <c r="B281" i="5"/>
  <c r="B239" i="5"/>
  <c r="B197" i="5"/>
  <c r="B225" i="5"/>
  <c r="B127" i="5"/>
  <c r="B99" i="5"/>
  <c r="B169" i="5"/>
  <c r="B155" i="5"/>
  <c r="B267" i="5"/>
  <c r="B85" i="5"/>
  <c r="B57" i="5"/>
  <c r="B29" i="5"/>
  <c r="B183" i="5"/>
  <c r="B211" i="5"/>
  <c r="B141" i="5"/>
  <c r="B113" i="5"/>
  <c r="B43" i="5"/>
  <c r="B71" i="5"/>
  <c r="A248" i="5"/>
  <c r="A220" i="5"/>
  <c r="A192" i="5"/>
  <c r="A360" i="5"/>
  <c r="A332" i="5"/>
  <c r="A304" i="5"/>
  <c r="A276" i="5"/>
  <c r="A262" i="5"/>
  <c r="A234" i="5"/>
  <c r="A206" i="5"/>
  <c r="A178" i="5"/>
  <c r="A374" i="5"/>
  <c r="A346" i="5"/>
  <c r="A318" i="5"/>
  <c r="A290" i="5"/>
  <c r="A80" i="5"/>
  <c r="A52" i="5"/>
  <c r="A24" i="5"/>
  <c r="A150" i="5"/>
  <c r="A136" i="5"/>
  <c r="A108" i="5"/>
  <c r="A122" i="5"/>
  <c r="A94" i="5"/>
  <c r="A66" i="5"/>
  <c r="A38" i="5"/>
  <c r="A164" i="5"/>
  <c r="A242" i="5"/>
  <c r="A214" i="5"/>
  <c r="A186" i="5"/>
  <c r="A158" i="5"/>
  <c r="A354" i="5"/>
  <c r="A326" i="5"/>
  <c r="A298" i="5"/>
  <c r="A270" i="5"/>
  <c r="A228" i="5"/>
  <c r="A200" i="5"/>
  <c r="A172" i="5"/>
  <c r="A368" i="5"/>
  <c r="A340" i="5"/>
  <c r="A312" i="5"/>
  <c r="A284" i="5"/>
  <c r="A256" i="5"/>
  <c r="A46" i="5"/>
  <c r="A18" i="5"/>
  <c r="A102" i="5"/>
  <c r="A88" i="5"/>
  <c r="A130" i="5"/>
  <c r="A116" i="5"/>
  <c r="A60" i="5"/>
  <c r="A32" i="5"/>
  <c r="A144" i="5"/>
  <c r="A245" i="5"/>
  <c r="A217" i="5"/>
  <c r="A189" i="5"/>
  <c r="A357" i="5"/>
  <c r="A329" i="5"/>
  <c r="A301" i="5"/>
  <c r="A273" i="5"/>
  <c r="A371" i="5"/>
  <c r="A315" i="5"/>
  <c r="A259" i="5"/>
  <c r="A119" i="5"/>
  <c r="A91" i="5"/>
  <c r="A147" i="5"/>
  <c r="A231" i="5"/>
  <c r="A77" i="5"/>
  <c r="A49" i="5"/>
  <c r="A21" i="5"/>
  <c r="A161" i="5"/>
  <c r="A343" i="5"/>
  <c r="A287" i="5"/>
  <c r="A105" i="5"/>
  <c r="A175" i="5"/>
  <c r="A35" i="5"/>
  <c r="A203" i="5"/>
  <c r="A133" i="5"/>
  <c r="A63" i="5"/>
  <c r="B246" i="5"/>
  <c r="B218" i="5"/>
  <c r="B190" i="5"/>
  <c r="B162" i="5"/>
  <c r="B358" i="5"/>
  <c r="B330" i="5"/>
  <c r="B302" i="5"/>
  <c r="B274" i="5"/>
  <c r="B260" i="5"/>
  <c r="B232" i="5"/>
  <c r="B204" i="5"/>
  <c r="B372" i="5"/>
  <c r="B344" i="5"/>
  <c r="B316" i="5"/>
  <c r="B288" i="5"/>
  <c r="B148" i="5"/>
  <c r="B78" i="5"/>
  <c r="B50" i="5"/>
  <c r="B22" i="5"/>
  <c r="B176" i="5"/>
  <c r="B134" i="5"/>
  <c r="B106" i="5"/>
  <c r="B64" i="5"/>
  <c r="B36" i="5"/>
  <c r="B92" i="5"/>
  <c r="B120" i="5"/>
  <c r="A252" i="5"/>
  <c r="A224" i="5"/>
  <c r="A196" i="5"/>
  <c r="A364" i="5"/>
  <c r="A336" i="5"/>
  <c r="A308" i="5"/>
  <c r="A280" i="5"/>
  <c r="A266" i="5"/>
  <c r="A238" i="5"/>
  <c r="A210" i="5"/>
  <c r="A182" i="5"/>
  <c r="A378" i="5"/>
  <c r="A350" i="5"/>
  <c r="A322" i="5"/>
  <c r="A294" i="5"/>
  <c r="A84" i="5"/>
  <c r="A7" i="176" s="1"/>
  <c r="A56" i="5"/>
  <c r="A5" i="176" s="1"/>
  <c r="A28" i="5"/>
  <c r="A3" i="176" s="1"/>
  <c r="A98" i="5"/>
  <c r="A8" i="176" s="1"/>
  <c r="A154" i="5"/>
  <c r="A140" i="5"/>
  <c r="A112" i="5"/>
  <c r="A9" i="176" s="1"/>
  <c r="A126" i="5"/>
  <c r="A10" i="176" s="1"/>
  <c r="A168" i="5"/>
  <c r="A70" i="5"/>
  <c r="A6" i="176" s="1"/>
  <c r="A42" i="5"/>
  <c r="A4" i="176" s="1"/>
  <c r="B355" i="5"/>
  <c r="B327" i="5"/>
  <c r="B299" i="5"/>
  <c r="B271" i="5"/>
  <c r="B229" i="5"/>
  <c r="B369" i="5"/>
  <c r="B341" i="5"/>
  <c r="B313" i="5"/>
  <c r="B285" i="5"/>
  <c r="B257" i="5"/>
  <c r="B187" i="5"/>
  <c r="B159" i="5"/>
  <c r="B103" i="5"/>
  <c r="B215" i="5"/>
  <c r="B131" i="5"/>
  <c r="B61" i="5"/>
  <c r="B33" i="5"/>
  <c r="B145" i="5"/>
  <c r="B201" i="5"/>
  <c r="B243" i="5"/>
  <c r="B173" i="5"/>
  <c r="B117" i="5"/>
  <c r="B89" i="5"/>
  <c r="B75" i="5"/>
  <c r="B19" i="5"/>
  <c r="B47" i="5"/>
  <c r="B371" i="5"/>
  <c r="B343" i="5"/>
  <c r="B315" i="5"/>
  <c r="B287" i="5"/>
  <c r="B259" i="5"/>
  <c r="B245" i="5"/>
  <c r="B357" i="5"/>
  <c r="B329" i="5"/>
  <c r="B301" i="5"/>
  <c r="B273" i="5"/>
  <c r="B189" i="5"/>
  <c r="B119" i="5"/>
  <c r="B91" i="5"/>
  <c r="B147" i="5"/>
  <c r="B133" i="5"/>
  <c r="B231" i="5"/>
  <c r="B217" i="5"/>
  <c r="B77" i="5"/>
  <c r="B49" i="5"/>
  <c r="B21" i="5"/>
  <c r="B161" i="5"/>
  <c r="B203" i="5"/>
  <c r="B175" i="5"/>
  <c r="B105" i="5"/>
  <c r="B63" i="5"/>
  <c r="B35" i="5"/>
  <c r="A246" i="5"/>
  <c r="A218" i="5"/>
  <c r="A190" i="5"/>
  <c r="A358" i="5"/>
  <c r="A330" i="5"/>
  <c r="A302" i="5"/>
  <c r="A274" i="5"/>
  <c r="A260" i="5"/>
  <c r="A232" i="5"/>
  <c r="A204" i="5"/>
  <c r="A176" i="5"/>
  <c r="A372" i="5"/>
  <c r="A344" i="5"/>
  <c r="A316" i="5"/>
  <c r="A288" i="5"/>
  <c r="A78" i="5"/>
  <c r="A50" i="5"/>
  <c r="A22" i="5"/>
  <c r="A162" i="5"/>
  <c r="A134" i="5"/>
  <c r="A106" i="5"/>
  <c r="A64" i="5"/>
  <c r="A36" i="5"/>
  <c r="A120" i="5"/>
  <c r="A148" i="5"/>
  <c r="A92" i="5"/>
  <c r="B361" i="5"/>
  <c r="B333" i="5"/>
  <c r="B305" i="5"/>
  <c r="B277" i="5"/>
  <c r="B263" i="5"/>
  <c r="B235" i="5"/>
  <c r="B375" i="5"/>
  <c r="B347" i="5"/>
  <c r="B319" i="5"/>
  <c r="B291" i="5"/>
  <c r="B207" i="5"/>
  <c r="B137" i="5"/>
  <c r="B109" i="5"/>
  <c r="B193" i="5"/>
  <c r="B151" i="5"/>
  <c r="B165" i="5"/>
  <c r="B67" i="5"/>
  <c r="B39" i="5"/>
  <c r="B249" i="5"/>
  <c r="B221" i="5"/>
  <c r="B179" i="5"/>
  <c r="B123" i="5"/>
  <c r="B95" i="5"/>
  <c r="B53" i="5"/>
  <c r="B81" i="5"/>
  <c r="B25" i="5"/>
  <c r="E10" i="117"/>
  <c r="D16" i="128" s="1"/>
  <c r="P17" i="128" s="1"/>
  <c r="E11" i="117"/>
  <c r="D18" i="128" s="1"/>
  <c r="P19" i="128" s="1"/>
  <c r="E12" i="117"/>
  <c r="D20" i="128" s="1"/>
  <c r="P21" i="128" s="1"/>
  <c r="A2" i="5"/>
  <c r="B5" i="5"/>
  <c r="B11" i="5"/>
  <c r="B2" i="5"/>
  <c r="A11" i="5"/>
  <c r="A5" i="5"/>
  <c r="B15" i="5"/>
  <c r="B14" i="5"/>
  <c r="B10" i="5"/>
  <c r="B8" i="5"/>
  <c r="B4" i="5"/>
  <c r="A15" i="5"/>
  <c r="A14" i="5"/>
  <c r="A2" i="176" s="1"/>
  <c r="A10" i="5"/>
  <c r="A8" i="5"/>
  <c r="A4" i="5"/>
  <c r="B13" i="5"/>
  <c r="B9" i="5"/>
  <c r="B7" i="5"/>
  <c r="B3" i="5"/>
  <c r="A13" i="5"/>
  <c r="A9" i="5"/>
  <c r="A7" i="5"/>
  <c r="A3" i="5"/>
  <c r="B12" i="5"/>
  <c r="B6" i="5"/>
  <c r="A12" i="5"/>
  <c r="A6" i="5"/>
  <c r="AA46" i="61"/>
  <c r="L55" i="58"/>
  <c r="AJ48" i="61"/>
  <c r="I55" i="58"/>
  <c r="H47" i="60"/>
  <c r="AI46" i="61"/>
  <c r="M38" i="63"/>
  <c r="H50" i="59"/>
  <c r="J42" i="58"/>
  <c r="R42" i="58"/>
  <c r="R55" i="58" s="1"/>
  <c r="AD52" i="59"/>
  <c r="AC38" i="60"/>
  <c r="Y47" i="60"/>
  <c r="G47" i="60"/>
  <c r="AA39" i="62"/>
  <c r="J55" i="58"/>
  <c r="P50" i="59"/>
  <c r="F47" i="60"/>
  <c r="P46" i="61"/>
  <c r="Q55" i="58"/>
  <c r="AB39" i="59"/>
  <c r="AB50" i="59" s="1"/>
  <c r="B50" i="59"/>
  <c r="J50" i="59"/>
  <c r="R50" i="59"/>
  <c r="Z50" i="59"/>
  <c r="AD49" i="60"/>
  <c r="J47" i="60"/>
  <c r="AC46" i="61"/>
  <c r="X50" i="59"/>
  <c r="C49" i="59"/>
  <c r="C50" i="59" s="1"/>
  <c r="K49" i="59"/>
  <c r="K50" i="59" s="1"/>
  <c r="S49" i="59"/>
  <c r="S50" i="59" s="1"/>
  <c r="AA49" i="59"/>
  <c r="AA50" i="59" s="1"/>
  <c r="E38" i="60"/>
  <c r="M38" i="60"/>
  <c r="K47" i="60"/>
  <c r="S47" i="60"/>
  <c r="O47" i="60"/>
  <c r="F46" i="61"/>
  <c r="N46" i="61"/>
  <c r="V46" i="61"/>
  <c r="AD46" i="61"/>
  <c r="F55" i="58"/>
  <c r="G39" i="59"/>
  <c r="G50" i="59" s="1"/>
  <c r="O39" i="59"/>
  <c r="O50" i="59" s="1"/>
  <c r="W39" i="59"/>
  <c r="W50" i="59" s="1"/>
  <c r="P47" i="60"/>
  <c r="F42" i="58"/>
  <c r="N42" i="58"/>
  <c r="N55" i="58" s="1"/>
  <c r="V42" i="58"/>
  <c r="V55" i="58" s="1"/>
  <c r="AD42" i="58"/>
  <c r="AD55" i="58" s="1"/>
  <c r="AD57" i="58" s="1"/>
  <c r="G54" i="58"/>
  <c r="G55" i="58" s="1"/>
  <c r="O54" i="58"/>
  <c r="O55" i="58" s="1"/>
  <c r="W54" i="58"/>
  <c r="W55" i="58" s="1"/>
  <c r="Y55" i="58"/>
  <c r="E50" i="59"/>
  <c r="M50" i="59"/>
  <c r="U50" i="59"/>
  <c r="D46" i="61"/>
  <c r="L46" i="61"/>
  <c r="T46" i="61"/>
  <c r="AB46" i="61"/>
  <c r="AJ46" i="61"/>
  <c r="D37" i="62"/>
  <c r="L37" i="62"/>
  <c r="E38" i="64"/>
  <c r="M38" i="64"/>
  <c r="U38" i="64"/>
  <c r="B46" i="61"/>
  <c r="O46" i="61"/>
  <c r="AE46" i="61"/>
  <c r="D38" i="63"/>
  <c r="L38" i="63"/>
  <c r="T38" i="63"/>
  <c r="F38" i="64"/>
  <c r="V38" i="64"/>
  <c r="W37" i="65"/>
  <c r="F38" i="66"/>
  <c r="N38" i="66"/>
  <c r="V38" i="66"/>
  <c r="E47" i="60"/>
  <c r="M47" i="60"/>
  <c r="U47" i="60"/>
  <c r="AC47" i="60"/>
  <c r="G37" i="62"/>
  <c r="O37" i="62"/>
  <c r="W37" i="62"/>
  <c r="X40" i="66"/>
  <c r="H38" i="66"/>
  <c r="P38" i="66"/>
  <c r="X38" i="66"/>
  <c r="G46" i="61"/>
  <c r="X47" i="60"/>
  <c r="Q46" i="61"/>
  <c r="Y46" i="61"/>
  <c r="AG46" i="61"/>
  <c r="W46" i="61"/>
  <c r="H38" i="63"/>
  <c r="P38" i="63"/>
  <c r="X38" i="63"/>
  <c r="B38" i="66"/>
  <c r="J38" i="66"/>
  <c r="R38" i="66"/>
  <c r="M38" i="61"/>
  <c r="M46" i="61" s="1"/>
  <c r="U38" i="61"/>
  <c r="U46" i="61" s="1"/>
  <c r="AC38" i="61"/>
  <c r="J46" i="61"/>
  <c r="R46" i="61"/>
  <c r="Z46" i="61"/>
  <c r="AH46" i="61"/>
  <c r="K38" i="64"/>
  <c r="AA38" i="64"/>
  <c r="AA40" i="64" s="1"/>
  <c r="S38" i="66"/>
  <c r="A2" i="154" l="1"/>
  <c r="A20" i="178"/>
  <c r="D5" i="57"/>
  <c r="E5" i="57"/>
  <c r="F5" i="57"/>
  <c r="G5" i="57"/>
  <c r="H5" i="57"/>
  <c r="I5" i="57"/>
  <c r="J5" i="57"/>
  <c r="D6" i="57"/>
  <c r="E6" i="57"/>
  <c r="F6" i="57"/>
  <c r="G6" i="57"/>
  <c r="H6" i="57"/>
  <c r="I6" i="57"/>
  <c r="J6" i="57"/>
  <c r="D7" i="57"/>
  <c r="E7" i="57"/>
  <c r="F7" i="57"/>
  <c r="G7" i="57"/>
  <c r="H7" i="57"/>
  <c r="I7" i="57"/>
  <c r="J7" i="57"/>
  <c r="D8" i="57"/>
  <c r="E8" i="57"/>
  <c r="F8" i="57"/>
  <c r="G8" i="57"/>
  <c r="H8" i="57"/>
  <c r="I8" i="57"/>
  <c r="J8" i="57"/>
  <c r="D9" i="57"/>
  <c r="E9" i="57"/>
  <c r="F9" i="57"/>
  <c r="G9" i="57"/>
  <c r="H9" i="57"/>
  <c r="I9" i="57"/>
  <c r="J9" i="57"/>
  <c r="D10" i="57"/>
  <c r="E10" i="57"/>
  <c r="F10" i="57"/>
  <c r="G10" i="57"/>
  <c r="H10" i="57"/>
  <c r="I10" i="57"/>
  <c r="J10" i="57"/>
  <c r="D11" i="57"/>
  <c r="E11" i="57"/>
  <c r="F11" i="57"/>
  <c r="G11" i="57"/>
  <c r="H11" i="57"/>
  <c r="I11" i="57"/>
  <c r="J11" i="57"/>
  <c r="D12" i="57"/>
  <c r="E12" i="57"/>
  <c r="F12" i="57"/>
  <c r="G12" i="57"/>
  <c r="H12" i="57"/>
  <c r="I12" i="57"/>
  <c r="J12" i="57"/>
  <c r="D13" i="57"/>
  <c r="E13" i="57"/>
  <c r="F13" i="57"/>
  <c r="G13" i="57"/>
  <c r="H13" i="57"/>
  <c r="I13" i="57"/>
  <c r="J13" i="57"/>
  <c r="D14" i="57"/>
  <c r="E14" i="57"/>
  <c r="F14" i="57"/>
  <c r="G14" i="57"/>
  <c r="H14" i="57"/>
  <c r="I14" i="57"/>
  <c r="J14" i="57"/>
  <c r="D15" i="57"/>
  <c r="E15" i="57"/>
  <c r="F15" i="57"/>
  <c r="G15" i="57"/>
  <c r="H15" i="57"/>
  <c r="I15" i="57"/>
  <c r="J15" i="57"/>
  <c r="D16" i="57"/>
  <c r="E16" i="57"/>
  <c r="F16" i="57"/>
  <c r="G16" i="57"/>
  <c r="H16" i="57"/>
  <c r="I16" i="57"/>
  <c r="J16" i="57"/>
  <c r="D17" i="57"/>
  <c r="E17" i="57"/>
  <c r="F17" i="57"/>
  <c r="G17" i="57"/>
  <c r="H17" i="57"/>
  <c r="I17" i="57"/>
  <c r="J17" i="57"/>
  <c r="D18" i="57"/>
  <c r="E18" i="57"/>
  <c r="F18" i="57"/>
  <c r="G18" i="57"/>
  <c r="H18" i="57"/>
  <c r="I18" i="57"/>
  <c r="J18" i="57"/>
  <c r="D19" i="57"/>
  <c r="E19" i="57"/>
  <c r="F19" i="57"/>
  <c r="G19" i="57"/>
  <c r="H19" i="57"/>
  <c r="I19" i="57"/>
  <c r="J19" i="57"/>
  <c r="D20" i="57"/>
  <c r="E20" i="57"/>
  <c r="F20" i="57"/>
  <c r="G20" i="57"/>
  <c r="H20" i="57"/>
  <c r="I20" i="57"/>
  <c r="J20" i="57"/>
  <c r="D21" i="57"/>
  <c r="E21" i="57"/>
  <c r="F21" i="57"/>
  <c r="G21" i="57"/>
  <c r="H21" i="57"/>
  <c r="I21" i="57"/>
  <c r="J21" i="57"/>
  <c r="D22" i="57"/>
  <c r="E22" i="57"/>
  <c r="F22" i="57"/>
  <c r="G22" i="57"/>
  <c r="H22" i="57"/>
  <c r="I22" i="57"/>
  <c r="J22" i="57"/>
  <c r="D23" i="57"/>
  <c r="E23" i="57"/>
  <c r="F23" i="57"/>
  <c r="G23" i="57"/>
  <c r="H23" i="57"/>
  <c r="I23" i="57"/>
  <c r="J23" i="57"/>
  <c r="D24" i="57"/>
  <c r="E24" i="57"/>
  <c r="F24" i="57"/>
  <c r="G24" i="57"/>
  <c r="H24" i="57"/>
  <c r="I24" i="57"/>
  <c r="J24" i="57"/>
  <c r="D25" i="57"/>
  <c r="E25" i="57"/>
  <c r="F25" i="57"/>
  <c r="G25" i="57"/>
  <c r="H25" i="57"/>
  <c r="I25" i="57"/>
  <c r="J25" i="57"/>
  <c r="D26" i="57"/>
  <c r="E26" i="57"/>
  <c r="F26" i="57"/>
  <c r="G26" i="57"/>
  <c r="H26" i="57"/>
  <c r="I26" i="57"/>
  <c r="J26" i="57"/>
  <c r="D27" i="57"/>
  <c r="E27" i="57"/>
  <c r="F27" i="57"/>
  <c r="G27" i="57"/>
  <c r="H27" i="57"/>
  <c r="I27" i="57"/>
  <c r="J27" i="57"/>
  <c r="D28" i="57"/>
  <c r="E28" i="57"/>
  <c r="F28" i="57"/>
  <c r="G28" i="57"/>
  <c r="H28" i="57"/>
  <c r="I28" i="57"/>
  <c r="J28" i="57"/>
  <c r="D29" i="57"/>
  <c r="E29" i="57"/>
  <c r="F29" i="57"/>
  <c r="G29" i="57"/>
  <c r="H29" i="57"/>
  <c r="I29" i="57"/>
  <c r="J29" i="57"/>
  <c r="D30" i="57"/>
  <c r="E30" i="57"/>
  <c r="F30" i="57"/>
  <c r="G30" i="57"/>
  <c r="H30" i="57"/>
  <c r="I30" i="57"/>
  <c r="J30" i="57"/>
  <c r="D31" i="57"/>
  <c r="E31" i="57"/>
  <c r="F31" i="57"/>
  <c r="G31" i="57"/>
  <c r="H31" i="57"/>
  <c r="I31" i="57"/>
  <c r="J31" i="57"/>
  <c r="D32" i="57"/>
  <c r="E32" i="57"/>
  <c r="F32" i="57"/>
  <c r="G32" i="57"/>
  <c r="H32" i="57"/>
  <c r="I32" i="57"/>
  <c r="J32" i="57"/>
  <c r="D33" i="57"/>
  <c r="E33" i="57"/>
  <c r="F33" i="57"/>
  <c r="G33" i="57"/>
  <c r="H33" i="57"/>
  <c r="I33" i="57"/>
  <c r="J33" i="57"/>
  <c r="D34" i="57"/>
  <c r="E34" i="57"/>
  <c r="F34" i="57"/>
  <c r="G34" i="57"/>
  <c r="H34" i="57"/>
  <c r="I34" i="57"/>
  <c r="J34" i="57"/>
  <c r="D35" i="57"/>
  <c r="E35" i="57"/>
  <c r="F35" i="57"/>
  <c r="G35" i="57"/>
  <c r="H35" i="57"/>
  <c r="I35" i="57"/>
  <c r="J35" i="57"/>
  <c r="D36" i="57"/>
  <c r="E36" i="57"/>
  <c r="F36" i="57"/>
  <c r="G36" i="57"/>
  <c r="H36" i="57"/>
  <c r="I36" i="57"/>
  <c r="J36" i="57"/>
  <c r="D37" i="57"/>
  <c r="E37" i="57"/>
  <c r="F37" i="57"/>
  <c r="G37" i="57"/>
  <c r="H37" i="57"/>
  <c r="I37" i="57"/>
  <c r="J37" i="57"/>
  <c r="D38" i="57"/>
  <c r="E38" i="57"/>
  <c r="F38" i="57"/>
  <c r="G38" i="57"/>
  <c r="H38" i="57"/>
  <c r="I38" i="57"/>
  <c r="J38" i="57"/>
  <c r="D39" i="57"/>
  <c r="E39" i="57"/>
  <c r="F39" i="57"/>
  <c r="G39" i="57"/>
  <c r="H39" i="57"/>
  <c r="I39" i="57"/>
  <c r="J39" i="57"/>
  <c r="D40" i="57"/>
  <c r="E40" i="57"/>
  <c r="F40" i="57"/>
  <c r="G40" i="57"/>
  <c r="H40" i="57"/>
  <c r="I40" i="57"/>
  <c r="J40" i="57"/>
  <c r="D41" i="57"/>
  <c r="E41" i="57"/>
  <c r="F41" i="57"/>
  <c r="G41" i="57"/>
  <c r="H41" i="57"/>
  <c r="I41" i="57"/>
  <c r="J41" i="57"/>
  <c r="D42" i="57"/>
  <c r="E42" i="57"/>
  <c r="F42" i="57"/>
  <c r="G42" i="57"/>
  <c r="H42" i="57"/>
  <c r="I42" i="57"/>
  <c r="J42" i="57"/>
  <c r="D43" i="57"/>
  <c r="E43" i="57"/>
  <c r="F43" i="57"/>
  <c r="G43" i="57"/>
  <c r="H43" i="57"/>
  <c r="I43" i="57"/>
  <c r="J43" i="57"/>
  <c r="D44" i="57"/>
  <c r="E44" i="57"/>
  <c r="F44" i="57"/>
  <c r="G44" i="57"/>
  <c r="H44" i="57"/>
  <c r="I44" i="57"/>
  <c r="J44" i="57"/>
  <c r="D45" i="57"/>
  <c r="E45" i="57"/>
  <c r="F45" i="57"/>
  <c r="G45" i="57"/>
  <c r="H45" i="57"/>
  <c r="I45" i="57"/>
  <c r="J45" i="57"/>
  <c r="D46" i="57"/>
  <c r="E46" i="57"/>
  <c r="F46" i="57"/>
  <c r="G46" i="57"/>
  <c r="H46" i="57"/>
  <c r="I46" i="57"/>
  <c r="J46" i="57"/>
  <c r="D47" i="57"/>
  <c r="E47" i="57"/>
  <c r="F47" i="57"/>
  <c r="G47" i="57"/>
  <c r="H47" i="57"/>
  <c r="I47" i="57"/>
  <c r="J47" i="57"/>
  <c r="D48" i="57"/>
  <c r="E48" i="57"/>
  <c r="F48" i="57"/>
  <c r="G48" i="57"/>
  <c r="H48" i="57"/>
  <c r="I48" i="57"/>
  <c r="J48" i="57"/>
  <c r="D49" i="57"/>
  <c r="E49" i="57"/>
  <c r="F49" i="57"/>
  <c r="G49" i="57"/>
  <c r="H49" i="57"/>
  <c r="I49" i="57"/>
  <c r="J49" i="57"/>
  <c r="D50" i="57"/>
  <c r="E50" i="57"/>
  <c r="F50" i="57"/>
  <c r="G50" i="57"/>
  <c r="H50" i="57"/>
  <c r="I50" i="57"/>
  <c r="J50" i="57"/>
  <c r="D51" i="57"/>
  <c r="E51" i="57"/>
  <c r="F51" i="57"/>
  <c r="G51" i="57"/>
  <c r="H51" i="57"/>
  <c r="I51" i="57"/>
  <c r="J51" i="57"/>
  <c r="D52" i="57"/>
  <c r="E52" i="57"/>
  <c r="F52" i="57"/>
  <c r="G52" i="57"/>
  <c r="H52" i="57"/>
  <c r="I52" i="57"/>
  <c r="J52" i="57"/>
  <c r="D53" i="57"/>
  <c r="E53" i="57"/>
  <c r="F53" i="57"/>
  <c r="G53" i="57"/>
  <c r="H53" i="57"/>
  <c r="I53" i="57"/>
  <c r="J53" i="57"/>
  <c r="D54" i="57"/>
  <c r="E54" i="57"/>
  <c r="F54" i="57"/>
  <c r="G54" i="57"/>
  <c r="H54" i="57"/>
  <c r="I54" i="57"/>
  <c r="J54" i="57"/>
  <c r="D55" i="57"/>
  <c r="E55" i="57"/>
  <c r="F55" i="57"/>
  <c r="G55" i="57"/>
  <c r="H55" i="57"/>
  <c r="I55" i="57"/>
  <c r="J55" i="57"/>
  <c r="D56" i="57"/>
  <c r="E56" i="57"/>
  <c r="F56" i="57"/>
  <c r="G56" i="57"/>
  <c r="H56" i="57"/>
  <c r="I56" i="57"/>
  <c r="J56" i="57"/>
  <c r="D57" i="57"/>
  <c r="E57" i="57"/>
  <c r="F57" i="57"/>
  <c r="G57" i="57"/>
  <c r="H57" i="57"/>
  <c r="I57" i="57"/>
  <c r="J57" i="57"/>
  <c r="D58" i="57"/>
  <c r="E58" i="57"/>
  <c r="F58" i="57"/>
  <c r="G58" i="57"/>
  <c r="H58" i="57"/>
  <c r="I58" i="57"/>
  <c r="J58" i="57"/>
  <c r="D59" i="57"/>
  <c r="E59" i="57"/>
  <c r="F59" i="57"/>
  <c r="G59" i="57"/>
  <c r="H59" i="57"/>
  <c r="I59" i="57"/>
  <c r="J59" i="57"/>
  <c r="D60" i="57"/>
  <c r="E60" i="57"/>
  <c r="F60" i="57"/>
  <c r="G60" i="57"/>
  <c r="H60" i="57"/>
  <c r="I60" i="57"/>
  <c r="J60" i="57"/>
  <c r="D61" i="57"/>
  <c r="E61" i="57"/>
  <c r="F61" i="57"/>
  <c r="G61" i="57"/>
  <c r="H61" i="57"/>
  <c r="I61" i="57"/>
  <c r="J61" i="57"/>
  <c r="D62" i="57"/>
  <c r="E62" i="57"/>
  <c r="F62" i="57"/>
  <c r="G62" i="57"/>
  <c r="H62" i="57"/>
  <c r="I62" i="57"/>
  <c r="J62" i="57"/>
  <c r="D63" i="57"/>
  <c r="E63" i="57"/>
  <c r="F63" i="57"/>
  <c r="G63" i="57"/>
  <c r="H63" i="57"/>
  <c r="I63" i="57"/>
  <c r="J63" i="57"/>
  <c r="D64" i="57"/>
  <c r="E64" i="57"/>
  <c r="F64" i="57"/>
  <c r="G64" i="57"/>
  <c r="H64" i="57"/>
  <c r="I64" i="57"/>
  <c r="J64" i="57"/>
  <c r="D65" i="57"/>
  <c r="E65" i="57"/>
  <c r="F65" i="57"/>
  <c r="G65" i="57"/>
  <c r="H65" i="57"/>
  <c r="I65" i="57"/>
  <c r="J65" i="57"/>
  <c r="D66" i="57"/>
  <c r="E66" i="57"/>
  <c r="F66" i="57"/>
  <c r="G66" i="57"/>
  <c r="H66" i="57"/>
  <c r="I66" i="57"/>
  <c r="J66" i="57"/>
  <c r="D67" i="57"/>
  <c r="E67" i="57"/>
  <c r="F67" i="57"/>
  <c r="G67" i="57"/>
  <c r="H67" i="57"/>
  <c r="I67" i="57"/>
  <c r="J67" i="57"/>
  <c r="D68" i="57"/>
  <c r="E68" i="57"/>
  <c r="F68" i="57"/>
  <c r="G68" i="57"/>
  <c r="H68" i="57"/>
  <c r="I68" i="57"/>
  <c r="J68" i="57"/>
  <c r="D69" i="57"/>
  <c r="E69" i="57"/>
  <c r="F69" i="57"/>
  <c r="G69" i="57"/>
  <c r="H69" i="57"/>
  <c r="I69" i="57"/>
  <c r="J69" i="57"/>
  <c r="D70" i="57"/>
  <c r="E70" i="57"/>
  <c r="F70" i="57"/>
  <c r="G70" i="57"/>
  <c r="H70" i="57"/>
  <c r="I70" i="57"/>
  <c r="J70" i="57"/>
  <c r="D71" i="57"/>
  <c r="E71" i="57"/>
  <c r="F71" i="57"/>
  <c r="G71" i="57"/>
  <c r="H71" i="57"/>
  <c r="I71" i="57"/>
  <c r="J71" i="57"/>
  <c r="D72" i="57"/>
  <c r="E72" i="57"/>
  <c r="F72" i="57"/>
  <c r="G72" i="57"/>
  <c r="H72" i="57"/>
  <c r="I72" i="57"/>
  <c r="J72" i="57"/>
  <c r="D73" i="57"/>
  <c r="E73" i="57"/>
  <c r="F73" i="57"/>
  <c r="G73" i="57"/>
  <c r="H73" i="57"/>
  <c r="I73" i="57"/>
  <c r="J73" i="57"/>
  <c r="D74" i="57"/>
  <c r="E74" i="57"/>
  <c r="F74" i="57"/>
  <c r="G74" i="57"/>
  <c r="H74" i="57"/>
  <c r="I74" i="57"/>
  <c r="J74" i="57"/>
  <c r="D75" i="57"/>
  <c r="E75" i="57"/>
  <c r="F75" i="57"/>
  <c r="G75" i="57"/>
  <c r="H75" i="57"/>
  <c r="I75" i="57"/>
  <c r="J75" i="57"/>
  <c r="D76" i="57"/>
  <c r="E76" i="57"/>
  <c r="F76" i="57"/>
  <c r="G76" i="57"/>
  <c r="H76" i="57"/>
  <c r="I76" i="57"/>
  <c r="J76" i="57"/>
  <c r="D77" i="57"/>
  <c r="E77" i="57"/>
  <c r="F77" i="57"/>
  <c r="G77" i="57"/>
  <c r="H77" i="57"/>
  <c r="I77" i="57"/>
  <c r="J77" i="57"/>
  <c r="D78" i="57"/>
  <c r="E78" i="57"/>
  <c r="F78" i="57"/>
  <c r="G78" i="57"/>
  <c r="H78" i="57"/>
  <c r="I78" i="57"/>
  <c r="J78" i="57"/>
  <c r="D79" i="57"/>
  <c r="E79" i="57"/>
  <c r="F79" i="57"/>
  <c r="G79" i="57"/>
  <c r="H79" i="57"/>
  <c r="I79" i="57"/>
  <c r="J79" i="57"/>
  <c r="D80" i="57"/>
  <c r="E80" i="57"/>
  <c r="F80" i="57"/>
  <c r="G80" i="57"/>
  <c r="H80" i="57"/>
  <c r="I80" i="57"/>
  <c r="J80" i="57"/>
  <c r="D81" i="57"/>
  <c r="E81" i="57"/>
  <c r="F81" i="57"/>
  <c r="G81" i="57"/>
  <c r="H81" i="57"/>
  <c r="I81" i="57"/>
  <c r="J81" i="57"/>
  <c r="D82" i="57"/>
  <c r="E82" i="57"/>
  <c r="F82" i="57"/>
  <c r="G82" i="57"/>
  <c r="H82" i="57"/>
  <c r="I82" i="57"/>
  <c r="J82" i="57"/>
  <c r="D83" i="57"/>
  <c r="E83" i="57"/>
  <c r="F83" i="57"/>
  <c r="G83" i="57"/>
  <c r="H83" i="57"/>
  <c r="I83" i="57"/>
  <c r="J83" i="57"/>
  <c r="D84" i="57"/>
  <c r="E84" i="57"/>
  <c r="F84" i="57"/>
  <c r="G84" i="57"/>
  <c r="H84" i="57"/>
  <c r="I84" i="57"/>
  <c r="J84" i="57"/>
  <c r="D85" i="57"/>
  <c r="E85" i="57"/>
  <c r="F85" i="57"/>
  <c r="G85" i="57"/>
  <c r="H85" i="57"/>
  <c r="I85" i="57"/>
  <c r="J85" i="57"/>
  <c r="D86" i="57"/>
  <c r="E86" i="57"/>
  <c r="F86" i="57"/>
  <c r="G86" i="57"/>
  <c r="H86" i="57"/>
  <c r="I86" i="57"/>
  <c r="J86" i="57"/>
  <c r="D87" i="57"/>
  <c r="E87" i="57"/>
  <c r="F87" i="57"/>
  <c r="G87" i="57"/>
  <c r="H87" i="57"/>
  <c r="I87" i="57"/>
  <c r="J87" i="57"/>
  <c r="D88" i="57"/>
  <c r="E88" i="57"/>
  <c r="F88" i="57"/>
  <c r="G88" i="57"/>
  <c r="H88" i="57"/>
  <c r="I88" i="57"/>
  <c r="J88" i="57"/>
  <c r="D89" i="57"/>
  <c r="E89" i="57"/>
  <c r="F89" i="57"/>
  <c r="G89" i="57"/>
  <c r="H89" i="57"/>
  <c r="I89" i="57"/>
  <c r="J89" i="57"/>
  <c r="D90" i="57"/>
  <c r="E90" i="57"/>
  <c r="F90" i="57"/>
  <c r="G90" i="57"/>
  <c r="H90" i="57"/>
  <c r="I90" i="57"/>
  <c r="J90" i="57"/>
  <c r="D91" i="57"/>
  <c r="E91" i="57"/>
  <c r="F91" i="57"/>
  <c r="G91" i="57"/>
  <c r="H91" i="57"/>
  <c r="I91" i="57"/>
  <c r="J91" i="57"/>
  <c r="D92" i="57"/>
  <c r="E92" i="57"/>
  <c r="F92" i="57"/>
  <c r="G92" i="57"/>
  <c r="H92" i="57"/>
  <c r="I92" i="57"/>
  <c r="J92" i="57"/>
  <c r="D93" i="57"/>
  <c r="E93" i="57"/>
  <c r="F93" i="57"/>
  <c r="G93" i="57"/>
  <c r="H93" i="57"/>
  <c r="I93" i="57"/>
  <c r="J93" i="57"/>
  <c r="D94" i="57"/>
  <c r="E94" i="57"/>
  <c r="F94" i="57"/>
  <c r="G94" i="57"/>
  <c r="H94" i="57"/>
  <c r="I94" i="57"/>
  <c r="J94" i="57"/>
  <c r="D95" i="57"/>
  <c r="E95" i="57"/>
  <c r="F95" i="57"/>
  <c r="G95" i="57"/>
  <c r="H95" i="57"/>
  <c r="I95" i="57"/>
  <c r="J95" i="57"/>
  <c r="D96" i="57"/>
  <c r="E96" i="57"/>
  <c r="F96" i="57"/>
  <c r="G96" i="57"/>
  <c r="H96" i="57"/>
  <c r="I96" i="57"/>
  <c r="J96" i="57"/>
  <c r="D97" i="57"/>
  <c r="E97" i="57"/>
  <c r="F97" i="57"/>
  <c r="G97" i="57"/>
  <c r="H97" i="57"/>
  <c r="I97" i="57"/>
  <c r="J97" i="57"/>
  <c r="D98" i="57"/>
  <c r="E98" i="57"/>
  <c r="F98" i="57"/>
  <c r="G98" i="57"/>
  <c r="H98" i="57"/>
  <c r="I98" i="57"/>
  <c r="J98" i="57"/>
  <c r="D99" i="57"/>
  <c r="E99" i="57"/>
  <c r="F99" i="57"/>
  <c r="G99" i="57"/>
  <c r="H99" i="57"/>
  <c r="I99" i="57"/>
  <c r="J99" i="57"/>
  <c r="D100" i="57"/>
  <c r="E100" i="57"/>
  <c r="F100" i="57"/>
  <c r="G100" i="57"/>
  <c r="H100" i="57"/>
  <c r="I100" i="57"/>
  <c r="J100" i="57"/>
  <c r="D101" i="57"/>
  <c r="E101" i="57"/>
  <c r="F101" i="57"/>
  <c r="G101" i="57"/>
  <c r="H101" i="57"/>
  <c r="I101" i="57"/>
  <c r="J101" i="57"/>
  <c r="D102" i="57"/>
  <c r="E102" i="57"/>
  <c r="F102" i="57"/>
  <c r="G102" i="57"/>
  <c r="H102" i="57"/>
  <c r="I102" i="57"/>
  <c r="J102" i="57"/>
  <c r="D103" i="57"/>
  <c r="E103" i="57"/>
  <c r="F103" i="57"/>
  <c r="G103" i="57"/>
  <c r="H103" i="57"/>
  <c r="I103" i="57"/>
  <c r="J103" i="57"/>
  <c r="D104" i="57"/>
  <c r="E104" i="57"/>
  <c r="F104" i="57"/>
  <c r="G104" i="57"/>
  <c r="H104" i="57"/>
  <c r="I104" i="57"/>
  <c r="J104" i="57"/>
  <c r="D105" i="57"/>
  <c r="E105" i="57"/>
  <c r="F105" i="57"/>
  <c r="G105" i="57"/>
  <c r="H105" i="57"/>
  <c r="I105" i="57"/>
  <c r="J105" i="57"/>
  <c r="D106" i="57"/>
  <c r="E106" i="57"/>
  <c r="F106" i="57"/>
  <c r="G106" i="57"/>
  <c r="H106" i="57"/>
  <c r="I106" i="57"/>
  <c r="J106" i="57"/>
  <c r="D107" i="57"/>
  <c r="E107" i="57"/>
  <c r="F107" i="57"/>
  <c r="G107" i="57"/>
  <c r="H107" i="57"/>
  <c r="I107" i="57"/>
  <c r="J107" i="57"/>
  <c r="D108" i="57"/>
  <c r="E108" i="57"/>
  <c r="F108" i="57"/>
  <c r="G108" i="57"/>
  <c r="H108" i="57"/>
  <c r="I108" i="57"/>
  <c r="J108" i="57"/>
  <c r="D109" i="57"/>
  <c r="E109" i="57"/>
  <c r="F109" i="57"/>
  <c r="G109" i="57"/>
  <c r="H109" i="57"/>
  <c r="I109" i="57"/>
  <c r="J109" i="57"/>
  <c r="D110" i="57"/>
  <c r="E110" i="57"/>
  <c r="F110" i="57"/>
  <c r="G110" i="57"/>
  <c r="H110" i="57"/>
  <c r="I110" i="57"/>
  <c r="J110" i="57"/>
  <c r="D111" i="57"/>
  <c r="E111" i="57"/>
  <c r="F111" i="57"/>
  <c r="G111" i="57"/>
  <c r="H111" i="57"/>
  <c r="I111" i="57"/>
  <c r="J111" i="57"/>
  <c r="D112" i="57"/>
  <c r="E112" i="57"/>
  <c r="F112" i="57"/>
  <c r="G112" i="57"/>
  <c r="H112" i="57"/>
  <c r="I112" i="57"/>
  <c r="J112" i="57"/>
  <c r="D113" i="57"/>
  <c r="E113" i="57"/>
  <c r="F113" i="57"/>
  <c r="G113" i="57"/>
  <c r="H113" i="57"/>
  <c r="I113" i="57"/>
  <c r="J113" i="57"/>
  <c r="D114" i="57"/>
  <c r="E114" i="57"/>
  <c r="F114" i="57"/>
  <c r="G114" i="57"/>
  <c r="H114" i="57"/>
  <c r="I114" i="57"/>
  <c r="J114" i="57"/>
  <c r="D115" i="57"/>
  <c r="E115" i="57"/>
  <c r="F115" i="57"/>
  <c r="G115" i="57"/>
  <c r="H115" i="57"/>
  <c r="I115" i="57"/>
  <c r="J115" i="57"/>
  <c r="D116" i="57"/>
  <c r="E116" i="57"/>
  <c r="F116" i="57"/>
  <c r="G116" i="57"/>
  <c r="H116" i="57"/>
  <c r="I116" i="57"/>
  <c r="J116" i="57"/>
  <c r="D117" i="57"/>
  <c r="E117" i="57"/>
  <c r="F117" i="57"/>
  <c r="G117" i="57"/>
  <c r="H117" i="57"/>
  <c r="I117" i="57"/>
  <c r="J117" i="57"/>
  <c r="D118" i="57"/>
  <c r="E118" i="57"/>
  <c r="F118" i="57"/>
  <c r="G118" i="57"/>
  <c r="H118" i="57"/>
  <c r="I118" i="57"/>
  <c r="J118" i="57"/>
  <c r="D119" i="57"/>
  <c r="E119" i="57"/>
  <c r="F119" i="57"/>
  <c r="G119" i="57"/>
  <c r="H119" i="57"/>
  <c r="I119" i="57"/>
  <c r="J119" i="57"/>
  <c r="D120" i="57"/>
  <c r="E120" i="57"/>
  <c r="F120" i="57"/>
  <c r="G120" i="57"/>
  <c r="H120" i="57"/>
  <c r="I120" i="57"/>
  <c r="J120" i="57"/>
  <c r="D121" i="57"/>
  <c r="E121" i="57"/>
  <c r="F121" i="57"/>
  <c r="G121" i="57"/>
  <c r="H121" i="57"/>
  <c r="I121" i="57"/>
  <c r="J121" i="57"/>
  <c r="D122" i="57"/>
  <c r="E122" i="57"/>
  <c r="F122" i="57"/>
  <c r="G122" i="57"/>
  <c r="H122" i="57"/>
  <c r="I122" i="57"/>
  <c r="J122" i="57"/>
  <c r="D123" i="57"/>
  <c r="E123" i="57"/>
  <c r="F123" i="57"/>
  <c r="G123" i="57"/>
  <c r="H123" i="57"/>
  <c r="I123" i="57"/>
  <c r="J123" i="57"/>
  <c r="D124" i="57"/>
  <c r="E124" i="57"/>
  <c r="F124" i="57"/>
  <c r="G124" i="57"/>
  <c r="H124" i="57"/>
  <c r="I124" i="57"/>
  <c r="J124" i="57"/>
  <c r="D125" i="57"/>
  <c r="E125" i="57"/>
  <c r="F125" i="57"/>
  <c r="G125" i="57"/>
  <c r="H125" i="57"/>
  <c r="I125" i="57"/>
  <c r="J125" i="57"/>
  <c r="D126" i="57"/>
  <c r="E126" i="57"/>
  <c r="F126" i="57"/>
  <c r="G126" i="57"/>
  <c r="H126" i="57"/>
  <c r="I126" i="57"/>
  <c r="J126" i="57"/>
  <c r="D127" i="57"/>
  <c r="E127" i="57"/>
  <c r="F127" i="57"/>
  <c r="G127" i="57"/>
  <c r="H127" i="57"/>
  <c r="I127" i="57"/>
  <c r="J127" i="57"/>
  <c r="D128" i="57"/>
  <c r="E128" i="57"/>
  <c r="F128" i="57"/>
  <c r="G128" i="57"/>
  <c r="H128" i="57"/>
  <c r="I128" i="57"/>
  <c r="J128" i="57"/>
  <c r="D129" i="57"/>
  <c r="E129" i="57"/>
  <c r="F129" i="57"/>
  <c r="G129" i="57"/>
  <c r="H129" i="57"/>
  <c r="I129" i="57"/>
  <c r="J129" i="57"/>
  <c r="D130" i="57"/>
  <c r="E130" i="57"/>
  <c r="F130" i="57"/>
  <c r="G130" i="57"/>
  <c r="H130" i="57"/>
  <c r="I130" i="57"/>
  <c r="J130" i="57"/>
  <c r="D131" i="57"/>
  <c r="E131" i="57"/>
  <c r="F131" i="57"/>
  <c r="G131" i="57"/>
  <c r="H131" i="57"/>
  <c r="I131" i="57"/>
  <c r="J131" i="57"/>
  <c r="D132" i="57"/>
  <c r="E132" i="57"/>
  <c r="F132" i="57"/>
  <c r="G132" i="57"/>
  <c r="H132" i="57"/>
  <c r="I132" i="57"/>
  <c r="J132" i="57"/>
  <c r="D133" i="57"/>
  <c r="E133" i="57"/>
  <c r="F133" i="57"/>
  <c r="G133" i="57"/>
  <c r="H133" i="57"/>
  <c r="I133" i="57"/>
  <c r="J133" i="57"/>
  <c r="D134" i="57"/>
  <c r="E134" i="57"/>
  <c r="F134" i="57"/>
  <c r="G134" i="57"/>
  <c r="H134" i="57"/>
  <c r="I134" i="57"/>
  <c r="J134" i="57"/>
  <c r="D135" i="57"/>
  <c r="E135" i="57"/>
  <c r="F135" i="57"/>
  <c r="G135" i="57"/>
  <c r="H135" i="57"/>
  <c r="I135" i="57"/>
  <c r="J135" i="57"/>
  <c r="D136" i="57"/>
  <c r="E136" i="57"/>
  <c r="F136" i="57"/>
  <c r="G136" i="57"/>
  <c r="H136" i="57"/>
  <c r="I136" i="57"/>
  <c r="J136" i="57"/>
  <c r="D137" i="57"/>
  <c r="E137" i="57"/>
  <c r="F137" i="57"/>
  <c r="G137" i="57"/>
  <c r="H137" i="57"/>
  <c r="I137" i="57"/>
  <c r="J137" i="57"/>
  <c r="D138" i="57"/>
  <c r="E138" i="57"/>
  <c r="F138" i="57"/>
  <c r="G138" i="57"/>
  <c r="H138" i="57"/>
  <c r="I138" i="57"/>
  <c r="J138" i="57"/>
  <c r="D139" i="57"/>
  <c r="E139" i="57"/>
  <c r="F139" i="57"/>
  <c r="G139" i="57"/>
  <c r="H139" i="57"/>
  <c r="I139" i="57"/>
  <c r="J139" i="57"/>
  <c r="D140" i="57"/>
  <c r="E140" i="57"/>
  <c r="F140" i="57"/>
  <c r="G140" i="57"/>
  <c r="H140" i="57"/>
  <c r="I140" i="57"/>
  <c r="J140" i="57"/>
  <c r="D141" i="57"/>
  <c r="E141" i="57"/>
  <c r="F141" i="57"/>
  <c r="G141" i="57"/>
  <c r="H141" i="57"/>
  <c r="I141" i="57"/>
  <c r="J141" i="57"/>
  <c r="D142" i="57"/>
  <c r="E142" i="57"/>
  <c r="F142" i="57"/>
  <c r="G142" i="57"/>
  <c r="H142" i="57"/>
  <c r="I142" i="57"/>
  <c r="J142" i="57"/>
  <c r="D143" i="57"/>
  <c r="E143" i="57"/>
  <c r="F143" i="57"/>
  <c r="G143" i="57"/>
  <c r="H143" i="57"/>
  <c r="I143" i="57"/>
  <c r="J143" i="57"/>
  <c r="D144" i="57"/>
  <c r="E144" i="57"/>
  <c r="F144" i="57"/>
  <c r="G144" i="57"/>
  <c r="H144" i="57"/>
  <c r="I144" i="57"/>
  <c r="J144" i="57"/>
  <c r="D145" i="57"/>
  <c r="E145" i="57"/>
  <c r="F145" i="57"/>
  <c r="G145" i="57"/>
  <c r="H145" i="57"/>
  <c r="I145" i="57"/>
  <c r="J145" i="57"/>
  <c r="D146" i="57"/>
  <c r="E146" i="57"/>
  <c r="F146" i="57"/>
  <c r="G146" i="57"/>
  <c r="H146" i="57"/>
  <c r="I146" i="57"/>
  <c r="J146" i="57"/>
  <c r="D147" i="57"/>
  <c r="E147" i="57"/>
  <c r="F147" i="57"/>
  <c r="G147" i="57"/>
  <c r="H147" i="57"/>
  <c r="I147" i="57"/>
  <c r="J147" i="57"/>
  <c r="D148" i="57"/>
  <c r="E148" i="57"/>
  <c r="F148" i="57"/>
  <c r="G148" i="57"/>
  <c r="H148" i="57"/>
  <c r="I148" i="57"/>
  <c r="J148" i="57"/>
  <c r="D149" i="57"/>
  <c r="E149" i="57"/>
  <c r="F149" i="57"/>
  <c r="G149" i="57"/>
  <c r="H149" i="57"/>
  <c r="I149" i="57"/>
  <c r="J149" i="57"/>
  <c r="D150" i="57"/>
  <c r="E150" i="57"/>
  <c r="F150" i="57"/>
  <c r="G150" i="57"/>
  <c r="H150" i="57"/>
  <c r="I150" i="57"/>
  <c r="J150" i="57"/>
  <c r="D151" i="57"/>
  <c r="E151" i="57"/>
  <c r="F151" i="57"/>
  <c r="G151" i="57"/>
  <c r="H151" i="57"/>
  <c r="I151" i="57"/>
  <c r="J151" i="57"/>
  <c r="D152" i="57"/>
  <c r="E152" i="57"/>
  <c r="F152" i="57"/>
  <c r="G152" i="57"/>
  <c r="H152" i="57"/>
  <c r="I152" i="57"/>
  <c r="J152" i="57"/>
  <c r="D153" i="57"/>
  <c r="E153" i="57"/>
  <c r="F153" i="57"/>
  <c r="G153" i="57"/>
  <c r="H153" i="57"/>
  <c r="I153" i="57"/>
  <c r="J153" i="57"/>
  <c r="D154" i="57"/>
  <c r="E154" i="57"/>
  <c r="F154" i="57"/>
  <c r="G154" i="57"/>
  <c r="H154" i="57"/>
  <c r="I154" i="57"/>
  <c r="J154" i="57"/>
  <c r="D155" i="57"/>
  <c r="E155" i="57"/>
  <c r="F155" i="57"/>
  <c r="G155" i="57"/>
  <c r="H155" i="57"/>
  <c r="I155" i="57"/>
  <c r="J155" i="57"/>
  <c r="D156" i="57"/>
  <c r="E156" i="57"/>
  <c r="F156" i="57"/>
  <c r="G156" i="57"/>
  <c r="H156" i="57"/>
  <c r="I156" i="57"/>
  <c r="J156" i="57"/>
  <c r="D157" i="57"/>
  <c r="E157" i="57"/>
  <c r="F157" i="57"/>
  <c r="G157" i="57"/>
  <c r="H157" i="57"/>
  <c r="I157" i="57"/>
  <c r="J157" i="57"/>
  <c r="D158" i="57"/>
  <c r="E158" i="57"/>
  <c r="F158" i="57"/>
  <c r="G158" i="57"/>
  <c r="H158" i="57"/>
  <c r="I158" i="57"/>
  <c r="J158" i="57"/>
  <c r="D159" i="57"/>
  <c r="E159" i="57"/>
  <c r="F159" i="57"/>
  <c r="G159" i="57"/>
  <c r="H159" i="57"/>
  <c r="I159" i="57"/>
  <c r="J159" i="57"/>
  <c r="D160" i="57"/>
  <c r="E160" i="57"/>
  <c r="F160" i="57"/>
  <c r="G160" i="57"/>
  <c r="H160" i="57"/>
  <c r="I160" i="57"/>
  <c r="J160" i="57"/>
  <c r="D161" i="57"/>
  <c r="E161" i="57"/>
  <c r="F161" i="57"/>
  <c r="G161" i="57"/>
  <c r="H161" i="57"/>
  <c r="I161" i="57"/>
  <c r="J161" i="57"/>
  <c r="D162" i="57"/>
  <c r="E162" i="57"/>
  <c r="F162" i="57"/>
  <c r="G162" i="57"/>
  <c r="H162" i="57"/>
  <c r="I162" i="57"/>
  <c r="J162" i="57"/>
  <c r="D163" i="57"/>
  <c r="E163" i="57"/>
  <c r="F163" i="57"/>
  <c r="G163" i="57"/>
  <c r="H163" i="57"/>
  <c r="I163" i="57"/>
  <c r="J163" i="57"/>
  <c r="D164" i="57"/>
  <c r="E164" i="57"/>
  <c r="F164" i="57"/>
  <c r="G164" i="57"/>
  <c r="H164" i="57"/>
  <c r="I164" i="57"/>
  <c r="J164" i="57"/>
  <c r="D165" i="57"/>
  <c r="E165" i="57"/>
  <c r="F165" i="57"/>
  <c r="G165" i="57"/>
  <c r="H165" i="57"/>
  <c r="I165" i="57"/>
  <c r="J165" i="57"/>
  <c r="D166" i="57"/>
  <c r="E166" i="57"/>
  <c r="F166" i="57"/>
  <c r="G166" i="57"/>
  <c r="H166" i="57"/>
  <c r="I166" i="57"/>
  <c r="J166" i="57"/>
  <c r="D167" i="57"/>
  <c r="E167" i="57"/>
  <c r="F167" i="57"/>
  <c r="G167" i="57"/>
  <c r="H167" i="57"/>
  <c r="I167" i="57"/>
  <c r="J167" i="57"/>
  <c r="D168" i="57"/>
  <c r="E168" i="57"/>
  <c r="F168" i="57"/>
  <c r="G168" i="57"/>
  <c r="H168" i="57"/>
  <c r="I168" i="57"/>
  <c r="J168" i="57"/>
  <c r="D169" i="57"/>
  <c r="E169" i="57"/>
  <c r="F169" i="57"/>
  <c r="G169" i="57"/>
  <c r="H169" i="57"/>
  <c r="I169" i="57"/>
  <c r="J169" i="57"/>
  <c r="D170" i="57"/>
  <c r="E170" i="57"/>
  <c r="F170" i="57"/>
  <c r="G170" i="57"/>
  <c r="H170" i="57"/>
  <c r="I170" i="57"/>
  <c r="J170" i="57"/>
  <c r="D171" i="57"/>
  <c r="E171" i="57"/>
  <c r="F171" i="57"/>
  <c r="G171" i="57"/>
  <c r="H171" i="57"/>
  <c r="I171" i="57"/>
  <c r="J171" i="57"/>
  <c r="D172" i="57"/>
  <c r="E172" i="57"/>
  <c r="F172" i="57"/>
  <c r="G172" i="57"/>
  <c r="H172" i="57"/>
  <c r="I172" i="57"/>
  <c r="J172" i="57"/>
  <c r="D173" i="57"/>
  <c r="E173" i="57"/>
  <c r="F173" i="57"/>
  <c r="G173" i="57"/>
  <c r="H173" i="57"/>
  <c r="I173" i="57"/>
  <c r="J173" i="57"/>
  <c r="D174" i="57"/>
  <c r="E174" i="57"/>
  <c r="F174" i="57"/>
  <c r="G174" i="57"/>
  <c r="H174" i="57"/>
  <c r="I174" i="57"/>
  <c r="J174" i="57"/>
  <c r="D175" i="57"/>
  <c r="E175" i="57"/>
  <c r="F175" i="57"/>
  <c r="G175" i="57"/>
  <c r="H175" i="57"/>
  <c r="I175" i="57"/>
  <c r="J175" i="57"/>
  <c r="D176" i="57"/>
  <c r="E176" i="57"/>
  <c r="F176" i="57"/>
  <c r="G176" i="57"/>
  <c r="H176" i="57"/>
  <c r="I176" i="57"/>
  <c r="J176" i="57"/>
  <c r="D177" i="57"/>
  <c r="E177" i="57"/>
  <c r="F177" i="57"/>
  <c r="G177" i="57"/>
  <c r="H177" i="57"/>
  <c r="I177" i="57"/>
  <c r="J177" i="57"/>
  <c r="D178" i="57"/>
  <c r="E178" i="57"/>
  <c r="F178" i="57"/>
  <c r="G178" i="57"/>
  <c r="H178" i="57"/>
  <c r="I178" i="57"/>
  <c r="J178" i="57"/>
  <c r="D179" i="57"/>
  <c r="E179" i="57"/>
  <c r="F179" i="57"/>
  <c r="G179" i="57"/>
  <c r="H179" i="57"/>
  <c r="I179" i="57"/>
  <c r="J179" i="57"/>
  <c r="D180" i="57"/>
  <c r="E180" i="57"/>
  <c r="F180" i="57"/>
  <c r="G180" i="57"/>
  <c r="H180" i="57"/>
  <c r="I180" i="57"/>
  <c r="J180" i="57"/>
  <c r="D181" i="57"/>
  <c r="E181" i="57"/>
  <c r="F181" i="57"/>
  <c r="G181" i="57"/>
  <c r="H181" i="57"/>
  <c r="I181" i="57"/>
  <c r="J181" i="57"/>
  <c r="D182" i="57"/>
  <c r="E182" i="57"/>
  <c r="F182" i="57"/>
  <c r="G182" i="57"/>
  <c r="H182" i="57"/>
  <c r="I182" i="57"/>
  <c r="J182" i="57"/>
  <c r="D183" i="57"/>
  <c r="E183" i="57"/>
  <c r="F183" i="57"/>
  <c r="G183" i="57"/>
  <c r="H183" i="57"/>
  <c r="I183" i="57"/>
  <c r="J183" i="57"/>
  <c r="D184" i="57"/>
  <c r="E184" i="57"/>
  <c r="F184" i="57"/>
  <c r="G184" i="57"/>
  <c r="H184" i="57"/>
  <c r="I184" i="57"/>
  <c r="J184" i="57"/>
  <c r="D185" i="57"/>
  <c r="E185" i="57"/>
  <c r="F185" i="57"/>
  <c r="G185" i="57"/>
  <c r="H185" i="57"/>
  <c r="I185" i="57"/>
  <c r="J185" i="57"/>
  <c r="D186" i="57"/>
  <c r="E186" i="57"/>
  <c r="F186" i="57"/>
  <c r="G186" i="57"/>
  <c r="H186" i="57"/>
  <c r="I186" i="57"/>
  <c r="J186" i="57"/>
  <c r="D187" i="57"/>
  <c r="E187" i="57"/>
  <c r="F187" i="57"/>
  <c r="G187" i="57"/>
  <c r="H187" i="57"/>
  <c r="I187" i="57"/>
  <c r="J187" i="57"/>
  <c r="D188" i="57"/>
  <c r="E188" i="57"/>
  <c r="F188" i="57"/>
  <c r="G188" i="57"/>
  <c r="H188" i="57"/>
  <c r="I188" i="57"/>
  <c r="J188" i="57"/>
  <c r="D189" i="57"/>
  <c r="E189" i="57"/>
  <c r="F189" i="57"/>
  <c r="G189" i="57"/>
  <c r="H189" i="57"/>
  <c r="I189" i="57"/>
  <c r="J189" i="57"/>
  <c r="D190" i="57"/>
  <c r="E190" i="57"/>
  <c r="F190" i="57"/>
  <c r="G190" i="57"/>
  <c r="H190" i="57"/>
  <c r="I190" i="57"/>
  <c r="J190" i="57"/>
  <c r="D191" i="57"/>
  <c r="E191" i="57"/>
  <c r="F191" i="57"/>
  <c r="G191" i="57"/>
  <c r="H191" i="57"/>
  <c r="I191" i="57"/>
  <c r="J191" i="57"/>
  <c r="D192" i="57"/>
  <c r="E192" i="57"/>
  <c r="F192" i="57"/>
  <c r="G192" i="57"/>
  <c r="H192" i="57"/>
  <c r="I192" i="57"/>
  <c r="J192" i="57"/>
  <c r="D193" i="57"/>
  <c r="E193" i="57"/>
  <c r="F193" i="57"/>
  <c r="G193" i="57"/>
  <c r="H193" i="57"/>
  <c r="I193" i="57"/>
  <c r="J193" i="57"/>
  <c r="F4" i="57"/>
  <c r="G4" i="57"/>
  <c r="H4" i="57"/>
  <c r="I4" i="57"/>
  <c r="J4" i="57"/>
  <c r="E4" i="57"/>
  <c r="D4" i="57"/>
  <c r="G8" i="52"/>
  <c r="J20" i="178" l="1"/>
  <c r="K20" i="178"/>
  <c r="L20" i="178"/>
  <c r="F20" i="178"/>
  <c r="E20" i="178"/>
  <c r="M20" i="178"/>
  <c r="N20" i="178"/>
  <c r="G20" i="178"/>
  <c r="O20" i="178"/>
  <c r="I20" i="178"/>
  <c r="H20" i="178"/>
  <c r="E23" i="41"/>
  <c r="F23" i="41"/>
  <c r="D23" i="41"/>
  <c r="D6" i="43"/>
  <c r="E6" i="43"/>
  <c r="C6" i="43"/>
  <c r="D30" i="41"/>
  <c r="E30" i="41"/>
  <c r="F30" i="41"/>
  <c r="F29" i="41"/>
  <c r="F25" i="41"/>
  <c r="F27" i="41"/>
  <c r="F21" i="41"/>
  <c r="E26" i="41"/>
  <c r="F26" i="41"/>
  <c r="F4" i="41" a="1"/>
  <c r="F4" i="41" s="1"/>
  <c r="F5" i="41" a="1"/>
  <c r="F5" i="41" s="1"/>
  <c r="L5" i="41" s="1"/>
  <c r="F6" i="41" a="1"/>
  <c r="F6" i="41" s="1"/>
  <c r="F7" i="41" a="1"/>
  <c r="F7" i="41" s="1"/>
  <c r="F8" i="41" a="1"/>
  <c r="F8" i="41" s="1"/>
  <c r="L8" i="41" s="1"/>
  <c r="F9" i="41" a="1"/>
  <c r="F9" i="41" s="1"/>
  <c r="F10" i="41" a="1"/>
  <c r="F10" i="41" s="1"/>
  <c r="F11" i="41" a="1"/>
  <c r="F11" i="41" s="1"/>
  <c r="F12" i="41" a="1"/>
  <c r="F12" i="41" s="1"/>
  <c r="F13" i="41" a="1"/>
  <c r="F13" i="41" s="1"/>
  <c r="F14" i="41" a="1"/>
  <c r="F14" i="41" s="1"/>
  <c r="F15" i="41" a="1"/>
  <c r="F15" i="41" s="1"/>
  <c r="F16" i="41" a="1"/>
  <c r="F16" i="41" s="1"/>
  <c r="F17" i="41" a="1"/>
  <c r="F17" i="41" s="1"/>
  <c r="F18" i="41" a="1"/>
  <c r="F18" i="41" s="1"/>
  <c r="F19" i="41" a="1"/>
  <c r="F19" i="41" s="1"/>
  <c r="G10" i="168" s="1"/>
  <c r="C4" i="150" s="1"/>
  <c r="N4" i="150" s="1"/>
  <c r="F20" i="41" a="1"/>
  <c r="F20" i="41" s="1"/>
  <c r="F3" i="41" a="1"/>
  <c r="F3" i="41" s="1"/>
  <c r="L3" i="41" s="1"/>
  <c r="E4" i="41" a="1"/>
  <c r="E4" i="41" s="1"/>
  <c r="E5" i="41" a="1"/>
  <c r="E5" i="41" s="1"/>
  <c r="E6" i="41" a="1"/>
  <c r="E6" i="41" s="1"/>
  <c r="E7" i="41" a="1"/>
  <c r="E7" i="41" s="1"/>
  <c r="E8" i="41" a="1"/>
  <c r="E8" i="41" s="1"/>
  <c r="E9" i="41" a="1"/>
  <c r="E9" i="41" s="1"/>
  <c r="E10" i="41" a="1"/>
  <c r="E10" i="41" s="1"/>
  <c r="E11" i="41" a="1"/>
  <c r="E11" i="41" s="1"/>
  <c r="E12" i="41" a="1"/>
  <c r="E12" i="41" s="1"/>
  <c r="K12" i="41" s="1"/>
  <c r="E13" i="41" a="1"/>
  <c r="E13" i="41" s="1"/>
  <c r="E14" i="41" a="1"/>
  <c r="E14" i="41" s="1"/>
  <c r="E15" i="41" a="1"/>
  <c r="E15" i="41" s="1"/>
  <c r="E16" i="41" a="1"/>
  <c r="E16" i="41" s="1"/>
  <c r="E17" i="41" a="1"/>
  <c r="E17" i="41" s="1"/>
  <c r="E18" i="41" a="1"/>
  <c r="E18" i="41" s="1"/>
  <c r="E19" i="41" a="1"/>
  <c r="E19" i="41" s="1"/>
  <c r="F10" i="168" s="1"/>
  <c r="C3" i="150" s="1"/>
  <c r="N3" i="150" s="1"/>
  <c r="E20" i="41" a="1"/>
  <c r="E20" i="41" s="1"/>
  <c r="E3" i="41" a="1"/>
  <c r="E3" i="41" s="1"/>
  <c r="K3" i="41" s="1"/>
  <c r="D4" i="41" a="1"/>
  <c r="D4" i="41" s="1"/>
  <c r="D5" i="41" a="1"/>
  <c r="D5" i="41" s="1"/>
  <c r="D6" i="41" a="1"/>
  <c r="D6" i="41" s="1"/>
  <c r="D7" i="41" a="1"/>
  <c r="D7" i="41" s="1"/>
  <c r="D8" i="41" a="1"/>
  <c r="D8" i="41" s="1"/>
  <c r="J8" i="41" s="1"/>
  <c r="D9" i="41" a="1"/>
  <c r="D9" i="41" s="1"/>
  <c r="D10" i="41" a="1"/>
  <c r="D10" i="41" s="1"/>
  <c r="D11" i="41" a="1"/>
  <c r="D11" i="41" s="1"/>
  <c r="D12" i="41" a="1"/>
  <c r="D12" i="41" s="1"/>
  <c r="D13" i="41" a="1"/>
  <c r="D13" i="41" s="1"/>
  <c r="D14" i="41" a="1"/>
  <c r="D14" i="41" s="1"/>
  <c r="D15" i="41" a="1"/>
  <c r="D15" i="41" s="1"/>
  <c r="D16" i="41" a="1"/>
  <c r="D16" i="41" s="1"/>
  <c r="D17" i="41" a="1"/>
  <c r="D17" i="41" s="1"/>
  <c r="D18" i="41" a="1"/>
  <c r="D18" i="41" s="1"/>
  <c r="D19" i="41" a="1"/>
  <c r="D19" i="41" s="1"/>
  <c r="E10" i="168" s="1"/>
  <c r="C2" i="150" s="1"/>
  <c r="N2" i="150" s="1"/>
  <c r="D20" i="41" a="1"/>
  <c r="D20" i="41" s="1"/>
  <c r="D3" i="41" a="1"/>
  <c r="D3" i="41" s="1"/>
  <c r="J3" i="41" s="1"/>
  <c r="K10" i="41" l="1"/>
  <c r="L12" i="41"/>
  <c r="J5" i="41"/>
  <c r="K8" i="41"/>
  <c r="L10" i="41"/>
  <c r="J12" i="41"/>
  <c r="J10" i="41"/>
  <c r="K5" i="41"/>
  <c r="O1" i="5"/>
  <c r="G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L3" authorId="0" shapeId="0" xr:uid="{200F341D-FC5D-41A1-988E-C3F54A406BD8}">
      <text>
        <r>
          <rPr>
            <b/>
            <sz val="9"/>
            <color indexed="81"/>
            <rFont val="Tahoma"/>
            <family val="2"/>
          </rPr>
          <t>Alexandre Pannier:</t>
        </r>
        <r>
          <rPr>
            <sz val="9"/>
            <color indexed="81"/>
            <rFont val="Tahoma"/>
            <family val="2"/>
          </rPr>
          <t xml:space="preserve">
Hypothèse : même récolte que les 5 dernières années (Intercéréales)</t>
        </r>
      </text>
    </comment>
    <comment ref="U3" authorId="0" shapeId="0" xr:uid="{93C38529-72FA-4B9A-AF3E-7B6EBD26FEFD}">
      <text>
        <r>
          <rPr>
            <b/>
            <sz val="9"/>
            <color indexed="81"/>
            <rFont val="Tahoma"/>
            <family val="2"/>
          </rPr>
          <t>Alexandre Pannier:</t>
        </r>
        <r>
          <rPr>
            <sz val="9"/>
            <color indexed="81"/>
            <rFont val="Tahoma"/>
            <family val="2"/>
          </rPr>
          <t xml:space="preserve">
Hypothèse : même récolte que les 5 dernières années (Intercéréales)</t>
        </r>
      </text>
    </comment>
    <comment ref="AD3" authorId="0" shapeId="0" xr:uid="{3FCD43D9-7BAC-4608-AB6D-05FDF3216519}">
      <text>
        <r>
          <rPr>
            <b/>
            <sz val="9"/>
            <color indexed="81"/>
            <rFont val="Tahoma"/>
            <family val="2"/>
          </rPr>
          <t>Alexandre Pannier:</t>
        </r>
        <r>
          <rPr>
            <sz val="9"/>
            <color indexed="81"/>
            <rFont val="Tahoma"/>
            <family val="2"/>
          </rPr>
          <t xml:space="preserve">
Hypothèse : même récolte que les 5 dernières années (Intercéréales)</t>
        </r>
      </text>
    </comment>
    <comment ref="F5" authorId="0" shapeId="0" xr:uid="{96D029A6-89A3-4FAF-8030-B3D3AEDA957A}">
      <text>
        <r>
          <rPr>
            <b/>
            <sz val="9"/>
            <color indexed="81"/>
            <rFont val="Tahoma"/>
            <family val="2"/>
          </rPr>
          <t>Alexandre Pannier:</t>
        </r>
        <r>
          <rPr>
            <sz val="9"/>
            <color indexed="81"/>
            <rFont val="Tahoma"/>
            <family val="2"/>
          </rPr>
          <t xml:space="preserve">
Recalculée par bilan car la valeur dans le bilan de campagne ne correspondait pas exactement</t>
        </r>
      </text>
    </comment>
    <comment ref="L5" authorId="0" shapeId="0" xr:uid="{697578DE-3669-4F9C-92F4-1060EE1D7C0C}">
      <text>
        <r>
          <rPr>
            <b/>
            <sz val="9"/>
            <color indexed="81"/>
            <rFont val="Tahoma"/>
            <family val="2"/>
          </rPr>
          <t>Alexandre Pannier:</t>
        </r>
        <r>
          <rPr>
            <sz val="9"/>
            <color indexed="81"/>
            <rFont val="Tahoma"/>
            <family val="2"/>
          </rPr>
          <t xml:space="preserve">
Calculée par bilan car pas présente dans le bilan de campagne</t>
        </r>
      </text>
    </comment>
    <comment ref="P5" authorId="0" shapeId="0" xr:uid="{573BFCD6-B3F9-4675-AC8F-55075B54FE0C}">
      <text>
        <r>
          <rPr>
            <b/>
            <sz val="9"/>
            <color indexed="81"/>
            <rFont val="Tahoma"/>
            <family val="2"/>
          </rPr>
          <t>Alexandre Pannier:</t>
        </r>
        <r>
          <rPr>
            <sz val="9"/>
            <color indexed="81"/>
            <rFont val="Tahoma"/>
            <family val="2"/>
          </rPr>
          <t xml:space="preserve">
Recalculée par bilan (en négligeant l'autoconsommation venant de la récolte) car la valeur dans le bilan de campagne n'était pas possible</t>
        </r>
      </text>
    </comment>
    <comment ref="U5" authorId="0" shapeId="0" xr:uid="{48EE6E1D-2884-43FE-B36F-80B562F1C893}">
      <text>
        <r>
          <rPr>
            <b/>
            <sz val="9"/>
            <color indexed="81"/>
            <rFont val="Tahoma"/>
            <family val="2"/>
          </rPr>
          <t>Alexandre Pannier:</t>
        </r>
        <r>
          <rPr>
            <sz val="9"/>
            <color indexed="81"/>
            <rFont val="Tahoma"/>
            <family val="2"/>
          </rPr>
          <t xml:space="preserve">
Calculée par bilan car pas présente dans le bilan de campagne</t>
        </r>
      </text>
    </comment>
    <comment ref="Y5" authorId="0" shapeId="0" xr:uid="{AF081F2B-BC4E-400B-8669-CC80E0BDF933}">
      <text>
        <r>
          <rPr>
            <b/>
            <sz val="9"/>
            <color indexed="81"/>
            <rFont val="Tahoma"/>
            <family val="2"/>
          </rPr>
          <t>Alexandre Pannier:</t>
        </r>
        <r>
          <rPr>
            <sz val="9"/>
            <color indexed="81"/>
            <rFont val="Tahoma"/>
            <family val="2"/>
          </rPr>
          <t xml:space="preserve">
Recalculée par bilan car la valeur dans le bilan de campagne ne correspondait pas exactement</t>
        </r>
      </text>
    </comment>
    <comment ref="AD5" authorId="0" shapeId="0" xr:uid="{279B66BB-A35A-4336-8269-E14571795DBC}">
      <text>
        <r>
          <rPr>
            <b/>
            <sz val="9"/>
            <color indexed="81"/>
            <rFont val="Tahoma"/>
            <family val="2"/>
          </rPr>
          <t>Alexandre Pannier:</t>
        </r>
        <r>
          <rPr>
            <sz val="9"/>
            <color indexed="81"/>
            <rFont val="Tahoma"/>
            <family val="2"/>
          </rPr>
          <t xml:space="preserve">
Estimée à 0 car moins de récolte que de collecte</t>
        </r>
      </text>
    </comment>
    <comment ref="D12" authorId="0" shapeId="0" xr:uid="{0B6AB81A-1EEA-472B-9143-40D8F3C7F67B}">
      <text>
        <r>
          <rPr>
            <b/>
            <sz val="9"/>
            <color indexed="81"/>
            <rFont val="Tahoma"/>
            <family val="2"/>
          </rPr>
          <t>Alexandre Pannier:</t>
        </r>
        <r>
          <rPr>
            <sz val="9"/>
            <color indexed="81"/>
            <rFont val="Tahoma"/>
            <family val="2"/>
          </rPr>
          <t xml:space="preserve">
Conversion des tonnes équivalents grains en farine (coef 1,3)</t>
        </r>
      </text>
    </comment>
    <comment ref="M12" authorId="0" shapeId="0" xr:uid="{4B6A203E-BF5F-42BE-9A84-0E3E125A961E}">
      <text>
        <r>
          <rPr>
            <b/>
            <sz val="9"/>
            <color indexed="81"/>
            <rFont val="Tahoma"/>
            <family val="2"/>
          </rPr>
          <t>Alexandre Pannier:</t>
        </r>
        <r>
          <rPr>
            <sz val="9"/>
            <color indexed="81"/>
            <rFont val="Tahoma"/>
            <family val="2"/>
          </rPr>
          <t xml:space="preserve">
Conversion des tonnes équivalents grains en farine (coef 1,3)</t>
        </r>
      </text>
    </comment>
    <comment ref="V12" authorId="0" shapeId="0" xr:uid="{707A3843-EB23-4113-91FF-9019BE883391}">
      <text>
        <r>
          <rPr>
            <b/>
            <sz val="9"/>
            <color indexed="81"/>
            <rFont val="Tahoma"/>
            <family val="2"/>
          </rPr>
          <t>Alexandre Pannier:</t>
        </r>
        <r>
          <rPr>
            <sz val="9"/>
            <color indexed="81"/>
            <rFont val="Tahoma"/>
            <family val="2"/>
          </rPr>
          <t xml:space="preserve">
Conversion des tonnes équivalents grains en farine (coef 1,3)</t>
        </r>
      </text>
    </comment>
    <comment ref="D14" authorId="0" shapeId="0" xr:uid="{E7507131-6B1E-45F9-A2CF-2AC8F11A7333}">
      <text>
        <r>
          <rPr>
            <b/>
            <sz val="9"/>
            <color indexed="81"/>
            <rFont val="Tahoma"/>
            <family val="2"/>
          </rPr>
          <t>Alexandre Pannier:</t>
        </r>
        <r>
          <rPr>
            <sz val="9"/>
            <color indexed="81"/>
            <rFont val="Tahoma"/>
            <family val="2"/>
          </rPr>
          <t xml:space="preserve">
Conversion des tonnes équivalents grains en farine (coef 1,3)</t>
        </r>
      </text>
    </comment>
    <comment ref="M14" authorId="0" shapeId="0" xr:uid="{017BE80E-6756-44B3-86D6-EFA764E71614}">
      <text>
        <r>
          <rPr>
            <b/>
            <sz val="9"/>
            <color indexed="81"/>
            <rFont val="Tahoma"/>
            <family val="2"/>
          </rPr>
          <t>Alexandre Pannier:</t>
        </r>
        <r>
          <rPr>
            <sz val="9"/>
            <color indexed="81"/>
            <rFont val="Tahoma"/>
            <family val="2"/>
          </rPr>
          <t xml:space="preserve">
Conversion des tonnes équivalents grains en farine (coef 1,3)</t>
        </r>
      </text>
    </comment>
    <comment ref="V14" authorId="0" shapeId="0" xr:uid="{F5E5AFDD-2DDB-469A-BAF4-FFA2112347EB}">
      <text>
        <r>
          <rPr>
            <b/>
            <sz val="9"/>
            <color indexed="81"/>
            <rFont val="Tahoma"/>
            <family val="2"/>
          </rPr>
          <t>Alexandre Pannier:</t>
        </r>
        <r>
          <rPr>
            <sz val="9"/>
            <color indexed="81"/>
            <rFont val="Tahoma"/>
            <family val="2"/>
          </rPr>
          <t xml:space="preserve">
Conversion des tonnes équivalents grains en farine (coef 1,3)</t>
        </r>
      </text>
    </comment>
    <comment ref="D15" authorId="0" shapeId="0" xr:uid="{E74FFC82-4487-494D-B654-9F14D062FABC}">
      <text>
        <r>
          <rPr>
            <b/>
            <sz val="9"/>
            <color indexed="81"/>
            <rFont val="Tahoma"/>
            <family val="2"/>
          </rPr>
          <t>Alexandre Pannier:</t>
        </r>
        <r>
          <rPr>
            <sz val="9"/>
            <color indexed="81"/>
            <rFont val="Tahoma"/>
            <family val="2"/>
          </rPr>
          <t xml:space="preserve">
Soustraction des mises en œuvre en Malterie et conversion des tonnes équivalents grains en farine (coef 1,3)</t>
        </r>
      </text>
    </comment>
    <comment ref="M15" authorId="0" shapeId="0" xr:uid="{E12CB301-694A-4502-9013-BECE43DCB4B4}">
      <text>
        <r>
          <rPr>
            <b/>
            <sz val="9"/>
            <color indexed="81"/>
            <rFont val="Tahoma"/>
            <family val="2"/>
          </rPr>
          <t>Alexandre Pannier:</t>
        </r>
        <r>
          <rPr>
            <sz val="9"/>
            <color indexed="81"/>
            <rFont val="Tahoma"/>
            <family val="2"/>
          </rPr>
          <t xml:space="preserve">
Soustraction des mises en œuvre en Malterie et conversion des tonnes équivalents grains en farine (coef 1,3)</t>
        </r>
      </text>
    </comment>
    <comment ref="V15" authorId="0" shapeId="0" xr:uid="{3F673E48-EF87-4415-89AF-27DD71B5E1B9}">
      <text>
        <r>
          <rPr>
            <b/>
            <sz val="9"/>
            <color indexed="81"/>
            <rFont val="Tahoma"/>
            <family val="2"/>
          </rPr>
          <t>Alexandre Pannier:</t>
        </r>
        <r>
          <rPr>
            <sz val="9"/>
            <color indexed="81"/>
            <rFont val="Tahoma"/>
            <family val="2"/>
          </rPr>
          <t xml:space="preserve">
Soustraction des mises en œuvre en Malterie et conversion des tonnes équivalents grains en farine (coef 1,3)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52DC9C9D-21BD-4940-B2DF-F166AEEFAC16}">
      <text>
        <r>
          <rPr>
            <sz val="11"/>
            <color theme="1"/>
            <rFont val="Calibri"/>
            <family val="2"/>
          </rPr>
          <t>Origine du flux.
Donnée obligatoire pour réaliser l'AFM.</t>
        </r>
      </text>
    </comment>
    <comment ref="B1" authorId="0" shapeId="0" xr:uid="{9270283D-FCD7-47A4-91BB-E88DA41F8769}">
      <text>
        <r>
          <rPr>
            <sz val="11"/>
            <color theme="1"/>
            <rFont val="Calibri"/>
            <family val="2"/>
          </rPr>
          <t>Destination du flux.
Donnée obligatoire pour réaliser l'AFM.</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73BFFDB5-6DDE-43CC-8A50-64058E5F5D5F}">
      <text>
        <r>
          <rPr>
            <sz val="11"/>
            <color theme="1"/>
            <rFont val="Calibri"/>
            <family val="2"/>
          </rPr>
          <t>Origine du flux.
Donnée obligatoire pour réaliser l'AFM.</t>
        </r>
      </text>
    </comment>
    <comment ref="B1" authorId="0" shapeId="0" xr:uid="{5D134A8B-132E-4BCD-9ACC-71F1FBB3A2C2}">
      <text>
        <r>
          <rPr>
            <sz val="11"/>
            <color theme="1"/>
            <rFont val="Calibri"/>
            <family val="2"/>
          </rPr>
          <t>Destination du flux.
Donnée obligatoire pour réaliser l'AFM.</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5550ABE0-FBA2-42B6-A27D-55D44C8A59F0}">
      <text>
        <r>
          <rPr>
            <sz val="11"/>
            <color theme="1"/>
            <rFont val="Calibri"/>
            <family val="2"/>
          </rPr>
          <t>Origine du flux.
Donnée obligatoire pour réaliser l'AFM.</t>
        </r>
      </text>
    </comment>
    <comment ref="B1" authorId="0" shapeId="0" xr:uid="{9ABE8370-8EA6-4507-B339-9227303774ED}">
      <text>
        <r>
          <rPr>
            <sz val="11"/>
            <color theme="1"/>
            <rFont val="Calibri"/>
            <family val="2"/>
          </rPr>
          <t>Destination du flux.
Donnée obligatoire pour réaliser l'AFM.</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69099998-796C-42D1-BBC2-2E403FBFB6F1}">
      <text>
        <r>
          <rPr>
            <sz val="11"/>
            <color theme="1"/>
            <rFont val="Calibri"/>
            <family val="2"/>
          </rPr>
          <t>Origine du flux.
Donnée obligatoire pour réaliser l'AFM.</t>
        </r>
      </text>
    </comment>
    <comment ref="B1" authorId="0" shapeId="0" xr:uid="{68BD63D1-589A-49BF-8952-1A0C811C7670}">
      <text>
        <r>
          <rPr>
            <sz val="11"/>
            <color theme="1"/>
            <rFont val="Calibri"/>
            <family val="2"/>
          </rPr>
          <t>Destination du flux.
Donnée obligatoire pour réaliser l'AFM.</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1035D331-C5AB-471D-85D1-9203678E3A21}">
      <text>
        <r>
          <rPr>
            <sz val="11"/>
            <color theme="1"/>
            <rFont val="Calibri"/>
            <family val="2"/>
          </rPr>
          <t>Origine du flux.
Donnée obligatoire pour réaliser l'AFM.</t>
        </r>
      </text>
    </comment>
    <comment ref="B1" authorId="0" shapeId="0" xr:uid="{6D0FA040-EA27-4966-8D05-1EA8AA980B3F}">
      <text>
        <r>
          <rPr>
            <sz val="11"/>
            <color theme="1"/>
            <rFont val="Calibri"/>
            <family val="2"/>
          </rPr>
          <t>Destination du flux.
Donnée obligatoire pour réaliser l'AFM.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A150B144-EA2E-4BCC-AA73-955B8BDF8AE7}">
      <text>
        <r>
          <rPr>
            <sz val="11"/>
            <color theme="1"/>
            <rFont val="Calibri"/>
            <family val="2"/>
          </rPr>
          <t>Origine du flux.
Donnée obligatoire pour réaliser l'AFM.</t>
        </r>
      </text>
    </comment>
    <comment ref="B1" authorId="0" shapeId="0" xr:uid="{9A7F15EC-1BFC-4BEB-9F83-523896FDF19F}">
      <text>
        <r>
          <rPr>
            <sz val="11"/>
            <color theme="1"/>
            <rFont val="Calibri"/>
            <family val="2"/>
          </rPr>
          <t>Destination du flux.
Donnée obligatoire pour réaliser l'AFM.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D9B8E15D-80B6-429A-823B-A4B15B9664C0}">
      <text>
        <r>
          <rPr>
            <sz val="11"/>
            <color theme="1"/>
            <rFont val="Calibri"/>
            <family val="2"/>
          </rPr>
          <t>Origine du flux.
Donnée obligatoire pour réaliser l'AFM.</t>
        </r>
      </text>
    </comment>
    <comment ref="B1" authorId="0" shapeId="0" xr:uid="{69FCA720-C8A3-4876-99DE-B81181172EEB}">
      <text>
        <r>
          <rPr>
            <sz val="11"/>
            <color theme="1"/>
            <rFont val="Calibri"/>
            <family val="2"/>
          </rPr>
          <t>Destination du flux.
Donnée obligatoire pour réaliser l'AFM.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1934847F-AA35-443F-AF9A-C7088D2DA4DA}">
      <text>
        <r>
          <rPr>
            <sz val="11"/>
            <color theme="1"/>
            <rFont val="Calibri"/>
            <family val="2"/>
          </rPr>
          <t>Origine du flux.
Donnée obligatoire pour réaliser l'AFM.</t>
        </r>
      </text>
    </comment>
    <comment ref="B1" authorId="0" shapeId="0" xr:uid="{E112A9D4-5D91-4B23-A20B-242A89F72F73}">
      <text>
        <r>
          <rPr>
            <sz val="11"/>
            <color theme="1"/>
            <rFont val="Calibri"/>
            <family val="2"/>
          </rPr>
          <t>Destination du flux.
Donnée obligatoire pour réaliser l'AFM.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1F6EA97D-DFB6-4D41-B958-52DCEE4A8552}">
      <text>
        <r>
          <rPr>
            <sz val="11"/>
            <color theme="1"/>
            <rFont val="Calibri"/>
            <family val="2"/>
          </rPr>
          <t>Origine du flux.
Donnée obligatoire pour réaliser l'AFM.</t>
        </r>
      </text>
    </comment>
    <comment ref="B1" authorId="0" shapeId="0" xr:uid="{19D6E5F0-8172-4571-8EE4-69B78BDAD88C}">
      <text>
        <r>
          <rPr>
            <sz val="11"/>
            <color theme="1"/>
            <rFont val="Calibri"/>
            <family val="2"/>
          </rPr>
          <t>Destination du flux.
Donnée obligatoire pour réaliser l'AFM.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493A4068-9C2A-4A96-9212-6948B2F4E674}">
      <text>
        <r>
          <rPr>
            <sz val="11"/>
            <color theme="1"/>
            <rFont val="Calibri"/>
            <family val="2"/>
          </rPr>
          <t>Origine du flux.
Donnée obligatoire pour réaliser l'AFM.</t>
        </r>
      </text>
    </comment>
    <comment ref="B1" authorId="0" shapeId="0" xr:uid="{D1B21856-BE2F-4BE5-B508-2AB5F9C2538D}">
      <text>
        <r>
          <rPr>
            <sz val="11"/>
            <color theme="1"/>
            <rFont val="Calibri"/>
            <family val="2"/>
          </rPr>
          <t>Destination du flux.
Donnée obligatoire pour réaliser l'AFM.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96DA878F-3C62-43D6-911E-02C6AD506CC1}">
      <text>
        <r>
          <rPr>
            <sz val="11"/>
            <color theme="1"/>
            <rFont val="Calibri"/>
            <family val="2"/>
          </rPr>
          <t>Origine du flux.
Donnée obligatoire pour réaliser l'AFM.</t>
        </r>
      </text>
    </comment>
    <comment ref="B1" authorId="0" shapeId="0" xr:uid="{87D6B0CE-ED3B-4EF9-BA57-23E5CF54EE0D}">
      <text>
        <r>
          <rPr>
            <sz val="11"/>
            <color theme="1"/>
            <rFont val="Calibri"/>
            <family val="2"/>
          </rPr>
          <t>Destination du flux.
Donnée obligatoire pour réaliser l'AFM.</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EDD36608-D180-4FC6-8551-81C2236465D3}">
      <text>
        <r>
          <rPr>
            <sz val="11"/>
            <color theme="1"/>
            <rFont val="Calibri"/>
            <family val="2"/>
          </rPr>
          <t>Origine du flux.
Donnée obligatoire pour réaliser l'AFM.</t>
        </r>
      </text>
    </comment>
    <comment ref="B1" authorId="0" shapeId="0" xr:uid="{B830BEF5-701B-40CC-82F8-F880A3EB8569}">
      <text>
        <r>
          <rPr>
            <sz val="11"/>
            <color theme="1"/>
            <rFont val="Calibri"/>
            <family val="2"/>
          </rPr>
          <t>Destination du flux.
Donnée obligatoire pour réaliser l'AFM.</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Emmanuel Krieger</author>
  </authors>
  <commentList>
    <comment ref="A1" authorId="0" shapeId="0" xr:uid="{519064A7-9B6D-46C7-893B-11C440AA914E}">
      <text>
        <r>
          <rPr>
            <sz val="11"/>
            <color theme="1"/>
            <rFont val="Calibri"/>
            <family val="2"/>
          </rPr>
          <t>Origine du flux.
Donnée obligatoire pour réaliser l'AFM.</t>
        </r>
      </text>
    </comment>
    <comment ref="B1" authorId="0" shapeId="0" xr:uid="{BEF4CA64-18EC-4248-B07C-88F978E11A94}">
      <text>
        <r>
          <rPr>
            <sz val="11"/>
            <color theme="1"/>
            <rFont val="Calibri"/>
            <family val="2"/>
          </rPr>
          <t>Destination du flux.
Donnée obligatoire pour réaliser l'AFM.</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<sst xmlns="http://schemas.openxmlformats.org/spreadsheetml/2006/main" count="31055" uniqueCount="2014">
  <si>
    <t>Niveau d'aggrégation</t>
  </si>
  <si>
    <t>Liste des produits</t>
  </si>
  <si>
    <t>Contraintes de conservation de la masse</t>
  </si>
  <si>
    <t>Remarque</t>
  </si>
  <si>
    <t>Hypothèse</t>
  </si>
  <si>
    <t>Zone filière</t>
  </si>
  <si>
    <t>Liste des secteurs</t>
  </si>
  <si>
    <t>Débouchés</t>
  </si>
  <si>
    <t>Alimentation humaine</t>
  </si>
  <si>
    <t>Vente directe et autoconsommation</t>
  </si>
  <si>
    <t>GMS</t>
  </si>
  <si>
    <t>RHD</t>
  </si>
  <si>
    <t>TABLE RESSOURCES</t>
  </si>
  <si>
    <t>TABLE EMPLOIS</t>
  </si>
  <si>
    <t>Origine</t>
  </si>
  <si>
    <t>Destination</t>
  </si>
  <si>
    <t>Valeur</t>
  </si>
  <si>
    <t>Unité</t>
  </si>
  <si>
    <t>Incertitude</t>
  </si>
  <si>
    <t>Source</t>
  </si>
  <si>
    <t>Agreste</t>
  </si>
  <si>
    <t>kt</t>
  </si>
  <si>
    <t>Identifiant</t>
  </si>
  <si>
    <t>Equation d'égalité (eq = 0)</t>
  </si>
  <si>
    <t>Equation d'inégalité borne haute (eq &lt;= 0)</t>
  </si>
  <si>
    <t>Equation d'inégalité borne basse (eq &gt;= 0)</t>
  </si>
  <si>
    <t>Traduction</t>
  </si>
  <si>
    <t>Nom du groupe d'étiquette</t>
  </si>
  <si>
    <t>Type d'étiquette</t>
  </si>
  <si>
    <t>Etiquette</t>
  </si>
  <si>
    <t>Palette visible</t>
  </si>
  <si>
    <t>Palette de couleur</t>
  </si>
  <si>
    <t>Couleur</t>
  </si>
  <si>
    <t>Utilité</t>
  </si>
  <si>
    <t>nodeTags</t>
  </si>
  <si>
    <t>Type de matière</t>
  </si>
  <si>
    <t>dataTags</t>
  </si>
  <si>
    <t>Permet d'afficher le diagramme pour la période sélectionnée.</t>
  </si>
  <si>
    <t>fluxTags</t>
  </si>
  <si>
    <t>Année</t>
  </si>
  <si>
    <t>Coproduits</t>
  </si>
  <si>
    <t>Usages alimentaires</t>
  </si>
  <si>
    <t>Alimentation animale</t>
  </si>
  <si>
    <t>Ménages</t>
  </si>
  <si>
    <t>Circuits généralistes</t>
  </si>
  <si>
    <t>Circuits spécialisés</t>
  </si>
  <si>
    <t>Autres IAA</t>
  </si>
  <si>
    <t>Alimentation animale rente</t>
  </si>
  <si>
    <t>Petfood</t>
  </si>
  <si>
    <t>Aquaculture</t>
  </si>
  <si>
    <t>Usages non-alimentaires</t>
  </si>
  <si>
    <t>Biomatériaux</t>
  </si>
  <si>
    <t>Energie</t>
  </si>
  <si>
    <t>Fertilisation</t>
  </si>
  <si>
    <t>Autres industries</t>
  </si>
  <si>
    <t>Statistique agricole annuelle par région administrative : séries 2010 - 2023</t>
  </si>
  <si>
    <t>Les superficies développées sont exprimées en hectare, les productions récoltées en quintal et les rendements en quintal par hectare.</t>
  </si>
  <si>
    <t>Données arrêtées au 22/10/2024. Données 2023 définitives.</t>
  </si>
  <si>
    <t>Source : Agreste - Statistique agricole annuelle - SSP/ Ministère en charge de l'agriculture</t>
  </si>
  <si>
    <t>LIB_REG2</t>
  </si>
  <si>
    <t>LIB_SAA</t>
  </si>
  <si>
    <t>PROD_2015</t>
  </si>
  <si>
    <t>PROD_2019</t>
  </si>
  <si>
    <t>PROD_2023</t>
  </si>
  <si>
    <t>FRANCE MÉTROPOLITAINE</t>
  </si>
  <si>
    <t>29 - Colza grain d'hiver</t>
  </si>
  <si>
    <t>30 - Colza grain de printemps et navette</t>
  </si>
  <si>
    <t>31 - Total colza grain et navette (29 + 30)</t>
  </si>
  <si>
    <t>32 - Tournesol</t>
  </si>
  <si>
    <t>33 - Soja</t>
  </si>
  <si>
    <t>34 - Lin oléagineux</t>
  </si>
  <si>
    <t>35 - Autres oléagineux (hors chanvre)</t>
  </si>
  <si>
    <t>36 - Total oléagineux (31 + … + 35)</t>
  </si>
  <si>
    <t>37 - Légumes à cosse d'origine tropicale</t>
  </si>
  <si>
    <t>38 - Féveroles et fèves</t>
  </si>
  <si>
    <t>39 - Haricots secs (y compris semences)</t>
  </si>
  <si>
    <t>40 - Lentilles (y compris semences)</t>
  </si>
  <si>
    <t>41 - Pois protéagineux</t>
  </si>
  <si>
    <t>42 - Mélange de pois</t>
  </si>
  <si>
    <t>43 - Pois chiches (y compris semences)</t>
  </si>
  <si>
    <t>44 - Lupin doux</t>
  </si>
  <si>
    <t>45 - Autres protéagineux</t>
  </si>
  <si>
    <t>46 - Total protéagineux et légumes secs cultivés pour leur graine (37 + … + 45)</t>
  </si>
  <si>
    <t>97 - DOM</t>
  </si>
  <si>
    <t>Colza</t>
  </si>
  <si>
    <t>Tournesol</t>
  </si>
  <si>
    <t>Soja</t>
  </si>
  <si>
    <t>Féverole</t>
  </si>
  <si>
    <t>Série historique de la collecte,des stocks jusqu'à fin décembre 2024 par campagne</t>
  </si>
  <si>
    <t/>
  </si>
  <si>
    <t>Données arrêtées au 07/02/2025</t>
  </si>
  <si>
    <t>ESPECES</t>
  </si>
  <si>
    <t>ANNEE</t>
  </si>
  <si>
    <t>CAMPAGNE</t>
  </si>
  <si>
    <t>MOIS</t>
  </si>
  <si>
    <t>GRAINS
CONSOMMATION</t>
  </si>
  <si>
    <t>COLLECTE
SEMENCES</t>
  </si>
  <si>
    <t>TOTAL
COLLECTE</t>
  </si>
  <si>
    <t>STOCKS
CONSOMMATION</t>
  </si>
  <si>
    <t>STOCKS
SEMENCES</t>
  </si>
  <si>
    <t>TOTAL
STOCKS</t>
  </si>
  <si>
    <t>STOCKS
DEPOTS</t>
  </si>
  <si>
    <t>ENTREES
DEPOTS</t>
  </si>
  <si>
    <t>SORTIES
DEPOTS</t>
  </si>
  <si>
    <t>REPRISE
DEPOTS</t>
  </si>
  <si>
    <t>2000/01</t>
  </si>
  <si>
    <t>2003/04</t>
  </si>
  <si>
    <t>2008/09</t>
  </si>
  <si>
    <t>2001/02</t>
  </si>
  <si>
    <t>2002/03</t>
  </si>
  <si>
    <t>2004/05</t>
  </si>
  <si>
    <t>2005/06</t>
  </si>
  <si>
    <t>2006/07</t>
  </si>
  <si>
    <t>2007/08</t>
  </si>
  <si>
    <t>2009/10</t>
  </si>
  <si>
    <t>2010/11</t>
  </si>
  <si>
    <t>2011/12</t>
  </si>
  <si>
    <t>2012/13</t>
  </si>
  <si>
    <t>2013/14</t>
  </si>
  <si>
    <t>2014/15</t>
  </si>
  <si>
    <t>2015/16</t>
  </si>
  <si>
    <t>2016/17</t>
  </si>
  <si>
    <t>2017/18</t>
  </si>
  <si>
    <t>2018/19</t>
  </si>
  <si>
    <t>2019/20</t>
  </si>
  <si>
    <t>2020/21</t>
  </si>
  <si>
    <t>2021/22</t>
  </si>
  <si>
    <t>2022/23</t>
  </si>
  <si>
    <t>2023/24</t>
  </si>
  <si>
    <t>2024/25</t>
  </si>
  <si>
    <t xml:space="preserve">Collecte : grains achetés par les collecteurs aux producteurs, y compris semences et bio	</t>
  </si>
  <si>
    <t>Depuis 2012 la collecte départementale est déclarée à partir du département de la commune du siège de l''exploitation de production au lieu du département du silo de collecte.</t>
  </si>
  <si>
    <t>Stocks : propriété du collecteur, que les silos lui appartiennent ou non</t>
  </si>
  <si>
    <t>Sauf stocks dépôt : stocks de grains achetés aux producteurs dans les silos du collecteur et appartenant toujours au livreur</t>
  </si>
  <si>
    <t>Entrées dépôt : quantités de grains apportés en dépôt chez les collecteurs, mais restant la propriété du livreur</t>
  </si>
  <si>
    <t>Sorties dépôt : quantités de grains en dépôts qui deviennent la propriété du collecteur</t>
  </si>
  <si>
    <t>Campagnes n/n+1 : de juillet n à juin n+1 et Unité : en tonnes</t>
  </si>
  <si>
    <t>Juin : collecte et stocks de la récolte n uniquement (stock de fin de campagne) en cohérence avec les bilans de campagne</t>
  </si>
  <si>
    <t>Juillet : collecte de la récolte précoce n+1 réaliséee juin inclue en cohérence avec les bilans de campagne</t>
  </si>
  <si>
    <t>Chiffres provisoires arrêtés le 07/02/2025</t>
  </si>
  <si>
    <t>Série historique grains mis en oeuvre par les fabricants d'aliments du bétail pour animaux en France</t>
  </si>
  <si>
    <t>Données arrêtées au 21/01/2025</t>
  </si>
  <si>
    <t>LIB</t>
  </si>
  <si>
    <t>ESPECE</t>
  </si>
  <si>
    <t>GRAINS MIS OEUVRE</t>
  </si>
  <si>
    <t>STOCKS</t>
  </si>
  <si>
    <t>Unité : en tonnes</t>
  </si>
  <si>
    <t>Chiffres arrêtés le 21/01/2025</t>
  </si>
  <si>
    <t>Source : FranceAgriMer, Unité Système d'information économique - Etat-13</t>
  </si>
  <si>
    <t>INFORMATIONS SOURCE</t>
  </si>
  <si>
    <t>Données</t>
  </si>
  <si>
    <t>Ratio issues de silo des oléoprotéagineux</t>
  </si>
  <si>
    <t>Période</t>
  </si>
  <si>
    <t>Territoire</t>
  </si>
  <si>
    <t>France</t>
  </si>
  <si>
    <t xml:space="preserve">Pertes alimentaires dans la filière protéagineuse - Gérard Duc, Marc Anton, Alain Baranger, Véronique Biarnès, Julia Buitink, et al.. Pertes alimentaires dans la filière protéagineuse. Innovations Agronomiques, INRAE, 2015, 48, pp.127-141. ET "Pertes alimentaires dans la filière oléagineuse" - F. Fine, J.L Lucas, Jean-Michel Chardigny, Barbara Redlingshofer, Michel M. Renard. </t>
  </si>
  <si>
    <t>Fournie par</t>
  </si>
  <si>
    <t>TerriFlux</t>
  </si>
  <si>
    <t>"Pertes alimentaires dans la filière protéagineuse" - Gérard Duc, Marc Anton, Alain Baranger, Véronique Biarnès, Julia Buitink, et al.. Pertes alimentaires dans la filière protéagineuse. Innovations Agronomiques, INRAE, 2015, 48, pp.127-141.
ff10.15454/1.4622740546392378E12ff. ffhal-02633195f</t>
  </si>
  <si>
    <t>Toutes années</t>
  </si>
  <si>
    <t>Ecarts tri collecte</t>
  </si>
  <si>
    <t>"Pertes alimentaires dans la filière oléagineuse" - F. Fine, J.L Lucas, Jean-Michel Chardigny, Barbara Redlingshofer, Michel M. Renard. Pertes alimentaires dans la filière oléagineuse. Innovations Agronomiques, 2015, 48, pp.97-114.
ff10.15454/1.4622709266161074E12ff. ffhal-02629820f</t>
  </si>
  <si>
    <t>Etude Pertes et gaspillages</t>
  </si>
  <si>
    <t>Part de surface utilisant des semences certifiées, fermières ou les 2</t>
  </si>
  <si>
    <t>Agreste - SSP</t>
  </si>
  <si>
    <t>Origine de la semence (ou du plant pour la pomme de terre)</t>
  </si>
  <si>
    <t>Part de surface, en %</t>
  </si>
  <si>
    <t>Espèce</t>
  </si>
  <si>
    <t>Semence certifiée</t>
  </si>
  <si>
    <t>Mélange dans le semoir de semences certifiées et de ferme</t>
  </si>
  <si>
    <t>Semence de ferme</t>
  </si>
  <si>
    <t>Blé tendre</t>
  </si>
  <si>
    <t>Blé dur</t>
  </si>
  <si>
    <t>Orge</t>
  </si>
  <si>
    <t>Triticale</t>
  </si>
  <si>
    <t>Pois protéagineux</t>
  </si>
  <si>
    <t>Maïs fourrage</t>
  </si>
  <si>
    <t>Maïs grain</t>
  </si>
  <si>
    <t>Pomme de terre</t>
  </si>
  <si>
    <t>Lin Oléagineux</t>
  </si>
  <si>
    <t>Source : SSP - Agreste - Enquête Pratiques culturales en grandes cultures 2017</t>
  </si>
  <si>
    <t xml:space="preserve">Dataset: </t>
  </si>
  <si>
    <t>Dernière mise à jour:</t>
  </si>
  <si>
    <t>06/02/2025 11:00</t>
  </si>
  <si>
    <t>Fréquence</t>
  </si>
  <si>
    <t>Annual</t>
  </si>
  <si>
    <t>DECL</t>
  </si>
  <si>
    <t>INDICATORS</t>
  </si>
  <si>
    <t>PRODQNT</t>
  </si>
  <si>
    <t>TIME</t>
  </si>
  <si>
    <t>2015</t>
  </si>
  <si>
    <t>2019</t>
  </si>
  <si>
    <t>2023</t>
  </si>
  <si>
    <t>PRCCODE (Codes)</t>
  </si>
  <si>
    <t>PRCCODE (Libellés)</t>
  </si>
  <si>
    <t>:</t>
  </si>
  <si>
    <t>10621119</t>
  </si>
  <si>
    <t>Autres amidons et fécules, y compris de riz, de manioc, d’arrow-root et de salep (à l’exclusion du froment {blé}, du maïs et des pommes de terre)</t>
  </si>
  <si>
    <t>10622000</t>
  </si>
  <si>
    <t>Résidus de l’amidonnerie et résidus similaires</t>
  </si>
  <si>
    <t>Valeur spéciale</t>
  </si>
  <si>
    <t>Non disponible</t>
  </si>
  <si>
    <t>17/02/2025 11:00</t>
  </si>
  <si>
    <t>REPORTER</t>
  </si>
  <si>
    <t>France (incl. Saint-Barthélemy 'BL' -&gt; 2012; incl. Guyane française 'GF', Guadeloupe 'GP', Martinique 'MQ', Réunion 'RE' depuis 1997; incl. Mayotte 'YT' depuis 2014)</t>
  </si>
  <si>
    <t>PARTNER</t>
  </si>
  <si>
    <t>Tous les pays du monde</t>
  </si>
  <si>
    <t>QUANTITY_IN_100KG</t>
  </si>
  <si>
    <t>IMPORTATION</t>
  </si>
  <si>
    <t>EXPORTATION</t>
  </si>
  <si>
    <t>PRODUCT (Codes)</t>
  </si>
  <si>
    <t>Tourteaux et autres résidus solides, même broyés ou agglomérés sous forme de pellets, de l'extraction des graisses ou huiles de germes de maïs</t>
  </si>
  <si>
    <t>SURF_2010</t>
  </si>
  <si>
    <t>SURF_2011</t>
  </si>
  <si>
    <t>SURF_2012</t>
  </si>
  <si>
    <t>SURF_2013</t>
  </si>
  <si>
    <t>SURF_2014</t>
  </si>
  <si>
    <t>SURF_2015</t>
  </si>
  <si>
    <t>SURF_2016</t>
  </si>
  <si>
    <t>SURF_2017</t>
  </si>
  <si>
    <t>SURF_2018</t>
  </si>
  <si>
    <t>SURF_2019</t>
  </si>
  <si>
    <t>SURF_2020</t>
  </si>
  <si>
    <t>SURF_2021</t>
  </si>
  <si>
    <t>SURF_2022</t>
  </si>
  <si>
    <t>SURF_2023</t>
  </si>
  <si>
    <t>REND_2010</t>
  </si>
  <si>
    <t>REND_2011</t>
  </si>
  <si>
    <t>REND_2012</t>
  </si>
  <si>
    <t>REND_2013</t>
  </si>
  <si>
    <t>REND_2014</t>
  </si>
  <si>
    <t>REND_2015</t>
  </si>
  <si>
    <t>REND_2016</t>
  </si>
  <si>
    <t>REND_2017</t>
  </si>
  <si>
    <t>REND_2018</t>
  </si>
  <si>
    <t>REND_2019</t>
  </si>
  <si>
    <t>REND_2020</t>
  </si>
  <si>
    <t>REND_2021</t>
  </si>
  <si>
    <t>REND_2022</t>
  </si>
  <si>
    <t>REND_2023</t>
  </si>
  <si>
    <t>PROD_2010</t>
  </si>
  <si>
    <t>PROD_2011</t>
  </si>
  <si>
    <t>PROD_2012</t>
  </si>
  <si>
    <t>PROD_2013</t>
  </si>
  <si>
    <t>PROD_2014</t>
  </si>
  <si>
    <t>PROD_2016</t>
  </si>
  <si>
    <t>PROD_2017</t>
  </si>
  <si>
    <t>PROD_2018</t>
  </si>
  <si>
    <t>PROD_2020</t>
  </si>
  <si>
    <t>PROD_2021</t>
  </si>
  <si>
    <t>PROD_2022</t>
  </si>
  <si>
    <t>01 - Blé tendre d'hiver et épeautre</t>
  </si>
  <si>
    <t>02 - Blé tendre de printemps</t>
  </si>
  <si>
    <t>03 - Total blé tendre (01 + 02)</t>
  </si>
  <si>
    <t>04 - Blé dur d'hiver</t>
  </si>
  <si>
    <t>05 - Blé dur de printemps</t>
  </si>
  <si>
    <t>06 - Total blé dur (04 + 05)</t>
  </si>
  <si>
    <t>07 - Seigle et méteil</t>
  </si>
  <si>
    <t>08 - Orge d'hiver et escourgeon</t>
  </si>
  <si>
    <t>09 - Orge de printemps</t>
  </si>
  <si>
    <t>10 - Total orge et escourgeon (08 + 09)</t>
  </si>
  <si>
    <t>11 - Avoine d'hiver</t>
  </si>
  <si>
    <t>12 - Avoine de printemps</t>
  </si>
  <si>
    <t>13 - Total avoine (11 + 12)</t>
  </si>
  <si>
    <t>14 - Maïs grain irrigué</t>
  </si>
  <si>
    <t>15 - Maïs grain non irrigué</t>
  </si>
  <si>
    <t>17 - Maïs semence</t>
  </si>
  <si>
    <t>18 - Total maïs grain et maïs semence (16 + 17 )</t>
  </si>
  <si>
    <t>19 - Sorgho grain</t>
  </si>
  <si>
    <t>20 - Triticale</t>
  </si>
  <si>
    <t>21 - Autres céréales non mélangées</t>
  </si>
  <si>
    <t>22 - Mélanges de céréales, hors méteil</t>
  </si>
  <si>
    <t>23 - Total céréales (sauf riz) (03 + 06 + 07 + 10 + 13 + 18 + ... + 22)</t>
  </si>
  <si>
    <t>24 - Riz indica</t>
  </si>
  <si>
    <t>25 - Autres riz (Japonica)</t>
  </si>
  <si>
    <t>26 - Total riz (24 + 25)</t>
  </si>
  <si>
    <t>27 - Total toutes céréales (23 + 26)</t>
  </si>
  <si>
    <t>28 - PAILLES</t>
  </si>
  <si>
    <t>11 - Île-de-France</t>
  </si>
  <si>
    <t>24 - Centre-Val de Loire</t>
  </si>
  <si>
    <t>27 - Bourgogne-Franche-Comté</t>
  </si>
  <si>
    <t>28 - Normandie</t>
  </si>
  <si>
    <t>32 - Hauts de France</t>
  </si>
  <si>
    <t>44 - Grand Est</t>
  </si>
  <si>
    <t>52 - Pays de la Loire</t>
  </si>
  <si>
    <t>53 - Bretagne</t>
  </si>
  <si>
    <t>75 - Nouvelle Aquitaine</t>
  </si>
  <si>
    <t>76 - Occitanie</t>
  </si>
  <si>
    <t>84 - Auvergne-Rhône-Alpes</t>
  </si>
  <si>
    <t>93 - Provence-Alpes-Côte d'Azur</t>
  </si>
  <si>
    <t>94 - Corse</t>
  </si>
  <si>
    <t>971 - Guadeloupe</t>
  </si>
  <si>
    <t>972 - Martinique</t>
  </si>
  <si>
    <t>973 - Guyane</t>
  </si>
  <si>
    <t>974 - La Réunion</t>
  </si>
  <si>
    <t>976 - Mayotte</t>
  </si>
  <si>
    <t>RefFlux</t>
  </si>
  <si>
    <t>Classification</t>
  </si>
  <si>
    <t>Récolte (kt)</t>
  </si>
  <si>
    <t>Périmètre géographique</t>
  </si>
  <si>
    <t>Epeautre</t>
  </si>
  <si>
    <t>Orge d'hiver</t>
  </si>
  <si>
    <t>Avoine d'hiver</t>
  </si>
  <si>
    <t>Maïs semence</t>
  </si>
  <si>
    <t>Sorgho grain</t>
  </si>
  <si>
    <t>Autres céréales</t>
  </si>
  <si>
    <t>Avoine</t>
  </si>
  <si>
    <t>Maïs</t>
  </si>
  <si>
    <t>Sorgho</t>
  </si>
  <si>
    <t>Riz</t>
  </si>
  <si>
    <t>Seigle</t>
  </si>
  <si>
    <t>Méteil</t>
  </si>
  <si>
    <t>Sorgho semence</t>
  </si>
  <si>
    <t>Autres mélanges de céréales</t>
  </si>
  <si>
    <t>Alpiste</t>
  </si>
  <si>
    <t>Millet</t>
  </si>
  <si>
    <t>Sarrasin</t>
  </si>
  <si>
    <t>Collecte</t>
  </si>
  <si>
    <t>Collecte FAM</t>
  </si>
  <si>
    <t>Intercéréales</t>
  </si>
  <si>
    <t>Quinoa</t>
  </si>
  <si>
    <t>Tritordeum</t>
  </si>
  <si>
    <t>Chia</t>
  </si>
  <si>
    <t>Amarante</t>
  </si>
  <si>
    <t>Récolte Agreste</t>
  </si>
  <si>
    <t>Récoltes (kt)</t>
  </si>
  <si>
    <t>Source : Des chiffres et des céréales (édition 2024), Intercéréales</t>
  </si>
  <si>
    <t>Faire une hypothèse sur le rendement ?</t>
  </si>
  <si>
    <t>Volume à soustraire au blé tendre ?</t>
  </si>
  <si>
    <t>Volume à soustraire au seigle ?</t>
  </si>
  <si>
    <t>Séparation Agreste</t>
  </si>
  <si>
    <t>Autres céréales non mélangées</t>
  </si>
  <si>
    <t>Source : Rapport d'activités FNPSMS (éditions 2016, 2019 et 2023)</t>
  </si>
  <si>
    <t>Rendement</t>
  </si>
  <si>
    <t>Rendement (t/ha)</t>
  </si>
  <si>
    <t>Surface (ha)</t>
  </si>
  <si>
    <t>Hypothèse : environ 350 ha en 2015 (= interprétation du "net repli" entre 2015 et 2016)</t>
  </si>
  <si>
    <t>Ratios d'issues des céréales (hors maïs et riz) et ventilation de leurs débouchés</t>
  </si>
  <si>
    <t>Organisme de publication</t>
  </si>
  <si>
    <t>FranceAgriMer</t>
  </si>
  <si>
    <t>Outil</t>
  </si>
  <si>
    <t>Visionet</t>
  </si>
  <si>
    <t>Onglet</t>
  </si>
  <si>
    <t>rep:Données et chiffres\multi-filières\Observatoire de la biomasse\agriculture\issues de silos</t>
  </si>
  <si>
    <t>Fichier</t>
  </si>
  <si>
    <t>Issues de céréales (VTP)</t>
  </si>
  <si>
    <t>Issues de blé tendre et blé dur</t>
  </si>
  <si>
    <t>Collecte blé tendre  et blé dur</t>
  </si>
  <si>
    <t>Ratio d'issues</t>
  </si>
  <si>
    <t>Taux d'humidité</t>
  </si>
  <si>
    <t>Issues d'orge</t>
  </si>
  <si>
    <t>Collecte orge</t>
  </si>
  <si>
    <t>Issues d'autres céréales</t>
  </si>
  <si>
    <t>Collecte autres céréales</t>
  </si>
  <si>
    <t>tMS</t>
  </si>
  <si>
    <t>tMB</t>
  </si>
  <si>
    <t>%</t>
  </si>
  <si>
    <r>
      <t>Sources</t>
    </r>
    <r>
      <rPr>
        <sz val="8"/>
        <rFont val="Marianne"/>
        <family val="3"/>
      </rPr>
      <t xml:space="preserve"> :</t>
    </r>
    <r>
      <rPr>
        <sz val="10"/>
        <rFont val="Arial"/>
        <family val="2"/>
      </rPr>
      <t/>
    </r>
  </si>
  <si>
    <r>
      <rPr>
        <u/>
        <sz val="8"/>
        <rFont val="Marianne"/>
        <family val="3"/>
      </rPr>
      <t>Ratios d'issues et taux d'humidité</t>
    </r>
    <r>
      <rPr>
        <sz val="8"/>
        <rFont val="Marianne"/>
        <family val="3"/>
      </rPr>
      <t xml:space="preserve"> : FRCA et Chambre Régionale d’Agriculture d’île de France, « Cartographie et de la quantification des agro-ressources en Île de France », 2007, citée dans l'étude "PANORAMA DES COPRODUITS ET RESIDUS BIOMASSE A USAGE DES FILIERES CHIMIE ET MATERIAUX BIOSOURCES EN FRANCE", Tech2Market, CVG et FRD pour l'Ademe, 2015</t>
    </r>
  </si>
  <si>
    <t>VU0103</t>
  </si>
  <si>
    <t>VU0202</t>
  </si>
  <si>
    <t>VU0204</t>
  </si>
  <si>
    <t>VU0503</t>
  </si>
  <si>
    <t>VU0501</t>
  </si>
  <si>
    <t>Volumes d'usage alimentation animale - FAF (*)</t>
  </si>
  <si>
    <t>Région administrative</t>
  </si>
  <si>
    <t>Volumes d'usage Litière animale</t>
  </si>
  <si>
    <t>Volumes d'usage compostage</t>
  </si>
  <si>
    <t>Volumes d'usage Matériaux biosourcés - Autres (appâts de chasse)</t>
  </si>
  <si>
    <t>Volumes d'usage méthanisation</t>
  </si>
  <si>
    <t>Volumes d'usage combustion</t>
  </si>
  <si>
    <t>Volumes d'usages Matériaux biosourcés - Autres (déchetterie, chasse, litière élevage)</t>
  </si>
  <si>
    <t>(*) FAF = Fabrication à la ferme d'aliments pour animaux de rente</t>
  </si>
  <si>
    <r>
      <rPr>
        <b/>
        <sz val="8"/>
        <rFont val="Marianne"/>
        <family val="3"/>
      </rPr>
      <t>Source</t>
    </r>
    <r>
      <rPr>
        <sz val="8"/>
        <rFont val="Marianne"/>
        <family val="3"/>
      </rPr>
      <t xml:space="preserve"> : Coop de France, "Maîtrise de la qualité des issues de silos et de leurs débouchés", </t>
    </r>
    <r>
      <rPr>
        <i/>
        <sz val="8"/>
        <rFont val="Marianne"/>
        <family val="3"/>
      </rPr>
      <t>Les enquêtes de Coop de France</t>
    </r>
    <r>
      <rPr>
        <sz val="8"/>
        <rFont val="Marianne"/>
        <family val="3"/>
      </rPr>
      <t>, Septembre 2019</t>
    </r>
  </si>
  <si>
    <r>
      <rPr>
        <b/>
        <sz val="8"/>
        <rFont val="Marianne"/>
        <family val="3"/>
      </rPr>
      <t xml:space="preserve">Source </t>
    </r>
    <r>
      <rPr>
        <sz val="8"/>
        <rFont val="Marianne"/>
        <family val="3"/>
      </rPr>
      <t xml:space="preserve">: Coop de France, "Maîtrise de la qualité des issues de silos et de leurs débouchés", </t>
    </r>
    <r>
      <rPr>
        <i/>
        <sz val="8"/>
        <rFont val="Marianne"/>
        <family val="3"/>
      </rPr>
      <t>Les enquêtes de Coop de France</t>
    </r>
    <r>
      <rPr>
        <sz val="8"/>
        <rFont val="Marianne"/>
        <family val="3"/>
      </rPr>
      <t>, Septembre 2019</t>
    </r>
  </si>
  <si>
    <r>
      <t xml:space="preserve">Source : Coop de France, "Maîtrise de la qualité des issues de silos et de leurs débouchés", </t>
    </r>
    <r>
      <rPr>
        <i/>
        <sz val="8"/>
        <rFont val="Marianne"/>
        <family val="3"/>
      </rPr>
      <t>Les enquêtes de Coop de France</t>
    </r>
    <r>
      <rPr>
        <sz val="8"/>
        <rFont val="Marianne"/>
        <family val="3"/>
      </rPr>
      <t>, Septembre 2019</t>
    </r>
  </si>
  <si>
    <r>
      <t>Le ratio d'usage combustion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</si>
  <si>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t xml:space="preserve">Selon l'enquête source, seule les issues de </t>
    </r>
    <r>
      <rPr>
        <u/>
        <sz val="8"/>
        <rFont val="Marianne"/>
        <family val="3"/>
      </rPr>
      <t>maïs</t>
    </r>
    <r>
      <rPr>
        <sz val="8"/>
        <rFont val="Marianne"/>
        <family val="3"/>
      </rPr>
      <t xml:space="preserve"> sont valorisées en compostage </t>
    </r>
    <r>
      <rPr>
        <i/>
        <sz val="8"/>
        <rFont val="Marianne"/>
        <family val="3"/>
      </rPr>
      <t>==&gt; voir tableau ressource "Issues de maïs"</t>
    </r>
  </si>
  <si>
    <r>
      <t>Le ratio d'usage méthanisation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</si>
  <si>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t>Le ratio d'usages divers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</si>
  <si>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t>Le ratio d'usage alimentation animale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</si>
  <si>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rPr>
        <sz val="8"/>
        <rFont val="Marianne"/>
        <family val="3"/>
      </rPr>
      <t>Donc le</t>
    </r>
    <r>
      <rPr>
        <b/>
        <sz val="8"/>
        <rFont val="Marianne"/>
        <family val="3"/>
      </rPr>
      <t xml:space="preserve"> ratio d'usage combustion = (ratio d'usage combustion des issues de silos selon l'enquête / (100 - ratio d'usage compostage des issues de silos selon l'enquête) * (100 - ratio d'usage compostage issues de céréales déduit (*) )</t>
    </r>
  </si>
  <si>
    <r>
      <t xml:space="preserve">Donc le </t>
    </r>
    <r>
      <rPr>
        <b/>
        <sz val="8"/>
        <rFont val="Marianne"/>
        <family val="3"/>
      </rPr>
      <t>ratio d'usage méthanisation = (ratio d'usage méthanisation des issues de silos selon l'enquête / (100 - ratio d'usage compostage des issues de silos selon l'enquête) * (100 - ratio d'usage compostage issues de céréales déduit (*) )</t>
    </r>
  </si>
  <si>
    <r>
      <rPr>
        <sz val="8"/>
        <rFont val="Marianne"/>
        <family val="3"/>
      </rPr>
      <t>Donc le</t>
    </r>
    <r>
      <rPr>
        <b/>
        <sz val="8"/>
        <rFont val="Marianne"/>
        <family val="3"/>
      </rPr>
      <t xml:space="preserve"> ratio d'usages divers = (ratio d'usages divers des issues de silos selon l'enquête / (100 - ratio d'usage compostage des issues de silos selon l'enquête) * (100 - ratio d'usage compostage issues de céréales déduit (*) )</t>
    </r>
  </si>
  <si>
    <r>
      <t xml:space="preserve">Donc le </t>
    </r>
    <r>
      <rPr>
        <b/>
        <sz val="8"/>
        <rFont val="Marianne"/>
        <family val="3"/>
      </rPr>
      <t>ratio d'usage alimentation animale = (ratio d'usage alimentation animale des issues de silos selon l'enquête / (100 - ratio d'usage compostage des issues de silos selon l'enquête) * (100 - ratio d'usage compostage issues de céréales déduit (*) )</t>
    </r>
  </si>
  <si>
    <t>(*) voir onglet "VU0202-Compostage"</t>
  </si>
  <si>
    <t>Ratios d'issues de maïs et ventilation de leurs débouchés</t>
  </si>
  <si>
    <t>Régions administratives</t>
  </si>
  <si>
    <t>Issues de maïs (VTP)</t>
  </si>
  <si>
    <r>
      <rPr>
        <b/>
        <sz val="8"/>
        <rFont val="Marianne"/>
        <family val="3"/>
      </rPr>
      <t>Sources</t>
    </r>
    <r>
      <rPr>
        <sz val="8"/>
        <rFont val="Marianne"/>
        <family val="3"/>
      </rPr>
      <t xml:space="preserve"> :</t>
    </r>
    <r>
      <rPr>
        <sz val="10"/>
        <rFont val="Arial"/>
        <family val="2"/>
      </rPr>
      <t/>
    </r>
  </si>
  <si>
    <r>
      <t>Collecte</t>
    </r>
    <r>
      <rPr>
        <sz val="8"/>
        <rFont val="Marianne"/>
        <family val="3"/>
      </rPr>
      <t xml:space="preserve"> : FranceAgriMer, Collecte grandes cultures, Visionet, campagne 2020/21</t>
    </r>
  </si>
  <si>
    <r>
      <rPr>
        <u/>
        <sz val="8"/>
        <rFont val="Marianne"/>
        <family val="3"/>
      </rPr>
      <t>Ratios d'issues et taux d'humidité</t>
    </r>
    <r>
      <rPr>
        <sz val="8"/>
        <rFont val="Marianne"/>
        <family val="3"/>
      </rPr>
      <t xml:space="preserve"> : FRCA et Chambre Régionale d’Agriculture d’île de France, « Cartographie et de la quantification des agro-ressources en Île de France », 2007, citée dans "PANORAMA DES COPRODUITS ET RESIDUS BIOMASSE A USAGE DES FILIERES CHIMIE ET MATERIAUX BIOSOURCES EN FRANCE", Tech2Market, CVG et FRD pour l'Ademe, 2015</t>
    </r>
  </si>
  <si>
    <r>
      <t>Le ratio d'usage compostage est calculé à partir de deux informations que l'enquête</t>
    </r>
    <r>
      <rPr>
        <i/>
        <sz val="8"/>
        <rFont val="Marianne"/>
        <family val="3"/>
      </rPr>
      <t xml:space="preserve"> "Maîtrise de la qualité des issues de silos et de leurs débouchés" </t>
    </r>
    <r>
      <rPr>
        <sz val="8"/>
        <rFont val="Marianne"/>
        <family val="3"/>
      </rPr>
      <t xml:space="preserve">menée par La Coopérative Agricole en 2017: </t>
    </r>
  </si>
  <si>
    <r>
      <rPr>
        <sz val="8"/>
        <rFont val="Marianne"/>
        <family val="3"/>
      </rPr>
      <t>Donc le</t>
    </r>
    <r>
      <rPr>
        <b/>
        <sz val="8"/>
        <rFont val="Marianne"/>
        <family val="3"/>
      </rPr>
      <t xml:space="preserve"> ratio d'usage combustion = (ratio d'usage litière animale des issues de silos selon l'enquête / (100 - ratio d'usage compostage des issues de silos selon l'enquête) * (100 - ratio d'usage compostage issues de céréales déduit (*) )</t>
    </r>
  </si>
  <si>
    <t>1) Le débouché compostage représente 2,51% des usages des issues de silos (toutes issues confondues)</t>
  </si>
  <si>
    <r>
      <rPr>
        <sz val="8"/>
        <rFont val="Marianne"/>
        <family val="3"/>
      </rPr>
      <t>Donc le</t>
    </r>
    <r>
      <rPr>
        <b/>
        <sz val="8"/>
        <rFont val="Marianne"/>
        <family val="3"/>
      </rPr>
      <t xml:space="preserve"> ratio d'usage combustion = (ratio d'usage autres matériaux biosourcés des issues de silos selon l'enquête / (100 - ratio d'usage compostage des issues de silos selon l'enquête) * (100 - ratio d'usage compostage issues de céréales déduit (*) )</t>
    </r>
  </si>
  <si>
    <r>
      <t xml:space="preserve">Donc le </t>
    </r>
    <r>
      <rPr>
        <b/>
        <sz val="8"/>
        <rFont val="Marianne"/>
        <family val="3"/>
      </rPr>
      <t>ratio d'usage méthanisation = (ratio d'usage méthanisation des issues de silos selon l'enquête / (100 - ratio d'usage compostage des issues de silos selon l'enquête) * (100 - ratio d'usage compostage issues de maïs déduit (*) )</t>
    </r>
  </si>
  <si>
    <r>
      <rPr>
        <sz val="8"/>
        <rFont val="Marianne"/>
        <family val="3"/>
      </rPr>
      <t>Donc le</t>
    </r>
    <r>
      <rPr>
        <b/>
        <sz val="8"/>
        <rFont val="Marianne"/>
        <family val="3"/>
      </rPr>
      <t xml:space="preserve"> ratio d'usages divers = (ratio d'usages élimination des issues de silos selon l'enquête / (100 - ratio d'usage compostage des issues de silos selon l'enquête) * (100 - ratio d'usage compostage issues de céréales déduit (*) )</t>
    </r>
  </si>
  <si>
    <r>
      <t xml:space="preserve">Donc le </t>
    </r>
    <r>
      <rPr>
        <b/>
        <sz val="8"/>
        <rFont val="Marianne"/>
        <family val="3"/>
      </rPr>
      <t>ratio d'usage alimentation animale = (ratio d'usage alimentation animale FAF des issues de silos selon l'enquête / (100 - ratio d'usage compostage des issues de silos selon l'enquête) * (100 - ratio d'usage compostage issues de maïs déduit (*) )</t>
    </r>
  </si>
  <si>
    <t>(*) voir onglet "VU0204-Compostage"</t>
  </si>
  <si>
    <t>2) Seules les issues de maïs sont valorisées en compostage</t>
  </si>
  <si>
    <r>
      <t xml:space="preserve">Donc le </t>
    </r>
    <r>
      <rPr>
        <b/>
        <sz val="8"/>
        <rFont val="Marianne"/>
        <family val="3"/>
      </rPr>
      <t>ratio d'usage compostage des issues de maïs = (VTP Issues de silos * ratio d'usage compostage des issues de silos selon l'enquête) / VTP Issues de maïs</t>
    </r>
  </si>
  <si>
    <t>Ratios d'issues de riz et ventilation de leurs débouchés</t>
  </si>
  <si>
    <t>STA-MUL-ONRBAgriSissuesRiz-A20-21</t>
  </si>
  <si>
    <t>Issues de riz (VTP)</t>
  </si>
  <si>
    <r>
      <rPr>
        <sz val="8"/>
        <rFont val="Marianne"/>
        <family val="3"/>
      </rPr>
      <t>Donc le</t>
    </r>
    <r>
      <rPr>
        <b/>
        <sz val="8"/>
        <rFont val="Marianne"/>
        <family val="3"/>
      </rPr>
      <t xml:space="preserve"> ratio d'usage combustion = (ratio d'usage litière animale des issues de silos selon l'enquête / (100 - ratio d'usage compostage des issues de silos selon l'enquête) * (100 - ratio d'usage compostage de riz déduit (*) )</t>
    </r>
  </si>
  <si>
    <r>
      <rPr>
        <sz val="8"/>
        <rFont val="Marianne"/>
        <family val="3"/>
      </rPr>
      <t>Donc le</t>
    </r>
    <r>
      <rPr>
        <b/>
        <sz val="8"/>
        <rFont val="Marianne"/>
        <family val="3"/>
      </rPr>
      <t xml:space="preserve"> ratio d'usage combustion = (ratio d'usage autres matériaux biosourcés des issues de silos selon l'enquête / (100 - ratio d'usage compostage des issues de silos selon l'enquête) * (100 - ratio d'usage compostage issues de riz déduit (*) )</t>
    </r>
  </si>
  <si>
    <r>
      <t xml:space="preserve">Donc le </t>
    </r>
    <r>
      <rPr>
        <b/>
        <sz val="8"/>
        <rFont val="Marianne"/>
        <family val="3"/>
      </rPr>
      <t>ratio d'usage méthanisation = (ratio d'usage méthanisation des issues de silos selon l'enquête / (100 - ratio d'usage compostage des issues de silos selon l'enquête) * (100 - ratio d'usage compostage issues de riz déduit (*) )</t>
    </r>
  </si>
  <si>
    <r>
      <rPr>
        <sz val="8"/>
        <rFont val="Marianne"/>
        <family val="3"/>
      </rPr>
      <t>Donc le</t>
    </r>
    <r>
      <rPr>
        <b/>
        <sz val="8"/>
        <rFont val="Marianne"/>
        <family val="3"/>
      </rPr>
      <t xml:space="preserve"> ratio d'usage combustion = (ratio d'usage combustion des issues de silos selon l'enquête / (100 - ratio d'usage compostage des issues de silos selon l'enquête) * (100 - ratio d'usage compostage issues de riz déduit (*) )</t>
    </r>
  </si>
  <si>
    <r>
      <rPr>
        <sz val="8"/>
        <rFont val="Marianne"/>
        <family val="3"/>
      </rPr>
      <t>Donc le</t>
    </r>
    <r>
      <rPr>
        <b/>
        <sz val="8"/>
        <rFont val="Marianne"/>
        <family val="3"/>
      </rPr>
      <t xml:space="preserve"> ratio d'usages divers = (ratio d'usage élimination des issues de silos selon l'enquête / (100 - ratio d'usage compostage des issues de silos selon l'enquête) * (100 - ratio d'usage compostage issues de riz déduit (*) )</t>
    </r>
  </si>
  <si>
    <r>
      <t xml:space="preserve">Donc le </t>
    </r>
    <r>
      <rPr>
        <b/>
        <sz val="8"/>
        <rFont val="Marianne"/>
        <family val="3"/>
      </rPr>
      <t>ratio d'usage alimentation animale = (ratio d'usage alimentation animale FAF des issues de silos selon l'enquête / (100 - ratio d'usage compostage des issues de silos selon l'enquête) * (100 - ratio d'usage compostage issues de riz déduit (*) )</t>
    </r>
  </si>
  <si>
    <t>RefFlux2</t>
  </si>
  <si>
    <t>FAM (Bilans de campagne)</t>
  </si>
  <si>
    <t>Blé tendre et épeautre</t>
  </si>
  <si>
    <t>Autres céréales ?</t>
  </si>
  <si>
    <t>Seigle et méteil</t>
  </si>
  <si>
    <t>FAM (Collecte et FAB)</t>
  </si>
  <si>
    <t>Principaux usages</t>
  </si>
  <si>
    <t>Usages non-énergétiques</t>
  </si>
  <si>
    <t>X</t>
  </si>
  <si>
    <t>X (oisellerie)</t>
  </si>
  <si>
    <t>CEREALES</t>
  </si>
  <si>
    <t>Mises en œuvre pour la fabrication d'aliments composés</t>
  </si>
  <si>
    <t>2015, 2020</t>
  </si>
  <si>
    <t>SSP - Agreste</t>
  </si>
  <si>
    <t>Matières premières utilisées pour la fabrication d’aliments composés</t>
  </si>
  <si>
    <t>en millier de tonnes</t>
  </si>
  <si>
    <t>Matière première</t>
  </si>
  <si>
    <t>Quantité</t>
  </si>
  <si>
    <t>millier de tonnes</t>
  </si>
  <si>
    <t>1 – CÉRÉALES</t>
  </si>
  <si>
    <t>Autres</t>
  </si>
  <si>
    <t>3 – CO-PRODUITS DE TRANSFORMATION</t>
  </si>
  <si>
    <t>Sons fins et gros de blé tendre</t>
  </si>
  <si>
    <t>Remoulages et farines basses de blé tendre</t>
  </si>
  <si>
    <t>Sons et issues d’autres céréales</t>
  </si>
  <si>
    <t>Cornglutenfeed et solubles de maïs</t>
  </si>
  <si>
    <t>Drêches et solubles de maïs</t>
  </si>
  <si>
    <t>dont achetés avec des garanties sans OGM (&lt; 0,9 %)</t>
  </si>
  <si>
    <t>nd</t>
  </si>
  <si>
    <t>Gluten de maïs</t>
  </si>
  <si>
    <t>Wheatfeed et solubles de blé</t>
  </si>
  <si>
    <t>Drêches et solubles de blé et d’orge</t>
  </si>
  <si>
    <t>Radicelles d’orge séchées</t>
  </si>
  <si>
    <t>7 – TOURTEAUX (y compris tourteaux tannés)</t>
  </si>
  <si>
    <t>Germes de maïs</t>
  </si>
  <si>
    <t>10 – PRODUITS AZOTÉS DIVERS (1)</t>
  </si>
  <si>
    <t>Levures (tuées ou inactivées) et produits dérivés</t>
  </si>
  <si>
    <t>Champ : établissements produisant annuellement plus de 5 000 tonnes d’aliments composés ou d’aliments d’allaitement et/ou plus de 2 000 tonnes par an de fabrication annuelle d’aliments minéraux - France y compris Dom. 
(1) y compris urée et acides aminés jusqu'en 2012. 
(2) y compris urée et acides aminés à partir de 2015. Y compris prémélanges médicamenteux jusqu'en 2012.</t>
  </si>
  <si>
    <t>Source : Agreste SSP - Enquêtes quinquennales sur les matières premières utilisées pour la fabrication d’aliments composés pour animaux de ferme</t>
  </si>
  <si>
    <t>Chiffres et analyses</t>
  </si>
  <si>
    <t>Chd2208</t>
  </si>
  <si>
    <t>cd2022-8_mpaa-données-complémentairesV2</t>
  </si>
  <si>
    <t>Data extracted on 03/03/2025 12:04:51 from [ESTAT]</t>
  </si>
  <si>
    <t>Commerce UE depuis 1988 par SH2,4,6 et NC8 [ds-045409__custom_15618822]</t>
  </si>
  <si>
    <t xml:space="preserve">Last updated: </t>
  </si>
  <si>
    <t>FLOW (Labels)</t>
  </si>
  <si>
    <t>PRODUCT (Labels)</t>
  </si>
  <si>
    <t>10011100</t>
  </si>
  <si>
    <t>Froment (blé) dur, de semence</t>
  </si>
  <si>
    <t>10011900</t>
  </si>
  <si>
    <t>Froment (blé) dur, (à l'excl. de semence)</t>
  </si>
  <si>
    <t>10019110</t>
  </si>
  <si>
    <t>Epeautre, de semence</t>
  </si>
  <si>
    <t>10019120</t>
  </si>
  <si>
    <t>Froment {blé} tendre ou méteil, de semence</t>
  </si>
  <si>
    <t>10019190</t>
  </si>
  <si>
    <t>Blé (à l'excl. du froment, du blé tendre et de l'épeautre) de semence</t>
  </si>
  <si>
    <t>10019900</t>
  </si>
  <si>
    <t>Blé et méteil (à l'excl. du froment {blé} dur et des semences)</t>
  </si>
  <si>
    <t>10021000</t>
  </si>
  <si>
    <t>Seigle, de semence</t>
  </si>
  <si>
    <t>10029000</t>
  </si>
  <si>
    <t>Seigle (à l'excl. du seigle de semence)</t>
  </si>
  <si>
    <t>10031000</t>
  </si>
  <si>
    <t>Orge, de semence</t>
  </si>
  <si>
    <t>10039000</t>
  </si>
  <si>
    <t>Orge (à l’excl. de l’orge de semence)</t>
  </si>
  <si>
    <t>10041000</t>
  </si>
  <si>
    <t>Avoine, de semence</t>
  </si>
  <si>
    <t>10049000</t>
  </si>
  <si>
    <t>Avoine (à l'excl. de l'avoine de semence)</t>
  </si>
  <si>
    <t>10051011</t>
  </si>
  <si>
    <t>Maïs de semence, hybride double et hybride top-cross</t>
  </si>
  <si>
    <t>10051013</t>
  </si>
  <si>
    <t>Maïs de semence, hybride trois voies</t>
  </si>
  <si>
    <t>10051015</t>
  </si>
  <si>
    <t>Maïs de semence, hybride simple</t>
  </si>
  <si>
    <t>10051018</t>
  </si>
  <si>
    <t>Maïs de semence, hybride (à l'excl. des semences de maïs hybride trois voies et hybride simple)</t>
  </si>
  <si>
    <t>10051019</t>
  </si>
  <si>
    <t>Maïs de semence, hybride (à l'excl. des maïs hybrides double, top-cross, trois voies et simple)</t>
  </si>
  <si>
    <t>10051090</t>
  </si>
  <si>
    <t>Maïs de semence (à l’excl. du maïs hybride)</t>
  </si>
  <si>
    <t>10059000</t>
  </si>
  <si>
    <t>Maïs (à l'excl. du maïs de semence)</t>
  </si>
  <si>
    <t>10061010</t>
  </si>
  <si>
    <t>Riz en paille {riz paddy}, destiné à l'ensemencement</t>
  </si>
  <si>
    <t>10061021</t>
  </si>
  <si>
    <t>Riz en paille {riz paddy}, étuvé, à grains ronds</t>
  </si>
  <si>
    <t>10061023</t>
  </si>
  <si>
    <t>Riz en paille {riz paddy}, étuvé, à grains moyens</t>
  </si>
  <si>
    <t>10061025</t>
  </si>
  <si>
    <t>Riz en paille {riz paddy}, étuvé, à grains longs, présentant un rapport longueur/largeur &gt; 2 mais &lt; 3</t>
  </si>
  <si>
    <t>10061027</t>
  </si>
  <si>
    <t>Riz en paille {riz paddy}, étuvé, à grains longs, présentant un rapport longueur/largeur &gt;= 3</t>
  </si>
  <si>
    <t>10061030</t>
  </si>
  <si>
    <t>Riz en paille, à grains ronds</t>
  </si>
  <si>
    <t>10061050</t>
  </si>
  <si>
    <t>Riz en paille, à grains moyens</t>
  </si>
  <si>
    <t>10061071</t>
  </si>
  <si>
    <t>Riz en paille, à grains longs, présentant un rapport longueur/largeur &gt; 2 mais &lt; 3</t>
  </si>
  <si>
    <t>10061079</t>
  </si>
  <si>
    <t>Riz en paille, à grains longs, présentant un rapport longueur/largeur &gt;= 3</t>
  </si>
  <si>
    <t>10061090</t>
  </si>
  <si>
    <t>Riz en paille (sauf à grains ronds, moyens ou longs)</t>
  </si>
  <si>
    <t>10061091</t>
  </si>
  <si>
    <t>Riz paddy à grains ronds, (autre que de semence)</t>
  </si>
  <si>
    <t>10061092</t>
  </si>
  <si>
    <t>Riz en paille {riz paddy}, à grains ronds (à l'excl. du riz étuvé et du riz de semence)</t>
  </si>
  <si>
    <t>10061094</t>
  </si>
  <si>
    <t>Riz en paille {riz paddy}, à grains moyens (à l'excl. du riz étuvé et du riz de semence)</t>
  </si>
  <si>
    <t>10061096</t>
  </si>
  <si>
    <t>Riz en paille {riz paddy}, à grains longs, présentant un rapport longueur/largeur &gt; 2 mais &lt; 3 (à l'excl. du riz étuvé et du riz de semence)</t>
  </si>
  <si>
    <t>10061098</t>
  </si>
  <si>
    <t>Riz en paille {riz paddy}, à grains longs, présentant un rapport longueur/largeur &gt;= 3 (à l'excl. du riz étuvé et du riz de semence)</t>
  </si>
  <si>
    <t>10061099</t>
  </si>
  <si>
    <t>Riz paddy à grains longs, (autre que de semence)</t>
  </si>
  <si>
    <t>10062011</t>
  </si>
  <si>
    <t>Riz décortiqué {riz cargo ou riz brun}, étuvé, à grains ronds</t>
  </si>
  <si>
    <t>10062013</t>
  </si>
  <si>
    <t>Riz décortiqué {riz cargo ou riz brun}, étuvé, à grains moyens</t>
  </si>
  <si>
    <t>10062015</t>
  </si>
  <si>
    <t>Riz décortiqué {riz cargo ou riz brun}, étuvé, à grains longs, présentant un rapport longueur/largeur &gt; 2 mais &lt; 3</t>
  </si>
  <si>
    <t>10062017</t>
  </si>
  <si>
    <t>Riz décortiqué {riz cargo ou riz brun}, étuvé, à grains longs, présentant un rapport longueur/largeur &gt;= 3</t>
  </si>
  <si>
    <t>10062019</t>
  </si>
  <si>
    <t>Riz décortiqué {riz cargo ou riz brun}, étuvé (sauf à grains ronds, moyens ou longs)</t>
  </si>
  <si>
    <t>10062092</t>
  </si>
  <si>
    <t>Riz décortiqué {riz cargo ou riz brun}, à grains ronds (à l'excl. du riz étuvé)</t>
  </si>
  <si>
    <t>10062094</t>
  </si>
  <si>
    <t>Riz décortiqué {riz cargo ou riz brun}, à grains moyens (à l'excl. du riz étuvé)</t>
  </si>
  <si>
    <t>10062096</t>
  </si>
  <si>
    <t>Riz décortiqué {riz cargo ou riz brun}, à grains longs, présentant un rapport longueur/largeur &gt; 2 mais &lt; 3 (à l'excl. du riz étuvé)</t>
  </si>
  <si>
    <t>10062098</t>
  </si>
  <si>
    <t>Riz décortiqué {riz cargo ou riz brun}, à grains longs, présentant un rapport longueur/largeur &gt;= 3 (à l'excl. du riz étuvé)</t>
  </si>
  <si>
    <t>10062099</t>
  </si>
  <si>
    <t>Riz décortiqué {riz cargo ou riz brun},(sauf à grains ronds, moyens ou longs, et riz étuvé)</t>
  </si>
  <si>
    <t>10063021</t>
  </si>
  <si>
    <t>Riz semi-blanchi, étuvé, à grains ronds</t>
  </si>
  <si>
    <t>10063023</t>
  </si>
  <si>
    <t>Riz semi-blanchi, étuvé, à grains moyens</t>
  </si>
  <si>
    <t>10063025</t>
  </si>
  <si>
    <t>Riz semi-blanchi, étuvé, à grains longs, présentant un rapport longueur/largeur &gt; 2 mais &lt; 3</t>
  </si>
  <si>
    <t>10063027</t>
  </si>
  <si>
    <t>Riz semi-blanchi, étuvé, à grains longs, présentant un rapport longueur/largeur &gt;= 3</t>
  </si>
  <si>
    <t>10063029</t>
  </si>
  <si>
    <t>Riz semi-blanchi,étuvé (sauf à grains ronds, moyens ou longs)</t>
  </si>
  <si>
    <t>10063042</t>
  </si>
  <si>
    <t>Riz semi-blanchi, à grains ronds (à l'excl. du riz étuvé)</t>
  </si>
  <si>
    <t>10063044</t>
  </si>
  <si>
    <t>Riz semi-blanchi, à grains moyens (à l'excl. du riz étuvé)</t>
  </si>
  <si>
    <t>10063046</t>
  </si>
  <si>
    <t>Riz semi-blanchi, à grains longs, présentant un rapport longueur/largeur &gt; 2 mais &lt; 3 (à l'excl. du riz étuvé)</t>
  </si>
  <si>
    <t>10063048</t>
  </si>
  <si>
    <t>Riz semi-blanchi, à grains longs, présentant un rapport longueur/largeur &gt;= 3 (à l'excl. du riz étuvé)</t>
  </si>
  <si>
    <t>10063049</t>
  </si>
  <si>
    <t>Riz semi-blanchi (sauf à grains ronds, moyens ou longs, et riz étuvé)</t>
  </si>
  <si>
    <t>10063061</t>
  </si>
  <si>
    <t>Riz blanchi, étuvé, à grains ronds</t>
  </si>
  <si>
    <t>10063063</t>
  </si>
  <si>
    <t>Riz blanchi, étuvé, à grains moyens</t>
  </si>
  <si>
    <t>10063065</t>
  </si>
  <si>
    <t>Riz blanchi, étuvé, à grains longs, présentant un rapport longueur/largeur &gt; 2 mais &lt; 3</t>
  </si>
  <si>
    <t>10063067</t>
  </si>
  <si>
    <t>Riz blanchi, étuvé, à grains longs, présentant un rapport longueur/largeur &gt;= 3</t>
  </si>
  <si>
    <t>10063069</t>
  </si>
  <si>
    <t>Riz blanchi, étuvé (sauf à grains ronds, moyens ou longs)</t>
  </si>
  <si>
    <t>10063092</t>
  </si>
  <si>
    <t>Riz blanchi, à grains ronds (à l'excl. du riz étuvé)</t>
  </si>
  <si>
    <t>10063094</t>
  </si>
  <si>
    <t>Riz blanchi, à grains moyens (à l'excl. du riz étuvé)</t>
  </si>
  <si>
    <t>10063096</t>
  </si>
  <si>
    <t>Riz blanchi, à grains longs, présentant un rapport longueur/largeur &gt; 2 mais &lt; 3 (à l'excl. du riz étuvé)</t>
  </si>
  <si>
    <t>10063098</t>
  </si>
  <si>
    <t>Riz blanchi, à grains longs, présentant un rapport longueur/largeur &gt;= 3 (à l'excl. du riz étuvé)</t>
  </si>
  <si>
    <t>10063099</t>
  </si>
  <si>
    <t>Riz blanchi (sauf à grains ronds, moyens ou longs, et riz étuvé)(2023-2500);Riz blanchi à grains longs(1988-1988)</t>
  </si>
  <si>
    <t>10064000</t>
  </si>
  <si>
    <t>Riz en brisures</t>
  </si>
  <si>
    <t>10071010</t>
  </si>
  <si>
    <t>Sorgho à grains, hybride, destiné à l’ensemencement</t>
  </si>
  <si>
    <t>10071090</t>
  </si>
  <si>
    <t>Sorgho à grains de semence (à l’excl. des sorghos hybrides)</t>
  </si>
  <si>
    <t>10079000</t>
  </si>
  <si>
    <t>Sorgho à grains (à l’excl. des semences)</t>
  </si>
  <si>
    <t>10081000</t>
  </si>
  <si>
    <t>10082100</t>
  </si>
  <si>
    <t>Millet de semence (à l'excl. du sorgho à grains)</t>
  </si>
  <si>
    <t>10082900</t>
  </si>
  <si>
    <t>Millet (à l'excl. du sorgho à grains et de semence)</t>
  </si>
  <si>
    <t>10083000</t>
  </si>
  <si>
    <t>10084000</t>
  </si>
  <si>
    <t>Fonio {Digitaria spp.}</t>
  </si>
  <si>
    <t>10085000</t>
  </si>
  <si>
    <t>Quinoa {Chenopodium quinoa}</t>
  </si>
  <si>
    <t>10086000</t>
  </si>
  <si>
    <t>10089000</t>
  </si>
  <si>
    <t>Céréales (à l’excl. du froment {blé}, du méteil, du seigle, de l’orge, de l’avoine, du maïs, du riz, du sorgho à grains, du sarrasin, du millet, de l’alpiste, du fonio, du quinoa et du triticale)</t>
  </si>
  <si>
    <t>11010011</t>
  </si>
  <si>
    <t>Farines de froment {blé} dur</t>
  </si>
  <si>
    <t>11010015</t>
  </si>
  <si>
    <t>Farines de froment {blé} tendre et d'épeautre</t>
  </si>
  <si>
    <t>11010090</t>
  </si>
  <si>
    <t>Farines de méteil</t>
  </si>
  <si>
    <t>Farine de seigle</t>
  </si>
  <si>
    <t>11022010</t>
  </si>
  <si>
    <t>Farine de maïs, d'une teneur en matières grasses &lt;= 1,5% en poids</t>
  </si>
  <si>
    <t>11022090</t>
  </si>
  <si>
    <t>Farine de maïs, d'une teneur en matières grasses &gt; 1,5% en poids</t>
  </si>
  <si>
    <t>Farine de riz</t>
  </si>
  <si>
    <t>11029010</t>
  </si>
  <si>
    <t>Farine d'orge</t>
  </si>
  <si>
    <t>11029030</t>
  </si>
  <si>
    <t>Farine d'avoine</t>
  </si>
  <si>
    <t>11029050</t>
  </si>
  <si>
    <t>11029070</t>
  </si>
  <si>
    <t>11029090</t>
  </si>
  <si>
    <t>Farines de céréales (à l'excl. des farines de froment {blé}, de méteil, de seigle, de maïs, de riz, d'orge et d'avoine)</t>
  </si>
  <si>
    <t>11031110</t>
  </si>
  <si>
    <t>Gruaux et semoules de froment {blé} dur(1994-2500);Gruaux et semoules de froment {blé} dur(1988-1992)</t>
  </si>
  <si>
    <t>11031190</t>
  </si>
  <si>
    <t>Gruaux et semoules de froment {blé} tendre et d'épeautre</t>
  </si>
  <si>
    <t>Gruaux et semoules d'avoine</t>
  </si>
  <si>
    <t>11031310</t>
  </si>
  <si>
    <t>Gruaux et semoules de maïs, d'une teneur en matières grasses &lt;= 1,5% en poids</t>
  </si>
  <si>
    <t>11031390</t>
  </si>
  <si>
    <t>Gruaux et semoules de maïs, d'une teneur en matières grasses &gt; 1,5% en poids</t>
  </si>
  <si>
    <t>Gruaux et semoules de riz</t>
  </si>
  <si>
    <t>11031920</t>
  </si>
  <si>
    <t>Gruaux et semoules de seigle ou d'orge</t>
  </si>
  <si>
    <t>11031940</t>
  </si>
  <si>
    <t>11031950</t>
  </si>
  <si>
    <t>11031990</t>
  </si>
  <si>
    <t>Gruaux et semoules de céréales (à l'excl. des gruaux et semoules de froment {blé}, d'avoine, de maïs, de riz, de seigle et d'orge)</t>
  </si>
  <si>
    <t>11032025</t>
  </si>
  <si>
    <t>Pellets de seigle ou d'orge</t>
  </si>
  <si>
    <t>11032030</t>
  </si>
  <si>
    <t>Agglomérés sous forme de pellets, d'avoine</t>
  </si>
  <si>
    <t>11032040</t>
  </si>
  <si>
    <t>Agglomérés sous forme de pellets, de maïs</t>
  </si>
  <si>
    <t>11032050</t>
  </si>
  <si>
    <t>Agglomérés sous forme de pellets, de riz</t>
  </si>
  <si>
    <t>11032060</t>
  </si>
  <si>
    <t>Agglomérés sous forme de pellets, de froment {blé}</t>
  </si>
  <si>
    <t>11032090</t>
  </si>
  <si>
    <t>Agglomérés sous forme de pellets, de céréales (à l'excl. des pellets de seigle, d'orge, d'avoine, de maïs, de riz et de froment {blé})</t>
  </si>
  <si>
    <t>Grains d'orge, aplatis</t>
  </si>
  <si>
    <t>Flocons d'orge</t>
  </si>
  <si>
    <t>11041210</t>
  </si>
  <si>
    <t>Grains d'avoine, aplatis</t>
  </si>
  <si>
    <t>11041290</t>
  </si>
  <si>
    <t>Flocons d'avoine</t>
  </si>
  <si>
    <t>11041910</t>
  </si>
  <si>
    <t>Grains de froment {blé}, aplatis ou en flocons</t>
  </si>
  <si>
    <t>11041930</t>
  </si>
  <si>
    <t>Grains de seigle, aplatis ou en flocons</t>
  </si>
  <si>
    <t>11041950</t>
  </si>
  <si>
    <t>Grains de maïs, aplatis ou en flocons</t>
  </si>
  <si>
    <t>11041961</t>
  </si>
  <si>
    <t>11041969</t>
  </si>
  <si>
    <t>11041991</t>
  </si>
  <si>
    <t>Flocons de riz</t>
  </si>
  <si>
    <t>11041999</t>
  </si>
  <si>
    <t>Grains de céréales, aplatis ou en flocons (à l'excl. des grains d'avoine, de froment {blé}, de seigle, de maïs et d'orge ainsi que des flocons de riz)</t>
  </si>
  <si>
    <t>11042199</t>
  </si>
  <si>
    <t>Grains d'orge (à l'excl. des grains mondés {décortiqués ou pelés}, des grains mondés et tranchés ou concassés {dits Grütze ou grutten}, des grains perlés et des grains seulement concassés)</t>
  </si>
  <si>
    <t>11042220</t>
  </si>
  <si>
    <t>Grains d'avoine, mondés {décortiqués ou pelés} (sauf épointés)</t>
  </si>
  <si>
    <t>11042240</t>
  </si>
  <si>
    <t>Grains d’avoine, mondés, même tranchés ou concassés</t>
  </si>
  <si>
    <t>11042292</t>
  </si>
  <si>
    <t>Grains d'avoine, épointés</t>
  </si>
  <si>
    <t>11042295</t>
  </si>
  <si>
    <t>Grains d'avoine tranchés, concassés ou autrement travaillés (à l'excl. de la farine d'avoine et des grains d'avoine aplatis, en flocons, émondés, perlés et en pellets)</t>
  </si>
  <si>
    <t>11042298</t>
  </si>
  <si>
    <t>Grains d'avoine (sauf épointés, mondés {décortiqués ou pelés}, mondés {décortiqués ou pelés} et tranchés ou concassés, perlés ainsi que seulement concassés)</t>
  </si>
  <si>
    <t>11042299</t>
  </si>
  <si>
    <t>Grains d'avoine (à l'excl. des grains mondés {décortiqués ou pelés}, des grains mondés et tranchés ou concassés {dits grutze ou grutten}, des grains perlés et des grains seulement concassés)</t>
  </si>
  <si>
    <t>11042340</t>
  </si>
  <si>
    <t>Grains de maïs, mondés, même tranchés ou concassés; grains de maïs perlés</t>
  </si>
  <si>
    <t>11042398</t>
  </si>
  <si>
    <t>Grains de maïs, mondés, perlés ou autrement travaillés (à l'excl. de la farine de maïs et des grains de maïs aplatis, en flocons, mondés, perlés et en pellets)</t>
  </si>
  <si>
    <t>11042399</t>
  </si>
  <si>
    <t>Grains de maïs (à l'excl. des grains mondés {décortiqués ou pelés}, même tranchés ou concassés, des grains perlés et des grains seulement concassés)</t>
  </si>
  <si>
    <t>11042901</t>
  </si>
  <si>
    <t>Grains d'orge, mondés {décortiqués ou pelés}</t>
  </si>
  <si>
    <t>11042903</t>
  </si>
  <si>
    <t>Grains d'orge, mondés et tranchés ou concassés, dits 'Grütze' ou 'grutten'</t>
  </si>
  <si>
    <t>11042904</t>
  </si>
  <si>
    <t>Grains d’orge, mondés, même tranchés ou concassés</t>
  </si>
  <si>
    <t>11042905</t>
  </si>
  <si>
    <t>Grains d'orge, perlés</t>
  </si>
  <si>
    <t>11042907</t>
  </si>
  <si>
    <t>Grains d'orge, seulement concassés</t>
  </si>
  <si>
    <t>11042908</t>
  </si>
  <si>
    <t>Grains d'orge tranchés, concassés ou autrement travaillés (à l'excl. de la farine d'orge et des grains d'orge aplatis, en flocons, mondés, perlés et en pellets)</t>
  </si>
  <si>
    <t>11042909</t>
  </si>
  <si>
    <t>11042910</t>
  </si>
  <si>
    <t>Grains de céréales, mondés, (autres que d'orge, d'avoine, de mais, de riz)</t>
  </si>
  <si>
    <t>11042917</t>
  </si>
  <si>
    <t>Grains de céréales, mondés, même tranchés ou concassés (à l’excl. des grains d’orge, d’avoine, de maïs et de riz)</t>
  </si>
  <si>
    <t>11042918</t>
  </si>
  <si>
    <t>Grains de céréales, mondés {décortiqués ou pelés}, même tranchés ou concassés (à l'excl. des grains d'orge, d'avoine, de maïs, de riz et de froment {blé})</t>
  </si>
  <si>
    <t>11042930</t>
  </si>
  <si>
    <t>Grains de céréales, perlés (à l'excl. des grains d'orge, d'avoine, de maïs ou de riz)(2006-2500);Grains de céréales, perlés (à l'excl. des grains d'orge, d'avoine, de maïs ou de riz)(1988-1989)</t>
  </si>
  <si>
    <t>11042951</t>
  </si>
  <si>
    <t>Grains de froment {blé}, seulement concassés</t>
  </si>
  <si>
    <t>11042955</t>
  </si>
  <si>
    <t>Grains de seigle, seulement concassés</t>
  </si>
  <si>
    <t>11042959</t>
  </si>
  <si>
    <t>Grains de céréales, seulement concassés (à l'excl. des grains d'orge, d'avoine, de maïs, de froment {blé} et de seigle)</t>
  </si>
  <si>
    <t>11042981</t>
  </si>
  <si>
    <t>Grains de blé tranchés, concassés ou autrement travaillés (à l'excl. de la farine et des grains aplatis, en flocons, en pellets, mondés, perlés et seulement concassés)</t>
  </si>
  <si>
    <t>11042985</t>
  </si>
  <si>
    <t>Grains de seigle tranchés, concassés ou autrement travaillés (à l'excl. de la farine et des grains aplatis, en flocons, en pellets, mondés, perlés et seulement concassés)</t>
  </si>
  <si>
    <t>11042989</t>
  </si>
  <si>
    <t>Grains de céréales tranchés, concassés ou autrement travaillés (à l'excl. de la farine d'avoine, d'orge, de maïs, de blé et de seigle, de la farine et des grains de céréales aplatis, en flocons, en pellets mondés, perlés, seulement concassés, ainsi que du riz semi-blanchi ou blanchi et en brisures)</t>
  </si>
  <si>
    <t>11043010</t>
  </si>
  <si>
    <t>Germes de froment {blé}, entiers, aplatis, en flocons ou moulus</t>
  </si>
  <si>
    <t>11043090</t>
  </si>
  <si>
    <t>Germes de céréales, entiers, aplatis, en flocons ou moulus (à l'excl. des germes de froment {blé})</t>
  </si>
  <si>
    <t>11071011</t>
  </si>
  <si>
    <t>Malt de froment {blé}, non torréfié, présenté sous forme de farine</t>
  </si>
  <si>
    <t>11071019</t>
  </si>
  <si>
    <t>Malt de froment {blé}, non torréfié (à l'excl. du malt présenté sous forme de farine)</t>
  </si>
  <si>
    <t>11071091</t>
  </si>
  <si>
    <t>Malt, non torréfié, présenté sous forme de farine (à l'excl. du malt de froment {blé})</t>
  </si>
  <si>
    <t>11071099</t>
  </si>
  <si>
    <t>Malt, non torréfié (à l'excl. du malt de froment {blé} et du malt présenté sous forme de farine)</t>
  </si>
  <si>
    <t>11072000</t>
  </si>
  <si>
    <t>Malt, torréfié</t>
  </si>
  <si>
    <t>11081100</t>
  </si>
  <si>
    <t>Amidon de froment {blé}</t>
  </si>
  <si>
    <t>11081200</t>
  </si>
  <si>
    <t>Amidon de maïs</t>
  </si>
  <si>
    <t>11081910</t>
  </si>
  <si>
    <t>Amidon de riz</t>
  </si>
  <si>
    <t>11090000</t>
  </si>
  <si>
    <t>Gluten de froment {blé}, même à l'état sec</t>
  </si>
  <si>
    <t>15152110</t>
  </si>
  <si>
    <t>Huile de maïs, brute, destinée à des usages techniques ou industriels (autres que la fabrication de produits pour l'alimentation humaine)</t>
  </si>
  <si>
    <t>15152190</t>
  </si>
  <si>
    <t>Huile de maïs, brute (à l'excl. de l'huile destinée à des usages techniques ou industriels)</t>
  </si>
  <si>
    <t>15152910</t>
  </si>
  <si>
    <t>Huile de maïs et ses fractions, même raffinées, mais non chimiquement modifiées, destinées à des usages techniques ou industriels (à l'excl. de l'huile brute et de l'huile destinée à la fabrication de produits pour l'alimentation humaine)</t>
  </si>
  <si>
    <t>15152990</t>
  </si>
  <si>
    <t>Huile de maïs et ses fractions, même raffinées, mais non chimiquement modifiées (à l'excl. de l'huile brute et de l'huile destinée à des usages techniques ou industriels)</t>
  </si>
  <si>
    <t>19012000</t>
  </si>
  <si>
    <t>Mélanges et pâtes à base de farines, gruaux, semoules, amidons, fécules ou extraits de malt, ne contenant pas de cacao ou contenant &lt; 40% en poids de cacao calculés sur une base entièrement dégraissée, n.d.a.; mélanges et pâtes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 préparation des produits de la boulangerie, de la pâtisserie ou de la biscuiterie du n° 1905</t>
  </si>
  <si>
    <t>19019011</t>
  </si>
  <si>
    <t>Extraits de malt, d'une teneur en extrait sec &gt;= 90% en poids</t>
  </si>
  <si>
    <t>19019019</t>
  </si>
  <si>
    <t>Extraits de malt, d'une teneur en extrait sec &lt; 90% en poids</t>
  </si>
  <si>
    <t>19019091</t>
  </si>
  <si>
    <t>Préparations alimentaires de farines, gruaux, semoules, amidons, fécules ou extraits de malt, ne contenant pas de matières grasses provenant du lait, de saccharose, d'isoglucose, de glucose, d'amidon ou de fécule ou contenant en poids &lt; 1,5% de matières grasses provenant du lait, &lt; 5% en poids de saccharose, d'isoglucose, de glucose, d'amidon ou de fécule, ne contenant pas de cacao ou en contenant &lt; 40% en poids, calculés sur une base entièrement dégraissée (à l'excl. des extraits de malt, des préparations pour l'alimentation des enfants conditionnées pour la vente au détail, des mélanges et pâtes pour la préparation des produits de la boulangerie, de la pâtisserie ou de la biscuiterie ainsi que des préparations alimentaires en poudre à base de lait, de crème de lait, de babeurre, de lait caillé, de crème caillée, de lactosérum, de yoghourt, de képhir et autres produits simil. des n° 0401 à 0404)(2022-2500);Préparations alimentaires de farines, gruaux, semoules, amidons, fécules ou extraits de malt, ne contenant pas de matières grasses provenant du lait, de saccharose, d'isoglucose, de glucose, d'amidon ou de fécule ou contenant en poids &lt; 1,5% de matières grasses provenant du lait, &lt; 5% en poids de saccharose, d'isoglucose, de glucose, d'amidon ou de fécule, ne contenant pas de cacao ou en contenant &lt; 40% en poids, calculés sur une base entièrement dégraissée (à l'excl. des extraits de malt, des préparations pour l'alimentation des enfants conditionnées pour la vente au détail, des mélanges et pâtes pour la préparation des produits de la boulangerie, de la pâtisserie ou de la biscuiterie ainsi que des préparations alimentaires en poudre à base de lait, de crème de lait, de babeurre, de lait caillé, de crème caillée, de lactosérum, de yoghourt, de képhir et autres produits simil. des n° 0401 à 0404)(1995-2021)</t>
  </si>
  <si>
    <t>19019099</t>
  </si>
  <si>
    <t>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95)(2022-2500);Préparations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95)(2020-2021);Mélanges ou préparations non alimentaires de graisses ou d'huiles animales ou végétales ou de fractions de différentes graisses ou huiles du présent chapitre, n.d.a.(1995-2019)</t>
  </si>
  <si>
    <t>19021100</t>
  </si>
  <si>
    <t>Pâtes alimentaires non cuites ni farcies ni autrement préparées, contenant des oeufs(1993-2500);Pâtes alimentaires non-cuites ni farcies ni autrement préparées, contenant des oeufs(1988-1990)</t>
  </si>
  <si>
    <t>19021910</t>
  </si>
  <si>
    <t>Pâtes alimentaires, non cuites ni farcies ni autrement préparées, ne contenant ni oeufs ni farine ou semoule de froment {blé} tendre(1995-2500);Pâtes alimentaires, non-cuites ni farcies ni autrement préparées, ne contenant ni oeufs ni farine ou semoule de froment {blé} tendre(1988-1990)</t>
  </si>
  <si>
    <t>19021990</t>
  </si>
  <si>
    <t>Pâtes alimentaires, non cuites ni farcies ni autrement préparées, contenant de la farine ou de la semoule de froment {blé} tendre, mais ne contenant pas d'oeufs(1995-2500);Pâtes alimentaires, non-cuites ni farcies ni autrement préparées, contenant de la farine ou de la semoule de froment {blé} tendre, mais ne contenant pas d'oeufs(1988-1992)</t>
  </si>
  <si>
    <t>19024010</t>
  </si>
  <si>
    <t>Couscous, non préparé</t>
  </si>
  <si>
    <t>19024090</t>
  </si>
  <si>
    <t>Couscous, cuit ou autrement préparé</t>
  </si>
  <si>
    <t>19041010</t>
  </si>
  <si>
    <t>Produits à base de maïs obtenus par soufflage ou grillage(1996-2500);Produits à base de maïs obtenus par soufflage ou grillage(1988-1995)</t>
  </si>
  <si>
    <t>19041030</t>
  </si>
  <si>
    <t>Produits à base de riz obtenus par soufflage ou grillage(1996-2500);Produits à base de riz obtenus par soufflage ou grillage(1988-1995)</t>
  </si>
  <si>
    <t>19041090</t>
  </si>
  <si>
    <t>Produits à base de céréales obtenus par soufflage ou grillage (à l'excl. des produits à base de maïs ou de riz)(1996-2500);Produits à base de céréales obtenus par soufflage ou grillage (à l'excl. des produits à base de maïs ou de riz)(1988-1995)</t>
  </si>
  <si>
    <t>19042010</t>
  </si>
  <si>
    <t>Préparations du type 'Müsli' à base de flocons de céréales non grillés</t>
  </si>
  <si>
    <t>19042091</t>
  </si>
  <si>
    <t>Préparations alimentaires obtenues à partir de flocons de céréales non grillés ou de mélanges de flocons de céréales grillés et non grillés ou de céréales soufflées, à base de maïs (à l'excl. des préparations du type 'Müsli' à base de flocons de céréales non grillés)</t>
  </si>
  <si>
    <t>19042095</t>
  </si>
  <si>
    <t>Préparations alimentaires obtenues à partir de flocons de céréales non grillés ou de mélanges de flocons de céréales grillés et non grillés ou de céréales soufflées, à base de riz (à l'excl. des préparations du type 'Müsli' à base de flocons de céréales non grillés)</t>
  </si>
  <si>
    <t>19042099</t>
  </si>
  <si>
    <t>Préparations alimentaires obtenues à partir de flocons de céréales non grillés ou de mélanges de flocons de céréales grillés et non grillés ou de céréales soufflées (à l'excl. des préparations à base de maïs ou de riz ainsi que des préparations du type 'Müsli' à base de flocons de céréales non grillés)</t>
  </si>
  <si>
    <t>19043000</t>
  </si>
  <si>
    <t>Bulgur de blé sous forme de grains travaillés, obtenu par cuisson des grains de blé dur</t>
  </si>
  <si>
    <t>19049010</t>
  </si>
  <si>
    <t>Riz, précuit ou autrement préparé, n.d.a. (à l'excl. de la farine du gruau et de la semoule, des produits alimentaires obtenus par soufflage ou grillage, des préparations alimentaires à base de flocons de céréales non grillés, des préparations alimentaires à base de mélanges de flocons de céréales grillés et non grillés ou de céréales soufflées)</t>
  </si>
  <si>
    <t>19049080</t>
  </si>
  <si>
    <t>Céréales en grain ou sous forme de flocons ou de grains autrement travaillés, précuites ou autrement préparées, n.d.a. (à l'excl. du riz, du maïs, de la farine, du gruau et de la semoule, des produits alimentaires obtenus par soufflage ou grillage, des préparations alimentaires à base de flocons de céréales non grillés ou de mélanges de flocons de céréales grillés et non grillés ou de céréales soufflées et du bulgur de blé)(2022-2500);Céréales en grain ou sous forme de flocons ou de grains autrement travaillés, précuites ou autrement préparées, n.d.a. (à l'excl. du riz, du maïs, de la farine, du gruau et de la semoule, des produits alimentaires obtenus par soufflage ou grillage, des préparations alimentaires à base de flocons de céréales non grillés ou de mélanges de flocons de céréales grillés et non grillés ou de céréales soufflées et du bulgur de blé)(2002-2021)</t>
  </si>
  <si>
    <t>21061020</t>
  </si>
  <si>
    <t>Concentrats de protéines et substances protéiques texturées, ne contenant pas de matières grasses provenant du lait, de saccharose, d'isoglucose, de glucose, d'amidon ou de fécule ou contenant en poids &lt; 1,5% de matières grasses provenant du lait, &lt; 5% de saccharose ou d'isoglucose, &lt; 5% de glucose ou d'amidon ou de fécule</t>
  </si>
  <si>
    <t>21061080</t>
  </si>
  <si>
    <t>Concentrats de protéines et substances protéiques texturées, contenant en poids 1,5% de matières grasses provenant du lait, 5% de saccharose ou d'isoglucose, 5% de glucose ou d'amidon ou de fécule</t>
  </si>
  <si>
    <t>22030001</t>
  </si>
  <si>
    <t>Bières de malt, présentées dans des bouteilles d'une contenance &lt;= 10 l</t>
  </si>
  <si>
    <t>22030009</t>
  </si>
  <si>
    <t>Bières de malt, en récipients d'une contenance &lt;= 10 l (à l'excl. des bières présentées dans des bouteilles)</t>
  </si>
  <si>
    <t>22030010</t>
  </si>
  <si>
    <t>Bières de malt, en récipients d'une contenance &gt; 10 l</t>
  </si>
  <si>
    <t>23021010</t>
  </si>
  <si>
    <t>Sons, remoulages et autres résidus, même agglomérés sous forme de pellets, du criblage, de la mouture ou d'autres traitements de maïs d'une teneur en amidon &lt;= 35% en poids</t>
  </si>
  <si>
    <t>23021090</t>
  </si>
  <si>
    <t>Sons, remoulages et autres résidus, même agglomérés sous forme de pellets, du criblage, de la mouture ou d'autres traitements de maïs d'une teneur en amidon &gt; 35% en poids</t>
  </si>
  <si>
    <t>Sons, remoulages et autres résidus, même agglomérés sous forme de pellets, du criblage, de la mouture ou d'autres traitements de riz d'une teneur en amidon &lt;= 35% en poids</t>
  </si>
  <si>
    <t>Sons, remoulages et autres résidus, même agglomérés sous forme de pellets, du criblage, de la mouture ou d'autres traitements de riz d'une teneur en amidon &gt; 35% en poids</t>
  </si>
  <si>
    <t>23023010</t>
  </si>
  <si>
    <t>Sons, remoulages et autres résidus, même agglomérés sous forme de pellets, du criblage, de la mouture ou d'autres traitements de froments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</si>
  <si>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23023090</t>
  </si>
  <si>
    <t>Sons, remoulages et autres résidus, même agglomérés sous forme de pellets, du criblage, de la mouture ou d'autres traitements du froment (sauf ceux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</si>
  <si>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23024002</t>
  </si>
  <si>
    <t>23024008</t>
  </si>
  <si>
    <t>23024010</t>
  </si>
  <si>
    <t>Sons, remoulages et autres résidus, même agglomérés sous forme de pellets, du criblage, de la mouture ou d'autres traitements des céréales (sauf maïs, riz et froment)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</si>
  <si>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23024090</t>
  </si>
  <si>
    <t>Sons, remoulages et autres résidus, même agglomérés sous forme de pellets, du criblage, de la mouture ou d'autres traitements des céréales (sauf maïs, riz et froment et à l'excl. des produits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</si>
  <si>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23031011</t>
  </si>
  <si>
    <t>Résidus de l'amidonnerie du maïs, d'une teneur en protéines, calculée sur la matière sèche, &gt; 40% en poids (à l'excl. des eaux de trempe concentrées)</t>
  </si>
  <si>
    <t>23031019</t>
  </si>
  <si>
    <t>Résidus de l'amidonnerie du maïs, d'une teneur en protéines, calculée sur la matière sèche, &lt;= 40% en poids (à l'excl. des eaux de trempe concentrées)</t>
  </si>
  <si>
    <t>23031090</t>
  </si>
  <si>
    <t>Résidus de l'amidonnerie et résidus simil. (à l'excl. des résidus de l'amidonnerie du maïs)</t>
  </si>
  <si>
    <t>23033000</t>
  </si>
  <si>
    <t>Drêches et déchets de brasserie ou de distillerie</t>
  </si>
  <si>
    <t>23069005</t>
  </si>
  <si>
    <t>Special value</t>
  </si>
  <si>
    <t>not available</t>
  </si>
  <si>
    <t>Données extraites le03/03/2025 12:13:50 depuis [ESTAT]</t>
  </si>
  <si>
    <t>Production vendue, exportations et importations [ds-056120__custom_15619076]</t>
  </si>
  <si>
    <t>10611100</t>
  </si>
  <si>
    <t>Riz décortiqué (cargo ou brun)</t>
  </si>
  <si>
    <t>10611230</t>
  </si>
  <si>
    <t>Riz semi-blanchi ou blanchi, même poli ou glacé</t>
  </si>
  <si>
    <t>10611250</t>
  </si>
  <si>
    <t>10612100</t>
  </si>
  <si>
    <t>Farines de froment (blé) ou de méteil</t>
  </si>
  <si>
    <t>10612200</t>
  </si>
  <si>
    <t>Farine de céréales autres que le froment ou le méteil</t>
  </si>
  <si>
    <t>10612400</t>
  </si>
  <si>
    <t>Mélanges et pâtes pour la préparation de pains, gâteaux, pâtisseries, pain croustillant (dit Knäckebrot), biscuits, gaufres, gaufrettes, biscottes, pain grillé et produits similaires grillés et d’autres produits de la boulangerie, de la pâtisserie ou de la biscuiterie</t>
  </si>
  <si>
    <t>10613133</t>
  </si>
  <si>
    <t>Gruaux et semoules de froment (blé) dur</t>
  </si>
  <si>
    <t>10613135</t>
  </si>
  <si>
    <t>Gruaux et semoules de froment (blé) tendre et d’épeautre</t>
  </si>
  <si>
    <t>10613230</t>
  </si>
  <si>
    <t>Gruaux et semoules d’avoine, de maïs, de riz, de seigle, d’orge et d’autres céréales (à l’exclusion du froment {blé})</t>
  </si>
  <si>
    <t>10613240</t>
  </si>
  <si>
    <t>Agglomérés de froment (blé), sous forme de pellets</t>
  </si>
  <si>
    <t>10613250</t>
  </si>
  <si>
    <t>Agglomérés d’avoine, de maïs, de riz, de seigle, d’orge et d’autres céréales (à l’exclusion du froment {blé})</t>
  </si>
  <si>
    <t>10613333</t>
  </si>
  <si>
    <t>Grains de céréales, aplatis, en flocons, mondés, perlés, tranchés ou concassés (à l’exclusion des grains de riz)</t>
  </si>
  <si>
    <t>10613335</t>
  </si>
  <si>
    <t>Germes de céréales, entiers, aplatis, en flocons ou moulus (à l’exclusion des grains de riz)</t>
  </si>
  <si>
    <t>10613351</t>
  </si>
  <si>
    <t>Préparations du type muesli à base de flocons de céréales non grillés</t>
  </si>
  <si>
    <t>10613353</t>
  </si>
  <si>
    <t>Autres préparations alimentaires obtenues par soufflage ou grillage de céréales</t>
  </si>
  <si>
    <t>10613355</t>
  </si>
  <si>
    <t>Céréales en grains, précuites ou autrement préparées (à l’exclusion du maïs)</t>
  </si>
  <si>
    <t>10613356</t>
  </si>
  <si>
    <t>Céréales en grains, précuites ou autrement préparées (à l’exclusion du maïs et des insectes)</t>
  </si>
  <si>
    <t>10614010</t>
  </si>
  <si>
    <t>Sons, remoulages et autres résidus du criblage, de la mouture ou d’autres traitements du maïs</t>
  </si>
  <si>
    <t>10614030</t>
  </si>
  <si>
    <t>Sons, remoulages et autres résidus du criblage, de la mouture ou d’autres traitements du riz</t>
  </si>
  <si>
    <t>10614050</t>
  </si>
  <si>
    <t>Sons, remoulages et autres résidus du criblage, de la mouture ou d’autres traitements du froment (blé)</t>
  </si>
  <si>
    <t>10614090</t>
  </si>
  <si>
    <t>Sons, remoulages et autres résidus du criblage, de la mouture ou d’autres traitements de céréales (à l’exclusion du maïs, du riz et du froment {blé})</t>
  </si>
  <si>
    <t>10621111</t>
  </si>
  <si>
    <t>Amidon de froment (blé)</t>
  </si>
  <si>
    <t>10621113</t>
  </si>
  <si>
    <t>10621150</t>
  </si>
  <si>
    <t>Gluten de froment (blé) (à l’exclusion du gluten de froment préparé en vue de son utilisation comme colle ou comme parement ou apprêt pour l’industrie textile)</t>
  </si>
  <si>
    <t>10621430</t>
  </si>
  <si>
    <t>Huile de maïs brute et ses fractions, non chimiquement modifiées</t>
  </si>
  <si>
    <t>10621460</t>
  </si>
  <si>
    <t>Huiles de maïs raffinées et leurs fractions, non chimiquement modifiées</t>
  </si>
  <si>
    <t>10711100</t>
  </si>
  <si>
    <t>Pain sans addition de miel, d’œufs, de fromage ou de fruits, d’une teneur en sucres et d’une teneur en matières grasses chacune = 5 % en poids sur matière sèche</t>
  </si>
  <si>
    <t>10711200</t>
  </si>
  <si>
    <t>Autres produits de la boulangerie, de la pâtisserie et de la biscuiterie additionnés d’édulcorants</t>
  </si>
  <si>
    <t>10721130</t>
  </si>
  <si>
    <t>Pain croustillant dit «Knäckebrot»</t>
  </si>
  <si>
    <t>10721150</t>
  </si>
  <si>
    <t>Biscottes, pain grillé et produits similaires grillés</t>
  </si>
  <si>
    <t>10721230</t>
  </si>
  <si>
    <t>Pain d’épices et produits similaires</t>
  </si>
  <si>
    <t>10721253</t>
  </si>
  <si>
    <t>Biscuits, gaufres et gaufrettes additionnés d’édulcorants, entièrement ou partiellement enrobés de chocolat ou d’autres préparations contenant du cacao</t>
  </si>
  <si>
    <t>10721255</t>
  </si>
  <si>
    <t>Biscuits additionnés d’édulcorants, y compris les doubles biscuits (à l’exclusion des produits entièrement ou partiellement enrobés ou recouverts de chocolat ou d’autres préparations contenant du cacao)</t>
  </si>
  <si>
    <t>10721257</t>
  </si>
  <si>
    <t>Gaufres et gaufrettes d’une teneur en poids d’eau &gt; 10 % du produit fini (à l’exclusion des cornets pour crème glacée, doubles biscuits et produits similaires)</t>
  </si>
  <si>
    <t>10721259</t>
  </si>
  <si>
    <t>Gaufres et gaufrettes, y compris salées (à l’exclusion des produits entièrement ou partiellement enrobés de chocolat ou d’autres préparations contenant du cacao)</t>
  </si>
  <si>
    <t>10721910</t>
  </si>
  <si>
    <t>Pain azyme (mazoth)</t>
  </si>
  <si>
    <t>10721920</t>
  </si>
  <si>
    <t>Hosties, cachets vides des types utilisés pour médicaments, pains à cacheter, pâtes séchées de farine, d’amidon ou de fécule en feuilles et produits similaires</t>
  </si>
  <si>
    <t>10721940</t>
  </si>
  <si>
    <t>Biscuits (à l’exclusion des produits entièrement ou partiellement enrobés de chocolat ou d’autres préparations contenant du cacao et des biscuits, gaufres et gaufrettes additionnés d’édulcorants)</t>
  </si>
  <si>
    <t>10721950</t>
  </si>
  <si>
    <t>Produits extrudés ou expansés, salés ou aromatisés</t>
  </si>
  <si>
    <t>10721990</t>
  </si>
  <si>
    <t>Autres produits de la boulangerie, de la pâtisserie et de la biscuiterie non additionnés d’édulcorants, y compris les crêpes, quiches et pizzas (à l’exclusion des sandwichs, du pain croustillant dit Knäckebrot, des gaufres, des gaufrettes, du pain grillé, des produits similaires grillés et des produits extrudés ou expansés, salés ou aromatisés)</t>
  </si>
  <si>
    <t>10731130</t>
  </si>
  <si>
    <t>Pâtes alimentaires aux œufs, non cuites ni farcies ni autrement préparées</t>
  </si>
  <si>
    <t>10731150</t>
  </si>
  <si>
    <t>Pâtes alimentaires ne contenant pas d’œufs, non cuites ni farcies ni autrement préparées</t>
  </si>
  <si>
    <t>10731200</t>
  </si>
  <si>
    <t>Couscous</t>
  </si>
  <si>
    <t>10891925</t>
  </si>
  <si>
    <t>Extraits de malt</t>
  </si>
  <si>
    <t>10891930</t>
  </si>
  <si>
    <t>Préparations alimentaires de farines, semoules, amidons, fécules, etc.</t>
  </si>
  <si>
    <t>10891931</t>
  </si>
  <si>
    <t>Préparations alimentaires de farines, semoules, amidons, fécules, etc. (à l’exclusion de yoghourts additionnés d’épices, de café ou d’extraits de café, de plantes, de parties de plantes, de céréales ou de produits de la boulangerie, à base d’insectes)</t>
  </si>
  <si>
    <t>11051000</t>
  </si>
  <si>
    <t>Bière de malt (à l’exclusion des bières non alcoolisées et des bières ayant un titre alcoométrique = 0,5 % vol) (important: hors taxes et accises sur l’alcool)</t>
  </si>
  <si>
    <t>11051010</t>
  </si>
  <si>
    <t>Bières non alcoolisées et bières ayant un titre alcoométrique = 0,5 % vol</t>
  </si>
  <si>
    <t>11052000</t>
  </si>
  <si>
    <t>Drêches et déchets de brasserie ou de distillerie (important: hors taxes et accises sur l’alcool)</t>
  </si>
  <si>
    <t>11061030</t>
  </si>
  <si>
    <t>Malt non torréfié (important: hors taxes et accises sur l’alcool)</t>
  </si>
  <si>
    <t>11061050</t>
  </si>
  <si>
    <t>Malt torréfié (à l’exclusion des produits ayant subi une autre transformation et du malt torréfié utilisé comme substitut du café) (important: hors taxes et accises sur l’alcool)</t>
  </si>
  <si>
    <t>ns</t>
  </si>
  <si>
    <t>Orge de printemps</t>
  </si>
  <si>
    <t>Avoine de printemps</t>
  </si>
  <si>
    <t>Mélange de céréales avec protéagineux</t>
  </si>
  <si>
    <t>Source : SSP - Agreste - Enquête Pratiques culturales en grandes cultures 2021</t>
  </si>
  <si>
    <t>Import</t>
  </si>
  <si>
    <t>Export</t>
  </si>
  <si>
    <t>NC8</t>
  </si>
  <si>
    <t>Filière</t>
  </si>
  <si>
    <t>Produit</t>
  </si>
  <si>
    <t>Matière</t>
  </si>
  <si>
    <t>Semence</t>
  </si>
  <si>
    <t>Grain</t>
  </si>
  <si>
    <t>Grains et semences</t>
  </si>
  <si>
    <t>Riz transformé</t>
  </si>
  <si>
    <t>Fonio</t>
  </si>
  <si>
    <t>Blé tendre (et méteil)</t>
  </si>
  <si>
    <t>Agreste (Récoltes)</t>
  </si>
  <si>
    <t>Douanes (échanges)</t>
  </si>
  <si>
    <t>Riz complet</t>
  </si>
  <si>
    <t>Riz complet étuvé</t>
  </si>
  <si>
    <t>Riz semi-blanchi</t>
  </si>
  <si>
    <t>Riz semi-blanchi, étuvé</t>
  </si>
  <si>
    <t>Riz blanchi, étuvé</t>
  </si>
  <si>
    <t>Riz blanchi</t>
  </si>
  <si>
    <t>Brisures de riz</t>
  </si>
  <si>
    <t>Farine</t>
  </si>
  <si>
    <t>Brasserie</t>
  </si>
  <si>
    <t>Semoules</t>
  </si>
  <si>
    <t>Blé tendre (et épeautre)</t>
  </si>
  <si>
    <t>Semoule</t>
  </si>
  <si>
    <t>Pellets</t>
  </si>
  <si>
    <t>Seigle et orge</t>
  </si>
  <si>
    <t>Blé dur et blé tendre</t>
  </si>
  <si>
    <t>Grains aplatis, flocons</t>
  </si>
  <si>
    <t>Malt</t>
  </si>
  <si>
    <t>Farines</t>
  </si>
  <si>
    <t>Grains aplatis et flocons</t>
  </si>
  <si>
    <t>Amidon</t>
  </si>
  <si>
    <t>Gluten</t>
  </si>
  <si>
    <t>Huile</t>
  </si>
  <si>
    <t>Pâtes</t>
  </si>
  <si>
    <t>Amidon et gluten</t>
  </si>
  <si>
    <t>Huile brute</t>
  </si>
  <si>
    <t>Huile raffinée</t>
  </si>
  <si>
    <t>Grains perlés, mondés, tranchés, concassés, épointés</t>
  </si>
  <si>
    <t>Germes</t>
  </si>
  <si>
    <t>Grains autrement travaillés</t>
  </si>
  <si>
    <t>Bière</t>
  </si>
  <si>
    <t>Bières</t>
  </si>
  <si>
    <t>Orge et blé tendre</t>
  </si>
  <si>
    <t>Sons, remoulages et autres résidus</t>
  </si>
  <si>
    <t>Résidus d'amidonnerie</t>
  </si>
  <si>
    <t>Drêches et déchets de brasserie ou distillerie</t>
  </si>
  <si>
    <t>Tourteaux</t>
  </si>
  <si>
    <t>Drêches et autres résidus</t>
  </si>
  <si>
    <t>Orge et Blé tendre</t>
  </si>
  <si>
    <t>Blé tendre, Pois et Pomme de terre</t>
  </si>
  <si>
    <t>Gluten feed et sons</t>
  </si>
  <si>
    <t>Produits obtenus par soufflage ou grillage</t>
  </si>
  <si>
    <t>Préparations alimentaires</t>
  </si>
  <si>
    <t>Produits cuits</t>
  </si>
  <si>
    <t>Bulgur</t>
  </si>
  <si>
    <t>Riz, précuit</t>
  </si>
  <si>
    <t>Couscous, préparé</t>
  </si>
  <si>
    <t>Pâtes alimentaires</t>
  </si>
  <si>
    <t>Pâtes alimentaires sèches, non préparées</t>
  </si>
  <si>
    <r>
      <t>Blé tendre - Campagne du 1</t>
    </r>
    <r>
      <rPr>
        <b/>
        <vertAlign val="superscript"/>
        <sz val="24"/>
        <color theme="0"/>
        <rFont val="Marianne"/>
        <family val="3"/>
      </rPr>
      <t>er</t>
    </r>
    <r>
      <rPr>
        <b/>
        <sz val="24"/>
        <color theme="0"/>
        <rFont val="Marianne"/>
        <family val="3"/>
      </rPr>
      <t xml:space="preserve"> juillet au 30 juin</t>
    </r>
  </si>
  <si>
    <t>1996/97</t>
  </si>
  <si>
    <t>1997/98</t>
  </si>
  <si>
    <t>1998/99</t>
  </si>
  <si>
    <t>1999/00</t>
  </si>
  <si>
    <t>1 000 t</t>
  </si>
  <si>
    <t>Prov. Mars 25</t>
  </si>
  <si>
    <t>Prév. Mars 25</t>
  </si>
  <si>
    <t xml:space="preserve">2017/18 </t>
  </si>
  <si>
    <t>Données comprises dans le bilan marché</t>
  </si>
  <si>
    <t>Surfaces (1 000 ha) - Source SSP</t>
  </si>
  <si>
    <t>Rendement (q/ha) - Source SSP</t>
  </si>
  <si>
    <t>Production (1 000 t) - Source SSP</t>
  </si>
  <si>
    <t>Estimation stock initial à la ferme*</t>
  </si>
  <si>
    <t>Estimation autoconsommation et autres usages à la ferme*</t>
  </si>
  <si>
    <t>Estimation stock final à la ferme*</t>
  </si>
  <si>
    <t xml:space="preserve">* Estimations sous toutes réserves. </t>
  </si>
  <si>
    <t>BILAN de marché - BLÉ TENDRE</t>
  </si>
  <si>
    <t>RESSOURCES POUR LE MARCHÉ</t>
  </si>
  <si>
    <t>Stock initial sur le marché</t>
  </si>
  <si>
    <t>Collecte (production commercialisée)</t>
  </si>
  <si>
    <t>Importations</t>
  </si>
  <si>
    <t>Ajustement</t>
  </si>
  <si>
    <t>total Ressources pour le marché</t>
  </si>
  <si>
    <t>UTILISATIONS PAR LE MARCHÉ</t>
  </si>
  <si>
    <t>Utilisations humaines et industrielles domestiques</t>
  </si>
  <si>
    <t>Panification</t>
  </si>
  <si>
    <t>Amidonnerie / Glutennerie (+farine à partir de 2010/11)</t>
  </si>
  <si>
    <t xml:space="preserve">Biscotterie, biscuiterie et pâtisserie industrielles </t>
  </si>
  <si>
    <t>Uti. diverses alim. et non alim. / Conditionneurs / Malterie</t>
  </si>
  <si>
    <t>Alcool (y compris biocarburants)</t>
  </si>
  <si>
    <t>sous-total Uti. humaines et industrielles domestiques</t>
  </si>
  <si>
    <t>Autres utilisations domestiques</t>
  </si>
  <si>
    <t>Fabricants d'Aliments du Bétail (FAB)</t>
  </si>
  <si>
    <t>Semences</t>
  </si>
  <si>
    <t>Freintes</t>
  </si>
  <si>
    <t>sous-total Autres utilisations domestiques</t>
  </si>
  <si>
    <t>total Utilisations domestiques par le marché</t>
  </si>
  <si>
    <t>Exportations de grains</t>
  </si>
  <si>
    <t>Union Européenne (évolutif)</t>
  </si>
  <si>
    <t>Pays tiers (évolutif)</t>
  </si>
  <si>
    <t>Départements d'Outre-Mer</t>
  </si>
  <si>
    <t>sous-total Exportations de grains</t>
  </si>
  <si>
    <t>Exportations de farine (en valeur grains)</t>
  </si>
  <si>
    <t xml:space="preserve"> </t>
  </si>
  <si>
    <t xml:space="preserve">Aide Alimentaire </t>
  </si>
  <si>
    <t>sous-total Exportations de farine (val. grains)</t>
  </si>
  <si>
    <t>total Exportations</t>
  </si>
  <si>
    <t>total Utilisations par le marché</t>
  </si>
  <si>
    <t>STOCK FINAL SUR LE MARCHÉ</t>
  </si>
  <si>
    <t>dont stock collecteurs</t>
  </si>
  <si>
    <t>dont stock FAB</t>
  </si>
  <si>
    <t>dont stock meuniers</t>
  </si>
  <si>
    <t>dont stock amidonniers</t>
  </si>
  <si>
    <t>dont stock en silos portuaires</t>
  </si>
  <si>
    <t>dont stock d'intervention</t>
  </si>
  <si>
    <t>Données manquantes</t>
  </si>
  <si>
    <r>
      <t>Orges - Campagne du 1</t>
    </r>
    <r>
      <rPr>
        <b/>
        <vertAlign val="superscript"/>
        <sz val="24"/>
        <color theme="0"/>
        <rFont val="Marianne"/>
        <family val="3"/>
      </rPr>
      <t>er</t>
    </r>
    <r>
      <rPr>
        <b/>
        <sz val="24"/>
        <color theme="0"/>
        <rFont val="Marianne"/>
        <family val="3"/>
      </rPr>
      <t xml:space="preserve"> juillet au 30 juin</t>
    </r>
  </si>
  <si>
    <t>Bilan de marché - Orges</t>
  </si>
  <si>
    <t>Malterie</t>
  </si>
  <si>
    <t>Industries alimentaires</t>
  </si>
  <si>
    <t>Union Européenne (évolutive)</t>
  </si>
  <si>
    <t>Exportations de malt (en valeur grains)</t>
  </si>
  <si>
    <t>Union Européenne</t>
  </si>
  <si>
    <t>Pays tiers</t>
  </si>
  <si>
    <t>sous-total Exportations de malt (val. grains)</t>
  </si>
  <si>
    <t>dont stock malteurs (hors malt)</t>
  </si>
  <si>
    <r>
      <t>Maïs grain - Campagne du 1</t>
    </r>
    <r>
      <rPr>
        <b/>
        <vertAlign val="superscript"/>
        <sz val="24"/>
        <color theme="0"/>
        <rFont val="Marianne"/>
        <family val="3"/>
      </rPr>
      <t>er</t>
    </r>
    <r>
      <rPr>
        <b/>
        <sz val="24"/>
        <color theme="0"/>
        <rFont val="Marianne"/>
        <family val="3"/>
      </rPr>
      <t xml:space="preserve"> juillet au 30 juin</t>
    </r>
  </si>
  <si>
    <t xml:space="preserve">2016/17 </t>
  </si>
  <si>
    <t>Estimation autoconsommation/autres usages à la ferme + Stock ferme</t>
  </si>
  <si>
    <t>BILAN de marché - MAÏS GRAIN</t>
  </si>
  <si>
    <t>Amidonnerie</t>
  </si>
  <si>
    <t>Semoulerie</t>
  </si>
  <si>
    <t>Freintes (estimées à 1% de la collecte)</t>
  </si>
  <si>
    <t xml:space="preserve"> Aide Alimentaire (y compris semoules)</t>
  </si>
  <si>
    <t>sous-total Exportations de semoule et farine (val. grains)</t>
  </si>
  <si>
    <t>dont stock semouliers</t>
  </si>
  <si>
    <r>
      <t>Blé dur - Campagne du 1</t>
    </r>
    <r>
      <rPr>
        <b/>
        <vertAlign val="superscript"/>
        <sz val="24"/>
        <color theme="0"/>
        <rFont val="Marianne"/>
        <family val="3"/>
      </rPr>
      <t>er</t>
    </r>
    <r>
      <rPr>
        <b/>
        <sz val="24"/>
        <color theme="0"/>
        <rFont val="Marianne"/>
        <family val="3"/>
      </rPr>
      <t xml:space="preserve"> juillet au 30 juin</t>
    </r>
  </si>
  <si>
    <t>1990/91</t>
  </si>
  <si>
    <t>1991/92</t>
  </si>
  <si>
    <t>1992/93</t>
  </si>
  <si>
    <t>1993/94</t>
  </si>
  <si>
    <t>1994/95</t>
  </si>
  <si>
    <t>1995/96</t>
  </si>
  <si>
    <t>BILAN de marché - BLÉ DUR</t>
  </si>
  <si>
    <t>Exportations de semoule et farine (en valeur grains)</t>
  </si>
  <si>
    <t>dont stocks d'intervention</t>
  </si>
  <si>
    <t>dont stocks intermédiaires</t>
  </si>
  <si>
    <r>
      <t>Triticale - Campagne du 1</t>
    </r>
    <r>
      <rPr>
        <b/>
        <vertAlign val="superscript"/>
        <sz val="24"/>
        <color theme="0"/>
        <rFont val="Marianne"/>
        <family val="3"/>
      </rPr>
      <t>er</t>
    </r>
    <r>
      <rPr>
        <b/>
        <sz val="24"/>
        <color theme="0"/>
        <rFont val="Marianne"/>
        <family val="3"/>
      </rPr>
      <t xml:space="preserve"> juillet au 30 juin</t>
    </r>
  </si>
  <si>
    <t>BILAN de marché - TRITICALE</t>
  </si>
  <si>
    <t>Utilisations domestiques</t>
  </si>
  <si>
    <r>
      <t>Avoine - Campagne du 1</t>
    </r>
    <r>
      <rPr>
        <b/>
        <vertAlign val="superscript"/>
        <sz val="24"/>
        <color theme="0"/>
        <rFont val="Marianne"/>
        <family val="3"/>
      </rPr>
      <t>er</t>
    </r>
    <r>
      <rPr>
        <b/>
        <sz val="24"/>
        <color theme="0"/>
        <rFont val="Marianne"/>
        <family val="3"/>
      </rPr>
      <t xml:space="preserve"> juillet au 30 juin</t>
    </r>
  </si>
  <si>
    <t>BILAN de marché - AVOINE</t>
  </si>
  <si>
    <r>
      <t>Seigle - Campagne du 1</t>
    </r>
    <r>
      <rPr>
        <b/>
        <vertAlign val="superscript"/>
        <sz val="24"/>
        <color theme="0"/>
        <rFont val="Marianne"/>
        <family val="3"/>
      </rPr>
      <t>er</t>
    </r>
    <r>
      <rPr>
        <b/>
        <sz val="24"/>
        <color theme="0"/>
        <rFont val="Marianne"/>
        <family val="3"/>
      </rPr>
      <t xml:space="preserve"> juillet au 30 juin</t>
    </r>
  </si>
  <si>
    <t>BILAN de marché - SEIGLE</t>
  </si>
  <si>
    <t>Industrie alimentaire (Meunerie)</t>
  </si>
  <si>
    <r>
      <t>Sorgho - Campagne du 1</t>
    </r>
    <r>
      <rPr>
        <b/>
        <vertAlign val="superscript"/>
        <sz val="24"/>
        <color theme="0"/>
        <rFont val="Marianne"/>
        <family val="3"/>
      </rPr>
      <t>er</t>
    </r>
    <r>
      <rPr>
        <b/>
        <sz val="24"/>
        <color theme="0"/>
        <rFont val="Marianne"/>
        <family val="3"/>
      </rPr>
      <t xml:space="preserve"> juillet au 30 juin</t>
    </r>
  </si>
  <si>
    <t>BILAN de marché - SORGHO</t>
  </si>
  <si>
    <r>
      <t>Sarrasin - Campagne du 1</t>
    </r>
    <r>
      <rPr>
        <b/>
        <vertAlign val="superscript"/>
        <sz val="24"/>
        <color theme="0"/>
        <rFont val="Marianne"/>
        <family val="3"/>
      </rPr>
      <t>er</t>
    </r>
    <r>
      <rPr>
        <b/>
        <sz val="24"/>
        <color theme="0"/>
        <rFont val="Marianne"/>
        <family val="3"/>
      </rPr>
      <t xml:space="preserve"> juillet au 30 juin</t>
    </r>
  </si>
  <si>
    <t>BILAN de marché - SARRASIN</t>
  </si>
  <si>
    <t>dont stock meunerie</t>
  </si>
  <si>
    <t>Céréale</t>
  </si>
  <si>
    <t>Récolte</t>
  </si>
  <si>
    <t>Ferme</t>
  </si>
  <si>
    <t>OS</t>
  </si>
  <si>
    <t>Grains récoltés</t>
  </si>
  <si>
    <t>Grains autoconsommés</t>
  </si>
  <si>
    <t>Grains collectés</t>
  </si>
  <si>
    <t>Issues de silo</t>
  </si>
  <si>
    <t>Semences fermières</t>
  </si>
  <si>
    <t>Semences certifiées</t>
  </si>
  <si>
    <t>Stock initial à la ferme</t>
  </si>
  <si>
    <t>Stock final à la ferme</t>
  </si>
  <si>
    <t>Stock final</t>
  </si>
  <si>
    <t>Stock initial</t>
  </si>
  <si>
    <t>Permet de filtrer par céréale.</t>
  </si>
  <si>
    <t>Campagne</t>
  </si>
  <si>
    <t>Production (1 000 t)</t>
  </si>
  <si>
    <t>Amidonnerie / Glutennerie</t>
  </si>
  <si>
    <t>Utilisations alimentaires</t>
  </si>
  <si>
    <t>Distillerie</t>
  </si>
  <si>
    <t>FAB</t>
  </si>
  <si>
    <t>Hors FAB</t>
  </si>
  <si>
    <t>Stock initial collecteurs</t>
  </si>
  <si>
    <t>Stock final collecteurs</t>
  </si>
  <si>
    <t>Meunerie</t>
  </si>
  <si>
    <t>2015-16</t>
  </si>
  <si>
    <t>2019-20</t>
  </si>
  <si>
    <t>2023-24</t>
  </si>
  <si>
    <t>STA-MUL-ONRBAgriSissuesCereales-A22-23</t>
  </si>
  <si>
    <r>
      <t xml:space="preserve">Volumes d'usages </t>
    </r>
    <r>
      <rPr>
        <b/>
        <sz val="9"/>
        <color indexed="9"/>
        <rFont val="Calibri"/>
        <family val="2"/>
      </rPr>
      <t>É</t>
    </r>
    <r>
      <rPr>
        <b/>
        <sz val="9"/>
        <color indexed="9"/>
        <rFont val="Marianne"/>
        <family val="3"/>
      </rPr>
      <t>limination</t>
    </r>
  </si>
  <si>
    <t>Volumes d'usages élimination</t>
  </si>
  <si>
    <t>STA-MUL-ONRBAgriSissuesMais-A22-23</t>
  </si>
  <si>
    <r>
      <t>Collecte</t>
    </r>
    <r>
      <rPr>
        <sz val="8"/>
        <rFont val="Marianne"/>
        <family val="3"/>
      </rPr>
      <t xml:space="preserve"> : FranceAgriMer, Collecte grandes cultures, Visionet, campagne 2022/23</t>
    </r>
  </si>
  <si>
    <r>
      <rPr>
        <u/>
        <sz val="8"/>
        <rFont val="Marianne"/>
        <family val="3"/>
      </rPr>
      <t>Collecte</t>
    </r>
    <r>
      <rPr>
        <sz val="8"/>
        <rFont val="Marianne"/>
        <family val="3"/>
      </rPr>
      <t xml:space="preserve"> : FranceAgriMer, Collecte grandes cultures, </t>
    </r>
    <r>
      <rPr>
        <i/>
        <sz val="8"/>
        <rFont val="Marianne"/>
        <family val="3"/>
      </rPr>
      <t>Visionet</t>
    </r>
    <r>
      <rPr>
        <sz val="8"/>
        <rFont val="Marianne"/>
        <family val="3"/>
      </rPr>
      <t>, campagne 2022/23</t>
    </r>
  </si>
  <si>
    <t>Blé tendre et blé dur</t>
  </si>
  <si>
    <t>Production</t>
  </si>
  <si>
    <t>Céréales (sauf maïs et riz)</t>
  </si>
  <si>
    <t>FAF</t>
  </si>
  <si>
    <t>Litière</t>
  </si>
  <si>
    <t>Compostage</t>
  </si>
  <si>
    <t>Autres biomatériaux</t>
  </si>
  <si>
    <t>Méthanisation</t>
  </si>
  <si>
    <t>Combustion</t>
  </si>
  <si>
    <t>Elimination</t>
  </si>
  <si>
    <t>Blé tendre:Blé dur</t>
  </si>
  <si>
    <t>Direct élevage</t>
  </si>
  <si>
    <t>Epandage</t>
  </si>
  <si>
    <t>Elimination/Pertes</t>
  </si>
  <si>
    <t>Production d'issues de silo</t>
  </si>
  <si>
    <t>Pertes à la ferme</t>
  </si>
  <si>
    <t>Valeur arbitraire</t>
  </si>
  <si>
    <t>Pas de source, valeur arbitraire.</t>
  </si>
  <si>
    <t>V0 puis V1</t>
  </si>
  <si>
    <t>Les pertes à la ferme sont supérieures aux pertes à l'OS.</t>
  </si>
  <si>
    <t>Donnée dans ces anciennes versions</t>
  </si>
  <si>
    <t>Entre 1 et 5 %</t>
  </si>
  <si>
    <t>Esrimation de la part de semences fermières</t>
  </si>
  <si>
    <t>Part de semences fermières par rapport aux semences certifiées</t>
  </si>
  <si>
    <t>Hypothèse : On utilise autant de semences fermières que de semences certifiées.</t>
  </si>
  <si>
    <t>2017, 2021</t>
  </si>
  <si>
    <t>SSP - Agreste - Enquête Pratiques culturales en grandes cultures</t>
  </si>
  <si>
    <t>2015 (=2017)</t>
  </si>
  <si>
    <t>2019 (=moy 2017, 2021)</t>
  </si>
  <si>
    <t>Remarque : On fait l'hypothèse que les semences mélangées contiennent 50 % de semences certifiées et 50 % de semences fermières.</t>
  </si>
  <si>
    <t>Hypothèse 2015 : On utilise autant de semences fermières que de semences certifiées.</t>
  </si>
  <si>
    <t>2023 (=2021)</t>
  </si>
  <si>
    <t>Hypothèse Sorgho : Même répartition que pour le maïs (source ARVALIS).</t>
  </si>
  <si>
    <t>Maïs:Sorgho</t>
  </si>
  <si>
    <t>Part de semences fermières</t>
  </si>
  <si>
    <t>Autres usages (ou usages indéfinis)</t>
  </si>
  <si>
    <t>Ventilation des issues de meunerie</t>
  </si>
  <si>
    <t>Réséda</t>
  </si>
  <si>
    <t>Reseda, 2017</t>
  </si>
  <si>
    <t>Production coproduits de meunerie</t>
  </si>
  <si>
    <t>Sons (sur issues de meunerie)</t>
  </si>
  <si>
    <t>Remoulages (sur issues de meunerie)</t>
  </si>
  <si>
    <t>Farines basses (sur issues de meunerie)</t>
  </si>
  <si>
    <t>Meunerie (hors blé tendre) : mises en œuvre, rendement et ventilation des débouchés des issues</t>
  </si>
  <si>
    <t>t</t>
  </si>
  <si>
    <t>FAM - STA-MUL-ONRBIaaIcMeunerie-C19-20</t>
  </si>
  <si>
    <t>rep:Données et chiffres\Multi-filières\Observatoire de la biomasse\Coproduits IAA\Coproduits des industries céréalières</t>
  </si>
  <si>
    <t>STA-MUL-ONRBIaaIcMeunerie-C19-20</t>
  </si>
  <si>
    <t>Meunerie d'épeautre (sons, remoulage et farines basses) (VTP)</t>
  </si>
  <si>
    <t>Grains mis en œuvre campagne 
2019-2020</t>
  </si>
  <si>
    <t>Coefficient de transformation</t>
  </si>
  <si>
    <t>(*) s.s. = secret statistique</t>
  </si>
  <si>
    <t>Sources :</t>
  </si>
  <si>
    <r>
      <rPr>
        <u/>
        <sz val="9"/>
        <rFont val="Marianne"/>
        <family val="3"/>
      </rPr>
      <t>Grains mis en oeuvre et farine produite</t>
    </r>
    <r>
      <rPr>
        <sz val="9"/>
        <rFont val="Marianne"/>
        <family val="3"/>
      </rPr>
      <t xml:space="preserve"> :</t>
    </r>
    <r>
      <rPr>
        <b/>
        <sz val="9"/>
        <rFont val="Marianne"/>
        <family val="3"/>
      </rPr>
      <t xml:space="preserve"> </t>
    </r>
    <r>
      <rPr>
        <sz val="9"/>
        <rFont val="Marianne"/>
        <family val="3"/>
      </rPr>
      <t>FranceAgriMer, Volumes déclarés mensuellement par les opérateurs, 2020</t>
    </r>
  </si>
  <si>
    <r>
      <rPr>
        <u/>
        <sz val="9"/>
        <rFont val="Marianne"/>
        <family val="3"/>
      </rPr>
      <t>Coefficients de transformation</t>
    </r>
    <r>
      <rPr>
        <sz val="9"/>
        <rFont val="Marianne"/>
        <family val="3"/>
      </rPr>
      <t xml:space="preserve"> : SSP, 2012</t>
    </r>
  </si>
  <si>
    <r>
      <rPr>
        <u/>
        <sz val="9"/>
        <rFont val="Marianne"/>
        <family val="3"/>
      </rPr>
      <t>Détails des coproduits</t>
    </r>
    <r>
      <rPr>
        <sz val="9"/>
        <rFont val="Marianne"/>
        <family val="3"/>
      </rPr>
      <t xml:space="preserve"> :</t>
    </r>
    <r>
      <rPr>
        <b/>
        <sz val="9"/>
        <rFont val="Marianne"/>
        <family val="3"/>
      </rPr>
      <t xml:space="preserve"> </t>
    </r>
    <r>
      <rPr>
        <sz val="9"/>
        <rFont val="Marianne"/>
        <family val="3"/>
      </rPr>
      <t>Enquête sur les "Gisements et valorisations des coproduits des industries agroalimentaires", Reseda pour le compte de l'Institut de l'élevage, FranceAgriMer et Valoria, 2017</t>
    </r>
  </si>
  <si>
    <t>Volume d'usage
Alimentation humaine 
(issues de sons uniquement)</t>
  </si>
  <si>
    <t>Volume d'usage
industrie de la nutrition animale (FAB et petfood)</t>
  </si>
  <si>
    <r>
      <rPr>
        <b/>
        <sz val="9"/>
        <rFont val="Marianne"/>
        <family val="3"/>
      </rPr>
      <t>Source :</t>
    </r>
    <r>
      <rPr>
        <sz val="9"/>
        <rFont val="Marianne"/>
        <family val="3"/>
      </rPr>
      <t xml:space="preserve">  Enquête sur les "Gisements et valorisations des coproduits des industries agroalimentaires", Reseda pour le compte de l'Institut de l'élevage, FranceAgriMer et Valoria, 2017</t>
    </r>
  </si>
  <si>
    <t>FAM - ONRB</t>
  </si>
  <si>
    <t>Refus de nettoyage (sur mises en œuvre)</t>
  </si>
  <si>
    <t>Remarque : On néglige les refus de nettoyage</t>
  </si>
  <si>
    <t>Remoulages</t>
  </si>
  <si>
    <t>Farines basses</t>
  </si>
  <si>
    <t>Issues de meunerie</t>
  </si>
  <si>
    <t>2015-16:2019-20:2023-24</t>
  </si>
  <si>
    <t>ONRB</t>
  </si>
  <si>
    <t>Drèches</t>
  </si>
  <si>
    <t>USIPA</t>
  </si>
  <si>
    <t>WGF + sons</t>
  </si>
  <si>
    <t>FAB (Reseda)</t>
  </si>
  <si>
    <t>FAB (Reseda, ONRB) : un néglige une partie des solubles valorisés en Levurerie</t>
  </si>
  <si>
    <t>CGF + drèches + solubles</t>
  </si>
  <si>
    <t>IAA</t>
  </si>
  <si>
    <t>IAA (USIPA)</t>
  </si>
  <si>
    <t>Autres industries (USIPA)</t>
  </si>
  <si>
    <t>Farine fourragère</t>
  </si>
  <si>
    <t>Farine alimentaire</t>
  </si>
  <si>
    <t>FAB (ONRB)</t>
  </si>
  <si>
    <t>CFSI, Chiffres clés</t>
  </si>
  <si>
    <t>Trituration</t>
  </si>
  <si>
    <t>SIFPAF, Chiffres clés</t>
  </si>
  <si>
    <t>Rendement moyen (ONRB)</t>
  </si>
  <si>
    <t>Fab. pâtes et couscous</t>
  </si>
  <si>
    <t>Utilisation moyenne pour l'industrie des pâtes et couscous (moy CFSI)</t>
  </si>
  <si>
    <t>Ratio couscous/pâtes</t>
  </si>
  <si>
    <t>Wheat gluten feed et sons</t>
  </si>
  <si>
    <t>Corn gluten feed, drèches et solubles</t>
  </si>
  <si>
    <t>Rendement Amidonnerie</t>
  </si>
  <si>
    <t>Débouchés des produits/coproduits</t>
  </si>
  <si>
    <t>Coproduits humides</t>
  </si>
  <si>
    <t>Rendement Semoulerie de maïs</t>
  </si>
  <si>
    <t>Gruau D</t>
  </si>
  <si>
    <t>Sons, remoulages et écarts de nettoyage</t>
  </si>
  <si>
    <t>Pâtes alimentaires sèches non préparées</t>
  </si>
  <si>
    <t>Couscous non préparé</t>
  </si>
  <si>
    <t>Indus. pâtes &amp; couscous</t>
  </si>
  <si>
    <t>Alimentation animale (Réséda)</t>
  </si>
  <si>
    <t>Coproduits semoulerie de blé dur</t>
  </si>
  <si>
    <t>Distillerie : rendement</t>
  </si>
  <si>
    <t>Ethanol</t>
  </si>
  <si>
    <t>Grains et coproduits</t>
  </si>
  <si>
    <t>Drèches et solubles</t>
  </si>
  <si>
    <t>C02</t>
  </si>
  <si>
    <t>CO2</t>
  </si>
  <si>
    <t>Biocarburants</t>
  </si>
  <si>
    <t>Blé tendre:Maïs</t>
  </si>
  <si>
    <t>Echanges (kt)</t>
  </si>
  <si>
    <t>Data extracted on 01/04/2025 17:31:42 from [ESTAT]</t>
  </si>
  <si>
    <t>Commerce UE depuis 1988 par SH2,4,6 et NC8 [ds-045409__custom_16079663]</t>
  </si>
  <si>
    <t>18/03/2025 11:00</t>
  </si>
  <si>
    <t>Monthly</t>
  </si>
  <si>
    <t>2015-07</t>
  </si>
  <si>
    <t>2015-08</t>
  </si>
  <si>
    <t>2015-09</t>
  </si>
  <si>
    <t>2015-10</t>
  </si>
  <si>
    <t>2015-11</t>
  </si>
  <si>
    <t>2015-12</t>
  </si>
  <si>
    <t>2016-01</t>
  </si>
  <si>
    <t>2016-02</t>
  </si>
  <si>
    <t>2016-03</t>
  </si>
  <si>
    <t>2016-04</t>
  </si>
  <si>
    <t>2016-05</t>
  </si>
  <si>
    <t>2016-06</t>
  </si>
  <si>
    <t>2019-07</t>
  </si>
  <si>
    <t>2019-08</t>
  </si>
  <si>
    <t>2019-09</t>
  </si>
  <si>
    <t>2019-10</t>
  </si>
  <si>
    <t>2019-11</t>
  </si>
  <si>
    <t>2019-12</t>
  </si>
  <si>
    <t>2020-01</t>
  </si>
  <si>
    <t>2020-02</t>
  </si>
  <si>
    <t>2020-03</t>
  </si>
  <si>
    <t>2020-04</t>
  </si>
  <si>
    <t>2020-05</t>
  </si>
  <si>
    <t>2020-06</t>
  </si>
  <si>
    <t>2023-07</t>
  </si>
  <si>
    <t>2023-08</t>
  </si>
  <si>
    <t>2023-09</t>
  </si>
  <si>
    <t>2023-10</t>
  </si>
  <si>
    <t>2023-11</t>
  </si>
  <si>
    <t>2023-12</t>
  </si>
  <si>
    <t>2024-01</t>
  </si>
  <si>
    <t>2024-02</t>
  </si>
  <si>
    <t>2024-03</t>
  </si>
  <si>
    <t>2024-04</t>
  </si>
  <si>
    <t>2024-05</t>
  </si>
  <si>
    <t>2024-06</t>
  </si>
  <si>
    <t>FAB (Réséda)</t>
  </si>
  <si>
    <t>Alccol de bouche, industrie chimique et biocarburants</t>
  </si>
  <si>
    <t>Malterie : mises en œuvre, rendement et ventilation des débouchés des co-produits</t>
  </si>
  <si>
    <t>Rapport annuel de l'ONRB, FranceAgriMer, 2016</t>
  </si>
  <si>
    <t>Mises en œuvre de blé tendre, 2014 (kt)</t>
  </si>
  <si>
    <t>rep:Données et chiffres\multi-filières\Observatoire de la biomasse\iaa\coproduits de la malterie</t>
  </si>
  <si>
    <t>STA-MUL-ONRBIAAICMALTERIE-C19-20</t>
  </si>
  <si>
    <r>
      <t>Type de Ressource</t>
    </r>
    <r>
      <rPr>
        <sz val="11"/>
        <color theme="1"/>
        <rFont val="Calibri"/>
        <family val="2"/>
      </rPr>
      <t xml:space="preserve"> : Co-produits des industries céréalières</t>
    </r>
  </si>
  <si>
    <r>
      <t>Ressource</t>
    </r>
    <r>
      <rPr>
        <sz val="11"/>
        <color theme="1"/>
        <rFont val="Calibri"/>
        <family val="2"/>
      </rPr>
      <t xml:space="preserve"> : Coproduits de la malterie d'orge et de blé tendre (orgettes, radicelles, particules d'enveloppes, petits blés)</t>
    </r>
  </si>
  <si>
    <t>Données arrêtées en décembre 2020</t>
  </si>
  <si>
    <t>Disponibilité brute de coproduits de la malterie d'orge et de blé tendre par région</t>
  </si>
  <si>
    <t>Coproduits de la malterie d'orge et de blé tendre (VTP)</t>
  </si>
  <si>
    <t>Résidu n°5 : 
Reste (**)</t>
  </si>
  <si>
    <t>Résidu n°4 : Orgettes</t>
  </si>
  <si>
    <t>Résidu n°3 : Radicelles d'orge</t>
  </si>
  <si>
    <t>Résidu n°2 : Particules d'enveloppes de blé</t>
  </si>
  <si>
    <t>Résidu n°1 : Petits blés</t>
  </si>
  <si>
    <t>Total résidus de la transformation de blé tendre</t>
  </si>
  <si>
    <t>Total résidus de la transformation d'orge</t>
  </si>
  <si>
    <t>Grains de blé tendre mis en œuvre campagne 2019-2020</t>
  </si>
  <si>
    <t>Grains d'orge mis en œuvre campagne 2019-2021</t>
  </si>
  <si>
    <t>Coefficient de transformation (*)</t>
  </si>
  <si>
    <t>tMS
(86% de MS)</t>
  </si>
  <si>
    <t>% des grains 
d'orge 
mis en œuvre</t>
  </si>
  <si>
    <t>tMS 
(89% de MS)</t>
  </si>
  <si>
    <t>tMS 
(88% de MS)</t>
  </si>
  <si>
    <t>% des grains 
de blé
mis en œuvre</t>
  </si>
  <si>
    <t>tMS 
(87,8% de MS)</t>
  </si>
  <si>
    <t>(*) Coefficient de transformation de 1,27 ==&gt; Pour 1 tMB de malt produite, 1,27 tMB de grains a été mise en œuvre.</t>
  </si>
  <si>
    <t>(**) Le résidu n°5 correspond au reste de la matière résiduelle calculée avec le coefficient de transformation. c'est-à-dire en dehors des petits blés, particules d'enveloppes, radicelles et orgettes. En réalité, le total des coproduits (colonne B) est aussi égal à "Total résidus de la transformation de blé tendre" + "Total résidus de la transformation d'orge".</t>
  </si>
  <si>
    <r>
      <rPr>
        <u/>
        <sz val="10"/>
        <rFont val="Arial"/>
        <family val="2"/>
      </rPr>
      <t>Orgettes, radicelles, particules d'enveloppes et petits blés</t>
    </r>
    <r>
      <rPr>
        <sz val="10"/>
        <rFont val="Arial"/>
        <family val="2"/>
      </rPr>
      <t xml:space="preserve"> :  Enquête sur les "Gisements et valorisations des coproduits des industries agroalimentaires" (enquête menée sur l'année 2016 auprès des principaux malteurs industriels français, représentés par Malteurs de France), Reseda pour le compte de l'Institut de l'élevage, FranceAgriMer et Valoria, 2017</t>
    </r>
  </si>
  <si>
    <r>
      <rPr>
        <u/>
        <sz val="10"/>
        <rFont val="Arial"/>
        <family val="2"/>
      </rPr>
      <t>Grains mis en oeuvre</t>
    </r>
    <r>
      <rPr>
        <sz val="10"/>
        <rFont val="Arial"/>
        <family val="2"/>
      </rPr>
      <t xml:space="preserve"> : FranceAgriMer, Volumes déclarés mensuellement par les opérateurs, 2020</t>
    </r>
  </si>
  <si>
    <r>
      <rPr>
        <u/>
        <sz val="10"/>
        <rFont val="Arial"/>
        <family val="2"/>
      </rPr>
      <t>Coefficients de transformation</t>
    </r>
    <r>
      <rPr>
        <sz val="10"/>
        <rFont val="Arial"/>
        <family val="2"/>
      </rPr>
      <t xml:space="preserve"> : SSP, 2012</t>
    </r>
  </si>
  <si>
    <t>Volume d'usage
FAB</t>
  </si>
  <si>
    <t>16,67  %
des orgettes
(tMS)</t>
  </si>
  <si>
    <t>4,76 %
des radicelles
d'orge
(tMS)</t>
  </si>
  <si>
    <t>100 %
des petits blés
(tMS)</t>
  </si>
  <si>
    <t>83,33 %
des orgettes
(tMS)</t>
  </si>
  <si>
    <t>90,24 %
des radicelles
d'orge
(tMS)</t>
  </si>
  <si>
    <t>100 %
des particules d'enveloppe
de blé
(tMS)</t>
  </si>
  <si>
    <t>5  %
des radicelles d'orge
(tMS)</t>
  </si>
  <si>
    <r>
      <rPr>
        <b/>
        <sz val="10"/>
        <rFont val="Arial"/>
        <family val="2"/>
      </rPr>
      <t>Source :</t>
    </r>
    <r>
      <rPr>
        <sz val="10"/>
        <rFont val="Arial"/>
        <family val="2"/>
      </rPr>
      <t xml:space="preserve"> Enquête sur les "Gisements et valorisations des coproduits des industries agroalimentaires" (enquête auprès des principaux malteurs industriels français, représentés par Malteurs de France), Reseda pour le compte de l'Institut de l'élevage, FranceAgriMer et Valoria, 2017</t>
    </r>
  </si>
  <si>
    <t>Grains de blé tendre mis en œuvre campagne 2022-2023</t>
  </si>
  <si>
    <t>VU0103- Fabrication à la ferme d'aliments pour animaux de rente  - FAF</t>
  </si>
  <si>
    <t>VU0401- Chimie biosourcée
(matières premières industries 
de la panification et pharmaceutiques)</t>
  </si>
  <si>
    <t>2014, 2019/20, 2022/23</t>
  </si>
  <si>
    <t>Utilisation de la donnée 2014</t>
  </si>
  <si>
    <t>Radicelles</t>
  </si>
  <si>
    <t>Orgettes</t>
  </si>
  <si>
    <t>Particules d'enveloppes</t>
  </si>
  <si>
    <t>Petits blés</t>
  </si>
  <si>
    <t>Autres résidus</t>
  </si>
  <si>
    <t>Rendement Malterie</t>
  </si>
  <si>
    <t>Blé tendre:Orge</t>
  </si>
  <si>
    <t>La part de particules d'enveloppes produites à partir des grains mis en œuvre semblait trop élevée par rapport au rendement du process : cette part a donc été attribuée à la part dans les coproduits</t>
  </si>
  <si>
    <t>Débouchés des coproduits</t>
  </si>
  <si>
    <t>Brasserie : production des co-produits et leurs débouchés</t>
  </si>
  <si>
    <t>Réséda, 2017</t>
  </si>
  <si>
    <t>Production des coproduits de la brasserie, 2016 (kt)</t>
  </si>
  <si>
    <t>Levures</t>
  </si>
  <si>
    <t>Kieselguhr</t>
  </si>
  <si>
    <t>Ecarts de production</t>
  </si>
  <si>
    <t>Débouchés des levures, 2016 (kt)</t>
  </si>
  <si>
    <t>Alimentation animale rente (hors FAB)</t>
  </si>
  <si>
    <t>rep:Données et chiffres\multi-filières\Observatoire de la biomasse\iaa\coproduits de la brasserie</t>
  </si>
  <si>
    <t>STA-MUL-ONRBIaaBrasserieDreches-A16</t>
  </si>
  <si>
    <r>
      <t>Type de Ressource</t>
    </r>
    <r>
      <rPr>
        <sz val="11"/>
        <color theme="1"/>
        <rFont val="Calibri"/>
        <family val="2"/>
      </rPr>
      <t xml:space="preserve"> : Coproduits de brasserie - drêches</t>
    </r>
  </si>
  <si>
    <r>
      <t>Ressource</t>
    </r>
    <r>
      <rPr>
        <sz val="11"/>
        <color theme="1"/>
        <rFont val="Calibri"/>
        <family val="2"/>
      </rPr>
      <t xml:space="preserve"> : Coproduits de brasserie - drêches</t>
    </r>
  </si>
  <si>
    <t xml:space="preserve">Volume d'usage
Alimentation animale directe -FAF </t>
  </si>
  <si>
    <t xml:space="preserve">Volume d'usage
Alimentation animale industrielle (animaux de rente) - FAB </t>
  </si>
  <si>
    <t>Volume d'usage
Agronomique
(Compostage)</t>
  </si>
  <si>
    <t>Volume d'usage
Énergie
(Méthanisation)</t>
  </si>
  <si>
    <r>
      <rPr>
        <b/>
        <sz val="10"/>
        <rFont val="Arial"/>
        <family val="2"/>
      </rPr>
      <t>Source :</t>
    </r>
    <r>
      <rPr>
        <sz val="10"/>
        <rFont val="Arial"/>
        <family val="2"/>
      </rPr>
      <t xml:space="preserve"> Enquête 2016 sur les "Gisements et valorisations des coproduits des industries agroalimentaires" Reseda pour le compte de l'Institut de l'élevage, FranceAgriMer et Valoria, 2017</t>
    </r>
  </si>
  <si>
    <t>On néglige les écarts de production car ils sont très faibles</t>
  </si>
  <si>
    <t>Bière de malt</t>
  </si>
  <si>
    <t>Compostage (Réséda)</t>
  </si>
  <si>
    <t>Réséda, FAM - ONRB, Intercéréales</t>
  </si>
  <si>
    <t>Source : Intercéréales, Des chiffres et des céréales</t>
  </si>
  <si>
    <t>Eau</t>
  </si>
  <si>
    <t>Houblon</t>
  </si>
  <si>
    <t>kg de MP</t>
  </si>
  <si>
    <t>pour 1 kg de bière</t>
  </si>
  <si>
    <t>Levure</t>
  </si>
  <si>
    <t>Les levures consommées sont ensuites récupérées puis valorisées (Réséda)</t>
  </si>
  <si>
    <t>Eau - MP</t>
  </si>
  <si>
    <t>Levures - CP</t>
  </si>
  <si>
    <t>Levures - MP</t>
  </si>
  <si>
    <t>Eau - CP</t>
  </si>
  <si>
    <t>Données bilans FAM</t>
  </si>
  <si>
    <t>Echanges de grains collectés</t>
  </si>
  <si>
    <t>Echanges de farine</t>
  </si>
  <si>
    <t>Echanges de semoule</t>
  </si>
  <si>
    <t>Echanges de malt</t>
  </si>
  <si>
    <t>Echanges d'amidon et gluten</t>
  </si>
  <si>
    <t>Echanges d'huile</t>
  </si>
  <si>
    <t>Echanges de pâtes et couscous</t>
  </si>
  <si>
    <t>Echanges de bière</t>
  </si>
  <si>
    <t>Echanges de coproduits</t>
  </si>
  <si>
    <t>Coproduit</t>
  </si>
  <si>
    <t>Agreste (citée dans la revue "Des chiffres et des céréales" publiée par Intercéréales)</t>
  </si>
  <si>
    <t>Production (kt)</t>
  </si>
  <si>
    <t>Bioéthanol carburant</t>
  </si>
  <si>
    <t>Source : Fiche bioéthanol (2025), FAM</t>
  </si>
  <si>
    <t>Remarque : Les résultats semblent supérieurs ou égaux aux productions d'éthanol de blé et de maïs.</t>
  </si>
  <si>
    <t>Hypothèse : Les débouchés des éthanols de blé tendre et maïs sont à 100 % en biocarburants pour toutes les années (puisque la production de bioéthanol carburant est stable depuis 2010).</t>
  </si>
  <si>
    <t>La production de bioéthanol carburant étant supérieure ou égale à la production d'éthanol, toute la production est considérée comme du biocarburant.</t>
  </si>
  <si>
    <t>Débouchés semoule de maïs</t>
  </si>
  <si>
    <t>Indus. pâtes et couscous</t>
  </si>
  <si>
    <t>Alcool de bouche et industrie chimique</t>
  </si>
  <si>
    <t>2019-2022</t>
  </si>
  <si>
    <t>Source : Intercéréales (Nataïs)</t>
  </si>
  <si>
    <t>Surfaces de maïs à éclater (ha)</t>
  </si>
  <si>
    <t>Production de maïs à éclater (kt)</t>
  </si>
  <si>
    <t>Rendement de popcorn (t/ha)</t>
  </si>
  <si>
    <t>Estimations</t>
  </si>
  <si>
    <t>Production de popcorn</t>
  </si>
  <si>
    <t>Production de popcorn (kt)</t>
  </si>
  <si>
    <t>Source : https://www.reussir.fr/ladepeche/le-mais-popcorn-le-vent-en-poupe-0</t>
  </si>
  <si>
    <t>Source : Intercéréales</t>
  </si>
  <si>
    <t>Popcorn</t>
  </si>
  <si>
    <t>Eau - CP2</t>
  </si>
  <si>
    <t>Indus. popcorn</t>
  </si>
  <si>
    <t>hypothèse : mêmes productions qu'en 2019-20</t>
  </si>
  <si>
    <t>2015-16:2019-20</t>
  </si>
  <si>
    <t>Pas de fabrication de popcorn pour les autres filières</t>
  </si>
  <si>
    <t>Mises en œuvre de maïs à éclater</t>
  </si>
  <si>
    <t>Echanges de popcorn</t>
  </si>
  <si>
    <t>La semoulerie de blé dur ne produit pas les coproduits issus de la semoulerie de maïs</t>
  </si>
  <si>
    <t>Les pâtes et le coucous ne sont pas produits à partir de semoule de maïs</t>
  </si>
  <si>
    <t>Pas d'échanges de gluten hors blé tendre</t>
  </si>
  <si>
    <t>Pas d'échanges d'amidon hors blé tendre et maïs</t>
  </si>
  <si>
    <t>Pas d'échanges de corn gluten feed hors maïs</t>
  </si>
  <si>
    <t>Ecart statistique</t>
  </si>
  <si>
    <t>Ecart stat observé sur le blé dur pour les 3 campagnes</t>
  </si>
  <si>
    <t>Ecart stat observé sur le blé dur pour 2019-20</t>
  </si>
  <si>
    <t>2015-16:2023-24</t>
  </si>
  <si>
    <t>Ecart stat observé sur le sarrasin pour 2023-24</t>
  </si>
  <si>
    <t>La contrainte sur le sarrasin a été retirée car pas d'autoconsommation à la ferme en 2023-24</t>
  </si>
  <si>
    <t>Volume</t>
  </si>
  <si>
    <t>-</t>
  </si>
  <si>
    <t>Usinage du riz : rendement, qualification des co-produits et leurs débouchés</t>
  </si>
  <si>
    <t>rep:Données et chiffres\Multi-filières\Observatoire de la biomasse\Coproduits IAA\Coproduits industrie rizière</t>
  </si>
  <si>
    <t>Production 
de déchets d'usinage 
(VTP)</t>
  </si>
  <si>
    <t>Rendement d'usinage</t>
  </si>
  <si>
    <t>Collecte de riz paddy</t>
  </si>
  <si>
    <t>(*) nd = données non disponibles</t>
  </si>
  <si>
    <t>VU0101- Alimentation humaine</t>
  </si>
  <si>
    <t>VU0102- Fabrication industrielle d'aliments pour animaux de rente - FAB</t>
  </si>
  <si>
    <t>VU0205-Épandage</t>
  </si>
  <si>
    <t>VU0501-Méthanisation</t>
  </si>
  <si>
    <t>Source : Syndicat de la rizerie française</t>
  </si>
  <si>
    <t>NB : les usages divers sont supposés concerner la globalité des déchets d'usinage.</t>
  </si>
  <si>
    <t xml:space="preserve">Arbitrairement, la part de chacun des 4 types d'usage (alimentation humaine, alimentation animale, agronomie, énergie) est considérée équivalente (soit 25%) </t>
  </si>
  <si>
    <t>Syndicat de la Rizerie Française</t>
  </si>
  <si>
    <t>Page web</t>
  </si>
  <si>
    <t>https://www.leriz.fr/la-filiere/le-raffinage-du-riz/</t>
  </si>
  <si>
    <t>Récolte (Agreste)</t>
  </si>
  <si>
    <t>Collecte (FAM)</t>
  </si>
  <si>
    <t>Stock initial (FAM)</t>
  </si>
  <si>
    <t>Stock final (FAM)</t>
  </si>
  <si>
    <t>Semences certifiées (FAM)</t>
  </si>
  <si>
    <t>STA-MUL-ONRBBLaaRizUsinage-A22</t>
  </si>
  <si>
    <t>FAM - STA-MUL-ONRBBLaaRizUsinage-A22, Syndicat de la Rizerie Française</t>
  </si>
  <si>
    <t xml:space="preserve">Source : Agreste "Bilan d’approvisionnement agroalimentaire 2021-2022"  (campagne 2021-2022 du 1er septembre au 31 août) </t>
  </si>
  <si>
    <t>paddy</t>
  </si>
  <si>
    <t>décortiqué</t>
  </si>
  <si>
    <t>balles</t>
  </si>
  <si>
    <t>Usiné</t>
  </si>
  <si>
    <t>usiné</t>
  </si>
  <si>
    <t>usiné + brisures</t>
  </si>
  <si>
    <t>son</t>
  </si>
  <si>
    <t>x*11%+x</t>
  </si>
  <si>
    <t>brisures</t>
  </si>
  <si>
    <t>Hyp : pas d'autoconsommation, tout est collecté</t>
  </si>
  <si>
    <t>Imports</t>
  </si>
  <si>
    <t>Exports</t>
  </si>
  <si>
    <t>Pertes</t>
  </si>
  <si>
    <t>Décorticage</t>
  </si>
  <si>
    <t>reste</t>
  </si>
  <si>
    <t>Usinage</t>
  </si>
  <si>
    <t>calcul auto pertes à l'OS</t>
  </si>
  <si>
    <t>Prod usinage</t>
  </si>
  <si>
    <t>Rendement de 80 %</t>
  </si>
  <si>
    <t>Conso humaine</t>
  </si>
  <si>
    <t>Riz paddy</t>
  </si>
  <si>
    <t>Riz décortiqué</t>
  </si>
  <si>
    <t>Riz usiné</t>
  </si>
  <si>
    <t>Prod décorticage</t>
  </si>
  <si>
    <t>Stockage</t>
  </si>
  <si>
    <t>Balles de riz</t>
  </si>
  <si>
    <t>Sons de riz</t>
  </si>
  <si>
    <t>Les autres céréales ne subissent pas ces transformations</t>
  </si>
  <si>
    <t>Blé tendre:Maïs:Orge:Blé dur:Triticale:Sorgho:Avoine:Seigle:Sarrasin</t>
  </si>
  <si>
    <t>Paddy</t>
  </si>
  <si>
    <t>Décortiqué</t>
  </si>
  <si>
    <t>MP</t>
  </si>
  <si>
    <t>Rendement de 60 % pour paddy et 70 % pour décortiqué</t>
  </si>
  <si>
    <t>Balles</t>
  </si>
  <si>
    <t>Sons</t>
  </si>
  <si>
    <t>Brisures</t>
  </si>
  <si>
    <t>Rendement décorticage riz paddy</t>
  </si>
  <si>
    <t>Rendement usinage riz paddy</t>
  </si>
  <si>
    <t>Rendement usinage riz décortiqué</t>
  </si>
  <si>
    <t>Débouchés des balles de riz</t>
  </si>
  <si>
    <t>Débouchés des sons de riz</t>
  </si>
  <si>
    <t>Echanges de produits et coproduits de riz</t>
  </si>
  <si>
    <t>Source : Syndicat des Riziculteurs de France et Filière</t>
  </si>
  <si>
    <t>Bilan matière sur le riz paddy : pas d'autres usages que le décorticage et l'usinage</t>
  </si>
  <si>
    <t>Usinage - Riz paddy</t>
  </si>
  <si>
    <t>Usinage - Riz décortiqué</t>
  </si>
  <si>
    <t>Seigle, Sarrasin</t>
  </si>
  <si>
    <t>Historique de l'activité nationale des meuniers et des négociants de farine en blé tendre par campagne à fin janvier 2025</t>
  </si>
  <si>
    <t>Données arrêtées au 27/02/2025</t>
  </si>
  <si>
    <t>Stock
début
grains</t>
  </si>
  <si>
    <t>Entrées
marché
intérieur</t>
  </si>
  <si>
    <t>Excédents</t>
  </si>
  <si>
    <t>Total des
entrées</t>
  </si>
  <si>
    <t>Grains
mis en
oeuvre</t>
  </si>
  <si>
    <t>Freintes
grains</t>
  </si>
  <si>
    <t>Total
sorties</t>
  </si>
  <si>
    <t>Stock
fin
grains</t>
  </si>
  <si>
    <t>Stock
début
farine</t>
  </si>
  <si>
    <t>Farine
produite
pure</t>
  </si>
  <si>
    <t>Incorporations</t>
  </si>
  <si>
    <t>Achats
de
farine</t>
  </si>
  <si>
    <t>Reprises</t>
  </si>
  <si>
    <t>Total
production
de farine
(2)</t>
  </si>
  <si>
    <t>Boulangerie
artisanale</t>
  </si>
  <si>
    <t>Boulangerie
industrielle</t>
  </si>
  <si>
    <t>Labo
boulangerie
grande
surface</t>
  </si>
  <si>
    <t>Secteur
public</t>
  </si>
  <si>
    <t>Total
panification</t>
  </si>
  <si>
    <t>Conditionneurs
en sachets</t>
  </si>
  <si>
    <t>Ventes
de
sachets</t>
  </si>
  <si>
    <t>Total
sachets</t>
  </si>
  <si>
    <t>Industries
utilisatrices
alimentaires</t>
  </si>
  <si>
    <t>Utilisations
diverses
alimentaires</t>
  </si>
  <si>
    <t>Fabricants
de mixes</t>
  </si>
  <si>
    <t>Fabrication
de mixes</t>
  </si>
  <si>
    <t>Total
mixes</t>
  </si>
  <si>
    <t>Négociants
en farine</t>
  </si>
  <si>
    <t>Amidonnerie
glutennerie</t>
  </si>
  <si>
    <t>Alimentation
Animale</t>
  </si>
  <si>
    <t>Total
utilisation
marché
intérieur</t>
  </si>
  <si>
    <t>Livraisons
UE et
exportations
pays tiers</t>
  </si>
  <si>
    <t>Ventes à
exportateurs</t>
  </si>
  <si>
    <t>Farine
exportée
après
transformation</t>
  </si>
  <si>
    <t>Total
exportations
en farine</t>
  </si>
  <si>
    <t>Cessions
à moulin</t>
  </si>
  <si>
    <t>Total
sorties
en farine
(1)</t>
  </si>
  <si>
    <t>Stock
fin
farine</t>
  </si>
  <si>
    <t>(1) Total sorties en farine: comprend pertes et freintes</t>
  </si>
  <si>
    <t>(2) Production de farine : farine pure, incorporations, achats de farine et reprises</t>
  </si>
  <si>
    <t>chiffres provisoires (y compris bio) arrêtés au  27/02/2025</t>
  </si>
  <si>
    <t>Source : FranceAgriMer /ETAT-8 Moulins et ETAT-8N Négociants</t>
  </si>
  <si>
    <t>Historique mensuel de l'activité nationale des meuniers et des négociants de farine à fin janvier 2025</t>
  </si>
  <si>
    <t>blé tendre, épeautre, seigle, sarrazin</t>
  </si>
  <si>
    <t>Date</t>
  </si>
  <si>
    <t>Mois</t>
  </si>
  <si>
    <t>Total production de farine</t>
  </si>
  <si>
    <t>Grains mis en oeuvre</t>
  </si>
  <si>
    <t>Sarrazin</t>
  </si>
  <si>
    <t>Mises en œuvre de grains</t>
  </si>
  <si>
    <t>Production de farine</t>
  </si>
  <si>
    <t>Pas de production de farine pour les autres céréales</t>
  </si>
  <si>
    <t>Ventilation des coproduits de meunerie et leurs débouchés</t>
  </si>
  <si>
    <t>Boulangerie-pâtisserie</t>
  </si>
  <si>
    <t>GMS ?</t>
  </si>
  <si>
    <t>?</t>
  </si>
  <si>
    <t>Boulangerie-Pâtisserie artisanale</t>
  </si>
  <si>
    <t>Pas de farine en amidonnerie pour les autres céréales</t>
  </si>
  <si>
    <t>Etiquettes de flux pour flux agrégés</t>
  </si>
  <si>
    <t>Bilans par campagne - FranceAgriMer</t>
  </si>
  <si>
    <t>Autoconsommation à la ferme</t>
  </si>
  <si>
    <t>Production de semences certifiées</t>
  </si>
  <si>
    <t>Débouchés d'issues de silo</t>
  </si>
  <si>
    <t>Consommation de grains par l'Amidonnerie</t>
  </si>
  <si>
    <t>Consommation de grains par la Distillerie</t>
  </si>
  <si>
    <t>Consommation de grains par la Malterie</t>
  </si>
  <si>
    <t>Consommation de grains par les autres IAA</t>
  </si>
  <si>
    <t>Consommation de grains par la Semoulerie</t>
  </si>
  <si>
    <t>Consommation de grains par les FAB</t>
  </si>
  <si>
    <t>Type de donnée collectée</t>
  </si>
  <si>
    <t>Ratio d'issues de silo</t>
  </si>
  <si>
    <t>Part d'issues de silo consommées par les FAF</t>
  </si>
  <si>
    <t>Part d'issues de silo consommées comme autres biomatériaux</t>
  </si>
  <si>
    <t>Part d'issues de silo consommées comme litière</t>
  </si>
  <si>
    <t>Part d'issues de silo consommées en méthanisation</t>
  </si>
  <si>
    <t>Part d'issues de silo compostées</t>
  </si>
  <si>
    <t>Part d'issues de silo brûlées</t>
  </si>
  <si>
    <t>Part d'issues de silo éliminées</t>
  </si>
  <si>
    <t>Onglet fichier Excel</t>
  </si>
  <si>
    <t>Consommation de grains par la Meunerie</t>
  </si>
  <si>
    <t>Etats 8 - FranceAgriMer</t>
  </si>
  <si>
    <t>Consommation de farine par la Boulangerie artisanale</t>
  </si>
  <si>
    <t>Consommation de farine par les GMS</t>
  </si>
  <si>
    <t>Consommation de farine par la RHD</t>
  </si>
  <si>
    <t>Consommation de farine par les autres IAA</t>
  </si>
  <si>
    <t>Consommation de farine par l'Amidonnerie</t>
  </si>
  <si>
    <t>Consommation de farine pour l'alimentation animale</t>
  </si>
  <si>
    <t>Consommation de grains par l'industrie du popcorn</t>
  </si>
  <si>
    <t>Chiffres clés - Nataïs</t>
  </si>
  <si>
    <t>Importation de grains</t>
  </si>
  <si>
    <t>Exportation de grains</t>
  </si>
  <si>
    <t>Douanes françaises - Eurostat</t>
  </si>
  <si>
    <t>Bilans d'approvisionnement agroalimentaire - SSP</t>
  </si>
  <si>
    <t>Consommation de grains par le Décorticage</t>
  </si>
  <si>
    <t>Consommation de riz décortiqué en alimentation humaine</t>
  </si>
  <si>
    <t>Statistique Agricole Annuelle - SSP</t>
  </si>
  <si>
    <t>Enquête Pratiques culturales en grandes cultures - SSP</t>
  </si>
  <si>
    <t>Part de semences fermières (par rapport aux semences certifiées)</t>
  </si>
  <si>
    <t>Part de sons dans les issues de meuneurie</t>
  </si>
  <si>
    <t>Part de remoulages dans les issues de meuneurie</t>
  </si>
  <si>
    <t>Part de farines basses dans les issues de meuneurie</t>
  </si>
  <si>
    <t>Part d'issues de meunerie consommées par les autres IAA</t>
  </si>
  <si>
    <t>Gisements et valorisations des coproduits des industries agroalimentaires - Réséda</t>
  </si>
  <si>
    <t>ONRB - FranceAgriMer</t>
  </si>
  <si>
    <t>Rendement en amidon de l'Amidonnerie</t>
  </si>
  <si>
    <t>Rendement en gluten de l'Amidonnerie</t>
  </si>
  <si>
    <t>Rendement en Wheat gluten feed et sons de l'Amidonnerie</t>
  </si>
  <si>
    <t>Rendement en corn gluten feed, drèches et solubles de l'Amidonnerie</t>
  </si>
  <si>
    <t>Rendement en huile de l'Amidonnerie</t>
  </si>
  <si>
    <t>Rendement tourteaux de l'Amidonnerie</t>
  </si>
  <si>
    <t>Part de consommation d'amidon par les autres IAA</t>
  </si>
  <si>
    <t>Part de consommation d'amidon par les autres industries</t>
  </si>
  <si>
    <t>Part de consommation de gluten par les autres IAA</t>
  </si>
  <si>
    <t>Part de consommation de gluten par les FAB</t>
  </si>
  <si>
    <t>Chiffres clés - USIPA</t>
  </si>
  <si>
    <t>Les échanges de bière de blé tendre sont négligés</t>
  </si>
  <si>
    <t>Pas d'autoconsommation à la ferme</t>
  </si>
  <si>
    <t>Incohérence données collectées</t>
  </si>
  <si>
    <t>#FF0000</t>
  </si>
  <si>
    <t>Les pertes à la fermes sont de 3% (supérieures à celles des OS)</t>
  </si>
  <si>
    <t>Autant de semences certifiées que de semences fermières.</t>
  </si>
  <si>
    <t>Le mélange de semences contient 50 % de certifiées et 50 % de fermières. Utilisation de la donnée 2017. Même répartition pour le sorgho que pour le maïs (ARVALIS).</t>
  </si>
  <si>
    <t>Le mélange de semences contient 50 % de certifiées et 50 % de fermières. Utilisation de la moyenne entre 2017 et 2021. Même répartition pour le sorgho que pour le maïs (ARVALIS).</t>
  </si>
  <si>
    <t>Le mélange de semences contient 50 % de certifiées et 50 % de fermières. Utilisation de la donnée 2021. Même répartition pour le sorgho que pour le maïs (ARVALIS).</t>
  </si>
  <si>
    <t>Le mélange de semences contient 50 % de certifiées et 50 % de fermières. Utilisation de la donnée 2017.</t>
  </si>
  <si>
    <t>Le mélange de semences contient 50 % de certifiées et 50 % de fermières. Utilisation de la moyenne entre 2017 et 2021.</t>
  </si>
  <si>
    <t>Le mélange de semences contient 50 % de certifiées et 50 % de fermières. Utilisation de la donnée 2021.</t>
  </si>
  <si>
    <t>Même rendement de transformation à partir de farine qu'à partir de grains (alors qu'en réalité le rendement devrait être un peu meilleur car les sons ont déjà été séparés des grains)</t>
  </si>
  <si>
    <t>CRC Normandie - Tereos</t>
  </si>
  <si>
    <t>Rendement en semoule de maïs de la Semoulerie</t>
  </si>
  <si>
    <t>Rendement en farine alimentaire de la Semoulerie</t>
  </si>
  <si>
    <t>Rendement en farine fourragère de la Semoulerie</t>
  </si>
  <si>
    <t>Rendement en huile de la Semoulerie</t>
  </si>
  <si>
    <t>Rendement en tourteaux de la Semoulerie</t>
  </si>
  <si>
    <t>Bilan d'approvisionnement agroalimentaire - SSP</t>
  </si>
  <si>
    <t>Rendement en semoule de blé dur de la Semoulerie</t>
  </si>
  <si>
    <t>Part de semoule de blé dur consommée par l'industrie des pâtes et couscous</t>
  </si>
  <si>
    <t>Chiffres clé - CFSI</t>
  </si>
  <si>
    <t>Part de gruau D dans les coproduits de semoulerie</t>
  </si>
  <si>
    <t>Part de sons, remoulages et écarts dans les coproduits de semoulerie</t>
  </si>
  <si>
    <t>Part de production de couscous (par rapport aux pâtes)</t>
  </si>
  <si>
    <t>Chiffres clés - SIFPAF</t>
  </si>
  <si>
    <t>Rendement en coproduits humides de l'industrie des pâtes et couscous</t>
  </si>
  <si>
    <t>Rendement en drèches et solubles de la Distillerie</t>
  </si>
  <si>
    <t>Rendement en éthanol de la Distillerie</t>
  </si>
  <si>
    <t>Rendement en CO2 de la Distillerie</t>
  </si>
  <si>
    <t>Des chiffres et des céréales - Intercéréales</t>
  </si>
  <si>
    <t>Part d'éthanol consommée pour un usage alimentaire</t>
  </si>
  <si>
    <t>Part d'éthanol consommée par les autres industries</t>
  </si>
  <si>
    <t>Fiche bioéthanol - FranceAgriMer</t>
  </si>
  <si>
    <t>Rendement en malt de la Malterie</t>
  </si>
  <si>
    <t>Rendement en radicelles de la Malterie</t>
  </si>
  <si>
    <t>Rendement en orgettes de la Malterie</t>
  </si>
  <si>
    <t>Rendement en particules d'enveloppes de la Malterie</t>
  </si>
  <si>
    <t>Rendement en petits blés de la Malterie</t>
  </si>
  <si>
    <t>Rendement en autres résidus de blé tendre de la Malterie</t>
  </si>
  <si>
    <t>Rendement en autres résidus d'orge de la Malterie</t>
  </si>
  <si>
    <t>Part de radicelles consommée par les FAF</t>
  </si>
  <si>
    <t>Part de radicelles consommée par les FAB</t>
  </si>
  <si>
    <t>Part de radicelles consommée par les autres industries</t>
  </si>
  <si>
    <t>Part d'orgettes consommée par les FAF</t>
  </si>
  <si>
    <t>Part d'orgettes consommée par les FAB</t>
  </si>
  <si>
    <t>Rendement en bière de la Brasserie</t>
  </si>
  <si>
    <t>Approvisionnement en eau de la Brasserie</t>
  </si>
  <si>
    <t>Approvisionnement levures de la Brasserie</t>
  </si>
  <si>
    <t>Approvisionnement en houblon de la Brasserie</t>
  </si>
  <si>
    <t>Part de levures produites (par rapport à la bière)</t>
  </si>
  <si>
    <t>Part de drèches produites (par rapport à la bière)</t>
  </si>
  <si>
    <t>Part de kieselghur produit (par rapport à la bière)</t>
  </si>
  <si>
    <t>Part de consommation de levures en direct élevage</t>
  </si>
  <si>
    <t>Part de consommation de levures par les FAB</t>
  </si>
  <si>
    <t>Part de consommation des drèches par les FAF</t>
  </si>
  <si>
    <t>Part de consommation des drèches par les FAB</t>
  </si>
  <si>
    <t>Part de consommation des drèches en compostage</t>
  </si>
  <si>
    <t>Part de consommation des drèches en méthanisation</t>
  </si>
  <si>
    <t>Rendement en riz décortiqué du Décorticage</t>
  </si>
  <si>
    <t>Rendement en balles de riz du Décorticage</t>
  </si>
  <si>
    <t>Rendement en riz usiné de l'Usinage de riz paddy</t>
  </si>
  <si>
    <t>Rendement en balles de riz de l'Usinage de riz paddy</t>
  </si>
  <si>
    <t>Rendement en sons de riz de l'Usinage de riz paddy</t>
  </si>
  <si>
    <t>Rendement en brisures de riz de l'Usinage de riz paddy</t>
  </si>
  <si>
    <t>Rendement en riz usiné de l'Usinage de riz décortiqué</t>
  </si>
  <si>
    <t>Rendement en sons de riz de l'Usinage de riz décortiqué</t>
  </si>
  <si>
    <t>Rendement en brisures de riz de l'Usinage de riz décortiqué</t>
  </si>
  <si>
    <t>Part de balles de riz consommée en alimentation humaine</t>
  </si>
  <si>
    <t>Part de balles de riz consommée par les FAB</t>
  </si>
  <si>
    <t>Part de balles de riz consommée en Méthanisation</t>
  </si>
  <si>
    <t>Part de sons consommée en alimentation humaine</t>
  </si>
  <si>
    <t>Part de sons consommée par les FAB</t>
  </si>
  <si>
    <t>Part de sons épandue</t>
  </si>
  <si>
    <t>Part de balles de riz épandue</t>
  </si>
  <si>
    <t>Part de sons consommée en Méthanisation</t>
  </si>
  <si>
    <t>Utilisation de la donnée 2022-23</t>
  </si>
  <si>
    <t>Utilisation de la donnée 2019-20</t>
  </si>
  <si>
    <t>Utilisation de la donnée 2019-20 pour les 3 campagnes</t>
  </si>
  <si>
    <t>Répartition</t>
  </si>
  <si>
    <t>Rendement, répartition ou volume d'échange collecté</t>
  </si>
  <si>
    <t>Volume collecté, hors volume d'échange</t>
  </si>
  <si>
    <t>Correspond à la consommation de la Boulangerie artisanale</t>
  </si>
  <si>
    <t>Correspond à la consommation des labos GMS + sachets + mixes</t>
  </si>
  <si>
    <t>Correspond à la consommation du secteur public</t>
  </si>
  <si>
    <t>Correspond à la consommation de la Boulandgerie industrielle + industries utilisatrices + utilisations diverses alimentaires</t>
  </si>
  <si>
    <t>FAB (Reseda, ONRB) : on néglige une partie des solubles valorisés en Levurerie</t>
  </si>
  <si>
    <t>Triticale:Sorgho:Avoine:Seigle:Sarrasin:Epeautre:Millet</t>
  </si>
  <si>
    <t>Blé tendre:Blé dur:Orge:Triticale:Sorgho:Avoine:Seigle:Sarrasin:Epeautre:Millet</t>
  </si>
  <si>
    <t>Seigle:Sarrasin:Epeautre:Millet</t>
  </si>
  <si>
    <t>Seigle:Epeautre:Millet</t>
  </si>
  <si>
    <t>Maïs:Orge:Blé dur:Triticale:Sorgho:Avoine:Riz:Millet</t>
  </si>
  <si>
    <t>La filière Epeautre n'est modélisée que pour la campagne 2023-24</t>
  </si>
  <si>
    <t>Seigle:Sarrasin:Epeautre</t>
  </si>
  <si>
    <t>Blé tendre:Orge:Blé dur:Triticale:Sorgho:Avoine:Seigle:Sarrasin:Riz:Epeautre:Millet</t>
  </si>
  <si>
    <t>Sarrasin:Epeautre</t>
  </si>
  <si>
    <t>Pas d'échanges de farine</t>
  </si>
  <si>
    <t>Orge:Blé dur:Triticale:Sorgho:Avoine:Seigle:Sarrasin:Riz:Epeautre:Millet</t>
  </si>
  <si>
    <t>Maïs:Orge:Blé dur:Triticale:Sorgho:Avoine:Seigle:Sarrasin:Riz:Epeautre:Millet</t>
  </si>
  <si>
    <t>Blé tendre:Maïs:Orge:Blé dur:Triticale:Sorgho:Avoine:Seigle:Sarrasin:Epeautre:Millet</t>
  </si>
  <si>
    <t>Blé tendre:Maïs:Orge:Triticale:Sorgho:Avoine:Seigle:Riz:Epeautre:Millet</t>
  </si>
  <si>
    <t>Surface</t>
  </si>
  <si>
    <t>Import grain</t>
  </si>
  <si>
    <t>Autoconso</t>
  </si>
  <si>
    <t>Stock (21/22</t>
  </si>
  <si>
    <t>disponibiités</t>
  </si>
  <si>
    <t>Principales utilisations (%)</t>
  </si>
  <si>
    <t>année</t>
  </si>
  <si>
    <t>ha</t>
  </si>
  <si>
    <t>tonnes</t>
  </si>
  <si>
    <t>Oisellerie</t>
  </si>
  <si>
    <t>Stock</t>
  </si>
  <si>
    <t>Petit épeautre (engrain)</t>
  </si>
  <si>
    <t>37,6 % en IAA ou Oisellerie</t>
  </si>
  <si>
    <t>Source : Monographie des céréales secondaires, Septembre 2024, Ceresco pour Intercéréales</t>
  </si>
  <si>
    <t>EPEAUTRE</t>
  </si>
  <si>
    <t>MILLET</t>
  </si>
  <si>
    <t>Volumes 22/23 (kt)</t>
  </si>
  <si>
    <t>Déjà renseigné (données FAM)</t>
  </si>
  <si>
    <t>Autoconsommation</t>
  </si>
  <si>
    <t>Reste</t>
  </si>
  <si>
    <t>IAA/oisellerie</t>
  </si>
  <si>
    <t>Importations de grains</t>
  </si>
  <si>
    <t>Pas de stockage à la ferme</t>
  </si>
  <si>
    <t>Monographie des céréales secondaires, Ceresco - Intercéréales</t>
  </si>
  <si>
    <t>Epeautre:Millet</t>
  </si>
  <si>
    <t>Les filières Epeautre et Millet ne sont pas modélisées pour les canpagnes 15/16 et 19/20</t>
  </si>
  <si>
    <t>Autres usages de grains</t>
  </si>
  <si>
    <t>Blé tendre (Meunerie)</t>
  </si>
  <si>
    <t>Pas d'échanges d'issues de meuneurie hors blé tendre</t>
  </si>
  <si>
    <t>Stock initial de grains en silos portuaires</t>
  </si>
  <si>
    <t>Stock final de grains en silos portuaires</t>
  </si>
  <si>
    <t>Stock initial de grains en meunerie</t>
  </si>
  <si>
    <t>Stock final de grains en meunerie</t>
  </si>
  <si>
    <t>Stock initial de grains en amidonnerie</t>
  </si>
  <si>
    <t>Stock final de grains en amidonnerie</t>
  </si>
  <si>
    <t>Stock initial de grains en semoulerie</t>
  </si>
  <si>
    <t>Stock final de grains en semoulerie</t>
  </si>
  <si>
    <t>Stock initial de grains en malterie</t>
  </si>
  <si>
    <t>Stock final de grains en malterie</t>
  </si>
  <si>
    <t>Autres stocks</t>
  </si>
  <si>
    <t>Pas de stockage</t>
  </si>
  <si>
    <t>Triticale:Sorgho:Avoine:Seigle:Sarrasin:Riz:Epeautre:Millet</t>
  </si>
  <si>
    <t>Maïs:Orge:Blé dur:Triticale:Sorgho:Avoine:Riz:Epeautre:Millet</t>
  </si>
  <si>
    <t>Blé tendre:Orge:Triticale:Sorgho:Avoine:Seigle:Sarrasin:Riz:Epeautre:Millet</t>
  </si>
  <si>
    <t>Blé tendre:Maïs:Blé dur:Triticale:Sorgho:Avoine:Seigle:Sarrasin:Riz:Epeautre:Millet</t>
  </si>
  <si>
    <t>Intercéréales pense que ce sont les FAF qui consommeraient de la farine</t>
  </si>
  <si>
    <t>Hypothèse Intercéréales</t>
  </si>
  <si>
    <t>Part d'issues de meunerie valorisée en méthanisation</t>
  </si>
  <si>
    <t>1 % des issues de meunerie est valorisé en méthanisation</t>
  </si>
  <si>
    <t>Source : Brasseurs de France</t>
  </si>
  <si>
    <t>https://brasseurs-de-france.com/a-la-une/2025/02/05/bilan-2024-la-brasserie-sous-pression/</t>
  </si>
  <si>
    <t>Hors domicile</t>
  </si>
  <si>
    <t>A domicile</t>
  </si>
  <si>
    <t>Part de consommation de bière par les ménages</t>
  </si>
  <si>
    <t>Part de consommation de bière en RHD</t>
  </si>
  <si>
    <t>Brasseurs de France</t>
  </si>
  <si>
    <t>Circuits de distribution de la bière</t>
  </si>
  <si>
    <t>Estimation campagne 22-23</t>
  </si>
  <si>
    <t>Ecart stat observé sur le seigle pour 2015-16 et 2019-20</t>
  </si>
  <si>
    <t>Blé tendre:Maïs:Triticale:Sorgho:Avoine:Sarrasin:Riz:Epeautre:Millet</t>
  </si>
  <si>
    <t>Farine consommée uniquement en alimentation humaine</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</si>
  <si>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</si>
  <si>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</si>
  <si>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</si>
  <si>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Intrant externe</t>
  </si>
  <si>
    <t>Rejet</t>
  </si>
  <si>
    <t>France entière</t>
  </si>
  <si>
    <t>Fiabilité des données</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</si>
  <si>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</si>
  <si>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</si>
  <si>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</si>
  <si>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Fiable</t>
  </si>
  <si>
    <t>Robuste</t>
  </si>
  <si>
    <t>Probable</t>
  </si>
  <si>
    <t>Approximative</t>
  </si>
  <si>
    <t>Indicative</t>
  </si>
  <si>
    <t>Méthode</t>
  </si>
  <si>
    <t>Données collectées:Complétion des flux:Données réconciliées:Données déterminées:Données indéterminées</t>
  </si>
  <si>
    <t>#ffdc6d:#cb97ff:#ffb7b7:#a7ffa7:#b3e2ff</t>
  </si>
  <si>
    <t>Données collectées</t>
  </si>
  <si>
    <t>Complétion des flux</t>
  </si>
  <si>
    <t>Données réconciliées</t>
  </si>
  <si>
    <t>Données déterminées</t>
  </si>
  <si>
    <t>Données indéterminées</t>
  </si>
  <si>
    <t>Analyse des résultats</t>
  </si>
  <si>
    <t>Donnée collectée (valeur du flux ou coefficient):Ecart statistique (ne permet pas de respecter un bilan matière):Donnée déterminée (par bilan matière):Donnée indéterminée (seules une borne minimale et une borne maximale sont déterminées)</t>
  </si>
  <si>
    <t>#ffdc6d:#ffb7b7:#a7ffa7:#b3e2ff</t>
  </si>
  <si>
    <t>Donnée collectée (valeur du flux ou coefficient)</t>
  </si>
  <si>
    <t>Ecart statistique (ne permet pas de respecter un bilan matière)</t>
  </si>
  <si>
    <t>Donnée déterminée (par bilan matière)</t>
  </si>
  <si>
    <t>Donnée indéterminée (seules une borne minimale et une borne maximale sont déterminées)</t>
  </si>
  <si>
    <t>#b5e6a2:#94dcf8:#f7c7ac</t>
  </si>
  <si>
    <t>=JOINDRE.TEXTE(":";VRAI;H9:CS9)</t>
  </si>
  <si>
    <t>La France entière comprend la France métropolitaine et les cinq départements et régions d'outre-mer (DROM : Guyane, Martinique, Guadeloupe, Mayotte et La Réunion).</t>
  </si>
  <si>
    <t>Exportations</t>
  </si>
  <si>
    <t>Volume renseigné avec les données relatives à la Malterie</t>
  </si>
  <si>
    <t>Données collectées:Données déterminées</t>
  </si>
  <si>
    <t>Rendement Brasserie</t>
  </si>
  <si>
    <t>Ecart stat observé sur l'orge pour 2015-16</t>
  </si>
  <si>
    <t>Complétion des flux:Données déterminées</t>
  </si>
  <si>
    <t>=TEXTE.APRES(LIRE.CLASSEUR(1);"]")</t>
  </si>
  <si>
    <t>Indéterminé - Approvisionnements</t>
  </si>
  <si>
    <t>Indéterminé - Débouchés</t>
  </si>
  <si>
    <t>Complétion des flux:Données indéterminées</t>
  </si>
  <si>
    <t>Seigle:Epeautre:Sarrasin</t>
  </si>
  <si>
    <t>Informations générales</t>
  </si>
  <si>
    <t>Projet :</t>
  </si>
  <si>
    <t>SOCLE</t>
  </si>
  <si>
    <t>Collaborateurs :</t>
  </si>
  <si>
    <t>Filière :</t>
  </si>
  <si>
    <t>Période étudiée :</t>
  </si>
  <si>
    <t>2015-16, 2019-20, 2023-24</t>
  </si>
  <si>
    <t>Zone géographique :</t>
  </si>
  <si>
    <t>Unité :</t>
  </si>
  <si>
    <t>Dernière mise à jour :</t>
  </si>
  <si>
    <t>SOMMAIRE</t>
  </si>
  <si>
    <t>Description</t>
  </si>
  <si>
    <t>Présentation du fichier et de l'AFM</t>
  </si>
  <si>
    <t>Lecture du fichier</t>
  </si>
  <si>
    <t>Modélisation de l'AFM</t>
  </si>
  <si>
    <t>Etiquettes</t>
  </si>
  <si>
    <t>Liste des étiquettes</t>
  </si>
  <si>
    <t>Produits</t>
  </si>
  <si>
    <t>Secteurs</t>
  </si>
  <si>
    <t xml:space="preserve">Données </t>
  </si>
  <si>
    <t xml:space="preserve">Données  </t>
  </si>
  <si>
    <t xml:space="preserve">Données   </t>
  </si>
  <si>
    <t xml:space="preserve">Données    </t>
  </si>
  <si>
    <t xml:space="preserve">Données     </t>
  </si>
  <si>
    <t>Contraintes</t>
  </si>
  <si>
    <t xml:space="preserve">Contraintes </t>
  </si>
  <si>
    <t xml:space="preserve">Contraintes  </t>
  </si>
  <si>
    <t xml:space="preserve">Données      </t>
  </si>
  <si>
    <t xml:space="preserve">Données        </t>
  </si>
  <si>
    <t xml:space="preserve">Contraintes   </t>
  </si>
  <si>
    <t xml:space="preserve">Contraintes    </t>
  </si>
  <si>
    <t xml:space="preserve">Données         </t>
  </si>
  <si>
    <t xml:space="preserve">Contraintes     </t>
  </si>
  <si>
    <t xml:space="preserve">Contraintes      </t>
  </si>
  <si>
    <t xml:space="preserve">Contraintes       </t>
  </si>
  <si>
    <t xml:space="preserve">Contraintes        </t>
  </si>
  <si>
    <t xml:space="preserve">Contraintes         </t>
  </si>
  <si>
    <t xml:space="preserve">Contraintes          </t>
  </si>
  <si>
    <t>Semences fermières - AGRESTE</t>
  </si>
  <si>
    <t>Comext mensuel - EUROSTAT</t>
  </si>
  <si>
    <t>Comext annuel - EUROSTAT</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</si>
  <si>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</si>
  <si>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</si>
  <si>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</si>
  <si>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</si>
  <si>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</si>
  <si>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</si>
  <si>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</si>
  <si>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</si>
  <si>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</si>
  <si>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</si>
  <si>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</si>
  <si>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</si>
  <si>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</si>
  <si>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</si>
  <si>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</si>
  <si>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</si>
  <si>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</si>
  <si>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</si>
  <si>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</si>
  <si>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</si>
  <si>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</si>
  <si>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</si>
  <si>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</si>
  <si>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</si>
  <si>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</si>
  <si>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</si>
  <si>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</si>
  <si>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</si>
  <si>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</si>
  <si>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</si>
  <si>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</si>
  <si>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</si>
  <si>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</si>
  <si>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</si>
  <si>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</si>
  <si>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</si>
  <si>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</si>
  <si>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</si>
  <si>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</si>
  <si>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</si>
  <si>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</si>
  <si>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</si>
  <si>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Structure des flux</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</si>
  <si>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</si>
  <si>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</si>
  <si>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</si>
  <si>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</si>
  <si>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</si>
  <si>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</si>
  <si>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</si>
  <si>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</si>
  <si>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</si>
  <si>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</si>
  <si>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</si>
  <si>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</si>
  <si>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</si>
  <si>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</si>
  <si>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</si>
  <si>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</si>
  <si>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</si>
  <si>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</si>
  <si>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</si>
  <si>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</si>
  <si>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</si>
  <si>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</si>
  <si>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</si>
  <si>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</si>
  <si>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</si>
  <si>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</si>
  <si>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</si>
  <si>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</si>
  <si>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</si>
  <si>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</si>
  <si>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</si>
  <si>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</si>
  <si>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</si>
  <si>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</si>
  <si>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</si>
  <si>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</si>
  <si>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</si>
  <si>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</si>
  <si>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</si>
  <si>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</si>
  <si>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</si>
  <si>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</si>
  <si>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</si>
  <si>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</si>
  <si>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</si>
  <si>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</si>
  <si>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</si>
  <si>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</si>
  <si>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</si>
  <si>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</si>
  <si>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</si>
  <si>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</si>
  <si>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</si>
  <si>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</si>
  <si>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</si>
  <si>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</si>
  <si>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</si>
  <si>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</si>
  <si>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</si>
  <si>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</si>
  <si>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</si>
  <si>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</si>
  <si>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</si>
  <si>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</si>
  <si>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</si>
  <si>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</si>
  <si>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</si>
  <si>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</si>
  <si>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</si>
  <si>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Analyse de Flux de Matière (AFM) de la filière française céréales</t>
  </si>
  <si>
    <t>TerriFlux (Alexandre Pannier, Julien Alapetite), Intercéréales (Bénédicte Renaud, Nicolas Queral)</t>
  </si>
  <si>
    <t>Céréales</t>
  </si>
  <si>
    <t>Tables Emplois-Ressources</t>
  </si>
  <si>
    <t xml:space="preserve">Contraintes             </t>
  </si>
  <si>
    <t xml:space="preserve"> Données </t>
  </si>
  <si>
    <t xml:space="preserve">Contraintes           </t>
  </si>
  <si>
    <t xml:space="preserve">Contraintes            </t>
  </si>
  <si>
    <t>Sources de données</t>
  </si>
  <si>
    <t>Bilans Blé tendre - FAM</t>
  </si>
  <si>
    <t>Bilans Maïs - FAM</t>
  </si>
  <si>
    <t>Bilans Orge - FAM</t>
  </si>
  <si>
    <t>Bilans Blé dur - FAM</t>
  </si>
  <si>
    <t>Bilans Triticale - FAM</t>
  </si>
  <si>
    <t>Bilans Sorgho - FAM</t>
  </si>
  <si>
    <t>Bilans Avoine - FAM</t>
  </si>
  <si>
    <t>Bilans Seigle - FAM</t>
  </si>
  <si>
    <t>Bilans Sarrasin - FAM</t>
  </si>
  <si>
    <t>Epeautre et Millet - Ceresco</t>
  </si>
  <si>
    <t>Issues céréales - ONRB</t>
  </si>
  <si>
    <t>Issues maïs - ONRB</t>
  </si>
  <si>
    <t>Issues riz - ONRB</t>
  </si>
  <si>
    <t>Fabrication de farine - FAM</t>
  </si>
  <si>
    <t>Débouchés farine de blé - FAM</t>
  </si>
  <si>
    <t>Coproduits meunerie - Réséda</t>
  </si>
  <si>
    <t>Coproduits meunerie - ONRB</t>
  </si>
  <si>
    <t>Amidonnerie - Diverses</t>
  </si>
  <si>
    <t>Semoulerie maïs- Diverses</t>
  </si>
  <si>
    <t>Semoulerie blé dur - CFSI</t>
  </si>
  <si>
    <t>Coproduits Semoulerie blé -ONRB</t>
  </si>
  <si>
    <t>Indus. pâtes - SIFPAF</t>
  </si>
  <si>
    <t>Coproduits Indus. - Réséda</t>
  </si>
  <si>
    <t>Distillerie - Agreste</t>
  </si>
  <si>
    <t>Malterie - ONRB</t>
  </si>
  <si>
    <t>Brasserie - Diverses</t>
  </si>
  <si>
    <t>Popcorn - Intercéréales</t>
  </si>
  <si>
    <t>Riz - Diverses</t>
  </si>
  <si>
    <t>Blé tendre:Maïs:Triticale:Sorgho:Avoine:Sarrasin:Riz:Epeautre</t>
  </si>
  <si>
    <t>#996633:#ffd757:#c15940:#f7c7ac:#cb9763:#698763:#fac55c:#81e3c5:#8e8e8e:#deddc2:#ccecff:#ccccff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</si>
</sst>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_-;\-* #,##0_-;_-* &quot;-&quot;??_-;_-@_-"/>
    <numFmt numFmtId="165" formatCode="#\ ###\ ##0"/>
    <numFmt numFmtId="166" formatCode="####0"/>
    <numFmt numFmtId="167" formatCode="##0"/>
    <numFmt numFmtId="168" formatCode="#,##0.00&quot; &quot;[$€-40C];[Red]&quot;-&quot;#,##0.00&quot; &quot;[$€-40C]"/>
    <numFmt numFmtId="169" formatCode="#,##0.##########"/>
    <numFmt numFmtId="170" formatCode="#\ ##0.00"/>
    <numFmt numFmtId="171" formatCode="#\ ##0.0"/>
    <numFmt numFmtId="172" formatCode="#\ ##0"/>
    <numFmt numFmtId="173" formatCode="#,##0.0"/>
    <numFmt numFmtId="174" formatCode="0.0%"/>
    <numFmt numFmtId="175" formatCode="0.0000000%"/>
    <numFmt numFmtId="176" formatCode="_-* #,##0\ _€_-;\-* #,##0\ _€_-;_-* &quot;-&quot;??\ _€_-;_-@_-"/>
    <numFmt numFmtId="177" formatCode="\ #,##0"/>
    <numFmt numFmtId="178" formatCode="#,##0.00000000"/>
    <numFmt numFmtId="179" formatCode="###,###,##0"/>
    <numFmt numFmtId="180" formatCode="mm/yyyy"/>
    <numFmt numFmtId="181" formatCode="0.0"/>
  </numFmts>
  <fonts count="183">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Calibri"/>
      <family val="2"/>
    </font>
    <font>
      <b/>
      <sz val="10"/>
      <color rgb="FFFFFFFF"/>
      <name val="Verdana"/>
      <family val="2"/>
    </font>
    <font>
      <b/>
      <sz val="11"/>
      <name val="Calibri"/>
      <family val="2"/>
    </font>
    <font>
      <b/>
      <sz val="11"/>
      <color rgb="FFFFFFFF"/>
      <name val="Calibri"/>
      <family val="2"/>
    </font>
    <font>
      <b/>
      <sz val="11"/>
      <color theme="1"/>
      <name val="Calibri"/>
      <family val="2"/>
    </font>
    <font>
      <b/>
      <sz val="10"/>
      <color theme="0"/>
      <name val="Verdana"/>
      <family val="2"/>
    </font>
    <font>
      <sz val="11"/>
      <name val="Calibri"/>
      <family val="2"/>
    </font>
    <font>
      <b/>
      <sz val="11"/>
      <color theme="1"/>
      <name val="Arial"/>
      <family val="2"/>
    </font>
    <font>
      <sz val="11"/>
      <color theme="1"/>
      <name val="Arial1"/>
      <family val="2"/>
    </font>
    <font>
      <sz val="11"/>
      <color indexed="8"/>
      <name val="Aptos Narrow"/>
      <family val="2"/>
      <scheme val="minor"/>
    </font>
    <font>
      <sz val="11"/>
      <color theme="1"/>
      <name val="Liberation Sans"/>
    </font>
    <font>
      <sz val="11"/>
      <color rgb="FF000000"/>
      <name val="Aptos Narrow"/>
      <family val="2"/>
      <scheme val="minor"/>
    </font>
    <font>
      <b/>
      <sz val="15"/>
      <color rgb="FF000000"/>
      <name val="Calibri"/>
      <family val="2"/>
    </font>
    <font>
      <sz val="11"/>
      <color rgb="FF000000"/>
      <name val="Calibri"/>
      <family val="2"/>
    </font>
    <font>
      <b/>
      <sz val="12"/>
      <color rgb="FF000000"/>
      <name val="Calibri"/>
      <family val="2"/>
    </font>
    <font>
      <sz val="9.5"/>
      <color rgb="FF003399"/>
      <name val="Helvetica"/>
    </font>
    <font>
      <b/>
      <sz val="12.5"/>
      <color rgb="FF000000"/>
      <name val="Helvetica"/>
    </font>
    <font>
      <b/>
      <sz val="10"/>
      <color rgb="FF000000"/>
      <name val="Helvetica"/>
    </font>
    <font>
      <b/>
      <sz val="10"/>
      <color rgb="FF808080"/>
      <name val="Helvetica"/>
    </font>
    <font>
      <b/>
      <sz val="7"/>
      <color rgb="FFFFFFFF"/>
      <name val="Helvetica"/>
    </font>
    <font>
      <sz val="7"/>
      <color rgb="FF000000"/>
      <name val="Helvetica"/>
    </font>
    <font>
      <sz val="8"/>
      <color rgb="FF000000"/>
      <name val="Helvetica"/>
    </font>
    <font>
      <b/>
      <sz val="11"/>
      <color rgb="FF000000"/>
      <name val="Helvetica"/>
    </font>
    <font>
      <b/>
      <i/>
      <sz val="8"/>
      <color rgb="FF808080"/>
      <name val="Arial"/>
      <family val="2"/>
    </font>
    <font>
      <b/>
      <u/>
      <sz val="11"/>
      <color theme="1"/>
      <name val="Aptos Narrow"/>
      <family val="2"/>
      <scheme val="minor"/>
    </font>
    <font>
      <b/>
      <sz val="11"/>
      <color rgb="FF000000"/>
      <name val="Arial1"/>
    </font>
    <font>
      <sz val="11"/>
      <color rgb="FF000000"/>
      <name val="Arial1"/>
    </font>
    <font>
      <i/>
      <sz val="9"/>
      <color rgb="FF000000"/>
      <name val="Arial1"/>
    </font>
    <font>
      <sz val="10"/>
      <color rgb="FF000000"/>
      <name val="Arial1"/>
    </font>
    <font>
      <b/>
      <i/>
      <u/>
      <sz val="11"/>
      <color rgb="FF000000"/>
      <name val="Arial"/>
      <family val="2"/>
    </font>
    <font>
      <b/>
      <sz val="10"/>
      <color rgb="FFFFFFFF"/>
      <name val="Arial1"/>
    </font>
    <font>
      <sz val="9"/>
      <name val="Arial"/>
      <family val="2"/>
    </font>
    <font>
      <b/>
      <sz val="9"/>
      <name val="Arial"/>
      <family val="2"/>
    </font>
    <font>
      <b/>
      <sz val="9"/>
      <color indexed="9"/>
      <name val="Arial"/>
      <family val="2"/>
    </font>
    <font>
      <sz val="11"/>
      <color rgb="FFFF0000"/>
      <name val="Aptos Narrow"/>
      <family val="2"/>
      <scheme val="minor"/>
    </font>
    <font>
      <sz val="8"/>
      <name val="Calibri"/>
      <family val="2"/>
    </font>
    <font>
      <i/>
      <sz val="11"/>
      <color theme="1"/>
      <name val="Calibri"/>
      <family val="2"/>
    </font>
    <font>
      <b/>
      <sz val="9"/>
      <color theme="0"/>
      <name val="Marianne"/>
      <family val="3"/>
    </font>
    <font>
      <b/>
      <sz val="10"/>
      <name val="Arial"/>
      <family val="2"/>
    </font>
    <font>
      <sz val="8"/>
      <name val="Arial"/>
      <family val="2"/>
    </font>
    <font>
      <b/>
      <sz val="11"/>
      <color theme="0"/>
      <name val="Arial"/>
      <family val="2"/>
    </font>
    <font>
      <sz val="8"/>
      <color theme="0"/>
      <name val="Arial"/>
      <family val="2"/>
    </font>
    <font>
      <sz val="10"/>
      <name val="Arial"/>
      <family val="2"/>
    </font>
    <font>
      <b/>
      <sz val="8"/>
      <name val="Marianne"/>
      <family val="3"/>
    </font>
    <font>
      <sz val="8"/>
      <name val="Marianne"/>
      <family val="3"/>
    </font>
    <font>
      <u/>
      <sz val="8"/>
      <name val="Marianne"/>
      <family val="3"/>
    </font>
    <font>
      <i/>
      <sz val="8"/>
      <name val="Marianne"/>
      <family val="3"/>
    </font>
    <font>
      <b/>
      <i/>
      <sz val="8"/>
      <name val="Marianne"/>
      <family val="3"/>
    </font>
    <font>
      <sz val="9"/>
      <color theme="0"/>
      <name val="Arial"/>
      <family val="2"/>
    </font>
    <font>
      <sz val="10"/>
      <color rgb="FF000000"/>
      <name val="Marianne"/>
    </font>
    <font>
      <b/>
      <sz val="11"/>
      <color rgb="FF000000"/>
      <name val="Marianne"/>
      <family val="3"/>
    </font>
    <font>
      <sz val="11"/>
      <color rgb="FF000000"/>
      <name val="Marianne"/>
      <family val="3"/>
    </font>
    <font>
      <i/>
      <sz val="10"/>
      <color rgb="FF000000"/>
      <name val="Marianne"/>
      <family val="3"/>
    </font>
    <font>
      <b/>
      <sz val="10"/>
      <color rgb="FF000000"/>
      <name val="Marianne"/>
      <family val="3"/>
    </font>
    <font>
      <sz val="9"/>
      <color rgb="FF000000"/>
      <name val="Marianne"/>
      <family val="3"/>
    </font>
    <font>
      <i/>
      <sz val="9"/>
      <color rgb="FF000000"/>
      <name val="Marianne"/>
      <family val="3"/>
    </font>
    <font>
      <i/>
      <sz val="10"/>
      <color rgb="FF000000"/>
      <name val="Marianne"/>
    </font>
    <font>
      <b/>
      <sz val="14"/>
      <color theme="1"/>
      <name val="Aptos Narrow"/>
      <family val="2"/>
      <scheme val="minor"/>
    </font>
    <font>
      <i/>
      <sz val="11"/>
      <color theme="1"/>
      <name val="Aptos Narrow"/>
      <family val="2"/>
      <scheme val="minor"/>
    </font>
    <font>
      <b/>
      <sz val="11"/>
      <color rgb="FFFFFFFF"/>
      <name val="Aptos Narrow"/>
      <family val="2"/>
      <scheme val="minor"/>
    </font>
    <font>
      <sz val="10"/>
      <color rgb="FFFF0000"/>
      <name val="Arial1"/>
    </font>
    <font>
      <sz val="11"/>
      <color rgb="FFFF0000"/>
      <name val="Calibri"/>
      <family val="2"/>
    </font>
    <font>
      <b/>
      <i/>
      <sz val="10"/>
      <name val="Arial"/>
      <family val="2"/>
    </font>
    <font>
      <b/>
      <sz val="14"/>
      <color rgb="FFFF0000"/>
      <name val="Marianne"/>
      <family val="3"/>
    </font>
    <font>
      <b/>
      <sz val="24"/>
      <color theme="0"/>
      <name val="Marianne"/>
      <family val="3"/>
    </font>
    <font>
      <b/>
      <vertAlign val="superscript"/>
      <sz val="24"/>
      <color theme="0"/>
      <name val="Marianne"/>
      <family val="3"/>
    </font>
    <font>
      <sz val="14"/>
      <name val="Marianne"/>
      <family val="3"/>
    </font>
    <font>
      <b/>
      <sz val="12"/>
      <name val="Marianne Light"/>
      <family val="3"/>
    </font>
    <font>
      <sz val="12"/>
      <name val="Marianne Light"/>
      <family val="3"/>
    </font>
    <font>
      <i/>
      <sz val="12"/>
      <name val="Marianne Light"/>
      <family val="3"/>
    </font>
    <font>
      <i/>
      <sz val="11"/>
      <name val="Marianne Light"/>
      <family val="3"/>
    </font>
    <font>
      <i/>
      <sz val="10"/>
      <name val="Marianne Light"/>
      <family val="3"/>
    </font>
    <font>
      <sz val="14"/>
      <color theme="0"/>
      <name val="Marianne"/>
      <family val="3"/>
    </font>
    <font>
      <i/>
      <sz val="12"/>
      <color theme="0"/>
      <name val="Marianne Light"/>
      <family val="3"/>
    </font>
    <font>
      <i/>
      <sz val="12"/>
      <color rgb="FFFFFFFF"/>
      <name val="Marianne Light"/>
      <family val="3"/>
    </font>
    <font>
      <i/>
      <sz val="12"/>
      <color theme="1"/>
      <name val="Marianne Light"/>
      <family val="3"/>
    </font>
    <font>
      <b/>
      <sz val="14"/>
      <name val="Marianne"/>
      <family val="3"/>
    </font>
    <font>
      <i/>
      <sz val="12"/>
      <color theme="0" tint="-0.249977111117893"/>
      <name val="Marianne Light"/>
      <family val="3"/>
    </font>
    <font>
      <b/>
      <sz val="14"/>
      <color indexed="9"/>
      <name val="Marianne"/>
      <family val="3"/>
    </font>
    <font>
      <sz val="12"/>
      <color rgb="FFFF0000"/>
      <name val="Marianne Light"/>
      <family val="3"/>
    </font>
    <font>
      <sz val="12"/>
      <color rgb="FF000000"/>
      <name val="Marianne Light"/>
      <family val="3"/>
    </font>
    <font>
      <sz val="12"/>
      <color theme="1"/>
      <name val="Marianne Light"/>
      <family val="3"/>
    </font>
    <font>
      <i/>
      <sz val="14"/>
      <name val="Marianne"/>
      <family val="3"/>
    </font>
    <font>
      <b/>
      <sz val="22"/>
      <color theme="1"/>
      <name val="Marianne"/>
      <family val="3"/>
    </font>
    <font>
      <b/>
      <sz val="12"/>
      <color theme="1"/>
      <name val="Marianne Light"/>
      <family val="3"/>
    </font>
    <font>
      <i/>
      <sz val="11"/>
      <color theme="1"/>
      <name val="Marianne Light"/>
      <family val="3"/>
    </font>
    <font>
      <i/>
      <sz val="12"/>
      <color rgb="FFFF0000"/>
      <name val="Marianne Light"/>
      <family val="3"/>
    </font>
    <font>
      <sz val="12"/>
      <color indexed="9"/>
      <name val="Marianne Light"/>
      <family val="3"/>
    </font>
    <font>
      <b/>
      <i/>
      <sz val="14"/>
      <name val="Marianne"/>
      <family val="3"/>
    </font>
    <font>
      <b/>
      <i/>
      <sz val="12"/>
      <name val="Marianne Light"/>
      <family val="3"/>
    </font>
    <font>
      <i/>
      <sz val="12"/>
      <color indexed="9"/>
      <name val="Marianne Light"/>
      <family val="3"/>
    </font>
    <font>
      <sz val="11"/>
      <color theme="1"/>
      <name val="Marianne Light"/>
      <family val="3"/>
    </font>
    <font>
      <sz val="10"/>
      <color theme="1"/>
      <name val="Marianne Light"/>
      <family val="3"/>
    </font>
    <font>
      <b/>
      <sz val="12"/>
      <color indexed="9"/>
      <name val="Marianne Light"/>
      <family val="3"/>
    </font>
    <font>
      <b/>
      <i/>
      <sz val="11"/>
      <name val="Arial"/>
      <family val="2"/>
    </font>
    <font>
      <sz val="11"/>
      <name val="Arial"/>
      <family val="2"/>
    </font>
    <font>
      <sz val="11"/>
      <color theme="1"/>
      <name val="Arial"/>
      <family val="2"/>
    </font>
    <font>
      <i/>
      <sz val="10"/>
      <color theme="1"/>
      <name val="Marianne Light"/>
      <family val="3"/>
    </font>
    <font>
      <i/>
      <sz val="10"/>
      <color theme="0" tint="-0.34998626667073579"/>
      <name val="Marianne Light"/>
      <family val="3"/>
    </font>
    <font>
      <sz val="12"/>
      <color theme="1"/>
      <name val="Arial"/>
      <family val="2"/>
    </font>
    <font>
      <sz val="10"/>
      <color theme="0" tint="-0.249977111117893"/>
      <name val="Marianne Light"/>
      <family val="3"/>
    </font>
    <font>
      <i/>
      <sz val="12"/>
      <color indexed="10"/>
      <name val="Marianne Light"/>
      <family val="3"/>
    </font>
    <font>
      <i/>
      <sz val="12"/>
      <color rgb="FFFF0000"/>
      <name val="Arial"/>
      <family val="2"/>
    </font>
    <font>
      <u/>
      <sz val="12"/>
      <color theme="1"/>
      <name val="Marianne Light"/>
      <family val="3"/>
    </font>
    <font>
      <b/>
      <sz val="12"/>
      <color theme="0"/>
      <name val="Marianne Light"/>
      <family val="3"/>
    </font>
    <font>
      <sz val="11"/>
      <name val="Marianne Light"/>
      <family val="3"/>
    </font>
    <font>
      <b/>
      <sz val="12"/>
      <color theme="2" tint="-0.249977111117893"/>
      <name val="Marianne Light"/>
      <family val="3"/>
    </font>
    <font>
      <sz val="12"/>
      <color indexed="8"/>
      <name val="Marianne Light"/>
      <family val="3"/>
    </font>
    <font>
      <sz val="12"/>
      <color indexed="48"/>
      <name val="Marianne Light"/>
      <family val="3"/>
    </font>
    <font>
      <sz val="10"/>
      <color theme="0" tint="-0.14999847407452621"/>
      <name val="Marianne Light"/>
      <family val="3"/>
    </font>
    <font>
      <sz val="12"/>
      <color theme="0" tint="-0.14999847407452621"/>
      <name val="Marianne Light"/>
      <family val="3"/>
    </font>
    <font>
      <b/>
      <i/>
      <sz val="12"/>
      <color indexed="9"/>
      <name val="Marianne Light"/>
      <family val="3"/>
    </font>
    <font>
      <sz val="10"/>
      <name val="Marianne Light"/>
      <family val="3"/>
    </font>
    <font>
      <sz val="12"/>
      <color indexed="10"/>
      <name val="Marianne Light"/>
      <family val="3"/>
    </font>
    <font>
      <sz val="12"/>
      <color rgb="FFFF0000"/>
      <name val="Arial"/>
      <family val="2"/>
    </font>
    <font>
      <u/>
      <sz val="12"/>
      <name val="Marianne Light"/>
      <family val="3"/>
    </font>
    <font>
      <u/>
      <sz val="12"/>
      <color theme="1"/>
      <name val="Arial"/>
      <family val="2"/>
    </font>
    <font>
      <i/>
      <sz val="11"/>
      <color theme="1"/>
      <name val="Arial"/>
      <family val="2"/>
    </font>
    <font>
      <sz val="9"/>
      <color indexed="81"/>
      <name val="Tahoma"/>
      <family val="2"/>
    </font>
    <font>
      <b/>
      <sz val="9"/>
      <color indexed="81"/>
      <name val="Tahoma"/>
      <family val="2"/>
    </font>
    <font>
      <b/>
      <sz val="9"/>
      <color indexed="9"/>
      <name val="Calibri"/>
      <family val="2"/>
    </font>
    <font>
      <b/>
      <sz val="9"/>
      <color indexed="9"/>
      <name val="Marianne"/>
      <family val="3"/>
    </font>
    <font>
      <sz val="8"/>
      <color rgb="FFFF0000"/>
      <name val="Arial"/>
      <family val="2"/>
    </font>
    <font>
      <b/>
      <sz val="8"/>
      <color theme="0"/>
      <name val="Arial"/>
      <family val="2"/>
    </font>
    <font>
      <sz val="10"/>
      <color rgb="FFFF0000"/>
      <name val="Arial"/>
      <family val="2"/>
    </font>
    <font>
      <b/>
      <sz val="9"/>
      <name val="Marianne"/>
      <family val="3"/>
    </font>
    <font>
      <u/>
      <sz val="9"/>
      <name val="Marianne"/>
      <family val="3"/>
    </font>
    <font>
      <sz val="9"/>
      <name val="Marianne"/>
      <family val="3"/>
    </font>
    <font>
      <b/>
      <sz val="8"/>
      <color rgb="FFFF0000"/>
      <name val="Arial"/>
      <family val="2"/>
    </font>
    <font>
      <b/>
      <sz val="8"/>
      <name val="Arial"/>
      <family val="2"/>
    </font>
    <font>
      <sz val="11"/>
      <color rgb="FFFF0000"/>
      <name val="Marianne Light"/>
      <family val="3"/>
    </font>
    <font>
      <b/>
      <sz val="10"/>
      <name val="Marianne"/>
      <family val="3"/>
    </font>
    <font>
      <b/>
      <u/>
      <sz val="10"/>
      <name val="Arial"/>
      <family val="2"/>
    </font>
    <font>
      <b/>
      <sz val="11"/>
      <color rgb="FFD56714"/>
      <name val="Marianne"/>
      <family val="3"/>
    </font>
    <font>
      <b/>
      <sz val="10"/>
      <color theme="0"/>
      <name val="Marianne"/>
      <family val="3"/>
    </font>
    <font>
      <u/>
      <sz val="10"/>
      <name val="Arial"/>
      <family val="2"/>
    </font>
    <font>
      <b/>
      <sz val="10"/>
      <color theme="0"/>
      <name val="Arial"/>
      <family val="2"/>
    </font>
    <font>
      <b/>
      <sz val="10"/>
      <color rgb="FFFF0000"/>
      <name val="Arial"/>
      <family val="2"/>
    </font>
    <font>
      <u/>
      <sz val="11"/>
      <color theme="10"/>
      <name val="Calibri"/>
      <family val="2"/>
    </font>
    <font>
      <sz val="10"/>
      <name val="Marianne"/>
      <family val="3"/>
    </font>
    <font>
      <sz val="11"/>
      <color theme="0"/>
      <name val="Arial"/>
      <family val="2"/>
    </font>
    <font>
      <sz val="11"/>
      <color rgb="FFFF0000"/>
      <name val="Marianne"/>
      <family val="3"/>
    </font>
    <font>
      <b/>
      <sz val="12.5"/>
      <color rgb="FF808080"/>
      <name val="Helvetica"/>
    </font>
    <font>
      <b/>
      <sz val="8"/>
      <color rgb="FFFFFFFF"/>
      <name val="Arial"/>
      <family val="2"/>
    </font>
    <font>
      <b/>
      <sz val="7"/>
      <color rgb="FF000000"/>
      <name val="Helvetica"/>
    </font>
    <font>
      <b/>
      <sz val="8"/>
      <color rgb="FF000000"/>
      <name val="Arial"/>
      <family val="2"/>
    </font>
    <font>
      <b/>
      <sz val="8"/>
      <color rgb="FFFFFFFF"/>
      <name val="Helvetica"/>
    </font>
    <font>
      <sz val="7"/>
      <color rgb="FFFF0000"/>
      <name val="Helvetica"/>
    </font>
    <font>
      <sz val="7"/>
      <name val="Helvetica"/>
    </font>
    <font>
      <b/>
      <sz val="11"/>
      <color theme="1"/>
      <name val="Aptos Narrow"/>
      <family val="2"/>
      <scheme val="minor"/>
    </font>
    <font>
      <sz val="11"/>
      <color rgb="FFFFC000"/>
      <name val="Calibri"/>
      <family val="2"/>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b/>
      <sz val="18"/>
      <color theme="1"/>
      <name val="Calibri"/>
      <family val="2"/>
    </font>
    <font>
      <i/>
      <u/>
      <sz val="11"/>
      <color theme="1"/>
      <name val="Aptos Narrow"/>
      <family val="2"/>
      <scheme val="minor"/>
    </font>
    <font>
      <b/>
      <u/>
      <sz val="11"/>
      <color theme="1"/>
      <name val="Calibri"/>
      <family val="2"/>
    </font>
    <font>
      <u/>
      <sz val="11"/>
      <color theme="10"/>
      <name val="Aptos Narrow"/>
      <family val="2"/>
      <scheme val="minor"/>
    </font>
    <font>
      <i/>
      <u/>
      <sz val="11"/>
      <color theme="10"/>
      <name val="Aptos Narrow"/>
      <family val="2"/>
      <scheme val="minor"/>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u/>
      <sz val="11"/>
      <color theme="1"/>
      <name val="Calibri"/>
      <family val="2"/>
    </font>
    <font>
      <sz val="11"/>
      <color rgb="FF0000FF"/>
      <name val="Calibri"/>
      <family val="2"/>
    </font>
  </fonts>
  <fills count="69">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87A9D2"/>
      </patternFill>
    </fill>
    <fill>
      <patternFill patternType="solid">
        <fgColor rgb="FF799939"/>
      </patternFill>
    </fill>
    <fill>
      <patternFill patternType="solid">
        <fgColor theme="6"/>
        <bgColor rgb="FFB4C7DC"/>
      </patternFill>
    </fill>
    <fill>
      <patternFill patternType="solid">
        <fgColor rgb="FF799939"/>
        <bgColor rgb="FFB4C7DC"/>
      </patternFill>
    </fill>
    <fill>
      <patternFill patternType="solid">
        <fgColor theme="5"/>
        <bgColor indexed="64"/>
      </patternFill>
    </fill>
    <fill>
      <patternFill patternType="solid">
        <fgColor rgb="FFFFFF99"/>
        <bgColor indexed="64"/>
      </patternFill>
    </fill>
    <fill>
      <patternFill patternType="solid">
        <fgColor theme="8" tint="0.79998168889431442"/>
        <bgColor indexed="64"/>
      </patternFill>
    </fill>
    <fill>
      <patternFill patternType="solid">
        <fgColor rgb="FFB2B2B2"/>
        <bgColor rgb="FFB2B2B2"/>
      </patternFill>
    </fill>
    <fill>
      <patternFill patternType="solid">
        <fgColor rgb="FFFFD757"/>
        <bgColor indexed="64"/>
      </patternFill>
    </fill>
    <fill>
      <patternFill patternType="solid">
        <fgColor rgb="FFCB9763"/>
        <bgColor indexed="64"/>
      </patternFill>
    </fill>
    <fill>
      <patternFill patternType="solid">
        <fgColor theme="5" tint="0.59999389629810485"/>
        <bgColor indexed="64"/>
      </patternFill>
    </fill>
    <fill>
      <patternFill patternType="solid">
        <fgColor rgb="FFFFFFFF"/>
        <bgColor indexed="64"/>
      </patternFill>
    </fill>
    <fill>
      <patternFill patternType="solid">
        <fgColor rgb="FFD56714"/>
        <bgColor indexed="64"/>
      </patternFill>
    </fill>
    <fill>
      <patternFill patternType="solid">
        <fgColor rgb="FFED6B0B"/>
        <bgColor indexed="64"/>
      </patternFill>
    </fill>
    <fill>
      <patternFill patternType="solid">
        <fgColor theme="1"/>
        <bgColor indexed="64"/>
      </patternFill>
    </fill>
    <fill>
      <patternFill patternType="solid">
        <fgColor rgb="FFFFFF00"/>
        <bgColor indexed="64"/>
      </patternFill>
    </fill>
    <fill>
      <patternFill patternType="solid">
        <fgColor rgb="FFB2004C"/>
        <bgColor rgb="FFB2004C"/>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theme="0"/>
        <bgColor indexed="64"/>
      </patternFill>
    </fill>
    <fill>
      <patternFill patternType="solid">
        <fgColor theme="0" tint="-0.249977111117893"/>
        <bgColor indexed="64"/>
      </patternFill>
    </fill>
    <fill>
      <patternFill patternType="solid">
        <fgColor rgb="FFFF8D7E"/>
      </patternFill>
    </fill>
    <fill>
      <patternFill patternType="solid">
        <fgColor rgb="FFB2004C"/>
      </patternFill>
    </fill>
    <fill>
      <patternFill patternType="solid">
        <fgColor theme="5"/>
        <bgColor indexed="27"/>
      </patternFill>
    </fill>
    <fill>
      <patternFill patternType="solid">
        <fgColor indexed="9"/>
        <bgColor indexed="27"/>
      </patternFill>
    </fill>
    <fill>
      <patternFill patternType="solid">
        <fgColor indexed="8"/>
        <bgColor indexed="64"/>
      </patternFill>
    </fill>
    <fill>
      <patternFill patternType="solid">
        <fgColor indexed="9"/>
        <bgColor indexed="64"/>
      </patternFill>
    </fill>
    <fill>
      <patternFill patternType="solid">
        <fgColor rgb="FF996633"/>
        <bgColor indexed="64"/>
      </patternFill>
    </fill>
    <fill>
      <patternFill patternType="solid">
        <fgColor rgb="FFC15940"/>
        <bgColor indexed="64"/>
      </patternFill>
    </fill>
    <fill>
      <patternFill patternType="solid">
        <fgColor rgb="FFDEDDC2"/>
        <bgColor indexed="64"/>
      </patternFill>
    </fill>
    <fill>
      <patternFill patternType="solid">
        <fgColor rgb="FF698763"/>
        <bgColor indexed="64"/>
      </patternFill>
    </fill>
    <fill>
      <patternFill patternType="solid">
        <fgColor rgb="FF8E8E8E"/>
        <bgColor indexed="64"/>
      </patternFill>
    </fill>
    <fill>
      <patternFill patternType="solid">
        <fgColor rgb="FFFAC55C"/>
        <bgColor indexed="64"/>
      </patternFill>
    </fill>
    <fill>
      <patternFill patternType="solid">
        <fgColor rgb="FF81E3C5"/>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99"/>
        <bgColor indexed="64"/>
      </patternFill>
    </fill>
    <fill>
      <patternFill patternType="solid">
        <fgColor rgb="FF99FFCC"/>
        <bgColor indexed="64"/>
      </patternFill>
    </fill>
    <fill>
      <patternFill patternType="solid">
        <fgColor rgb="FFCCCCFF"/>
        <bgColor indexed="64"/>
      </patternFill>
    </fill>
    <fill>
      <patternFill patternType="solid">
        <fgColor rgb="FFFFCCCC"/>
        <bgColor indexed="64"/>
      </patternFill>
    </fill>
    <fill>
      <patternFill patternType="solid">
        <fgColor rgb="FFCCFFFF"/>
        <bgColor indexed="64"/>
      </patternFill>
    </fill>
    <fill>
      <patternFill patternType="solid">
        <fgColor rgb="FFFFFFCC"/>
        <bgColor indexed="64"/>
      </patternFill>
    </fill>
    <fill>
      <patternFill patternType="solid">
        <fgColor rgb="FFCCFFCC"/>
        <bgColor indexed="64"/>
      </patternFill>
    </fill>
    <fill>
      <patternFill patternType="solid">
        <fgColor rgb="FFFFDCB9"/>
        <bgColor indexed="64"/>
      </patternFill>
    </fill>
    <fill>
      <patternFill patternType="solid">
        <fgColor rgb="FFCCECFF"/>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DC6D"/>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B97FF"/>
        <bgColor indexed="64"/>
      </patternFill>
    </fill>
    <fill>
      <patternFill patternType="solid">
        <fgColor rgb="FFFFB7B7"/>
        <bgColor indexed="64"/>
      </patternFill>
    </fill>
    <fill>
      <patternFill patternType="solid">
        <fgColor rgb="FFA7FFA7"/>
        <bgColor indexed="64"/>
      </patternFill>
    </fill>
    <fill>
      <patternFill patternType="solid">
        <fgColor rgb="FFB3E2FF"/>
        <bgColor indexed="64"/>
      </patternFill>
    </fill>
    <fill>
      <patternFill patternType="solid">
        <fgColor indexed="65"/>
        <bgColor rgb="FFF9F9F9"/>
      </patternFill>
    </fill>
    <fill>
      <patternFill patternType="solid">
        <fgColor theme="0"/>
        <bgColor rgb="FFB4C7DC"/>
      </patternFill>
    </fill>
  </fills>
  <borders count="8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B0B0B0"/>
      </left>
      <right style="thin">
        <color rgb="FFB0B0B0"/>
      </right>
      <top style="thin">
        <color rgb="FFB0B0B0"/>
      </top>
      <bottom style="thin">
        <color rgb="FFB0B0B0"/>
      </bottom>
      <diagonal/>
    </border>
    <border>
      <left style="thin">
        <color theme="1"/>
      </left>
      <right/>
      <top style="thin">
        <color theme="1"/>
      </top>
      <bottom style="thin">
        <color theme="1"/>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style="thin">
        <color theme="5" tint="-0.499984740745262"/>
      </right>
      <top/>
      <bottom/>
      <diagonal/>
    </border>
    <border>
      <left style="thin">
        <color theme="5" tint="-0.499984740745262"/>
      </left>
      <right style="thin">
        <color theme="5" tint="-0.499984740745262"/>
      </right>
      <top/>
      <bottom style="thick">
        <color theme="5" tint="-0.499984740745262"/>
      </bottom>
      <diagonal/>
    </border>
    <border>
      <left style="thin">
        <color theme="5" tint="-0.499984740745262"/>
      </left>
      <right style="thin">
        <color theme="5" tint="-0.499984740745262"/>
      </right>
      <top style="thick">
        <color theme="5" tint="-0.499984740745262"/>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right/>
      <top style="dotted">
        <color indexed="64"/>
      </top>
      <bottom style="thick">
        <color indexed="64"/>
      </bottom>
      <diagonal/>
    </border>
    <border>
      <left style="thin">
        <color indexed="64"/>
      </left>
      <right style="hair">
        <color indexed="64"/>
      </right>
      <top style="dotted">
        <color indexed="64"/>
      </top>
      <bottom style="thick">
        <color indexed="64"/>
      </bottom>
      <diagonal/>
    </border>
    <border>
      <left/>
      <right style="hair">
        <color indexed="64"/>
      </right>
      <top style="dotted">
        <color indexed="64"/>
      </top>
      <bottom style="thick">
        <color indexed="64"/>
      </bottom>
      <diagonal/>
    </border>
    <border>
      <left/>
      <right/>
      <top/>
      <bottom style="dotted">
        <color indexed="64"/>
      </bottom>
      <diagonal/>
    </border>
    <border>
      <left style="hair">
        <color indexed="64"/>
      </left>
      <right style="hair">
        <color indexed="64"/>
      </right>
      <top/>
      <bottom style="dotted">
        <color indexed="64"/>
      </bottom>
      <diagonal/>
    </border>
    <border>
      <left/>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thin">
        <color indexed="64"/>
      </left>
      <right style="hair">
        <color indexed="64"/>
      </right>
      <top/>
      <bottom style="dotted">
        <color indexed="64"/>
      </bottom>
      <diagonal/>
    </border>
    <border>
      <left/>
      <right style="hair">
        <color indexed="64"/>
      </right>
      <top/>
      <bottom style="dotted">
        <color indexed="64"/>
      </bottom>
      <diagonal/>
    </border>
    <border>
      <left style="thin">
        <color indexed="64"/>
      </left>
      <right style="hair">
        <color indexed="64"/>
      </right>
      <top style="dotted">
        <color indexed="64"/>
      </top>
      <bottom style="thin">
        <color indexed="64"/>
      </bottom>
      <diagonal/>
    </border>
    <border>
      <left/>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right/>
      <top style="thick">
        <color indexed="64"/>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style="dotted">
        <color indexed="64"/>
      </top>
      <bottom style="thick">
        <color indexed="64"/>
      </bottom>
      <diagonal/>
    </border>
    <border>
      <left style="hair">
        <color indexed="64"/>
      </left>
      <right style="hair">
        <color indexed="64"/>
      </right>
      <top style="dotted">
        <color indexed="64"/>
      </top>
      <bottom/>
      <diagonal/>
    </border>
    <border>
      <left style="hair">
        <color indexed="64"/>
      </left>
      <right style="hair">
        <color indexed="64"/>
      </right>
      <top style="thin">
        <color indexed="64"/>
      </top>
      <bottom style="thick">
        <color indexed="64"/>
      </bottom>
      <diagonal/>
    </border>
    <border>
      <left style="hair">
        <color indexed="64"/>
      </left>
      <right/>
      <top style="thin">
        <color indexed="64"/>
      </top>
      <bottom/>
      <diagonal/>
    </border>
    <border>
      <left/>
      <right style="hair">
        <color indexed="64"/>
      </right>
      <top style="dotted">
        <color indexed="64"/>
      </top>
      <bottom/>
      <diagonal/>
    </border>
    <border>
      <left style="thin">
        <color theme="5" tint="-0.499984740745262"/>
      </left>
      <right/>
      <top style="thin">
        <color theme="5" tint="-0.499984740745262"/>
      </top>
      <bottom style="thin">
        <color theme="5"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5" tint="-0.499984740745262"/>
      </right>
      <top style="thin">
        <color theme="5" tint="-0.499984740745262"/>
      </top>
      <bottom style="thin">
        <color theme="5" tint="-0.499984740745262"/>
      </bottom>
      <diagonal/>
    </border>
    <border>
      <left style="thin">
        <color theme="0"/>
      </left>
      <right style="thin">
        <color theme="0"/>
      </right>
      <top style="thin">
        <color theme="0"/>
      </top>
      <bottom/>
      <diagonal/>
    </border>
    <border>
      <left/>
      <right/>
      <top style="thin">
        <color theme="5" tint="-0.499984740745262"/>
      </top>
      <bottom style="thin">
        <color theme="5" tint="-0.499984740745262"/>
      </bottom>
      <diagonal/>
    </border>
    <border>
      <left/>
      <right style="thin">
        <color indexed="64"/>
      </right>
      <top style="thin">
        <color theme="5" tint="-0.499984740745262"/>
      </top>
      <bottom style="thin">
        <color theme="5" tint="-0.499984740745262"/>
      </bottom>
      <diagonal/>
    </border>
    <border>
      <left/>
      <right style="thin">
        <color theme="0"/>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s>
  <cellStyleXfs count="34">
    <xf numFmtId="0" fontId="0" fillId="0" borderId="0"/>
    <xf numFmtId="43" fontId="7" fillId="0" borderId="0" applyFont="0" applyFill="0" applyBorder="0" applyAlignment="0" applyProtection="0"/>
    <xf numFmtId="0" fontId="15" fillId="14" borderId="6"/>
    <xf numFmtId="0" fontId="16" fillId="0" borderId="6"/>
    <xf numFmtId="0" fontId="17" fillId="0" borderId="0"/>
    <xf numFmtId="0" fontId="18"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19" fillId="0" borderId="0"/>
    <xf numFmtId="0" fontId="23" fillId="0" borderId="0"/>
    <xf numFmtId="0" fontId="17" fillId="0" borderId="0"/>
    <xf numFmtId="0" fontId="8" fillId="0" borderId="0"/>
    <xf numFmtId="0" fontId="5" fillId="0" borderId="0"/>
    <xf numFmtId="168" fontId="37" fillId="0" borderId="0"/>
    <xf numFmtId="9" fontId="8" fillId="0" borderId="0" applyFont="0" applyFill="0" applyBorder="0" applyAlignment="0" applyProtection="0"/>
    <xf numFmtId="0" fontId="4" fillId="0" borderId="0"/>
    <xf numFmtId="0" fontId="57" fillId="0" borderId="0"/>
    <xf numFmtId="0" fontId="70" fillId="0" borderId="0"/>
    <xf numFmtId="0" fontId="50" fillId="0" borderId="0"/>
    <xf numFmtId="0" fontId="50" fillId="0" borderId="0"/>
    <xf numFmtId="0" fontId="70" fillId="0" borderId="0"/>
    <xf numFmtId="9" fontId="50" fillId="0" borderId="0" applyFill="0" applyBorder="0" applyAlignment="0" applyProtection="0"/>
    <xf numFmtId="9" fontId="4" fillId="0" borderId="0" applyFont="0" applyFill="0" applyBorder="0" applyAlignment="0" applyProtection="0"/>
    <xf numFmtId="0" fontId="50" fillId="0" borderId="0"/>
    <xf numFmtId="0" fontId="50" fillId="0" borderId="0"/>
    <xf numFmtId="0" fontId="50" fillId="0" borderId="0"/>
    <xf numFmtId="9" fontId="50" fillId="0" borderId="0" applyFill="0" applyBorder="0" applyAlignment="0" applyProtection="0"/>
    <xf numFmtId="0" fontId="146" fillId="0" borderId="0" applyNumberFormat="0" applyFill="0" applyBorder="0" applyAlignment="0" applyProtection="0"/>
    <xf numFmtId="0" fontId="3" fillId="0" borderId="0"/>
    <xf numFmtId="0" fontId="50" fillId="0" borderId="0"/>
    <xf numFmtId="0" fontId="2" fillId="0" borderId="0"/>
    <xf numFmtId="0" fontId="1" fillId="0" borderId="0"/>
    <xf numFmtId="0" fontId="168" fillId="0" borderId="0" applyNumberFormat="0" applyFill="0" applyBorder="0" applyAlignment="0" applyProtection="0"/>
  </cellStyleXfs>
  <cellXfs count="791">
    <xf numFmtId="0" fontId="0" fillId="0" borderId="0" xfId="0"/>
    <xf numFmtId="0" fontId="9" fillId="2" borderId="1"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0" fillId="3" borderId="0" xfId="0" applyFill="1" applyAlignment="1">
      <alignment horizontal="center"/>
    </xf>
    <xf numFmtId="49" fontId="0" fillId="3" borderId="0" xfId="0" applyNumberFormat="1" applyFill="1"/>
    <xf numFmtId="0" fontId="0" fillId="3" borderId="0" xfId="0" applyFill="1"/>
    <xf numFmtId="0" fontId="0" fillId="4" borderId="0" xfId="0" applyFill="1" applyAlignment="1">
      <alignment horizontal="center"/>
    </xf>
    <xf numFmtId="0" fontId="8" fillId="4" borderId="0" xfId="0" applyFont="1" applyFill="1"/>
    <xf numFmtId="0" fontId="0" fillId="4" borderId="0" xfId="0" applyFill="1"/>
    <xf numFmtId="49" fontId="0" fillId="4" borderId="0" xfId="0" applyNumberFormat="1" applyFill="1"/>
    <xf numFmtId="0" fontId="0" fillId="0" borderId="0" xfId="0" applyAlignment="1">
      <alignment horizontal="center"/>
    </xf>
    <xf numFmtId="0" fontId="8" fillId="0" borderId="0" xfId="0" applyFont="1"/>
    <xf numFmtId="49" fontId="8" fillId="0" borderId="0" xfId="0" applyNumberFormat="1" applyFont="1"/>
    <xf numFmtId="0" fontId="0" fillId="6" borderId="0" xfId="0" applyFill="1" applyAlignment="1">
      <alignment horizontal="center"/>
    </xf>
    <xf numFmtId="0" fontId="0" fillId="6" borderId="0" xfId="0" applyFill="1"/>
    <xf numFmtId="49" fontId="0" fillId="6" borderId="0" xfId="0" applyNumberFormat="1" applyFill="1"/>
    <xf numFmtId="0" fontId="10" fillId="0" borderId="4" xfId="0" applyFont="1" applyBorder="1" applyAlignment="1">
      <alignment horizontal="center" vertical="center"/>
    </xf>
    <xf numFmtId="0" fontId="11" fillId="7" borderId="4" xfId="0" applyFont="1" applyFill="1" applyBorder="1" applyAlignment="1">
      <alignment horizontal="center" textRotation="90"/>
    </xf>
    <xf numFmtId="0" fontId="0" fillId="0" borderId="0" xfId="0" applyAlignment="1">
      <alignment horizontal="center" vertical="center"/>
    </xf>
    <xf numFmtId="0" fontId="10" fillId="0" borderId="4" xfId="0" applyFont="1" applyBorder="1" applyAlignment="1">
      <alignment horizontal="center" vertical="top"/>
    </xf>
    <xf numFmtId="0" fontId="12" fillId="0" borderId="0" xfId="0" applyFont="1" applyAlignment="1">
      <alignment horizontal="center" vertical="center"/>
    </xf>
    <xf numFmtId="0" fontId="11" fillId="7" borderId="0" xfId="0" applyFont="1" applyFill="1"/>
    <xf numFmtId="0" fontId="9" fillId="8" borderId="1" xfId="0" applyFont="1" applyFill="1" applyBorder="1" applyAlignment="1">
      <alignment horizontal="center" vertical="center" wrapText="1" shrinkToFit="1"/>
    </xf>
    <xf numFmtId="0" fontId="9" fillId="8" borderId="2" xfId="0" applyFont="1" applyFill="1" applyBorder="1" applyAlignment="1">
      <alignment horizontal="center" vertical="center" wrapText="1" shrinkToFit="1"/>
    </xf>
    <xf numFmtId="0" fontId="13" fillId="9" borderId="2" xfId="0" applyFont="1" applyFill="1" applyBorder="1" applyAlignment="1">
      <alignment horizontal="center" vertical="center" wrapText="1"/>
    </xf>
    <xf numFmtId="0" fontId="9" fillId="8" borderId="3" xfId="0" applyFont="1" applyFill="1" applyBorder="1" applyAlignment="1">
      <alignment horizontal="center" vertical="center" wrapText="1" shrinkToFit="1"/>
    </xf>
    <xf numFmtId="2" fontId="0" fillId="0" borderId="0" xfId="0" applyNumberFormat="1" applyAlignment="1">
      <alignment horizontal="center"/>
    </xf>
    <xf numFmtId="0" fontId="13" fillId="10" borderId="1" xfId="0" applyFont="1" applyFill="1" applyBorder="1" applyAlignment="1">
      <alignment horizontal="center" vertical="center"/>
    </xf>
    <xf numFmtId="0" fontId="13" fillId="10" borderId="2" xfId="0" applyFont="1" applyFill="1" applyBorder="1" applyAlignment="1">
      <alignment horizontal="center" vertical="center"/>
    </xf>
    <xf numFmtId="9" fontId="0" fillId="0" borderId="0" xfId="0" applyNumberFormat="1"/>
    <xf numFmtId="0" fontId="9" fillId="11" borderId="1" xfId="0" applyFont="1" applyFill="1" applyBorder="1" applyAlignment="1">
      <alignment horizontal="center" vertical="center" wrapText="1" shrinkToFit="1"/>
    </xf>
    <xf numFmtId="0" fontId="9" fillId="11" borderId="2" xfId="0" applyFont="1" applyFill="1" applyBorder="1" applyAlignment="1">
      <alignment horizontal="center" vertical="center" wrapText="1" shrinkToFit="1"/>
    </xf>
    <xf numFmtId="0" fontId="9" fillId="11" borderId="3" xfId="0" applyFont="1" applyFill="1" applyBorder="1" applyAlignment="1">
      <alignment horizontal="center" vertical="center" wrapText="1" shrinkToFit="1"/>
    </xf>
    <xf numFmtId="0" fontId="0" fillId="5" borderId="0" xfId="0" applyFill="1" applyAlignment="1">
      <alignment horizontal="center" vertical="center"/>
    </xf>
    <xf numFmtId="0" fontId="0" fillId="3" borderId="0" xfId="0" applyFill="1" applyAlignment="1">
      <alignment horizontal="center" vertical="center"/>
    </xf>
    <xf numFmtId="0" fontId="0" fillId="13" borderId="0" xfId="0" applyFill="1" applyAlignment="1">
      <alignment horizontal="center"/>
    </xf>
    <xf numFmtId="0" fontId="8" fillId="13" borderId="0" xfId="0" applyFont="1" applyFill="1"/>
    <xf numFmtId="0" fontId="0" fillId="13" borderId="0" xfId="0" applyFill="1"/>
    <xf numFmtId="0" fontId="8" fillId="6" borderId="0" xfId="0" applyFont="1" applyFill="1"/>
    <xf numFmtId="0" fontId="11" fillId="7" borderId="4" xfId="0" applyFont="1" applyFill="1" applyBorder="1" applyAlignment="1">
      <alignment horizontal="right" vertical="top"/>
    </xf>
    <xf numFmtId="0" fontId="0" fillId="15" borderId="0" xfId="0" applyFill="1"/>
    <xf numFmtId="0" fontId="8" fillId="13" borderId="0" xfId="0" applyFont="1" applyFill="1" applyAlignment="1">
      <alignment horizontal="center"/>
    </xf>
    <xf numFmtId="49" fontId="0" fillId="13" borderId="0" xfId="0" applyNumberFormat="1" applyFill="1"/>
    <xf numFmtId="0" fontId="0" fillId="16" borderId="0" xfId="0" applyFill="1"/>
    <xf numFmtId="0" fontId="0" fillId="17" borderId="0" xfId="0" applyFill="1"/>
    <xf numFmtId="0" fontId="20" fillId="0" borderId="0" xfId="9" applyFont="1"/>
    <xf numFmtId="0" fontId="19" fillId="0" borderId="0" xfId="9"/>
    <xf numFmtId="165" fontId="21" fillId="0" borderId="0" xfId="9" applyNumberFormat="1" applyFont="1"/>
    <xf numFmtId="0" fontId="22" fillId="0" borderId="0" xfId="9" applyFont="1"/>
    <xf numFmtId="0" fontId="23" fillId="18" borderId="0" xfId="10" applyFill="1" applyAlignment="1">
      <alignment horizontal="left"/>
    </xf>
    <xf numFmtId="0" fontId="27" fillId="19" borderId="0" xfId="10" applyFont="1" applyFill="1" applyAlignment="1">
      <alignment horizontal="center" vertical="center"/>
    </xf>
    <xf numFmtId="0" fontId="27" fillId="19" borderId="0" xfId="10" applyFont="1" applyFill="1" applyAlignment="1">
      <alignment horizontal="center" vertical="center" wrapText="1"/>
    </xf>
    <xf numFmtId="0" fontId="28" fillId="18" borderId="0" xfId="10" applyFont="1" applyFill="1" applyAlignment="1">
      <alignment horizontal="left"/>
    </xf>
    <xf numFmtId="166" fontId="28" fillId="18" borderId="0" xfId="10" applyNumberFormat="1" applyFont="1" applyFill="1" applyAlignment="1">
      <alignment horizontal="right"/>
    </xf>
    <xf numFmtId="167" fontId="28" fillId="18" borderId="0" xfId="10" applyNumberFormat="1" applyFont="1" applyFill="1" applyAlignment="1">
      <alignment horizontal="right"/>
    </xf>
    <xf numFmtId="3" fontId="28" fillId="18" borderId="0" xfId="10" applyNumberFormat="1" applyFont="1" applyFill="1" applyAlignment="1">
      <alignment horizontal="right"/>
    </xf>
    <xf numFmtId="0" fontId="27" fillId="20" borderId="0" xfId="10" applyFont="1" applyFill="1" applyAlignment="1">
      <alignment horizontal="center" vertical="center"/>
    </xf>
    <xf numFmtId="0" fontId="0" fillId="21" borderId="0" xfId="0" applyFill="1"/>
    <xf numFmtId="0" fontId="12" fillId="0" borderId="9" xfId="12" applyFont="1" applyBorder="1"/>
    <xf numFmtId="0" fontId="8" fillId="0" borderId="10" xfId="12" applyBorder="1"/>
    <xf numFmtId="0" fontId="12" fillId="0" borderId="11" xfId="12" applyFont="1" applyBorder="1"/>
    <xf numFmtId="0" fontId="8" fillId="0" borderId="12" xfId="12" applyBorder="1"/>
    <xf numFmtId="0" fontId="12" fillId="0" borderId="13" xfId="12" applyFont="1" applyBorder="1"/>
    <xf numFmtId="0" fontId="8" fillId="0" borderId="14" xfId="12" applyBorder="1"/>
    <xf numFmtId="10" fontId="0" fillId="22" borderId="0" xfId="0" applyNumberFormat="1" applyFill="1"/>
    <xf numFmtId="0" fontId="8" fillId="0" borderId="12" xfId="12" applyBorder="1" applyAlignment="1">
      <alignment horizontal="left"/>
    </xf>
    <xf numFmtId="0" fontId="33" fillId="0" borderId="0" xfId="0" applyFont="1"/>
    <xf numFmtId="0" fontId="34" fillId="0" borderId="0" xfId="0" applyFont="1"/>
    <xf numFmtId="0" fontId="35" fillId="0" borderId="0" xfId="0" applyFont="1"/>
    <xf numFmtId="0" fontId="38" fillId="23" borderId="6" xfId="14" applyNumberFormat="1" applyFont="1" applyFill="1" applyBorder="1" applyAlignment="1">
      <alignment horizontal="center" vertical="center" wrapText="1"/>
    </xf>
    <xf numFmtId="0" fontId="36" fillId="0" borderId="6" xfId="0" applyFont="1" applyBorder="1"/>
    <xf numFmtId="1" fontId="36" fillId="0" borderId="6" xfId="0" applyNumberFormat="1" applyFont="1" applyBorder="1"/>
    <xf numFmtId="0" fontId="39" fillId="0" borderId="0" xfId="4" applyFont="1" applyAlignment="1">
      <alignment horizontal="left" vertical="center"/>
    </xf>
    <xf numFmtId="0" fontId="17" fillId="0" borderId="0" xfId="4"/>
    <xf numFmtId="0" fontId="40" fillId="0" borderId="0" xfId="4" applyFont="1" applyAlignment="1">
      <alignment horizontal="left" vertical="center"/>
    </xf>
    <xf numFmtId="0" fontId="41" fillId="24" borderId="15" xfId="4" applyFont="1" applyFill="1" applyBorder="1" applyAlignment="1">
      <alignment horizontal="left" vertical="center"/>
    </xf>
    <xf numFmtId="0" fontId="40" fillId="25" borderId="15" xfId="4" applyFont="1" applyFill="1" applyBorder="1" applyAlignment="1">
      <alignment horizontal="left" vertical="center"/>
    </xf>
    <xf numFmtId="0" fontId="17" fillId="26" borderId="0" xfId="4" applyFill="1"/>
    <xf numFmtId="0" fontId="40" fillId="27" borderId="15" xfId="4" applyFont="1" applyFill="1" applyBorder="1" applyAlignment="1">
      <alignment horizontal="left" vertical="center"/>
    </xf>
    <xf numFmtId="3" fontId="39" fillId="0" borderId="0" xfId="4" applyNumberFormat="1" applyFont="1" applyAlignment="1">
      <alignment horizontal="right" vertical="center" shrinkToFit="1"/>
    </xf>
    <xf numFmtId="3" fontId="39" fillId="28" borderId="0" xfId="4" applyNumberFormat="1" applyFont="1" applyFill="1" applyAlignment="1">
      <alignment horizontal="right" vertical="center" shrinkToFit="1"/>
    </xf>
    <xf numFmtId="169" fontId="39" fillId="0" borderId="0" xfId="4" applyNumberFormat="1" applyFont="1" applyAlignment="1">
      <alignment horizontal="right" vertical="center" shrinkToFit="1"/>
    </xf>
    <xf numFmtId="169" fontId="39" fillId="28" borderId="0" xfId="4" applyNumberFormat="1" applyFont="1" applyFill="1" applyAlignment="1">
      <alignment horizontal="right" vertical="center" shrinkToFit="1"/>
    </xf>
    <xf numFmtId="4" fontId="39" fillId="28" borderId="0" xfId="4" applyNumberFormat="1" applyFont="1" applyFill="1" applyAlignment="1">
      <alignment horizontal="right" vertical="center" shrinkToFit="1"/>
    </xf>
    <xf numFmtId="4" fontId="39" fillId="0" borderId="0" xfId="4" applyNumberFormat="1" applyFont="1" applyAlignment="1">
      <alignment horizontal="right" vertical="center" shrinkToFit="1"/>
    </xf>
    <xf numFmtId="170" fontId="21" fillId="0" borderId="0" xfId="9" applyNumberFormat="1" applyFont="1"/>
    <xf numFmtId="164" fontId="0" fillId="0" borderId="0" xfId="1" applyNumberFormat="1" applyFont="1"/>
    <xf numFmtId="0" fontId="44" fillId="0" borderId="0" xfId="0" applyFont="1"/>
    <xf numFmtId="0" fontId="0" fillId="29" borderId="0" xfId="0" applyFill="1"/>
    <xf numFmtId="0" fontId="45" fillId="19" borderId="17" xfId="0" applyFont="1" applyFill="1" applyBorder="1" applyAlignment="1">
      <alignment horizontal="center" vertical="center" wrapText="1"/>
    </xf>
    <xf numFmtId="0" fontId="46" fillId="30" borderId="0" xfId="0" applyFont="1" applyFill="1" applyAlignment="1">
      <alignment horizontal="center" vertical="center" wrapText="1"/>
    </xf>
    <xf numFmtId="0" fontId="0" fillId="21" borderId="0" xfId="0" applyFill="1" applyAlignment="1">
      <alignment vertical="center"/>
    </xf>
    <xf numFmtId="0" fontId="0" fillId="29" borderId="0" xfId="0" applyFill="1" applyAlignment="1">
      <alignment vertical="center"/>
    </xf>
    <xf numFmtId="0" fontId="45" fillId="19" borderId="17" xfId="0" applyFont="1" applyFill="1" applyBorder="1" applyAlignment="1">
      <alignment horizontal="center" vertical="center"/>
    </xf>
    <xf numFmtId="0" fontId="46" fillId="30" borderId="0" xfId="0" applyFont="1" applyFill="1" applyAlignment="1">
      <alignment horizontal="center" vertical="center"/>
    </xf>
    <xf numFmtId="0" fontId="47" fillId="29" borderId="4" xfId="0" applyFont="1" applyFill="1" applyBorder="1" applyAlignment="1">
      <alignment horizontal="center" vertical="center"/>
    </xf>
    <xf numFmtId="0" fontId="48" fillId="19" borderId="17" xfId="0" applyFont="1" applyFill="1" applyBorder="1" applyAlignment="1">
      <alignment vertical="center"/>
    </xf>
    <xf numFmtId="3" fontId="49" fillId="19" borderId="17" xfId="0" applyNumberFormat="1" applyFont="1" applyFill="1" applyBorder="1" applyAlignment="1">
      <alignment horizontal="center" vertical="center"/>
    </xf>
    <xf numFmtId="3" fontId="50" fillId="30" borderId="0" xfId="0" applyNumberFormat="1" applyFont="1" applyFill="1" applyAlignment="1">
      <alignment horizontal="center" vertical="center"/>
    </xf>
    <xf numFmtId="3" fontId="47" fillId="29" borderId="4" xfId="0" applyNumberFormat="1" applyFont="1" applyFill="1" applyBorder="1" applyAlignment="1">
      <alignment horizontal="center" vertical="center"/>
    </xf>
    <xf numFmtId="10" fontId="47" fillId="29" borderId="4" xfId="0" applyNumberFormat="1" applyFont="1" applyFill="1" applyBorder="1" applyAlignment="1">
      <alignment horizontal="center" vertical="center"/>
    </xf>
    <xf numFmtId="14" fontId="55" fillId="0" borderId="0" xfId="0" applyNumberFormat="1" applyFont="1" applyAlignment="1">
      <alignment vertical="center"/>
    </xf>
    <xf numFmtId="0" fontId="45" fillId="19" borderId="22" xfId="0" applyFont="1" applyFill="1" applyBorder="1" applyAlignment="1">
      <alignment horizontal="center" vertical="center" wrapText="1"/>
    </xf>
    <xf numFmtId="0" fontId="45" fillId="19" borderId="23" xfId="0" applyFont="1" applyFill="1" applyBorder="1" applyAlignment="1">
      <alignment horizontal="center" vertical="center" wrapText="1"/>
    </xf>
    <xf numFmtId="0" fontId="45" fillId="19" borderId="24" xfId="0" applyFont="1" applyFill="1" applyBorder="1" applyAlignment="1">
      <alignment horizontal="center" vertical="center"/>
    </xf>
    <xf numFmtId="3" fontId="56" fillId="19" borderId="17" xfId="0" applyNumberFormat="1" applyFont="1" applyFill="1" applyBorder="1" applyAlignment="1">
      <alignment horizontal="center" vertical="center"/>
    </xf>
    <xf numFmtId="0" fontId="48" fillId="19" borderId="29" xfId="0" applyFont="1" applyFill="1" applyBorder="1" applyAlignment="1">
      <alignment vertical="center"/>
    </xf>
    <xf numFmtId="1" fontId="47" fillId="29" borderId="31" xfId="15" applyNumberFormat="1" applyFont="1" applyFill="1" applyBorder="1" applyAlignment="1">
      <alignment horizontal="center" vertical="center"/>
    </xf>
    <xf numFmtId="0" fontId="52" fillId="29" borderId="0" xfId="0" applyFont="1" applyFill="1"/>
    <xf numFmtId="0" fontId="50" fillId="29" borderId="0" xfId="0" applyFont="1" applyFill="1"/>
    <xf numFmtId="10" fontId="0" fillId="0" borderId="0" xfId="0" applyNumberFormat="1"/>
    <xf numFmtId="0" fontId="48" fillId="19" borderId="24" xfId="0" applyFont="1" applyFill="1" applyBorder="1" applyAlignment="1">
      <alignment vertical="center"/>
    </xf>
    <xf numFmtId="0" fontId="46" fillId="29" borderId="33" xfId="0" applyFont="1" applyFill="1" applyBorder="1" applyAlignment="1">
      <alignment vertical="center"/>
    </xf>
    <xf numFmtId="0" fontId="46" fillId="29" borderId="0" xfId="0" applyFont="1" applyFill="1" applyAlignment="1">
      <alignment vertical="center"/>
    </xf>
    <xf numFmtId="0" fontId="51" fillId="29" borderId="33" xfId="0" applyFont="1" applyFill="1" applyBorder="1" applyAlignment="1">
      <alignment vertical="center"/>
    </xf>
    <xf numFmtId="0" fontId="51" fillId="29" borderId="0" xfId="0" applyFont="1" applyFill="1" applyAlignment="1">
      <alignment vertical="center"/>
    </xf>
    <xf numFmtId="0" fontId="12" fillId="0" borderId="0" xfId="0" applyFont="1"/>
    <xf numFmtId="0" fontId="12" fillId="0" borderId="0" xfId="0" applyFont="1" applyAlignment="1">
      <alignment horizontal="center"/>
    </xf>
    <xf numFmtId="0" fontId="57" fillId="21" borderId="0" xfId="17" applyFill="1"/>
    <xf numFmtId="0" fontId="57" fillId="0" borderId="0" xfId="17"/>
    <xf numFmtId="0" fontId="61" fillId="31" borderId="6" xfId="17" applyFont="1" applyFill="1" applyBorder="1" applyAlignment="1">
      <alignment horizontal="center" vertical="center" wrapText="1"/>
    </xf>
    <xf numFmtId="0" fontId="60" fillId="0" borderId="42" xfId="17" applyFont="1" applyBorder="1" applyAlignment="1">
      <alignment horizontal="center" vertical="center" wrapText="1"/>
    </xf>
    <xf numFmtId="0" fontId="61" fillId="0" borderId="42" xfId="17" applyFont="1" applyBorder="1" applyAlignment="1">
      <alignment horizontal="left" vertical="center" wrapText="1"/>
    </xf>
    <xf numFmtId="171" fontId="61" fillId="0" borderId="42" xfId="17" applyNumberFormat="1" applyFont="1" applyBorder="1" applyAlignment="1">
      <alignment horizontal="right" vertical="center" wrapText="1" indent="1"/>
    </xf>
    <xf numFmtId="0" fontId="57" fillId="0" borderId="42" xfId="17" applyBorder="1" applyAlignment="1">
      <alignment horizontal="left" vertical="center" wrapText="1"/>
    </xf>
    <xf numFmtId="171" fontId="57" fillId="22" borderId="42" xfId="17" applyNumberFormat="1" applyFill="1" applyBorder="1" applyAlignment="1">
      <alignment horizontal="right" vertical="center" wrapText="1" indent="1"/>
    </xf>
    <xf numFmtId="171" fontId="57" fillId="0" borderId="42" xfId="17" applyNumberFormat="1" applyBorder="1" applyAlignment="1">
      <alignment horizontal="right" vertical="center" wrapText="1" indent="1"/>
    </xf>
    <xf numFmtId="0" fontId="57" fillId="0" borderId="42" xfId="17" applyBorder="1" applyAlignment="1">
      <alignment horizontal="left" vertical="center" wrapText="1" indent="1"/>
    </xf>
    <xf numFmtId="0" fontId="61" fillId="0" borderId="42" xfId="0" applyFont="1" applyBorder="1" applyAlignment="1">
      <alignment horizontal="left" vertical="center" wrapText="1"/>
    </xf>
    <xf numFmtId="171" fontId="61" fillId="0" borderId="42" xfId="0" applyNumberFormat="1" applyFont="1" applyBorder="1" applyAlignment="1">
      <alignment horizontal="right" vertical="center" wrapText="1" indent="1"/>
    </xf>
    <xf numFmtId="172" fontId="61" fillId="0" borderId="42" xfId="0" applyNumberFormat="1" applyFont="1" applyBorder="1" applyAlignment="1">
      <alignment horizontal="right" vertical="center" wrapText="1" indent="1"/>
    </xf>
    <xf numFmtId="0" fontId="0" fillId="0" borderId="42" xfId="0" applyBorder="1" applyAlignment="1">
      <alignment horizontal="left" vertical="center" wrapText="1"/>
    </xf>
    <xf numFmtId="171" fontId="0" fillId="0" borderId="42" xfId="0" applyNumberFormat="1" applyBorder="1" applyAlignment="1">
      <alignment horizontal="right" vertical="center" wrapText="1" indent="1"/>
    </xf>
    <xf numFmtId="172" fontId="0" fillId="0" borderId="42" xfId="0" applyNumberFormat="1" applyBorder="1" applyAlignment="1">
      <alignment horizontal="right" vertical="center" wrapText="1" indent="1"/>
    </xf>
    <xf numFmtId="0" fontId="64" fillId="0" borderId="0" xfId="17" applyFont="1"/>
    <xf numFmtId="0" fontId="65" fillId="0" borderId="0" xfId="0" applyFont="1"/>
    <xf numFmtId="0" fontId="66" fillId="0" borderId="0" xfId="0" applyFont="1"/>
    <xf numFmtId="0" fontId="67" fillId="32" borderId="4" xfId="0" applyFont="1" applyFill="1" applyBorder="1" applyAlignment="1">
      <alignment horizontal="left" vertical="center" wrapText="1"/>
    </xf>
    <xf numFmtId="0" fontId="67" fillId="32" borderId="4" xfId="0" applyFont="1" applyFill="1" applyBorder="1" applyAlignment="1">
      <alignment horizontal="center" vertical="center" wrapText="1"/>
    </xf>
    <xf numFmtId="0" fontId="0" fillId="0" borderId="4" xfId="0" applyBorder="1"/>
    <xf numFmtId="0" fontId="0" fillId="0" borderId="4" xfId="0" applyBorder="1" applyAlignment="1">
      <alignment horizontal="center"/>
    </xf>
    <xf numFmtId="1" fontId="68" fillId="0" borderId="6" xfId="0" applyNumberFormat="1" applyFont="1" applyBorder="1"/>
    <xf numFmtId="0" fontId="69" fillId="0" borderId="4" xfId="0" applyFont="1" applyBorder="1" applyAlignment="1">
      <alignment horizontal="center"/>
    </xf>
    <xf numFmtId="0" fontId="0" fillId="0" borderId="0" xfId="0" applyAlignment="1">
      <alignment vertical="center"/>
    </xf>
    <xf numFmtId="0" fontId="0" fillId="0" borderId="0" xfId="0" applyAlignment="1">
      <alignment vertical="center" wrapText="1"/>
    </xf>
    <xf numFmtId="164" fontId="0" fillId="0" borderId="0" xfId="0" applyNumberFormat="1"/>
    <xf numFmtId="0" fontId="71" fillId="0" borderId="0" xfId="18" applyFont="1" applyAlignment="1">
      <alignment vertical="center" wrapText="1"/>
    </xf>
    <xf numFmtId="0" fontId="72" fillId="11" borderId="0" xfId="18" applyFont="1" applyFill="1" applyAlignment="1">
      <alignment horizontal="center" vertical="center"/>
    </xf>
    <xf numFmtId="0" fontId="4" fillId="11" borderId="0" xfId="16" applyFill="1"/>
    <xf numFmtId="0" fontId="4" fillId="0" borderId="0" xfId="16"/>
    <xf numFmtId="0" fontId="74" fillId="0" borderId="33" xfId="19" applyFont="1" applyBorder="1" applyProtection="1">
      <protection locked="0"/>
    </xf>
    <xf numFmtId="0" fontId="75" fillId="0" borderId="44" xfId="19" applyFont="1" applyBorder="1" applyAlignment="1" applyProtection="1">
      <alignment horizontal="center"/>
      <protection locked="0"/>
    </xf>
    <xf numFmtId="0" fontId="75" fillId="0" borderId="45" xfId="19" applyFont="1" applyBorder="1" applyAlignment="1" applyProtection="1">
      <alignment horizontal="center"/>
      <protection locked="0"/>
    </xf>
    <xf numFmtId="0" fontId="74" fillId="0" borderId="39" xfId="19" applyFont="1" applyBorder="1" applyAlignment="1">
      <alignment horizontal="left"/>
    </xf>
    <xf numFmtId="0" fontId="76" fillId="0" borderId="46" xfId="19" applyFont="1" applyBorder="1" applyAlignment="1" applyProtection="1">
      <alignment horizontal="center"/>
      <protection locked="0"/>
    </xf>
    <xf numFmtId="0" fontId="76" fillId="0" borderId="47" xfId="19" applyFont="1" applyBorder="1" applyAlignment="1" applyProtection="1">
      <alignment horizontal="center"/>
      <protection locked="0"/>
    </xf>
    <xf numFmtId="0" fontId="77" fillId="0" borderId="47" xfId="19" applyFont="1" applyBorder="1" applyAlignment="1" applyProtection="1">
      <alignment horizontal="center"/>
      <protection locked="0"/>
    </xf>
    <xf numFmtId="0" fontId="78" fillId="0" borderId="47" xfId="19" applyFont="1" applyBorder="1" applyAlignment="1" applyProtection="1">
      <alignment horizontal="center"/>
      <protection locked="0"/>
    </xf>
    <xf numFmtId="0" fontId="79" fillId="0" borderId="47" xfId="19" applyFont="1" applyBorder="1" applyAlignment="1" applyProtection="1">
      <alignment horizontal="center"/>
      <protection locked="0"/>
    </xf>
    <xf numFmtId="22" fontId="80" fillId="0" borderId="0" xfId="20" applyNumberFormat="1" applyFont="1" applyAlignment="1" applyProtection="1">
      <alignment horizontal="center" vertical="center"/>
      <protection locked="0"/>
    </xf>
    <xf numFmtId="14" fontId="81" fillId="0" borderId="48" xfId="20" applyNumberFormat="1" applyFont="1" applyBorder="1" applyAlignment="1" applyProtection="1">
      <alignment horizontal="center"/>
      <protection locked="0"/>
    </xf>
    <xf numFmtId="14" fontId="81" fillId="0" borderId="49" xfId="20" applyNumberFormat="1" applyFont="1" applyBorder="1" applyAlignment="1" applyProtection="1">
      <alignment horizontal="center"/>
      <protection locked="0"/>
    </xf>
    <xf numFmtId="14" fontId="82" fillId="0" borderId="49" xfId="20" applyNumberFormat="1" applyFont="1" applyBorder="1" applyAlignment="1" applyProtection="1">
      <alignment horizontal="center"/>
      <protection locked="0"/>
    </xf>
    <xf numFmtId="14" fontId="83" fillId="0" borderId="49" xfId="20" applyNumberFormat="1" applyFont="1" applyBorder="1" applyAlignment="1" applyProtection="1">
      <alignment horizontal="center"/>
      <protection locked="0"/>
    </xf>
    <xf numFmtId="0" fontId="84" fillId="0" borderId="0" xfId="18" applyFont="1" applyAlignment="1" applyProtection="1">
      <alignment horizontal="left"/>
      <protection locked="0"/>
    </xf>
    <xf numFmtId="10" fontId="85" fillId="0" borderId="48" xfId="21" applyNumberFormat="1" applyFont="1" applyBorder="1" applyAlignment="1" applyProtection="1">
      <alignment horizontal="center"/>
      <protection locked="0"/>
    </xf>
    <xf numFmtId="10" fontId="85" fillId="0" borderId="49" xfId="21" applyNumberFormat="1" applyFont="1" applyBorder="1" applyAlignment="1" applyProtection="1">
      <alignment horizontal="center"/>
      <protection locked="0"/>
    </xf>
    <xf numFmtId="0" fontId="86" fillId="0" borderId="0" xfId="21" applyFont="1" applyAlignment="1">
      <alignment horizontal="center"/>
    </xf>
    <xf numFmtId="9" fontId="76" fillId="0" borderId="48" xfId="22" applyFont="1" applyFill="1" applyBorder="1" applyAlignment="1">
      <alignment horizontal="center" vertical="center"/>
    </xf>
    <xf numFmtId="9" fontId="76" fillId="0" borderId="49" xfId="22" applyFont="1" applyFill="1" applyBorder="1" applyAlignment="1">
      <alignment horizontal="center" vertical="center"/>
    </xf>
    <xf numFmtId="9" fontId="87" fillId="0" borderId="49" xfId="22" applyFont="1" applyFill="1" applyBorder="1" applyAlignment="1">
      <alignment horizontal="center" vertical="center"/>
    </xf>
    <xf numFmtId="0" fontId="74" fillId="0" borderId="0" xfId="18" applyFont="1" applyAlignment="1" applyProtection="1">
      <alignment horizontal="left"/>
      <protection locked="0"/>
    </xf>
    <xf numFmtId="3" fontId="76" fillId="0" borderId="48" xfId="18" applyNumberFormat="1" applyFont="1" applyBorder="1" applyProtection="1">
      <protection locked="0"/>
    </xf>
    <xf numFmtId="3" fontId="76" fillId="0" borderId="49" xfId="18" applyNumberFormat="1" applyFont="1" applyBorder="1" applyProtection="1">
      <protection locked="0"/>
    </xf>
    <xf numFmtId="3" fontId="88" fillId="0" borderId="49" xfId="16" applyNumberFormat="1" applyFont="1" applyBorder="1" applyAlignment="1" applyProtection="1">
      <alignment vertical="center"/>
      <protection locked="0"/>
    </xf>
    <xf numFmtId="3" fontId="89" fillId="0" borderId="49" xfId="16" applyNumberFormat="1" applyFont="1" applyBorder="1" applyAlignment="1" applyProtection="1">
      <alignment vertical="center"/>
      <protection locked="0"/>
    </xf>
    <xf numFmtId="3" fontId="89" fillId="0" borderId="49" xfId="18" applyNumberFormat="1" applyFont="1" applyBorder="1" applyProtection="1">
      <protection locked="0"/>
    </xf>
    <xf numFmtId="173" fontId="76" fillId="0" borderId="48" xfId="18" applyNumberFormat="1" applyFont="1" applyBorder="1" applyProtection="1">
      <protection locked="0"/>
    </xf>
    <xf numFmtId="173" fontId="76" fillId="0" borderId="49" xfId="18" applyNumberFormat="1" applyFont="1" applyBorder="1" applyProtection="1">
      <protection locked="0"/>
    </xf>
    <xf numFmtId="173" fontId="89" fillId="0" borderId="49" xfId="18" applyNumberFormat="1" applyFont="1" applyBorder="1" applyProtection="1">
      <protection locked="0"/>
    </xf>
    <xf numFmtId="0" fontId="90" fillId="0" borderId="0" xfId="18" applyFont="1" applyProtection="1">
      <protection locked="0"/>
    </xf>
    <xf numFmtId="174" fontId="77" fillId="0" borderId="48" xfId="18" applyNumberFormat="1" applyFont="1" applyBorder="1" applyProtection="1">
      <protection locked="0"/>
    </xf>
    <xf numFmtId="174" fontId="77" fillId="0" borderId="49" xfId="18" applyNumberFormat="1" applyFont="1" applyBorder="1" applyProtection="1">
      <protection locked="0"/>
    </xf>
    <xf numFmtId="174" fontId="76" fillId="0" borderId="49" xfId="18" applyNumberFormat="1" applyFont="1" applyBorder="1" applyProtection="1">
      <protection locked="0"/>
    </xf>
    <xf numFmtId="174" fontId="87" fillId="0" borderId="49" xfId="18" applyNumberFormat="1" applyFont="1" applyBorder="1" applyProtection="1">
      <protection locked="0"/>
    </xf>
    <xf numFmtId="3" fontId="76" fillId="0" borderId="48" xfId="22" applyNumberFormat="1" applyFont="1" applyFill="1" applyBorder="1" applyAlignment="1" applyProtection="1"/>
    <xf numFmtId="3" fontId="76" fillId="0" borderId="49" xfId="22" applyNumberFormat="1" applyFont="1" applyFill="1" applyBorder="1" applyAlignment="1" applyProtection="1"/>
    <xf numFmtId="0" fontId="74" fillId="0" borderId="0" xfId="18" applyFont="1" applyAlignment="1" applyProtection="1">
      <alignment horizontal="left" wrapText="1"/>
      <protection locked="0"/>
    </xf>
    <xf numFmtId="3" fontId="89" fillId="0" borderId="49" xfId="22" applyNumberFormat="1" applyFont="1" applyFill="1" applyBorder="1" applyAlignment="1" applyProtection="1"/>
    <xf numFmtId="9" fontId="76" fillId="0" borderId="49" xfId="23" applyFont="1" applyFill="1" applyBorder="1" applyAlignment="1" applyProtection="1"/>
    <xf numFmtId="0" fontId="74" fillId="0" borderId="0" xfId="18" applyFont="1" applyAlignment="1" applyProtection="1">
      <alignment vertical="top" wrapText="1"/>
      <protection locked="0"/>
    </xf>
    <xf numFmtId="0" fontId="91" fillId="0" borderId="0" xfId="16" applyFont="1" applyAlignment="1">
      <alignment horizontal="center" vertical="center"/>
    </xf>
    <xf numFmtId="0" fontId="84" fillId="33" borderId="0" xfId="19" applyFont="1" applyFill="1" applyAlignment="1">
      <alignment horizontal="left"/>
    </xf>
    <xf numFmtId="0" fontId="75" fillId="33" borderId="50" xfId="19" applyFont="1" applyFill="1" applyBorder="1" applyAlignment="1" applyProtection="1">
      <alignment horizontal="center"/>
      <protection locked="0"/>
    </xf>
    <xf numFmtId="0" fontId="75" fillId="33" borderId="49" xfId="19" applyFont="1" applyFill="1" applyBorder="1" applyAlignment="1" applyProtection="1">
      <alignment horizontal="center"/>
      <protection locked="0"/>
    </xf>
    <xf numFmtId="0" fontId="92" fillId="33" borderId="49" xfId="19" applyFont="1" applyFill="1" applyBorder="1" applyAlignment="1" applyProtection="1">
      <alignment horizontal="center"/>
      <protection locked="0"/>
    </xf>
    <xf numFmtId="22" fontId="74" fillId="33" borderId="0" xfId="19" applyNumberFormat="1" applyFont="1" applyFill="1" applyAlignment="1" applyProtection="1">
      <alignment horizontal="center" vertical="center"/>
      <protection locked="0"/>
    </xf>
    <xf numFmtId="0" fontId="76" fillId="33" borderId="50" xfId="19" applyFont="1" applyFill="1" applyBorder="1" applyAlignment="1" applyProtection="1">
      <alignment horizontal="center"/>
      <protection locked="0"/>
    </xf>
    <xf numFmtId="0" fontId="77" fillId="33" borderId="49" xfId="19" applyFont="1" applyFill="1" applyBorder="1" applyAlignment="1" applyProtection="1">
      <alignment horizontal="center"/>
      <protection locked="0"/>
    </xf>
    <xf numFmtId="0" fontId="78" fillId="33" borderId="49" xfId="19" applyFont="1" applyFill="1" applyBorder="1" applyAlignment="1" applyProtection="1">
      <alignment horizontal="center"/>
      <protection locked="0"/>
    </xf>
    <xf numFmtId="0" fontId="93" fillId="33" borderId="49" xfId="19" applyFont="1" applyFill="1" applyBorder="1" applyAlignment="1" applyProtection="1">
      <alignment horizontal="center"/>
      <protection locked="0"/>
    </xf>
    <xf numFmtId="22" fontId="74" fillId="34" borderId="0" xfId="19" applyNumberFormat="1" applyFont="1" applyFill="1" applyAlignment="1" applyProtection="1">
      <alignment horizontal="center" vertical="center"/>
      <protection locked="0"/>
    </xf>
    <xf numFmtId="0" fontId="76" fillId="34" borderId="50" xfId="19" applyFont="1" applyFill="1" applyBorder="1" applyAlignment="1" applyProtection="1">
      <alignment horizontal="center"/>
      <protection locked="0"/>
    </xf>
    <xf numFmtId="0" fontId="77" fillId="34" borderId="49" xfId="19" applyFont="1" applyFill="1" applyBorder="1" applyAlignment="1" applyProtection="1">
      <alignment horizontal="center"/>
      <protection locked="0"/>
    </xf>
    <xf numFmtId="0" fontId="94" fillId="0" borderId="49" xfId="19" applyFont="1" applyBorder="1" applyAlignment="1" applyProtection="1">
      <alignment horizontal="center"/>
      <protection locked="0"/>
    </xf>
    <xf numFmtId="0" fontId="94" fillId="34" borderId="49" xfId="19" applyFont="1" applyFill="1" applyBorder="1" applyAlignment="1" applyProtection="1">
      <alignment horizontal="center"/>
      <protection locked="0"/>
    </xf>
    <xf numFmtId="0" fontId="86" fillId="35" borderId="0" xfId="21" applyFont="1" applyFill="1" applyAlignment="1">
      <alignment horizontal="left" vertical="center"/>
    </xf>
    <xf numFmtId="0" fontId="95" fillId="35" borderId="48" xfId="18" applyFont="1" applyFill="1" applyBorder="1" applyAlignment="1">
      <alignment horizontal="center" vertical="center"/>
    </xf>
    <xf numFmtId="0" fontId="95" fillId="35" borderId="50" xfId="18" applyFont="1" applyFill="1" applyBorder="1" applyAlignment="1">
      <alignment horizontal="center" vertical="center"/>
    </xf>
    <xf numFmtId="0" fontId="95" fillId="35" borderId="49" xfId="18" applyFont="1" applyFill="1" applyBorder="1" applyAlignment="1">
      <alignment horizontal="center" vertical="center"/>
    </xf>
    <xf numFmtId="3" fontId="95" fillId="35" borderId="49" xfId="24" applyNumberFormat="1" applyFont="1" applyFill="1" applyBorder="1" applyAlignment="1" applyProtection="1">
      <alignment horizontal="center" vertical="center"/>
      <protection locked="0"/>
    </xf>
    <xf numFmtId="3" fontId="87" fillId="35" borderId="49" xfId="24" applyNumberFormat="1" applyFont="1" applyFill="1" applyBorder="1" applyAlignment="1" applyProtection="1">
      <alignment horizontal="center" vertical="center"/>
      <protection locked="0"/>
    </xf>
    <xf numFmtId="3" fontId="87" fillId="35" borderId="0" xfId="24" applyNumberFormat="1" applyFont="1" applyFill="1" applyAlignment="1" applyProtection="1">
      <alignment horizontal="center" vertical="center"/>
      <protection locked="0"/>
    </xf>
    <xf numFmtId="0" fontId="74" fillId="0" borderId="0" xfId="19" applyFont="1" applyAlignment="1">
      <alignment horizontal="left"/>
    </xf>
    <xf numFmtId="3" fontId="76" fillId="0" borderId="50" xfId="18" applyNumberFormat="1" applyFont="1" applyBorder="1" applyAlignment="1" applyProtection="1">
      <alignment horizontal="right"/>
      <protection locked="0"/>
    </xf>
    <xf numFmtId="0" fontId="74" fillId="0" borderId="0" xfId="19" applyFont="1" applyAlignment="1" applyProtection="1">
      <alignment horizontal="left"/>
      <protection locked="0"/>
    </xf>
    <xf numFmtId="0" fontId="74" fillId="0" borderId="0" xfId="18" applyFont="1" applyProtection="1">
      <protection locked="0"/>
    </xf>
    <xf numFmtId="0" fontId="90" fillId="0" borderId="51" xfId="19" applyFont="1" applyBorder="1" applyAlignment="1" applyProtection="1">
      <alignment horizontal="right"/>
      <protection locked="0"/>
    </xf>
    <xf numFmtId="3" fontId="77" fillId="0" borderId="52" xfId="18" applyNumberFormat="1" applyFont="1" applyBorder="1" applyAlignment="1" applyProtection="1">
      <alignment horizontal="right"/>
      <protection locked="0"/>
    </xf>
    <xf numFmtId="3" fontId="77" fillId="0" borderId="53" xfId="18" applyNumberFormat="1" applyFont="1" applyBorder="1" applyAlignment="1" applyProtection="1">
      <alignment horizontal="right"/>
      <protection locked="0"/>
    </xf>
    <xf numFmtId="0" fontId="96" fillId="0" borderId="0" xfId="21" applyFont="1"/>
    <xf numFmtId="0" fontId="97" fillId="0" borderId="48" xfId="21" applyFont="1" applyBorder="1"/>
    <xf numFmtId="0" fontId="97" fillId="0" borderId="50" xfId="21" applyFont="1" applyBorder="1"/>
    <xf numFmtId="3" fontId="97" fillId="0" borderId="49" xfId="21" applyNumberFormat="1" applyFont="1" applyBorder="1"/>
    <xf numFmtId="0" fontId="83" fillId="0" borderId="49" xfId="21" applyFont="1" applyBorder="1"/>
    <xf numFmtId="0" fontId="86" fillId="35" borderId="0" xfId="19" applyFont="1" applyFill="1" applyAlignment="1">
      <alignment horizontal="left" vertical="center"/>
    </xf>
    <xf numFmtId="174" fontId="95" fillId="35" borderId="48" xfId="22" applyNumberFormat="1" applyFont="1" applyFill="1" applyBorder="1" applyProtection="1">
      <protection locked="0"/>
    </xf>
    <xf numFmtId="174" fontId="95" fillId="35" borderId="50" xfId="22" applyNumberFormat="1" applyFont="1" applyFill="1" applyBorder="1" applyProtection="1">
      <protection locked="0"/>
    </xf>
    <xf numFmtId="175" fontId="98" fillId="35" borderId="49" xfId="19" applyNumberFormat="1" applyFont="1" applyFill="1" applyBorder="1" applyProtection="1">
      <protection locked="0"/>
    </xf>
    <xf numFmtId="175" fontId="95" fillId="35" borderId="49" xfId="19" applyNumberFormat="1" applyFont="1" applyFill="1" applyBorder="1" applyProtection="1">
      <protection locked="0"/>
    </xf>
    <xf numFmtId="175" fontId="87" fillId="35" borderId="49" xfId="19" applyNumberFormat="1" applyFont="1" applyFill="1" applyBorder="1" applyProtection="1">
      <protection locked="0"/>
    </xf>
    <xf numFmtId="9" fontId="87" fillId="35" borderId="49" xfId="23" applyFont="1" applyFill="1" applyBorder="1" applyProtection="1">
      <protection locked="0"/>
    </xf>
    <xf numFmtId="9" fontId="87" fillId="35" borderId="0" xfId="23" applyFont="1" applyFill="1" applyBorder="1" applyProtection="1">
      <protection locked="0"/>
    </xf>
    <xf numFmtId="0" fontId="90" fillId="0" borderId="0" xfId="19" applyFont="1" applyAlignment="1">
      <alignment horizontal="left"/>
    </xf>
    <xf numFmtId="174" fontId="87" fillId="0" borderId="49" xfId="23" applyNumberFormat="1" applyFont="1" applyFill="1" applyBorder="1" applyAlignment="1" applyProtection="1">
      <protection locked="0"/>
    </xf>
    <xf numFmtId="175" fontId="87" fillId="0" borderId="49" xfId="19" applyNumberFormat="1" applyFont="1" applyBorder="1" applyProtection="1">
      <protection locked="0"/>
    </xf>
    <xf numFmtId="2" fontId="87" fillId="0" borderId="49" xfId="23" applyNumberFormat="1" applyFont="1" applyFill="1" applyBorder="1" applyAlignment="1" applyProtection="1">
      <protection locked="0"/>
    </xf>
    <xf numFmtId="3" fontId="89" fillId="0" borderId="49" xfId="18" applyNumberFormat="1" applyFont="1" applyBorder="1"/>
    <xf numFmtId="176" fontId="4" fillId="0" borderId="0" xfId="16" applyNumberFormat="1"/>
    <xf numFmtId="0" fontId="74" fillId="0" borderId="0" xfId="18" applyFont="1" applyAlignment="1" applyProtection="1">
      <alignment wrapText="1"/>
      <protection locked="0"/>
    </xf>
    <xf numFmtId="3" fontId="89" fillId="17" borderId="49" xfId="18" applyNumberFormat="1" applyFont="1" applyFill="1" applyBorder="1"/>
    <xf numFmtId="0" fontId="90" fillId="0" borderId="54" xfId="19" applyFont="1" applyBorder="1" applyAlignment="1" applyProtection="1">
      <alignment horizontal="right"/>
      <protection locked="0"/>
    </xf>
    <xf numFmtId="3" fontId="77" fillId="0" borderId="55" xfId="18" applyNumberFormat="1" applyFont="1" applyBorder="1"/>
    <xf numFmtId="9" fontId="99" fillId="0" borderId="48" xfId="23" applyFont="1" applyFill="1" applyBorder="1" applyAlignment="1" applyProtection="1">
      <alignment horizontal="left"/>
      <protection locked="0"/>
    </xf>
    <xf numFmtId="9" fontId="99" fillId="0" borderId="50" xfId="23" applyFont="1" applyFill="1" applyBorder="1" applyAlignment="1" applyProtection="1">
      <alignment horizontal="left"/>
      <protection locked="0"/>
    </xf>
    <xf numFmtId="9" fontId="100" fillId="0" borderId="49" xfId="23" applyFont="1" applyFill="1" applyBorder="1" applyAlignment="1" applyProtection="1">
      <alignment horizontal="left"/>
      <protection locked="0"/>
    </xf>
    <xf numFmtId="0" fontId="74" fillId="0" borderId="0" xfId="19" applyFont="1" applyProtection="1">
      <protection locked="0"/>
    </xf>
    <xf numFmtId="0" fontId="90" fillId="0" borderId="56" xfId="19" applyFont="1" applyBorder="1" applyAlignment="1" applyProtection="1">
      <alignment horizontal="right"/>
      <protection locked="0"/>
    </xf>
    <xf numFmtId="3" fontId="89" fillId="0" borderId="57" xfId="18" applyNumberFormat="1" applyFont="1" applyBorder="1"/>
    <xf numFmtId="9" fontId="99" fillId="0" borderId="48" xfId="23" applyFont="1" applyFill="1" applyBorder="1" applyAlignment="1" applyProtection="1">
      <protection locked="0"/>
    </xf>
    <xf numFmtId="9" fontId="99" fillId="0" borderId="49" xfId="23" applyFont="1" applyFill="1" applyBorder="1" applyAlignment="1" applyProtection="1">
      <protection locked="0"/>
    </xf>
    <xf numFmtId="0" fontId="89" fillId="0" borderId="49" xfId="18" applyFont="1" applyBorder="1" applyProtection="1">
      <protection locked="0"/>
    </xf>
    <xf numFmtId="0" fontId="89" fillId="0" borderId="50" xfId="18" applyFont="1" applyBorder="1" applyProtection="1">
      <protection locked="0"/>
    </xf>
    <xf numFmtId="0" fontId="74" fillId="0" borderId="0" xfId="19" applyFont="1"/>
    <xf numFmtId="3" fontId="76" fillId="0" borderId="50" xfId="18" applyNumberFormat="1" applyFont="1" applyBorder="1" applyAlignment="1">
      <alignment horizontal="right"/>
    </xf>
    <xf numFmtId="3" fontId="77" fillId="0" borderId="58" xfId="18" applyNumberFormat="1" applyFont="1" applyBorder="1" applyAlignment="1" applyProtection="1">
      <alignment horizontal="right"/>
      <protection locked="0"/>
    </xf>
    <xf numFmtId="3" fontId="77" fillId="0" borderId="59" xfId="18" applyNumberFormat="1" applyFont="1" applyBorder="1" applyAlignment="1" applyProtection="1">
      <alignment horizontal="right"/>
      <protection locked="0"/>
    </xf>
    <xf numFmtId="3" fontId="76" fillId="0" borderId="48" xfId="18" applyNumberFormat="1" applyFont="1" applyBorder="1" applyAlignment="1" applyProtection="1">
      <alignment horizontal="right"/>
      <protection locked="0"/>
    </xf>
    <xf numFmtId="3" fontId="76" fillId="0" borderId="49" xfId="18" applyNumberFormat="1" applyFont="1" applyBorder="1" applyAlignment="1" applyProtection="1">
      <alignment horizontal="right"/>
      <protection locked="0"/>
    </xf>
    <xf numFmtId="3" fontId="89" fillId="0" borderId="49" xfId="18" applyNumberFormat="1" applyFont="1" applyBorder="1" applyAlignment="1" applyProtection="1">
      <alignment horizontal="right"/>
      <protection locked="0"/>
    </xf>
    <xf numFmtId="3" fontId="89" fillId="0" borderId="50" xfId="18" applyNumberFormat="1" applyFont="1" applyBorder="1" applyAlignment="1" applyProtection="1">
      <alignment horizontal="right"/>
      <protection locked="0"/>
    </xf>
    <xf numFmtId="3" fontId="76" fillId="0" borderId="50" xfId="18" applyNumberFormat="1" applyFont="1" applyBorder="1"/>
    <xf numFmtId="3" fontId="76" fillId="17" borderId="50" xfId="18" applyNumberFormat="1" applyFont="1" applyFill="1" applyBorder="1"/>
    <xf numFmtId="3" fontId="77" fillId="0" borderId="60" xfId="18" applyNumberFormat="1" applyFont="1" applyBorder="1" applyAlignment="1" applyProtection="1">
      <alignment horizontal="right"/>
      <protection locked="0"/>
    </xf>
    <xf numFmtId="0" fontId="90" fillId="0" borderId="61" xfId="19" applyFont="1" applyBorder="1" applyAlignment="1" applyProtection="1">
      <alignment horizontal="right"/>
      <protection locked="0"/>
    </xf>
    <xf numFmtId="3" fontId="77" fillId="0" borderId="62" xfId="18" applyNumberFormat="1" applyFont="1" applyBorder="1" applyAlignment="1" applyProtection="1">
      <alignment horizontal="right"/>
      <protection locked="0"/>
    </xf>
    <xf numFmtId="0" fontId="74" fillId="0" borderId="0" xfId="19" applyFont="1" applyAlignment="1" applyProtection="1">
      <alignment horizontal="right"/>
      <protection locked="0"/>
    </xf>
    <xf numFmtId="3" fontId="76" fillId="0" borderId="63" xfId="18" applyNumberFormat="1" applyFont="1" applyBorder="1" applyAlignment="1" applyProtection="1">
      <alignment horizontal="right"/>
      <protection locked="0"/>
    </xf>
    <xf numFmtId="3" fontId="87" fillId="0" borderId="63" xfId="18" applyNumberFormat="1" applyFont="1" applyBorder="1" applyAlignment="1" applyProtection="1">
      <alignment horizontal="right"/>
      <protection locked="0"/>
    </xf>
    <xf numFmtId="0" fontId="86" fillId="35" borderId="0" xfId="19" applyFont="1" applyFill="1" applyAlignment="1" applyProtection="1">
      <alignment horizontal="left"/>
      <protection locked="0"/>
    </xf>
    <xf numFmtId="3" fontId="101" fillId="35" borderId="48" xfId="19" applyNumberFormat="1" applyFont="1" applyFill="1" applyBorder="1" applyAlignment="1" applyProtection="1">
      <alignment horizontal="right"/>
      <protection locked="0"/>
    </xf>
    <xf numFmtId="0" fontId="90" fillId="0" borderId="0" xfId="18" applyFont="1" applyAlignment="1" applyProtection="1">
      <alignment horizontal="left"/>
      <protection locked="0"/>
    </xf>
    <xf numFmtId="177" fontId="76" fillId="0" borderId="50" xfId="18" applyNumberFormat="1" applyFont="1" applyBorder="1" applyAlignment="1" applyProtection="1">
      <alignment horizontal="right"/>
      <protection locked="0"/>
    </xf>
    <xf numFmtId="0" fontId="99" fillId="0" borderId="49" xfId="16" applyFont="1" applyBorder="1"/>
    <xf numFmtId="0" fontId="102" fillId="17" borderId="0" xfId="18" applyFont="1" applyFill="1" applyProtection="1">
      <protection locked="0"/>
    </xf>
    <xf numFmtId="0" fontId="103" fillId="0" borderId="0" xfId="18" applyFont="1" applyProtection="1">
      <protection locked="0"/>
    </xf>
    <xf numFmtId="3" fontId="103" fillId="0" borderId="0" xfId="18" applyNumberFormat="1" applyFont="1" applyProtection="1">
      <protection locked="0"/>
    </xf>
    <xf numFmtId="3" fontId="102" fillId="0" borderId="0" xfId="18" applyNumberFormat="1" applyFont="1" applyProtection="1">
      <protection locked="0"/>
    </xf>
    <xf numFmtId="0" fontId="104" fillId="0" borderId="0" xfId="16" applyFont="1"/>
    <xf numFmtId="0" fontId="102" fillId="0" borderId="0" xfId="18" applyFont="1" applyProtection="1">
      <protection locked="0"/>
    </xf>
    <xf numFmtId="178" fontId="102" fillId="0" borderId="0" xfId="18" applyNumberFormat="1" applyFont="1" applyProtection="1">
      <protection locked="0"/>
    </xf>
    <xf numFmtId="0" fontId="96" fillId="0" borderId="0" xfId="18" applyFont="1" applyProtection="1">
      <protection locked="0"/>
    </xf>
    <xf numFmtId="0" fontId="92" fillId="0" borderId="45" xfId="19" applyFont="1" applyBorder="1" applyAlignment="1" applyProtection="1">
      <alignment horizontal="center"/>
      <protection locked="0"/>
    </xf>
    <xf numFmtId="0" fontId="105" fillId="0" borderId="47" xfId="19" applyFont="1" applyBorder="1" applyAlignment="1" applyProtection="1">
      <alignment horizontal="center"/>
      <protection locked="0"/>
    </xf>
    <xf numFmtId="0" fontId="79" fillId="0" borderId="47" xfId="20" applyFont="1" applyBorder="1" applyAlignment="1" applyProtection="1">
      <alignment horizontal="center"/>
      <protection locked="0"/>
    </xf>
    <xf numFmtId="22" fontId="80" fillId="0" borderId="50" xfId="20" applyNumberFormat="1" applyFont="1" applyBorder="1" applyAlignment="1" applyProtection="1">
      <alignment horizontal="center" vertical="center"/>
      <protection locked="0"/>
    </xf>
    <xf numFmtId="14" fontId="83" fillId="0" borderId="0" xfId="20" applyNumberFormat="1" applyFont="1" applyAlignment="1" applyProtection="1">
      <alignment horizontal="center"/>
      <protection locked="0"/>
    </xf>
    <xf numFmtId="174" fontId="106" fillId="0" borderId="49" xfId="23" applyNumberFormat="1" applyFont="1" applyFill="1" applyBorder="1" applyAlignment="1" applyProtection="1">
      <alignment horizontal="center"/>
      <protection locked="0"/>
    </xf>
    <xf numFmtId="0" fontId="86" fillId="0" borderId="50" xfId="21" applyFont="1" applyBorder="1" applyAlignment="1">
      <alignment horizontal="center"/>
    </xf>
    <xf numFmtId="9" fontId="89" fillId="0" borderId="49" xfId="22" applyFont="1" applyFill="1" applyBorder="1" applyAlignment="1">
      <alignment horizontal="center" vertical="center"/>
    </xf>
    <xf numFmtId="9" fontId="89" fillId="0" borderId="64" xfId="22" applyFont="1" applyFill="1" applyBorder="1" applyAlignment="1">
      <alignment horizontal="center" vertical="center"/>
    </xf>
    <xf numFmtId="9" fontId="107" fillId="0" borderId="64" xfId="22" applyFont="1" applyFill="1" applyBorder="1" applyAlignment="1">
      <alignment horizontal="center" vertical="center"/>
    </xf>
    <xf numFmtId="0" fontId="74" fillId="0" borderId="50" xfId="18" applyFont="1" applyBorder="1" applyAlignment="1" applyProtection="1">
      <alignment horizontal="left"/>
      <protection locked="0"/>
    </xf>
    <xf numFmtId="173" fontId="76" fillId="0" borderId="49" xfId="25" applyNumberFormat="1" applyFont="1" applyBorder="1" applyAlignment="1" applyProtection="1">
      <alignment horizontal="right"/>
      <protection locked="0"/>
    </xf>
    <xf numFmtId="0" fontId="90" fillId="0" borderId="50" xfId="18" applyFont="1" applyBorder="1" applyProtection="1">
      <protection locked="0"/>
    </xf>
    <xf numFmtId="174" fontId="89" fillId="0" borderId="49" xfId="18" applyNumberFormat="1" applyFont="1" applyBorder="1" applyProtection="1">
      <protection locked="0"/>
    </xf>
    <xf numFmtId="9" fontId="89" fillId="0" borderId="49" xfId="23" applyFont="1" applyFill="1" applyBorder="1" applyProtection="1">
      <protection locked="0"/>
    </xf>
    <xf numFmtId="0" fontId="74" fillId="0" borderId="50" xfId="18" applyFont="1" applyBorder="1" applyAlignment="1" applyProtection="1">
      <alignment horizontal="left" wrapText="1"/>
      <protection locked="0"/>
    </xf>
    <xf numFmtId="3" fontId="76" fillId="0" borderId="0" xfId="22" applyNumberFormat="1" applyFont="1" applyFill="1" applyBorder="1" applyAlignment="1" applyProtection="1"/>
    <xf numFmtId="3" fontId="76" fillId="0" borderId="0" xfId="18" applyNumberFormat="1" applyFont="1" applyProtection="1">
      <protection locked="0"/>
    </xf>
    <xf numFmtId="0" fontId="74" fillId="0" borderId="65" xfId="18" applyFont="1" applyBorder="1" applyAlignment="1" applyProtection="1">
      <alignment horizontal="left"/>
      <protection locked="0"/>
    </xf>
    <xf numFmtId="174" fontId="76" fillId="0" borderId="49" xfId="22" applyNumberFormat="1" applyFont="1" applyFill="1" applyBorder="1" applyAlignment="1" applyProtection="1"/>
    <xf numFmtId="9" fontId="76" fillId="0" borderId="49" xfId="23" applyFont="1" applyFill="1" applyBorder="1" applyProtection="1">
      <protection locked="0"/>
    </xf>
    <xf numFmtId="9" fontId="76" fillId="0" borderId="0" xfId="23" applyFont="1" applyFill="1" applyBorder="1" applyProtection="1">
      <protection locked="0"/>
    </xf>
    <xf numFmtId="0" fontId="74" fillId="0" borderId="33" xfId="18" applyFont="1" applyBorder="1" applyAlignment="1" applyProtection="1">
      <alignment vertical="top" wrapText="1"/>
      <protection locked="0"/>
    </xf>
    <xf numFmtId="0" fontId="79" fillId="33" borderId="49" xfId="19" applyFont="1" applyFill="1" applyBorder="1" applyAlignment="1" applyProtection="1">
      <alignment horizontal="center"/>
      <protection locked="0"/>
    </xf>
    <xf numFmtId="0" fontId="105" fillId="33" borderId="49" xfId="19" applyFont="1" applyFill="1" applyBorder="1" applyAlignment="1" applyProtection="1">
      <alignment horizontal="center"/>
      <protection locked="0"/>
    </xf>
    <xf numFmtId="0" fontId="105" fillId="33" borderId="0" xfId="19" applyFont="1" applyFill="1" applyAlignment="1" applyProtection="1">
      <alignment horizontal="center"/>
      <protection locked="0"/>
    </xf>
    <xf numFmtId="10" fontId="108" fillId="34" borderId="49" xfId="23" applyNumberFormat="1" applyFont="1" applyFill="1" applyBorder="1" applyAlignment="1" applyProtection="1">
      <alignment horizontal="center"/>
      <protection locked="0"/>
    </xf>
    <xf numFmtId="3" fontId="95" fillId="35" borderId="49" xfId="26" applyNumberFormat="1" applyFont="1" applyFill="1" applyBorder="1" applyAlignment="1" applyProtection="1">
      <alignment horizontal="center" vertical="center"/>
      <protection locked="0"/>
    </xf>
    <xf numFmtId="3" fontId="89" fillId="35" borderId="49" xfId="26" applyNumberFormat="1" applyFont="1" applyFill="1" applyBorder="1" applyAlignment="1" applyProtection="1">
      <alignment horizontal="center" vertical="center"/>
      <protection locked="0"/>
    </xf>
    <xf numFmtId="3" fontId="89" fillId="35" borderId="64" xfId="26" applyNumberFormat="1" applyFont="1" applyFill="1" applyBorder="1" applyAlignment="1" applyProtection="1">
      <alignment horizontal="center" vertical="center"/>
      <protection locked="0"/>
    </xf>
    <xf numFmtId="3" fontId="89" fillId="35" borderId="0" xfId="26" applyNumberFormat="1" applyFont="1" applyFill="1" applyAlignment="1" applyProtection="1">
      <alignment horizontal="center" vertical="center"/>
      <protection locked="0"/>
    </xf>
    <xf numFmtId="3" fontId="76" fillId="0" borderId="49" xfId="18" applyNumberFormat="1" applyFont="1" applyBorder="1"/>
    <xf numFmtId="3" fontId="76" fillId="0" borderId="50" xfId="18" applyNumberFormat="1" applyFont="1" applyBorder="1" applyProtection="1">
      <protection locked="0"/>
    </xf>
    <xf numFmtId="3" fontId="77" fillId="0" borderId="66" xfId="18" applyNumberFormat="1" applyFont="1" applyBorder="1" applyAlignment="1" applyProtection="1">
      <alignment horizontal="right"/>
      <protection locked="0"/>
    </xf>
    <xf numFmtId="10" fontId="99" fillId="0" borderId="49" xfId="23" applyNumberFormat="1" applyFont="1" applyBorder="1"/>
    <xf numFmtId="10" fontId="108" fillId="0" borderId="49" xfId="23" applyNumberFormat="1" applyFont="1" applyBorder="1"/>
    <xf numFmtId="175" fontId="89" fillId="35" borderId="49" xfId="19" applyNumberFormat="1" applyFont="1" applyFill="1" applyBorder="1" applyProtection="1">
      <protection locked="0"/>
    </xf>
    <xf numFmtId="175" fontId="87" fillId="35" borderId="64" xfId="19" applyNumberFormat="1" applyFont="1" applyFill="1" applyBorder="1" applyProtection="1">
      <protection locked="0"/>
    </xf>
    <xf numFmtId="175" fontId="87" fillId="35" borderId="0" xfId="19" applyNumberFormat="1" applyFont="1" applyFill="1" applyProtection="1">
      <protection locked="0"/>
    </xf>
    <xf numFmtId="3" fontId="83" fillId="0" borderId="49" xfId="19" applyNumberFormat="1" applyFont="1" applyBorder="1" applyProtection="1">
      <protection locked="0"/>
    </xf>
    <xf numFmtId="3" fontId="109" fillId="0" borderId="49" xfId="19" applyNumberFormat="1" applyFont="1" applyBorder="1" applyProtection="1">
      <protection locked="0"/>
    </xf>
    <xf numFmtId="3" fontId="94" fillId="0" borderId="64" xfId="19" applyNumberFormat="1" applyFont="1" applyBorder="1" applyProtection="1">
      <protection locked="0"/>
    </xf>
    <xf numFmtId="3" fontId="110" fillId="0" borderId="64" xfId="19" applyNumberFormat="1" applyFont="1" applyBorder="1" applyProtection="1">
      <protection locked="0"/>
    </xf>
    <xf numFmtId="0" fontId="111" fillId="0" borderId="49" xfId="18" applyFont="1" applyBorder="1" applyAlignment="1" applyProtection="1">
      <alignment horizontal="left"/>
      <protection locked="0"/>
    </xf>
    <xf numFmtId="3" fontId="77" fillId="0" borderId="57" xfId="18" applyNumberFormat="1" applyFont="1" applyBorder="1" applyAlignment="1" applyProtection="1">
      <alignment horizontal="right"/>
      <protection locked="0"/>
    </xf>
    <xf numFmtId="3" fontId="77" fillId="0" borderId="55" xfId="18" applyNumberFormat="1" applyFont="1" applyBorder="1" applyAlignment="1" applyProtection="1">
      <alignment horizontal="right"/>
      <protection locked="0"/>
    </xf>
    <xf numFmtId="3" fontId="76" fillId="0" borderId="67" xfId="24" applyNumberFormat="1" applyFont="1" applyBorder="1" applyProtection="1">
      <protection locked="0"/>
    </xf>
    <xf numFmtId="1" fontId="76" fillId="0" borderId="67" xfId="24" applyNumberFormat="1" applyFont="1" applyBorder="1" applyProtection="1">
      <protection locked="0"/>
    </xf>
    <xf numFmtId="1" fontId="89" fillId="0" borderId="67" xfId="24" applyNumberFormat="1" applyFont="1" applyBorder="1" applyProtection="1">
      <protection locked="0"/>
    </xf>
    <xf numFmtId="3" fontId="76" fillId="17" borderId="49" xfId="18" applyNumberFormat="1" applyFont="1" applyFill="1" applyBorder="1" applyAlignment="1">
      <alignment horizontal="right"/>
    </xf>
    <xf numFmtId="3" fontId="76" fillId="0" borderId="49" xfId="18" applyNumberFormat="1" applyFont="1" applyBorder="1" applyAlignment="1">
      <alignment horizontal="right"/>
    </xf>
    <xf numFmtId="9" fontId="0" fillId="0" borderId="0" xfId="23" applyFont="1"/>
    <xf numFmtId="3" fontId="77" fillId="36" borderId="57" xfId="18" applyNumberFormat="1" applyFont="1" applyFill="1" applyBorder="1" applyAlignment="1" applyProtection="1">
      <alignment horizontal="right"/>
      <protection locked="0"/>
    </xf>
    <xf numFmtId="3" fontId="77" fillId="0" borderId="68" xfId="18" applyNumberFormat="1" applyFont="1" applyBorder="1" applyAlignment="1" applyProtection="1">
      <alignment horizontal="right"/>
      <protection locked="0"/>
    </xf>
    <xf numFmtId="3" fontId="87" fillId="0" borderId="49" xfId="18" applyNumberFormat="1" applyFont="1" applyBorder="1" applyAlignment="1" applyProtection="1">
      <alignment horizontal="right"/>
      <protection locked="0"/>
    </xf>
    <xf numFmtId="3" fontId="87" fillId="0" borderId="64" xfId="18" applyNumberFormat="1" applyFont="1" applyBorder="1" applyAlignment="1" applyProtection="1">
      <alignment horizontal="right"/>
      <protection locked="0"/>
    </xf>
    <xf numFmtId="3" fontId="87" fillId="0" borderId="0" xfId="18" applyNumberFormat="1" applyFont="1" applyAlignment="1" applyProtection="1">
      <alignment horizontal="right"/>
      <protection locked="0"/>
    </xf>
    <xf numFmtId="3" fontId="101" fillId="35" borderId="49" xfId="19" applyNumberFormat="1" applyFont="1" applyFill="1" applyBorder="1" applyAlignment="1" applyProtection="1">
      <alignment horizontal="right"/>
      <protection locked="0"/>
    </xf>
    <xf numFmtId="3" fontId="112" fillId="35" borderId="0" xfId="19" applyNumberFormat="1" applyFont="1" applyFill="1" applyAlignment="1" applyProtection="1">
      <alignment horizontal="right"/>
      <protection locked="0"/>
    </xf>
    <xf numFmtId="177" fontId="76" fillId="0" borderId="49" xfId="18" applyNumberFormat="1" applyFont="1" applyBorder="1" applyAlignment="1" applyProtection="1">
      <alignment horizontal="right"/>
      <protection locked="0"/>
    </xf>
    <xf numFmtId="177" fontId="76" fillId="0" borderId="0" xfId="18" applyNumberFormat="1" applyFont="1" applyAlignment="1" applyProtection="1">
      <alignment horizontal="right"/>
      <protection locked="0"/>
    </xf>
    <xf numFmtId="1" fontId="76" fillId="0" borderId="0" xfId="18" applyNumberFormat="1" applyFont="1" applyAlignment="1" applyProtection="1">
      <alignment horizontal="right"/>
      <protection locked="0"/>
    </xf>
    <xf numFmtId="177" fontId="76" fillId="17" borderId="49" xfId="18" applyNumberFormat="1" applyFont="1" applyFill="1" applyBorder="1" applyAlignment="1" applyProtection="1">
      <alignment horizontal="right"/>
      <protection locked="0"/>
    </xf>
    <xf numFmtId="0" fontId="83" fillId="0" borderId="0" xfId="18" applyFont="1" applyAlignment="1" applyProtection="1">
      <alignment horizontal="right"/>
      <protection locked="0"/>
    </xf>
    <xf numFmtId="3" fontId="104" fillId="0" borderId="0" xfId="16" applyNumberFormat="1" applyFont="1"/>
    <xf numFmtId="0" fontId="75" fillId="0" borderId="69" xfId="19" applyFont="1" applyBorder="1" applyAlignment="1" applyProtection="1">
      <alignment horizontal="center"/>
      <protection locked="0"/>
    </xf>
    <xf numFmtId="0" fontId="113" fillId="0" borderId="47" xfId="19" applyFont="1" applyBorder="1" applyAlignment="1" applyProtection="1">
      <alignment horizontal="center"/>
      <protection locked="0"/>
    </xf>
    <xf numFmtId="0" fontId="93" fillId="0" borderId="49" xfId="19" applyFont="1" applyBorder="1" applyAlignment="1" applyProtection="1">
      <alignment horizontal="center"/>
      <protection locked="0"/>
    </xf>
    <xf numFmtId="9" fontId="114" fillId="0" borderId="49" xfId="21" applyNumberFormat="1" applyFont="1" applyBorder="1" applyAlignment="1" applyProtection="1">
      <alignment horizontal="center"/>
      <protection locked="0"/>
    </xf>
    <xf numFmtId="3" fontId="76" fillId="0" borderId="49" xfId="25" applyNumberFormat="1" applyFont="1" applyBorder="1" applyAlignment="1" applyProtection="1">
      <alignment horizontal="right"/>
      <protection locked="0"/>
    </xf>
    <xf numFmtId="3" fontId="115" fillId="0" borderId="49" xfId="16" applyNumberFormat="1" applyFont="1" applyBorder="1" applyAlignment="1" applyProtection="1">
      <alignment vertical="center"/>
      <protection locked="0"/>
    </xf>
    <xf numFmtId="174" fontId="96" fillId="0" borderId="0" xfId="23" applyNumberFormat="1" applyFont="1" applyFill="1" applyBorder="1" applyAlignment="1" applyProtection="1">
      <alignment horizontal="right"/>
      <protection locked="0"/>
    </xf>
    <xf numFmtId="0" fontId="113" fillId="33" borderId="49" xfId="19" applyFont="1" applyFill="1" applyBorder="1" applyAlignment="1" applyProtection="1">
      <alignment horizontal="center"/>
      <protection locked="0"/>
    </xf>
    <xf numFmtId="9" fontId="99" fillId="34" borderId="49" xfId="23" applyFont="1" applyFill="1" applyBorder="1" applyAlignment="1" applyProtection="1">
      <alignment horizontal="center"/>
      <protection locked="0"/>
    </xf>
    <xf numFmtId="0" fontId="76" fillId="34" borderId="49" xfId="19" applyFont="1" applyFill="1" applyBorder="1" applyAlignment="1" applyProtection="1">
      <alignment horizontal="center"/>
      <protection locked="0"/>
    </xf>
    <xf numFmtId="10" fontId="99" fillId="34" borderId="49" xfId="23" applyNumberFormat="1" applyFont="1" applyFill="1" applyBorder="1" applyAlignment="1" applyProtection="1">
      <alignment horizontal="center"/>
      <protection locked="0"/>
    </xf>
    <xf numFmtId="10" fontId="99" fillId="34" borderId="0" xfId="23" applyNumberFormat="1" applyFont="1" applyFill="1" applyBorder="1" applyAlignment="1" applyProtection="1">
      <alignment horizontal="center"/>
      <protection locked="0"/>
    </xf>
    <xf numFmtId="3" fontId="95" fillId="35" borderId="0" xfId="26" applyNumberFormat="1" applyFont="1" applyFill="1" applyAlignment="1" applyProtection="1">
      <alignment horizontal="center" vertical="center"/>
      <protection locked="0"/>
    </xf>
    <xf numFmtId="174" fontId="97" fillId="0" borderId="49" xfId="21" applyNumberFormat="1" applyFont="1" applyBorder="1"/>
    <xf numFmtId="174" fontId="75" fillId="0" borderId="49" xfId="21" applyNumberFormat="1" applyFont="1" applyBorder="1"/>
    <xf numFmtId="174" fontId="95" fillId="35" borderId="49" xfId="22" applyNumberFormat="1" applyFont="1" applyFill="1" applyBorder="1" applyProtection="1">
      <protection locked="0"/>
    </xf>
    <xf numFmtId="175" fontId="95" fillId="35" borderId="0" xfId="19" applyNumberFormat="1" applyFont="1" applyFill="1" applyProtection="1">
      <protection locked="0"/>
    </xf>
    <xf numFmtId="1" fontId="116" fillId="0" borderId="49" xfId="19" applyNumberFormat="1" applyFont="1" applyBorder="1" applyProtection="1">
      <protection locked="0"/>
    </xf>
    <xf numFmtId="9" fontId="116" fillId="0" borderId="49" xfId="19" applyNumberFormat="1" applyFont="1" applyBorder="1" applyProtection="1">
      <protection locked="0"/>
    </xf>
    <xf numFmtId="174" fontId="117" fillId="0" borderId="49" xfId="23" applyNumberFormat="1" applyFont="1" applyFill="1" applyBorder="1" applyAlignment="1" applyProtection="1">
      <alignment horizontal="center"/>
      <protection locked="0"/>
    </xf>
    <xf numFmtId="3" fontId="115" fillId="0" borderId="49" xfId="18" applyNumberFormat="1" applyFont="1" applyBorder="1" applyAlignment="1" applyProtection="1">
      <alignment horizontal="right"/>
      <protection locked="0"/>
    </xf>
    <xf numFmtId="0" fontId="76" fillId="0" borderId="49" xfId="18" applyFont="1" applyBorder="1" applyProtection="1">
      <protection locked="0"/>
    </xf>
    <xf numFmtId="3" fontId="115" fillId="17" borderId="49" xfId="18" applyNumberFormat="1" applyFont="1" applyFill="1" applyBorder="1" applyAlignment="1" applyProtection="1">
      <alignment horizontal="right"/>
      <protection locked="0"/>
    </xf>
    <xf numFmtId="3" fontId="76" fillId="0" borderId="49" xfId="24" applyNumberFormat="1" applyFont="1" applyBorder="1" applyProtection="1">
      <protection locked="0"/>
    </xf>
    <xf numFmtId="1" fontId="76" fillId="0" borderId="49" xfId="18" applyNumberFormat="1" applyFont="1" applyBorder="1" applyAlignment="1" applyProtection="1">
      <alignment horizontal="right"/>
      <protection locked="0"/>
    </xf>
    <xf numFmtId="1" fontId="76" fillId="17" borderId="49" xfId="18" applyNumberFormat="1" applyFont="1" applyFill="1" applyBorder="1" applyAlignment="1" applyProtection="1">
      <alignment horizontal="right"/>
      <protection locked="0"/>
    </xf>
    <xf numFmtId="1" fontId="102" fillId="0" borderId="0" xfId="18" applyNumberFormat="1" applyFont="1" applyProtection="1">
      <protection locked="0"/>
    </xf>
    <xf numFmtId="9" fontId="102" fillId="0" borderId="0" xfId="23" applyFont="1" applyProtection="1">
      <protection locked="0"/>
    </xf>
    <xf numFmtId="0" fontId="102" fillId="0" borderId="0" xfId="23" applyNumberFormat="1" applyFont="1" applyProtection="1">
      <protection locked="0"/>
    </xf>
    <xf numFmtId="2" fontId="102" fillId="0" borderId="0" xfId="18" applyNumberFormat="1" applyFont="1" applyProtection="1">
      <protection locked="0"/>
    </xf>
    <xf numFmtId="176" fontId="102" fillId="0" borderId="0" xfId="18" applyNumberFormat="1" applyFont="1" applyProtection="1">
      <protection locked="0"/>
    </xf>
    <xf numFmtId="0" fontId="74" fillId="0" borderId="33" xfId="20" applyFont="1" applyBorder="1" applyProtection="1">
      <protection locked="0"/>
    </xf>
    <xf numFmtId="0" fontId="75" fillId="0" borderId="45" xfId="20" applyFont="1" applyBorder="1" applyAlignment="1" applyProtection="1">
      <alignment horizontal="center"/>
      <protection locked="0"/>
    </xf>
    <xf numFmtId="0" fontId="74" fillId="0" borderId="39" xfId="20" applyFont="1" applyBorder="1" applyAlignment="1">
      <alignment horizontal="left"/>
    </xf>
    <xf numFmtId="0" fontId="78" fillId="0" borderId="47" xfId="20" applyFont="1" applyBorder="1" applyAlignment="1" applyProtection="1">
      <alignment horizontal="center"/>
      <protection locked="0"/>
    </xf>
    <xf numFmtId="0" fontId="113" fillId="0" borderId="47" xfId="20" applyFont="1" applyBorder="1" applyAlignment="1" applyProtection="1">
      <alignment horizontal="center"/>
      <protection locked="0"/>
    </xf>
    <xf numFmtId="3" fontId="89" fillId="0" borderId="49" xfId="24" applyNumberFormat="1" applyFont="1" applyBorder="1" applyProtection="1">
      <protection locked="0"/>
    </xf>
    <xf numFmtId="3" fontId="76" fillId="17" borderId="49" xfId="22" applyNumberFormat="1" applyFont="1" applyFill="1" applyBorder="1" applyAlignment="1" applyProtection="1"/>
    <xf numFmtId="3" fontId="87" fillId="0" borderId="64" xfId="22" applyNumberFormat="1" applyFont="1" applyFill="1" applyBorder="1" applyAlignment="1" applyProtection="1"/>
    <xf numFmtId="3" fontId="118" fillId="0" borderId="49" xfId="18" applyNumberFormat="1" applyFont="1" applyBorder="1" applyProtection="1">
      <protection locked="0"/>
    </xf>
    <xf numFmtId="174" fontId="76" fillId="0" borderId="47" xfId="23" applyNumberFormat="1" applyFont="1" applyFill="1" applyBorder="1" applyAlignment="1" applyProtection="1"/>
    <xf numFmtId="174" fontId="118" fillId="0" borderId="47" xfId="23" applyNumberFormat="1" applyFont="1" applyFill="1" applyBorder="1" applyAlignment="1" applyProtection="1"/>
    <xf numFmtId="0" fontId="84" fillId="33" borderId="0" xfId="20" applyFont="1" applyFill="1" applyAlignment="1">
      <alignment horizontal="left"/>
    </xf>
    <xf numFmtId="0" fontId="75" fillId="33" borderId="49" xfId="20" applyFont="1" applyFill="1" applyBorder="1" applyAlignment="1" applyProtection="1">
      <alignment horizontal="center"/>
      <protection locked="0"/>
    </xf>
    <xf numFmtId="22" fontId="74" fillId="33" borderId="0" xfId="20" applyNumberFormat="1" applyFont="1" applyFill="1" applyAlignment="1" applyProtection="1">
      <alignment horizontal="center" vertical="center"/>
      <protection locked="0"/>
    </xf>
    <xf numFmtId="0" fontId="78" fillId="33" borderId="49" xfId="20" applyFont="1" applyFill="1" applyBorder="1" applyAlignment="1" applyProtection="1">
      <alignment horizontal="center"/>
      <protection locked="0"/>
    </xf>
    <xf numFmtId="0" fontId="77" fillId="33" borderId="49" xfId="20" applyFont="1" applyFill="1" applyBorder="1" applyAlignment="1" applyProtection="1">
      <alignment horizontal="center"/>
      <protection locked="0"/>
    </xf>
    <xf numFmtId="0" fontId="76" fillId="33" borderId="49" xfId="20" applyFont="1" applyFill="1" applyBorder="1" applyAlignment="1" applyProtection="1">
      <alignment horizontal="center"/>
      <protection locked="0"/>
    </xf>
    <xf numFmtId="0" fontId="79" fillId="33" borderId="49" xfId="20" applyFont="1" applyFill="1" applyBorder="1" applyAlignment="1" applyProtection="1">
      <alignment horizontal="center"/>
      <protection locked="0"/>
    </xf>
    <xf numFmtId="22" fontId="74" fillId="34" borderId="0" xfId="20" applyNumberFormat="1" applyFont="1" applyFill="1" applyAlignment="1" applyProtection="1">
      <alignment horizontal="center" vertical="center"/>
      <protection locked="0"/>
    </xf>
    <xf numFmtId="0" fontId="77" fillId="34" borderId="49" xfId="20" applyFont="1" applyFill="1" applyBorder="1" applyAlignment="1" applyProtection="1">
      <alignment horizontal="center"/>
      <protection locked="0"/>
    </xf>
    <xf numFmtId="0" fontId="76" fillId="34" borderId="49" xfId="20" applyFont="1" applyFill="1" applyBorder="1" applyAlignment="1" applyProtection="1">
      <alignment horizontal="center"/>
      <protection locked="0"/>
    </xf>
    <xf numFmtId="0" fontId="94" fillId="34" borderId="64" xfId="19" applyFont="1" applyFill="1" applyBorder="1" applyAlignment="1" applyProtection="1">
      <alignment horizontal="center"/>
      <protection locked="0"/>
    </xf>
    <xf numFmtId="0" fontId="110" fillId="0" borderId="64" xfId="19" applyFont="1" applyBorder="1" applyAlignment="1" applyProtection="1">
      <alignment horizontal="center"/>
      <protection locked="0"/>
    </xf>
    <xf numFmtId="3" fontId="87" fillId="35" borderId="64" xfId="26" applyNumberFormat="1" applyFont="1" applyFill="1" applyBorder="1" applyAlignment="1" applyProtection="1">
      <alignment horizontal="center" vertical="center"/>
      <protection locked="0"/>
    </xf>
    <xf numFmtId="0" fontId="74" fillId="0" borderId="0" xfId="20" applyFont="1" applyAlignment="1">
      <alignment horizontal="left"/>
    </xf>
    <xf numFmtId="3" fontId="76" fillId="0" borderId="49" xfId="24" applyNumberFormat="1" applyFont="1" applyBorder="1" applyAlignment="1" applyProtection="1">
      <alignment horizontal="right"/>
      <protection locked="0"/>
    </xf>
    <xf numFmtId="0" fontId="74" fillId="0" borderId="0" xfId="20" applyFont="1" applyAlignment="1" applyProtection="1">
      <alignment horizontal="left"/>
      <protection locked="0"/>
    </xf>
    <xf numFmtId="3" fontId="76" fillId="0" borderId="49" xfId="24" applyNumberFormat="1" applyFont="1" applyBorder="1"/>
    <xf numFmtId="0" fontId="90" fillId="0" borderId="51" xfId="20" applyFont="1" applyBorder="1" applyAlignment="1" applyProtection="1">
      <alignment horizontal="right"/>
      <protection locked="0"/>
    </xf>
    <xf numFmtId="9" fontId="99" fillId="0" borderId="49" xfId="23" applyFont="1" applyFill="1" applyBorder="1"/>
    <xf numFmtId="0" fontId="119" fillId="0" borderId="49" xfId="21" applyFont="1" applyBorder="1"/>
    <xf numFmtId="9" fontId="120" fillId="0" borderId="49" xfId="27" applyFont="1" applyFill="1" applyBorder="1"/>
    <xf numFmtId="0" fontId="86" fillId="35" borderId="0" xfId="20" applyFont="1" applyFill="1" applyAlignment="1">
      <alignment horizontal="left" vertical="center"/>
    </xf>
    <xf numFmtId="175" fontId="98" fillId="35" borderId="49" xfId="20" applyNumberFormat="1" applyFont="1" applyFill="1" applyBorder="1" applyProtection="1">
      <protection locked="0"/>
    </xf>
    <xf numFmtId="175" fontId="95" fillId="35" borderId="49" xfId="20" applyNumberFormat="1" applyFont="1" applyFill="1" applyBorder="1" applyProtection="1">
      <protection locked="0"/>
    </xf>
    <xf numFmtId="0" fontId="90" fillId="0" borderId="0" xfId="20" applyFont="1" applyAlignment="1">
      <alignment horizontal="left"/>
    </xf>
    <xf numFmtId="1" fontId="121" fillId="0" borderId="49" xfId="20" applyNumberFormat="1" applyFont="1" applyBorder="1" applyProtection="1">
      <protection locked="0"/>
    </xf>
    <xf numFmtId="174" fontId="95" fillId="0" borderId="49" xfId="22" applyNumberFormat="1" applyFont="1" applyFill="1" applyBorder="1" applyAlignment="1" applyProtection="1">
      <protection locked="0"/>
    </xf>
    <xf numFmtId="1" fontId="87" fillId="0" borderId="64" xfId="19" applyNumberFormat="1" applyFont="1" applyBorder="1" applyProtection="1">
      <protection locked="0"/>
    </xf>
    <xf numFmtId="1" fontId="122" fillId="0" borderId="64" xfId="19" applyNumberFormat="1" applyFont="1" applyBorder="1" applyProtection="1">
      <protection locked="0"/>
    </xf>
    <xf numFmtId="0" fontId="74" fillId="0" borderId="0" xfId="24" applyFont="1" applyProtection="1">
      <protection locked="0"/>
    </xf>
    <xf numFmtId="1" fontId="89" fillId="0" borderId="49" xfId="24" applyNumberFormat="1" applyFont="1" applyBorder="1" applyProtection="1">
      <protection locked="0"/>
    </xf>
    <xf numFmtId="0" fontId="90" fillId="0" borderId="54" xfId="20" applyFont="1" applyBorder="1" applyAlignment="1" applyProtection="1">
      <alignment horizontal="right"/>
      <protection locked="0"/>
    </xf>
    <xf numFmtId="0" fontId="123" fillId="0" borderId="49" xfId="18" applyFont="1" applyBorder="1" applyAlignment="1" applyProtection="1">
      <alignment horizontal="left"/>
      <protection locked="0"/>
    </xf>
    <xf numFmtId="0" fontId="111" fillId="0" borderId="64" xfId="18" applyFont="1" applyBorder="1" applyAlignment="1" applyProtection="1">
      <alignment horizontal="left"/>
      <protection locked="0"/>
    </xf>
    <xf numFmtId="0" fontId="124" fillId="0" borderId="64" xfId="18" applyFont="1" applyBorder="1" applyAlignment="1" applyProtection="1">
      <alignment horizontal="left"/>
      <protection locked="0"/>
    </xf>
    <xf numFmtId="0" fontId="74" fillId="0" borderId="0" xfId="20" applyFont="1" applyProtection="1">
      <protection locked="0"/>
    </xf>
    <xf numFmtId="1" fontId="76" fillId="0" borderId="49" xfId="24" applyNumberFormat="1" applyFont="1" applyBorder="1" applyProtection="1">
      <protection locked="0"/>
    </xf>
    <xf numFmtId="0" fontId="90" fillId="0" borderId="56" xfId="20" applyFont="1" applyBorder="1" applyAlignment="1" applyProtection="1">
      <alignment horizontal="right"/>
      <protection locked="0"/>
    </xf>
    <xf numFmtId="0" fontId="89" fillId="0" borderId="64" xfId="18" applyFont="1" applyBorder="1" applyProtection="1">
      <protection locked="0"/>
    </xf>
    <xf numFmtId="0" fontId="107" fillId="0" borderId="64" xfId="18" applyFont="1" applyBorder="1" applyProtection="1">
      <protection locked="0"/>
    </xf>
    <xf numFmtId="0" fontId="74" fillId="0" borderId="0" xfId="20" applyFont="1"/>
    <xf numFmtId="3" fontId="89" fillId="0" borderId="49" xfId="24" applyNumberFormat="1" applyFont="1" applyBorder="1"/>
    <xf numFmtId="3" fontId="77" fillId="0" borderId="55" xfId="24" applyNumberFormat="1" applyFont="1" applyBorder="1" applyAlignment="1" applyProtection="1">
      <alignment horizontal="right"/>
      <protection locked="0"/>
    </xf>
    <xf numFmtId="0" fontId="77" fillId="0" borderId="49" xfId="18" applyFont="1" applyBorder="1" applyProtection="1">
      <protection locked="0"/>
    </xf>
    <xf numFmtId="0" fontId="83" fillId="0" borderId="70" xfId="18" applyFont="1" applyBorder="1" applyProtection="1">
      <protection locked="0"/>
    </xf>
    <xf numFmtId="0" fontId="90" fillId="0" borderId="61" xfId="20" applyFont="1" applyBorder="1" applyAlignment="1" applyProtection="1">
      <alignment horizontal="right"/>
      <protection locked="0"/>
    </xf>
    <xf numFmtId="0" fontId="74" fillId="0" borderId="0" xfId="20" applyFont="1" applyAlignment="1" applyProtection="1">
      <alignment horizontal="right"/>
      <protection locked="0"/>
    </xf>
    <xf numFmtId="0" fontId="86" fillId="35" borderId="0" xfId="20" applyFont="1" applyFill="1" applyAlignment="1" applyProtection="1">
      <alignment horizontal="left"/>
      <protection locked="0"/>
    </xf>
    <xf numFmtId="3" fontId="101" fillId="35" borderId="49" xfId="20" applyNumberFormat="1" applyFont="1" applyFill="1" applyBorder="1" applyAlignment="1" applyProtection="1">
      <alignment horizontal="right"/>
      <protection locked="0"/>
    </xf>
    <xf numFmtId="177" fontId="113" fillId="0" borderId="49" xfId="18" applyNumberFormat="1" applyFont="1" applyBorder="1" applyAlignment="1" applyProtection="1">
      <alignment horizontal="right"/>
      <protection locked="0"/>
    </xf>
    <xf numFmtId="177" fontId="94" fillId="0" borderId="0" xfId="18" applyNumberFormat="1" applyFont="1" applyAlignment="1" applyProtection="1">
      <alignment horizontal="right"/>
      <protection locked="0"/>
    </xf>
    <xf numFmtId="177" fontId="113" fillId="17" borderId="49" xfId="18" applyNumberFormat="1" applyFont="1" applyFill="1" applyBorder="1" applyAlignment="1" applyProtection="1">
      <alignment horizontal="right"/>
      <protection locked="0"/>
    </xf>
    <xf numFmtId="0" fontId="94" fillId="0" borderId="0" xfId="18" applyFont="1" applyAlignment="1" applyProtection="1">
      <alignment horizontal="right"/>
      <protection locked="0"/>
    </xf>
    <xf numFmtId="0" fontId="125" fillId="0" borderId="0" xfId="18" applyFont="1" applyAlignment="1" applyProtection="1">
      <alignment horizontal="right"/>
      <protection locked="0"/>
    </xf>
    <xf numFmtId="3" fontId="4" fillId="0" borderId="0" xfId="16" applyNumberFormat="1"/>
    <xf numFmtId="3" fontId="87" fillId="35" borderId="0" xfId="26" applyNumberFormat="1" applyFont="1" applyFill="1" applyAlignment="1" applyProtection="1">
      <alignment horizontal="center" vertical="center"/>
      <protection locked="0"/>
    </xf>
    <xf numFmtId="3" fontId="89" fillId="17" borderId="49" xfId="24" applyNumberFormat="1" applyFont="1" applyFill="1" applyBorder="1"/>
    <xf numFmtId="0" fontId="91" fillId="0" borderId="0" xfId="16" applyFont="1" applyAlignment="1">
      <alignment vertical="center"/>
    </xf>
    <xf numFmtId="1" fontId="89" fillId="5" borderId="49" xfId="24" applyNumberFormat="1" applyFont="1" applyFill="1" applyBorder="1" applyProtection="1">
      <protection locked="0"/>
    </xf>
    <xf numFmtId="1" fontId="122" fillId="0" borderId="0" xfId="19" applyNumberFormat="1" applyFont="1" applyProtection="1">
      <protection locked="0"/>
    </xf>
    <xf numFmtId="177" fontId="113" fillId="5" borderId="49" xfId="18" applyNumberFormat="1" applyFont="1" applyFill="1" applyBorder="1" applyAlignment="1" applyProtection="1">
      <alignment horizontal="right"/>
      <protection locked="0"/>
    </xf>
    <xf numFmtId="3" fontId="125" fillId="0" borderId="0" xfId="18" applyNumberFormat="1" applyFont="1" applyAlignment="1" applyProtection="1">
      <alignment horizontal="right"/>
      <protection locked="0"/>
    </xf>
    <xf numFmtId="0" fontId="0" fillId="37" borderId="0" xfId="0" applyFill="1"/>
    <xf numFmtId="0" fontId="0" fillId="38" borderId="0" xfId="0" applyFill="1"/>
    <xf numFmtId="0" fontId="0" fillId="39" borderId="0" xfId="0" applyFill="1"/>
    <xf numFmtId="0" fontId="0" fillId="40" borderId="0" xfId="0" applyFill="1"/>
    <xf numFmtId="0" fontId="14" fillId="41" borderId="0" xfId="0" applyFont="1" applyFill="1"/>
    <xf numFmtId="0" fontId="0" fillId="42" borderId="0" xfId="0" applyFill="1"/>
    <xf numFmtId="0" fontId="0" fillId="43" borderId="0" xfId="0" applyFill="1"/>
    <xf numFmtId="3" fontId="0" fillId="0" borderId="0" xfId="0" applyNumberFormat="1"/>
    <xf numFmtId="1" fontId="0" fillId="0" borderId="0" xfId="0" applyNumberFormat="1"/>
    <xf numFmtId="10" fontId="130" fillId="0" borderId="30" xfId="15" applyNumberFormat="1" applyFont="1" applyFill="1" applyBorder="1" applyAlignment="1">
      <alignment horizontal="center" vertical="center"/>
    </xf>
    <xf numFmtId="10" fontId="130" fillId="0" borderId="4" xfId="0" applyNumberFormat="1" applyFont="1" applyBorder="1" applyAlignment="1">
      <alignment horizontal="center" vertical="center"/>
    </xf>
    <xf numFmtId="9" fontId="0" fillId="0" borderId="0" xfId="15" applyFont="1"/>
    <xf numFmtId="0" fontId="0" fillId="0" borderId="5" xfId="0" applyBorder="1" applyAlignment="1">
      <alignment vertical="center" wrapText="1"/>
    </xf>
    <xf numFmtId="0" fontId="14" fillId="0" borderId="4" xfId="0" applyFont="1" applyBorder="1" applyAlignment="1">
      <alignment horizontal="center"/>
    </xf>
    <xf numFmtId="3" fontId="131" fillId="19" borderId="17" xfId="0" applyNumberFormat="1" applyFont="1" applyFill="1" applyBorder="1" applyAlignment="1">
      <alignment horizontal="center" vertical="center"/>
    </xf>
    <xf numFmtId="0" fontId="47" fillId="0" borderId="72" xfId="0" applyFont="1" applyBorder="1" applyAlignment="1">
      <alignment horizontal="left" vertical="center"/>
    </xf>
    <xf numFmtId="0" fontId="46" fillId="0" borderId="72" xfId="0" applyFont="1" applyBorder="1" applyAlignment="1">
      <alignment vertical="center"/>
    </xf>
    <xf numFmtId="0" fontId="0" fillId="0" borderId="72" xfId="0" applyBorder="1"/>
    <xf numFmtId="0" fontId="0" fillId="0" borderId="73" xfId="0" applyBorder="1"/>
    <xf numFmtId="0" fontId="132" fillId="0" borderId="72" xfId="0" applyFont="1" applyBorder="1" applyAlignment="1">
      <alignment horizontal="center" vertical="center"/>
    </xf>
    <xf numFmtId="0" fontId="50" fillId="0" borderId="72" xfId="0" applyFont="1" applyBorder="1"/>
    <xf numFmtId="0" fontId="0" fillId="0" borderId="72" xfId="0" applyBorder="1" applyAlignment="1">
      <alignment vertical="center"/>
    </xf>
    <xf numFmtId="0" fontId="0" fillId="0" borderId="72" xfId="0" applyBorder="1" applyAlignment="1">
      <alignment horizontal="left" vertical="center"/>
    </xf>
    <xf numFmtId="0" fontId="50" fillId="0" borderId="72" xfId="0" applyFont="1" applyBorder="1" applyAlignment="1">
      <alignment vertical="center" wrapText="1"/>
    </xf>
    <xf numFmtId="3" fontId="131" fillId="19" borderId="29" xfId="0" applyNumberFormat="1" applyFont="1" applyFill="1" applyBorder="1" applyAlignment="1">
      <alignment horizontal="center" vertical="center"/>
    </xf>
    <xf numFmtId="10" fontId="14" fillId="0" borderId="0" xfId="0" applyNumberFormat="1" applyFont="1"/>
    <xf numFmtId="9" fontId="69" fillId="0" borderId="0" xfId="15" applyFont="1" applyFill="1"/>
    <xf numFmtId="4" fontId="136" fillId="0" borderId="17" xfId="0" applyNumberFormat="1" applyFont="1" applyBorder="1" applyAlignment="1">
      <alignment horizontal="center" vertical="center"/>
    </xf>
    <xf numFmtId="10" fontId="130" fillId="0" borderId="29" xfId="15" applyNumberFormat="1" applyFont="1" applyFill="1" applyBorder="1" applyAlignment="1">
      <alignment horizontal="center" vertical="center"/>
    </xf>
    <xf numFmtId="10" fontId="47" fillId="0" borderId="29" xfId="15" applyNumberFormat="1" applyFont="1" applyFill="1" applyBorder="1" applyAlignment="1">
      <alignment horizontal="center" vertical="center"/>
    </xf>
    <xf numFmtId="3" fontId="137" fillId="0" borderId="17" xfId="0" applyNumberFormat="1" applyFont="1" applyBorder="1" applyAlignment="1">
      <alignment horizontal="center" vertical="center"/>
    </xf>
    <xf numFmtId="9" fontId="69" fillId="0" borderId="0" xfId="15" applyFont="1"/>
    <xf numFmtId="9" fontId="69" fillId="0" borderId="0" xfId="0" applyNumberFormat="1" applyFont="1"/>
    <xf numFmtId="10" fontId="69" fillId="0" borderId="0" xfId="0" applyNumberFormat="1" applyFont="1"/>
    <xf numFmtId="10" fontId="69" fillId="0" borderId="0" xfId="15" applyNumberFormat="1" applyFont="1"/>
    <xf numFmtId="3" fontId="87" fillId="0" borderId="49" xfId="24" applyNumberFormat="1" applyFont="1" applyBorder="1" applyProtection="1">
      <protection locked="0"/>
    </xf>
    <xf numFmtId="3" fontId="87" fillId="0" borderId="49" xfId="24" applyNumberFormat="1" applyFont="1" applyBorder="1"/>
    <xf numFmtId="1" fontId="87" fillId="0" borderId="49" xfId="24" applyNumberFormat="1" applyFont="1" applyBorder="1" applyProtection="1">
      <protection locked="0"/>
    </xf>
    <xf numFmtId="3" fontId="87" fillId="0" borderId="49" xfId="18" applyNumberFormat="1" applyFont="1" applyBorder="1"/>
    <xf numFmtId="177" fontId="138" fillId="0" borderId="49" xfId="18" applyNumberFormat="1" applyFont="1" applyBorder="1" applyAlignment="1" applyProtection="1">
      <alignment horizontal="right"/>
      <protection locked="0"/>
    </xf>
    <xf numFmtId="0" fontId="42" fillId="0" borderId="0" xfId="16" applyFont="1"/>
    <xf numFmtId="3" fontId="87" fillId="0" borderId="49" xfId="22" applyNumberFormat="1" applyFont="1" applyFill="1" applyBorder="1" applyAlignment="1" applyProtection="1"/>
    <xf numFmtId="3" fontId="87" fillId="0" borderId="49" xfId="18" applyNumberFormat="1" applyFont="1" applyBorder="1" applyProtection="1">
      <protection locked="0"/>
    </xf>
    <xf numFmtId="3" fontId="87" fillId="0" borderId="50" xfId="18" applyNumberFormat="1" applyFont="1" applyBorder="1" applyProtection="1">
      <protection locked="0"/>
    </xf>
    <xf numFmtId="177" fontId="87" fillId="0" borderId="49" xfId="18" applyNumberFormat="1" applyFont="1" applyBorder="1" applyAlignment="1" applyProtection="1">
      <alignment horizontal="right"/>
      <protection locked="0"/>
    </xf>
    <xf numFmtId="3" fontId="87" fillId="0" borderId="49" xfId="25" applyNumberFormat="1" applyFont="1" applyBorder="1" applyAlignment="1" applyProtection="1">
      <alignment horizontal="right"/>
      <protection locked="0"/>
    </xf>
    <xf numFmtId="1" fontId="87" fillId="0" borderId="49" xfId="18" applyNumberFormat="1" applyFont="1" applyBorder="1" applyAlignment="1" applyProtection="1">
      <alignment horizontal="right"/>
      <protection locked="0"/>
    </xf>
    <xf numFmtId="3" fontId="87" fillId="0" borderId="49" xfId="16" applyNumberFormat="1" applyFont="1" applyBorder="1" applyAlignment="1" applyProtection="1">
      <alignment vertical="center"/>
      <protection locked="0"/>
    </xf>
    <xf numFmtId="3" fontId="87" fillId="0" borderId="50" xfId="18" applyNumberFormat="1" applyFont="1" applyBorder="1" applyAlignment="1" applyProtection="1">
      <alignment horizontal="right"/>
      <protection locked="0"/>
    </xf>
    <xf numFmtId="177" fontId="87" fillId="0" borderId="50" xfId="18" applyNumberFormat="1" applyFont="1" applyBorder="1" applyAlignment="1" applyProtection="1">
      <alignment horizontal="right"/>
      <protection locked="0"/>
    </xf>
    <xf numFmtId="3" fontId="94" fillId="0" borderId="59" xfId="18" applyNumberFormat="1" applyFont="1" applyBorder="1" applyAlignment="1" applyProtection="1">
      <alignment horizontal="right"/>
      <protection locked="0"/>
    </xf>
    <xf numFmtId="3" fontId="94" fillId="0" borderId="55" xfId="18" applyNumberFormat="1" applyFont="1" applyBorder="1"/>
    <xf numFmtId="3" fontId="94" fillId="0" borderId="55" xfId="18" applyNumberFormat="1" applyFont="1" applyBorder="1" applyAlignment="1" applyProtection="1">
      <alignment horizontal="right"/>
      <protection locked="0"/>
    </xf>
    <xf numFmtId="3" fontId="94" fillId="0" borderId="55" xfId="24" applyNumberFormat="1" applyFont="1" applyBorder="1" applyAlignment="1" applyProtection="1">
      <alignment horizontal="right"/>
      <protection locked="0"/>
    </xf>
    <xf numFmtId="3" fontId="94" fillId="0" borderId="57" xfId="18" applyNumberFormat="1" applyFont="1" applyBorder="1" applyAlignment="1" applyProtection="1">
      <alignment horizontal="right"/>
      <protection locked="0"/>
    </xf>
    <xf numFmtId="3" fontId="69" fillId="0" borderId="0" xfId="0" applyNumberFormat="1" applyFont="1"/>
    <xf numFmtId="0" fontId="69" fillId="0" borderId="0" xfId="0" applyFont="1"/>
    <xf numFmtId="1" fontId="69" fillId="0" borderId="0" xfId="0" applyNumberFormat="1" applyFont="1"/>
    <xf numFmtId="164" fontId="69" fillId="0" borderId="0" xfId="1" applyNumberFormat="1" applyFont="1"/>
    <xf numFmtId="0" fontId="0" fillId="44" borderId="0" xfId="0" applyFill="1" applyAlignment="1">
      <alignment horizontal="center"/>
    </xf>
    <xf numFmtId="0" fontId="0" fillId="44" borderId="0" xfId="0" applyFill="1"/>
    <xf numFmtId="0" fontId="0" fillId="45" borderId="0" xfId="0" applyFill="1" applyAlignment="1">
      <alignment horizontal="center"/>
    </xf>
    <xf numFmtId="0" fontId="0" fillId="45" borderId="0" xfId="0" applyFill="1"/>
    <xf numFmtId="0" fontId="0" fillId="46" borderId="0" xfId="0" applyFill="1" applyAlignment="1">
      <alignment horizontal="center"/>
    </xf>
    <xf numFmtId="0" fontId="0" fillId="46" borderId="0" xfId="0" applyFill="1"/>
    <xf numFmtId="0" fontId="0" fillId="47" borderId="0" xfId="0" applyFill="1" applyAlignment="1">
      <alignment horizontal="center"/>
    </xf>
    <xf numFmtId="0" fontId="0" fillId="47" borderId="0" xfId="0" applyFill="1"/>
    <xf numFmtId="0" fontId="0" fillId="48" borderId="0" xfId="0" applyFill="1" applyAlignment="1">
      <alignment horizontal="center"/>
    </xf>
    <xf numFmtId="0" fontId="0" fillId="48" borderId="0" xfId="0" applyFill="1"/>
    <xf numFmtId="0" fontId="0" fillId="12" borderId="0" xfId="0" applyFill="1" applyAlignment="1">
      <alignment horizontal="center"/>
    </xf>
    <xf numFmtId="0" fontId="0" fillId="12" borderId="0" xfId="0" applyFill="1"/>
    <xf numFmtId="0" fontId="0" fillId="49" borderId="0" xfId="0" applyFill="1" applyAlignment="1">
      <alignment horizontal="center"/>
    </xf>
    <xf numFmtId="0" fontId="0" fillId="49" borderId="0" xfId="0" applyFill="1"/>
    <xf numFmtId="0" fontId="0" fillId="21" borderId="72" xfId="0" applyFill="1" applyBorder="1"/>
    <xf numFmtId="0" fontId="139" fillId="0" borderId="18" xfId="0" applyFont="1" applyBorder="1" applyAlignment="1">
      <alignment horizontal="left" vertical="center"/>
    </xf>
    <xf numFmtId="0" fontId="140" fillId="0" borderId="72" xfId="0" applyFont="1" applyBorder="1" applyAlignment="1">
      <alignment horizontal="left"/>
    </xf>
    <xf numFmtId="0" fontId="0" fillId="0" borderId="72" xfId="0" applyBorder="1" applyAlignment="1">
      <alignment horizontal="centerContinuous"/>
    </xf>
    <xf numFmtId="14" fontId="55" fillId="0" borderId="18" xfId="0" applyNumberFormat="1" applyFont="1" applyBorder="1" applyAlignment="1">
      <alignment vertical="center"/>
    </xf>
    <xf numFmtId="14" fontId="0" fillId="0" borderId="72" xfId="0" applyNumberFormat="1" applyBorder="1"/>
    <xf numFmtId="0" fontId="141" fillId="0" borderId="19" xfId="0" applyFont="1" applyBorder="1" applyAlignment="1">
      <alignment vertical="center"/>
    </xf>
    <xf numFmtId="0" fontId="141" fillId="0" borderId="20" xfId="0" applyFont="1" applyBorder="1" applyAlignment="1">
      <alignment vertical="center"/>
    </xf>
    <xf numFmtId="0" fontId="141" fillId="0" borderId="18" xfId="0" applyFont="1" applyBorder="1" applyAlignment="1">
      <alignment vertical="center"/>
    </xf>
    <xf numFmtId="0" fontId="141" fillId="0" borderId="21" xfId="0" applyFont="1" applyBorder="1" applyAlignment="1">
      <alignment vertical="center"/>
    </xf>
    <xf numFmtId="0" fontId="46" fillId="0" borderId="72" xfId="0" applyFont="1" applyBorder="1" applyAlignment="1">
      <alignment horizontal="left"/>
    </xf>
    <xf numFmtId="0" fontId="0" fillId="0" borderId="75" xfId="0" applyBorder="1"/>
    <xf numFmtId="0" fontId="0" fillId="21" borderId="72" xfId="0" applyFill="1" applyBorder="1" applyAlignment="1">
      <alignment vertical="center"/>
    </xf>
    <xf numFmtId="0" fontId="135" fillId="0" borderId="72" xfId="0" applyFont="1" applyBorder="1" applyAlignment="1">
      <alignment vertical="center"/>
    </xf>
    <xf numFmtId="3" fontId="46" fillId="29" borderId="72" xfId="0" applyNumberFormat="1" applyFont="1" applyFill="1" applyBorder="1" applyAlignment="1">
      <alignment horizontal="center" vertical="center"/>
    </xf>
    <xf numFmtId="10" fontId="46" fillId="0" borderId="72" xfId="15" applyNumberFormat="1" applyFont="1" applyBorder="1" applyAlignment="1">
      <alignment vertical="center"/>
    </xf>
    <xf numFmtId="0" fontId="46" fillId="0" borderId="72" xfId="15" applyNumberFormat="1" applyFont="1" applyBorder="1" applyAlignment="1">
      <alignment vertical="center"/>
    </xf>
    <xf numFmtId="10" fontId="50" fillId="0" borderId="72" xfId="15" applyNumberFormat="1" applyFont="1" applyBorder="1"/>
    <xf numFmtId="0" fontId="135" fillId="0" borderId="75" xfId="0" applyFont="1" applyBorder="1" applyAlignment="1">
      <alignment vertical="center"/>
    </xf>
    <xf numFmtId="0" fontId="46" fillId="0" borderId="75" xfId="0" applyFont="1" applyBorder="1" applyAlignment="1">
      <alignment vertical="center"/>
    </xf>
    <xf numFmtId="3" fontId="46" fillId="29" borderId="75" xfId="0" applyNumberFormat="1" applyFont="1" applyFill="1" applyBorder="1" applyAlignment="1">
      <alignment horizontal="center" vertical="center"/>
    </xf>
    <xf numFmtId="10" fontId="46" fillId="0" borderId="75" xfId="15" applyNumberFormat="1" applyFont="1" applyBorder="1" applyAlignment="1">
      <alignment vertical="center"/>
    </xf>
    <xf numFmtId="0" fontId="46" fillId="0" borderId="75" xfId="15" applyNumberFormat="1" applyFont="1" applyBorder="1" applyAlignment="1">
      <alignment vertical="center"/>
    </xf>
    <xf numFmtId="10" fontId="50" fillId="0" borderId="75" xfId="15" applyNumberFormat="1" applyFont="1" applyBorder="1"/>
    <xf numFmtId="0" fontId="46" fillId="0" borderId="72" xfId="0" applyFont="1" applyBorder="1" applyAlignment="1">
      <alignment vertical="center" wrapText="1"/>
    </xf>
    <xf numFmtId="0" fontId="45" fillId="19" borderId="4" xfId="0" applyFont="1" applyFill="1" applyBorder="1" applyAlignment="1">
      <alignment horizontal="center" vertical="center" wrapText="1"/>
    </xf>
    <xf numFmtId="10" fontId="45" fillId="19" borderId="4" xfId="0" applyNumberFormat="1" applyFont="1" applyFill="1" applyBorder="1" applyAlignment="1">
      <alignment horizontal="center" vertical="center" wrapText="1"/>
    </xf>
    <xf numFmtId="10" fontId="136" fillId="0" borderId="17" xfId="0" applyNumberFormat="1" applyFont="1" applyBorder="1" applyAlignment="1">
      <alignment horizontal="center" vertical="center"/>
    </xf>
    <xf numFmtId="3" fontId="136" fillId="0" borderId="17" xfId="0" applyNumberFormat="1" applyFont="1" applyBorder="1" applyAlignment="1">
      <alignment horizontal="center" vertical="center"/>
    </xf>
    <xf numFmtId="10" fontId="69" fillId="0" borderId="72" xfId="15" applyNumberFormat="1" applyFont="1" applyFill="1" applyBorder="1"/>
    <xf numFmtId="10" fontId="69" fillId="0" borderId="73" xfId="15" applyNumberFormat="1" applyFont="1" applyFill="1" applyBorder="1"/>
    <xf numFmtId="10" fontId="69" fillId="0" borderId="0" xfId="15" applyNumberFormat="1" applyFont="1" applyFill="1"/>
    <xf numFmtId="0" fontId="142" fillId="19" borderId="35" xfId="0" applyFont="1" applyFill="1" applyBorder="1" applyAlignment="1">
      <alignment horizontal="center" vertical="center" wrapText="1"/>
    </xf>
    <xf numFmtId="0" fontId="0" fillId="50" borderId="0" xfId="0" applyFill="1" applyAlignment="1">
      <alignment horizontal="center"/>
    </xf>
    <xf numFmtId="0" fontId="0" fillId="50" borderId="0" xfId="0" applyFill="1"/>
    <xf numFmtId="14" fontId="55" fillId="0" borderId="18" xfId="0" applyNumberFormat="1" applyFont="1" applyBorder="1"/>
    <xf numFmtId="0" fontId="45" fillId="19" borderId="4" xfId="0" applyFont="1" applyFill="1" applyBorder="1" applyAlignment="1">
      <alignment horizontal="center" vertical="center"/>
    </xf>
    <xf numFmtId="0" fontId="144" fillId="19" borderId="17" xfId="0" applyFont="1" applyFill="1" applyBorder="1" applyAlignment="1">
      <alignment vertical="center"/>
    </xf>
    <xf numFmtId="3" fontId="144" fillId="19" borderId="17" xfId="0" applyNumberFormat="1" applyFont="1" applyFill="1" applyBorder="1" applyAlignment="1">
      <alignment horizontal="center" vertical="center"/>
    </xf>
    <xf numFmtId="0" fontId="14" fillId="0" borderId="0" xfId="0" applyFont="1"/>
    <xf numFmtId="174" fontId="145" fillId="0" borderId="17" xfId="0" applyNumberFormat="1" applyFont="1" applyBorder="1" applyAlignment="1">
      <alignment horizontal="center" vertical="center"/>
    </xf>
    <xf numFmtId="0" fontId="0" fillId="51" borderId="0" xfId="0" applyFill="1" applyAlignment="1">
      <alignment horizontal="center"/>
    </xf>
    <xf numFmtId="0" fontId="0" fillId="51" borderId="0" xfId="0" applyFill="1"/>
    <xf numFmtId="3" fontId="14" fillId="0" borderId="0" xfId="0" applyNumberFormat="1" applyFont="1"/>
    <xf numFmtId="164" fontId="14" fillId="0" borderId="0" xfId="1" applyNumberFormat="1" applyFont="1"/>
    <xf numFmtId="164" fontId="0" fillId="0" borderId="0" xfId="1" applyNumberFormat="1" applyFont="1" applyAlignment="1">
      <alignment horizontal="center"/>
    </xf>
    <xf numFmtId="0" fontId="0" fillId="30" borderId="0" xfId="0" applyFill="1"/>
    <xf numFmtId="0" fontId="0" fillId="0" borderId="0" xfId="1" applyNumberFormat="1" applyFont="1" applyAlignment="1">
      <alignment horizontal="center"/>
    </xf>
    <xf numFmtId="0" fontId="0" fillId="52" borderId="0" xfId="0" applyFill="1" applyAlignment="1">
      <alignment horizontal="center"/>
    </xf>
    <xf numFmtId="0" fontId="0" fillId="52" borderId="0" xfId="0" applyFill="1"/>
    <xf numFmtId="49" fontId="0" fillId="52" borderId="0" xfId="0" applyNumberFormat="1" applyFill="1"/>
    <xf numFmtId="0" fontId="8" fillId="0" borderId="0" xfId="12"/>
    <xf numFmtId="0" fontId="147" fillId="0" borderId="0" xfId="0" applyFont="1"/>
    <xf numFmtId="3" fontId="148" fillId="19" borderId="4" xfId="0" applyNumberFormat="1" applyFont="1" applyFill="1" applyBorder="1" applyAlignment="1">
      <alignment horizontal="center" vertical="center"/>
    </xf>
    <xf numFmtId="0" fontId="146" fillId="0" borderId="0" xfId="28"/>
    <xf numFmtId="0" fontId="12" fillId="21" borderId="0" xfId="12" applyFont="1" applyFill="1"/>
    <xf numFmtId="0" fontId="8" fillId="21" borderId="0" xfId="12" applyFill="1"/>
    <xf numFmtId="164" fontId="69" fillId="0" borderId="0" xfId="1" applyNumberFormat="1" applyFont="1" applyFill="1"/>
    <xf numFmtId="10" fontId="47" fillId="0" borderId="4" xfId="0" applyNumberFormat="1" applyFont="1" applyBorder="1" applyAlignment="1">
      <alignment horizontal="center" vertical="center"/>
    </xf>
    <xf numFmtId="9" fontId="149" fillId="0" borderId="17" xfId="0" applyNumberFormat="1" applyFont="1" applyBorder="1" applyAlignment="1">
      <alignment horizontal="center" vertical="center"/>
    </xf>
    <xf numFmtId="164" fontId="14" fillId="0" borderId="0" xfId="1" applyNumberFormat="1" applyFont="1" applyFill="1"/>
    <xf numFmtId="0" fontId="0" fillId="53" borderId="0" xfId="0" applyFill="1" applyAlignment="1">
      <alignment horizontal="center"/>
    </xf>
    <xf numFmtId="0" fontId="0" fillId="53" borderId="0" xfId="0" applyFill="1"/>
    <xf numFmtId="0" fontId="0" fillId="54" borderId="0" xfId="0" applyFill="1" applyAlignment="1">
      <alignment horizontal="center"/>
    </xf>
    <xf numFmtId="0" fontId="0" fillId="54" borderId="0" xfId="0" applyFill="1"/>
    <xf numFmtId="0" fontId="0" fillId="0" borderId="0" xfId="0" applyAlignment="1">
      <alignment wrapText="1"/>
    </xf>
    <xf numFmtId="0" fontId="0" fillId="0" borderId="33" xfId="0" applyBorder="1" applyAlignment="1">
      <alignment wrapText="1"/>
    </xf>
    <xf numFmtId="0" fontId="0" fillId="0" borderId="0" xfId="1" applyNumberFormat="1" applyFont="1" applyAlignment="1">
      <alignment horizontal="right"/>
    </xf>
    <xf numFmtId="0" fontId="151" fillId="20" borderId="0" xfId="10" applyFont="1" applyFill="1" applyAlignment="1">
      <alignment horizontal="center" vertical="center"/>
    </xf>
    <xf numFmtId="0" fontId="151" fillId="20" borderId="0" xfId="10" applyFont="1" applyFill="1" applyAlignment="1">
      <alignment horizontal="center" vertical="center" wrapText="1"/>
    </xf>
    <xf numFmtId="0" fontId="152" fillId="18" borderId="0" xfId="10" applyFont="1" applyFill="1" applyAlignment="1">
      <alignment horizontal="left"/>
    </xf>
    <xf numFmtId="179" fontId="28" fillId="18" borderId="0" xfId="10" applyNumberFormat="1" applyFont="1" applyFill="1" applyAlignment="1">
      <alignment horizontal="right"/>
    </xf>
    <xf numFmtId="0" fontId="154" fillId="20" borderId="0" xfId="10" applyFont="1" applyFill="1" applyAlignment="1">
      <alignment horizontal="center" vertical="center"/>
    </xf>
    <xf numFmtId="180" fontId="28" fillId="18" borderId="0" xfId="10" applyNumberFormat="1" applyFont="1" applyFill="1" applyAlignment="1">
      <alignment horizontal="right"/>
    </xf>
    <xf numFmtId="179" fontId="23" fillId="18" borderId="0" xfId="10" applyNumberFormat="1" applyFill="1" applyAlignment="1">
      <alignment horizontal="left"/>
    </xf>
    <xf numFmtId="4" fontId="137" fillId="0" borderId="17" xfId="0" applyNumberFormat="1" applyFont="1" applyBorder="1" applyAlignment="1">
      <alignment horizontal="center" vertical="center"/>
    </xf>
    <xf numFmtId="1" fontId="14" fillId="0" borderId="0" xfId="0" applyNumberFormat="1" applyFont="1"/>
    <xf numFmtId="179" fontId="155" fillId="18" borderId="0" xfId="10" applyNumberFormat="1" applyFont="1" applyFill="1" applyAlignment="1">
      <alignment horizontal="right"/>
    </xf>
    <xf numFmtId="179" fontId="156" fillId="18" borderId="0" xfId="10" applyNumberFormat="1" applyFont="1" applyFill="1" applyAlignment="1">
      <alignment horizontal="right"/>
    </xf>
    <xf numFmtId="2" fontId="0" fillId="0" borderId="0" xfId="0" applyNumberFormat="1" applyAlignment="1">
      <alignment horizontal="left"/>
    </xf>
    <xf numFmtId="0" fontId="0" fillId="0" borderId="0" xfId="0" applyAlignment="1">
      <alignment horizontal="left"/>
    </xf>
    <xf numFmtId="0" fontId="0" fillId="0" borderId="12" xfId="12" applyFont="1" applyBorder="1" applyAlignment="1">
      <alignment horizontal="left"/>
    </xf>
    <xf numFmtId="0" fontId="0" fillId="55" borderId="0" xfId="0" applyFill="1"/>
    <xf numFmtId="0" fontId="157" fillId="0" borderId="32" xfId="31" applyFont="1" applyBorder="1"/>
    <xf numFmtId="0" fontId="157" fillId="0" borderId="4" xfId="31" applyFont="1" applyBorder="1"/>
    <xf numFmtId="0" fontId="157" fillId="30" borderId="4" xfId="31" applyFont="1" applyFill="1" applyBorder="1"/>
    <xf numFmtId="0" fontId="157" fillId="56" borderId="4" xfId="31" applyFont="1" applyFill="1" applyBorder="1" applyAlignment="1">
      <alignment horizontal="center"/>
    </xf>
    <xf numFmtId="0" fontId="157" fillId="0" borderId="0" xfId="31" applyFont="1"/>
    <xf numFmtId="0" fontId="157" fillId="0" borderId="82" xfId="31" applyFont="1" applyBorder="1" applyAlignment="1">
      <alignment horizontal="center"/>
    </xf>
    <xf numFmtId="0" fontId="2" fillId="0" borderId="4" xfId="31" applyBorder="1" applyAlignment="1">
      <alignment horizontal="center"/>
    </xf>
    <xf numFmtId="0" fontId="2" fillId="30" borderId="4" xfId="31" applyFill="1" applyBorder="1" applyAlignment="1">
      <alignment horizontal="center"/>
    </xf>
    <xf numFmtId="0" fontId="157" fillId="0" borderId="0" xfId="31" applyFont="1" applyAlignment="1">
      <alignment horizontal="center"/>
    </xf>
    <xf numFmtId="0" fontId="2" fillId="0" borderId="4" xfId="31" applyBorder="1" applyAlignment="1">
      <alignment horizontal="right"/>
    </xf>
    <xf numFmtId="3" fontId="2" fillId="0" borderId="4" xfId="31" applyNumberFormat="1" applyBorder="1" applyAlignment="1">
      <alignment horizontal="right"/>
    </xf>
    <xf numFmtId="3" fontId="2" fillId="30" borderId="4" xfId="31" applyNumberFormat="1" applyFill="1" applyBorder="1" applyAlignment="1">
      <alignment horizontal="right"/>
    </xf>
    <xf numFmtId="0" fontId="2" fillId="0" borderId="4" xfId="31" applyBorder="1"/>
    <xf numFmtId="181" fontId="2" fillId="0" borderId="4" xfId="31" applyNumberFormat="1" applyBorder="1"/>
    <xf numFmtId="0" fontId="2" fillId="0" borderId="0" xfId="31"/>
    <xf numFmtId="181" fontId="2" fillId="22" borderId="4" xfId="31" applyNumberFormat="1" applyFill="1" applyBorder="1"/>
    <xf numFmtId="181" fontId="2" fillId="22" borderId="0" xfId="31" applyNumberFormat="1" applyFill="1"/>
    <xf numFmtId="1" fontId="2" fillId="0" borderId="0" xfId="31" applyNumberFormat="1"/>
    <xf numFmtId="0" fontId="42" fillId="0" borderId="0" xfId="31" applyFont="1"/>
    <xf numFmtId="164" fontId="158" fillId="0" borderId="0" xfId="0" applyNumberFormat="1" applyFont="1"/>
    <xf numFmtId="3" fontId="158" fillId="0" borderId="0" xfId="0" applyNumberFormat="1" applyFont="1"/>
    <xf numFmtId="0" fontId="0" fillId="57" borderId="0" xfId="0" applyFill="1"/>
    <xf numFmtId="0" fontId="0" fillId="58" borderId="0" xfId="0" applyFill="1"/>
    <xf numFmtId="0" fontId="0" fillId="59" borderId="0" xfId="0" applyFill="1"/>
    <xf numFmtId="0" fontId="8" fillId="13" borderId="0" xfId="0" applyFont="1" applyFill="1" applyAlignment="1">
      <alignment horizontal="left"/>
    </xf>
    <xf numFmtId="0" fontId="0" fillId="0" borderId="0" xfId="0" quotePrefix="1"/>
    <xf numFmtId="0" fontId="0" fillId="60" borderId="0" xfId="0" applyFill="1"/>
    <xf numFmtId="0" fontId="0" fillId="61" borderId="0" xfId="0" applyFill="1"/>
    <xf numFmtId="0" fontId="0" fillId="56" borderId="0" xfId="0" applyFill="1"/>
    <xf numFmtId="0" fontId="0" fillId="62" borderId="0" xfId="0" applyFill="1"/>
    <xf numFmtId="0" fontId="17" fillId="0" borderId="83" xfId="4" applyBorder="1"/>
    <xf numFmtId="0" fontId="0" fillId="63" borderId="0" xfId="0" applyFill="1"/>
    <xf numFmtId="0" fontId="0" fillId="64" borderId="0" xfId="0" applyFill="1"/>
    <xf numFmtId="0" fontId="0" fillId="65" borderId="0" xfId="0" applyFill="1"/>
    <xf numFmtId="0" fontId="0" fillId="66" borderId="0" xfId="0" applyFill="1"/>
    <xf numFmtId="2" fontId="17" fillId="0" borderId="0" xfId="4" applyNumberFormat="1" applyAlignment="1">
      <alignment horizontal="left"/>
    </xf>
    <xf numFmtId="0" fontId="159" fillId="29" borderId="0" xfId="32" applyFont="1" applyFill="1" applyAlignment="1">
      <alignment horizontal="left"/>
    </xf>
    <xf numFmtId="0" fontId="160" fillId="29" borderId="0" xfId="32" applyFont="1" applyFill="1" applyAlignment="1">
      <alignment horizontal="left"/>
    </xf>
    <xf numFmtId="0" fontId="161" fillId="67" borderId="0" xfId="32" applyFont="1" applyFill="1"/>
    <xf numFmtId="0" fontId="1" fillId="67" borderId="0" xfId="32" applyFill="1"/>
    <xf numFmtId="0" fontId="162" fillId="67" borderId="0" xfId="32" applyFont="1" applyFill="1"/>
    <xf numFmtId="0" fontId="1" fillId="0" borderId="0" xfId="32"/>
    <xf numFmtId="0" fontId="163" fillId="67" borderId="0" xfId="32" applyFont="1" applyFill="1"/>
    <xf numFmtId="0" fontId="164" fillId="67" borderId="0" xfId="32" applyFont="1" applyFill="1"/>
    <xf numFmtId="0" fontId="44" fillId="67" borderId="0" xfId="32" applyFont="1" applyFill="1"/>
    <xf numFmtId="0" fontId="44" fillId="67" borderId="0" xfId="32" quotePrefix="1" applyFont="1" applyFill="1"/>
    <xf numFmtId="14" fontId="44" fillId="67" borderId="0" xfId="32" applyNumberFormat="1" applyFont="1" applyFill="1" applyAlignment="1">
      <alignment horizontal="left"/>
    </xf>
    <xf numFmtId="14" fontId="1" fillId="0" borderId="0" xfId="32" applyNumberFormat="1"/>
    <xf numFmtId="0" fontId="165" fillId="0" borderId="0" xfId="32" applyFont="1" applyAlignment="1">
      <alignment horizontal="center"/>
    </xf>
    <xf numFmtId="0" fontId="66" fillId="0" borderId="0" xfId="32" applyFont="1"/>
    <xf numFmtId="0" fontId="166" fillId="0" borderId="0" xfId="32" applyFont="1"/>
    <xf numFmtId="0" fontId="167" fillId="0" borderId="0" xfId="32" applyFont="1"/>
    <xf numFmtId="0" fontId="168" fillId="0" borderId="0" xfId="33"/>
    <xf numFmtId="0" fontId="169" fillId="0" borderId="0" xfId="33" applyFont="1"/>
    <xf numFmtId="0" fontId="8" fillId="0" borderId="0" xfId="32" applyFont="1"/>
    <xf numFmtId="0" fontId="146" fillId="0" borderId="0" xfId="28" quotePrefix="1"/>
    <xf numFmtId="0" fontId="168" fillId="0" borderId="0" xfId="33" quotePrefix="1"/>
    <xf numFmtId="0" fontId="44" fillId="0" borderId="0" xfId="32" applyFont="1"/>
    <xf numFmtId="0" fontId="159" fillId="68" borderId="0" xfId="32" applyFont="1" applyFill="1" applyAlignment="1">
      <alignment horizontal="left"/>
    </xf>
    <xf numFmtId="0" fontId="160" fillId="68" borderId="0" xfId="32" applyFont="1" applyFill="1" applyAlignment="1">
      <alignment horizontal="left"/>
    </xf>
    <xf numFmtId="0" fontId="12" fillId="67" borderId="0" xfId="32" applyFont="1" applyFill="1"/>
    <xf numFmtId="0" fontId="8" fillId="67" borderId="0" xfId="32" applyFont="1" applyFill="1"/>
    <xf numFmtId="0" fontId="170" fillId="67" borderId="0" xfId="32" applyFont="1" applyFill="1"/>
    <xf numFmtId="0" fontId="170" fillId="67" borderId="0" xfId="32" applyFont="1" applyFill="1" applyAlignment="1">
      <alignment wrapText="1"/>
    </xf>
    <xf numFmtId="0" fontId="170" fillId="67" borderId="0" xfId="32" applyFont="1" applyFill="1" applyAlignment="1">
      <alignment horizontal="left" wrapText="1"/>
    </xf>
    <xf numFmtId="0" fontId="171" fillId="67" borderId="0" xfId="32" applyFont="1" applyFill="1" applyAlignment="1">
      <alignment horizontal="left"/>
    </xf>
    <xf numFmtId="0" fontId="168" fillId="67" borderId="0" xfId="33" applyFill="1" applyAlignment="1">
      <alignment horizontal="left"/>
    </xf>
    <xf numFmtId="0" fontId="8" fillId="67" borderId="0" xfId="32" applyFont="1" applyFill="1" applyAlignment="1">
      <alignment horizontal="left"/>
    </xf>
    <xf numFmtId="0" fontId="172" fillId="67" borderId="0" xfId="32" applyFont="1" applyFill="1"/>
    <xf numFmtId="0" fontId="173" fillId="67" borderId="0" xfId="32" applyFont="1" applyFill="1"/>
    <xf numFmtId="0" fontId="168" fillId="67" borderId="0" xfId="33" applyFill="1"/>
    <xf numFmtId="0" fontId="174" fillId="67" borderId="0" xfId="32" applyFont="1" applyFill="1"/>
    <xf numFmtId="0" fontId="14" fillId="67" borderId="0" xfId="32" applyFont="1" applyFill="1"/>
    <xf numFmtId="0" fontId="10" fillId="67" borderId="0" xfId="32" applyFont="1" applyFill="1"/>
    <xf numFmtId="0" fontId="175" fillId="67" borderId="0" xfId="32" applyFont="1" applyFill="1"/>
    <xf numFmtId="0" fontId="176" fillId="67" borderId="0" xfId="32" applyFont="1" applyFill="1"/>
    <xf numFmtId="0" fontId="177" fillId="67" borderId="0" xfId="32" applyFont="1" applyFill="1"/>
    <xf numFmtId="0" fontId="178" fillId="67" borderId="0" xfId="32" applyFont="1" applyFill="1"/>
    <xf numFmtId="0" fontId="179" fillId="67" borderId="0" xfId="32" applyFont="1" applyFill="1"/>
    <xf numFmtId="0" fontId="180" fillId="0" borderId="0" xfId="32" applyFont="1"/>
    <xf numFmtId="0" fontId="1" fillId="67" borderId="33" xfId="32" applyFill="1" applyBorder="1"/>
    <xf numFmtId="0" fontId="1" fillId="0" borderId="33" xfId="32" applyBorder="1"/>
    <xf numFmtId="0" fontId="181" fillId="67" borderId="0" xfId="32" applyFont="1" applyFill="1"/>
    <xf numFmtId="0" fontId="8" fillId="67" borderId="0" xfId="32" quotePrefix="1" applyFont="1" applyFill="1"/>
    <xf numFmtId="0" fontId="182" fillId="67" borderId="0" xfId="32" applyFont="1" applyFill="1"/>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72" fillId="11" borderId="0" xfId="18" applyFont="1" applyFill="1" applyAlignment="1">
      <alignment horizontal="center" vertical="center"/>
    </xf>
    <xf numFmtId="0" fontId="91" fillId="0" borderId="0" xfId="16" applyFont="1" applyAlignment="1">
      <alignment horizontal="center" vertical="center"/>
    </xf>
    <xf numFmtId="0" fontId="72" fillId="11" borderId="39" xfId="18" applyFont="1" applyFill="1" applyBorder="1" applyAlignment="1">
      <alignment horizontal="center" vertical="center"/>
    </xf>
    <xf numFmtId="0" fontId="91" fillId="0" borderId="33" xfId="16" applyFont="1" applyBorder="1" applyAlignment="1">
      <alignment horizontal="center" vertical="center"/>
    </xf>
    <xf numFmtId="0" fontId="157" fillId="56" borderId="4" xfId="31" applyFont="1" applyFill="1" applyBorder="1" applyAlignment="1">
      <alignment horizontal="center"/>
    </xf>
    <xf numFmtId="0" fontId="52" fillId="29" borderId="19" xfId="0" applyFont="1" applyFill="1" applyBorder="1" applyAlignment="1">
      <alignment horizontal="left" vertical="center" wrapText="1"/>
    </xf>
    <xf numFmtId="0" fontId="52" fillId="29" borderId="20" xfId="0" applyFont="1" applyFill="1" applyBorder="1" applyAlignment="1">
      <alignment horizontal="left" vertical="center" wrapText="1"/>
    </xf>
    <xf numFmtId="0" fontId="52" fillId="29" borderId="21" xfId="0" applyFont="1" applyFill="1" applyBorder="1" applyAlignment="1">
      <alignment horizontal="left" vertical="center" wrapText="1"/>
    </xf>
    <xf numFmtId="0" fontId="32" fillId="0" borderId="7" xfId="16" applyFont="1" applyBorder="1" applyAlignment="1">
      <alignment horizontal="center"/>
    </xf>
    <xf numFmtId="0" fontId="32" fillId="0" borderId="8" xfId="16" applyFont="1" applyBorder="1" applyAlignment="1">
      <alignment horizontal="center"/>
    </xf>
    <xf numFmtId="0" fontId="45" fillId="19" borderId="16" xfId="0" applyFont="1" applyFill="1" applyBorder="1" applyAlignment="1">
      <alignment horizontal="center" vertical="center"/>
    </xf>
    <xf numFmtId="0" fontId="51" fillId="29" borderId="18" xfId="0" applyFont="1" applyFill="1" applyBorder="1" applyAlignment="1">
      <alignment horizontal="left" vertical="center" wrapText="1"/>
    </xf>
    <xf numFmtId="0" fontId="52" fillId="29" borderId="18" xfId="0" applyFont="1" applyFill="1" applyBorder="1" applyAlignment="1">
      <alignment horizontal="left" vertical="center" wrapText="1"/>
    </xf>
    <xf numFmtId="0" fontId="45" fillId="19" borderId="17" xfId="0" applyFont="1" applyFill="1" applyBorder="1" applyAlignment="1">
      <alignment horizontal="center" vertical="center"/>
    </xf>
    <xf numFmtId="0" fontId="45" fillId="19" borderId="22" xfId="0" applyFont="1" applyFill="1" applyBorder="1" applyAlignment="1">
      <alignment horizontal="center" vertical="center" wrapText="1"/>
    </xf>
    <xf numFmtId="0" fontId="45" fillId="19" borderId="23" xfId="0" applyFont="1" applyFill="1" applyBorder="1" applyAlignment="1">
      <alignment horizontal="center" vertical="center" wrapText="1"/>
    </xf>
    <xf numFmtId="0" fontId="45" fillId="19" borderId="25" xfId="0" applyFont="1" applyFill="1" applyBorder="1" applyAlignment="1">
      <alignment horizontal="center" vertical="center" wrapText="1"/>
    </xf>
    <xf numFmtId="0" fontId="45" fillId="19" borderId="26" xfId="0" applyFont="1" applyFill="1" applyBorder="1" applyAlignment="1">
      <alignment horizontal="center" vertical="center" wrapText="1"/>
    </xf>
    <xf numFmtId="0" fontId="45" fillId="19" borderId="24" xfId="0" applyFont="1" applyFill="1" applyBorder="1" applyAlignment="1">
      <alignment horizontal="center" vertical="center"/>
    </xf>
    <xf numFmtId="0" fontId="45" fillId="19" borderId="27" xfId="0" applyFont="1" applyFill="1" applyBorder="1" applyAlignment="1">
      <alignment horizontal="center" vertical="center"/>
    </xf>
    <xf numFmtId="0" fontId="45" fillId="19" borderId="28" xfId="0" applyFont="1" applyFill="1" applyBorder="1" applyAlignment="1">
      <alignment horizontal="center" vertical="center"/>
    </xf>
    <xf numFmtId="0" fontId="52" fillId="29" borderId="0" xfId="0" applyFont="1" applyFill="1" applyAlignment="1">
      <alignment horizontal="left" vertical="center" wrapText="1"/>
    </xf>
    <xf numFmtId="0" fontId="52" fillId="29" borderId="32" xfId="0" applyFont="1" applyFill="1" applyBorder="1" applyAlignment="1">
      <alignment vertical="center" wrapText="1"/>
    </xf>
    <xf numFmtId="0" fontId="52" fillId="29" borderId="33" xfId="0" applyFont="1" applyFill="1" applyBorder="1" applyAlignment="1">
      <alignment vertical="center" wrapText="1"/>
    </xf>
    <xf numFmtId="0" fontId="52" fillId="29" borderId="34" xfId="0" applyFont="1" applyFill="1" applyBorder="1" applyAlignment="1">
      <alignment vertical="center" wrapText="1"/>
    </xf>
    <xf numFmtId="0" fontId="52" fillId="29" borderId="35" xfId="0" applyFont="1" applyFill="1" applyBorder="1" applyAlignment="1">
      <alignment horizontal="left" vertical="center" wrapText="1"/>
    </xf>
    <xf numFmtId="0" fontId="52" fillId="29" borderId="36" xfId="0" applyFont="1" applyFill="1" applyBorder="1" applyAlignment="1">
      <alignment horizontal="left" vertical="center" wrapText="1"/>
    </xf>
    <xf numFmtId="0" fontId="52" fillId="29" borderId="37" xfId="0" applyFont="1" applyFill="1" applyBorder="1" applyAlignment="1">
      <alignment horizontal="left" vertical="center" wrapText="1"/>
    </xf>
    <xf numFmtId="0" fontId="52" fillId="29" borderId="32" xfId="0" applyFont="1" applyFill="1" applyBorder="1" applyAlignment="1">
      <alignment horizontal="left" vertical="center" wrapText="1"/>
    </xf>
    <xf numFmtId="0" fontId="52" fillId="29" borderId="33" xfId="0" applyFont="1" applyFill="1" applyBorder="1" applyAlignment="1">
      <alignment horizontal="left" vertical="center" wrapText="1"/>
    </xf>
    <xf numFmtId="0" fontId="52" fillId="29" borderId="34" xfId="0" applyFont="1" applyFill="1" applyBorder="1" applyAlignment="1">
      <alignment horizontal="left" vertical="center" wrapText="1"/>
    </xf>
    <xf numFmtId="0" fontId="51" fillId="29" borderId="38" xfId="0" applyFont="1" applyFill="1" applyBorder="1" applyAlignment="1">
      <alignment vertical="center" wrapText="1"/>
    </xf>
    <xf numFmtId="0" fontId="51" fillId="29" borderId="39" xfId="0" applyFont="1" applyFill="1" applyBorder="1" applyAlignment="1">
      <alignment vertical="center" wrapText="1"/>
    </xf>
    <xf numFmtId="0" fontId="51" fillId="29" borderId="40" xfId="0" applyFont="1" applyFill="1" applyBorder="1" applyAlignment="1">
      <alignment vertical="center" wrapText="1"/>
    </xf>
    <xf numFmtId="0" fontId="52" fillId="29" borderId="38" xfId="0" applyFont="1" applyFill="1" applyBorder="1" applyAlignment="1">
      <alignment horizontal="left" vertical="center" wrapText="1"/>
    </xf>
    <xf numFmtId="0" fontId="52" fillId="29" borderId="39" xfId="0" applyFont="1" applyFill="1" applyBorder="1" applyAlignment="1">
      <alignment horizontal="left" vertical="center" wrapText="1"/>
    </xf>
    <xf numFmtId="0" fontId="52" fillId="29" borderId="40" xfId="0" applyFont="1" applyFill="1" applyBorder="1" applyAlignment="1">
      <alignment horizontal="left" vertical="center" wrapText="1"/>
    </xf>
    <xf numFmtId="0" fontId="53" fillId="29" borderId="0" xfId="0" applyFont="1" applyFill="1" applyAlignment="1">
      <alignment horizontal="left" vertical="center" wrapText="1"/>
    </xf>
    <xf numFmtId="0" fontId="0" fillId="0" borderId="11" xfId="0" applyBorder="1" applyAlignment="1">
      <alignment horizontal="center" vertical="center" wrapText="1"/>
    </xf>
    <xf numFmtId="0" fontId="32" fillId="0" borderId="7" xfId="13" applyFont="1" applyBorder="1" applyAlignment="1">
      <alignment horizontal="center"/>
    </xf>
    <xf numFmtId="0" fontId="32" fillId="0" borderId="8" xfId="13" applyFont="1" applyBorder="1" applyAlignment="1">
      <alignment horizontal="center"/>
    </xf>
    <xf numFmtId="0" fontId="28" fillId="18" borderId="0" xfId="10" applyFont="1" applyFill="1" applyAlignment="1">
      <alignment horizontal="left" wrapText="1"/>
    </xf>
    <xf numFmtId="0" fontId="30" fillId="18" borderId="0" xfId="10" applyFont="1" applyFill="1" applyAlignment="1">
      <alignment horizontal="left" wrapText="1"/>
    </xf>
    <xf numFmtId="0" fontId="23" fillId="18" borderId="0" xfId="10" applyFill="1" applyAlignment="1">
      <alignment horizontal="left"/>
    </xf>
    <xf numFmtId="0" fontId="150" fillId="18" borderId="0" xfId="10" applyFont="1" applyFill="1" applyAlignment="1">
      <alignment horizontal="left" wrapText="1"/>
    </xf>
    <xf numFmtId="0" fontId="153" fillId="18" borderId="0" xfId="10" applyFont="1" applyFill="1" applyAlignment="1">
      <alignment horizontal="left" wrapText="1"/>
    </xf>
    <xf numFmtId="0" fontId="32" fillId="0" borderId="0" xfId="16" applyFont="1" applyAlignment="1">
      <alignment horizontal="center"/>
    </xf>
    <xf numFmtId="0" fontId="135" fillId="29" borderId="72" xfId="0" applyFont="1" applyFill="1" applyBorder="1" applyAlignment="1">
      <alignment horizontal="left" vertical="center" wrapText="1"/>
    </xf>
    <xf numFmtId="0" fontId="133" fillId="29" borderId="72" xfId="0" applyFont="1" applyFill="1" applyBorder="1" applyAlignment="1">
      <alignment horizontal="left" vertical="center" wrapText="1"/>
    </xf>
    <xf numFmtId="0" fontId="45" fillId="19" borderId="71" xfId="0" applyFont="1" applyFill="1" applyBorder="1" applyAlignment="1">
      <alignment horizontal="center" vertical="center" wrapText="1"/>
    </xf>
    <xf numFmtId="0" fontId="45" fillId="19" borderId="74" xfId="0" applyFont="1" applyFill="1" applyBorder="1" applyAlignment="1">
      <alignment horizontal="center" vertical="center" wrapText="1"/>
    </xf>
    <xf numFmtId="0" fontId="0" fillId="0" borderId="0" xfId="0" applyAlignment="1">
      <alignment horizontal="left" vertical="center"/>
    </xf>
    <xf numFmtId="9" fontId="69" fillId="0" borderId="0" xfId="15" applyFont="1" applyAlignment="1">
      <alignment horizontal="right" vertical="center"/>
    </xf>
    <xf numFmtId="0" fontId="0" fillId="0" borderId="0" xfId="0" applyAlignment="1">
      <alignment horizontal="center" vertical="center"/>
    </xf>
    <xf numFmtId="0" fontId="142" fillId="19" borderId="71" xfId="0" applyFont="1" applyFill="1" applyBorder="1" applyAlignment="1">
      <alignment horizontal="center" vertical="center" wrapText="1"/>
    </xf>
    <xf numFmtId="0" fontId="142" fillId="19" borderId="76" xfId="0" applyFont="1" applyFill="1" applyBorder="1" applyAlignment="1">
      <alignment horizontal="center" vertical="center" wrapText="1"/>
    </xf>
    <xf numFmtId="0" fontId="142" fillId="19" borderId="77" xfId="0" applyFont="1" applyFill="1" applyBorder="1" applyAlignment="1">
      <alignment horizontal="center" vertical="center" wrapText="1"/>
    </xf>
    <xf numFmtId="0" fontId="139" fillId="29" borderId="18" xfId="0" applyFont="1" applyFill="1" applyBorder="1" applyAlignment="1">
      <alignment horizontal="left" vertical="center" wrapText="1"/>
    </xf>
    <xf numFmtId="0" fontId="135" fillId="0" borderId="79" xfId="0" applyFont="1" applyBorder="1" applyAlignment="1">
      <alignment horizontal="left" vertical="center" wrapText="1"/>
    </xf>
    <xf numFmtId="0" fontId="135" fillId="0" borderId="80" xfId="0" applyFont="1" applyBorder="1" applyAlignment="1">
      <alignment horizontal="left" vertical="center" wrapText="1"/>
    </xf>
    <xf numFmtId="0" fontId="135" fillId="0" borderId="81" xfId="0" applyFont="1" applyBorder="1" applyAlignment="1">
      <alignment horizontal="left" vertical="center" wrapText="1"/>
    </xf>
    <xf numFmtId="0" fontId="45" fillId="19" borderId="4" xfId="0" applyFont="1" applyFill="1" applyBorder="1" applyAlignment="1">
      <alignment horizontal="center" vertical="center" wrapText="1"/>
    </xf>
    <xf numFmtId="0" fontId="142" fillId="19" borderId="38" xfId="0" applyFont="1" applyFill="1" applyBorder="1" applyAlignment="1">
      <alignment horizontal="center" vertical="center" wrapText="1"/>
    </xf>
    <xf numFmtId="0" fontId="142" fillId="19" borderId="39" xfId="0" applyFont="1" applyFill="1" applyBorder="1" applyAlignment="1">
      <alignment horizontal="center" vertical="center" wrapText="1"/>
    </xf>
    <xf numFmtId="0" fontId="142" fillId="19" borderId="78" xfId="0" applyFont="1" applyFill="1" applyBorder="1" applyAlignment="1">
      <alignment horizontal="center" vertical="center" wrapText="1"/>
    </xf>
    <xf numFmtId="0" fontId="45" fillId="19" borderId="35" xfId="0" applyFont="1" applyFill="1" applyBorder="1" applyAlignment="1">
      <alignment horizontal="center" vertical="center" wrapText="1"/>
    </xf>
    <xf numFmtId="0" fontId="45" fillId="19" borderId="36" xfId="0" applyFont="1" applyFill="1" applyBorder="1" applyAlignment="1">
      <alignment horizontal="center" vertical="center" wrapText="1"/>
    </xf>
    <xf numFmtId="0" fontId="45" fillId="19" borderId="37" xfId="0" applyFont="1" applyFill="1" applyBorder="1" applyAlignment="1">
      <alignment horizontal="center" vertical="center" wrapText="1"/>
    </xf>
    <xf numFmtId="0" fontId="45" fillId="19" borderId="4" xfId="0" applyFont="1" applyFill="1" applyBorder="1" applyAlignment="1">
      <alignment horizontal="center" vertical="center"/>
    </xf>
    <xf numFmtId="0" fontId="50" fillId="0" borderId="79" xfId="0" applyFont="1" applyBorder="1" applyAlignment="1">
      <alignment horizontal="left" vertical="center" wrapText="1"/>
    </xf>
    <xf numFmtId="0" fontId="14" fillId="0" borderId="0" xfId="0" applyFont="1" applyAlignment="1">
      <alignment horizontal="center" vertical="center" wrapText="1"/>
    </xf>
    <xf numFmtId="0" fontId="41" fillId="24" borderId="15" xfId="4" applyFont="1" applyFill="1" applyBorder="1" applyAlignment="1">
      <alignment horizontal="right" vertical="center"/>
    </xf>
    <xf numFmtId="0" fontId="41" fillId="24" borderId="15" xfId="4" applyFont="1" applyFill="1" applyBorder="1" applyAlignment="1">
      <alignment horizontal="center" vertical="center"/>
    </xf>
    <xf numFmtId="0" fontId="45" fillId="19" borderId="74" xfId="0" applyFont="1" applyFill="1" applyBorder="1" applyAlignment="1">
      <alignment horizontal="center" vertical="center"/>
    </xf>
    <xf numFmtId="0" fontId="32" fillId="0" borderId="0" xfId="29" applyFont="1" applyAlignment="1">
      <alignment horizontal="center"/>
    </xf>
    <xf numFmtId="0" fontId="50" fillId="29" borderId="79" xfId="30" applyFill="1" applyBorder="1" applyAlignment="1">
      <alignment horizontal="left" vertical="center" wrapText="1"/>
    </xf>
    <xf numFmtId="0" fontId="50" fillId="29" borderId="80" xfId="30" applyFill="1" applyBorder="1" applyAlignment="1">
      <alignment horizontal="left" vertical="center" wrapText="1"/>
    </xf>
    <xf numFmtId="0" fontId="50" fillId="29" borderId="81" xfId="30" applyFill="1" applyBorder="1" applyAlignment="1">
      <alignment horizontal="left" vertical="center" wrapText="1"/>
    </xf>
    <xf numFmtId="0" fontId="0" fillId="0" borderId="0" xfId="0" applyAlignment="1">
      <alignment horizontal="center" wrapText="1"/>
    </xf>
    <xf numFmtId="0" fontId="0" fillId="0" borderId="5" xfId="0" applyBorder="1" applyAlignment="1">
      <alignment horizontal="center" wrapText="1"/>
    </xf>
    <xf numFmtId="0" fontId="0" fillId="0" borderId="84" xfId="0" applyBorder="1" applyAlignment="1">
      <alignment horizontal="center" wrapText="1"/>
    </xf>
    <xf numFmtId="0" fontId="29" fillId="18" borderId="0" xfId="10" applyFont="1" applyFill="1" applyAlignment="1">
      <alignment horizontal="left" wrapText="1"/>
    </xf>
    <xf numFmtId="0" fontId="24" fillId="18" borderId="0" xfId="10" applyFont="1" applyFill="1" applyAlignment="1">
      <alignment horizontal="left" wrapText="1"/>
    </xf>
    <xf numFmtId="0" fontId="25" fillId="18" borderId="0" xfId="10" applyFont="1" applyFill="1" applyAlignment="1">
      <alignment horizontal="left" vertical="top" wrapText="1"/>
    </xf>
    <xf numFmtId="0" fontId="26" fillId="18" borderId="0" xfId="10" applyFont="1" applyFill="1" applyAlignment="1">
      <alignment horizontal="left" vertical="top" wrapText="1"/>
    </xf>
    <xf numFmtId="0" fontId="30" fillId="18" borderId="0" xfId="10" applyFont="1" applyFill="1" applyAlignment="1">
      <alignment horizontal="left" vertical="top" wrapText="1"/>
    </xf>
    <xf numFmtId="0" fontId="31" fillId="18" borderId="0" xfId="10" applyFont="1" applyFill="1" applyAlignment="1">
      <alignment horizontal="left" vertical="top" wrapText="1"/>
    </xf>
    <xf numFmtId="0" fontId="63" fillId="0" borderId="0" xfId="17" applyFont="1" applyAlignment="1">
      <alignment vertical="center" wrapText="1"/>
    </xf>
    <xf numFmtId="0" fontId="57" fillId="0" borderId="0" xfId="17"/>
    <xf numFmtId="0" fontId="58" fillId="0" borderId="0" xfId="17" applyFont="1" applyAlignment="1">
      <alignment horizontal="left" vertical="center" wrapText="1"/>
    </xf>
    <xf numFmtId="0" fontId="59" fillId="31" borderId="0" xfId="17" applyFont="1" applyFill="1" applyAlignment="1">
      <alignment horizontal="center" vertical="center" wrapText="1"/>
    </xf>
    <xf numFmtId="0" fontId="60" fillId="0" borderId="41" xfId="17" applyFont="1" applyBorder="1" applyAlignment="1">
      <alignment horizontal="right" vertical="center" wrapText="1"/>
    </xf>
    <xf numFmtId="0" fontId="62" fillId="0" borderId="43" xfId="17" applyFont="1" applyBorder="1" applyAlignment="1">
      <alignment vertical="center" wrapText="1"/>
    </xf>
    <xf numFmtId="0" fontId="32" fillId="0" borderId="7" xfId="11" applyFont="1" applyBorder="1" applyAlignment="1">
      <alignment horizontal="center"/>
    </xf>
    <xf numFmtId="0" fontId="32" fillId="0" borderId="8" xfId="11" applyFont="1" applyBorder="1" applyAlignment="1">
      <alignment horizontal="center"/>
    </xf>
    <xf numFmtId="0" fontId="12" fillId="0" borderId="0" xfId="0" applyFont="1" applyAlignment="1">
      <alignment horizontal="center"/>
    </xf>
  </cellXfs>
  <cellStyles count="34">
    <cellStyle name="Body" xfId="3" xr:uid="{CB93DAF9-86B4-4098-8926-EA86FAC1267C}"/>
    <cellStyle name="Excel Built-in Explanatory Text" xfId="14" xr:uid="{D21394EB-709E-4991-9494-FA962815656F}"/>
    <cellStyle name="Header" xfId="2" xr:uid="{5BD36B50-DC78-42D0-9665-C2E3423130E7}"/>
    <cellStyle name="Lien hypertexte" xfId="28" builtinId="8"/>
    <cellStyle name="Lien hypertexte 2" xfId="33" xr:uid="{DF19B4C1-D6F2-4508-9667-17AA7BE0DC67}"/>
    <cellStyle name="Milliers" xfId="1" builtinId="3"/>
    <cellStyle name="Milliers 2" xfId="8" xr:uid="{EAAB2195-18F1-4D8F-BC3C-98D52ED35CBC}"/>
    <cellStyle name="Normal" xfId="0" builtinId="0"/>
    <cellStyle name="Normal 2" xfId="4" xr:uid="{9CAB1214-16AA-4D2B-9117-9ACCA20FDD77}"/>
    <cellStyle name="Normal 2 2" xfId="5" xr:uid="{FF3900C9-3A53-4816-B323-341D72FC906B}"/>
    <cellStyle name="Normal 3" xfId="6" xr:uid="{D2FD3B89-E791-4B03-95F2-084AAD938C8E}"/>
    <cellStyle name="Normal 4" xfId="9" xr:uid="{9DF5B9EE-144B-4607-AA02-B84414CD0333}"/>
    <cellStyle name="Normal 5" xfId="10" xr:uid="{ACA0B39D-671F-4DF4-BD56-2E608B733785}"/>
    <cellStyle name="Normal 6" xfId="30" xr:uid="{27C7E724-4CEC-489A-BCBD-B98CF604BAF6}"/>
    <cellStyle name="Normal 7" xfId="17" xr:uid="{876CF21F-D535-4B5F-B2CC-75A927C16F0B}"/>
    <cellStyle name="Normal 8" xfId="31" xr:uid="{FC5AAFC8-CA2D-48B9-911A-C05054F17C22}"/>
    <cellStyle name="Normal 8 2" xfId="12" xr:uid="{7BFEC092-A740-4AC2-989D-D62ACC0AA220}"/>
    <cellStyle name="Normal 8 3" xfId="32" xr:uid="{4B15F518-8250-4AAA-A244-6037194906C4}"/>
    <cellStyle name="Normal 9" xfId="11" xr:uid="{D9661232-691A-4F42-9DF1-824404998627}"/>
    <cellStyle name="Normal 9 2" xfId="13" xr:uid="{43B9C52C-6AEF-4B5A-B2E7-B14BD2281D89}"/>
    <cellStyle name="Normal 9 3" xfId="16" xr:uid="{CF06A8E9-9ADA-456F-A18E-B79130D699C4}"/>
    <cellStyle name="Normal 9 4" xfId="29" xr:uid="{AF08F880-B411-4852-9E8E-52A2A71E72D3}"/>
    <cellStyle name="Normal_bibd02" xfId="24" xr:uid="{8AAD949D-33E0-4BAA-A12F-CFC1BE03907A}"/>
    <cellStyle name="Normal_bibd02_Bilans_nv_version_FR" xfId="26" xr:uid="{2B4C30AD-2867-44E4-890C-95128FCF58F1}"/>
    <cellStyle name="Normal_Bilans_BLET_Simul" xfId="18" xr:uid="{12B5821B-4201-4C19-BD7C-D3555370E0AA}"/>
    <cellStyle name="Normal_Bilans_Maïs_Simul" xfId="21" xr:uid="{4A6F150C-8543-49D5-9B68-C46FFB4AC53D}"/>
    <cellStyle name="Normal_Bilans_Orges_Simul_Bilans1516" xfId="25" xr:uid="{E249F67F-A722-49B7-8D2B-833531B58413}"/>
    <cellStyle name="Normal_Bilans_Orges_Simul_Bilans1516_SF" xfId="19" xr:uid="{F28E5BD8-350A-4D23-B8DB-B3F993EBCB7F}"/>
    <cellStyle name="Normal_Bilans_Orges_Simul_Bilans1516_SF 2" xfId="20" xr:uid="{426A7A6F-A910-4326-959A-1B8B227D1F2D}"/>
    <cellStyle name="Pourcentage" xfId="15" builtinId="5"/>
    <cellStyle name="Pourcentage 2" xfId="7" xr:uid="{11929990-FF89-4570-8196-3D9A680BE7AB}"/>
    <cellStyle name="Pourcentage 2 2" xfId="27" xr:uid="{B3A3F0E6-826E-4363-8A3A-B0AC2F3EA59D}"/>
    <cellStyle name="Pourcentage 3" xfId="23" xr:uid="{AE71B071-EC09-4BD7-BB77-77111ADAB802}"/>
    <cellStyle name="Pourcentage_Bilans1516_SF" xfId="22" xr:uid="{BD69E980-74BF-4CA4-94A2-D18A373DC083}"/>
  </cellStyles>
  <dxfs count="1">
    <dxf>
      <font>
        <color rgb="FFD1DEEE"/>
      </font>
      <fill>
        <patternFill>
          <bgColor rgb="FFD1DEEE"/>
        </patternFill>
      </fill>
    </dxf>
  </dxfs>
  <tableStyles count="0" defaultTableStyle="TableStyleMedium2" defaultPivotStyle="PivotStyleLight16"/>
  <colors>
    <mruColors>
      <color rgb="FFCCCCFF"/>
      <color rgb="FFCCECFF"/>
      <color rgb="FFFF0000"/>
      <color rgb="FFFFDCB9"/>
      <color rgb="FFFFCC99"/>
      <color rgb="FFCCFFCC"/>
      <color rgb="FFFFFFCC"/>
      <color rgb="FFCCFFFF"/>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xml"/><Relationship Id="rId10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105"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Blé dur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échanges'!$K$5:$P$5</c:f>
              <c:numCache>
                <c:formatCode>_-* #\ ##0_-;\-* #\ ##0_-;_-* "-"??_-;_-@_-</c:formatCode>
                <c:ptCount val="6"/>
                <c:pt idx="0">
                  <c:v>43.139733999999997</c:v>
                </c:pt>
                <c:pt idx="1">
                  <c:v>1141.311956</c:v>
                </c:pt>
                <c:pt idx="2">
                  <c:v>35.893394000000001</c:v>
                </c:pt>
                <c:pt idx="3">
                  <c:v>1294.0935329999998</c:v>
                </c:pt>
                <c:pt idx="4">
                  <c:v>21.097454000000003</c:v>
                </c:pt>
                <c:pt idx="5">
                  <c:v>865.84069699999986</c:v>
                </c:pt>
              </c:numCache>
            </c:numRef>
          </c:val>
          <c:extLst>
            <c:ext xmlns:c16="http://schemas.microsoft.com/office/drawing/2014/chart" uri="{C3380CC4-5D6E-409C-BE32-E72D297353CC}">
              <c16:uniqueId val="{00000000-6C3D-43D0-BE3B-BCCD0B45D84C}"/>
            </c:ext>
          </c:extLst>
        </c:ser>
        <c:ser>
          <c:idx val="1"/>
          <c:order val="1"/>
          <c:spPr>
            <a:solidFill>
              <a:schemeClr val="accent2"/>
            </a:solidFill>
            <a:ln>
              <a:noFill/>
            </a:ln>
            <a:effectLst/>
          </c:spPr>
          <c:invertIfNegative val="0"/>
          <c:val>
            <c:numRef>
              <c:f>'Prétraitement échanges'!$Q$4:$V$4</c:f>
              <c:numCache>
                <c:formatCode>_-* #\ ##0_-;\-* #\ ##0_-;_-* "-"??_-;_-@_-</c:formatCode>
                <c:ptCount val="6"/>
                <c:pt idx="0">
                  <c:v>42.068370999999992</c:v>
                </c:pt>
                <c:pt idx="1">
                  <c:v>1141.3127469999997</c:v>
                </c:pt>
                <c:pt idx="2">
                  <c:v>34.894501999999989</c:v>
                </c:pt>
                <c:pt idx="3">
                  <c:v>1294.0919630000003</c:v>
                </c:pt>
                <c:pt idx="4">
                  <c:v>20.955546000000012</c:v>
                </c:pt>
                <c:pt idx="5">
                  <c:v>861.85110999999995</c:v>
                </c:pt>
              </c:numCache>
            </c:numRef>
          </c:val>
          <c:extLst>
            <c:ext xmlns:c16="http://schemas.microsoft.com/office/drawing/2014/chart" uri="{C3380CC4-5D6E-409C-BE32-E72D297353CC}">
              <c16:uniqueId val="{00000001-6C3D-43D0-BE3B-BCCD0B45D84C}"/>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Blé tendre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échanges'!$K$9:$P$9</c:f>
              <c:numCache>
                <c:formatCode>_-* #\ ##0_-;\-* #\ ##0_-;_-* "-"??_-;_-@_-</c:formatCode>
                <c:ptCount val="6"/>
                <c:pt idx="0">
                  <c:v>413.753173</c:v>
                </c:pt>
                <c:pt idx="1">
                  <c:v>20253.243273</c:v>
                </c:pt>
                <c:pt idx="2">
                  <c:v>229.85671900000006</c:v>
                </c:pt>
                <c:pt idx="3">
                  <c:v>20516.719186000002</c:v>
                </c:pt>
                <c:pt idx="4">
                  <c:v>121.988569</c:v>
                </c:pt>
                <c:pt idx="5">
                  <c:v>15916.794103</c:v>
                </c:pt>
              </c:numCache>
            </c:numRef>
          </c:val>
          <c:extLst>
            <c:ext xmlns:c16="http://schemas.microsoft.com/office/drawing/2014/chart" uri="{C3380CC4-5D6E-409C-BE32-E72D297353CC}">
              <c16:uniqueId val="{00000000-F348-438D-8F76-91CF9A4417FE}"/>
            </c:ext>
          </c:extLst>
        </c:ser>
        <c:ser>
          <c:idx val="1"/>
          <c:order val="1"/>
          <c:spPr>
            <a:solidFill>
              <a:schemeClr val="accent2"/>
            </a:solidFill>
            <a:ln>
              <a:noFill/>
            </a:ln>
            <a:effectLst/>
          </c:spPr>
          <c:invertIfNegative val="0"/>
          <c:val>
            <c:numRef>
              <c:f>'Prétraitement échanges'!$Q$8:$V$8</c:f>
              <c:numCache>
                <c:formatCode>_-* #\ ##0_-;\-* #\ ##0_-;_-* "-"??_-;_-@_-</c:formatCode>
                <c:ptCount val="6"/>
                <c:pt idx="0">
                  <c:v>412.39330100000001</c:v>
                </c:pt>
                <c:pt idx="1">
                  <c:v>20380.555772000003</c:v>
                </c:pt>
                <c:pt idx="2">
                  <c:v>226.96772199999998</c:v>
                </c:pt>
                <c:pt idx="3">
                  <c:v>20595.646650999999</c:v>
                </c:pt>
                <c:pt idx="4">
                  <c:v>113.345457</c:v>
                </c:pt>
                <c:pt idx="5">
                  <c:v>16015.879563</c:v>
                </c:pt>
              </c:numCache>
            </c:numRef>
          </c:val>
          <c:extLst>
            <c:ext xmlns:c16="http://schemas.microsoft.com/office/drawing/2014/chart" uri="{C3380CC4-5D6E-409C-BE32-E72D297353CC}">
              <c16:uniqueId val="{00000001-F348-438D-8F76-91CF9A4417FE}"/>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Seigle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échanges'!$K$11:$P$11</c:f>
              <c:numCache>
                <c:formatCode>_-* #\ ##0_-;\-* #\ ##0_-;_-* "-"??_-;_-@_-</c:formatCode>
                <c:ptCount val="6"/>
                <c:pt idx="0">
                  <c:v>0.34840600000000005</c:v>
                </c:pt>
                <c:pt idx="1">
                  <c:v>19.794167000000005</c:v>
                </c:pt>
                <c:pt idx="2">
                  <c:v>0.74939699999999998</c:v>
                </c:pt>
                <c:pt idx="3">
                  <c:v>13.900801999999999</c:v>
                </c:pt>
                <c:pt idx="4">
                  <c:v>0.45030500000000001</c:v>
                </c:pt>
                <c:pt idx="5">
                  <c:v>19.999105</c:v>
                </c:pt>
              </c:numCache>
            </c:numRef>
          </c:val>
          <c:extLst>
            <c:ext xmlns:c16="http://schemas.microsoft.com/office/drawing/2014/chart" uri="{C3380CC4-5D6E-409C-BE32-E72D297353CC}">
              <c16:uniqueId val="{00000000-B8CE-40FC-BBCD-A2D250CDFF8F}"/>
            </c:ext>
          </c:extLst>
        </c:ser>
        <c:ser>
          <c:idx val="1"/>
          <c:order val="1"/>
          <c:spPr>
            <a:solidFill>
              <a:schemeClr val="accent2"/>
            </a:solidFill>
            <a:ln>
              <a:noFill/>
            </a:ln>
            <a:effectLst/>
          </c:spPr>
          <c:invertIfNegative val="0"/>
          <c:val>
            <c:numRef>
              <c:f>'Prétraitement échanges'!$Q$10:$V$10</c:f>
              <c:numCache>
                <c:formatCode>_-* #\ ##0_-;\-* #\ ##0_-;_-* "-"??_-;_-@_-</c:formatCode>
                <c:ptCount val="6"/>
                <c:pt idx="0">
                  <c:v>0.34834500000000002</c:v>
                </c:pt>
                <c:pt idx="1">
                  <c:v>19.794021999999998</c:v>
                </c:pt>
                <c:pt idx="2">
                  <c:v>0.74959499999999979</c:v>
                </c:pt>
                <c:pt idx="3">
                  <c:v>13.900662999999993</c:v>
                </c:pt>
                <c:pt idx="4">
                  <c:v>0.44405900000000065</c:v>
                </c:pt>
                <c:pt idx="5">
                  <c:v>19.999273999999996</c:v>
                </c:pt>
              </c:numCache>
            </c:numRef>
          </c:val>
          <c:extLst>
            <c:ext xmlns:c16="http://schemas.microsoft.com/office/drawing/2014/chart" uri="{C3380CC4-5D6E-409C-BE32-E72D297353CC}">
              <c16:uniqueId val="{00000001-B8CE-40FC-BBCD-A2D250CDFF8F}"/>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Orge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échanges'!$K$13:$P$13</c:f>
              <c:numCache>
                <c:formatCode>_-* #\ ##0_-;\-* #\ ##0_-;_-* "-"??_-;_-@_-</c:formatCode>
                <c:ptCount val="6"/>
                <c:pt idx="0">
                  <c:v>69.628321999999983</c:v>
                </c:pt>
                <c:pt idx="1">
                  <c:v>7677.4112470000018</c:v>
                </c:pt>
                <c:pt idx="2">
                  <c:v>70.679376999999988</c:v>
                </c:pt>
                <c:pt idx="3">
                  <c:v>7824.723992000002</c:v>
                </c:pt>
                <c:pt idx="4">
                  <c:v>30.486017000000004</c:v>
                </c:pt>
                <c:pt idx="5">
                  <c:v>6724.948397000001</c:v>
                </c:pt>
              </c:numCache>
            </c:numRef>
          </c:val>
          <c:extLst>
            <c:ext xmlns:c16="http://schemas.microsoft.com/office/drawing/2014/chart" uri="{C3380CC4-5D6E-409C-BE32-E72D297353CC}">
              <c16:uniqueId val="{00000000-B80A-4B2E-844D-47208B164EC5}"/>
            </c:ext>
          </c:extLst>
        </c:ser>
        <c:ser>
          <c:idx val="1"/>
          <c:order val="1"/>
          <c:spPr>
            <a:solidFill>
              <a:schemeClr val="accent2"/>
            </a:solidFill>
            <a:ln>
              <a:noFill/>
            </a:ln>
            <a:effectLst/>
          </c:spPr>
          <c:invertIfNegative val="0"/>
          <c:val>
            <c:numRef>
              <c:f>'Prétraitement échanges'!$Q$12:$V$12</c:f>
              <c:numCache>
                <c:formatCode>_-* #\ ##0_-;\-* #\ ##0_-;_-* "-"??_-;_-@_-</c:formatCode>
                <c:ptCount val="6"/>
                <c:pt idx="0">
                  <c:v>69.050231999999994</c:v>
                </c:pt>
                <c:pt idx="1">
                  <c:v>7689.9506939999992</c:v>
                </c:pt>
                <c:pt idx="2">
                  <c:v>70.162884000000005</c:v>
                </c:pt>
                <c:pt idx="3">
                  <c:v>7845.2368150000002</c:v>
                </c:pt>
                <c:pt idx="4">
                  <c:v>29.946461000000003</c:v>
                </c:pt>
                <c:pt idx="5">
                  <c:v>6743.7353850000009</c:v>
                </c:pt>
              </c:numCache>
            </c:numRef>
          </c:val>
          <c:extLst>
            <c:ext xmlns:c16="http://schemas.microsoft.com/office/drawing/2014/chart" uri="{C3380CC4-5D6E-409C-BE32-E72D297353CC}">
              <c16:uniqueId val="{00000001-B80A-4B2E-844D-47208B164EC5}"/>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Avoine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échanges'!$K$15:$P$15</c:f>
              <c:numCache>
                <c:formatCode>_-* #\ ##0_-;\-* #\ ##0_-;_-* "-"??_-;_-@_-</c:formatCode>
                <c:ptCount val="6"/>
                <c:pt idx="0">
                  <c:v>6.6190360000000004</c:v>
                </c:pt>
                <c:pt idx="1">
                  <c:v>66.280448000000007</c:v>
                </c:pt>
                <c:pt idx="2">
                  <c:v>10.501194999999999</c:v>
                </c:pt>
                <c:pt idx="3">
                  <c:v>93.356491999999989</c:v>
                </c:pt>
                <c:pt idx="4">
                  <c:v>4.9969470000000005</c:v>
                </c:pt>
                <c:pt idx="5">
                  <c:v>97.008580000000009</c:v>
                </c:pt>
              </c:numCache>
            </c:numRef>
          </c:val>
          <c:extLst>
            <c:ext xmlns:c16="http://schemas.microsoft.com/office/drawing/2014/chart" uri="{C3380CC4-5D6E-409C-BE32-E72D297353CC}">
              <c16:uniqueId val="{00000000-C7F2-445D-9AAE-C1BEFF39819A}"/>
            </c:ext>
          </c:extLst>
        </c:ser>
        <c:ser>
          <c:idx val="1"/>
          <c:order val="1"/>
          <c:spPr>
            <a:solidFill>
              <a:schemeClr val="accent2"/>
            </a:solidFill>
            <a:ln>
              <a:noFill/>
            </a:ln>
            <a:effectLst/>
          </c:spPr>
          <c:invertIfNegative val="0"/>
          <c:val>
            <c:numRef>
              <c:f>'Prétraitement échanges'!$Q$14:$V$14</c:f>
              <c:numCache>
                <c:formatCode>_-* #\ ##0_-;\-* #\ ##0_-;_-* "-"??_-;_-@_-</c:formatCode>
                <c:ptCount val="6"/>
                <c:pt idx="0">
                  <c:v>6.3471470000000014</c:v>
                </c:pt>
                <c:pt idx="1">
                  <c:v>66.280006999999998</c:v>
                </c:pt>
                <c:pt idx="2">
                  <c:v>10.476924</c:v>
                </c:pt>
                <c:pt idx="3">
                  <c:v>93.355170999999999</c:v>
                </c:pt>
                <c:pt idx="4">
                  <c:v>4.8543210000000006</c:v>
                </c:pt>
                <c:pt idx="5">
                  <c:v>96.677076</c:v>
                </c:pt>
              </c:numCache>
            </c:numRef>
          </c:val>
          <c:extLst>
            <c:ext xmlns:c16="http://schemas.microsoft.com/office/drawing/2014/chart" uri="{C3380CC4-5D6E-409C-BE32-E72D297353CC}">
              <c16:uniqueId val="{00000001-C7F2-445D-9AAE-C1BEFF39819A}"/>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Maïs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échanges'!$K$22:$P$22</c:f>
              <c:numCache>
                <c:formatCode>_-* #\ ##0_-;\-* #\ ##0_-;_-* "-"??_-;_-@_-</c:formatCode>
                <c:ptCount val="6"/>
                <c:pt idx="0">
                  <c:v>383.42783400000002</c:v>
                </c:pt>
                <c:pt idx="1">
                  <c:v>5764.896358</c:v>
                </c:pt>
                <c:pt idx="2">
                  <c:v>638.89565699999991</c:v>
                </c:pt>
                <c:pt idx="3">
                  <c:v>3889.9617450000005</c:v>
                </c:pt>
                <c:pt idx="4">
                  <c:v>278.45537400000001</c:v>
                </c:pt>
                <c:pt idx="5">
                  <c:v>3894.9941779999999</c:v>
                </c:pt>
              </c:numCache>
            </c:numRef>
          </c:val>
          <c:extLst>
            <c:ext xmlns:c16="http://schemas.microsoft.com/office/drawing/2014/chart" uri="{C3380CC4-5D6E-409C-BE32-E72D297353CC}">
              <c16:uniqueId val="{00000000-A28D-4EEA-883B-9155F3CD197C}"/>
            </c:ext>
          </c:extLst>
        </c:ser>
        <c:ser>
          <c:idx val="1"/>
          <c:order val="1"/>
          <c:spPr>
            <a:solidFill>
              <a:schemeClr val="accent2"/>
            </a:solidFill>
            <a:ln>
              <a:noFill/>
            </a:ln>
            <a:effectLst/>
          </c:spPr>
          <c:invertIfNegative val="0"/>
          <c:val>
            <c:numRef>
              <c:f>'Prétraitement échanges'!$Q$21:$V$21</c:f>
              <c:numCache>
                <c:formatCode>_-* #\ ##0_-;\-* #\ ##0_-;_-* "-"??_-;_-@_-</c:formatCode>
                <c:ptCount val="6"/>
                <c:pt idx="0">
                  <c:v>368.12956600000001</c:v>
                </c:pt>
                <c:pt idx="1">
                  <c:v>5893.8822199999977</c:v>
                </c:pt>
                <c:pt idx="2">
                  <c:v>628.98464000000001</c:v>
                </c:pt>
                <c:pt idx="3">
                  <c:v>3980.4832070000002</c:v>
                </c:pt>
                <c:pt idx="4">
                  <c:v>267.78747100000004</c:v>
                </c:pt>
                <c:pt idx="5">
                  <c:v>3984.1195070000008</c:v>
                </c:pt>
              </c:numCache>
            </c:numRef>
          </c:val>
          <c:extLst>
            <c:ext xmlns:c16="http://schemas.microsoft.com/office/drawing/2014/chart" uri="{C3380CC4-5D6E-409C-BE32-E72D297353CC}">
              <c16:uniqueId val="{00000001-A28D-4EEA-883B-9155F3CD197C}"/>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Sorgho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échanges'!$K$72:$P$72</c:f>
              <c:numCache>
                <c:formatCode>_-* #\ ##0_-;\-* #\ ##0_-;_-* "-"??_-;_-@_-</c:formatCode>
                <c:ptCount val="6"/>
                <c:pt idx="0">
                  <c:v>0.44085099999999994</c:v>
                </c:pt>
                <c:pt idx="1">
                  <c:v>115.239704</c:v>
                </c:pt>
                <c:pt idx="2">
                  <c:v>0.85216700000000001</c:v>
                </c:pt>
                <c:pt idx="3">
                  <c:v>144.99253899999997</c:v>
                </c:pt>
                <c:pt idx="4">
                  <c:v>0.65704899999999999</c:v>
                </c:pt>
                <c:pt idx="5">
                  <c:v>137.84994200000003</c:v>
                </c:pt>
              </c:numCache>
            </c:numRef>
          </c:val>
          <c:extLst>
            <c:ext xmlns:c16="http://schemas.microsoft.com/office/drawing/2014/chart" uri="{C3380CC4-5D6E-409C-BE32-E72D297353CC}">
              <c16:uniqueId val="{00000000-3470-4BE1-BB06-47EFD1169DCE}"/>
            </c:ext>
          </c:extLst>
        </c:ser>
        <c:ser>
          <c:idx val="1"/>
          <c:order val="1"/>
          <c:spPr>
            <a:solidFill>
              <a:schemeClr val="accent2"/>
            </a:solidFill>
            <a:ln>
              <a:noFill/>
            </a:ln>
            <a:effectLst/>
          </c:spPr>
          <c:invertIfNegative val="0"/>
          <c:val>
            <c:numRef>
              <c:f>'Prétraitement échanges'!$Q$71:$V$71</c:f>
              <c:numCache>
                <c:formatCode>_-* #\ ##0_-;\-* #\ ##0_-;_-* "-"??_-;_-@_-</c:formatCode>
                <c:ptCount val="6"/>
                <c:pt idx="0">
                  <c:v>-9.0085999999999888E-2</c:v>
                </c:pt>
                <c:pt idx="1">
                  <c:v>115.23959400000001</c:v>
                </c:pt>
                <c:pt idx="2">
                  <c:v>0.56000499999999942</c:v>
                </c:pt>
                <c:pt idx="3">
                  <c:v>145.03187500000004</c:v>
                </c:pt>
                <c:pt idx="4">
                  <c:v>0.53837400000000013</c:v>
                </c:pt>
                <c:pt idx="5">
                  <c:v>137.71853899999996</c:v>
                </c:pt>
              </c:numCache>
            </c:numRef>
          </c:val>
          <c:extLst>
            <c:ext xmlns:c16="http://schemas.microsoft.com/office/drawing/2014/chart" uri="{C3380CC4-5D6E-409C-BE32-E72D297353CC}">
              <c16:uniqueId val="{00000001-3470-4BE1-BB06-47EFD1169DCE}"/>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Sarrasin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échanges'!$K$73:$P$73</c:f>
              <c:numCache>
                <c:formatCode>_-* #\ ##0_-;\-* #\ ##0_-;_-* "-"??_-;_-@_-</c:formatCode>
                <c:ptCount val="6"/>
                <c:pt idx="0">
                  <c:v>12.375894000000002</c:v>
                </c:pt>
                <c:pt idx="1">
                  <c:v>0.22445299999999999</c:v>
                </c:pt>
                <c:pt idx="2">
                  <c:v>7.2402509999999998</c:v>
                </c:pt>
                <c:pt idx="3">
                  <c:v>1.2972219999999999</c:v>
                </c:pt>
                <c:pt idx="4">
                  <c:v>4.5190529999999995</c:v>
                </c:pt>
                <c:pt idx="5">
                  <c:v>1.3463479999999999</c:v>
                </c:pt>
              </c:numCache>
            </c:numRef>
          </c:val>
          <c:extLst>
            <c:ext xmlns:c16="http://schemas.microsoft.com/office/drawing/2014/chart" uri="{C3380CC4-5D6E-409C-BE32-E72D297353CC}">
              <c16:uniqueId val="{00000000-5B57-4194-B1C5-ECF95D2CDBAE}"/>
            </c:ext>
          </c:extLst>
        </c:ser>
        <c:ser>
          <c:idx val="1"/>
          <c:order val="1"/>
          <c:tx>
            <c:v>Bilans FAM</c:v>
          </c:tx>
          <c:spPr>
            <a:solidFill>
              <a:schemeClr val="accent2"/>
            </a:solidFill>
            <a:ln>
              <a:noFill/>
            </a:ln>
            <a:effectLst/>
          </c:spPr>
          <c:invertIfNegative val="0"/>
          <c:val>
            <c:numRef>
              <c:f>'Prétraitement échanges'!$Q$73:$V$73</c:f>
              <c:numCache>
                <c:formatCode>#,##0</c:formatCode>
                <c:ptCount val="6"/>
                <c:pt idx="0">
                  <c:v>12.1448</c:v>
                </c:pt>
                <c:pt idx="1">
                  <c:v>0.89289999999999992</c:v>
                </c:pt>
                <c:pt idx="2">
                  <c:v>4.9154000000000009</c:v>
                </c:pt>
                <c:pt idx="3">
                  <c:v>0.48479999999999995</c:v>
                </c:pt>
                <c:pt idx="4">
                  <c:v>4.4203999999999999</c:v>
                </c:pt>
                <c:pt idx="5">
                  <c:v>1.3462000000000001</c:v>
                </c:pt>
              </c:numCache>
            </c:numRef>
          </c:val>
          <c:extLst>
            <c:ext xmlns:c16="http://schemas.microsoft.com/office/drawing/2014/chart" uri="{C3380CC4-5D6E-409C-BE32-E72D297353CC}">
              <c16:uniqueId val="{00000001-5B57-4194-B1C5-ECF95D2CDBAE}"/>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Triticale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Eurostat</c:v>
          </c:tx>
          <c:spPr>
            <a:solidFill>
              <a:schemeClr val="accent1"/>
            </a:solidFill>
            <a:ln>
              <a:noFill/>
            </a:ln>
            <a:effectLst/>
          </c:spPr>
          <c:invertIfNegative val="0"/>
          <c:cat>
            <c:multiLvlStrRef>
              <c:f>'Prétraitement échanges'!$K$2:$V$3</c:f>
              <c:multiLvlStrCache>
                <c:ptCount val="12"/>
                <c:lvl>
                  <c:pt idx="0">
                    <c:v>Import</c:v>
                  </c:pt>
                  <c:pt idx="1">
                    <c:v>Export</c:v>
                  </c:pt>
                  <c:pt idx="2">
                    <c:v>Import</c:v>
                  </c:pt>
                  <c:pt idx="3">
                    <c:v>Export</c:v>
                  </c:pt>
                  <c:pt idx="4">
                    <c:v>Import</c:v>
                  </c:pt>
                  <c:pt idx="5">
                    <c:v>Export</c:v>
                  </c:pt>
                  <c:pt idx="6">
                    <c:v>Import</c:v>
                  </c:pt>
                  <c:pt idx="7">
                    <c:v>Export</c:v>
                  </c:pt>
                  <c:pt idx="8">
                    <c:v>Import</c:v>
                  </c:pt>
                  <c:pt idx="9">
                    <c:v>Export</c:v>
                  </c:pt>
                  <c:pt idx="10">
                    <c:v>Import</c:v>
                  </c:pt>
                  <c:pt idx="11">
                    <c:v>Export</c:v>
                  </c:pt>
                </c:lvl>
                <c:lvl>
                  <c:pt idx="0">
                    <c:v>2015-16</c:v>
                  </c:pt>
                  <c:pt idx="2">
                    <c:v>2019-20</c:v>
                  </c:pt>
                  <c:pt idx="4">
                    <c:v>2023-24</c:v>
                  </c:pt>
                  <c:pt idx="6">
                    <c:v>2015-16</c:v>
                  </c:pt>
                  <c:pt idx="8">
                    <c:v>2019-20</c:v>
                  </c:pt>
                  <c:pt idx="10">
                    <c:v>2023-24</c:v>
                  </c:pt>
                </c:lvl>
              </c:multiLvlStrCache>
            </c:multiLvlStrRef>
          </c:cat>
          <c:val>
            <c:numRef>
              <c:f>'Prétraitement échanges'!$K$79:$P$79</c:f>
              <c:numCache>
                <c:formatCode>_-* #\ ##0_-;\-* #\ ##0_-;_-* "-"??_-;_-@_-</c:formatCode>
                <c:ptCount val="6"/>
                <c:pt idx="0">
                  <c:v>6.1742350000000004</c:v>
                </c:pt>
                <c:pt idx="1">
                  <c:v>59.163988999999987</c:v>
                </c:pt>
                <c:pt idx="2">
                  <c:v>17.366084000000001</c:v>
                </c:pt>
                <c:pt idx="3">
                  <c:v>68.138115999999997</c:v>
                </c:pt>
                <c:pt idx="4">
                  <c:v>0.648177</c:v>
                </c:pt>
                <c:pt idx="5">
                  <c:v>92.004195999999993</c:v>
                </c:pt>
              </c:numCache>
            </c:numRef>
          </c:val>
          <c:extLst>
            <c:ext xmlns:c16="http://schemas.microsoft.com/office/drawing/2014/chart" uri="{C3380CC4-5D6E-409C-BE32-E72D297353CC}">
              <c16:uniqueId val="{00000000-A656-475C-BBCA-2C6923CBC82C}"/>
            </c:ext>
          </c:extLst>
        </c:ser>
        <c:ser>
          <c:idx val="1"/>
          <c:order val="1"/>
          <c:tx>
            <c:v>Bilans FAM</c:v>
          </c:tx>
          <c:spPr>
            <a:solidFill>
              <a:schemeClr val="accent2"/>
            </a:solidFill>
            <a:ln>
              <a:noFill/>
            </a:ln>
            <a:effectLst/>
          </c:spPr>
          <c:invertIfNegative val="0"/>
          <c:val>
            <c:numRef>
              <c:f>'Prétraitement échanges'!$Q$79:$V$79</c:f>
              <c:numCache>
                <c:formatCode>#,##0</c:formatCode>
                <c:ptCount val="6"/>
                <c:pt idx="0">
                  <c:v>6.1692</c:v>
                </c:pt>
                <c:pt idx="1">
                  <c:v>59.164500000000018</c:v>
                </c:pt>
                <c:pt idx="2">
                  <c:v>17.3658</c:v>
                </c:pt>
                <c:pt idx="3">
                  <c:v>68.138199999999998</c:v>
                </c:pt>
                <c:pt idx="4">
                  <c:v>2.5325000000000002</c:v>
                </c:pt>
                <c:pt idx="5">
                  <c:v>91.977400000000017</c:v>
                </c:pt>
              </c:numCache>
            </c:numRef>
          </c:val>
          <c:extLst>
            <c:ext xmlns:c16="http://schemas.microsoft.com/office/drawing/2014/chart" uri="{C3380CC4-5D6E-409C-BE32-E72D297353CC}">
              <c16:uniqueId val="{00000001-A656-475C-BBCA-2C6923CBC82C}"/>
            </c:ext>
          </c:extLst>
        </c:ser>
        <c:dLbls>
          <c:showLegendKey val="0"/>
          <c:showVal val="0"/>
          <c:showCatName val="0"/>
          <c:showSerName val="0"/>
          <c:showPercent val="0"/>
          <c:showBubbleSize val="0"/>
        </c:dLbls>
        <c:gapWidth val="219"/>
        <c:overlap val="-27"/>
        <c:axId val="1423669264"/>
        <c:axId val="1423677424"/>
      </c:barChart>
      <c:catAx>
        <c:axId val="142366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77424"/>
        <c:crosses val="autoZero"/>
        <c:auto val="1"/>
        <c:lblAlgn val="ctr"/>
        <c:lblOffset val="100"/>
        <c:noMultiLvlLbl val="0"/>
      </c:catAx>
      <c:valAx>
        <c:axId val="1423677424"/>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23669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5" Type="http://schemas.openxmlformats.org/officeDocument/2006/relationships/image" Target="../media/image25.png"/><Relationship Id="rId4" Type="http://schemas.openxmlformats.org/officeDocument/2006/relationships/image" Target="../media/image24.png"/></Relationships>
</file>

<file path=xl/drawings/_rels/drawing18.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 Id="rId4" Type="http://schemas.openxmlformats.org/officeDocument/2006/relationships/image" Target="../media/image2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2.png"/><Relationship Id="rId7" Type="http://schemas.openxmlformats.org/officeDocument/2006/relationships/image" Target="../media/image36.png"/><Relationship Id="rId2" Type="http://schemas.openxmlformats.org/officeDocument/2006/relationships/image" Target="../media/image31.png"/><Relationship Id="rId1" Type="http://schemas.openxmlformats.org/officeDocument/2006/relationships/image" Target="../media/image30.png"/><Relationship Id="rId6" Type="http://schemas.openxmlformats.org/officeDocument/2006/relationships/image" Target="../media/image35.png"/><Relationship Id="rId5" Type="http://schemas.openxmlformats.org/officeDocument/2006/relationships/image" Target="../media/image34.png"/><Relationship Id="rId4" Type="http://schemas.openxmlformats.org/officeDocument/2006/relationships/image" Target="../media/image3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 Id="rId4" Type="http://schemas.openxmlformats.org/officeDocument/2006/relationships/image" Target="../media/image4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204105</xdr:colOff>
      <xdr:row>0</xdr:row>
      <xdr:rowOff>0</xdr:rowOff>
    </xdr:from>
    <xdr:to>
      <xdr:col>0</xdr:col>
      <xdr:colOff>3909058</xdr:colOff>
      <xdr:row>0</xdr:row>
      <xdr:rowOff>1051328</xdr:rowOff>
    </xdr:to>
    <xdr:pic>
      <xdr:nvPicPr>
        <xdr:cNvPr id="2" name="Image 1" descr="http://portail-intranet.franceagrimer.fr/OutilsCommunication/B+F%20NOIR%20INT.png">
          <a:extLst>
            <a:ext uri="{FF2B5EF4-FFF2-40B4-BE49-F238E27FC236}">
              <a16:creationId xmlns:a16="http://schemas.microsoft.com/office/drawing/2014/main" id="{798B3E31-EF5A-4246-9CD7-BE9A11570F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7915" y="0"/>
          <a:ext cx="3701143"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7</xdr:col>
      <xdr:colOff>58353</xdr:colOff>
      <xdr:row>30</xdr:row>
      <xdr:rowOff>94876</xdr:rowOff>
    </xdr:to>
    <xdr:pic>
      <xdr:nvPicPr>
        <xdr:cNvPr id="2" name="Image 1">
          <a:extLst>
            <a:ext uri="{FF2B5EF4-FFF2-40B4-BE49-F238E27FC236}">
              <a16:creationId xmlns:a16="http://schemas.microsoft.com/office/drawing/2014/main" id="{660082F9-8E06-496D-B842-F7F8597FB365}"/>
            </a:ext>
          </a:extLst>
        </xdr:cNvPr>
        <xdr:cNvPicPr>
          <a:picLocks noChangeAspect="1"/>
        </xdr:cNvPicPr>
      </xdr:nvPicPr>
      <xdr:blipFill>
        <a:blip xmlns:r="http://schemas.openxmlformats.org/officeDocument/2006/relationships" r:embed="rId1"/>
        <a:stretch>
          <a:fillRect/>
        </a:stretch>
      </xdr:blipFill>
      <xdr:spPr>
        <a:xfrm>
          <a:off x="0" y="2560320"/>
          <a:ext cx="5619048" cy="2990476"/>
        </a:xfrm>
        <a:prstGeom prst="rect">
          <a:avLst/>
        </a:prstGeom>
      </xdr:spPr>
    </xdr:pic>
    <xdr:clientData/>
  </xdr:twoCellAnchor>
  <xdr:twoCellAnchor editAs="oneCell">
    <xdr:from>
      <xdr:col>9</xdr:col>
      <xdr:colOff>26670</xdr:colOff>
      <xdr:row>14</xdr:row>
      <xdr:rowOff>0</xdr:rowOff>
    </xdr:from>
    <xdr:to>
      <xdr:col>17</xdr:col>
      <xdr:colOff>400050</xdr:colOff>
      <xdr:row>30</xdr:row>
      <xdr:rowOff>78234</xdr:rowOff>
    </xdr:to>
    <xdr:pic>
      <xdr:nvPicPr>
        <xdr:cNvPr id="3" name="Image 2">
          <a:extLst>
            <a:ext uri="{FF2B5EF4-FFF2-40B4-BE49-F238E27FC236}">
              <a16:creationId xmlns:a16="http://schemas.microsoft.com/office/drawing/2014/main" id="{DBC06165-AD4F-4E0F-BA82-DCEF24799592}"/>
            </a:ext>
          </a:extLst>
        </xdr:cNvPr>
        <xdr:cNvPicPr>
          <a:picLocks noChangeAspect="1"/>
        </xdr:cNvPicPr>
      </xdr:nvPicPr>
      <xdr:blipFill>
        <a:blip xmlns:r="http://schemas.openxmlformats.org/officeDocument/2006/relationships" r:embed="rId2"/>
        <a:stretch>
          <a:fillRect/>
        </a:stretch>
      </xdr:blipFill>
      <xdr:spPr>
        <a:xfrm>
          <a:off x="7046595" y="2533650"/>
          <a:ext cx="5764530" cy="29738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352425</xdr:colOff>
      <xdr:row>2</xdr:row>
      <xdr:rowOff>123825</xdr:rowOff>
    </xdr:from>
    <xdr:to>
      <xdr:col>5</xdr:col>
      <xdr:colOff>247168</xdr:colOff>
      <xdr:row>15</xdr:row>
      <xdr:rowOff>152104</xdr:rowOff>
    </xdr:to>
    <xdr:pic>
      <xdr:nvPicPr>
        <xdr:cNvPr id="2" name="Image 1">
          <a:extLst>
            <a:ext uri="{FF2B5EF4-FFF2-40B4-BE49-F238E27FC236}">
              <a16:creationId xmlns:a16="http://schemas.microsoft.com/office/drawing/2014/main" id="{DBFF0947-8355-7A1F-AEF8-ECB176C15693}"/>
            </a:ext>
          </a:extLst>
        </xdr:cNvPr>
        <xdr:cNvPicPr>
          <a:picLocks noChangeAspect="1"/>
        </xdr:cNvPicPr>
      </xdr:nvPicPr>
      <xdr:blipFill>
        <a:blip xmlns:r="http://schemas.openxmlformats.org/officeDocument/2006/relationships" r:embed="rId1"/>
        <a:stretch>
          <a:fillRect/>
        </a:stretch>
      </xdr:blipFill>
      <xdr:spPr>
        <a:xfrm>
          <a:off x="352425" y="3381375"/>
          <a:ext cx="3859048" cy="2380954"/>
        </a:xfrm>
        <a:prstGeom prst="rect">
          <a:avLst/>
        </a:prstGeom>
      </xdr:spPr>
    </xdr:pic>
    <xdr:clientData/>
  </xdr:twoCellAnchor>
  <xdr:twoCellAnchor editAs="oneCell">
    <xdr:from>
      <xdr:col>0</xdr:col>
      <xdr:colOff>609600</xdr:colOff>
      <xdr:row>17</xdr:row>
      <xdr:rowOff>85725</xdr:rowOff>
    </xdr:from>
    <xdr:to>
      <xdr:col>5</xdr:col>
      <xdr:colOff>60530</xdr:colOff>
      <xdr:row>22</xdr:row>
      <xdr:rowOff>95136</xdr:rowOff>
    </xdr:to>
    <xdr:pic>
      <xdr:nvPicPr>
        <xdr:cNvPr id="3" name="Image 2">
          <a:extLst>
            <a:ext uri="{FF2B5EF4-FFF2-40B4-BE49-F238E27FC236}">
              <a16:creationId xmlns:a16="http://schemas.microsoft.com/office/drawing/2014/main" id="{3BED2D61-0E56-446E-973D-AC77EBB2F445}"/>
            </a:ext>
          </a:extLst>
        </xdr:cNvPr>
        <xdr:cNvPicPr>
          <a:picLocks noChangeAspect="1"/>
        </xdr:cNvPicPr>
      </xdr:nvPicPr>
      <xdr:blipFill>
        <a:blip xmlns:r="http://schemas.openxmlformats.org/officeDocument/2006/relationships" r:embed="rId2"/>
        <a:stretch>
          <a:fillRect/>
        </a:stretch>
      </xdr:blipFill>
      <xdr:spPr>
        <a:xfrm>
          <a:off x="609600" y="6057900"/>
          <a:ext cx="3413330" cy="921906"/>
        </a:xfrm>
        <a:prstGeom prst="rect">
          <a:avLst/>
        </a:prstGeom>
      </xdr:spPr>
    </xdr:pic>
    <xdr:clientData/>
  </xdr:twoCellAnchor>
  <xdr:twoCellAnchor editAs="oneCell">
    <xdr:from>
      <xdr:col>10</xdr:col>
      <xdr:colOff>0</xdr:colOff>
      <xdr:row>24</xdr:row>
      <xdr:rowOff>1</xdr:rowOff>
    </xdr:from>
    <xdr:to>
      <xdr:col>17</xdr:col>
      <xdr:colOff>647700</xdr:colOff>
      <xdr:row>42</xdr:row>
      <xdr:rowOff>132072</xdr:rowOff>
    </xdr:to>
    <xdr:pic>
      <xdr:nvPicPr>
        <xdr:cNvPr id="4" name="Image 3">
          <a:extLst>
            <a:ext uri="{FF2B5EF4-FFF2-40B4-BE49-F238E27FC236}">
              <a16:creationId xmlns:a16="http://schemas.microsoft.com/office/drawing/2014/main" id="{84A8F4B3-F0F3-014E-654E-2CCA1EE3AE41}"/>
            </a:ext>
          </a:extLst>
        </xdr:cNvPr>
        <xdr:cNvPicPr>
          <a:picLocks noChangeAspect="1"/>
        </xdr:cNvPicPr>
      </xdr:nvPicPr>
      <xdr:blipFill>
        <a:blip xmlns:r="http://schemas.openxmlformats.org/officeDocument/2006/relationships" r:embed="rId3"/>
        <a:stretch>
          <a:fillRect/>
        </a:stretch>
      </xdr:blipFill>
      <xdr:spPr>
        <a:xfrm>
          <a:off x="7905750" y="7239001"/>
          <a:ext cx="6181725" cy="34029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769620</xdr:colOff>
      <xdr:row>2</xdr:row>
      <xdr:rowOff>91440</xdr:rowOff>
    </xdr:from>
    <xdr:to>
      <xdr:col>5</xdr:col>
      <xdr:colOff>738649</xdr:colOff>
      <xdr:row>14</xdr:row>
      <xdr:rowOff>41643</xdr:rowOff>
    </xdr:to>
    <xdr:pic>
      <xdr:nvPicPr>
        <xdr:cNvPr id="2" name="Image 1">
          <a:extLst>
            <a:ext uri="{FF2B5EF4-FFF2-40B4-BE49-F238E27FC236}">
              <a16:creationId xmlns:a16="http://schemas.microsoft.com/office/drawing/2014/main" id="{3A35EEA1-E703-2074-AE50-964240AA187E}"/>
            </a:ext>
          </a:extLst>
        </xdr:cNvPr>
        <xdr:cNvPicPr>
          <a:picLocks noChangeAspect="1"/>
        </xdr:cNvPicPr>
      </xdr:nvPicPr>
      <xdr:blipFill>
        <a:blip xmlns:r="http://schemas.openxmlformats.org/officeDocument/2006/relationships" r:embed="rId1"/>
        <a:stretch>
          <a:fillRect/>
        </a:stretch>
      </xdr:blipFill>
      <xdr:spPr>
        <a:xfrm>
          <a:off x="769620" y="457200"/>
          <a:ext cx="3931429" cy="21447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4</xdr:row>
      <xdr:rowOff>0</xdr:rowOff>
    </xdr:from>
    <xdr:to>
      <xdr:col>6</xdr:col>
      <xdr:colOff>169546</xdr:colOff>
      <xdr:row>24</xdr:row>
      <xdr:rowOff>57145</xdr:rowOff>
    </xdr:to>
    <xdr:pic>
      <xdr:nvPicPr>
        <xdr:cNvPr id="2" name="Image 1">
          <a:extLst>
            <a:ext uri="{FF2B5EF4-FFF2-40B4-BE49-F238E27FC236}">
              <a16:creationId xmlns:a16="http://schemas.microsoft.com/office/drawing/2014/main" id="{FEAE1561-A7D9-DC1E-BC2F-13435D22BAE2}"/>
            </a:ext>
          </a:extLst>
        </xdr:cNvPr>
        <xdr:cNvPicPr>
          <a:picLocks noChangeAspect="1"/>
        </xdr:cNvPicPr>
      </xdr:nvPicPr>
      <xdr:blipFill>
        <a:blip xmlns:r="http://schemas.openxmlformats.org/officeDocument/2006/relationships" r:embed="rId1"/>
        <a:stretch>
          <a:fillRect/>
        </a:stretch>
      </xdr:blipFill>
      <xdr:spPr>
        <a:xfrm>
          <a:off x="790576" y="723900"/>
          <a:ext cx="4133850" cy="3684265"/>
        </a:xfrm>
        <a:prstGeom prst="rect">
          <a:avLst/>
        </a:prstGeom>
      </xdr:spPr>
    </xdr:pic>
    <xdr:clientData/>
  </xdr:twoCellAnchor>
  <xdr:twoCellAnchor editAs="oneCell">
    <xdr:from>
      <xdr:col>7</xdr:col>
      <xdr:colOff>1</xdr:colOff>
      <xdr:row>4</xdr:row>
      <xdr:rowOff>0</xdr:rowOff>
    </xdr:from>
    <xdr:to>
      <xdr:col>12</xdr:col>
      <xdr:colOff>211456</xdr:colOff>
      <xdr:row>24</xdr:row>
      <xdr:rowOff>133173</xdr:rowOff>
    </xdr:to>
    <xdr:pic>
      <xdr:nvPicPr>
        <xdr:cNvPr id="3" name="Image 2">
          <a:extLst>
            <a:ext uri="{FF2B5EF4-FFF2-40B4-BE49-F238E27FC236}">
              <a16:creationId xmlns:a16="http://schemas.microsoft.com/office/drawing/2014/main" id="{C16F6CAC-16AA-3C06-9FE0-C6DA775D102D}"/>
            </a:ext>
          </a:extLst>
        </xdr:cNvPr>
        <xdr:cNvPicPr>
          <a:picLocks noChangeAspect="1"/>
        </xdr:cNvPicPr>
      </xdr:nvPicPr>
      <xdr:blipFill>
        <a:blip xmlns:r="http://schemas.openxmlformats.org/officeDocument/2006/relationships" r:embed="rId2"/>
        <a:stretch>
          <a:fillRect/>
        </a:stretch>
      </xdr:blipFill>
      <xdr:spPr>
        <a:xfrm>
          <a:off x="5534026" y="723900"/>
          <a:ext cx="4171950" cy="3748863"/>
        </a:xfrm>
        <a:prstGeom prst="rect">
          <a:avLst/>
        </a:prstGeom>
      </xdr:spPr>
    </xdr:pic>
    <xdr:clientData/>
  </xdr:twoCellAnchor>
  <xdr:twoCellAnchor editAs="oneCell">
    <xdr:from>
      <xdr:col>13</xdr:col>
      <xdr:colOff>1</xdr:colOff>
      <xdr:row>4</xdr:row>
      <xdr:rowOff>0</xdr:rowOff>
    </xdr:from>
    <xdr:to>
      <xdr:col>18</xdr:col>
      <xdr:colOff>129541</xdr:colOff>
      <xdr:row>24</xdr:row>
      <xdr:rowOff>135293</xdr:rowOff>
    </xdr:to>
    <xdr:pic>
      <xdr:nvPicPr>
        <xdr:cNvPr id="4" name="Image 3">
          <a:extLst>
            <a:ext uri="{FF2B5EF4-FFF2-40B4-BE49-F238E27FC236}">
              <a16:creationId xmlns:a16="http://schemas.microsoft.com/office/drawing/2014/main" id="{CE2C71C4-CE6A-2050-B15E-3C9C892B6C53}"/>
            </a:ext>
          </a:extLst>
        </xdr:cNvPr>
        <xdr:cNvPicPr>
          <a:picLocks noChangeAspect="1"/>
        </xdr:cNvPicPr>
      </xdr:nvPicPr>
      <xdr:blipFill>
        <a:blip xmlns:r="http://schemas.openxmlformats.org/officeDocument/2006/relationships" r:embed="rId3"/>
        <a:stretch>
          <a:fillRect/>
        </a:stretch>
      </xdr:blipFill>
      <xdr:spPr>
        <a:xfrm>
          <a:off x="10277476" y="723900"/>
          <a:ext cx="4076700" cy="375479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104775</xdr:colOff>
      <xdr:row>50</xdr:row>
      <xdr:rowOff>19050</xdr:rowOff>
    </xdr:from>
    <xdr:to>
      <xdr:col>11</xdr:col>
      <xdr:colOff>592069</xdr:colOff>
      <xdr:row>71</xdr:row>
      <xdr:rowOff>19050</xdr:rowOff>
    </xdr:to>
    <xdr:pic>
      <xdr:nvPicPr>
        <xdr:cNvPr id="5" name="Image 4">
          <a:extLst>
            <a:ext uri="{FF2B5EF4-FFF2-40B4-BE49-F238E27FC236}">
              <a16:creationId xmlns:a16="http://schemas.microsoft.com/office/drawing/2014/main" id="{1F25F2AD-AC25-1EDF-7C01-CB8A5AEAA156}"/>
            </a:ext>
          </a:extLst>
        </xdr:cNvPr>
        <xdr:cNvPicPr>
          <a:picLocks noChangeAspect="1"/>
        </xdr:cNvPicPr>
      </xdr:nvPicPr>
      <xdr:blipFill>
        <a:blip xmlns:r="http://schemas.openxmlformats.org/officeDocument/2006/relationships" r:embed="rId1"/>
        <a:stretch>
          <a:fillRect/>
        </a:stretch>
      </xdr:blipFill>
      <xdr:spPr>
        <a:xfrm>
          <a:off x="895350" y="9067800"/>
          <a:ext cx="8385424" cy="3800475"/>
        </a:xfrm>
        <a:prstGeom prst="rect">
          <a:avLst/>
        </a:prstGeom>
      </xdr:spPr>
    </xdr:pic>
    <xdr:clientData/>
  </xdr:twoCellAnchor>
  <xdr:twoCellAnchor editAs="oneCell">
    <xdr:from>
      <xdr:col>1</xdr:col>
      <xdr:colOff>0</xdr:colOff>
      <xdr:row>4</xdr:row>
      <xdr:rowOff>1</xdr:rowOff>
    </xdr:from>
    <xdr:to>
      <xdr:col>11</xdr:col>
      <xdr:colOff>586740</xdr:colOff>
      <xdr:row>24</xdr:row>
      <xdr:rowOff>152143</xdr:rowOff>
    </xdr:to>
    <xdr:pic>
      <xdr:nvPicPr>
        <xdr:cNvPr id="6" name="Image 5">
          <a:extLst>
            <a:ext uri="{FF2B5EF4-FFF2-40B4-BE49-F238E27FC236}">
              <a16:creationId xmlns:a16="http://schemas.microsoft.com/office/drawing/2014/main" id="{B900A8B0-150A-F4C9-DF3A-A18B5ABFC306}"/>
            </a:ext>
          </a:extLst>
        </xdr:cNvPr>
        <xdr:cNvPicPr>
          <a:picLocks noChangeAspect="1"/>
        </xdr:cNvPicPr>
      </xdr:nvPicPr>
      <xdr:blipFill>
        <a:blip xmlns:r="http://schemas.openxmlformats.org/officeDocument/2006/relationships" r:embed="rId2"/>
        <a:stretch>
          <a:fillRect/>
        </a:stretch>
      </xdr:blipFill>
      <xdr:spPr>
        <a:xfrm>
          <a:off x="790575" y="723901"/>
          <a:ext cx="8486775" cy="3771642"/>
        </a:xfrm>
        <a:prstGeom prst="rect">
          <a:avLst/>
        </a:prstGeom>
      </xdr:spPr>
    </xdr:pic>
    <xdr:clientData/>
  </xdr:twoCellAnchor>
  <xdr:twoCellAnchor editAs="oneCell">
    <xdr:from>
      <xdr:col>1</xdr:col>
      <xdr:colOff>0</xdr:colOff>
      <xdr:row>27</xdr:row>
      <xdr:rowOff>1</xdr:rowOff>
    </xdr:from>
    <xdr:to>
      <xdr:col>11</xdr:col>
      <xdr:colOff>554355</xdr:colOff>
      <xdr:row>48</xdr:row>
      <xdr:rowOff>59166</xdr:rowOff>
    </xdr:to>
    <xdr:pic>
      <xdr:nvPicPr>
        <xdr:cNvPr id="7" name="Image 6">
          <a:extLst>
            <a:ext uri="{FF2B5EF4-FFF2-40B4-BE49-F238E27FC236}">
              <a16:creationId xmlns:a16="http://schemas.microsoft.com/office/drawing/2014/main" id="{8EFE6367-B023-796B-4FA8-634900922AD8}"/>
            </a:ext>
          </a:extLst>
        </xdr:cNvPr>
        <xdr:cNvPicPr>
          <a:picLocks noChangeAspect="1"/>
        </xdr:cNvPicPr>
      </xdr:nvPicPr>
      <xdr:blipFill>
        <a:blip xmlns:r="http://schemas.openxmlformats.org/officeDocument/2006/relationships" r:embed="rId3"/>
        <a:stretch>
          <a:fillRect/>
        </a:stretch>
      </xdr:blipFill>
      <xdr:spPr>
        <a:xfrm>
          <a:off x="790575" y="4886326"/>
          <a:ext cx="8467725" cy="38634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0</xdr:colOff>
      <xdr:row>12</xdr:row>
      <xdr:rowOff>0</xdr:rowOff>
    </xdr:from>
    <xdr:to>
      <xdr:col>5</xdr:col>
      <xdr:colOff>287655</xdr:colOff>
      <xdr:row>21</xdr:row>
      <xdr:rowOff>136746</xdr:rowOff>
    </xdr:to>
    <xdr:pic>
      <xdr:nvPicPr>
        <xdr:cNvPr id="2" name="Image 1">
          <a:extLst>
            <a:ext uri="{FF2B5EF4-FFF2-40B4-BE49-F238E27FC236}">
              <a16:creationId xmlns:a16="http://schemas.microsoft.com/office/drawing/2014/main" id="{6FB7C7C6-CFA0-6127-C2BE-3E790ECC8A6C}"/>
            </a:ext>
          </a:extLst>
        </xdr:cNvPr>
        <xdr:cNvPicPr>
          <a:picLocks noChangeAspect="1"/>
        </xdr:cNvPicPr>
      </xdr:nvPicPr>
      <xdr:blipFill>
        <a:blip xmlns:r="http://schemas.openxmlformats.org/officeDocument/2006/relationships" r:embed="rId1"/>
        <a:stretch>
          <a:fillRect/>
        </a:stretch>
      </xdr:blipFill>
      <xdr:spPr>
        <a:xfrm>
          <a:off x="3009900" y="2190750"/>
          <a:ext cx="2524125" cy="1776951"/>
        </a:xfrm>
        <a:prstGeom prst="rect">
          <a:avLst/>
        </a:prstGeom>
      </xdr:spPr>
    </xdr:pic>
    <xdr:clientData/>
  </xdr:twoCellAnchor>
  <xdr:twoCellAnchor editAs="oneCell">
    <xdr:from>
      <xdr:col>3</xdr:col>
      <xdr:colOff>0</xdr:colOff>
      <xdr:row>28</xdr:row>
      <xdr:rowOff>1</xdr:rowOff>
    </xdr:from>
    <xdr:to>
      <xdr:col>11</xdr:col>
      <xdr:colOff>139713</xdr:colOff>
      <xdr:row>49</xdr:row>
      <xdr:rowOff>57151</xdr:rowOff>
    </xdr:to>
    <xdr:pic>
      <xdr:nvPicPr>
        <xdr:cNvPr id="3" name="Image 2">
          <a:extLst>
            <a:ext uri="{FF2B5EF4-FFF2-40B4-BE49-F238E27FC236}">
              <a16:creationId xmlns:a16="http://schemas.microsoft.com/office/drawing/2014/main" id="{78E3CB0F-1158-F670-39ED-D0278C1600BC}"/>
            </a:ext>
          </a:extLst>
        </xdr:cNvPr>
        <xdr:cNvPicPr>
          <a:picLocks noChangeAspect="1"/>
        </xdr:cNvPicPr>
      </xdr:nvPicPr>
      <xdr:blipFill>
        <a:blip xmlns:r="http://schemas.openxmlformats.org/officeDocument/2006/relationships" r:embed="rId2"/>
        <a:stretch>
          <a:fillRect/>
        </a:stretch>
      </xdr:blipFill>
      <xdr:spPr>
        <a:xfrm>
          <a:off x="3009900" y="5086351"/>
          <a:ext cx="7117728" cy="3848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38101</xdr:colOff>
      <xdr:row>10</xdr:row>
      <xdr:rowOff>38100</xdr:rowOff>
    </xdr:from>
    <xdr:to>
      <xdr:col>6</xdr:col>
      <xdr:colOff>362542</xdr:colOff>
      <xdr:row>16</xdr:row>
      <xdr:rowOff>55245</xdr:rowOff>
    </xdr:to>
    <xdr:pic>
      <xdr:nvPicPr>
        <xdr:cNvPr id="2" name="Image 1">
          <a:extLst>
            <a:ext uri="{FF2B5EF4-FFF2-40B4-BE49-F238E27FC236}">
              <a16:creationId xmlns:a16="http://schemas.microsoft.com/office/drawing/2014/main" id="{23024FF6-F26E-4396-A984-85A9C4247EDF}"/>
            </a:ext>
          </a:extLst>
        </xdr:cNvPr>
        <xdr:cNvPicPr>
          <a:picLocks noChangeAspect="1"/>
        </xdr:cNvPicPr>
      </xdr:nvPicPr>
      <xdr:blipFill>
        <a:blip xmlns:r="http://schemas.openxmlformats.org/officeDocument/2006/relationships" r:embed="rId1"/>
        <a:stretch>
          <a:fillRect/>
        </a:stretch>
      </xdr:blipFill>
      <xdr:spPr>
        <a:xfrm>
          <a:off x="5608321" y="1882140"/>
          <a:ext cx="5919426" cy="111252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9</xdr:row>
      <xdr:rowOff>1</xdr:rowOff>
    </xdr:from>
    <xdr:to>
      <xdr:col>9</xdr:col>
      <xdr:colOff>171268</xdr:colOff>
      <xdr:row>18</xdr:row>
      <xdr:rowOff>20956</xdr:rowOff>
    </xdr:to>
    <xdr:pic>
      <xdr:nvPicPr>
        <xdr:cNvPr id="2" name="Image 1">
          <a:extLst>
            <a:ext uri="{FF2B5EF4-FFF2-40B4-BE49-F238E27FC236}">
              <a16:creationId xmlns:a16="http://schemas.microsoft.com/office/drawing/2014/main" id="{70A605D6-4252-4665-A2B6-874BF4DFD853}"/>
            </a:ext>
          </a:extLst>
        </xdr:cNvPr>
        <xdr:cNvPicPr>
          <a:picLocks noChangeAspect="1"/>
        </xdr:cNvPicPr>
      </xdr:nvPicPr>
      <xdr:blipFill>
        <a:blip xmlns:r="http://schemas.openxmlformats.org/officeDocument/2006/relationships" r:embed="rId1"/>
        <a:stretch>
          <a:fillRect/>
        </a:stretch>
      </xdr:blipFill>
      <xdr:spPr>
        <a:xfrm>
          <a:off x="4312920" y="1661161"/>
          <a:ext cx="5718628" cy="1661160"/>
        </a:xfrm>
        <a:prstGeom prst="rect">
          <a:avLst/>
        </a:prstGeom>
      </xdr:spPr>
    </xdr:pic>
    <xdr:clientData/>
  </xdr:twoCellAnchor>
  <xdr:twoCellAnchor editAs="oneCell">
    <xdr:from>
      <xdr:col>2</xdr:col>
      <xdr:colOff>1</xdr:colOff>
      <xdr:row>20</xdr:row>
      <xdr:rowOff>1</xdr:rowOff>
    </xdr:from>
    <xdr:to>
      <xdr:col>4</xdr:col>
      <xdr:colOff>742951</xdr:colOff>
      <xdr:row>33</xdr:row>
      <xdr:rowOff>92924</xdr:rowOff>
    </xdr:to>
    <xdr:pic>
      <xdr:nvPicPr>
        <xdr:cNvPr id="3" name="Image 2">
          <a:extLst>
            <a:ext uri="{FF2B5EF4-FFF2-40B4-BE49-F238E27FC236}">
              <a16:creationId xmlns:a16="http://schemas.microsoft.com/office/drawing/2014/main" id="{1569C60D-25E9-4C17-B054-28D3C4CB882A}"/>
            </a:ext>
          </a:extLst>
        </xdr:cNvPr>
        <xdr:cNvPicPr>
          <a:picLocks noChangeAspect="1"/>
        </xdr:cNvPicPr>
      </xdr:nvPicPr>
      <xdr:blipFill>
        <a:blip xmlns:r="http://schemas.openxmlformats.org/officeDocument/2006/relationships" r:embed="rId2"/>
        <a:stretch>
          <a:fillRect/>
        </a:stretch>
      </xdr:blipFill>
      <xdr:spPr>
        <a:xfrm>
          <a:off x="4312921" y="3672841"/>
          <a:ext cx="2327910" cy="2437978"/>
        </a:xfrm>
        <a:prstGeom prst="rect">
          <a:avLst/>
        </a:prstGeom>
      </xdr:spPr>
    </xdr:pic>
    <xdr:clientData/>
  </xdr:twoCellAnchor>
  <xdr:twoCellAnchor editAs="oneCell">
    <xdr:from>
      <xdr:col>2</xdr:col>
      <xdr:colOff>0</xdr:colOff>
      <xdr:row>53</xdr:row>
      <xdr:rowOff>0</xdr:rowOff>
    </xdr:from>
    <xdr:to>
      <xdr:col>6</xdr:col>
      <xdr:colOff>54844</xdr:colOff>
      <xdr:row>63</xdr:row>
      <xdr:rowOff>98822</xdr:rowOff>
    </xdr:to>
    <xdr:pic>
      <xdr:nvPicPr>
        <xdr:cNvPr id="4" name="Image 3">
          <a:extLst>
            <a:ext uri="{FF2B5EF4-FFF2-40B4-BE49-F238E27FC236}">
              <a16:creationId xmlns:a16="http://schemas.microsoft.com/office/drawing/2014/main" id="{47FAC712-4AA1-6FB2-880B-1AFF93BA4396}"/>
            </a:ext>
          </a:extLst>
        </xdr:cNvPr>
        <xdr:cNvPicPr>
          <a:picLocks noChangeAspect="1"/>
        </xdr:cNvPicPr>
      </xdr:nvPicPr>
      <xdr:blipFill>
        <a:blip xmlns:r="http://schemas.openxmlformats.org/officeDocument/2006/relationships" r:embed="rId3"/>
        <a:stretch>
          <a:fillRect/>
        </a:stretch>
      </xdr:blipFill>
      <xdr:spPr>
        <a:xfrm>
          <a:off x="4314825" y="10906125"/>
          <a:ext cx="3209524" cy="1904762"/>
        </a:xfrm>
        <a:prstGeom prst="rect">
          <a:avLst/>
        </a:prstGeom>
      </xdr:spPr>
    </xdr:pic>
    <xdr:clientData/>
  </xdr:twoCellAnchor>
  <xdr:twoCellAnchor editAs="oneCell">
    <xdr:from>
      <xdr:col>2</xdr:col>
      <xdr:colOff>293370</xdr:colOff>
      <xdr:row>67</xdr:row>
      <xdr:rowOff>26671</xdr:rowOff>
    </xdr:from>
    <xdr:to>
      <xdr:col>8</xdr:col>
      <xdr:colOff>304800</xdr:colOff>
      <xdr:row>69</xdr:row>
      <xdr:rowOff>123882</xdr:rowOff>
    </xdr:to>
    <xdr:pic>
      <xdr:nvPicPr>
        <xdr:cNvPr id="5" name="Image 4">
          <a:extLst>
            <a:ext uri="{FF2B5EF4-FFF2-40B4-BE49-F238E27FC236}">
              <a16:creationId xmlns:a16="http://schemas.microsoft.com/office/drawing/2014/main" id="{058CCC4B-DDCF-0058-47F9-9DB2F74F9ED1}"/>
            </a:ext>
          </a:extLst>
        </xdr:cNvPr>
        <xdr:cNvPicPr>
          <a:picLocks noChangeAspect="1"/>
        </xdr:cNvPicPr>
      </xdr:nvPicPr>
      <xdr:blipFill>
        <a:blip xmlns:r="http://schemas.openxmlformats.org/officeDocument/2006/relationships" r:embed="rId4"/>
        <a:stretch>
          <a:fillRect/>
        </a:stretch>
      </xdr:blipFill>
      <xdr:spPr>
        <a:xfrm>
          <a:off x="4608195" y="13466446"/>
          <a:ext cx="4754880" cy="453446"/>
        </a:xfrm>
        <a:prstGeom prst="rect">
          <a:avLst/>
        </a:prstGeom>
      </xdr:spPr>
    </xdr:pic>
    <xdr:clientData/>
  </xdr:twoCellAnchor>
  <xdr:twoCellAnchor editAs="oneCell">
    <xdr:from>
      <xdr:col>2</xdr:col>
      <xdr:colOff>285750</xdr:colOff>
      <xdr:row>70</xdr:row>
      <xdr:rowOff>1</xdr:rowOff>
    </xdr:from>
    <xdr:to>
      <xdr:col>8</xdr:col>
      <xdr:colOff>510540</xdr:colOff>
      <xdr:row>71</xdr:row>
      <xdr:rowOff>171472</xdr:rowOff>
    </xdr:to>
    <xdr:pic>
      <xdr:nvPicPr>
        <xdr:cNvPr id="6" name="Image 5">
          <a:extLst>
            <a:ext uri="{FF2B5EF4-FFF2-40B4-BE49-F238E27FC236}">
              <a16:creationId xmlns:a16="http://schemas.microsoft.com/office/drawing/2014/main" id="{42BD274F-DE3B-CBA9-F92E-362941E61D36}"/>
            </a:ext>
          </a:extLst>
        </xdr:cNvPr>
        <xdr:cNvPicPr>
          <a:picLocks noChangeAspect="1"/>
        </xdr:cNvPicPr>
      </xdr:nvPicPr>
      <xdr:blipFill>
        <a:blip xmlns:r="http://schemas.openxmlformats.org/officeDocument/2006/relationships" r:embed="rId5"/>
        <a:stretch>
          <a:fillRect/>
        </a:stretch>
      </xdr:blipFill>
      <xdr:spPr>
        <a:xfrm>
          <a:off x="4600575" y="13982701"/>
          <a:ext cx="4960620" cy="3429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22</xdr:col>
      <xdr:colOff>782955</xdr:colOff>
      <xdr:row>4</xdr:row>
      <xdr:rowOff>11436</xdr:rowOff>
    </xdr:from>
    <xdr:to>
      <xdr:col>28</xdr:col>
      <xdr:colOff>605790</xdr:colOff>
      <xdr:row>19</xdr:row>
      <xdr:rowOff>34296</xdr:rowOff>
    </xdr:to>
    <xdr:graphicFrame macro="">
      <xdr:nvGraphicFramePr>
        <xdr:cNvPr id="2" name="Graphique 1">
          <a:extLst>
            <a:ext uri="{FF2B5EF4-FFF2-40B4-BE49-F238E27FC236}">
              <a16:creationId xmlns:a16="http://schemas.microsoft.com/office/drawing/2014/main" id="{D96B81D7-E0EA-1119-58E4-A615E06AE2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9525</xdr:colOff>
      <xdr:row>19</xdr:row>
      <xdr:rowOff>26670</xdr:rowOff>
    </xdr:from>
    <xdr:to>
      <xdr:col>28</xdr:col>
      <xdr:colOff>626745</xdr:colOff>
      <xdr:row>34</xdr:row>
      <xdr:rowOff>49530</xdr:rowOff>
    </xdr:to>
    <xdr:graphicFrame macro="">
      <xdr:nvGraphicFramePr>
        <xdr:cNvPr id="3" name="Graphique 2">
          <a:extLst>
            <a:ext uri="{FF2B5EF4-FFF2-40B4-BE49-F238E27FC236}">
              <a16:creationId xmlns:a16="http://schemas.microsoft.com/office/drawing/2014/main" id="{5D215A44-49EB-4AD9-8754-B35886A64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35</xdr:row>
      <xdr:rowOff>0</xdr:rowOff>
    </xdr:from>
    <xdr:to>
      <xdr:col>28</xdr:col>
      <xdr:colOff>619125</xdr:colOff>
      <xdr:row>50</xdr:row>
      <xdr:rowOff>28575</xdr:rowOff>
    </xdr:to>
    <xdr:graphicFrame macro="">
      <xdr:nvGraphicFramePr>
        <xdr:cNvPr id="4" name="Graphique 3">
          <a:extLst>
            <a:ext uri="{FF2B5EF4-FFF2-40B4-BE49-F238E27FC236}">
              <a16:creationId xmlns:a16="http://schemas.microsoft.com/office/drawing/2014/main" id="{5DCED0D6-8367-4B75-A68E-134048E4E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0</xdr:colOff>
      <xdr:row>51</xdr:row>
      <xdr:rowOff>0</xdr:rowOff>
    </xdr:from>
    <xdr:to>
      <xdr:col>28</xdr:col>
      <xdr:colOff>621030</xdr:colOff>
      <xdr:row>66</xdr:row>
      <xdr:rowOff>26670</xdr:rowOff>
    </xdr:to>
    <xdr:graphicFrame macro="">
      <xdr:nvGraphicFramePr>
        <xdr:cNvPr id="5" name="Graphique 4">
          <a:extLst>
            <a:ext uri="{FF2B5EF4-FFF2-40B4-BE49-F238E27FC236}">
              <a16:creationId xmlns:a16="http://schemas.microsoft.com/office/drawing/2014/main" id="{B3A56EE4-785F-4CB7-A586-0E7B13CEA9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0</xdr:colOff>
      <xdr:row>67</xdr:row>
      <xdr:rowOff>0</xdr:rowOff>
    </xdr:from>
    <xdr:to>
      <xdr:col>28</xdr:col>
      <xdr:colOff>624840</xdr:colOff>
      <xdr:row>82</xdr:row>
      <xdr:rowOff>24765</xdr:rowOff>
    </xdr:to>
    <xdr:graphicFrame macro="">
      <xdr:nvGraphicFramePr>
        <xdr:cNvPr id="6" name="Graphique 5">
          <a:extLst>
            <a:ext uri="{FF2B5EF4-FFF2-40B4-BE49-F238E27FC236}">
              <a16:creationId xmlns:a16="http://schemas.microsoft.com/office/drawing/2014/main" id="{F25D4443-07F2-4306-AD12-889775F0A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0</xdr:colOff>
      <xdr:row>83</xdr:row>
      <xdr:rowOff>0</xdr:rowOff>
    </xdr:from>
    <xdr:to>
      <xdr:col>28</xdr:col>
      <xdr:colOff>628650</xdr:colOff>
      <xdr:row>98</xdr:row>
      <xdr:rowOff>20955</xdr:rowOff>
    </xdr:to>
    <xdr:graphicFrame macro="">
      <xdr:nvGraphicFramePr>
        <xdr:cNvPr id="7" name="Graphique 6">
          <a:extLst>
            <a:ext uri="{FF2B5EF4-FFF2-40B4-BE49-F238E27FC236}">
              <a16:creationId xmlns:a16="http://schemas.microsoft.com/office/drawing/2014/main" id="{EC60EB81-1200-40E1-A02F-16454728B9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0</xdr:colOff>
      <xdr:row>99</xdr:row>
      <xdr:rowOff>0</xdr:rowOff>
    </xdr:from>
    <xdr:to>
      <xdr:col>28</xdr:col>
      <xdr:colOff>624840</xdr:colOff>
      <xdr:row>114</xdr:row>
      <xdr:rowOff>17145</xdr:rowOff>
    </xdr:to>
    <xdr:graphicFrame macro="">
      <xdr:nvGraphicFramePr>
        <xdr:cNvPr id="8" name="Graphique 7">
          <a:extLst>
            <a:ext uri="{FF2B5EF4-FFF2-40B4-BE49-F238E27FC236}">
              <a16:creationId xmlns:a16="http://schemas.microsoft.com/office/drawing/2014/main" id="{1CCF0365-4A0B-45B5-9C6A-95CCAF024E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0</xdr:colOff>
      <xdr:row>115</xdr:row>
      <xdr:rowOff>0</xdr:rowOff>
    </xdr:from>
    <xdr:to>
      <xdr:col>28</xdr:col>
      <xdr:colOff>628650</xdr:colOff>
      <xdr:row>130</xdr:row>
      <xdr:rowOff>20955</xdr:rowOff>
    </xdr:to>
    <xdr:graphicFrame macro="">
      <xdr:nvGraphicFramePr>
        <xdr:cNvPr id="9" name="Graphique 8">
          <a:extLst>
            <a:ext uri="{FF2B5EF4-FFF2-40B4-BE49-F238E27FC236}">
              <a16:creationId xmlns:a16="http://schemas.microsoft.com/office/drawing/2014/main" id="{5F281539-CCB4-485C-AFEA-B5B98B4E4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23</xdr:col>
      <xdr:colOff>0</xdr:colOff>
      <xdr:row>131</xdr:row>
      <xdr:rowOff>0</xdr:rowOff>
    </xdr:from>
    <xdr:to>
      <xdr:col>28</xdr:col>
      <xdr:colOff>624840</xdr:colOff>
      <xdr:row>146</xdr:row>
      <xdr:rowOff>17145</xdr:rowOff>
    </xdr:to>
    <xdr:graphicFrame macro="">
      <xdr:nvGraphicFramePr>
        <xdr:cNvPr id="10" name="Graphique 9">
          <a:extLst>
            <a:ext uri="{FF2B5EF4-FFF2-40B4-BE49-F238E27FC236}">
              <a16:creationId xmlns:a16="http://schemas.microsoft.com/office/drawing/2014/main" id="{BDF48117-968E-4147-8C92-0AB83FE40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773430</xdr:colOff>
      <xdr:row>47</xdr:row>
      <xdr:rowOff>64770</xdr:rowOff>
    </xdr:from>
    <xdr:to>
      <xdr:col>10</xdr:col>
      <xdr:colOff>361950</xdr:colOff>
      <xdr:row>61</xdr:row>
      <xdr:rowOff>19235</xdr:rowOff>
    </xdr:to>
    <xdr:pic>
      <xdr:nvPicPr>
        <xdr:cNvPr id="2" name="Image 1">
          <a:extLst>
            <a:ext uri="{FF2B5EF4-FFF2-40B4-BE49-F238E27FC236}">
              <a16:creationId xmlns:a16="http://schemas.microsoft.com/office/drawing/2014/main" id="{9F8C25A2-0AED-417B-A239-3C059B578D62}"/>
            </a:ext>
          </a:extLst>
        </xdr:cNvPr>
        <xdr:cNvPicPr>
          <a:picLocks noChangeAspect="1"/>
        </xdr:cNvPicPr>
      </xdr:nvPicPr>
      <xdr:blipFill>
        <a:blip xmlns:r="http://schemas.openxmlformats.org/officeDocument/2006/relationships" r:embed="rId1"/>
        <a:stretch>
          <a:fillRect/>
        </a:stretch>
      </xdr:blipFill>
      <xdr:spPr>
        <a:xfrm>
          <a:off x="6221730" y="6389370"/>
          <a:ext cx="6835140" cy="2482400"/>
        </a:xfrm>
        <a:prstGeom prst="rect">
          <a:avLst/>
        </a:prstGeom>
      </xdr:spPr>
    </xdr:pic>
    <xdr:clientData/>
  </xdr:twoCellAnchor>
  <xdr:twoCellAnchor editAs="oneCell">
    <xdr:from>
      <xdr:col>11</xdr:col>
      <xdr:colOff>781050</xdr:colOff>
      <xdr:row>70</xdr:row>
      <xdr:rowOff>114301</xdr:rowOff>
    </xdr:from>
    <xdr:to>
      <xdr:col>18</xdr:col>
      <xdr:colOff>78105</xdr:colOff>
      <xdr:row>95</xdr:row>
      <xdr:rowOff>25272</xdr:rowOff>
    </xdr:to>
    <xdr:pic>
      <xdr:nvPicPr>
        <xdr:cNvPr id="3" name="Image 2">
          <a:extLst>
            <a:ext uri="{FF2B5EF4-FFF2-40B4-BE49-F238E27FC236}">
              <a16:creationId xmlns:a16="http://schemas.microsoft.com/office/drawing/2014/main" id="{BEABDF8C-FA84-4B2E-774B-5F8D5A2F8D6D}"/>
            </a:ext>
          </a:extLst>
        </xdr:cNvPr>
        <xdr:cNvPicPr>
          <a:picLocks noChangeAspect="1"/>
        </xdr:cNvPicPr>
      </xdr:nvPicPr>
      <xdr:blipFill>
        <a:blip xmlns:r="http://schemas.openxmlformats.org/officeDocument/2006/relationships" r:embed="rId2"/>
        <a:stretch>
          <a:fillRect/>
        </a:stretch>
      </xdr:blipFill>
      <xdr:spPr>
        <a:xfrm>
          <a:off x="14287500" y="13258801"/>
          <a:ext cx="4831080" cy="4439156"/>
        </a:xfrm>
        <a:prstGeom prst="rect">
          <a:avLst/>
        </a:prstGeom>
      </xdr:spPr>
    </xdr:pic>
    <xdr:clientData/>
  </xdr:twoCellAnchor>
  <xdr:twoCellAnchor editAs="oneCell">
    <xdr:from>
      <xdr:col>11</xdr:col>
      <xdr:colOff>657225</xdr:colOff>
      <xdr:row>96</xdr:row>
      <xdr:rowOff>76201</xdr:rowOff>
    </xdr:from>
    <xdr:to>
      <xdr:col>21</xdr:col>
      <xdr:colOff>415290</xdr:colOff>
      <xdr:row>125</xdr:row>
      <xdr:rowOff>149618</xdr:rowOff>
    </xdr:to>
    <xdr:pic>
      <xdr:nvPicPr>
        <xdr:cNvPr id="4" name="Image 3">
          <a:extLst>
            <a:ext uri="{FF2B5EF4-FFF2-40B4-BE49-F238E27FC236}">
              <a16:creationId xmlns:a16="http://schemas.microsoft.com/office/drawing/2014/main" id="{B873BCB2-8819-18E2-89F6-A88F3448C6EC}"/>
            </a:ext>
          </a:extLst>
        </xdr:cNvPr>
        <xdr:cNvPicPr>
          <a:picLocks noChangeAspect="1"/>
        </xdr:cNvPicPr>
      </xdr:nvPicPr>
      <xdr:blipFill>
        <a:blip xmlns:r="http://schemas.openxmlformats.org/officeDocument/2006/relationships" r:embed="rId3"/>
        <a:stretch>
          <a:fillRect/>
        </a:stretch>
      </xdr:blipFill>
      <xdr:spPr>
        <a:xfrm>
          <a:off x="14163675" y="17926051"/>
          <a:ext cx="7663815" cy="5321692"/>
        </a:xfrm>
        <a:prstGeom prst="rect">
          <a:avLst/>
        </a:prstGeom>
      </xdr:spPr>
    </xdr:pic>
    <xdr:clientData/>
  </xdr:twoCellAnchor>
  <xdr:twoCellAnchor editAs="oneCell">
    <xdr:from>
      <xdr:col>2</xdr:col>
      <xdr:colOff>95250</xdr:colOff>
      <xdr:row>95</xdr:row>
      <xdr:rowOff>152400</xdr:rowOff>
    </xdr:from>
    <xdr:to>
      <xdr:col>10</xdr:col>
      <xdr:colOff>579120</xdr:colOff>
      <xdr:row>125</xdr:row>
      <xdr:rowOff>130413</xdr:rowOff>
    </xdr:to>
    <xdr:pic>
      <xdr:nvPicPr>
        <xdr:cNvPr id="5" name="Image 4">
          <a:extLst>
            <a:ext uri="{FF2B5EF4-FFF2-40B4-BE49-F238E27FC236}">
              <a16:creationId xmlns:a16="http://schemas.microsoft.com/office/drawing/2014/main" id="{31302A4B-FF45-19A8-5F6A-22AE7206E5F3}"/>
            </a:ext>
          </a:extLst>
        </xdr:cNvPr>
        <xdr:cNvPicPr>
          <a:picLocks noChangeAspect="1"/>
        </xdr:cNvPicPr>
      </xdr:nvPicPr>
      <xdr:blipFill>
        <a:blip xmlns:r="http://schemas.openxmlformats.org/officeDocument/2006/relationships" r:embed="rId4"/>
        <a:stretch>
          <a:fillRect/>
        </a:stretch>
      </xdr:blipFill>
      <xdr:spPr>
        <a:xfrm>
          <a:off x="5543550" y="17821275"/>
          <a:ext cx="7751445" cy="5407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449035</xdr:colOff>
      <xdr:row>0</xdr:row>
      <xdr:rowOff>0</xdr:rowOff>
    </xdr:from>
    <xdr:to>
      <xdr:col>0</xdr:col>
      <xdr:colOff>4152083</xdr:colOff>
      <xdr:row>0</xdr:row>
      <xdr:rowOff>1051328</xdr:rowOff>
    </xdr:to>
    <xdr:pic>
      <xdr:nvPicPr>
        <xdr:cNvPr id="2" name="Image 1" descr="http://portail-intranet.franceagrimer.fr/OutilsCommunication/B+F%20NOIR%20INT.png">
          <a:extLst>
            <a:ext uri="{FF2B5EF4-FFF2-40B4-BE49-F238E27FC236}">
              <a16:creationId xmlns:a16="http://schemas.microsoft.com/office/drawing/2014/main" id="{AF914BB8-A284-4439-B157-FD17D477C8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130" y="0"/>
          <a:ext cx="3703048"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3</xdr:row>
      <xdr:rowOff>28575</xdr:rowOff>
    </xdr:from>
    <xdr:to>
      <xdr:col>4</xdr:col>
      <xdr:colOff>781050</xdr:colOff>
      <xdr:row>5</xdr:row>
      <xdr:rowOff>153664</xdr:rowOff>
    </xdr:to>
    <xdr:pic>
      <xdr:nvPicPr>
        <xdr:cNvPr id="3" name="Image 2">
          <a:extLst>
            <a:ext uri="{FF2B5EF4-FFF2-40B4-BE49-F238E27FC236}">
              <a16:creationId xmlns:a16="http://schemas.microsoft.com/office/drawing/2014/main" id="{897B36FD-BE0E-A462-DEA8-B85F73530A78}"/>
            </a:ext>
          </a:extLst>
        </xdr:cNvPr>
        <xdr:cNvPicPr>
          <a:picLocks noChangeAspect="1"/>
        </xdr:cNvPicPr>
      </xdr:nvPicPr>
      <xdr:blipFill>
        <a:blip xmlns:r="http://schemas.openxmlformats.org/officeDocument/2006/relationships" r:embed="rId1"/>
        <a:stretch>
          <a:fillRect/>
        </a:stretch>
      </xdr:blipFill>
      <xdr:spPr>
        <a:xfrm>
          <a:off x="0" y="209550"/>
          <a:ext cx="3935730" cy="487039"/>
        </a:xfrm>
        <a:prstGeom prst="rect">
          <a:avLst/>
        </a:prstGeom>
      </xdr:spPr>
    </xdr:pic>
    <xdr:clientData/>
  </xdr:twoCellAnchor>
  <xdr:twoCellAnchor editAs="oneCell">
    <xdr:from>
      <xdr:col>0</xdr:col>
      <xdr:colOff>0</xdr:colOff>
      <xdr:row>8</xdr:row>
      <xdr:rowOff>53340</xdr:rowOff>
    </xdr:from>
    <xdr:to>
      <xdr:col>5</xdr:col>
      <xdr:colOff>0</xdr:colOff>
      <xdr:row>11</xdr:row>
      <xdr:rowOff>21410</xdr:rowOff>
    </xdr:to>
    <xdr:pic>
      <xdr:nvPicPr>
        <xdr:cNvPr id="4" name="Image 3">
          <a:extLst>
            <a:ext uri="{FF2B5EF4-FFF2-40B4-BE49-F238E27FC236}">
              <a16:creationId xmlns:a16="http://schemas.microsoft.com/office/drawing/2014/main" id="{6B96EABC-1725-7DA4-8F2A-A3DFB2FB11D0}"/>
            </a:ext>
          </a:extLst>
        </xdr:cNvPr>
        <xdr:cNvPicPr>
          <a:picLocks noChangeAspect="1"/>
        </xdr:cNvPicPr>
      </xdr:nvPicPr>
      <xdr:blipFill>
        <a:blip xmlns:r="http://schemas.openxmlformats.org/officeDocument/2006/relationships" r:embed="rId2"/>
        <a:stretch>
          <a:fillRect/>
        </a:stretch>
      </xdr:blipFill>
      <xdr:spPr>
        <a:xfrm>
          <a:off x="0" y="1139190"/>
          <a:ext cx="3952875" cy="503375"/>
        </a:xfrm>
        <a:prstGeom prst="rect">
          <a:avLst/>
        </a:prstGeom>
      </xdr:spPr>
    </xdr:pic>
    <xdr:clientData/>
  </xdr:twoCellAnchor>
  <xdr:twoCellAnchor editAs="oneCell">
    <xdr:from>
      <xdr:col>0</xdr:col>
      <xdr:colOff>0</xdr:colOff>
      <xdr:row>13</xdr:row>
      <xdr:rowOff>0</xdr:rowOff>
    </xdr:from>
    <xdr:to>
      <xdr:col>4</xdr:col>
      <xdr:colOff>762000</xdr:colOff>
      <xdr:row>14</xdr:row>
      <xdr:rowOff>168113</xdr:rowOff>
    </xdr:to>
    <xdr:pic>
      <xdr:nvPicPr>
        <xdr:cNvPr id="5" name="Image 4">
          <a:extLst>
            <a:ext uri="{FF2B5EF4-FFF2-40B4-BE49-F238E27FC236}">
              <a16:creationId xmlns:a16="http://schemas.microsoft.com/office/drawing/2014/main" id="{5C31EB1F-0194-7EC4-E1DA-81C78A2D13F6}"/>
            </a:ext>
          </a:extLst>
        </xdr:cNvPr>
        <xdr:cNvPicPr>
          <a:picLocks noChangeAspect="1"/>
        </xdr:cNvPicPr>
      </xdr:nvPicPr>
      <xdr:blipFill>
        <a:blip xmlns:r="http://schemas.openxmlformats.org/officeDocument/2006/relationships" r:embed="rId3"/>
        <a:stretch>
          <a:fillRect/>
        </a:stretch>
      </xdr:blipFill>
      <xdr:spPr>
        <a:xfrm>
          <a:off x="0" y="1990725"/>
          <a:ext cx="3924300" cy="337658"/>
        </a:xfrm>
        <a:prstGeom prst="rect">
          <a:avLst/>
        </a:prstGeom>
      </xdr:spPr>
    </xdr:pic>
    <xdr:clientData/>
  </xdr:twoCellAnchor>
  <xdr:twoCellAnchor editAs="oneCell">
    <xdr:from>
      <xdr:col>0</xdr:col>
      <xdr:colOff>1</xdr:colOff>
      <xdr:row>17</xdr:row>
      <xdr:rowOff>0</xdr:rowOff>
    </xdr:from>
    <xdr:to>
      <xdr:col>4</xdr:col>
      <xdr:colOff>781051</xdr:colOff>
      <xdr:row>19</xdr:row>
      <xdr:rowOff>21781</xdr:rowOff>
    </xdr:to>
    <xdr:pic>
      <xdr:nvPicPr>
        <xdr:cNvPr id="6" name="Image 5">
          <a:extLst>
            <a:ext uri="{FF2B5EF4-FFF2-40B4-BE49-F238E27FC236}">
              <a16:creationId xmlns:a16="http://schemas.microsoft.com/office/drawing/2014/main" id="{EAB0BD64-E05D-D9D9-64AE-C588DCC430A1}"/>
            </a:ext>
          </a:extLst>
        </xdr:cNvPr>
        <xdr:cNvPicPr>
          <a:picLocks noChangeAspect="1"/>
        </xdr:cNvPicPr>
      </xdr:nvPicPr>
      <xdr:blipFill>
        <a:blip xmlns:r="http://schemas.openxmlformats.org/officeDocument/2006/relationships" r:embed="rId4"/>
        <a:stretch>
          <a:fillRect/>
        </a:stretch>
      </xdr:blipFill>
      <xdr:spPr>
        <a:xfrm>
          <a:off x="1" y="2714625"/>
          <a:ext cx="3943350" cy="376111"/>
        </a:xfrm>
        <a:prstGeom prst="rect">
          <a:avLst/>
        </a:prstGeom>
      </xdr:spPr>
    </xdr:pic>
    <xdr:clientData/>
  </xdr:twoCellAnchor>
  <xdr:twoCellAnchor editAs="oneCell">
    <xdr:from>
      <xdr:col>0</xdr:col>
      <xdr:colOff>1</xdr:colOff>
      <xdr:row>24</xdr:row>
      <xdr:rowOff>1</xdr:rowOff>
    </xdr:from>
    <xdr:to>
      <xdr:col>4</xdr:col>
      <xdr:colOff>762001</xdr:colOff>
      <xdr:row>25</xdr:row>
      <xdr:rowOff>139493</xdr:rowOff>
    </xdr:to>
    <xdr:pic>
      <xdr:nvPicPr>
        <xdr:cNvPr id="7" name="Image 6">
          <a:extLst>
            <a:ext uri="{FF2B5EF4-FFF2-40B4-BE49-F238E27FC236}">
              <a16:creationId xmlns:a16="http://schemas.microsoft.com/office/drawing/2014/main" id="{74D578E8-86EB-2B91-FD3A-E0FE91CA1572}"/>
            </a:ext>
          </a:extLst>
        </xdr:cNvPr>
        <xdr:cNvPicPr>
          <a:picLocks noChangeAspect="1"/>
        </xdr:cNvPicPr>
      </xdr:nvPicPr>
      <xdr:blipFill>
        <a:blip xmlns:r="http://schemas.openxmlformats.org/officeDocument/2006/relationships" r:embed="rId5"/>
        <a:stretch>
          <a:fillRect/>
        </a:stretch>
      </xdr:blipFill>
      <xdr:spPr>
        <a:xfrm>
          <a:off x="1" y="4343401"/>
          <a:ext cx="3924300" cy="328087"/>
        </a:xfrm>
        <a:prstGeom prst="rect">
          <a:avLst/>
        </a:prstGeom>
      </xdr:spPr>
    </xdr:pic>
    <xdr:clientData/>
  </xdr:twoCellAnchor>
  <xdr:twoCellAnchor editAs="oneCell">
    <xdr:from>
      <xdr:col>0</xdr:col>
      <xdr:colOff>0</xdr:colOff>
      <xdr:row>28</xdr:row>
      <xdr:rowOff>0</xdr:rowOff>
    </xdr:from>
    <xdr:to>
      <xdr:col>4</xdr:col>
      <xdr:colOff>742950</xdr:colOff>
      <xdr:row>30</xdr:row>
      <xdr:rowOff>111685</xdr:rowOff>
    </xdr:to>
    <xdr:pic>
      <xdr:nvPicPr>
        <xdr:cNvPr id="8" name="Image 7">
          <a:extLst>
            <a:ext uri="{FF2B5EF4-FFF2-40B4-BE49-F238E27FC236}">
              <a16:creationId xmlns:a16="http://schemas.microsoft.com/office/drawing/2014/main" id="{52A4F34C-7E1B-88C9-4F62-E5DDF2AFC51D}"/>
            </a:ext>
          </a:extLst>
        </xdr:cNvPr>
        <xdr:cNvPicPr>
          <a:picLocks noChangeAspect="1"/>
        </xdr:cNvPicPr>
      </xdr:nvPicPr>
      <xdr:blipFill>
        <a:blip xmlns:r="http://schemas.openxmlformats.org/officeDocument/2006/relationships" r:embed="rId6"/>
        <a:stretch>
          <a:fillRect/>
        </a:stretch>
      </xdr:blipFill>
      <xdr:spPr>
        <a:xfrm>
          <a:off x="0" y="5067300"/>
          <a:ext cx="3905250" cy="473635"/>
        </a:xfrm>
        <a:prstGeom prst="rect">
          <a:avLst/>
        </a:prstGeom>
      </xdr:spPr>
    </xdr:pic>
    <xdr:clientData/>
  </xdr:twoCellAnchor>
  <xdr:twoCellAnchor editAs="oneCell">
    <xdr:from>
      <xdr:col>0</xdr:col>
      <xdr:colOff>0</xdr:colOff>
      <xdr:row>33</xdr:row>
      <xdr:rowOff>1</xdr:rowOff>
    </xdr:from>
    <xdr:to>
      <xdr:col>4</xdr:col>
      <xdr:colOff>781050</xdr:colOff>
      <xdr:row>35</xdr:row>
      <xdr:rowOff>124322</xdr:rowOff>
    </xdr:to>
    <xdr:pic>
      <xdr:nvPicPr>
        <xdr:cNvPr id="9" name="Image 8">
          <a:extLst>
            <a:ext uri="{FF2B5EF4-FFF2-40B4-BE49-F238E27FC236}">
              <a16:creationId xmlns:a16="http://schemas.microsoft.com/office/drawing/2014/main" id="{549823EF-7E1C-53B4-F5C9-71526183DFD5}"/>
            </a:ext>
          </a:extLst>
        </xdr:cNvPr>
        <xdr:cNvPicPr>
          <a:picLocks noChangeAspect="1"/>
        </xdr:cNvPicPr>
      </xdr:nvPicPr>
      <xdr:blipFill>
        <a:blip xmlns:r="http://schemas.openxmlformats.org/officeDocument/2006/relationships" r:embed="rId7"/>
        <a:stretch>
          <a:fillRect/>
        </a:stretch>
      </xdr:blipFill>
      <xdr:spPr>
        <a:xfrm>
          <a:off x="0" y="5972176"/>
          <a:ext cx="3933825" cy="48055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2</xdr:col>
      <xdr:colOff>383828</xdr:colOff>
      <xdr:row>10</xdr:row>
      <xdr:rowOff>114300</xdr:rowOff>
    </xdr:to>
    <xdr:pic>
      <xdr:nvPicPr>
        <xdr:cNvPr id="2" name="Image 1">
          <a:extLst>
            <a:ext uri="{FF2B5EF4-FFF2-40B4-BE49-F238E27FC236}">
              <a16:creationId xmlns:a16="http://schemas.microsoft.com/office/drawing/2014/main" id="{C117025C-BA74-0C3B-BC30-986F18A28E43}"/>
            </a:ext>
          </a:extLst>
        </xdr:cNvPr>
        <xdr:cNvPicPr>
          <a:picLocks noChangeAspect="1"/>
        </xdr:cNvPicPr>
      </xdr:nvPicPr>
      <xdr:blipFill>
        <a:blip xmlns:r="http://schemas.openxmlformats.org/officeDocument/2006/relationships" r:embed="rId1"/>
        <a:stretch>
          <a:fillRect/>
        </a:stretch>
      </xdr:blipFill>
      <xdr:spPr>
        <a:xfrm>
          <a:off x="0" y="1266825"/>
          <a:ext cx="2317403" cy="657225"/>
        </a:xfrm>
        <a:prstGeom prst="rect">
          <a:avLst/>
        </a:prstGeom>
      </xdr:spPr>
    </xdr:pic>
    <xdr:clientData/>
  </xdr:twoCellAnchor>
  <xdr:twoCellAnchor editAs="oneCell">
    <xdr:from>
      <xdr:col>0</xdr:col>
      <xdr:colOff>1</xdr:colOff>
      <xdr:row>11</xdr:row>
      <xdr:rowOff>0</xdr:rowOff>
    </xdr:from>
    <xdr:to>
      <xdr:col>2</xdr:col>
      <xdr:colOff>400051</xdr:colOff>
      <xdr:row>14</xdr:row>
      <xdr:rowOff>92706</xdr:rowOff>
    </xdr:to>
    <xdr:pic>
      <xdr:nvPicPr>
        <xdr:cNvPr id="3" name="Image 2">
          <a:extLst>
            <a:ext uri="{FF2B5EF4-FFF2-40B4-BE49-F238E27FC236}">
              <a16:creationId xmlns:a16="http://schemas.microsoft.com/office/drawing/2014/main" id="{D1D91B57-AEE8-82E6-F910-D4FC62C88636}"/>
            </a:ext>
          </a:extLst>
        </xdr:cNvPr>
        <xdr:cNvPicPr>
          <a:picLocks noChangeAspect="1"/>
        </xdr:cNvPicPr>
      </xdr:nvPicPr>
      <xdr:blipFill>
        <a:blip xmlns:r="http://schemas.openxmlformats.org/officeDocument/2006/relationships" r:embed="rId2"/>
        <a:stretch>
          <a:fillRect/>
        </a:stretch>
      </xdr:blipFill>
      <xdr:spPr>
        <a:xfrm>
          <a:off x="1" y="1990725"/>
          <a:ext cx="2324100" cy="639441"/>
        </a:xfrm>
        <a:prstGeom prst="rect">
          <a:avLst/>
        </a:prstGeom>
      </xdr:spPr>
    </xdr:pic>
    <xdr:clientData/>
  </xdr:twoCellAnchor>
  <xdr:twoCellAnchor editAs="oneCell">
    <xdr:from>
      <xdr:col>0</xdr:col>
      <xdr:colOff>0</xdr:colOff>
      <xdr:row>15</xdr:row>
      <xdr:rowOff>0</xdr:rowOff>
    </xdr:from>
    <xdr:to>
      <xdr:col>2</xdr:col>
      <xdr:colOff>419100</xdr:colOff>
      <xdr:row>19</xdr:row>
      <xdr:rowOff>54135</xdr:rowOff>
    </xdr:to>
    <xdr:pic>
      <xdr:nvPicPr>
        <xdr:cNvPr id="4" name="Image 3">
          <a:extLst>
            <a:ext uri="{FF2B5EF4-FFF2-40B4-BE49-F238E27FC236}">
              <a16:creationId xmlns:a16="http://schemas.microsoft.com/office/drawing/2014/main" id="{A77C14CB-AB53-7189-937C-865B14E48DF9}"/>
            </a:ext>
          </a:extLst>
        </xdr:cNvPr>
        <xdr:cNvPicPr>
          <a:picLocks noChangeAspect="1"/>
        </xdr:cNvPicPr>
      </xdr:nvPicPr>
      <xdr:blipFill>
        <a:blip xmlns:r="http://schemas.openxmlformats.org/officeDocument/2006/relationships" r:embed="rId3"/>
        <a:stretch>
          <a:fillRect/>
        </a:stretch>
      </xdr:blipFill>
      <xdr:spPr>
        <a:xfrm>
          <a:off x="0" y="2714625"/>
          <a:ext cx="2352675" cy="7742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11</xdr:col>
      <xdr:colOff>589587</xdr:colOff>
      <xdr:row>21</xdr:row>
      <xdr:rowOff>165446</xdr:rowOff>
    </xdr:to>
    <xdr:pic>
      <xdr:nvPicPr>
        <xdr:cNvPr id="2" name="Image 1">
          <a:extLst>
            <a:ext uri="{FF2B5EF4-FFF2-40B4-BE49-F238E27FC236}">
              <a16:creationId xmlns:a16="http://schemas.microsoft.com/office/drawing/2014/main" id="{07FDA44F-06EB-4975-8A69-CC1D6B06D178}"/>
            </a:ext>
          </a:extLst>
        </xdr:cNvPr>
        <xdr:cNvPicPr>
          <a:picLocks noChangeAspect="1"/>
        </xdr:cNvPicPr>
      </xdr:nvPicPr>
      <xdr:blipFill>
        <a:blip xmlns:r="http://schemas.openxmlformats.org/officeDocument/2006/relationships" r:embed="rId1"/>
        <a:stretch>
          <a:fillRect/>
        </a:stretch>
      </xdr:blipFill>
      <xdr:spPr>
        <a:xfrm>
          <a:off x="3451860" y="1661160"/>
          <a:ext cx="7704762" cy="2329526"/>
        </a:xfrm>
        <a:prstGeom prst="rect">
          <a:avLst/>
        </a:prstGeom>
      </xdr:spPr>
    </xdr:pic>
    <xdr:clientData/>
  </xdr:twoCellAnchor>
  <xdr:twoCellAnchor editAs="oneCell">
    <xdr:from>
      <xdr:col>2</xdr:col>
      <xdr:colOff>0</xdr:colOff>
      <xdr:row>24</xdr:row>
      <xdr:rowOff>0</xdr:rowOff>
    </xdr:from>
    <xdr:to>
      <xdr:col>10</xdr:col>
      <xdr:colOff>608732</xdr:colOff>
      <xdr:row>39</xdr:row>
      <xdr:rowOff>58710</xdr:rowOff>
    </xdr:to>
    <xdr:pic>
      <xdr:nvPicPr>
        <xdr:cNvPr id="3" name="Image 2">
          <a:extLst>
            <a:ext uri="{FF2B5EF4-FFF2-40B4-BE49-F238E27FC236}">
              <a16:creationId xmlns:a16="http://schemas.microsoft.com/office/drawing/2014/main" id="{E437103A-358E-4255-BB8B-62B2507C9E51}"/>
            </a:ext>
          </a:extLst>
        </xdr:cNvPr>
        <xdr:cNvPicPr>
          <a:picLocks noChangeAspect="1"/>
        </xdr:cNvPicPr>
      </xdr:nvPicPr>
      <xdr:blipFill>
        <a:blip xmlns:r="http://schemas.openxmlformats.org/officeDocument/2006/relationships" r:embed="rId2"/>
        <a:stretch>
          <a:fillRect/>
        </a:stretch>
      </xdr:blipFill>
      <xdr:spPr>
        <a:xfrm>
          <a:off x="3451860" y="4404360"/>
          <a:ext cx="6933332" cy="2761905"/>
        </a:xfrm>
        <a:prstGeom prst="rect">
          <a:avLst/>
        </a:prstGeom>
      </xdr:spPr>
    </xdr:pic>
    <xdr:clientData/>
  </xdr:twoCellAnchor>
  <xdr:twoCellAnchor editAs="oneCell">
    <xdr:from>
      <xdr:col>2</xdr:col>
      <xdr:colOff>0</xdr:colOff>
      <xdr:row>40</xdr:row>
      <xdr:rowOff>0</xdr:rowOff>
    </xdr:from>
    <xdr:to>
      <xdr:col>10</xdr:col>
      <xdr:colOff>606829</xdr:colOff>
      <xdr:row>43</xdr:row>
      <xdr:rowOff>135172</xdr:rowOff>
    </xdr:to>
    <xdr:pic>
      <xdr:nvPicPr>
        <xdr:cNvPr id="4" name="Image 3">
          <a:extLst>
            <a:ext uri="{FF2B5EF4-FFF2-40B4-BE49-F238E27FC236}">
              <a16:creationId xmlns:a16="http://schemas.microsoft.com/office/drawing/2014/main" id="{100CF20C-7687-4FC3-8CBF-A4F09FC65341}"/>
            </a:ext>
          </a:extLst>
        </xdr:cNvPr>
        <xdr:cNvPicPr>
          <a:picLocks noChangeAspect="1"/>
        </xdr:cNvPicPr>
      </xdr:nvPicPr>
      <xdr:blipFill>
        <a:blip xmlns:r="http://schemas.openxmlformats.org/officeDocument/2006/relationships" r:embed="rId3"/>
        <a:stretch>
          <a:fillRect/>
        </a:stretch>
      </xdr:blipFill>
      <xdr:spPr>
        <a:xfrm>
          <a:off x="3451860" y="7330440"/>
          <a:ext cx="6931429" cy="666667"/>
        </a:xfrm>
        <a:prstGeom prst="rect">
          <a:avLst/>
        </a:prstGeom>
      </xdr:spPr>
    </xdr:pic>
    <xdr:clientData/>
  </xdr:twoCellAnchor>
  <xdr:twoCellAnchor editAs="oneCell">
    <xdr:from>
      <xdr:col>2</xdr:col>
      <xdr:colOff>123825</xdr:colOff>
      <xdr:row>47</xdr:row>
      <xdr:rowOff>123825</xdr:rowOff>
    </xdr:from>
    <xdr:to>
      <xdr:col>12</xdr:col>
      <xdr:colOff>339979</xdr:colOff>
      <xdr:row>73</xdr:row>
      <xdr:rowOff>45141</xdr:rowOff>
    </xdr:to>
    <xdr:pic>
      <xdr:nvPicPr>
        <xdr:cNvPr id="5" name="Image 4">
          <a:extLst>
            <a:ext uri="{FF2B5EF4-FFF2-40B4-BE49-F238E27FC236}">
              <a16:creationId xmlns:a16="http://schemas.microsoft.com/office/drawing/2014/main" id="{13C4A4D3-9CA3-A2DE-2497-93BD7C62A052}"/>
            </a:ext>
          </a:extLst>
        </xdr:cNvPr>
        <xdr:cNvPicPr>
          <a:picLocks noChangeAspect="1"/>
        </xdr:cNvPicPr>
      </xdr:nvPicPr>
      <xdr:blipFill>
        <a:blip xmlns:r="http://schemas.openxmlformats.org/officeDocument/2006/relationships" r:embed="rId4"/>
        <a:stretch>
          <a:fillRect/>
        </a:stretch>
      </xdr:blipFill>
      <xdr:spPr>
        <a:xfrm>
          <a:off x="3571875" y="8648700"/>
          <a:ext cx="8121904" cy="46266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0</xdr:colOff>
      <xdr:row>1</xdr:row>
      <xdr:rowOff>0</xdr:rowOff>
    </xdr:to>
    <xdr:sp macro="" textlink="" fLocksText="0">
      <xdr:nvSpPr>
        <xdr:cNvPr id="2" name="Texte 2">
          <a:extLst>
            <a:ext uri="{FF2B5EF4-FFF2-40B4-BE49-F238E27FC236}">
              <a16:creationId xmlns:a16="http://schemas.microsoft.com/office/drawing/2014/main" id="{71F97920-EB1B-4718-8530-D85AD9061417}"/>
            </a:ext>
          </a:extLst>
        </xdr:cNvPr>
        <xdr:cNvSpPr>
          <a:spLocks noChangeArrowheads="1"/>
        </xdr:cNvSpPr>
      </xdr:nvSpPr>
      <xdr:spPr bwMode="auto">
        <a:xfrm>
          <a:off x="0" y="1114425"/>
          <a:ext cx="4629150" cy="0"/>
        </a:xfrm>
        <a:prstGeom prst="rect">
          <a:avLst/>
        </a:prstGeom>
        <a:gradFill rotWithShape="0">
          <a:gsLst>
            <a:gs pos="0">
              <a:srgbClr val="1FB714"/>
            </a:gs>
            <a:gs pos="50000">
              <a:srgbClr val="CCFFCC"/>
            </a:gs>
            <a:gs pos="100000">
              <a:srgbClr val="1FB714"/>
            </a:gs>
          </a:gsLst>
          <a:lin ang="8100000" scaled="1"/>
        </a:gradFill>
        <a:ln w="9525">
          <a:noFill/>
          <a:miter lim="800000"/>
          <a:headEnd/>
          <a:tailEnd/>
        </a:ln>
        <a:effectLst>
          <a:outerShdw dist="17819" dir="2700000" algn="ctr" rotWithShape="0">
            <a:srgbClr val="5B7900">
              <a:alpha val="74997"/>
            </a:srgbClr>
          </a:outerShdw>
        </a:effectLst>
      </xdr:spPr>
      <xdr:txBody>
        <a:bodyPr vertOverflow="clip" wrap="square" lIns="20160" tIns="20160" rIns="20160" bIns="20160" anchor="ctr" upright="1"/>
        <a:lstStyle/>
        <a:p>
          <a:pPr algn="ctr" rtl="0">
            <a:defRPr sz="1000"/>
          </a:pPr>
          <a:r>
            <a:rPr lang="fr-FR" sz="2000" b="1" i="0" u="none" strike="noStrike" baseline="0">
              <a:solidFill>
                <a:srgbClr val="000000"/>
              </a:solidFill>
              <a:latin typeface="Arial"/>
              <a:cs typeface="Arial"/>
            </a:rPr>
            <a:t>BILAN  PREVISIONNEL ORGES</a:t>
          </a:r>
        </a:p>
      </xdr:txBody>
    </xdr:sp>
    <xdr:clientData/>
  </xdr:twoCellAnchor>
  <xdr:twoCellAnchor>
    <xdr:from>
      <xdr:col>0</xdr:col>
      <xdr:colOff>0</xdr:colOff>
      <xdr:row>1</xdr:row>
      <xdr:rowOff>0</xdr:rowOff>
    </xdr:from>
    <xdr:to>
      <xdr:col>1</xdr:col>
      <xdr:colOff>0</xdr:colOff>
      <xdr:row>1</xdr:row>
      <xdr:rowOff>0</xdr:rowOff>
    </xdr:to>
    <xdr:sp macro="" textlink="" fLocksText="0">
      <xdr:nvSpPr>
        <xdr:cNvPr id="3" name="Texte 2">
          <a:extLst>
            <a:ext uri="{FF2B5EF4-FFF2-40B4-BE49-F238E27FC236}">
              <a16:creationId xmlns:a16="http://schemas.microsoft.com/office/drawing/2014/main" id="{B943A265-A815-45AC-B111-15CE31AC049F}"/>
            </a:ext>
          </a:extLst>
        </xdr:cNvPr>
        <xdr:cNvSpPr>
          <a:spLocks noChangeArrowheads="1"/>
        </xdr:cNvSpPr>
      </xdr:nvSpPr>
      <xdr:spPr bwMode="auto">
        <a:xfrm>
          <a:off x="0" y="1114425"/>
          <a:ext cx="4629150" cy="0"/>
        </a:xfrm>
        <a:prstGeom prst="rect">
          <a:avLst/>
        </a:prstGeom>
        <a:gradFill rotWithShape="0">
          <a:gsLst>
            <a:gs pos="0">
              <a:srgbClr val="1FB714"/>
            </a:gs>
            <a:gs pos="50000">
              <a:srgbClr val="CCFFCC"/>
            </a:gs>
            <a:gs pos="100000">
              <a:srgbClr val="1FB714"/>
            </a:gs>
          </a:gsLst>
          <a:lin ang="8100000" scaled="1"/>
        </a:gradFill>
        <a:ln w="9525">
          <a:noFill/>
          <a:miter lim="800000"/>
          <a:headEnd/>
          <a:tailEnd/>
        </a:ln>
        <a:effectLst>
          <a:outerShdw dist="17819" dir="2700000" algn="ctr" rotWithShape="0">
            <a:srgbClr val="5B7900">
              <a:alpha val="74997"/>
            </a:srgbClr>
          </a:outerShdw>
        </a:effectLst>
      </xdr:spPr>
      <xdr:txBody>
        <a:bodyPr vertOverflow="clip" wrap="square" lIns="20160" tIns="20160" rIns="20160" bIns="20160" anchor="ctr" upright="1"/>
        <a:lstStyle/>
        <a:p>
          <a:pPr algn="ctr" rtl="0">
            <a:defRPr sz="1000"/>
          </a:pPr>
          <a:r>
            <a:rPr lang="fr-FR" sz="2000" b="1" i="0" u="none" strike="noStrike" baseline="0">
              <a:solidFill>
                <a:srgbClr val="000000"/>
              </a:solidFill>
              <a:latin typeface="Arial"/>
              <a:cs typeface="Arial"/>
            </a:rPr>
            <a:t>BILAN  PREVISIONNEL ORGES</a:t>
          </a:r>
        </a:p>
      </xdr:txBody>
    </xdr:sp>
    <xdr:clientData/>
  </xdr:twoCellAnchor>
  <xdr:twoCellAnchor>
    <xdr:from>
      <xdr:col>0</xdr:col>
      <xdr:colOff>0</xdr:colOff>
      <xdr:row>1</xdr:row>
      <xdr:rowOff>0</xdr:rowOff>
    </xdr:from>
    <xdr:to>
      <xdr:col>1</xdr:col>
      <xdr:colOff>0</xdr:colOff>
      <xdr:row>1</xdr:row>
      <xdr:rowOff>0</xdr:rowOff>
    </xdr:to>
    <xdr:sp macro="" textlink="" fLocksText="0">
      <xdr:nvSpPr>
        <xdr:cNvPr id="4" name="Texte 2">
          <a:extLst>
            <a:ext uri="{FF2B5EF4-FFF2-40B4-BE49-F238E27FC236}">
              <a16:creationId xmlns:a16="http://schemas.microsoft.com/office/drawing/2014/main" id="{650910D5-8DBA-4B4C-B283-0F6886320594}"/>
            </a:ext>
          </a:extLst>
        </xdr:cNvPr>
        <xdr:cNvSpPr>
          <a:spLocks noChangeArrowheads="1"/>
        </xdr:cNvSpPr>
      </xdr:nvSpPr>
      <xdr:spPr bwMode="auto">
        <a:xfrm>
          <a:off x="0" y="1114425"/>
          <a:ext cx="4629150" cy="0"/>
        </a:xfrm>
        <a:prstGeom prst="rect">
          <a:avLst/>
        </a:prstGeom>
        <a:gradFill rotWithShape="0">
          <a:gsLst>
            <a:gs pos="0">
              <a:srgbClr val="1FB714"/>
            </a:gs>
            <a:gs pos="50000">
              <a:srgbClr val="CCFFCC"/>
            </a:gs>
            <a:gs pos="100000">
              <a:srgbClr val="1FB714"/>
            </a:gs>
          </a:gsLst>
          <a:lin ang="8100000" scaled="1"/>
        </a:gradFill>
        <a:ln w="9525">
          <a:noFill/>
          <a:miter lim="800000"/>
          <a:headEnd/>
          <a:tailEnd/>
        </a:ln>
        <a:effectLst>
          <a:outerShdw dist="17819" dir="2700000" algn="ctr" rotWithShape="0">
            <a:srgbClr val="5B7900">
              <a:alpha val="74997"/>
            </a:srgbClr>
          </a:outerShdw>
        </a:effectLst>
      </xdr:spPr>
      <xdr:txBody>
        <a:bodyPr vertOverflow="clip" wrap="square" lIns="20160" tIns="20160" rIns="20160" bIns="20160" anchor="ctr" upright="1"/>
        <a:lstStyle/>
        <a:p>
          <a:pPr algn="ctr" rtl="0">
            <a:defRPr sz="1000"/>
          </a:pPr>
          <a:r>
            <a:rPr lang="fr-FR" sz="2000" b="1" i="0" u="none" strike="noStrike" baseline="0">
              <a:solidFill>
                <a:srgbClr val="000000"/>
              </a:solidFill>
              <a:latin typeface="Arial"/>
              <a:cs typeface="Arial"/>
            </a:rPr>
            <a:t>BILAN  PREVISIONNEL ORGES</a:t>
          </a:r>
        </a:p>
      </xdr:txBody>
    </xdr:sp>
    <xdr:clientData/>
  </xdr:twoCellAnchor>
  <xdr:twoCellAnchor>
    <xdr:from>
      <xdr:col>1</xdr:col>
      <xdr:colOff>0</xdr:colOff>
      <xdr:row>1</xdr:row>
      <xdr:rowOff>0</xdr:rowOff>
    </xdr:from>
    <xdr:to>
      <xdr:col>2</xdr:col>
      <xdr:colOff>0</xdr:colOff>
      <xdr:row>1</xdr:row>
      <xdr:rowOff>0</xdr:rowOff>
    </xdr:to>
    <xdr:sp macro="" textlink="" fLocksText="0">
      <xdr:nvSpPr>
        <xdr:cNvPr id="5" name="Texte 2">
          <a:extLst>
            <a:ext uri="{FF2B5EF4-FFF2-40B4-BE49-F238E27FC236}">
              <a16:creationId xmlns:a16="http://schemas.microsoft.com/office/drawing/2014/main" id="{D82016AC-B754-4BBA-B4B4-16B270C21A8F}"/>
            </a:ext>
          </a:extLst>
        </xdr:cNvPr>
        <xdr:cNvSpPr>
          <a:spLocks noChangeArrowheads="1"/>
        </xdr:cNvSpPr>
      </xdr:nvSpPr>
      <xdr:spPr bwMode="auto">
        <a:xfrm>
          <a:off x="4629150" y="1114425"/>
          <a:ext cx="819150" cy="0"/>
        </a:xfrm>
        <a:prstGeom prst="rect">
          <a:avLst/>
        </a:prstGeom>
        <a:gradFill rotWithShape="0">
          <a:gsLst>
            <a:gs pos="0">
              <a:srgbClr val="1FB714"/>
            </a:gs>
            <a:gs pos="50000">
              <a:srgbClr val="CCFFCC"/>
            </a:gs>
            <a:gs pos="100000">
              <a:srgbClr val="1FB714"/>
            </a:gs>
          </a:gsLst>
          <a:lin ang="8100000" scaled="1"/>
        </a:gradFill>
        <a:ln w="9525">
          <a:noFill/>
          <a:miter lim="800000"/>
          <a:headEnd/>
          <a:tailEnd/>
        </a:ln>
        <a:effectLst>
          <a:outerShdw dist="17819" dir="2700000" algn="ctr" rotWithShape="0">
            <a:srgbClr val="5B7900">
              <a:alpha val="74997"/>
            </a:srgbClr>
          </a:outerShdw>
        </a:effectLst>
      </xdr:spPr>
      <xdr:txBody>
        <a:bodyPr vertOverflow="clip" wrap="square" lIns="20160" tIns="20160" rIns="20160" bIns="20160" anchor="ctr" upright="1"/>
        <a:lstStyle/>
        <a:p>
          <a:pPr algn="ctr" rtl="0">
            <a:defRPr sz="1000"/>
          </a:pPr>
          <a:r>
            <a:rPr lang="fr-FR" sz="2000" b="1" i="0" u="none" strike="noStrike" baseline="0">
              <a:solidFill>
                <a:srgbClr val="000000"/>
              </a:solidFill>
              <a:latin typeface="Arial"/>
              <a:cs typeface="Arial"/>
            </a:rPr>
            <a:t>BILAN  PREVISIONNEL ORGES</a:t>
          </a:r>
        </a:p>
      </xdr:txBody>
    </xdr:sp>
    <xdr:clientData/>
  </xdr:twoCellAnchor>
  <xdr:twoCellAnchor>
    <xdr:from>
      <xdr:col>1</xdr:col>
      <xdr:colOff>0</xdr:colOff>
      <xdr:row>1</xdr:row>
      <xdr:rowOff>0</xdr:rowOff>
    </xdr:from>
    <xdr:to>
      <xdr:col>2</xdr:col>
      <xdr:colOff>0</xdr:colOff>
      <xdr:row>1</xdr:row>
      <xdr:rowOff>0</xdr:rowOff>
    </xdr:to>
    <xdr:sp macro="" textlink="" fLocksText="0">
      <xdr:nvSpPr>
        <xdr:cNvPr id="6" name="Texte 2">
          <a:extLst>
            <a:ext uri="{FF2B5EF4-FFF2-40B4-BE49-F238E27FC236}">
              <a16:creationId xmlns:a16="http://schemas.microsoft.com/office/drawing/2014/main" id="{5E3B5C8E-F6F7-4CD2-9E19-E23B8E73E6E6}"/>
            </a:ext>
          </a:extLst>
        </xdr:cNvPr>
        <xdr:cNvSpPr>
          <a:spLocks noChangeArrowheads="1"/>
        </xdr:cNvSpPr>
      </xdr:nvSpPr>
      <xdr:spPr bwMode="auto">
        <a:xfrm>
          <a:off x="4629150" y="1114425"/>
          <a:ext cx="819150" cy="0"/>
        </a:xfrm>
        <a:prstGeom prst="rect">
          <a:avLst/>
        </a:prstGeom>
        <a:gradFill rotWithShape="0">
          <a:gsLst>
            <a:gs pos="0">
              <a:srgbClr val="1FB714"/>
            </a:gs>
            <a:gs pos="50000">
              <a:srgbClr val="CCFFCC"/>
            </a:gs>
            <a:gs pos="100000">
              <a:srgbClr val="1FB714"/>
            </a:gs>
          </a:gsLst>
          <a:lin ang="8100000" scaled="1"/>
        </a:gradFill>
        <a:ln w="9525">
          <a:noFill/>
          <a:miter lim="800000"/>
          <a:headEnd/>
          <a:tailEnd/>
        </a:ln>
        <a:effectLst>
          <a:outerShdw dist="17819" dir="2700000" algn="ctr" rotWithShape="0">
            <a:srgbClr val="5B7900">
              <a:alpha val="74997"/>
            </a:srgbClr>
          </a:outerShdw>
        </a:effectLst>
      </xdr:spPr>
      <xdr:txBody>
        <a:bodyPr vertOverflow="clip" wrap="square" lIns="20160" tIns="20160" rIns="20160" bIns="20160" anchor="ctr" upright="1"/>
        <a:lstStyle/>
        <a:p>
          <a:pPr algn="ctr" rtl="0">
            <a:defRPr sz="1000"/>
          </a:pPr>
          <a:r>
            <a:rPr lang="fr-FR" sz="2000" b="1" i="0" u="none" strike="noStrike" baseline="0">
              <a:solidFill>
                <a:srgbClr val="000000"/>
              </a:solidFill>
              <a:latin typeface="Arial"/>
              <a:cs typeface="Arial"/>
            </a:rPr>
            <a:t>BILAN  PREVISIONNEL ORGES</a:t>
          </a:r>
        </a:p>
      </xdr:txBody>
    </xdr:sp>
    <xdr:clientData/>
  </xdr:twoCellAnchor>
  <xdr:twoCellAnchor>
    <xdr:from>
      <xdr:col>1</xdr:col>
      <xdr:colOff>0</xdr:colOff>
      <xdr:row>1</xdr:row>
      <xdr:rowOff>0</xdr:rowOff>
    </xdr:from>
    <xdr:to>
      <xdr:col>2</xdr:col>
      <xdr:colOff>0</xdr:colOff>
      <xdr:row>1</xdr:row>
      <xdr:rowOff>0</xdr:rowOff>
    </xdr:to>
    <xdr:sp macro="" textlink="" fLocksText="0">
      <xdr:nvSpPr>
        <xdr:cNvPr id="7" name="Texte 2">
          <a:extLst>
            <a:ext uri="{FF2B5EF4-FFF2-40B4-BE49-F238E27FC236}">
              <a16:creationId xmlns:a16="http://schemas.microsoft.com/office/drawing/2014/main" id="{DCF45FA5-16C4-41E2-AA28-62136896351D}"/>
            </a:ext>
          </a:extLst>
        </xdr:cNvPr>
        <xdr:cNvSpPr>
          <a:spLocks noChangeArrowheads="1"/>
        </xdr:cNvSpPr>
      </xdr:nvSpPr>
      <xdr:spPr bwMode="auto">
        <a:xfrm>
          <a:off x="4629150" y="1114425"/>
          <a:ext cx="819150" cy="0"/>
        </a:xfrm>
        <a:prstGeom prst="rect">
          <a:avLst/>
        </a:prstGeom>
        <a:gradFill rotWithShape="0">
          <a:gsLst>
            <a:gs pos="0">
              <a:srgbClr val="1FB714"/>
            </a:gs>
            <a:gs pos="50000">
              <a:srgbClr val="CCFFCC"/>
            </a:gs>
            <a:gs pos="100000">
              <a:srgbClr val="1FB714"/>
            </a:gs>
          </a:gsLst>
          <a:lin ang="8100000" scaled="1"/>
        </a:gradFill>
        <a:ln w="9525">
          <a:noFill/>
          <a:miter lim="800000"/>
          <a:headEnd/>
          <a:tailEnd/>
        </a:ln>
        <a:effectLst>
          <a:outerShdw dist="17819" dir="2700000" algn="ctr" rotWithShape="0">
            <a:srgbClr val="5B7900">
              <a:alpha val="74997"/>
            </a:srgbClr>
          </a:outerShdw>
        </a:effectLst>
      </xdr:spPr>
      <xdr:txBody>
        <a:bodyPr vertOverflow="clip" wrap="square" lIns="20160" tIns="20160" rIns="20160" bIns="20160" anchor="ctr" upright="1"/>
        <a:lstStyle/>
        <a:p>
          <a:pPr algn="ctr" rtl="0">
            <a:defRPr sz="1000"/>
          </a:pPr>
          <a:r>
            <a:rPr lang="fr-FR" sz="2000" b="1" i="0" u="none" strike="noStrike" baseline="0">
              <a:solidFill>
                <a:srgbClr val="000000"/>
              </a:solidFill>
              <a:latin typeface="Arial"/>
              <a:cs typeface="Arial"/>
            </a:rPr>
            <a:t>BILAN  PREVISIONNEL ORGES</a:t>
          </a:r>
        </a:p>
      </xdr:txBody>
    </xdr:sp>
    <xdr:clientData/>
  </xdr:twoCellAnchor>
  <xdr:twoCellAnchor editAs="oneCell">
    <xdr:from>
      <xdr:col>0</xdr:col>
      <xdr:colOff>449035</xdr:colOff>
      <xdr:row>0</xdr:row>
      <xdr:rowOff>40821</xdr:rowOff>
    </xdr:from>
    <xdr:to>
      <xdr:col>0</xdr:col>
      <xdr:colOff>4152083</xdr:colOff>
      <xdr:row>0</xdr:row>
      <xdr:rowOff>1101674</xdr:rowOff>
    </xdr:to>
    <xdr:pic>
      <xdr:nvPicPr>
        <xdr:cNvPr id="8" name="Image 7" descr="http://portail-intranet.franceagrimer.fr/OutilsCommunication/B+F%20NOIR%20INT.png">
          <a:extLst>
            <a:ext uri="{FF2B5EF4-FFF2-40B4-BE49-F238E27FC236}">
              <a16:creationId xmlns:a16="http://schemas.microsoft.com/office/drawing/2014/main" id="{EC8FA4CB-5CF7-49AC-B56E-B5D2435EF3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130" y="40821"/>
          <a:ext cx="3703048" cy="1060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489857</xdr:colOff>
      <xdr:row>0</xdr:row>
      <xdr:rowOff>0</xdr:rowOff>
    </xdr:from>
    <xdr:to>
      <xdr:col>0</xdr:col>
      <xdr:colOff>4192905</xdr:colOff>
      <xdr:row>0</xdr:row>
      <xdr:rowOff>1047518</xdr:rowOff>
    </xdr:to>
    <xdr:pic>
      <xdr:nvPicPr>
        <xdr:cNvPr id="2" name="Image 1" descr="http://portail-intranet.franceagrimer.fr/OutilsCommunication/B+F%20NOIR%20INT.png">
          <a:extLst>
            <a:ext uri="{FF2B5EF4-FFF2-40B4-BE49-F238E27FC236}">
              <a16:creationId xmlns:a16="http://schemas.microsoft.com/office/drawing/2014/main" id="{6FE8241D-E5E7-4A3B-8720-1D2F99CC1B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952" y="0"/>
          <a:ext cx="3703048"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54428</xdr:colOff>
      <xdr:row>0</xdr:row>
      <xdr:rowOff>0</xdr:rowOff>
    </xdr:from>
    <xdr:to>
      <xdr:col>0</xdr:col>
      <xdr:colOff>3755571</xdr:colOff>
      <xdr:row>0</xdr:row>
      <xdr:rowOff>1047518</xdr:rowOff>
    </xdr:to>
    <xdr:pic>
      <xdr:nvPicPr>
        <xdr:cNvPr id="2" name="Image 1" descr="http://portail-intranet.franceagrimer.fr/OutilsCommunication/B+F%20NOIR%20INT.png">
          <a:extLst>
            <a:ext uri="{FF2B5EF4-FFF2-40B4-BE49-F238E27FC236}">
              <a16:creationId xmlns:a16="http://schemas.microsoft.com/office/drawing/2014/main" id="{B06ECAE8-569F-4D9B-A2D1-379B21E37A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38" y="0"/>
          <a:ext cx="3693523"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0</xdr:col>
      <xdr:colOff>3755571</xdr:colOff>
      <xdr:row>0</xdr:row>
      <xdr:rowOff>1126984</xdr:rowOff>
    </xdr:to>
    <xdr:pic>
      <xdr:nvPicPr>
        <xdr:cNvPr id="2" name="Image 1" descr="http://portail-intranet.franceagrimer.fr/OutilsCommunication/B+F%20NOIR%20INT.png">
          <a:extLst>
            <a:ext uri="{FF2B5EF4-FFF2-40B4-BE49-F238E27FC236}">
              <a16:creationId xmlns:a16="http://schemas.microsoft.com/office/drawing/2014/main" id="{A9C48C98-E14A-4432-8887-D18EBA5585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38" y="66131"/>
          <a:ext cx="3693523"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68036</xdr:colOff>
      <xdr:row>0</xdr:row>
      <xdr:rowOff>13607</xdr:rowOff>
    </xdr:from>
    <xdr:to>
      <xdr:col>0</xdr:col>
      <xdr:colOff>3771084</xdr:colOff>
      <xdr:row>0</xdr:row>
      <xdr:rowOff>1085890</xdr:rowOff>
    </xdr:to>
    <xdr:pic>
      <xdr:nvPicPr>
        <xdr:cNvPr id="2" name="Image 1" descr="http://portail-intranet.franceagrimer.fr/OutilsCommunication/B+F%20NOIR%20INT.png">
          <a:extLst>
            <a:ext uri="{FF2B5EF4-FFF2-40B4-BE49-F238E27FC236}">
              <a16:creationId xmlns:a16="http://schemas.microsoft.com/office/drawing/2014/main" id="{86BCB052-316D-4392-B178-3792A2C7CD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31" y="17417"/>
          <a:ext cx="3703048"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258535</xdr:colOff>
      <xdr:row>0</xdr:row>
      <xdr:rowOff>0</xdr:rowOff>
    </xdr:from>
    <xdr:to>
      <xdr:col>0</xdr:col>
      <xdr:colOff>3961583</xdr:colOff>
      <xdr:row>0</xdr:row>
      <xdr:rowOff>1051328</xdr:rowOff>
    </xdr:to>
    <xdr:pic>
      <xdr:nvPicPr>
        <xdr:cNvPr id="2" name="Image 1" descr="http://portail-intranet.franceagrimer.fr/OutilsCommunication/B+F%20NOIR%20INT.png">
          <a:extLst>
            <a:ext uri="{FF2B5EF4-FFF2-40B4-BE49-F238E27FC236}">
              <a16:creationId xmlns:a16="http://schemas.microsoft.com/office/drawing/2014/main" id="{F8C88346-7A78-44C7-B311-50B4E06CA0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6630" y="0"/>
          <a:ext cx="3703048"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0</xdr:col>
      <xdr:colOff>3751761</xdr:colOff>
      <xdr:row>0</xdr:row>
      <xdr:rowOff>1123174</xdr:rowOff>
    </xdr:to>
    <xdr:pic>
      <xdr:nvPicPr>
        <xdr:cNvPr id="2" name="Image 1" descr="http://portail-intranet.franceagrimer.fr/OutilsCommunication/B+F%20NOIR%20INT.png">
          <a:extLst>
            <a:ext uri="{FF2B5EF4-FFF2-40B4-BE49-F238E27FC236}">
              <a16:creationId xmlns:a16="http://schemas.microsoft.com/office/drawing/2014/main" id="{9B2D5DBF-857D-4852-A1EB-98344163B2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38" y="66131"/>
          <a:ext cx="3693523" cy="105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33780/Downloads/pack-de-fonctions-xlp/Version%20pour%20EXCEL%202007%20&#224;%202019/Pack%20de%20fonctions%20XLP.xlam" TargetMode="External"/><Relationship Id="rId2" Type="http://schemas.openxmlformats.org/officeDocument/2006/relationships/externalLinkPath" Target="file:///C:\Users\33780\Downloads\pack-de-fonctions-xlp\Version%20pour%20EXCEL%202007%20&#224;%202019\Pack%20de%20fonctions%20XLP.xlam" TargetMode="External"/><Relationship Id="rId1" Type="http://schemas.openxmlformats.org/officeDocument/2006/relationships/externalLinkPath" Target="/Users/33780/Downloads/pack-de-fonctions-xlp/Version%20pour%20EXCEL%202007%20&#224;%202019/Pack%20de%20fonctions%20XLP.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euille_vide"/>
    </sheetNames>
    <definedNames>
      <definedName name="NOM_FEUILLE"/>
    </defined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ABAF148-E7ED-42AE-8691-CD8F3F3D6E78}" name="Table34" displayName="Table34" ref="A6:AR906" totalsRowShown="0">
  <autoFilter ref="A6:AR906" xr:uid="{00000000-0009-0000-0100-000003000000}">
    <filterColumn colId="0">
      <filters>
        <filter val="97 - DOM"/>
        <filter val="FRANCE MÉTROPOLITAINE"/>
      </filters>
    </filterColumn>
    <filterColumn colId="1">
      <filters>
        <filter val="01 - Blé tendre d'hiver et épeautre"/>
        <filter val="02 - Blé tendre de printemps"/>
        <filter val="03 - Total blé tendre (01 + 02)"/>
        <filter val="04 - Blé dur d'hiver"/>
        <filter val="05 - Blé dur de printemps"/>
        <filter val="06 - Total blé dur (04 + 05)"/>
        <filter val="07 - Seigle et méteil"/>
        <filter val="08 - Orge d'hiver et escourgeon"/>
        <filter val="09 - Orge de printemps"/>
        <filter val="10 - Total orge et escourgeon (08 + 09)"/>
        <filter val="11 - Avoine d'hiver"/>
        <filter val="12 - Avoine de printemps"/>
        <filter val="13 - Total avoine (11 + 12)"/>
        <filter val="14 - Maïs grain irrigué"/>
        <filter val="15 - Maïs grain non irrigué"/>
        <filter val="17 - Maïs semence"/>
        <filter val="18 - Total maïs grain et maïs semence (16 + 17 )"/>
        <filter val="19 - Sorgho grain"/>
        <filter val="20 - Triticale"/>
        <filter val="21 - Autres céréales non mélangées"/>
        <filter val="22 - Mélanges de céréales, hors méteil"/>
        <filter val="23 - Total céréales (sauf riz) (03 + 06 + 07 + 10 + 13 + 18 + ... + 22)"/>
        <filter val="24 - Riz indica"/>
        <filter val="25 - Autres riz (Japonica)"/>
        <filter val="26 - Total riz (24 + 25)"/>
        <filter val="27 - Total toutes céréales (23 + 26)"/>
      </filters>
    </filterColumn>
  </autoFilter>
  <tableColumns count="44">
    <tableColumn id="1" xr3:uid="{92F49010-D46B-499E-9CA9-F1A7C256D843}" name="LIB_REG2"/>
    <tableColumn id="2" xr3:uid="{BD7637E3-ABE9-403D-B3B5-042AC58D5656}" name="LIB_SAA"/>
    <tableColumn id="3" xr3:uid="{D865F4D4-6558-4FEC-8C3B-D44A19BFF4A2}" name="SURF_2010"/>
    <tableColumn id="4" xr3:uid="{A20509E1-2AD2-40B3-BBA9-49AF5354E5D7}" name="SURF_2011"/>
    <tableColumn id="5" xr3:uid="{8C5C103E-864F-4550-846C-879F7DC3812E}" name="SURF_2012"/>
    <tableColumn id="6" xr3:uid="{9667C1AA-35E2-43E0-BC41-4122CCD4D73A}" name="SURF_2013"/>
    <tableColumn id="7" xr3:uid="{B2989E30-1009-40EB-BBC4-20105BD46F80}" name="SURF_2014"/>
    <tableColumn id="8" xr3:uid="{4F20A8C1-2D71-4545-AD41-CE713B64F692}" name="SURF_2015"/>
    <tableColumn id="9" xr3:uid="{AF46A1FE-E330-4C2A-BEEA-BD84CEC338CB}" name="SURF_2016"/>
    <tableColumn id="10" xr3:uid="{2E613964-28C3-4A1A-BF78-4CBDA0A4CA18}" name="SURF_2017"/>
    <tableColumn id="11" xr3:uid="{FD8C755B-7F56-4563-BFF1-C2405E377F7C}" name="SURF_2018"/>
    <tableColumn id="12" xr3:uid="{8352DD40-614A-42B5-992D-D75844956400}" name="SURF_2019"/>
    <tableColumn id="13" xr3:uid="{0E04AB9E-E096-4134-B769-7C4F7C2FD583}" name="SURF_2020"/>
    <tableColumn id="14" xr3:uid="{8589A5E9-2FD2-49EE-8794-AA53A80250CB}" name="SURF_2021"/>
    <tableColumn id="15" xr3:uid="{A08B457A-DC94-412C-A10E-FFB5861A8C4B}" name="SURF_2022"/>
    <tableColumn id="16" xr3:uid="{1E3F748C-523D-4D11-A5F9-26EECE10228C}" name="SURF_2023"/>
    <tableColumn id="17" xr3:uid="{52F640D0-B705-418D-8321-12A683429A95}" name="REND_2010"/>
    <tableColumn id="18" xr3:uid="{19D9C261-9C67-440E-A186-401D3AF330D1}" name="REND_2011"/>
    <tableColumn id="19" xr3:uid="{E0CC3D85-45FB-4AD7-8402-340CC37CCF09}" name="REND_2012"/>
    <tableColumn id="20" xr3:uid="{9D03AC16-9AD5-42E6-BE79-45F56BF83E7F}" name="REND_2013"/>
    <tableColumn id="21" xr3:uid="{6666B011-9DA1-4D1A-A53F-325BB73D89CE}" name="REND_2014"/>
    <tableColumn id="22" xr3:uid="{35005C32-F02B-4562-8E71-29E8A3908AE1}" name="REND_2015"/>
    <tableColumn id="23" xr3:uid="{D051E238-2198-4414-9137-EBF2F7854604}" name="REND_2016"/>
    <tableColumn id="24" xr3:uid="{3973985D-C899-4C23-A18D-4D656024F8F7}" name="REND_2017"/>
    <tableColumn id="25" xr3:uid="{E6EE7150-63AB-4A36-9FE8-2499644A3241}" name="REND_2018"/>
    <tableColumn id="26" xr3:uid="{E9F2756E-0B28-4965-B6FD-AD99901F33BF}" name="REND_2019"/>
    <tableColumn id="27" xr3:uid="{8BC69D47-9D7A-40D6-BDCB-736C4CB45FD7}" name="REND_2020"/>
    <tableColumn id="28" xr3:uid="{B94F9436-FFDC-4A58-BC52-473B39AE27C4}" name="REND_2021"/>
    <tableColumn id="29" xr3:uid="{3AC8D86F-C883-4A15-AB1F-97A175710ABB}" name="REND_2022"/>
    <tableColumn id="30" xr3:uid="{98AA0335-CCFC-4112-B1C0-D975496FC9A4}" name="REND_2023"/>
    <tableColumn id="31" xr3:uid="{0BA17668-5B6B-43C7-8F77-D61A2148A631}" name="PROD_2010"/>
    <tableColumn id="32" xr3:uid="{634408F4-288C-4C96-A83E-A79EFA32AA2C}" name="PROD_2011"/>
    <tableColumn id="33" xr3:uid="{D68A5639-C166-49A1-BAF6-716536F5D5C2}" name="PROD_2012"/>
    <tableColumn id="34" xr3:uid="{1834C87B-8D12-49EB-B758-CCD45D8A0D17}" name="PROD_2013"/>
    <tableColumn id="35" xr3:uid="{7AF697BB-A255-4563-B8B4-640681502F10}" name="PROD_2014"/>
    <tableColumn id="36" xr3:uid="{7BAC5A75-67FF-412D-83E5-D4D9B4DA1582}" name="PROD_2015"/>
    <tableColumn id="37" xr3:uid="{CDB2B3B8-6D16-45B0-B6BE-F91D3DB57E3D}" name="PROD_2016"/>
    <tableColumn id="38" xr3:uid="{47089775-76F1-49A2-8D86-4504E792B45E}" name="PROD_2017"/>
    <tableColumn id="39" xr3:uid="{67D5BAA7-D059-43FC-A757-9C28D147D351}" name="PROD_2018"/>
    <tableColumn id="40" xr3:uid="{7DB2547C-0AEB-4D35-860C-EC0C396446D0}" name="PROD_2019"/>
    <tableColumn id="41" xr3:uid="{A1DAC4C4-16FA-4121-91AA-87E51E4A4C64}" name="PROD_2020"/>
    <tableColumn id="42" xr3:uid="{DE8D8D62-8332-4458-883F-F2D81B46BD9E}" name="PROD_2021"/>
    <tableColumn id="43" xr3:uid="{C3A9872D-83A2-4227-ABE3-962DEF5BE56B}" name="PROD_2022"/>
    <tableColumn id="44" xr3:uid="{229C0D59-E25C-40B0-89F0-77B353F0D278}" name="PROD_2023"/>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9.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6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66.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69.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brasseurs-de-france.com/a-la-une/2025/02/05/bilan-2024-la-brasserie-sous-pression/" TargetMode="Externa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79.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2.bin"/><Relationship Id="rId1" Type="http://schemas.openxmlformats.org/officeDocument/2006/relationships/hyperlink" Target="https://www.leriz.fr/la-filiere/le-raffinage-du-riz/" TargetMode="External"/></Relationships>
</file>

<file path=xl/worksheets/_rels/sheet8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3DF-0771-497E-910E-6EB25E8ED4D7}">
  <sheetPr>
    <tabColor rgb="FFD7D200"/>
  </sheetPr>
  <dimension ref="A1:AMH14"/>
  <sheetViews>
    <sheetView workbookViewId="0">
      <selection activeCell="B13" sqref="B13"/>
    </sheetView>
  </sheetViews>
  <sheetFormatPr baseColWidth="10" defaultColWidth="11.44140625" defaultRowHeight="14.4"/>
  <cols>
    <col min="1" max="1" width="21.33203125" style="648" customWidth="1"/>
    <col min="2" max="16384" width="11.44140625" style="648"/>
  </cols>
  <sheetData>
    <row r="1" spans="1:1022" s="644" customFormat="1" ht="16.2" customHeight="1">
      <c r="A1" s="643" t="s">
        <v>1822</v>
      </c>
    </row>
    <row r="2" spans="1:1022" ht="15.6">
      <c r="A2" s="645"/>
      <c r="B2" s="646"/>
      <c r="C2" s="646"/>
      <c r="D2" s="646"/>
      <c r="E2" s="646"/>
      <c r="F2" s="646"/>
      <c r="G2" s="646"/>
      <c r="H2" s="647"/>
      <c r="I2" s="646"/>
      <c r="J2" s="646"/>
      <c r="K2" s="646"/>
      <c r="L2" s="646"/>
      <c r="M2" s="646"/>
      <c r="N2" s="647"/>
      <c r="O2" s="647"/>
      <c r="P2" s="647"/>
      <c r="Q2" s="647"/>
      <c r="R2" s="647"/>
      <c r="S2" s="647"/>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6"/>
      <c r="FC2" s="646"/>
      <c r="FD2" s="646"/>
      <c r="FE2" s="646"/>
      <c r="FF2" s="646"/>
      <c r="FG2" s="646"/>
      <c r="FH2" s="646"/>
      <c r="FI2" s="646"/>
      <c r="FJ2" s="646"/>
      <c r="FK2" s="646"/>
      <c r="FL2" s="646"/>
      <c r="FM2" s="646"/>
      <c r="FN2" s="646"/>
      <c r="FO2" s="646"/>
      <c r="FP2" s="646"/>
      <c r="FQ2" s="646"/>
      <c r="FR2" s="646"/>
      <c r="FS2" s="646"/>
      <c r="FT2" s="646"/>
      <c r="FU2" s="646"/>
      <c r="FV2" s="646"/>
      <c r="FW2" s="646"/>
      <c r="FX2" s="646"/>
      <c r="FY2" s="646"/>
      <c r="FZ2" s="646"/>
      <c r="GA2" s="646"/>
      <c r="GB2" s="646"/>
      <c r="GC2" s="646"/>
      <c r="GD2" s="646"/>
      <c r="GE2" s="646"/>
      <c r="GF2" s="646"/>
      <c r="GG2" s="646"/>
      <c r="GH2" s="646"/>
      <c r="GI2" s="646"/>
      <c r="GJ2" s="646"/>
      <c r="GK2" s="646"/>
      <c r="GL2" s="646"/>
      <c r="GM2" s="646"/>
      <c r="GN2" s="646"/>
      <c r="GO2" s="646"/>
      <c r="GP2" s="646"/>
      <c r="GQ2" s="646"/>
      <c r="GR2" s="646"/>
      <c r="GS2" s="646"/>
      <c r="GT2" s="646"/>
      <c r="GU2" s="646"/>
      <c r="GV2" s="646"/>
      <c r="GW2" s="646"/>
      <c r="GX2" s="646"/>
      <c r="GY2" s="646"/>
      <c r="GZ2" s="646"/>
      <c r="HA2" s="646"/>
      <c r="HB2" s="646"/>
      <c r="HC2" s="646"/>
      <c r="HD2" s="646"/>
      <c r="HE2" s="646"/>
      <c r="HF2" s="646"/>
      <c r="HG2" s="646"/>
      <c r="HH2" s="646"/>
      <c r="HI2" s="646"/>
      <c r="HJ2" s="646"/>
      <c r="HK2" s="646"/>
      <c r="HL2" s="646"/>
      <c r="HM2" s="646"/>
      <c r="HN2" s="646"/>
      <c r="HO2" s="646"/>
      <c r="HP2" s="646"/>
      <c r="HQ2" s="646"/>
      <c r="HR2" s="646"/>
      <c r="HS2" s="646"/>
      <c r="HT2" s="646"/>
      <c r="HU2" s="646"/>
      <c r="HV2" s="646"/>
      <c r="HW2" s="646"/>
      <c r="HX2" s="646"/>
      <c r="HY2" s="646"/>
      <c r="HZ2" s="646"/>
      <c r="IA2" s="646"/>
      <c r="IB2" s="646"/>
      <c r="IC2" s="646"/>
      <c r="ID2" s="646"/>
      <c r="IE2" s="646"/>
      <c r="IF2" s="646"/>
      <c r="IG2" s="646"/>
      <c r="IH2" s="646"/>
      <c r="II2" s="646"/>
      <c r="IJ2" s="646"/>
      <c r="IK2" s="646"/>
      <c r="IL2" s="646"/>
      <c r="IM2" s="646"/>
      <c r="IN2" s="646"/>
      <c r="IO2" s="646"/>
      <c r="IP2" s="646"/>
      <c r="IQ2" s="646"/>
      <c r="IR2" s="646"/>
      <c r="IS2" s="646"/>
      <c r="IT2" s="646"/>
      <c r="IU2" s="646"/>
      <c r="IV2" s="646"/>
      <c r="IW2" s="646"/>
      <c r="IX2" s="646"/>
      <c r="IY2" s="646"/>
      <c r="IZ2" s="646"/>
      <c r="JA2" s="646"/>
      <c r="JB2" s="646"/>
      <c r="JC2" s="646"/>
      <c r="JD2" s="646"/>
      <c r="JE2" s="646"/>
      <c r="JF2" s="646"/>
      <c r="JG2" s="646"/>
      <c r="JH2" s="646"/>
      <c r="JI2" s="646"/>
      <c r="JJ2" s="646"/>
      <c r="JK2" s="646"/>
      <c r="JL2" s="646"/>
      <c r="JM2" s="646"/>
      <c r="JN2" s="646"/>
      <c r="JO2" s="646"/>
      <c r="JP2" s="646"/>
      <c r="JQ2" s="646"/>
      <c r="JR2" s="646"/>
      <c r="JS2" s="646"/>
      <c r="JT2" s="646"/>
      <c r="JU2" s="646"/>
      <c r="JV2" s="646"/>
      <c r="JW2" s="646"/>
      <c r="JX2" s="646"/>
      <c r="JY2" s="646"/>
      <c r="JZ2" s="646"/>
      <c r="KA2" s="646"/>
      <c r="KB2" s="646"/>
      <c r="KC2" s="646"/>
      <c r="KD2" s="646"/>
      <c r="KE2" s="646"/>
      <c r="KF2" s="646"/>
      <c r="KG2" s="646"/>
      <c r="KH2" s="646"/>
      <c r="KI2" s="646"/>
      <c r="KJ2" s="646"/>
      <c r="KK2" s="646"/>
      <c r="KL2" s="646"/>
      <c r="KM2" s="646"/>
      <c r="KN2" s="646"/>
      <c r="KO2" s="646"/>
      <c r="KP2" s="646"/>
      <c r="KQ2" s="646"/>
      <c r="KR2" s="646"/>
      <c r="KS2" s="646"/>
      <c r="KT2" s="646"/>
      <c r="KU2" s="646"/>
      <c r="KV2" s="646"/>
      <c r="KW2" s="646"/>
      <c r="KX2" s="646"/>
      <c r="KY2" s="646"/>
      <c r="KZ2" s="646"/>
      <c r="LA2" s="646"/>
      <c r="LB2" s="646"/>
      <c r="LC2" s="646"/>
      <c r="LD2" s="646"/>
      <c r="LE2" s="646"/>
      <c r="LF2" s="646"/>
      <c r="LG2" s="646"/>
      <c r="LH2" s="646"/>
      <c r="LI2" s="646"/>
      <c r="LJ2" s="646"/>
      <c r="LK2" s="646"/>
      <c r="LL2" s="646"/>
      <c r="LM2" s="646"/>
      <c r="LN2" s="646"/>
      <c r="LO2" s="646"/>
      <c r="LP2" s="646"/>
      <c r="LQ2" s="646"/>
      <c r="LR2" s="646"/>
      <c r="LS2" s="646"/>
      <c r="LT2" s="646"/>
      <c r="LU2" s="646"/>
      <c r="LV2" s="646"/>
      <c r="LW2" s="646"/>
      <c r="LX2" s="646"/>
      <c r="LY2" s="646"/>
      <c r="LZ2" s="646"/>
      <c r="MA2" s="646"/>
      <c r="MB2" s="646"/>
      <c r="MC2" s="646"/>
      <c r="MD2" s="646"/>
      <c r="ME2" s="646"/>
      <c r="MF2" s="646"/>
      <c r="MG2" s="646"/>
      <c r="MH2" s="646"/>
      <c r="MI2" s="646"/>
      <c r="MJ2" s="646"/>
      <c r="MK2" s="646"/>
      <c r="ML2" s="646"/>
      <c r="MM2" s="646"/>
      <c r="MN2" s="646"/>
      <c r="MO2" s="646"/>
      <c r="MP2" s="646"/>
      <c r="MQ2" s="646"/>
      <c r="MR2" s="646"/>
      <c r="MS2" s="646"/>
      <c r="MT2" s="646"/>
      <c r="MU2" s="646"/>
      <c r="MV2" s="646"/>
      <c r="MW2" s="646"/>
      <c r="MX2" s="646"/>
      <c r="MY2" s="646"/>
      <c r="MZ2" s="646"/>
      <c r="NA2" s="646"/>
      <c r="NB2" s="646"/>
      <c r="NC2" s="646"/>
      <c r="ND2" s="646"/>
      <c r="NE2" s="646"/>
      <c r="NF2" s="646"/>
      <c r="NG2" s="646"/>
      <c r="NH2" s="646"/>
      <c r="NI2" s="646"/>
      <c r="NJ2" s="646"/>
      <c r="NK2" s="646"/>
      <c r="NL2" s="646"/>
      <c r="NM2" s="646"/>
      <c r="NN2" s="646"/>
      <c r="NO2" s="646"/>
      <c r="NP2" s="646"/>
      <c r="NQ2" s="646"/>
      <c r="NR2" s="646"/>
      <c r="NS2" s="646"/>
      <c r="NT2" s="646"/>
      <c r="NU2" s="646"/>
      <c r="NV2" s="646"/>
      <c r="NW2" s="646"/>
      <c r="NX2" s="646"/>
      <c r="NY2" s="646"/>
      <c r="NZ2" s="646"/>
      <c r="OA2" s="646"/>
      <c r="OB2" s="646"/>
      <c r="OC2" s="646"/>
      <c r="OD2" s="646"/>
      <c r="OE2" s="646"/>
      <c r="OF2" s="646"/>
      <c r="OG2" s="646"/>
      <c r="OH2" s="646"/>
      <c r="OI2" s="646"/>
      <c r="OJ2" s="646"/>
      <c r="OK2" s="646"/>
      <c r="OL2" s="646"/>
      <c r="OM2" s="646"/>
      <c r="ON2" s="646"/>
      <c r="OO2" s="646"/>
      <c r="OP2" s="646"/>
      <c r="OQ2" s="646"/>
      <c r="OR2" s="646"/>
      <c r="OS2" s="646"/>
      <c r="OT2" s="646"/>
      <c r="OU2" s="646"/>
      <c r="OV2" s="646"/>
      <c r="OW2" s="646"/>
      <c r="OX2" s="646"/>
      <c r="OY2" s="646"/>
      <c r="OZ2" s="646"/>
      <c r="PA2" s="646"/>
      <c r="PB2" s="646"/>
      <c r="PC2" s="646"/>
      <c r="PD2" s="646"/>
      <c r="PE2" s="646"/>
      <c r="PF2" s="646"/>
      <c r="PG2" s="646"/>
      <c r="PH2" s="646"/>
      <c r="PI2" s="646"/>
      <c r="PJ2" s="646"/>
      <c r="PK2" s="646"/>
      <c r="PL2" s="646"/>
      <c r="PM2" s="646"/>
      <c r="PN2" s="646"/>
      <c r="PO2" s="646"/>
      <c r="PP2" s="646"/>
      <c r="PQ2" s="646"/>
      <c r="PR2" s="646"/>
      <c r="PS2" s="646"/>
      <c r="PT2" s="646"/>
      <c r="PU2" s="646"/>
      <c r="PV2" s="646"/>
      <c r="PW2" s="646"/>
      <c r="PX2" s="646"/>
      <c r="PY2" s="646"/>
      <c r="PZ2" s="646"/>
      <c r="QA2" s="646"/>
      <c r="QB2" s="646"/>
      <c r="QC2" s="646"/>
      <c r="QD2" s="646"/>
      <c r="QE2" s="646"/>
      <c r="QF2" s="646"/>
      <c r="QG2" s="646"/>
      <c r="QH2" s="646"/>
      <c r="QI2" s="646"/>
      <c r="QJ2" s="646"/>
      <c r="QK2" s="646"/>
      <c r="QL2" s="646"/>
      <c r="QM2" s="646"/>
      <c r="QN2" s="646"/>
      <c r="QO2" s="646"/>
      <c r="QP2" s="646"/>
      <c r="QQ2" s="646"/>
      <c r="QR2" s="646"/>
      <c r="QS2" s="646"/>
      <c r="QT2" s="646"/>
      <c r="QU2" s="646"/>
      <c r="QV2" s="646"/>
      <c r="QW2" s="646"/>
      <c r="QX2" s="646"/>
      <c r="QY2" s="646"/>
      <c r="QZ2" s="646"/>
      <c r="RA2" s="646"/>
      <c r="RB2" s="646"/>
      <c r="RC2" s="646"/>
      <c r="RD2" s="646"/>
      <c r="RE2" s="646"/>
      <c r="RF2" s="646"/>
      <c r="RG2" s="646"/>
      <c r="RH2" s="646"/>
      <c r="RI2" s="646"/>
      <c r="RJ2" s="646"/>
      <c r="RK2" s="646"/>
      <c r="RL2" s="646"/>
      <c r="RM2" s="646"/>
      <c r="RN2" s="646"/>
      <c r="RO2" s="646"/>
      <c r="RP2" s="646"/>
      <c r="RQ2" s="646"/>
      <c r="RR2" s="646"/>
      <c r="RS2" s="646"/>
      <c r="RT2" s="646"/>
      <c r="RU2" s="646"/>
      <c r="RV2" s="646"/>
      <c r="RW2" s="646"/>
      <c r="RX2" s="646"/>
      <c r="RY2" s="646"/>
      <c r="RZ2" s="646"/>
      <c r="SA2" s="646"/>
      <c r="SB2" s="646"/>
      <c r="SC2" s="646"/>
      <c r="SD2" s="646"/>
      <c r="SE2" s="646"/>
      <c r="SF2" s="646"/>
      <c r="SG2" s="646"/>
      <c r="SH2" s="646"/>
      <c r="SI2" s="646"/>
      <c r="SJ2" s="646"/>
      <c r="SK2" s="646"/>
      <c r="SL2" s="646"/>
      <c r="SM2" s="646"/>
      <c r="SN2" s="646"/>
      <c r="SO2" s="646"/>
      <c r="SP2" s="646"/>
      <c r="SQ2" s="646"/>
      <c r="SR2" s="646"/>
      <c r="SS2" s="646"/>
      <c r="ST2" s="646"/>
      <c r="SU2" s="646"/>
      <c r="SV2" s="646"/>
      <c r="SW2" s="646"/>
      <c r="SX2" s="646"/>
      <c r="SY2" s="646"/>
      <c r="SZ2" s="646"/>
      <c r="TA2" s="646"/>
      <c r="TB2" s="646"/>
      <c r="TC2" s="646"/>
      <c r="TD2" s="646"/>
      <c r="TE2" s="646"/>
      <c r="TF2" s="646"/>
      <c r="TG2" s="646"/>
      <c r="TH2" s="646"/>
      <c r="TI2" s="646"/>
      <c r="TJ2" s="646"/>
      <c r="TK2" s="646"/>
      <c r="TL2" s="646"/>
      <c r="TM2" s="646"/>
      <c r="TN2" s="646"/>
      <c r="TO2" s="646"/>
      <c r="TP2" s="646"/>
      <c r="TQ2" s="646"/>
      <c r="TR2" s="646"/>
      <c r="TS2" s="646"/>
      <c r="TT2" s="646"/>
      <c r="TU2" s="646"/>
      <c r="TV2" s="646"/>
      <c r="TW2" s="646"/>
      <c r="TX2" s="646"/>
      <c r="TY2" s="646"/>
      <c r="TZ2" s="646"/>
      <c r="UA2" s="646"/>
      <c r="UB2" s="646"/>
      <c r="UC2" s="646"/>
      <c r="UD2" s="646"/>
      <c r="UE2" s="646"/>
      <c r="UF2" s="646"/>
      <c r="UG2" s="646"/>
      <c r="UH2" s="646"/>
      <c r="UI2" s="646"/>
      <c r="UJ2" s="646"/>
      <c r="UK2" s="646"/>
      <c r="UL2" s="646"/>
      <c r="UM2" s="646"/>
      <c r="UN2" s="646"/>
      <c r="UO2" s="646"/>
      <c r="UP2" s="646"/>
      <c r="UQ2" s="646"/>
      <c r="UR2" s="646"/>
      <c r="US2" s="646"/>
      <c r="UT2" s="646"/>
      <c r="UU2" s="646"/>
      <c r="UV2" s="646"/>
      <c r="UW2" s="646"/>
      <c r="UX2" s="646"/>
      <c r="UY2" s="646"/>
      <c r="UZ2" s="646"/>
      <c r="VA2" s="646"/>
      <c r="VB2" s="646"/>
      <c r="VC2" s="646"/>
      <c r="VD2" s="646"/>
      <c r="VE2" s="646"/>
      <c r="VF2" s="646"/>
      <c r="VG2" s="646"/>
      <c r="VH2" s="646"/>
      <c r="VI2" s="646"/>
      <c r="VJ2" s="646"/>
      <c r="VK2" s="646"/>
      <c r="VL2" s="646"/>
      <c r="VM2" s="646"/>
      <c r="VN2" s="646"/>
      <c r="VO2" s="646"/>
      <c r="VP2" s="646"/>
      <c r="VQ2" s="646"/>
      <c r="VR2" s="646"/>
      <c r="VS2" s="646"/>
      <c r="VT2" s="646"/>
      <c r="VU2" s="646"/>
      <c r="VV2" s="646"/>
      <c r="VW2" s="646"/>
      <c r="VX2" s="646"/>
      <c r="VY2" s="646"/>
      <c r="VZ2" s="646"/>
      <c r="WA2" s="646"/>
      <c r="WB2" s="646"/>
      <c r="WC2" s="646"/>
      <c r="WD2" s="646"/>
      <c r="WE2" s="646"/>
      <c r="WF2" s="646"/>
      <c r="WG2" s="646"/>
      <c r="WH2" s="646"/>
      <c r="WI2" s="646"/>
      <c r="WJ2" s="646"/>
      <c r="WK2" s="646"/>
      <c r="WL2" s="646"/>
      <c r="WM2" s="646"/>
      <c r="WN2" s="646"/>
      <c r="WO2" s="646"/>
      <c r="WP2" s="646"/>
      <c r="WQ2" s="646"/>
      <c r="WR2" s="646"/>
      <c r="WS2" s="646"/>
      <c r="WT2" s="646"/>
      <c r="WU2" s="646"/>
      <c r="WV2" s="646"/>
      <c r="WW2" s="646"/>
      <c r="WX2" s="646"/>
      <c r="WY2" s="646"/>
      <c r="WZ2" s="646"/>
      <c r="XA2" s="646"/>
      <c r="XB2" s="646"/>
      <c r="XC2" s="646"/>
      <c r="XD2" s="646"/>
      <c r="XE2" s="646"/>
      <c r="XF2" s="646"/>
      <c r="XG2" s="646"/>
      <c r="XH2" s="646"/>
      <c r="XI2" s="646"/>
      <c r="XJ2" s="646"/>
      <c r="XK2" s="646"/>
      <c r="XL2" s="646"/>
      <c r="XM2" s="646"/>
      <c r="XN2" s="646"/>
      <c r="XO2" s="646"/>
      <c r="XP2" s="646"/>
      <c r="XQ2" s="646"/>
      <c r="XR2" s="646"/>
      <c r="XS2" s="646"/>
      <c r="XT2" s="646"/>
      <c r="XU2" s="646"/>
      <c r="XV2" s="646"/>
      <c r="XW2" s="646"/>
      <c r="XX2" s="646"/>
      <c r="XY2" s="646"/>
      <c r="XZ2" s="646"/>
      <c r="YA2" s="646"/>
      <c r="YB2" s="646"/>
      <c r="YC2" s="646"/>
      <c r="YD2" s="646"/>
      <c r="YE2" s="646"/>
      <c r="YF2" s="646"/>
      <c r="YG2" s="646"/>
      <c r="YH2" s="646"/>
      <c r="YI2" s="646"/>
      <c r="YJ2" s="646"/>
      <c r="YK2" s="646"/>
      <c r="YL2" s="646"/>
      <c r="YM2" s="646"/>
      <c r="YN2" s="646"/>
      <c r="YO2" s="646"/>
      <c r="YP2" s="646"/>
      <c r="YQ2" s="646"/>
      <c r="YR2" s="646"/>
      <c r="YS2" s="646"/>
      <c r="YT2" s="646"/>
      <c r="YU2" s="646"/>
      <c r="YV2" s="646"/>
      <c r="YW2" s="646"/>
      <c r="YX2" s="646"/>
      <c r="YY2" s="646"/>
      <c r="YZ2" s="646"/>
      <c r="ZA2" s="646"/>
      <c r="ZB2" s="646"/>
      <c r="ZC2" s="646"/>
      <c r="ZD2" s="646"/>
      <c r="ZE2" s="646"/>
      <c r="ZF2" s="646"/>
      <c r="ZG2" s="646"/>
      <c r="ZH2" s="646"/>
      <c r="ZI2" s="646"/>
      <c r="ZJ2" s="646"/>
      <c r="ZK2" s="646"/>
      <c r="ZL2" s="646"/>
      <c r="ZM2" s="646"/>
      <c r="ZN2" s="646"/>
      <c r="ZO2" s="646"/>
      <c r="ZP2" s="646"/>
      <c r="ZQ2" s="646"/>
      <c r="ZR2" s="646"/>
      <c r="ZS2" s="646"/>
      <c r="ZT2" s="646"/>
      <c r="ZU2" s="646"/>
      <c r="ZV2" s="646"/>
      <c r="ZW2" s="646"/>
      <c r="ZX2" s="646"/>
      <c r="ZY2" s="646"/>
      <c r="ZZ2" s="646"/>
      <c r="AAA2" s="646"/>
      <c r="AAB2" s="646"/>
      <c r="AAC2" s="646"/>
      <c r="AAD2" s="646"/>
      <c r="AAE2" s="646"/>
      <c r="AAF2" s="646"/>
      <c r="AAG2" s="646"/>
      <c r="AAH2" s="646"/>
      <c r="AAI2" s="646"/>
      <c r="AAJ2" s="646"/>
      <c r="AAK2" s="646"/>
      <c r="AAL2" s="646"/>
      <c r="AAM2" s="646"/>
      <c r="AAN2" s="646"/>
      <c r="AAO2" s="646"/>
      <c r="AAP2" s="646"/>
      <c r="AAQ2" s="646"/>
      <c r="AAR2" s="646"/>
      <c r="AAS2" s="646"/>
      <c r="AAT2" s="646"/>
      <c r="AAU2" s="646"/>
      <c r="AAV2" s="646"/>
      <c r="AAW2" s="646"/>
      <c r="AAX2" s="646"/>
      <c r="AAY2" s="646"/>
      <c r="AAZ2" s="646"/>
      <c r="ABA2" s="646"/>
      <c r="ABB2" s="646"/>
      <c r="ABC2" s="646"/>
      <c r="ABD2" s="646"/>
      <c r="ABE2" s="646"/>
      <c r="ABF2" s="646"/>
      <c r="ABG2" s="646"/>
      <c r="ABH2" s="646"/>
      <c r="ABI2" s="646"/>
      <c r="ABJ2" s="646"/>
      <c r="ABK2" s="646"/>
      <c r="ABL2" s="646"/>
      <c r="ABM2" s="646"/>
      <c r="ABN2" s="646"/>
      <c r="ABO2" s="646"/>
      <c r="ABP2" s="646"/>
      <c r="ABQ2" s="646"/>
      <c r="ABR2" s="646"/>
      <c r="ABS2" s="646"/>
      <c r="ABT2" s="646"/>
      <c r="ABU2" s="646"/>
      <c r="ABV2" s="646"/>
      <c r="ABW2" s="646"/>
      <c r="ABX2" s="646"/>
      <c r="ABY2" s="646"/>
      <c r="ABZ2" s="646"/>
      <c r="ACA2" s="646"/>
      <c r="ACB2" s="646"/>
      <c r="ACC2" s="646"/>
      <c r="ACD2" s="646"/>
      <c r="ACE2" s="646"/>
      <c r="ACF2" s="646"/>
      <c r="ACG2" s="646"/>
      <c r="ACH2" s="646"/>
      <c r="ACI2" s="646"/>
      <c r="ACJ2" s="646"/>
      <c r="ACK2" s="646"/>
      <c r="ACL2" s="646"/>
      <c r="ACM2" s="646"/>
      <c r="ACN2" s="646"/>
      <c r="ACO2" s="646"/>
      <c r="ACP2" s="646"/>
      <c r="ACQ2" s="646"/>
      <c r="ACR2" s="646"/>
      <c r="ACS2" s="646"/>
      <c r="ACT2" s="646"/>
      <c r="ACU2" s="646"/>
      <c r="ACV2" s="646"/>
      <c r="ACW2" s="646"/>
      <c r="ACX2" s="646"/>
      <c r="ACY2" s="646"/>
      <c r="ACZ2" s="646"/>
      <c r="ADA2" s="646"/>
      <c r="ADB2" s="646"/>
      <c r="ADC2" s="646"/>
      <c r="ADD2" s="646"/>
      <c r="ADE2" s="646"/>
      <c r="ADF2" s="646"/>
      <c r="ADG2" s="646"/>
      <c r="ADH2" s="646"/>
      <c r="ADI2" s="646"/>
      <c r="ADJ2" s="646"/>
      <c r="ADK2" s="646"/>
      <c r="ADL2" s="646"/>
      <c r="ADM2" s="646"/>
      <c r="ADN2" s="646"/>
      <c r="ADO2" s="646"/>
      <c r="ADP2" s="646"/>
      <c r="ADQ2" s="646"/>
      <c r="ADR2" s="646"/>
      <c r="ADS2" s="646"/>
      <c r="ADT2" s="646"/>
      <c r="ADU2" s="646"/>
      <c r="ADV2" s="646"/>
      <c r="ADW2" s="646"/>
      <c r="ADX2" s="646"/>
      <c r="ADY2" s="646"/>
      <c r="ADZ2" s="646"/>
      <c r="AEA2" s="646"/>
      <c r="AEB2" s="646"/>
      <c r="AEC2" s="646"/>
      <c r="AED2" s="646"/>
      <c r="AEE2" s="646"/>
      <c r="AEF2" s="646"/>
      <c r="AEG2" s="646"/>
      <c r="AEH2" s="646"/>
      <c r="AEI2" s="646"/>
      <c r="AEJ2" s="646"/>
      <c r="AEK2" s="646"/>
      <c r="AEL2" s="646"/>
      <c r="AEM2" s="646"/>
      <c r="AEN2" s="646"/>
      <c r="AEO2" s="646"/>
      <c r="AEP2" s="646"/>
      <c r="AEQ2" s="646"/>
      <c r="AER2" s="646"/>
      <c r="AES2" s="646"/>
      <c r="AET2" s="646"/>
      <c r="AEU2" s="646"/>
      <c r="AEV2" s="646"/>
      <c r="AEW2" s="646"/>
      <c r="AEX2" s="646"/>
      <c r="AEY2" s="646"/>
      <c r="AEZ2" s="646"/>
      <c r="AFA2" s="646"/>
      <c r="AFB2" s="646"/>
      <c r="AFC2" s="646"/>
      <c r="AFD2" s="646"/>
      <c r="AFE2" s="646"/>
      <c r="AFF2" s="646"/>
      <c r="AFG2" s="646"/>
      <c r="AFH2" s="646"/>
      <c r="AFI2" s="646"/>
      <c r="AFJ2" s="646"/>
      <c r="AFK2" s="646"/>
      <c r="AFL2" s="646"/>
      <c r="AFM2" s="646"/>
      <c r="AFN2" s="646"/>
      <c r="AFO2" s="646"/>
      <c r="AFP2" s="646"/>
      <c r="AFQ2" s="646"/>
      <c r="AFR2" s="646"/>
      <c r="AFS2" s="646"/>
      <c r="AFT2" s="646"/>
      <c r="AFU2" s="646"/>
      <c r="AFV2" s="646"/>
      <c r="AFW2" s="646"/>
      <c r="AFX2" s="646"/>
      <c r="AFY2" s="646"/>
      <c r="AFZ2" s="646"/>
      <c r="AGA2" s="646"/>
      <c r="AGB2" s="646"/>
      <c r="AGC2" s="646"/>
      <c r="AGD2" s="646"/>
      <c r="AGE2" s="646"/>
      <c r="AGF2" s="646"/>
      <c r="AGG2" s="646"/>
      <c r="AGH2" s="646"/>
      <c r="AGI2" s="646"/>
      <c r="AGJ2" s="646"/>
      <c r="AGK2" s="646"/>
      <c r="AGL2" s="646"/>
      <c r="AGM2" s="646"/>
      <c r="AGN2" s="646"/>
      <c r="AGO2" s="646"/>
      <c r="AGP2" s="646"/>
      <c r="AGQ2" s="646"/>
      <c r="AGR2" s="646"/>
      <c r="AGS2" s="646"/>
      <c r="AGT2" s="646"/>
      <c r="AGU2" s="646"/>
      <c r="AGV2" s="646"/>
      <c r="AGW2" s="646"/>
      <c r="AGX2" s="646"/>
      <c r="AGY2" s="646"/>
      <c r="AGZ2" s="646"/>
      <c r="AHA2" s="646"/>
      <c r="AHB2" s="646"/>
      <c r="AHC2" s="646"/>
      <c r="AHD2" s="646"/>
      <c r="AHE2" s="646"/>
      <c r="AHF2" s="646"/>
      <c r="AHG2" s="646"/>
      <c r="AHH2" s="646"/>
      <c r="AHI2" s="646"/>
      <c r="AHJ2" s="646"/>
      <c r="AHK2" s="646"/>
      <c r="AHL2" s="646"/>
      <c r="AHM2" s="646"/>
      <c r="AHN2" s="646"/>
      <c r="AHO2" s="646"/>
      <c r="AHP2" s="646"/>
      <c r="AHQ2" s="646"/>
      <c r="AHR2" s="646"/>
      <c r="AHS2" s="646"/>
      <c r="AHT2" s="646"/>
      <c r="AHU2" s="646"/>
      <c r="AHV2" s="646"/>
      <c r="AHW2" s="646"/>
      <c r="AHX2" s="646"/>
      <c r="AHY2" s="646"/>
      <c r="AHZ2" s="646"/>
      <c r="AIA2" s="646"/>
      <c r="AIB2" s="646"/>
      <c r="AIC2" s="646"/>
      <c r="AID2" s="646"/>
      <c r="AIE2" s="646"/>
      <c r="AIF2" s="646"/>
      <c r="AIG2" s="646"/>
      <c r="AIH2" s="646"/>
      <c r="AII2" s="646"/>
      <c r="AIJ2" s="646"/>
      <c r="AIK2" s="646"/>
      <c r="AIL2" s="646"/>
      <c r="AIM2" s="646"/>
      <c r="AIN2" s="646"/>
      <c r="AIO2" s="646"/>
      <c r="AIP2" s="646"/>
      <c r="AIQ2" s="646"/>
      <c r="AIR2" s="646"/>
      <c r="AIS2" s="646"/>
      <c r="AIT2" s="646"/>
      <c r="AIU2" s="646"/>
      <c r="AIV2" s="646"/>
      <c r="AIW2" s="646"/>
      <c r="AIX2" s="646"/>
      <c r="AIY2" s="646"/>
      <c r="AIZ2" s="646"/>
      <c r="AJA2" s="646"/>
      <c r="AJB2" s="646"/>
      <c r="AJC2" s="646"/>
      <c r="AJD2" s="646"/>
      <c r="AJE2" s="646"/>
      <c r="AJF2" s="646"/>
      <c r="AJG2" s="646"/>
      <c r="AJH2" s="646"/>
      <c r="AJI2" s="646"/>
      <c r="AJJ2" s="646"/>
      <c r="AJK2" s="646"/>
      <c r="AJL2" s="646"/>
      <c r="AJM2" s="646"/>
      <c r="AJN2" s="646"/>
      <c r="AJO2" s="646"/>
      <c r="AJP2" s="646"/>
      <c r="AJQ2" s="646"/>
      <c r="AJR2" s="646"/>
      <c r="AJS2" s="646"/>
      <c r="AJT2" s="646"/>
      <c r="AJU2" s="646"/>
      <c r="AJV2" s="646"/>
      <c r="AJW2" s="646"/>
      <c r="AJX2" s="646"/>
      <c r="AJY2" s="646"/>
      <c r="AJZ2" s="646"/>
      <c r="AKA2" s="646"/>
      <c r="AKB2" s="646"/>
      <c r="AKC2" s="646"/>
      <c r="AKD2" s="646"/>
      <c r="AKE2" s="646"/>
      <c r="AKF2" s="646"/>
      <c r="AKG2" s="646"/>
      <c r="AKH2" s="646"/>
      <c r="AKI2" s="646"/>
      <c r="AKJ2" s="646"/>
      <c r="AKK2" s="646"/>
      <c r="AKL2" s="646"/>
      <c r="AKM2" s="646"/>
      <c r="AKN2" s="646"/>
      <c r="AKO2" s="646"/>
      <c r="AKP2" s="646"/>
      <c r="AKQ2" s="646"/>
      <c r="AKR2" s="646"/>
      <c r="AKS2" s="646"/>
      <c r="AKT2" s="646"/>
      <c r="AKU2" s="646"/>
      <c r="AKV2" s="646"/>
      <c r="AKW2" s="646"/>
      <c r="AKX2" s="646"/>
      <c r="AKY2" s="646"/>
      <c r="AKZ2" s="646"/>
      <c r="ALA2" s="646"/>
      <c r="ALB2" s="646"/>
      <c r="ALC2" s="646"/>
      <c r="ALD2" s="646"/>
      <c r="ALE2" s="646"/>
      <c r="ALF2" s="646"/>
      <c r="ALG2" s="646"/>
      <c r="ALH2" s="646"/>
      <c r="ALI2" s="646"/>
      <c r="ALJ2" s="646"/>
      <c r="ALK2" s="646"/>
      <c r="ALL2" s="646"/>
      <c r="ALM2" s="646"/>
      <c r="ALN2" s="646"/>
      <c r="ALO2" s="646"/>
      <c r="ALP2" s="646"/>
      <c r="ALQ2" s="646"/>
      <c r="ALR2" s="646"/>
      <c r="ALS2" s="646"/>
      <c r="ALT2" s="646"/>
      <c r="ALU2" s="646"/>
      <c r="ALV2" s="646"/>
      <c r="ALW2" s="646"/>
      <c r="ALX2" s="646"/>
      <c r="ALY2" s="646"/>
      <c r="ALZ2" s="646"/>
      <c r="AMA2" s="646"/>
      <c r="AMB2" s="646"/>
      <c r="AMC2" s="646"/>
      <c r="AMD2" s="646"/>
      <c r="AME2" s="646"/>
      <c r="AMF2" s="646"/>
      <c r="AMG2" s="646"/>
      <c r="AMH2" s="646"/>
    </row>
    <row r="3" spans="1:1022" ht="15.6">
      <c r="A3" s="649" t="s">
        <v>1975</v>
      </c>
      <c r="B3" s="646"/>
      <c r="C3" s="646"/>
      <c r="D3" s="646"/>
      <c r="E3" s="646"/>
      <c r="F3" s="646"/>
      <c r="G3" s="646"/>
      <c r="H3" s="647"/>
      <c r="I3" s="646"/>
      <c r="J3" s="646"/>
      <c r="K3" s="646"/>
      <c r="L3" s="646"/>
      <c r="M3" s="646"/>
      <c r="N3" s="647"/>
      <c r="O3" s="647"/>
      <c r="P3" s="647"/>
      <c r="Q3" s="647"/>
      <c r="R3" s="647"/>
      <c r="S3" s="647"/>
      <c r="T3" s="646"/>
      <c r="U3" s="646"/>
      <c r="V3" s="646"/>
      <c r="W3" s="646"/>
      <c r="X3" s="646"/>
      <c r="Y3" s="646"/>
      <c r="Z3" s="646"/>
      <c r="AA3" s="646"/>
      <c r="AB3" s="646"/>
      <c r="AC3" s="646"/>
      <c r="AD3" s="646"/>
      <c r="AE3" s="646"/>
      <c r="AF3" s="646"/>
      <c r="AG3" s="646"/>
      <c r="AH3" s="646"/>
      <c r="AI3" s="646"/>
      <c r="AJ3" s="646"/>
      <c r="AK3" s="646"/>
      <c r="AL3" s="646"/>
      <c r="AM3" s="646"/>
      <c r="AN3" s="646"/>
      <c r="AO3" s="646"/>
      <c r="AP3" s="646"/>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6"/>
      <c r="CC3" s="646"/>
      <c r="CD3" s="646"/>
      <c r="CE3" s="646"/>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6"/>
      <c r="DY3" s="646"/>
      <c r="DZ3" s="646"/>
      <c r="EA3" s="646"/>
      <c r="EB3" s="646"/>
      <c r="EC3" s="646"/>
      <c r="ED3" s="646"/>
      <c r="EE3" s="646"/>
      <c r="EF3" s="646"/>
      <c r="EG3" s="646"/>
      <c r="EH3" s="646"/>
      <c r="EI3" s="646"/>
      <c r="EJ3" s="646"/>
      <c r="EK3" s="646"/>
      <c r="EL3" s="646"/>
      <c r="EM3" s="646"/>
      <c r="EN3" s="646"/>
      <c r="EO3" s="646"/>
      <c r="EP3" s="646"/>
      <c r="EQ3" s="646"/>
      <c r="ER3" s="646"/>
      <c r="ES3" s="646"/>
      <c r="ET3" s="646"/>
      <c r="EU3" s="646"/>
      <c r="EV3" s="646"/>
      <c r="EW3" s="646"/>
      <c r="EX3" s="646"/>
      <c r="EY3" s="646"/>
      <c r="EZ3" s="646"/>
      <c r="FA3" s="646"/>
      <c r="FB3" s="646"/>
      <c r="FC3" s="646"/>
      <c r="FD3" s="646"/>
      <c r="FE3" s="646"/>
      <c r="FF3" s="646"/>
      <c r="FG3" s="646"/>
      <c r="FH3" s="646"/>
      <c r="FI3" s="646"/>
      <c r="FJ3" s="646"/>
      <c r="FK3" s="646"/>
      <c r="FL3" s="646"/>
      <c r="FM3" s="646"/>
      <c r="FN3" s="646"/>
      <c r="FO3" s="646"/>
      <c r="FP3" s="646"/>
      <c r="FQ3" s="646"/>
      <c r="FR3" s="646"/>
      <c r="FS3" s="646"/>
      <c r="FT3" s="646"/>
      <c r="FU3" s="646"/>
      <c r="FV3" s="646"/>
      <c r="FW3" s="646"/>
      <c r="FX3" s="646"/>
      <c r="FY3" s="646"/>
      <c r="FZ3" s="646"/>
      <c r="GA3" s="646"/>
      <c r="GB3" s="646"/>
      <c r="GC3" s="646"/>
      <c r="GD3" s="646"/>
      <c r="GE3" s="646"/>
      <c r="GF3" s="646"/>
      <c r="GG3" s="646"/>
      <c r="GH3" s="646"/>
      <c r="GI3" s="646"/>
      <c r="GJ3" s="646"/>
      <c r="GK3" s="646"/>
      <c r="GL3" s="646"/>
      <c r="GM3" s="646"/>
      <c r="GN3" s="646"/>
      <c r="GO3" s="646"/>
      <c r="GP3" s="646"/>
      <c r="GQ3" s="646"/>
      <c r="GR3" s="646"/>
      <c r="GS3" s="646"/>
      <c r="GT3" s="646"/>
      <c r="GU3" s="646"/>
      <c r="GV3" s="646"/>
      <c r="GW3" s="646"/>
      <c r="GX3" s="646"/>
      <c r="GY3" s="646"/>
      <c r="GZ3" s="646"/>
      <c r="HA3" s="646"/>
      <c r="HB3" s="646"/>
      <c r="HC3" s="646"/>
      <c r="HD3" s="646"/>
      <c r="HE3" s="646"/>
      <c r="HF3" s="646"/>
      <c r="HG3" s="646"/>
      <c r="HH3" s="646"/>
      <c r="HI3" s="646"/>
      <c r="HJ3" s="646"/>
      <c r="HK3" s="646"/>
      <c r="HL3" s="646"/>
      <c r="HM3" s="646"/>
      <c r="HN3" s="646"/>
      <c r="HO3" s="646"/>
      <c r="HP3" s="646"/>
      <c r="HQ3" s="646"/>
      <c r="HR3" s="646"/>
      <c r="HS3" s="646"/>
      <c r="HT3" s="646"/>
      <c r="HU3" s="646"/>
      <c r="HV3" s="646"/>
      <c r="HW3" s="646"/>
      <c r="HX3" s="646"/>
      <c r="HY3" s="646"/>
      <c r="HZ3" s="646"/>
      <c r="IA3" s="646"/>
      <c r="IB3" s="646"/>
      <c r="IC3" s="646"/>
      <c r="ID3" s="646"/>
      <c r="IE3" s="646"/>
      <c r="IF3" s="646"/>
      <c r="IG3" s="646"/>
      <c r="IH3" s="646"/>
      <c r="II3" s="646"/>
      <c r="IJ3" s="646"/>
      <c r="IK3" s="646"/>
      <c r="IL3" s="646"/>
      <c r="IM3" s="646"/>
      <c r="IN3" s="646"/>
      <c r="IO3" s="646"/>
      <c r="IP3" s="646"/>
      <c r="IQ3" s="646"/>
      <c r="IR3" s="646"/>
      <c r="IS3" s="646"/>
      <c r="IT3" s="646"/>
      <c r="IU3" s="646"/>
      <c r="IV3" s="646"/>
      <c r="IW3" s="646"/>
      <c r="IX3" s="646"/>
      <c r="IY3" s="646"/>
      <c r="IZ3" s="646"/>
      <c r="JA3" s="646"/>
      <c r="JB3" s="646"/>
      <c r="JC3" s="646"/>
      <c r="JD3" s="646"/>
      <c r="JE3" s="646"/>
      <c r="JF3" s="646"/>
      <c r="JG3" s="646"/>
      <c r="JH3" s="646"/>
      <c r="JI3" s="646"/>
      <c r="JJ3" s="646"/>
      <c r="JK3" s="646"/>
      <c r="JL3" s="646"/>
      <c r="JM3" s="646"/>
      <c r="JN3" s="646"/>
      <c r="JO3" s="646"/>
      <c r="JP3" s="646"/>
      <c r="JQ3" s="646"/>
      <c r="JR3" s="646"/>
      <c r="JS3" s="646"/>
      <c r="JT3" s="646"/>
      <c r="JU3" s="646"/>
      <c r="JV3" s="646"/>
      <c r="JW3" s="646"/>
      <c r="JX3" s="646"/>
      <c r="JY3" s="646"/>
      <c r="JZ3" s="646"/>
      <c r="KA3" s="646"/>
      <c r="KB3" s="646"/>
      <c r="KC3" s="646"/>
      <c r="KD3" s="646"/>
      <c r="KE3" s="646"/>
      <c r="KF3" s="646"/>
      <c r="KG3" s="646"/>
      <c r="KH3" s="646"/>
      <c r="KI3" s="646"/>
      <c r="KJ3" s="646"/>
      <c r="KK3" s="646"/>
      <c r="KL3" s="646"/>
      <c r="KM3" s="646"/>
      <c r="KN3" s="646"/>
      <c r="KO3" s="646"/>
      <c r="KP3" s="646"/>
      <c r="KQ3" s="646"/>
      <c r="KR3" s="646"/>
      <c r="KS3" s="646"/>
      <c r="KT3" s="646"/>
      <c r="KU3" s="646"/>
      <c r="KV3" s="646"/>
      <c r="KW3" s="646"/>
      <c r="KX3" s="646"/>
      <c r="KY3" s="646"/>
      <c r="KZ3" s="646"/>
      <c r="LA3" s="646"/>
      <c r="LB3" s="646"/>
      <c r="LC3" s="646"/>
      <c r="LD3" s="646"/>
      <c r="LE3" s="646"/>
      <c r="LF3" s="646"/>
      <c r="LG3" s="646"/>
      <c r="LH3" s="646"/>
      <c r="LI3" s="646"/>
      <c r="LJ3" s="646"/>
      <c r="LK3" s="646"/>
      <c r="LL3" s="646"/>
      <c r="LM3" s="646"/>
      <c r="LN3" s="646"/>
      <c r="LO3" s="646"/>
      <c r="LP3" s="646"/>
      <c r="LQ3" s="646"/>
      <c r="LR3" s="646"/>
      <c r="LS3" s="646"/>
      <c r="LT3" s="646"/>
      <c r="LU3" s="646"/>
      <c r="LV3" s="646"/>
      <c r="LW3" s="646"/>
      <c r="LX3" s="646"/>
      <c r="LY3" s="646"/>
      <c r="LZ3" s="646"/>
      <c r="MA3" s="646"/>
      <c r="MB3" s="646"/>
      <c r="MC3" s="646"/>
      <c r="MD3" s="646"/>
      <c r="ME3" s="646"/>
      <c r="MF3" s="646"/>
      <c r="MG3" s="646"/>
      <c r="MH3" s="646"/>
      <c r="MI3" s="646"/>
      <c r="MJ3" s="646"/>
      <c r="MK3" s="646"/>
      <c r="ML3" s="646"/>
      <c r="MM3" s="646"/>
      <c r="MN3" s="646"/>
      <c r="MO3" s="646"/>
      <c r="MP3" s="646"/>
      <c r="MQ3" s="646"/>
      <c r="MR3" s="646"/>
      <c r="MS3" s="646"/>
      <c r="MT3" s="646"/>
      <c r="MU3" s="646"/>
      <c r="MV3" s="646"/>
      <c r="MW3" s="646"/>
      <c r="MX3" s="646"/>
      <c r="MY3" s="646"/>
      <c r="MZ3" s="646"/>
      <c r="NA3" s="646"/>
      <c r="NB3" s="646"/>
      <c r="NC3" s="646"/>
      <c r="ND3" s="646"/>
      <c r="NE3" s="646"/>
      <c r="NF3" s="646"/>
      <c r="NG3" s="646"/>
      <c r="NH3" s="646"/>
      <c r="NI3" s="646"/>
      <c r="NJ3" s="646"/>
      <c r="NK3" s="646"/>
      <c r="NL3" s="646"/>
      <c r="NM3" s="646"/>
      <c r="NN3" s="646"/>
      <c r="NO3" s="646"/>
      <c r="NP3" s="646"/>
      <c r="NQ3" s="646"/>
      <c r="NR3" s="646"/>
      <c r="NS3" s="646"/>
      <c r="NT3" s="646"/>
      <c r="NU3" s="646"/>
      <c r="NV3" s="646"/>
      <c r="NW3" s="646"/>
      <c r="NX3" s="646"/>
      <c r="NY3" s="646"/>
      <c r="NZ3" s="646"/>
      <c r="OA3" s="646"/>
      <c r="OB3" s="646"/>
      <c r="OC3" s="646"/>
      <c r="OD3" s="646"/>
      <c r="OE3" s="646"/>
      <c r="OF3" s="646"/>
      <c r="OG3" s="646"/>
      <c r="OH3" s="646"/>
      <c r="OI3" s="646"/>
      <c r="OJ3" s="646"/>
      <c r="OK3" s="646"/>
      <c r="OL3" s="646"/>
      <c r="OM3" s="646"/>
      <c r="ON3" s="646"/>
      <c r="OO3" s="646"/>
      <c r="OP3" s="646"/>
      <c r="OQ3" s="646"/>
      <c r="OR3" s="646"/>
      <c r="OS3" s="646"/>
      <c r="OT3" s="646"/>
      <c r="OU3" s="646"/>
      <c r="OV3" s="646"/>
      <c r="OW3" s="646"/>
      <c r="OX3" s="646"/>
      <c r="OY3" s="646"/>
      <c r="OZ3" s="646"/>
      <c r="PA3" s="646"/>
      <c r="PB3" s="646"/>
      <c r="PC3" s="646"/>
      <c r="PD3" s="646"/>
      <c r="PE3" s="646"/>
      <c r="PF3" s="646"/>
      <c r="PG3" s="646"/>
      <c r="PH3" s="646"/>
      <c r="PI3" s="646"/>
      <c r="PJ3" s="646"/>
      <c r="PK3" s="646"/>
      <c r="PL3" s="646"/>
      <c r="PM3" s="646"/>
      <c r="PN3" s="646"/>
      <c r="PO3" s="646"/>
      <c r="PP3" s="646"/>
      <c r="PQ3" s="646"/>
      <c r="PR3" s="646"/>
      <c r="PS3" s="646"/>
      <c r="PT3" s="646"/>
      <c r="PU3" s="646"/>
      <c r="PV3" s="646"/>
      <c r="PW3" s="646"/>
      <c r="PX3" s="646"/>
      <c r="PY3" s="646"/>
      <c r="PZ3" s="646"/>
      <c r="QA3" s="646"/>
      <c r="QB3" s="646"/>
      <c r="QC3" s="646"/>
      <c r="QD3" s="646"/>
      <c r="QE3" s="646"/>
      <c r="QF3" s="646"/>
      <c r="QG3" s="646"/>
      <c r="QH3" s="646"/>
      <c r="QI3" s="646"/>
      <c r="QJ3" s="646"/>
      <c r="QK3" s="646"/>
      <c r="QL3" s="646"/>
      <c r="QM3" s="646"/>
      <c r="QN3" s="646"/>
      <c r="QO3" s="646"/>
      <c r="QP3" s="646"/>
      <c r="QQ3" s="646"/>
      <c r="QR3" s="646"/>
      <c r="QS3" s="646"/>
      <c r="QT3" s="646"/>
      <c r="QU3" s="646"/>
      <c r="QV3" s="646"/>
      <c r="QW3" s="646"/>
      <c r="QX3" s="646"/>
      <c r="QY3" s="646"/>
      <c r="QZ3" s="646"/>
      <c r="RA3" s="646"/>
      <c r="RB3" s="646"/>
      <c r="RC3" s="646"/>
      <c r="RD3" s="646"/>
      <c r="RE3" s="646"/>
      <c r="RF3" s="646"/>
      <c r="RG3" s="646"/>
      <c r="RH3" s="646"/>
      <c r="RI3" s="646"/>
      <c r="RJ3" s="646"/>
      <c r="RK3" s="646"/>
      <c r="RL3" s="646"/>
      <c r="RM3" s="646"/>
      <c r="RN3" s="646"/>
      <c r="RO3" s="646"/>
      <c r="RP3" s="646"/>
      <c r="RQ3" s="646"/>
      <c r="RR3" s="646"/>
      <c r="RS3" s="646"/>
      <c r="RT3" s="646"/>
      <c r="RU3" s="646"/>
      <c r="RV3" s="646"/>
      <c r="RW3" s="646"/>
      <c r="RX3" s="646"/>
      <c r="RY3" s="646"/>
      <c r="RZ3" s="646"/>
      <c r="SA3" s="646"/>
      <c r="SB3" s="646"/>
      <c r="SC3" s="646"/>
      <c r="SD3" s="646"/>
      <c r="SE3" s="646"/>
      <c r="SF3" s="646"/>
      <c r="SG3" s="646"/>
      <c r="SH3" s="646"/>
      <c r="SI3" s="646"/>
      <c r="SJ3" s="646"/>
      <c r="SK3" s="646"/>
      <c r="SL3" s="646"/>
      <c r="SM3" s="646"/>
      <c r="SN3" s="646"/>
      <c r="SO3" s="646"/>
      <c r="SP3" s="646"/>
      <c r="SQ3" s="646"/>
      <c r="SR3" s="646"/>
      <c r="SS3" s="646"/>
      <c r="ST3" s="646"/>
      <c r="SU3" s="646"/>
      <c r="SV3" s="646"/>
      <c r="SW3" s="646"/>
      <c r="SX3" s="646"/>
      <c r="SY3" s="646"/>
      <c r="SZ3" s="646"/>
      <c r="TA3" s="646"/>
      <c r="TB3" s="646"/>
      <c r="TC3" s="646"/>
      <c r="TD3" s="646"/>
      <c r="TE3" s="646"/>
      <c r="TF3" s="646"/>
      <c r="TG3" s="646"/>
      <c r="TH3" s="646"/>
      <c r="TI3" s="646"/>
      <c r="TJ3" s="646"/>
      <c r="TK3" s="646"/>
      <c r="TL3" s="646"/>
      <c r="TM3" s="646"/>
      <c r="TN3" s="646"/>
      <c r="TO3" s="646"/>
      <c r="TP3" s="646"/>
      <c r="TQ3" s="646"/>
      <c r="TR3" s="646"/>
      <c r="TS3" s="646"/>
      <c r="TT3" s="646"/>
      <c r="TU3" s="646"/>
      <c r="TV3" s="646"/>
      <c r="TW3" s="646"/>
      <c r="TX3" s="646"/>
      <c r="TY3" s="646"/>
      <c r="TZ3" s="646"/>
      <c r="UA3" s="646"/>
      <c r="UB3" s="646"/>
      <c r="UC3" s="646"/>
      <c r="UD3" s="646"/>
      <c r="UE3" s="646"/>
      <c r="UF3" s="646"/>
      <c r="UG3" s="646"/>
      <c r="UH3" s="646"/>
      <c r="UI3" s="646"/>
      <c r="UJ3" s="646"/>
      <c r="UK3" s="646"/>
      <c r="UL3" s="646"/>
      <c r="UM3" s="646"/>
      <c r="UN3" s="646"/>
      <c r="UO3" s="646"/>
      <c r="UP3" s="646"/>
      <c r="UQ3" s="646"/>
      <c r="UR3" s="646"/>
      <c r="US3" s="646"/>
      <c r="UT3" s="646"/>
      <c r="UU3" s="646"/>
      <c r="UV3" s="646"/>
      <c r="UW3" s="646"/>
      <c r="UX3" s="646"/>
      <c r="UY3" s="646"/>
      <c r="UZ3" s="646"/>
      <c r="VA3" s="646"/>
      <c r="VB3" s="646"/>
      <c r="VC3" s="646"/>
      <c r="VD3" s="646"/>
      <c r="VE3" s="646"/>
      <c r="VF3" s="646"/>
      <c r="VG3" s="646"/>
      <c r="VH3" s="646"/>
      <c r="VI3" s="646"/>
      <c r="VJ3" s="646"/>
      <c r="VK3" s="646"/>
      <c r="VL3" s="646"/>
      <c r="VM3" s="646"/>
      <c r="VN3" s="646"/>
      <c r="VO3" s="646"/>
      <c r="VP3" s="646"/>
      <c r="VQ3" s="646"/>
      <c r="VR3" s="646"/>
      <c r="VS3" s="646"/>
      <c r="VT3" s="646"/>
      <c r="VU3" s="646"/>
      <c r="VV3" s="646"/>
      <c r="VW3" s="646"/>
      <c r="VX3" s="646"/>
      <c r="VY3" s="646"/>
      <c r="VZ3" s="646"/>
      <c r="WA3" s="646"/>
      <c r="WB3" s="646"/>
      <c r="WC3" s="646"/>
      <c r="WD3" s="646"/>
      <c r="WE3" s="646"/>
      <c r="WF3" s="646"/>
      <c r="WG3" s="646"/>
      <c r="WH3" s="646"/>
      <c r="WI3" s="646"/>
      <c r="WJ3" s="646"/>
      <c r="WK3" s="646"/>
      <c r="WL3" s="646"/>
      <c r="WM3" s="646"/>
      <c r="WN3" s="646"/>
      <c r="WO3" s="646"/>
      <c r="WP3" s="646"/>
      <c r="WQ3" s="646"/>
      <c r="WR3" s="646"/>
      <c r="WS3" s="646"/>
      <c r="WT3" s="646"/>
      <c r="WU3" s="646"/>
      <c r="WV3" s="646"/>
      <c r="WW3" s="646"/>
      <c r="WX3" s="646"/>
      <c r="WY3" s="646"/>
      <c r="WZ3" s="646"/>
      <c r="XA3" s="646"/>
      <c r="XB3" s="646"/>
      <c r="XC3" s="646"/>
      <c r="XD3" s="646"/>
      <c r="XE3" s="646"/>
      <c r="XF3" s="646"/>
      <c r="XG3" s="646"/>
      <c r="XH3" s="646"/>
      <c r="XI3" s="646"/>
      <c r="XJ3" s="646"/>
      <c r="XK3" s="646"/>
      <c r="XL3" s="646"/>
      <c r="XM3" s="646"/>
      <c r="XN3" s="646"/>
      <c r="XO3" s="646"/>
      <c r="XP3" s="646"/>
      <c r="XQ3" s="646"/>
      <c r="XR3" s="646"/>
      <c r="XS3" s="646"/>
      <c r="XT3" s="646"/>
      <c r="XU3" s="646"/>
      <c r="XV3" s="646"/>
      <c r="XW3" s="646"/>
      <c r="XX3" s="646"/>
      <c r="XY3" s="646"/>
      <c r="XZ3" s="646"/>
      <c r="YA3" s="646"/>
      <c r="YB3" s="646"/>
      <c r="YC3" s="646"/>
      <c r="YD3" s="646"/>
      <c r="YE3" s="646"/>
      <c r="YF3" s="646"/>
      <c r="YG3" s="646"/>
      <c r="YH3" s="646"/>
      <c r="YI3" s="646"/>
      <c r="YJ3" s="646"/>
      <c r="YK3" s="646"/>
      <c r="YL3" s="646"/>
      <c r="YM3" s="646"/>
      <c r="YN3" s="646"/>
      <c r="YO3" s="646"/>
      <c r="YP3" s="646"/>
      <c r="YQ3" s="646"/>
      <c r="YR3" s="646"/>
      <c r="YS3" s="646"/>
      <c r="YT3" s="646"/>
      <c r="YU3" s="646"/>
      <c r="YV3" s="646"/>
      <c r="YW3" s="646"/>
      <c r="YX3" s="646"/>
      <c r="YY3" s="646"/>
      <c r="YZ3" s="646"/>
      <c r="ZA3" s="646"/>
      <c r="ZB3" s="646"/>
      <c r="ZC3" s="646"/>
      <c r="ZD3" s="646"/>
      <c r="ZE3" s="646"/>
      <c r="ZF3" s="646"/>
      <c r="ZG3" s="646"/>
      <c r="ZH3" s="646"/>
      <c r="ZI3" s="646"/>
      <c r="ZJ3" s="646"/>
      <c r="ZK3" s="646"/>
      <c r="ZL3" s="646"/>
      <c r="ZM3" s="646"/>
      <c r="ZN3" s="646"/>
      <c r="ZO3" s="646"/>
      <c r="ZP3" s="646"/>
      <c r="ZQ3" s="646"/>
      <c r="ZR3" s="646"/>
      <c r="ZS3" s="646"/>
      <c r="ZT3" s="646"/>
      <c r="ZU3" s="646"/>
      <c r="ZV3" s="646"/>
      <c r="ZW3" s="646"/>
      <c r="ZX3" s="646"/>
      <c r="ZY3" s="646"/>
      <c r="ZZ3" s="646"/>
      <c r="AAA3" s="646"/>
      <c r="AAB3" s="646"/>
      <c r="AAC3" s="646"/>
      <c r="AAD3" s="646"/>
      <c r="AAE3" s="646"/>
      <c r="AAF3" s="646"/>
      <c r="AAG3" s="646"/>
      <c r="AAH3" s="646"/>
      <c r="AAI3" s="646"/>
      <c r="AAJ3" s="646"/>
      <c r="AAK3" s="646"/>
      <c r="AAL3" s="646"/>
      <c r="AAM3" s="646"/>
      <c r="AAN3" s="646"/>
      <c r="AAO3" s="646"/>
      <c r="AAP3" s="646"/>
      <c r="AAQ3" s="646"/>
      <c r="AAR3" s="646"/>
      <c r="AAS3" s="646"/>
      <c r="AAT3" s="646"/>
      <c r="AAU3" s="646"/>
      <c r="AAV3" s="646"/>
      <c r="AAW3" s="646"/>
      <c r="AAX3" s="646"/>
      <c r="AAY3" s="646"/>
      <c r="AAZ3" s="646"/>
      <c r="ABA3" s="646"/>
      <c r="ABB3" s="646"/>
      <c r="ABC3" s="646"/>
      <c r="ABD3" s="646"/>
      <c r="ABE3" s="646"/>
      <c r="ABF3" s="646"/>
      <c r="ABG3" s="646"/>
      <c r="ABH3" s="646"/>
      <c r="ABI3" s="646"/>
      <c r="ABJ3" s="646"/>
      <c r="ABK3" s="646"/>
      <c r="ABL3" s="646"/>
      <c r="ABM3" s="646"/>
      <c r="ABN3" s="646"/>
      <c r="ABO3" s="646"/>
      <c r="ABP3" s="646"/>
      <c r="ABQ3" s="646"/>
      <c r="ABR3" s="646"/>
      <c r="ABS3" s="646"/>
      <c r="ABT3" s="646"/>
      <c r="ABU3" s="646"/>
      <c r="ABV3" s="646"/>
      <c r="ABW3" s="646"/>
      <c r="ABX3" s="646"/>
      <c r="ABY3" s="646"/>
      <c r="ABZ3" s="646"/>
      <c r="ACA3" s="646"/>
      <c r="ACB3" s="646"/>
      <c r="ACC3" s="646"/>
      <c r="ACD3" s="646"/>
      <c r="ACE3" s="646"/>
      <c r="ACF3" s="646"/>
      <c r="ACG3" s="646"/>
      <c r="ACH3" s="646"/>
      <c r="ACI3" s="646"/>
      <c r="ACJ3" s="646"/>
      <c r="ACK3" s="646"/>
      <c r="ACL3" s="646"/>
      <c r="ACM3" s="646"/>
      <c r="ACN3" s="646"/>
      <c r="ACO3" s="646"/>
      <c r="ACP3" s="646"/>
      <c r="ACQ3" s="646"/>
      <c r="ACR3" s="646"/>
      <c r="ACS3" s="646"/>
      <c r="ACT3" s="646"/>
      <c r="ACU3" s="646"/>
      <c r="ACV3" s="646"/>
      <c r="ACW3" s="646"/>
      <c r="ACX3" s="646"/>
      <c r="ACY3" s="646"/>
      <c r="ACZ3" s="646"/>
      <c r="ADA3" s="646"/>
      <c r="ADB3" s="646"/>
      <c r="ADC3" s="646"/>
      <c r="ADD3" s="646"/>
      <c r="ADE3" s="646"/>
      <c r="ADF3" s="646"/>
      <c r="ADG3" s="646"/>
      <c r="ADH3" s="646"/>
      <c r="ADI3" s="646"/>
      <c r="ADJ3" s="646"/>
      <c r="ADK3" s="646"/>
      <c r="ADL3" s="646"/>
      <c r="ADM3" s="646"/>
      <c r="ADN3" s="646"/>
      <c r="ADO3" s="646"/>
      <c r="ADP3" s="646"/>
      <c r="ADQ3" s="646"/>
      <c r="ADR3" s="646"/>
      <c r="ADS3" s="646"/>
      <c r="ADT3" s="646"/>
      <c r="ADU3" s="646"/>
      <c r="ADV3" s="646"/>
      <c r="ADW3" s="646"/>
      <c r="ADX3" s="646"/>
      <c r="ADY3" s="646"/>
      <c r="ADZ3" s="646"/>
      <c r="AEA3" s="646"/>
      <c r="AEB3" s="646"/>
      <c r="AEC3" s="646"/>
      <c r="AED3" s="646"/>
      <c r="AEE3" s="646"/>
      <c r="AEF3" s="646"/>
      <c r="AEG3" s="646"/>
      <c r="AEH3" s="646"/>
      <c r="AEI3" s="646"/>
      <c r="AEJ3" s="646"/>
      <c r="AEK3" s="646"/>
      <c r="AEL3" s="646"/>
      <c r="AEM3" s="646"/>
      <c r="AEN3" s="646"/>
      <c r="AEO3" s="646"/>
      <c r="AEP3" s="646"/>
      <c r="AEQ3" s="646"/>
      <c r="AER3" s="646"/>
      <c r="AES3" s="646"/>
      <c r="AET3" s="646"/>
      <c r="AEU3" s="646"/>
      <c r="AEV3" s="646"/>
      <c r="AEW3" s="646"/>
      <c r="AEX3" s="646"/>
      <c r="AEY3" s="646"/>
      <c r="AEZ3" s="646"/>
      <c r="AFA3" s="646"/>
      <c r="AFB3" s="646"/>
      <c r="AFC3" s="646"/>
      <c r="AFD3" s="646"/>
      <c r="AFE3" s="646"/>
      <c r="AFF3" s="646"/>
      <c r="AFG3" s="646"/>
      <c r="AFH3" s="646"/>
      <c r="AFI3" s="646"/>
      <c r="AFJ3" s="646"/>
      <c r="AFK3" s="646"/>
      <c r="AFL3" s="646"/>
      <c r="AFM3" s="646"/>
      <c r="AFN3" s="646"/>
      <c r="AFO3" s="646"/>
      <c r="AFP3" s="646"/>
      <c r="AFQ3" s="646"/>
      <c r="AFR3" s="646"/>
      <c r="AFS3" s="646"/>
      <c r="AFT3" s="646"/>
      <c r="AFU3" s="646"/>
      <c r="AFV3" s="646"/>
      <c r="AFW3" s="646"/>
      <c r="AFX3" s="646"/>
      <c r="AFY3" s="646"/>
      <c r="AFZ3" s="646"/>
      <c r="AGA3" s="646"/>
      <c r="AGB3" s="646"/>
      <c r="AGC3" s="646"/>
      <c r="AGD3" s="646"/>
      <c r="AGE3" s="646"/>
      <c r="AGF3" s="646"/>
      <c r="AGG3" s="646"/>
      <c r="AGH3" s="646"/>
      <c r="AGI3" s="646"/>
      <c r="AGJ3" s="646"/>
      <c r="AGK3" s="646"/>
      <c r="AGL3" s="646"/>
      <c r="AGM3" s="646"/>
      <c r="AGN3" s="646"/>
      <c r="AGO3" s="646"/>
      <c r="AGP3" s="646"/>
      <c r="AGQ3" s="646"/>
      <c r="AGR3" s="646"/>
      <c r="AGS3" s="646"/>
      <c r="AGT3" s="646"/>
      <c r="AGU3" s="646"/>
      <c r="AGV3" s="646"/>
      <c r="AGW3" s="646"/>
      <c r="AGX3" s="646"/>
      <c r="AGY3" s="646"/>
      <c r="AGZ3" s="646"/>
      <c r="AHA3" s="646"/>
      <c r="AHB3" s="646"/>
      <c r="AHC3" s="646"/>
      <c r="AHD3" s="646"/>
      <c r="AHE3" s="646"/>
      <c r="AHF3" s="646"/>
      <c r="AHG3" s="646"/>
      <c r="AHH3" s="646"/>
      <c r="AHI3" s="646"/>
      <c r="AHJ3" s="646"/>
      <c r="AHK3" s="646"/>
      <c r="AHL3" s="646"/>
      <c r="AHM3" s="646"/>
      <c r="AHN3" s="646"/>
      <c r="AHO3" s="646"/>
      <c r="AHP3" s="646"/>
      <c r="AHQ3" s="646"/>
      <c r="AHR3" s="646"/>
      <c r="AHS3" s="646"/>
      <c r="AHT3" s="646"/>
      <c r="AHU3" s="646"/>
      <c r="AHV3" s="646"/>
      <c r="AHW3" s="646"/>
      <c r="AHX3" s="646"/>
      <c r="AHY3" s="646"/>
      <c r="AHZ3" s="646"/>
      <c r="AIA3" s="646"/>
      <c r="AIB3" s="646"/>
      <c r="AIC3" s="646"/>
      <c r="AID3" s="646"/>
      <c r="AIE3" s="646"/>
      <c r="AIF3" s="646"/>
      <c r="AIG3" s="646"/>
      <c r="AIH3" s="646"/>
      <c r="AII3" s="646"/>
      <c r="AIJ3" s="646"/>
      <c r="AIK3" s="646"/>
      <c r="AIL3" s="646"/>
      <c r="AIM3" s="646"/>
      <c r="AIN3" s="646"/>
      <c r="AIO3" s="646"/>
      <c r="AIP3" s="646"/>
      <c r="AIQ3" s="646"/>
      <c r="AIR3" s="646"/>
      <c r="AIS3" s="646"/>
      <c r="AIT3" s="646"/>
      <c r="AIU3" s="646"/>
      <c r="AIV3" s="646"/>
      <c r="AIW3" s="646"/>
      <c r="AIX3" s="646"/>
      <c r="AIY3" s="646"/>
      <c r="AIZ3" s="646"/>
      <c r="AJA3" s="646"/>
      <c r="AJB3" s="646"/>
      <c r="AJC3" s="646"/>
      <c r="AJD3" s="646"/>
      <c r="AJE3" s="646"/>
      <c r="AJF3" s="646"/>
      <c r="AJG3" s="646"/>
      <c r="AJH3" s="646"/>
      <c r="AJI3" s="646"/>
      <c r="AJJ3" s="646"/>
      <c r="AJK3" s="646"/>
      <c r="AJL3" s="646"/>
      <c r="AJM3" s="646"/>
      <c r="AJN3" s="646"/>
      <c r="AJO3" s="646"/>
      <c r="AJP3" s="646"/>
      <c r="AJQ3" s="646"/>
      <c r="AJR3" s="646"/>
      <c r="AJS3" s="646"/>
      <c r="AJT3" s="646"/>
      <c r="AJU3" s="646"/>
      <c r="AJV3" s="646"/>
      <c r="AJW3" s="646"/>
      <c r="AJX3" s="646"/>
      <c r="AJY3" s="646"/>
      <c r="AJZ3" s="646"/>
      <c r="AKA3" s="646"/>
      <c r="AKB3" s="646"/>
      <c r="AKC3" s="646"/>
      <c r="AKD3" s="646"/>
      <c r="AKE3" s="646"/>
      <c r="AKF3" s="646"/>
      <c r="AKG3" s="646"/>
      <c r="AKH3" s="646"/>
      <c r="AKI3" s="646"/>
      <c r="AKJ3" s="646"/>
      <c r="AKK3" s="646"/>
      <c r="AKL3" s="646"/>
      <c r="AKM3" s="646"/>
      <c r="AKN3" s="646"/>
      <c r="AKO3" s="646"/>
      <c r="AKP3" s="646"/>
      <c r="AKQ3" s="646"/>
      <c r="AKR3" s="646"/>
      <c r="AKS3" s="646"/>
      <c r="AKT3" s="646"/>
      <c r="AKU3" s="646"/>
      <c r="AKV3" s="646"/>
      <c r="AKW3" s="646"/>
      <c r="AKX3" s="646"/>
      <c r="AKY3" s="646"/>
      <c r="AKZ3" s="646"/>
      <c r="ALA3" s="646"/>
      <c r="ALB3" s="646"/>
      <c r="ALC3" s="646"/>
      <c r="ALD3" s="646"/>
      <c r="ALE3" s="646"/>
      <c r="ALF3" s="646"/>
      <c r="ALG3" s="646"/>
      <c r="ALH3" s="646"/>
      <c r="ALI3" s="646"/>
      <c r="ALJ3" s="646"/>
      <c r="ALK3" s="646"/>
      <c r="ALL3" s="646"/>
      <c r="ALM3" s="646"/>
      <c r="ALN3" s="646"/>
      <c r="ALO3" s="646"/>
      <c r="ALP3" s="646"/>
      <c r="ALQ3" s="646"/>
      <c r="ALR3" s="646"/>
      <c r="ALS3" s="646"/>
      <c r="ALT3" s="646"/>
      <c r="ALU3" s="646"/>
      <c r="ALV3" s="646"/>
      <c r="ALW3" s="646"/>
      <c r="ALX3" s="646"/>
      <c r="ALY3" s="646"/>
      <c r="ALZ3" s="646"/>
      <c r="AMA3" s="646"/>
      <c r="AMB3" s="646"/>
      <c r="AMC3" s="646"/>
      <c r="AMD3" s="646"/>
      <c r="AME3" s="646"/>
      <c r="AMF3" s="646"/>
      <c r="AMG3" s="646"/>
      <c r="AMH3" s="646"/>
    </row>
    <row r="4" spans="1:1022" ht="15.6">
      <c r="A4" s="649"/>
      <c r="B4" s="646"/>
      <c r="C4" s="646"/>
      <c r="D4" s="646"/>
      <c r="E4" s="646"/>
      <c r="F4" s="646"/>
      <c r="G4" s="646"/>
      <c r="H4" s="647"/>
      <c r="I4" s="646"/>
      <c r="J4" s="646"/>
      <c r="K4" s="646"/>
      <c r="L4" s="646"/>
      <c r="M4" s="646"/>
      <c r="N4" s="647"/>
      <c r="O4" s="647"/>
      <c r="P4" s="647"/>
      <c r="Q4" s="647"/>
      <c r="R4" s="647"/>
      <c r="S4" s="647"/>
      <c r="T4" s="646"/>
      <c r="U4" s="646"/>
      <c r="V4" s="646"/>
      <c r="W4" s="646"/>
      <c r="X4" s="646"/>
      <c r="Y4" s="646"/>
      <c r="Z4" s="646"/>
      <c r="AA4" s="646"/>
      <c r="AB4" s="646"/>
      <c r="AC4" s="646"/>
      <c r="AD4" s="646"/>
      <c r="AE4" s="646"/>
      <c r="AF4" s="646"/>
      <c r="AG4" s="646"/>
      <c r="AH4" s="646"/>
      <c r="AI4" s="646"/>
      <c r="AJ4" s="646"/>
      <c r="AK4" s="646"/>
      <c r="AL4" s="646"/>
      <c r="AM4" s="646"/>
      <c r="AN4" s="646"/>
      <c r="AO4" s="646"/>
      <c r="AP4" s="646"/>
      <c r="AQ4" s="646"/>
      <c r="AR4" s="646"/>
      <c r="AS4" s="646"/>
      <c r="AT4" s="646"/>
      <c r="AU4" s="646"/>
      <c r="AV4" s="646"/>
      <c r="AW4" s="646"/>
      <c r="AX4" s="646"/>
      <c r="AY4" s="646"/>
      <c r="AZ4" s="646"/>
      <c r="BA4" s="646"/>
      <c r="BB4" s="646"/>
      <c r="BC4" s="646"/>
      <c r="BD4" s="646"/>
      <c r="BE4" s="646"/>
      <c r="BF4" s="646"/>
      <c r="BG4" s="646"/>
      <c r="BH4" s="646"/>
      <c r="BI4" s="646"/>
      <c r="BJ4" s="646"/>
      <c r="BK4" s="646"/>
      <c r="BL4" s="646"/>
      <c r="BM4" s="646"/>
      <c r="BN4" s="646"/>
      <c r="BO4" s="646"/>
      <c r="BP4" s="646"/>
      <c r="BQ4" s="646"/>
      <c r="BR4" s="646"/>
      <c r="BS4" s="646"/>
      <c r="BT4" s="646"/>
      <c r="BU4" s="646"/>
      <c r="BV4" s="646"/>
      <c r="BW4" s="646"/>
      <c r="BX4" s="646"/>
      <c r="BY4" s="646"/>
      <c r="BZ4" s="646"/>
      <c r="CA4" s="646"/>
      <c r="CB4" s="646"/>
      <c r="CC4" s="646"/>
      <c r="CD4" s="646"/>
      <c r="CE4" s="646"/>
      <c r="CF4" s="646"/>
      <c r="CG4" s="646"/>
      <c r="CH4" s="646"/>
      <c r="CI4" s="646"/>
      <c r="CJ4" s="646"/>
      <c r="CK4" s="646"/>
      <c r="CL4" s="646"/>
      <c r="CM4" s="646"/>
      <c r="CN4" s="646"/>
      <c r="CO4" s="646"/>
      <c r="CP4" s="646"/>
      <c r="CQ4" s="646"/>
      <c r="CR4" s="646"/>
      <c r="CS4" s="646"/>
      <c r="CT4" s="646"/>
      <c r="CU4" s="646"/>
      <c r="CV4" s="646"/>
      <c r="CW4" s="646"/>
      <c r="CX4" s="646"/>
      <c r="CY4" s="646"/>
      <c r="CZ4" s="646"/>
      <c r="DA4" s="646"/>
      <c r="DB4" s="646"/>
      <c r="DC4" s="646"/>
      <c r="DD4" s="646"/>
      <c r="DE4" s="646"/>
      <c r="DF4" s="646"/>
      <c r="DG4" s="646"/>
      <c r="DH4" s="646"/>
      <c r="DI4" s="646"/>
      <c r="DJ4" s="646"/>
      <c r="DK4" s="646"/>
      <c r="DL4" s="646"/>
      <c r="DM4" s="646"/>
      <c r="DN4" s="646"/>
      <c r="DO4" s="646"/>
      <c r="DP4" s="646"/>
      <c r="DQ4" s="646"/>
      <c r="DR4" s="646"/>
      <c r="DS4" s="646"/>
      <c r="DT4" s="646"/>
      <c r="DU4" s="646"/>
      <c r="DV4" s="646"/>
      <c r="DW4" s="646"/>
      <c r="DX4" s="646"/>
      <c r="DY4" s="646"/>
      <c r="DZ4" s="646"/>
      <c r="EA4" s="646"/>
      <c r="EB4" s="646"/>
      <c r="EC4" s="646"/>
      <c r="ED4" s="646"/>
      <c r="EE4" s="646"/>
      <c r="EF4" s="646"/>
      <c r="EG4" s="646"/>
      <c r="EH4" s="646"/>
      <c r="EI4" s="646"/>
      <c r="EJ4" s="646"/>
      <c r="EK4" s="646"/>
      <c r="EL4" s="646"/>
      <c r="EM4" s="646"/>
      <c r="EN4" s="646"/>
      <c r="EO4" s="646"/>
      <c r="EP4" s="646"/>
      <c r="EQ4" s="646"/>
      <c r="ER4" s="646"/>
      <c r="ES4" s="646"/>
      <c r="ET4" s="646"/>
      <c r="EU4" s="646"/>
      <c r="EV4" s="646"/>
      <c r="EW4" s="646"/>
      <c r="EX4" s="646"/>
      <c r="EY4" s="646"/>
      <c r="EZ4" s="646"/>
      <c r="FA4" s="646"/>
      <c r="FB4" s="646"/>
      <c r="FC4" s="646"/>
      <c r="FD4" s="646"/>
      <c r="FE4" s="646"/>
      <c r="FF4" s="646"/>
      <c r="FG4" s="646"/>
      <c r="FH4" s="646"/>
      <c r="FI4" s="646"/>
      <c r="FJ4" s="646"/>
      <c r="FK4" s="646"/>
      <c r="FL4" s="646"/>
      <c r="FM4" s="646"/>
      <c r="FN4" s="646"/>
      <c r="FO4" s="646"/>
      <c r="FP4" s="646"/>
      <c r="FQ4" s="646"/>
      <c r="FR4" s="646"/>
      <c r="FS4" s="646"/>
      <c r="FT4" s="646"/>
      <c r="FU4" s="646"/>
      <c r="FV4" s="646"/>
      <c r="FW4" s="646"/>
      <c r="FX4" s="646"/>
      <c r="FY4" s="646"/>
      <c r="FZ4" s="646"/>
      <c r="GA4" s="646"/>
      <c r="GB4" s="646"/>
      <c r="GC4" s="646"/>
      <c r="GD4" s="646"/>
      <c r="GE4" s="646"/>
      <c r="GF4" s="646"/>
      <c r="GG4" s="646"/>
      <c r="GH4" s="646"/>
      <c r="GI4" s="646"/>
      <c r="GJ4" s="646"/>
      <c r="GK4" s="646"/>
      <c r="GL4" s="646"/>
      <c r="GM4" s="646"/>
      <c r="GN4" s="646"/>
      <c r="GO4" s="646"/>
      <c r="GP4" s="646"/>
      <c r="GQ4" s="646"/>
      <c r="GR4" s="646"/>
      <c r="GS4" s="646"/>
      <c r="GT4" s="646"/>
      <c r="GU4" s="646"/>
      <c r="GV4" s="646"/>
      <c r="GW4" s="646"/>
      <c r="GX4" s="646"/>
      <c r="GY4" s="646"/>
      <c r="GZ4" s="646"/>
      <c r="HA4" s="646"/>
      <c r="HB4" s="646"/>
      <c r="HC4" s="646"/>
      <c r="HD4" s="646"/>
      <c r="HE4" s="646"/>
      <c r="HF4" s="646"/>
      <c r="HG4" s="646"/>
      <c r="HH4" s="646"/>
      <c r="HI4" s="646"/>
      <c r="HJ4" s="646"/>
      <c r="HK4" s="646"/>
      <c r="HL4" s="646"/>
      <c r="HM4" s="646"/>
      <c r="HN4" s="646"/>
      <c r="HO4" s="646"/>
      <c r="HP4" s="646"/>
      <c r="HQ4" s="646"/>
      <c r="HR4" s="646"/>
      <c r="HS4" s="646"/>
      <c r="HT4" s="646"/>
      <c r="HU4" s="646"/>
      <c r="HV4" s="646"/>
      <c r="HW4" s="646"/>
      <c r="HX4" s="646"/>
      <c r="HY4" s="646"/>
      <c r="HZ4" s="646"/>
      <c r="IA4" s="646"/>
      <c r="IB4" s="646"/>
      <c r="IC4" s="646"/>
      <c r="ID4" s="646"/>
      <c r="IE4" s="646"/>
      <c r="IF4" s="646"/>
      <c r="IG4" s="646"/>
      <c r="IH4" s="646"/>
      <c r="II4" s="646"/>
      <c r="IJ4" s="646"/>
      <c r="IK4" s="646"/>
      <c r="IL4" s="646"/>
      <c r="IM4" s="646"/>
      <c r="IN4" s="646"/>
      <c r="IO4" s="646"/>
      <c r="IP4" s="646"/>
      <c r="IQ4" s="646"/>
      <c r="IR4" s="646"/>
      <c r="IS4" s="646"/>
      <c r="IT4" s="646"/>
      <c r="IU4" s="646"/>
      <c r="IV4" s="646"/>
      <c r="IW4" s="646"/>
      <c r="IX4" s="646"/>
      <c r="IY4" s="646"/>
      <c r="IZ4" s="646"/>
      <c r="JA4" s="646"/>
      <c r="JB4" s="646"/>
      <c r="JC4" s="646"/>
      <c r="JD4" s="646"/>
      <c r="JE4" s="646"/>
      <c r="JF4" s="646"/>
      <c r="JG4" s="646"/>
      <c r="JH4" s="646"/>
      <c r="JI4" s="646"/>
      <c r="JJ4" s="646"/>
      <c r="JK4" s="646"/>
      <c r="JL4" s="646"/>
      <c r="JM4" s="646"/>
      <c r="JN4" s="646"/>
      <c r="JO4" s="646"/>
      <c r="JP4" s="646"/>
      <c r="JQ4" s="646"/>
      <c r="JR4" s="646"/>
      <c r="JS4" s="646"/>
      <c r="JT4" s="646"/>
      <c r="JU4" s="646"/>
      <c r="JV4" s="646"/>
      <c r="JW4" s="646"/>
      <c r="JX4" s="646"/>
      <c r="JY4" s="646"/>
      <c r="JZ4" s="646"/>
      <c r="KA4" s="646"/>
      <c r="KB4" s="646"/>
      <c r="KC4" s="646"/>
      <c r="KD4" s="646"/>
      <c r="KE4" s="646"/>
      <c r="KF4" s="646"/>
      <c r="KG4" s="646"/>
      <c r="KH4" s="646"/>
      <c r="KI4" s="646"/>
      <c r="KJ4" s="646"/>
      <c r="KK4" s="646"/>
      <c r="KL4" s="646"/>
      <c r="KM4" s="646"/>
      <c r="KN4" s="646"/>
      <c r="KO4" s="646"/>
      <c r="KP4" s="646"/>
      <c r="KQ4" s="646"/>
      <c r="KR4" s="646"/>
      <c r="KS4" s="646"/>
      <c r="KT4" s="646"/>
      <c r="KU4" s="646"/>
      <c r="KV4" s="646"/>
      <c r="KW4" s="646"/>
      <c r="KX4" s="646"/>
      <c r="KY4" s="646"/>
      <c r="KZ4" s="646"/>
      <c r="LA4" s="646"/>
      <c r="LB4" s="646"/>
      <c r="LC4" s="646"/>
      <c r="LD4" s="646"/>
      <c r="LE4" s="646"/>
      <c r="LF4" s="646"/>
      <c r="LG4" s="646"/>
      <c r="LH4" s="646"/>
      <c r="LI4" s="646"/>
      <c r="LJ4" s="646"/>
      <c r="LK4" s="646"/>
      <c r="LL4" s="646"/>
      <c r="LM4" s="646"/>
      <c r="LN4" s="646"/>
      <c r="LO4" s="646"/>
      <c r="LP4" s="646"/>
      <c r="LQ4" s="646"/>
      <c r="LR4" s="646"/>
      <c r="LS4" s="646"/>
      <c r="LT4" s="646"/>
      <c r="LU4" s="646"/>
      <c r="LV4" s="646"/>
      <c r="LW4" s="646"/>
      <c r="LX4" s="646"/>
      <c r="LY4" s="646"/>
      <c r="LZ4" s="646"/>
      <c r="MA4" s="646"/>
      <c r="MB4" s="646"/>
      <c r="MC4" s="646"/>
      <c r="MD4" s="646"/>
      <c r="ME4" s="646"/>
      <c r="MF4" s="646"/>
      <c r="MG4" s="646"/>
      <c r="MH4" s="646"/>
      <c r="MI4" s="646"/>
      <c r="MJ4" s="646"/>
      <c r="MK4" s="646"/>
      <c r="ML4" s="646"/>
      <c r="MM4" s="646"/>
      <c r="MN4" s="646"/>
      <c r="MO4" s="646"/>
      <c r="MP4" s="646"/>
      <c r="MQ4" s="646"/>
      <c r="MR4" s="646"/>
      <c r="MS4" s="646"/>
      <c r="MT4" s="646"/>
      <c r="MU4" s="646"/>
      <c r="MV4" s="646"/>
      <c r="MW4" s="646"/>
      <c r="MX4" s="646"/>
      <c r="MY4" s="646"/>
      <c r="MZ4" s="646"/>
      <c r="NA4" s="646"/>
      <c r="NB4" s="646"/>
      <c r="NC4" s="646"/>
      <c r="ND4" s="646"/>
      <c r="NE4" s="646"/>
      <c r="NF4" s="646"/>
      <c r="NG4" s="646"/>
      <c r="NH4" s="646"/>
      <c r="NI4" s="646"/>
      <c r="NJ4" s="646"/>
      <c r="NK4" s="646"/>
      <c r="NL4" s="646"/>
      <c r="NM4" s="646"/>
      <c r="NN4" s="646"/>
      <c r="NO4" s="646"/>
      <c r="NP4" s="646"/>
      <c r="NQ4" s="646"/>
      <c r="NR4" s="646"/>
      <c r="NS4" s="646"/>
      <c r="NT4" s="646"/>
      <c r="NU4" s="646"/>
      <c r="NV4" s="646"/>
      <c r="NW4" s="646"/>
      <c r="NX4" s="646"/>
      <c r="NY4" s="646"/>
      <c r="NZ4" s="646"/>
      <c r="OA4" s="646"/>
      <c r="OB4" s="646"/>
      <c r="OC4" s="646"/>
      <c r="OD4" s="646"/>
      <c r="OE4" s="646"/>
      <c r="OF4" s="646"/>
      <c r="OG4" s="646"/>
      <c r="OH4" s="646"/>
      <c r="OI4" s="646"/>
      <c r="OJ4" s="646"/>
      <c r="OK4" s="646"/>
      <c r="OL4" s="646"/>
      <c r="OM4" s="646"/>
      <c r="ON4" s="646"/>
      <c r="OO4" s="646"/>
      <c r="OP4" s="646"/>
      <c r="OQ4" s="646"/>
      <c r="OR4" s="646"/>
      <c r="OS4" s="646"/>
      <c r="OT4" s="646"/>
      <c r="OU4" s="646"/>
      <c r="OV4" s="646"/>
      <c r="OW4" s="646"/>
      <c r="OX4" s="646"/>
      <c r="OY4" s="646"/>
      <c r="OZ4" s="646"/>
      <c r="PA4" s="646"/>
      <c r="PB4" s="646"/>
      <c r="PC4" s="646"/>
      <c r="PD4" s="646"/>
      <c r="PE4" s="646"/>
      <c r="PF4" s="646"/>
      <c r="PG4" s="646"/>
      <c r="PH4" s="646"/>
      <c r="PI4" s="646"/>
      <c r="PJ4" s="646"/>
      <c r="PK4" s="646"/>
      <c r="PL4" s="646"/>
      <c r="PM4" s="646"/>
      <c r="PN4" s="646"/>
      <c r="PO4" s="646"/>
      <c r="PP4" s="646"/>
      <c r="PQ4" s="646"/>
      <c r="PR4" s="646"/>
      <c r="PS4" s="646"/>
      <c r="PT4" s="646"/>
      <c r="PU4" s="646"/>
      <c r="PV4" s="646"/>
      <c r="PW4" s="646"/>
      <c r="PX4" s="646"/>
      <c r="PY4" s="646"/>
      <c r="PZ4" s="646"/>
      <c r="QA4" s="646"/>
      <c r="QB4" s="646"/>
      <c r="QC4" s="646"/>
      <c r="QD4" s="646"/>
      <c r="QE4" s="646"/>
      <c r="QF4" s="646"/>
      <c r="QG4" s="646"/>
      <c r="QH4" s="646"/>
      <c r="QI4" s="646"/>
      <c r="QJ4" s="646"/>
      <c r="QK4" s="646"/>
      <c r="QL4" s="646"/>
      <c r="QM4" s="646"/>
      <c r="QN4" s="646"/>
      <c r="QO4" s="646"/>
      <c r="QP4" s="646"/>
      <c r="QQ4" s="646"/>
      <c r="QR4" s="646"/>
      <c r="QS4" s="646"/>
      <c r="QT4" s="646"/>
      <c r="QU4" s="646"/>
      <c r="QV4" s="646"/>
      <c r="QW4" s="646"/>
      <c r="QX4" s="646"/>
      <c r="QY4" s="646"/>
      <c r="QZ4" s="646"/>
      <c r="RA4" s="646"/>
      <c r="RB4" s="646"/>
      <c r="RC4" s="646"/>
      <c r="RD4" s="646"/>
      <c r="RE4" s="646"/>
      <c r="RF4" s="646"/>
      <c r="RG4" s="646"/>
      <c r="RH4" s="646"/>
      <c r="RI4" s="646"/>
      <c r="RJ4" s="646"/>
      <c r="RK4" s="646"/>
      <c r="RL4" s="646"/>
      <c r="RM4" s="646"/>
      <c r="RN4" s="646"/>
      <c r="RO4" s="646"/>
      <c r="RP4" s="646"/>
      <c r="RQ4" s="646"/>
      <c r="RR4" s="646"/>
      <c r="RS4" s="646"/>
      <c r="RT4" s="646"/>
      <c r="RU4" s="646"/>
      <c r="RV4" s="646"/>
      <c r="RW4" s="646"/>
      <c r="RX4" s="646"/>
      <c r="RY4" s="646"/>
      <c r="RZ4" s="646"/>
      <c r="SA4" s="646"/>
      <c r="SB4" s="646"/>
      <c r="SC4" s="646"/>
      <c r="SD4" s="646"/>
      <c r="SE4" s="646"/>
      <c r="SF4" s="646"/>
      <c r="SG4" s="646"/>
      <c r="SH4" s="646"/>
      <c r="SI4" s="646"/>
      <c r="SJ4" s="646"/>
      <c r="SK4" s="646"/>
      <c r="SL4" s="646"/>
      <c r="SM4" s="646"/>
      <c r="SN4" s="646"/>
      <c r="SO4" s="646"/>
      <c r="SP4" s="646"/>
      <c r="SQ4" s="646"/>
      <c r="SR4" s="646"/>
      <c r="SS4" s="646"/>
      <c r="ST4" s="646"/>
      <c r="SU4" s="646"/>
      <c r="SV4" s="646"/>
      <c r="SW4" s="646"/>
      <c r="SX4" s="646"/>
      <c r="SY4" s="646"/>
      <c r="SZ4" s="646"/>
      <c r="TA4" s="646"/>
      <c r="TB4" s="646"/>
      <c r="TC4" s="646"/>
      <c r="TD4" s="646"/>
      <c r="TE4" s="646"/>
      <c r="TF4" s="646"/>
      <c r="TG4" s="646"/>
      <c r="TH4" s="646"/>
      <c r="TI4" s="646"/>
      <c r="TJ4" s="646"/>
      <c r="TK4" s="646"/>
      <c r="TL4" s="646"/>
      <c r="TM4" s="646"/>
      <c r="TN4" s="646"/>
      <c r="TO4" s="646"/>
      <c r="TP4" s="646"/>
      <c r="TQ4" s="646"/>
      <c r="TR4" s="646"/>
      <c r="TS4" s="646"/>
      <c r="TT4" s="646"/>
      <c r="TU4" s="646"/>
      <c r="TV4" s="646"/>
      <c r="TW4" s="646"/>
      <c r="TX4" s="646"/>
      <c r="TY4" s="646"/>
      <c r="TZ4" s="646"/>
      <c r="UA4" s="646"/>
      <c r="UB4" s="646"/>
      <c r="UC4" s="646"/>
      <c r="UD4" s="646"/>
      <c r="UE4" s="646"/>
      <c r="UF4" s="646"/>
      <c r="UG4" s="646"/>
      <c r="UH4" s="646"/>
      <c r="UI4" s="646"/>
      <c r="UJ4" s="646"/>
      <c r="UK4" s="646"/>
      <c r="UL4" s="646"/>
      <c r="UM4" s="646"/>
      <c r="UN4" s="646"/>
      <c r="UO4" s="646"/>
      <c r="UP4" s="646"/>
      <c r="UQ4" s="646"/>
      <c r="UR4" s="646"/>
      <c r="US4" s="646"/>
      <c r="UT4" s="646"/>
      <c r="UU4" s="646"/>
      <c r="UV4" s="646"/>
      <c r="UW4" s="646"/>
      <c r="UX4" s="646"/>
      <c r="UY4" s="646"/>
      <c r="UZ4" s="646"/>
      <c r="VA4" s="646"/>
      <c r="VB4" s="646"/>
      <c r="VC4" s="646"/>
      <c r="VD4" s="646"/>
      <c r="VE4" s="646"/>
      <c r="VF4" s="646"/>
      <c r="VG4" s="646"/>
      <c r="VH4" s="646"/>
      <c r="VI4" s="646"/>
      <c r="VJ4" s="646"/>
      <c r="VK4" s="646"/>
      <c r="VL4" s="646"/>
      <c r="VM4" s="646"/>
      <c r="VN4" s="646"/>
      <c r="VO4" s="646"/>
      <c r="VP4" s="646"/>
      <c r="VQ4" s="646"/>
      <c r="VR4" s="646"/>
      <c r="VS4" s="646"/>
      <c r="VT4" s="646"/>
      <c r="VU4" s="646"/>
      <c r="VV4" s="646"/>
      <c r="VW4" s="646"/>
      <c r="VX4" s="646"/>
      <c r="VY4" s="646"/>
      <c r="VZ4" s="646"/>
      <c r="WA4" s="646"/>
      <c r="WB4" s="646"/>
      <c r="WC4" s="646"/>
      <c r="WD4" s="646"/>
      <c r="WE4" s="646"/>
      <c r="WF4" s="646"/>
      <c r="WG4" s="646"/>
      <c r="WH4" s="646"/>
      <c r="WI4" s="646"/>
      <c r="WJ4" s="646"/>
      <c r="WK4" s="646"/>
      <c r="WL4" s="646"/>
      <c r="WM4" s="646"/>
      <c r="WN4" s="646"/>
      <c r="WO4" s="646"/>
      <c r="WP4" s="646"/>
      <c r="WQ4" s="646"/>
      <c r="WR4" s="646"/>
      <c r="WS4" s="646"/>
      <c r="WT4" s="646"/>
      <c r="WU4" s="646"/>
      <c r="WV4" s="646"/>
      <c r="WW4" s="646"/>
      <c r="WX4" s="646"/>
      <c r="WY4" s="646"/>
      <c r="WZ4" s="646"/>
      <c r="XA4" s="646"/>
      <c r="XB4" s="646"/>
      <c r="XC4" s="646"/>
      <c r="XD4" s="646"/>
      <c r="XE4" s="646"/>
      <c r="XF4" s="646"/>
      <c r="XG4" s="646"/>
      <c r="XH4" s="646"/>
      <c r="XI4" s="646"/>
      <c r="XJ4" s="646"/>
      <c r="XK4" s="646"/>
      <c r="XL4" s="646"/>
      <c r="XM4" s="646"/>
      <c r="XN4" s="646"/>
      <c r="XO4" s="646"/>
      <c r="XP4" s="646"/>
      <c r="XQ4" s="646"/>
      <c r="XR4" s="646"/>
      <c r="XS4" s="646"/>
      <c r="XT4" s="646"/>
      <c r="XU4" s="646"/>
      <c r="XV4" s="646"/>
      <c r="XW4" s="646"/>
      <c r="XX4" s="646"/>
      <c r="XY4" s="646"/>
      <c r="XZ4" s="646"/>
      <c r="YA4" s="646"/>
      <c r="YB4" s="646"/>
      <c r="YC4" s="646"/>
      <c r="YD4" s="646"/>
      <c r="YE4" s="646"/>
      <c r="YF4" s="646"/>
      <c r="YG4" s="646"/>
      <c r="YH4" s="646"/>
      <c r="YI4" s="646"/>
      <c r="YJ4" s="646"/>
      <c r="YK4" s="646"/>
      <c r="YL4" s="646"/>
      <c r="YM4" s="646"/>
      <c r="YN4" s="646"/>
      <c r="YO4" s="646"/>
      <c r="YP4" s="646"/>
      <c r="YQ4" s="646"/>
      <c r="YR4" s="646"/>
      <c r="YS4" s="646"/>
      <c r="YT4" s="646"/>
      <c r="YU4" s="646"/>
      <c r="YV4" s="646"/>
      <c r="YW4" s="646"/>
      <c r="YX4" s="646"/>
      <c r="YY4" s="646"/>
      <c r="YZ4" s="646"/>
      <c r="ZA4" s="646"/>
      <c r="ZB4" s="646"/>
      <c r="ZC4" s="646"/>
      <c r="ZD4" s="646"/>
      <c r="ZE4" s="646"/>
      <c r="ZF4" s="646"/>
      <c r="ZG4" s="646"/>
      <c r="ZH4" s="646"/>
      <c r="ZI4" s="646"/>
      <c r="ZJ4" s="646"/>
      <c r="ZK4" s="646"/>
      <c r="ZL4" s="646"/>
      <c r="ZM4" s="646"/>
      <c r="ZN4" s="646"/>
      <c r="ZO4" s="646"/>
      <c r="ZP4" s="646"/>
      <c r="ZQ4" s="646"/>
      <c r="ZR4" s="646"/>
      <c r="ZS4" s="646"/>
      <c r="ZT4" s="646"/>
      <c r="ZU4" s="646"/>
      <c r="ZV4" s="646"/>
      <c r="ZW4" s="646"/>
      <c r="ZX4" s="646"/>
      <c r="ZY4" s="646"/>
      <c r="ZZ4" s="646"/>
      <c r="AAA4" s="646"/>
      <c r="AAB4" s="646"/>
      <c r="AAC4" s="646"/>
      <c r="AAD4" s="646"/>
      <c r="AAE4" s="646"/>
      <c r="AAF4" s="646"/>
      <c r="AAG4" s="646"/>
      <c r="AAH4" s="646"/>
      <c r="AAI4" s="646"/>
      <c r="AAJ4" s="646"/>
      <c r="AAK4" s="646"/>
      <c r="AAL4" s="646"/>
      <c r="AAM4" s="646"/>
      <c r="AAN4" s="646"/>
      <c r="AAO4" s="646"/>
      <c r="AAP4" s="646"/>
      <c r="AAQ4" s="646"/>
      <c r="AAR4" s="646"/>
      <c r="AAS4" s="646"/>
      <c r="AAT4" s="646"/>
      <c r="AAU4" s="646"/>
      <c r="AAV4" s="646"/>
      <c r="AAW4" s="646"/>
      <c r="AAX4" s="646"/>
      <c r="AAY4" s="646"/>
      <c r="AAZ4" s="646"/>
      <c r="ABA4" s="646"/>
      <c r="ABB4" s="646"/>
      <c r="ABC4" s="646"/>
      <c r="ABD4" s="646"/>
      <c r="ABE4" s="646"/>
      <c r="ABF4" s="646"/>
      <c r="ABG4" s="646"/>
      <c r="ABH4" s="646"/>
      <c r="ABI4" s="646"/>
      <c r="ABJ4" s="646"/>
      <c r="ABK4" s="646"/>
      <c r="ABL4" s="646"/>
      <c r="ABM4" s="646"/>
      <c r="ABN4" s="646"/>
      <c r="ABO4" s="646"/>
      <c r="ABP4" s="646"/>
      <c r="ABQ4" s="646"/>
      <c r="ABR4" s="646"/>
      <c r="ABS4" s="646"/>
      <c r="ABT4" s="646"/>
      <c r="ABU4" s="646"/>
      <c r="ABV4" s="646"/>
      <c r="ABW4" s="646"/>
      <c r="ABX4" s="646"/>
      <c r="ABY4" s="646"/>
      <c r="ABZ4" s="646"/>
      <c r="ACA4" s="646"/>
      <c r="ACB4" s="646"/>
      <c r="ACC4" s="646"/>
      <c r="ACD4" s="646"/>
      <c r="ACE4" s="646"/>
      <c r="ACF4" s="646"/>
      <c r="ACG4" s="646"/>
      <c r="ACH4" s="646"/>
      <c r="ACI4" s="646"/>
      <c r="ACJ4" s="646"/>
      <c r="ACK4" s="646"/>
      <c r="ACL4" s="646"/>
      <c r="ACM4" s="646"/>
      <c r="ACN4" s="646"/>
      <c r="ACO4" s="646"/>
      <c r="ACP4" s="646"/>
      <c r="ACQ4" s="646"/>
      <c r="ACR4" s="646"/>
      <c r="ACS4" s="646"/>
      <c r="ACT4" s="646"/>
      <c r="ACU4" s="646"/>
      <c r="ACV4" s="646"/>
      <c r="ACW4" s="646"/>
      <c r="ACX4" s="646"/>
      <c r="ACY4" s="646"/>
      <c r="ACZ4" s="646"/>
      <c r="ADA4" s="646"/>
      <c r="ADB4" s="646"/>
      <c r="ADC4" s="646"/>
      <c r="ADD4" s="646"/>
      <c r="ADE4" s="646"/>
      <c r="ADF4" s="646"/>
      <c r="ADG4" s="646"/>
      <c r="ADH4" s="646"/>
      <c r="ADI4" s="646"/>
      <c r="ADJ4" s="646"/>
      <c r="ADK4" s="646"/>
      <c r="ADL4" s="646"/>
      <c r="ADM4" s="646"/>
      <c r="ADN4" s="646"/>
      <c r="ADO4" s="646"/>
      <c r="ADP4" s="646"/>
      <c r="ADQ4" s="646"/>
      <c r="ADR4" s="646"/>
      <c r="ADS4" s="646"/>
      <c r="ADT4" s="646"/>
      <c r="ADU4" s="646"/>
      <c r="ADV4" s="646"/>
      <c r="ADW4" s="646"/>
      <c r="ADX4" s="646"/>
      <c r="ADY4" s="646"/>
      <c r="ADZ4" s="646"/>
      <c r="AEA4" s="646"/>
      <c r="AEB4" s="646"/>
      <c r="AEC4" s="646"/>
      <c r="AED4" s="646"/>
      <c r="AEE4" s="646"/>
      <c r="AEF4" s="646"/>
      <c r="AEG4" s="646"/>
      <c r="AEH4" s="646"/>
      <c r="AEI4" s="646"/>
      <c r="AEJ4" s="646"/>
      <c r="AEK4" s="646"/>
      <c r="AEL4" s="646"/>
      <c r="AEM4" s="646"/>
      <c r="AEN4" s="646"/>
      <c r="AEO4" s="646"/>
      <c r="AEP4" s="646"/>
      <c r="AEQ4" s="646"/>
      <c r="AER4" s="646"/>
      <c r="AES4" s="646"/>
      <c r="AET4" s="646"/>
      <c r="AEU4" s="646"/>
      <c r="AEV4" s="646"/>
      <c r="AEW4" s="646"/>
      <c r="AEX4" s="646"/>
      <c r="AEY4" s="646"/>
      <c r="AEZ4" s="646"/>
      <c r="AFA4" s="646"/>
      <c r="AFB4" s="646"/>
      <c r="AFC4" s="646"/>
      <c r="AFD4" s="646"/>
      <c r="AFE4" s="646"/>
      <c r="AFF4" s="646"/>
      <c r="AFG4" s="646"/>
      <c r="AFH4" s="646"/>
      <c r="AFI4" s="646"/>
      <c r="AFJ4" s="646"/>
      <c r="AFK4" s="646"/>
      <c r="AFL4" s="646"/>
      <c r="AFM4" s="646"/>
      <c r="AFN4" s="646"/>
      <c r="AFO4" s="646"/>
      <c r="AFP4" s="646"/>
      <c r="AFQ4" s="646"/>
      <c r="AFR4" s="646"/>
      <c r="AFS4" s="646"/>
      <c r="AFT4" s="646"/>
      <c r="AFU4" s="646"/>
      <c r="AFV4" s="646"/>
      <c r="AFW4" s="646"/>
      <c r="AFX4" s="646"/>
      <c r="AFY4" s="646"/>
      <c r="AFZ4" s="646"/>
      <c r="AGA4" s="646"/>
      <c r="AGB4" s="646"/>
      <c r="AGC4" s="646"/>
      <c r="AGD4" s="646"/>
      <c r="AGE4" s="646"/>
      <c r="AGF4" s="646"/>
      <c r="AGG4" s="646"/>
      <c r="AGH4" s="646"/>
      <c r="AGI4" s="646"/>
      <c r="AGJ4" s="646"/>
      <c r="AGK4" s="646"/>
      <c r="AGL4" s="646"/>
      <c r="AGM4" s="646"/>
      <c r="AGN4" s="646"/>
      <c r="AGO4" s="646"/>
      <c r="AGP4" s="646"/>
      <c r="AGQ4" s="646"/>
      <c r="AGR4" s="646"/>
      <c r="AGS4" s="646"/>
      <c r="AGT4" s="646"/>
      <c r="AGU4" s="646"/>
      <c r="AGV4" s="646"/>
      <c r="AGW4" s="646"/>
      <c r="AGX4" s="646"/>
      <c r="AGY4" s="646"/>
      <c r="AGZ4" s="646"/>
      <c r="AHA4" s="646"/>
      <c r="AHB4" s="646"/>
      <c r="AHC4" s="646"/>
      <c r="AHD4" s="646"/>
      <c r="AHE4" s="646"/>
      <c r="AHF4" s="646"/>
      <c r="AHG4" s="646"/>
      <c r="AHH4" s="646"/>
      <c r="AHI4" s="646"/>
      <c r="AHJ4" s="646"/>
      <c r="AHK4" s="646"/>
      <c r="AHL4" s="646"/>
      <c r="AHM4" s="646"/>
      <c r="AHN4" s="646"/>
      <c r="AHO4" s="646"/>
      <c r="AHP4" s="646"/>
      <c r="AHQ4" s="646"/>
      <c r="AHR4" s="646"/>
      <c r="AHS4" s="646"/>
      <c r="AHT4" s="646"/>
      <c r="AHU4" s="646"/>
      <c r="AHV4" s="646"/>
      <c r="AHW4" s="646"/>
      <c r="AHX4" s="646"/>
      <c r="AHY4" s="646"/>
      <c r="AHZ4" s="646"/>
      <c r="AIA4" s="646"/>
      <c r="AIB4" s="646"/>
      <c r="AIC4" s="646"/>
      <c r="AID4" s="646"/>
      <c r="AIE4" s="646"/>
      <c r="AIF4" s="646"/>
      <c r="AIG4" s="646"/>
      <c r="AIH4" s="646"/>
      <c r="AII4" s="646"/>
      <c r="AIJ4" s="646"/>
      <c r="AIK4" s="646"/>
      <c r="AIL4" s="646"/>
      <c r="AIM4" s="646"/>
      <c r="AIN4" s="646"/>
      <c r="AIO4" s="646"/>
      <c r="AIP4" s="646"/>
      <c r="AIQ4" s="646"/>
      <c r="AIR4" s="646"/>
      <c r="AIS4" s="646"/>
      <c r="AIT4" s="646"/>
      <c r="AIU4" s="646"/>
      <c r="AIV4" s="646"/>
      <c r="AIW4" s="646"/>
      <c r="AIX4" s="646"/>
      <c r="AIY4" s="646"/>
      <c r="AIZ4" s="646"/>
      <c r="AJA4" s="646"/>
      <c r="AJB4" s="646"/>
      <c r="AJC4" s="646"/>
      <c r="AJD4" s="646"/>
      <c r="AJE4" s="646"/>
      <c r="AJF4" s="646"/>
      <c r="AJG4" s="646"/>
      <c r="AJH4" s="646"/>
      <c r="AJI4" s="646"/>
      <c r="AJJ4" s="646"/>
      <c r="AJK4" s="646"/>
      <c r="AJL4" s="646"/>
      <c r="AJM4" s="646"/>
      <c r="AJN4" s="646"/>
      <c r="AJO4" s="646"/>
      <c r="AJP4" s="646"/>
      <c r="AJQ4" s="646"/>
      <c r="AJR4" s="646"/>
      <c r="AJS4" s="646"/>
      <c r="AJT4" s="646"/>
      <c r="AJU4" s="646"/>
      <c r="AJV4" s="646"/>
      <c r="AJW4" s="646"/>
      <c r="AJX4" s="646"/>
      <c r="AJY4" s="646"/>
      <c r="AJZ4" s="646"/>
      <c r="AKA4" s="646"/>
      <c r="AKB4" s="646"/>
      <c r="AKC4" s="646"/>
      <c r="AKD4" s="646"/>
      <c r="AKE4" s="646"/>
      <c r="AKF4" s="646"/>
      <c r="AKG4" s="646"/>
      <c r="AKH4" s="646"/>
      <c r="AKI4" s="646"/>
      <c r="AKJ4" s="646"/>
      <c r="AKK4" s="646"/>
      <c r="AKL4" s="646"/>
      <c r="AKM4" s="646"/>
      <c r="AKN4" s="646"/>
      <c r="AKO4" s="646"/>
      <c r="AKP4" s="646"/>
      <c r="AKQ4" s="646"/>
      <c r="AKR4" s="646"/>
      <c r="AKS4" s="646"/>
      <c r="AKT4" s="646"/>
      <c r="AKU4" s="646"/>
      <c r="AKV4" s="646"/>
      <c r="AKW4" s="646"/>
      <c r="AKX4" s="646"/>
      <c r="AKY4" s="646"/>
      <c r="AKZ4" s="646"/>
      <c r="ALA4" s="646"/>
      <c r="ALB4" s="646"/>
      <c r="ALC4" s="646"/>
      <c r="ALD4" s="646"/>
      <c r="ALE4" s="646"/>
      <c r="ALF4" s="646"/>
      <c r="ALG4" s="646"/>
      <c r="ALH4" s="646"/>
      <c r="ALI4" s="646"/>
      <c r="ALJ4" s="646"/>
      <c r="ALK4" s="646"/>
      <c r="ALL4" s="646"/>
      <c r="ALM4" s="646"/>
      <c r="ALN4" s="646"/>
      <c r="ALO4" s="646"/>
      <c r="ALP4" s="646"/>
      <c r="ALQ4" s="646"/>
      <c r="ALR4" s="646"/>
      <c r="ALS4" s="646"/>
      <c r="ALT4" s="646"/>
      <c r="ALU4" s="646"/>
      <c r="ALV4" s="646"/>
      <c r="ALW4" s="646"/>
      <c r="ALX4" s="646"/>
      <c r="ALY4" s="646"/>
      <c r="ALZ4" s="646"/>
      <c r="AMA4" s="646"/>
      <c r="AMB4" s="646"/>
      <c r="AMC4" s="646"/>
      <c r="AMD4" s="646"/>
      <c r="AME4" s="646"/>
      <c r="AMF4" s="646"/>
      <c r="AMG4" s="646"/>
      <c r="AMH4" s="646"/>
    </row>
    <row r="5" spans="1:1022" ht="15.6">
      <c r="A5" s="650" t="s">
        <v>1823</v>
      </c>
      <c r="B5" s="651" t="s">
        <v>1824</v>
      </c>
      <c r="C5" s="646"/>
      <c r="D5" s="646"/>
      <c r="E5" s="646"/>
      <c r="F5" s="646"/>
      <c r="G5" s="646"/>
      <c r="H5" s="647"/>
      <c r="I5" s="646"/>
      <c r="J5" s="646"/>
      <c r="K5" s="646"/>
      <c r="L5" s="646"/>
      <c r="M5" s="646"/>
      <c r="N5" s="647"/>
      <c r="O5" s="647"/>
      <c r="P5" s="647"/>
      <c r="Q5" s="647"/>
      <c r="R5" s="647"/>
      <c r="S5" s="647"/>
      <c r="T5" s="646"/>
      <c r="U5" s="646"/>
      <c r="V5" s="646"/>
      <c r="W5" s="646"/>
      <c r="X5" s="646"/>
      <c r="Y5" s="646"/>
      <c r="Z5" s="646"/>
      <c r="AA5" s="646"/>
      <c r="AB5" s="646"/>
      <c r="AC5" s="646"/>
      <c r="AD5" s="646"/>
      <c r="AE5" s="646"/>
      <c r="AF5" s="646"/>
      <c r="AG5" s="646"/>
      <c r="AH5" s="646"/>
      <c r="AI5" s="646"/>
      <c r="AJ5" s="646"/>
      <c r="AK5" s="646"/>
      <c r="AL5" s="646"/>
      <c r="AM5" s="646"/>
      <c r="AN5" s="646"/>
      <c r="AO5" s="646"/>
      <c r="AP5" s="646"/>
      <c r="AQ5" s="646"/>
      <c r="AR5" s="646"/>
      <c r="AS5" s="646"/>
      <c r="AT5" s="646"/>
      <c r="AU5" s="646"/>
      <c r="AV5" s="646"/>
      <c r="AW5" s="646"/>
      <c r="AX5" s="646"/>
      <c r="AY5" s="646"/>
      <c r="AZ5" s="646"/>
      <c r="BA5" s="646"/>
      <c r="BB5" s="646"/>
      <c r="BC5" s="646"/>
      <c r="BD5" s="646"/>
      <c r="BE5" s="646"/>
      <c r="BF5" s="646"/>
      <c r="BG5" s="646"/>
      <c r="BH5" s="646"/>
      <c r="BI5" s="646"/>
      <c r="BJ5" s="646"/>
      <c r="BK5" s="646"/>
      <c r="BL5" s="646"/>
      <c r="BM5" s="646"/>
      <c r="BN5" s="646"/>
      <c r="BO5" s="646"/>
      <c r="BP5" s="646"/>
      <c r="BQ5" s="646"/>
      <c r="BR5" s="646"/>
      <c r="BS5" s="646"/>
      <c r="BT5" s="646"/>
      <c r="BU5" s="646"/>
      <c r="BV5" s="646"/>
      <c r="BW5" s="646"/>
      <c r="BX5" s="646"/>
      <c r="BY5" s="646"/>
      <c r="BZ5" s="646"/>
      <c r="CA5" s="646"/>
      <c r="CB5" s="646"/>
      <c r="CC5" s="646"/>
      <c r="CD5" s="646"/>
      <c r="CE5" s="646"/>
      <c r="CF5" s="646"/>
      <c r="CG5" s="646"/>
      <c r="CH5" s="646"/>
      <c r="CI5" s="646"/>
      <c r="CJ5" s="646"/>
      <c r="CK5" s="646"/>
      <c r="CL5" s="646"/>
      <c r="CM5" s="646"/>
      <c r="CN5" s="646"/>
      <c r="CO5" s="646"/>
      <c r="CP5" s="646"/>
      <c r="CQ5" s="646"/>
      <c r="CR5" s="646"/>
      <c r="CS5" s="646"/>
      <c r="CT5" s="646"/>
      <c r="CU5" s="646"/>
      <c r="CV5" s="646"/>
      <c r="CW5" s="646"/>
      <c r="CX5" s="646"/>
      <c r="CY5" s="646"/>
      <c r="CZ5" s="646"/>
      <c r="DA5" s="646"/>
      <c r="DB5" s="646"/>
      <c r="DC5" s="646"/>
      <c r="DD5" s="646"/>
      <c r="DE5" s="646"/>
      <c r="DF5" s="646"/>
      <c r="DG5" s="646"/>
      <c r="DH5" s="646"/>
      <c r="DI5" s="646"/>
      <c r="DJ5" s="646"/>
      <c r="DK5" s="646"/>
      <c r="DL5" s="646"/>
      <c r="DM5" s="646"/>
      <c r="DN5" s="646"/>
      <c r="DO5" s="646"/>
      <c r="DP5" s="646"/>
      <c r="DQ5" s="646"/>
      <c r="DR5" s="646"/>
      <c r="DS5" s="646"/>
      <c r="DT5" s="646"/>
      <c r="DU5" s="646"/>
      <c r="DV5" s="646"/>
      <c r="DW5" s="646"/>
      <c r="DX5" s="646"/>
      <c r="DY5" s="646"/>
      <c r="DZ5" s="646"/>
      <c r="EA5" s="646"/>
      <c r="EB5" s="646"/>
      <c r="EC5" s="646"/>
      <c r="ED5" s="646"/>
      <c r="EE5" s="646"/>
      <c r="EF5" s="646"/>
      <c r="EG5" s="646"/>
      <c r="EH5" s="646"/>
      <c r="EI5" s="646"/>
      <c r="EJ5" s="646"/>
      <c r="EK5" s="646"/>
      <c r="EL5" s="646"/>
      <c r="EM5" s="646"/>
      <c r="EN5" s="646"/>
      <c r="EO5" s="646"/>
      <c r="EP5" s="646"/>
      <c r="EQ5" s="646"/>
      <c r="ER5" s="646"/>
      <c r="ES5" s="646"/>
      <c r="ET5" s="646"/>
      <c r="EU5" s="646"/>
      <c r="EV5" s="646"/>
      <c r="EW5" s="646"/>
      <c r="EX5" s="646"/>
      <c r="EY5" s="646"/>
      <c r="EZ5" s="646"/>
      <c r="FA5" s="646"/>
      <c r="FB5" s="646"/>
      <c r="FC5" s="646"/>
      <c r="FD5" s="646"/>
      <c r="FE5" s="646"/>
      <c r="FF5" s="646"/>
      <c r="FG5" s="646"/>
      <c r="FH5" s="646"/>
      <c r="FI5" s="646"/>
      <c r="FJ5" s="646"/>
      <c r="FK5" s="646"/>
      <c r="FL5" s="646"/>
      <c r="FM5" s="646"/>
      <c r="FN5" s="646"/>
      <c r="FO5" s="646"/>
      <c r="FP5" s="646"/>
      <c r="FQ5" s="646"/>
      <c r="FR5" s="646"/>
      <c r="FS5" s="646"/>
      <c r="FT5" s="646"/>
      <c r="FU5" s="646"/>
      <c r="FV5" s="646"/>
      <c r="FW5" s="646"/>
      <c r="FX5" s="646"/>
      <c r="FY5" s="646"/>
      <c r="FZ5" s="646"/>
      <c r="GA5" s="646"/>
      <c r="GB5" s="646"/>
      <c r="GC5" s="646"/>
      <c r="GD5" s="646"/>
      <c r="GE5" s="646"/>
      <c r="GF5" s="646"/>
      <c r="GG5" s="646"/>
      <c r="GH5" s="646"/>
      <c r="GI5" s="646"/>
      <c r="GJ5" s="646"/>
      <c r="GK5" s="646"/>
      <c r="GL5" s="646"/>
      <c r="GM5" s="646"/>
      <c r="GN5" s="646"/>
      <c r="GO5" s="646"/>
      <c r="GP5" s="646"/>
      <c r="GQ5" s="646"/>
      <c r="GR5" s="646"/>
      <c r="GS5" s="646"/>
      <c r="GT5" s="646"/>
      <c r="GU5" s="646"/>
      <c r="GV5" s="646"/>
      <c r="GW5" s="646"/>
      <c r="GX5" s="646"/>
      <c r="GY5" s="646"/>
      <c r="GZ5" s="646"/>
      <c r="HA5" s="646"/>
      <c r="HB5" s="646"/>
      <c r="HC5" s="646"/>
      <c r="HD5" s="646"/>
      <c r="HE5" s="646"/>
      <c r="HF5" s="646"/>
      <c r="HG5" s="646"/>
      <c r="HH5" s="646"/>
      <c r="HI5" s="646"/>
      <c r="HJ5" s="646"/>
      <c r="HK5" s="646"/>
      <c r="HL5" s="646"/>
      <c r="HM5" s="646"/>
      <c r="HN5" s="646"/>
      <c r="HO5" s="646"/>
      <c r="HP5" s="646"/>
      <c r="HQ5" s="646"/>
      <c r="HR5" s="646"/>
      <c r="HS5" s="646"/>
      <c r="HT5" s="646"/>
      <c r="HU5" s="646"/>
      <c r="HV5" s="646"/>
      <c r="HW5" s="646"/>
      <c r="HX5" s="646"/>
      <c r="HY5" s="646"/>
      <c r="HZ5" s="646"/>
      <c r="IA5" s="646"/>
      <c r="IB5" s="646"/>
      <c r="IC5" s="646"/>
      <c r="ID5" s="646"/>
      <c r="IE5" s="646"/>
      <c r="IF5" s="646"/>
      <c r="IG5" s="646"/>
      <c r="IH5" s="646"/>
      <c r="II5" s="646"/>
      <c r="IJ5" s="646"/>
      <c r="IK5" s="646"/>
      <c r="IL5" s="646"/>
      <c r="IM5" s="646"/>
      <c r="IN5" s="646"/>
      <c r="IO5" s="646"/>
      <c r="IP5" s="646"/>
      <c r="IQ5" s="646"/>
      <c r="IR5" s="646"/>
      <c r="IS5" s="646"/>
      <c r="IT5" s="646"/>
      <c r="IU5" s="646"/>
      <c r="IV5" s="646"/>
      <c r="IW5" s="646"/>
      <c r="IX5" s="646"/>
      <c r="IY5" s="646"/>
      <c r="IZ5" s="646"/>
      <c r="JA5" s="646"/>
      <c r="JB5" s="646"/>
      <c r="JC5" s="646"/>
      <c r="JD5" s="646"/>
      <c r="JE5" s="646"/>
      <c r="JF5" s="646"/>
      <c r="JG5" s="646"/>
      <c r="JH5" s="646"/>
      <c r="JI5" s="646"/>
      <c r="JJ5" s="646"/>
      <c r="JK5" s="646"/>
      <c r="JL5" s="646"/>
      <c r="JM5" s="646"/>
      <c r="JN5" s="646"/>
      <c r="JO5" s="646"/>
      <c r="JP5" s="646"/>
      <c r="JQ5" s="646"/>
      <c r="JR5" s="646"/>
      <c r="JS5" s="646"/>
      <c r="JT5" s="646"/>
      <c r="JU5" s="646"/>
      <c r="JV5" s="646"/>
      <c r="JW5" s="646"/>
      <c r="JX5" s="646"/>
      <c r="JY5" s="646"/>
      <c r="JZ5" s="646"/>
      <c r="KA5" s="646"/>
      <c r="KB5" s="646"/>
      <c r="KC5" s="646"/>
      <c r="KD5" s="646"/>
      <c r="KE5" s="646"/>
      <c r="KF5" s="646"/>
      <c r="KG5" s="646"/>
      <c r="KH5" s="646"/>
      <c r="KI5" s="646"/>
      <c r="KJ5" s="646"/>
      <c r="KK5" s="646"/>
      <c r="KL5" s="646"/>
      <c r="KM5" s="646"/>
      <c r="KN5" s="646"/>
      <c r="KO5" s="646"/>
      <c r="KP5" s="646"/>
      <c r="KQ5" s="646"/>
      <c r="KR5" s="646"/>
      <c r="KS5" s="646"/>
      <c r="KT5" s="646"/>
      <c r="KU5" s="646"/>
      <c r="KV5" s="646"/>
      <c r="KW5" s="646"/>
      <c r="KX5" s="646"/>
      <c r="KY5" s="646"/>
      <c r="KZ5" s="646"/>
      <c r="LA5" s="646"/>
      <c r="LB5" s="646"/>
      <c r="LC5" s="646"/>
      <c r="LD5" s="646"/>
      <c r="LE5" s="646"/>
      <c r="LF5" s="646"/>
      <c r="LG5" s="646"/>
      <c r="LH5" s="646"/>
      <c r="LI5" s="646"/>
      <c r="LJ5" s="646"/>
      <c r="LK5" s="646"/>
      <c r="LL5" s="646"/>
      <c r="LM5" s="646"/>
      <c r="LN5" s="646"/>
      <c r="LO5" s="646"/>
      <c r="LP5" s="646"/>
      <c r="LQ5" s="646"/>
      <c r="LR5" s="646"/>
      <c r="LS5" s="646"/>
      <c r="LT5" s="646"/>
      <c r="LU5" s="646"/>
      <c r="LV5" s="646"/>
      <c r="LW5" s="646"/>
      <c r="LX5" s="646"/>
      <c r="LY5" s="646"/>
      <c r="LZ5" s="646"/>
      <c r="MA5" s="646"/>
      <c r="MB5" s="646"/>
      <c r="MC5" s="646"/>
      <c r="MD5" s="646"/>
      <c r="ME5" s="646"/>
      <c r="MF5" s="646"/>
      <c r="MG5" s="646"/>
      <c r="MH5" s="646"/>
      <c r="MI5" s="646"/>
      <c r="MJ5" s="646"/>
      <c r="MK5" s="646"/>
      <c r="ML5" s="646"/>
      <c r="MM5" s="646"/>
      <c r="MN5" s="646"/>
      <c r="MO5" s="646"/>
      <c r="MP5" s="646"/>
      <c r="MQ5" s="646"/>
      <c r="MR5" s="646"/>
      <c r="MS5" s="646"/>
      <c r="MT5" s="646"/>
      <c r="MU5" s="646"/>
      <c r="MV5" s="646"/>
      <c r="MW5" s="646"/>
      <c r="MX5" s="646"/>
      <c r="MY5" s="646"/>
      <c r="MZ5" s="646"/>
      <c r="NA5" s="646"/>
      <c r="NB5" s="646"/>
      <c r="NC5" s="646"/>
      <c r="ND5" s="646"/>
      <c r="NE5" s="646"/>
      <c r="NF5" s="646"/>
      <c r="NG5" s="646"/>
      <c r="NH5" s="646"/>
      <c r="NI5" s="646"/>
      <c r="NJ5" s="646"/>
      <c r="NK5" s="646"/>
      <c r="NL5" s="646"/>
      <c r="NM5" s="646"/>
      <c r="NN5" s="646"/>
      <c r="NO5" s="646"/>
      <c r="NP5" s="646"/>
      <c r="NQ5" s="646"/>
      <c r="NR5" s="646"/>
      <c r="NS5" s="646"/>
      <c r="NT5" s="646"/>
      <c r="NU5" s="646"/>
      <c r="NV5" s="646"/>
      <c r="NW5" s="646"/>
      <c r="NX5" s="646"/>
      <c r="NY5" s="646"/>
      <c r="NZ5" s="646"/>
      <c r="OA5" s="646"/>
      <c r="OB5" s="646"/>
      <c r="OC5" s="646"/>
      <c r="OD5" s="646"/>
      <c r="OE5" s="646"/>
      <c r="OF5" s="646"/>
      <c r="OG5" s="646"/>
      <c r="OH5" s="646"/>
      <c r="OI5" s="646"/>
      <c r="OJ5" s="646"/>
      <c r="OK5" s="646"/>
      <c r="OL5" s="646"/>
      <c r="OM5" s="646"/>
      <c r="ON5" s="646"/>
      <c r="OO5" s="646"/>
      <c r="OP5" s="646"/>
      <c r="OQ5" s="646"/>
      <c r="OR5" s="646"/>
      <c r="OS5" s="646"/>
      <c r="OT5" s="646"/>
      <c r="OU5" s="646"/>
      <c r="OV5" s="646"/>
      <c r="OW5" s="646"/>
      <c r="OX5" s="646"/>
      <c r="OY5" s="646"/>
      <c r="OZ5" s="646"/>
      <c r="PA5" s="646"/>
      <c r="PB5" s="646"/>
      <c r="PC5" s="646"/>
      <c r="PD5" s="646"/>
      <c r="PE5" s="646"/>
      <c r="PF5" s="646"/>
      <c r="PG5" s="646"/>
      <c r="PH5" s="646"/>
      <c r="PI5" s="646"/>
      <c r="PJ5" s="646"/>
      <c r="PK5" s="646"/>
      <c r="PL5" s="646"/>
      <c r="PM5" s="646"/>
      <c r="PN5" s="646"/>
      <c r="PO5" s="646"/>
      <c r="PP5" s="646"/>
      <c r="PQ5" s="646"/>
      <c r="PR5" s="646"/>
      <c r="PS5" s="646"/>
      <c r="PT5" s="646"/>
      <c r="PU5" s="646"/>
      <c r="PV5" s="646"/>
      <c r="PW5" s="646"/>
      <c r="PX5" s="646"/>
      <c r="PY5" s="646"/>
      <c r="PZ5" s="646"/>
      <c r="QA5" s="646"/>
      <c r="QB5" s="646"/>
      <c r="QC5" s="646"/>
      <c r="QD5" s="646"/>
      <c r="QE5" s="646"/>
      <c r="QF5" s="646"/>
      <c r="QG5" s="646"/>
      <c r="QH5" s="646"/>
      <c r="QI5" s="646"/>
      <c r="QJ5" s="646"/>
      <c r="QK5" s="646"/>
      <c r="QL5" s="646"/>
      <c r="QM5" s="646"/>
      <c r="QN5" s="646"/>
      <c r="QO5" s="646"/>
      <c r="QP5" s="646"/>
      <c r="QQ5" s="646"/>
      <c r="QR5" s="646"/>
      <c r="QS5" s="646"/>
      <c r="QT5" s="646"/>
      <c r="QU5" s="646"/>
      <c r="QV5" s="646"/>
      <c r="QW5" s="646"/>
      <c r="QX5" s="646"/>
      <c r="QY5" s="646"/>
      <c r="QZ5" s="646"/>
      <c r="RA5" s="646"/>
      <c r="RB5" s="646"/>
      <c r="RC5" s="646"/>
      <c r="RD5" s="646"/>
      <c r="RE5" s="646"/>
      <c r="RF5" s="646"/>
      <c r="RG5" s="646"/>
      <c r="RH5" s="646"/>
      <c r="RI5" s="646"/>
      <c r="RJ5" s="646"/>
      <c r="RK5" s="646"/>
      <c r="RL5" s="646"/>
      <c r="RM5" s="646"/>
      <c r="RN5" s="646"/>
      <c r="RO5" s="646"/>
      <c r="RP5" s="646"/>
      <c r="RQ5" s="646"/>
      <c r="RR5" s="646"/>
      <c r="RS5" s="646"/>
      <c r="RT5" s="646"/>
      <c r="RU5" s="646"/>
      <c r="RV5" s="646"/>
      <c r="RW5" s="646"/>
      <c r="RX5" s="646"/>
      <c r="RY5" s="646"/>
      <c r="RZ5" s="646"/>
      <c r="SA5" s="646"/>
      <c r="SB5" s="646"/>
      <c r="SC5" s="646"/>
      <c r="SD5" s="646"/>
      <c r="SE5" s="646"/>
      <c r="SF5" s="646"/>
      <c r="SG5" s="646"/>
      <c r="SH5" s="646"/>
      <c r="SI5" s="646"/>
      <c r="SJ5" s="646"/>
      <c r="SK5" s="646"/>
      <c r="SL5" s="646"/>
      <c r="SM5" s="646"/>
      <c r="SN5" s="646"/>
      <c r="SO5" s="646"/>
      <c r="SP5" s="646"/>
      <c r="SQ5" s="646"/>
      <c r="SR5" s="646"/>
      <c r="SS5" s="646"/>
      <c r="ST5" s="646"/>
      <c r="SU5" s="646"/>
      <c r="SV5" s="646"/>
      <c r="SW5" s="646"/>
      <c r="SX5" s="646"/>
      <c r="SY5" s="646"/>
      <c r="SZ5" s="646"/>
      <c r="TA5" s="646"/>
      <c r="TB5" s="646"/>
      <c r="TC5" s="646"/>
      <c r="TD5" s="646"/>
      <c r="TE5" s="646"/>
      <c r="TF5" s="646"/>
      <c r="TG5" s="646"/>
      <c r="TH5" s="646"/>
      <c r="TI5" s="646"/>
      <c r="TJ5" s="646"/>
      <c r="TK5" s="646"/>
      <c r="TL5" s="646"/>
      <c r="TM5" s="646"/>
      <c r="TN5" s="646"/>
      <c r="TO5" s="646"/>
      <c r="TP5" s="646"/>
      <c r="TQ5" s="646"/>
      <c r="TR5" s="646"/>
      <c r="TS5" s="646"/>
      <c r="TT5" s="646"/>
      <c r="TU5" s="646"/>
      <c r="TV5" s="646"/>
      <c r="TW5" s="646"/>
      <c r="TX5" s="646"/>
      <c r="TY5" s="646"/>
      <c r="TZ5" s="646"/>
      <c r="UA5" s="646"/>
      <c r="UB5" s="646"/>
      <c r="UC5" s="646"/>
      <c r="UD5" s="646"/>
      <c r="UE5" s="646"/>
      <c r="UF5" s="646"/>
      <c r="UG5" s="646"/>
      <c r="UH5" s="646"/>
      <c r="UI5" s="646"/>
      <c r="UJ5" s="646"/>
      <c r="UK5" s="646"/>
      <c r="UL5" s="646"/>
      <c r="UM5" s="646"/>
      <c r="UN5" s="646"/>
      <c r="UO5" s="646"/>
      <c r="UP5" s="646"/>
      <c r="UQ5" s="646"/>
      <c r="UR5" s="646"/>
      <c r="US5" s="646"/>
      <c r="UT5" s="646"/>
      <c r="UU5" s="646"/>
      <c r="UV5" s="646"/>
      <c r="UW5" s="646"/>
      <c r="UX5" s="646"/>
      <c r="UY5" s="646"/>
      <c r="UZ5" s="646"/>
      <c r="VA5" s="646"/>
      <c r="VB5" s="646"/>
      <c r="VC5" s="646"/>
      <c r="VD5" s="646"/>
      <c r="VE5" s="646"/>
      <c r="VF5" s="646"/>
      <c r="VG5" s="646"/>
      <c r="VH5" s="646"/>
      <c r="VI5" s="646"/>
      <c r="VJ5" s="646"/>
      <c r="VK5" s="646"/>
      <c r="VL5" s="646"/>
      <c r="VM5" s="646"/>
      <c r="VN5" s="646"/>
      <c r="VO5" s="646"/>
      <c r="VP5" s="646"/>
      <c r="VQ5" s="646"/>
      <c r="VR5" s="646"/>
      <c r="VS5" s="646"/>
      <c r="VT5" s="646"/>
      <c r="VU5" s="646"/>
      <c r="VV5" s="646"/>
      <c r="VW5" s="646"/>
      <c r="VX5" s="646"/>
      <c r="VY5" s="646"/>
      <c r="VZ5" s="646"/>
      <c r="WA5" s="646"/>
      <c r="WB5" s="646"/>
      <c r="WC5" s="646"/>
      <c r="WD5" s="646"/>
      <c r="WE5" s="646"/>
      <c r="WF5" s="646"/>
      <c r="WG5" s="646"/>
      <c r="WH5" s="646"/>
      <c r="WI5" s="646"/>
      <c r="WJ5" s="646"/>
      <c r="WK5" s="646"/>
      <c r="WL5" s="646"/>
      <c r="WM5" s="646"/>
      <c r="WN5" s="646"/>
      <c r="WO5" s="646"/>
      <c r="WP5" s="646"/>
      <c r="WQ5" s="646"/>
      <c r="WR5" s="646"/>
      <c r="WS5" s="646"/>
      <c r="WT5" s="646"/>
      <c r="WU5" s="646"/>
      <c r="WV5" s="646"/>
      <c r="WW5" s="646"/>
      <c r="WX5" s="646"/>
      <c r="WY5" s="646"/>
      <c r="WZ5" s="646"/>
      <c r="XA5" s="646"/>
      <c r="XB5" s="646"/>
      <c r="XC5" s="646"/>
      <c r="XD5" s="646"/>
      <c r="XE5" s="646"/>
      <c r="XF5" s="646"/>
      <c r="XG5" s="646"/>
      <c r="XH5" s="646"/>
      <c r="XI5" s="646"/>
      <c r="XJ5" s="646"/>
      <c r="XK5" s="646"/>
      <c r="XL5" s="646"/>
      <c r="XM5" s="646"/>
      <c r="XN5" s="646"/>
      <c r="XO5" s="646"/>
      <c r="XP5" s="646"/>
      <c r="XQ5" s="646"/>
      <c r="XR5" s="646"/>
      <c r="XS5" s="646"/>
      <c r="XT5" s="646"/>
      <c r="XU5" s="646"/>
      <c r="XV5" s="646"/>
      <c r="XW5" s="646"/>
      <c r="XX5" s="646"/>
      <c r="XY5" s="646"/>
      <c r="XZ5" s="646"/>
      <c r="YA5" s="646"/>
      <c r="YB5" s="646"/>
      <c r="YC5" s="646"/>
      <c r="YD5" s="646"/>
      <c r="YE5" s="646"/>
      <c r="YF5" s="646"/>
      <c r="YG5" s="646"/>
      <c r="YH5" s="646"/>
      <c r="YI5" s="646"/>
      <c r="YJ5" s="646"/>
      <c r="YK5" s="646"/>
      <c r="YL5" s="646"/>
      <c r="YM5" s="646"/>
      <c r="YN5" s="646"/>
      <c r="YO5" s="646"/>
      <c r="YP5" s="646"/>
      <c r="YQ5" s="646"/>
      <c r="YR5" s="646"/>
      <c r="YS5" s="646"/>
      <c r="YT5" s="646"/>
      <c r="YU5" s="646"/>
      <c r="YV5" s="646"/>
      <c r="YW5" s="646"/>
      <c r="YX5" s="646"/>
      <c r="YY5" s="646"/>
      <c r="YZ5" s="646"/>
      <c r="ZA5" s="646"/>
      <c r="ZB5" s="646"/>
      <c r="ZC5" s="646"/>
      <c r="ZD5" s="646"/>
      <c r="ZE5" s="646"/>
      <c r="ZF5" s="646"/>
      <c r="ZG5" s="646"/>
      <c r="ZH5" s="646"/>
      <c r="ZI5" s="646"/>
      <c r="ZJ5" s="646"/>
      <c r="ZK5" s="646"/>
      <c r="ZL5" s="646"/>
      <c r="ZM5" s="646"/>
      <c r="ZN5" s="646"/>
      <c r="ZO5" s="646"/>
      <c r="ZP5" s="646"/>
      <c r="ZQ5" s="646"/>
      <c r="ZR5" s="646"/>
      <c r="ZS5" s="646"/>
      <c r="ZT5" s="646"/>
      <c r="ZU5" s="646"/>
      <c r="ZV5" s="646"/>
      <c r="ZW5" s="646"/>
      <c r="ZX5" s="646"/>
      <c r="ZY5" s="646"/>
      <c r="ZZ5" s="646"/>
      <c r="AAA5" s="646"/>
      <c r="AAB5" s="646"/>
      <c r="AAC5" s="646"/>
      <c r="AAD5" s="646"/>
      <c r="AAE5" s="646"/>
      <c r="AAF5" s="646"/>
      <c r="AAG5" s="646"/>
      <c r="AAH5" s="646"/>
      <c r="AAI5" s="646"/>
      <c r="AAJ5" s="646"/>
      <c r="AAK5" s="646"/>
      <c r="AAL5" s="646"/>
      <c r="AAM5" s="646"/>
      <c r="AAN5" s="646"/>
      <c r="AAO5" s="646"/>
      <c r="AAP5" s="646"/>
      <c r="AAQ5" s="646"/>
      <c r="AAR5" s="646"/>
      <c r="AAS5" s="646"/>
      <c r="AAT5" s="646"/>
      <c r="AAU5" s="646"/>
      <c r="AAV5" s="646"/>
      <c r="AAW5" s="646"/>
      <c r="AAX5" s="646"/>
      <c r="AAY5" s="646"/>
      <c r="AAZ5" s="646"/>
      <c r="ABA5" s="646"/>
      <c r="ABB5" s="646"/>
      <c r="ABC5" s="646"/>
      <c r="ABD5" s="646"/>
      <c r="ABE5" s="646"/>
      <c r="ABF5" s="646"/>
      <c r="ABG5" s="646"/>
      <c r="ABH5" s="646"/>
      <c r="ABI5" s="646"/>
      <c r="ABJ5" s="646"/>
      <c r="ABK5" s="646"/>
      <c r="ABL5" s="646"/>
      <c r="ABM5" s="646"/>
      <c r="ABN5" s="646"/>
      <c r="ABO5" s="646"/>
      <c r="ABP5" s="646"/>
      <c r="ABQ5" s="646"/>
      <c r="ABR5" s="646"/>
      <c r="ABS5" s="646"/>
      <c r="ABT5" s="646"/>
      <c r="ABU5" s="646"/>
      <c r="ABV5" s="646"/>
      <c r="ABW5" s="646"/>
      <c r="ABX5" s="646"/>
      <c r="ABY5" s="646"/>
      <c r="ABZ5" s="646"/>
      <c r="ACA5" s="646"/>
      <c r="ACB5" s="646"/>
      <c r="ACC5" s="646"/>
      <c r="ACD5" s="646"/>
      <c r="ACE5" s="646"/>
      <c r="ACF5" s="646"/>
      <c r="ACG5" s="646"/>
      <c r="ACH5" s="646"/>
      <c r="ACI5" s="646"/>
      <c r="ACJ5" s="646"/>
      <c r="ACK5" s="646"/>
      <c r="ACL5" s="646"/>
      <c r="ACM5" s="646"/>
      <c r="ACN5" s="646"/>
      <c r="ACO5" s="646"/>
      <c r="ACP5" s="646"/>
      <c r="ACQ5" s="646"/>
      <c r="ACR5" s="646"/>
      <c r="ACS5" s="646"/>
      <c r="ACT5" s="646"/>
      <c r="ACU5" s="646"/>
      <c r="ACV5" s="646"/>
      <c r="ACW5" s="646"/>
      <c r="ACX5" s="646"/>
      <c r="ACY5" s="646"/>
      <c r="ACZ5" s="646"/>
      <c r="ADA5" s="646"/>
      <c r="ADB5" s="646"/>
      <c r="ADC5" s="646"/>
      <c r="ADD5" s="646"/>
      <c r="ADE5" s="646"/>
      <c r="ADF5" s="646"/>
      <c r="ADG5" s="646"/>
      <c r="ADH5" s="646"/>
      <c r="ADI5" s="646"/>
      <c r="ADJ5" s="646"/>
      <c r="ADK5" s="646"/>
      <c r="ADL5" s="646"/>
      <c r="ADM5" s="646"/>
      <c r="ADN5" s="646"/>
      <c r="ADO5" s="646"/>
      <c r="ADP5" s="646"/>
      <c r="ADQ5" s="646"/>
      <c r="ADR5" s="646"/>
      <c r="ADS5" s="646"/>
      <c r="ADT5" s="646"/>
      <c r="ADU5" s="646"/>
      <c r="ADV5" s="646"/>
      <c r="ADW5" s="646"/>
      <c r="ADX5" s="646"/>
      <c r="ADY5" s="646"/>
      <c r="ADZ5" s="646"/>
      <c r="AEA5" s="646"/>
      <c r="AEB5" s="646"/>
      <c r="AEC5" s="646"/>
      <c r="AED5" s="646"/>
      <c r="AEE5" s="646"/>
      <c r="AEF5" s="646"/>
      <c r="AEG5" s="646"/>
      <c r="AEH5" s="646"/>
      <c r="AEI5" s="646"/>
      <c r="AEJ5" s="646"/>
      <c r="AEK5" s="646"/>
      <c r="AEL5" s="646"/>
      <c r="AEM5" s="646"/>
      <c r="AEN5" s="646"/>
      <c r="AEO5" s="646"/>
      <c r="AEP5" s="646"/>
      <c r="AEQ5" s="646"/>
      <c r="AER5" s="646"/>
      <c r="AES5" s="646"/>
      <c r="AET5" s="646"/>
      <c r="AEU5" s="646"/>
      <c r="AEV5" s="646"/>
      <c r="AEW5" s="646"/>
      <c r="AEX5" s="646"/>
      <c r="AEY5" s="646"/>
      <c r="AEZ5" s="646"/>
      <c r="AFA5" s="646"/>
      <c r="AFB5" s="646"/>
      <c r="AFC5" s="646"/>
      <c r="AFD5" s="646"/>
      <c r="AFE5" s="646"/>
      <c r="AFF5" s="646"/>
      <c r="AFG5" s="646"/>
      <c r="AFH5" s="646"/>
      <c r="AFI5" s="646"/>
      <c r="AFJ5" s="646"/>
      <c r="AFK5" s="646"/>
      <c r="AFL5" s="646"/>
      <c r="AFM5" s="646"/>
      <c r="AFN5" s="646"/>
      <c r="AFO5" s="646"/>
      <c r="AFP5" s="646"/>
      <c r="AFQ5" s="646"/>
      <c r="AFR5" s="646"/>
      <c r="AFS5" s="646"/>
      <c r="AFT5" s="646"/>
      <c r="AFU5" s="646"/>
      <c r="AFV5" s="646"/>
      <c r="AFW5" s="646"/>
      <c r="AFX5" s="646"/>
      <c r="AFY5" s="646"/>
      <c r="AFZ5" s="646"/>
      <c r="AGA5" s="646"/>
      <c r="AGB5" s="646"/>
      <c r="AGC5" s="646"/>
      <c r="AGD5" s="646"/>
      <c r="AGE5" s="646"/>
      <c r="AGF5" s="646"/>
      <c r="AGG5" s="646"/>
      <c r="AGH5" s="646"/>
      <c r="AGI5" s="646"/>
      <c r="AGJ5" s="646"/>
      <c r="AGK5" s="646"/>
      <c r="AGL5" s="646"/>
      <c r="AGM5" s="646"/>
      <c r="AGN5" s="646"/>
      <c r="AGO5" s="646"/>
      <c r="AGP5" s="646"/>
      <c r="AGQ5" s="646"/>
      <c r="AGR5" s="646"/>
      <c r="AGS5" s="646"/>
      <c r="AGT5" s="646"/>
      <c r="AGU5" s="646"/>
      <c r="AGV5" s="646"/>
      <c r="AGW5" s="646"/>
      <c r="AGX5" s="646"/>
      <c r="AGY5" s="646"/>
      <c r="AGZ5" s="646"/>
      <c r="AHA5" s="646"/>
      <c r="AHB5" s="646"/>
      <c r="AHC5" s="646"/>
      <c r="AHD5" s="646"/>
      <c r="AHE5" s="646"/>
      <c r="AHF5" s="646"/>
      <c r="AHG5" s="646"/>
      <c r="AHH5" s="646"/>
      <c r="AHI5" s="646"/>
      <c r="AHJ5" s="646"/>
      <c r="AHK5" s="646"/>
      <c r="AHL5" s="646"/>
      <c r="AHM5" s="646"/>
      <c r="AHN5" s="646"/>
      <c r="AHO5" s="646"/>
      <c r="AHP5" s="646"/>
      <c r="AHQ5" s="646"/>
      <c r="AHR5" s="646"/>
      <c r="AHS5" s="646"/>
      <c r="AHT5" s="646"/>
      <c r="AHU5" s="646"/>
      <c r="AHV5" s="646"/>
      <c r="AHW5" s="646"/>
      <c r="AHX5" s="646"/>
      <c r="AHY5" s="646"/>
      <c r="AHZ5" s="646"/>
      <c r="AIA5" s="646"/>
      <c r="AIB5" s="646"/>
      <c r="AIC5" s="646"/>
      <c r="AID5" s="646"/>
      <c r="AIE5" s="646"/>
      <c r="AIF5" s="646"/>
      <c r="AIG5" s="646"/>
      <c r="AIH5" s="646"/>
      <c r="AII5" s="646"/>
      <c r="AIJ5" s="646"/>
      <c r="AIK5" s="646"/>
      <c r="AIL5" s="646"/>
      <c r="AIM5" s="646"/>
      <c r="AIN5" s="646"/>
      <c r="AIO5" s="646"/>
      <c r="AIP5" s="646"/>
      <c r="AIQ5" s="646"/>
      <c r="AIR5" s="646"/>
      <c r="AIS5" s="646"/>
      <c r="AIT5" s="646"/>
      <c r="AIU5" s="646"/>
      <c r="AIV5" s="646"/>
      <c r="AIW5" s="646"/>
      <c r="AIX5" s="646"/>
      <c r="AIY5" s="646"/>
      <c r="AIZ5" s="646"/>
      <c r="AJA5" s="646"/>
      <c r="AJB5" s="646"/>
      <c r="AJC5" s="646"/>
      <c r="AJD5" s="646"/>
      <c r="AJE5" s="646"/>
      <c r="AJF5" s="646"/>
      <c r="AJG5" s="646"/>
      <c r="AJH5" s="646"/>
      <c r="AJI5" s="646"/>
      <c r="AJJ5" s="646"/>
      <c r="AJK5" s="646"/>
      <c r="AJL5" s="646"/>
      <c r="AJM5" s="646"/>
      <c r="AJN5" s="646"/>
      <c r="AJO5" s="646"/>
      <c r="AJP5" s="646"/>
      <c r="AJQ5" s="646"/>
      <c r="AJR5" s="646"/>
      <c r="AJS5" s="646"/>
      <c r="AJT5" s="646"/>
      <c r="AJU5" s="646"/>
      <c r="AJV5" s="646"/>
      <c r="AJW5" s="646"/>
      <c r="AJX5" s="646"/>
      <c r="AJY5" s="646"/>
      <c r="AJZ5" s="646"/>
      <c r="AKA5" s="646"/>
      <c r="AKB5" s="646"/>
      <c r="AKC5" s="646"/>
      <c r="AKD5" s="646"/>
      <c r="AKE5" s="646"/>
      <c r="AKF5" s="646"/>
      <c r="AKG5" s="646"/>
      <c r="AKH5" s="646"/>
      <c r="AKI5" s="646"/>
      <c r="AKJ5" s="646"/>
      <c r="AKK5" s="646"/>
      <c r="AKL5" s="646"/>
      <c r="AKM5" s="646"/>
      <c r="AKN5" s="646"/>
      <c r="AKO5" s="646"/>
      <c r="AKP5" s="646"/>
      <c r="AKQ5" s="646"/>
      <c r="AKR5" s="646"/>
      <c r="AKS5" s="646"/>
      <c r="AKT5" s="646"/>
      <c r="AKU5" s="646"/>
      <c r="AKV5" s="646"/>
      <c r="AKW5" s="646"/>
      <c r="AKX5" s="646"/>
      <c r="AKY5" s="646"/>
      <c r="AKZ5" s="646"/>
      <c r="ALA5" s="646"/>
      <c r="ALB5" s="646"/>
      <c r="ALC5" s="646"/>
      <c r="ALD5" s="646"/>
      <c r="ALE5" s="646"/>
      <c r="ALF5" s="646"/>
      <c r="ALG5" s="646"/>
      <c r="ALH5" s="646"/>
      <c r="ALI5" s="646"/>
      <c r="ALJ5" s="646"/>
      <c r="ALK5" s="646"/>
      <c r="ALL5" s="646"/>
      <c r="ALM5" s="646"/>
      <c r="ALN5" s="646"/>
      <c r="ALO5" s="646"/>
      <c r="ALP5" s="646"/>
      <c r="ALQ5" s="646"/>
      <c r="ALR5" s="646"/>
      <c r="ALS5" s="646"/>
      <c r="ALT5" s="646"/>
      <c r="ALU5" s="646"/>
      <c r="ALV5" s="646"/>
      <c r="ALW5" s="646"/>
      <c r="ALX5" s="646"/>
      <c r="ALY5" s="646"/>
      <c r="ALZ5" s="646"/>
      <c r="AMA5" s="646"/>
      <c r="AMB5" s="646"/>
      <c r="AMC5" s="646"/>
      <c r="AMD5" s="646"/>
      <c r="AME5" s="646"/>
      <c r="AMF5" s="646"/>
      <c r="AMG5" s="646"/>
      <c r="AMH5" s="646"/>
    </row>
    <row r="6" spans="1:1022" ht="15.6">
      <c r="A6" s="650" t="s">
        <v>1825</v>
      </c>
      <c r="B6" s="652" t="s">
        <v>1976</v>
      </c>
      <c r="C6" s="646"/>
      <c r="D6" s="646"/>
      <c r="E6" s="646"/>
      <c r="F6" s="646"/>
      <c r="G6" s="646"/>
      <c r="H6" s="647"/>
      <c r="I6" s="646"/>
      <c r="J6" s="646"/>
      <c r="K6" s="646"/>
      <c r="L6" s="646"/>
      <c r="M6" s="646"/>
      <c r="N6" s="647"/>
      <c r="O6" s="647"/>
      <c r="P6" s="647"/>
      <c r="Q6" s="647"/>
      <c r="R6" s="647"/>
      <c r="S6" s="647"/>
      <c r="T6" s="646"/>
      <c r="U6" s="646"/>
      <c r="V6" s="646"/>
      <c r="W6" s="646"/>
      <c r="X6" s="646"/>
      <c r="Y6" s="646"/>
      <c r="Z6" s="646"/>
      <c r="AA6" s="646"/>
      <c r="AB6" s="646"/>
      <c r="AC6" s="646"/>
      <c r="AD6" s="646"/>
      <c r="AE6" s="646"/>
      <c r="AF6" s="646"/>
      <c r="AG6" s="646"/>
      <c r="AH6" s="646"/>
      <c r="AI6" s="646"/>
      <c r="AJ6" s="646"/>
      <c r="AK6" s="646"/>
      <c r="AL6" s="646"/>
      <c r="AM6" s="646"/>
      <c r="AN6" s="646"/>
      <c r="AO6" s="646"/>
      <c r="AP6" s="646"/>
      <c r="AQ6" s="646"/>
      <c r="AR6" s="646"/>
      <c r="AS6" s="646"/>
      <c r="AT6" s="646"/>
      <c r="AU6" s="646"/>
      <c r="AV6" s="646"/>
      <c r="AW6" s="646"/>
      <c r="AX6" s="646"/>
      <c r="AY6" s="646"/>
      <c r="AZ6" s="646"/>
      <c r="BA6" s="646"/>
      <c r="BB6" s="646"/>
      <c r="BC6" s="646"/>
      <c r="BD6" s="646"/>
      <c r="BE6" s="646"/>
      <c r="BF6" s="646"/>
      <c r="BG6" s="646"/>
      <c r="BH6" s="646"/>
      <c r="BI6" s="646"/>
      <c r="BJ6" s="646"/>
      <c r="BK6" s="646"/>
      <c r="BL6" s="646"/>
      <c r="BM6" s="646"/>
      <c r="BN6" s="646"/>
      <c r="BO6" s="646"/>
      <c r="BP6" s="646"/>
      <c r="BQ6" s="646"/>
      <c r="BR6" s="646"/>
      <c r="BS6" s="646"/>
      <c r="BT6" s="646"/>
      <c r="BU6" s="646"/>
      <c r="BV6" s="646"/>
      <c r="BW6" s="646"/>
      <c r="BX6" s="646"/>
      <c r="BY6" s="646"/>
      <c r="BZ6" s="646"/>
      <c r="CA6" s="646"/>
      <c r="CB6" s="646"/>
      <c r="CC6" s="646"/>
      <c r="CD6" s="646"/>
      <c r="CE6" s="646"/>
      <c r="CF6" s="646"/>
      <c r="CG6" s="646"/>
      <c r="CH6" s="646"/>
      <c r="CI6" s="646"/>
      <c r="CJ6" s="646"/>
      <c r="CK6" s="646"/>
      <c r="CL6" s="646"/>
      <c r="CM6" s="646"/>
      <c r="CN6" s="646"/>
      <c r="CO6" s="646"/>
      <c r="CP6" s="646"/>
      <c r="CQ6" s="646"/>
      <c r="CR6" s="646"/>
      <c r="CS6" s="646"/>
      <c r="CT6" s="646"/>
      <c r="CU6" s="646"/>
      <c r="CV6" s="646"/>
      <c r="CW6" s="646"/>
      <c r="CX6" s="646"/>
      <c r="CY6" s="646"/>
      <c r="CZ6" s="646"/>
      <c r="DA6" s="646"/>
      <c r="DB6" s="646"/>
      <c r="DC6" s="646"/>
      <c r="DD6" s="646"/>
      <c r="DE6" s="646"/>
      <c r="DF6" s="646"/>
      <c r="DG6" s="646"/>
      <c r="DH6" s="646"/>
      <c r="DI6" s="646"/>
      <c r="DJ6" s="646"/>
      <c r="DK6" s="646"/>
      <c r="DL6" s="646"/>
      <c r="DM6" s="646"/>
      <c r="DN6" s="646"/>
      <c r="DO6" s="646"/>
      <c r="DP6" s="646"/>
      <c r="DQ6" s="646"/>
      <c r="DR6" s="646"/>
      <c r="DS6" s="646"/>
      <c r="DT6" s="646"/>
      <c r="DU6" s="646"/>
      <c r="DV6" s="646"/>
      <c r="DW6" s="646"/>
      <c r="DX6" s="646"/>
      <c r="DY6" s="646"/>
      <c r="DZ6" s="646"/>
      <c r="EA6" s="646"/>
      <c r="EB6" s="646"/>
      <c r="EC6" s="646"/>
      <c r="ED6" s="646"/>
      <c r="EE6" s="646"/>
      <c r="EF6" s="646"/>
      <c r="EG6" s="646"/>
      <c r="EH6" s="646"/>
      <c r="EI6" s="646"/>
      <c r="EJ6" s="646"/>
      <c r="EK6" s="646"/>
      <c r="EL6" s="646"/>
      <c r="EM6" s="646"/>
      <c r="EN6" s="646"/>
      <c r="EO6" s="646"/>
      <c r="EP6" s="646"/>
      <c r="EQ6" s="646"/>
      <c r="ER6" s="646"/>
      <c r="ES6" s="646"/>
      <c r="ET6" s="646"/>
      <c r="EU6" s="646"/>
      <c r="EV6" s="646"/>
      <c r="EW6" s="646"/>
      <c r="EX6" s="646"/>
      <c r="EY6" s="646"/>
      <c r="EZ6" s="646"/>
      <c r="FA6" s="646"/>
      <c r="FB6" s="646"/>
      <c r="FC6" s="646"/>
      <c r="FD6" s="646"/>
      <c r="FE6" s="646"/>
      <c r="FF6" s="646"/>
      <c r="FG6" s="646"/>
      <c r="FH6" s="646"/>
      <c r="FI6" s="646"/>
      <c r="FJ6" s="646"/>
      <c r="FK6" s="646"/>
      <c r="FL6" s="646"/>
      <c r="FM6" s="646"/>
      <c r="FN6" s="646"/>
      <c r="FO6" s="646"/>
      <c r="FP6" s="646"/>
      <c r="FQ6" s="646"/>
      <c r="FR6" s="646"/>
      <c r="FS6" s="646"/>
      <c r="FT6" s="646"/>
      <c r="FU6" s="646"/>
      <c r="FV6" s="646"/>
      <c r="FW6" s="646"/>
      <c r="FX6" s="646"/>
      <c r="FY6" s="646"/>
      <c r="FZ6" s="646"/>
      <c r="GA6" s="646"/>
      <c r="GB6" s="646"/>
      <c r="GC6" s="646"/>
      <c r="GD6" s="646"/>
      <c r="GE6" s="646"/>
      <c r="GF6" s="646"/>
      <c r="GG6" s="646"/>
      <c r="GH6" s="646"/>
      <c r="GI6" s="646"/>
      <c r="GJ6" s="646"/>
      <c r="GK6" s="646"/>
      <c r="GL6" s="646"/>
      <c r="GM6" s="646"/>
      <c r="GN6" s="646"/>
      <c r="GO6" s="646"/>
      <c r="GP6" s="646"/>
      <c r="GQ6" s="646"/>
      <c r="GR6" s="646"/>
      <c r="GS6" s="646"/>
      <c r="GT6" s="646"/>
      <c r="GU6" s="646"/>
      <c r="GV6" s="646"/>
      <c r="GW6" s="646"/>
      <c r="GX6" s="646"/>
      <c r="GY6" s="646"/>
      <c r="GZ6" s="646"/>
      <c r="HA6" s="646"/>
      <c r="HB6" s="646"/>
      <c r="HC6" s="646"/>
      <c r="HD6" s="646"/>
      <c r="HE6" s="646"/>
      <c r="HF6" s="646"/>
      <c r="HG6" s="646"/>
      <c r="HH6" s="646"/>
      <c r="HI6" s="646"/>
      <c r="HJ6" s="646"/>
      <c r="HK6" s="646"/>
      <c r="HL6" s="646"/>
      <c r="HM6" s="646"/>
      <c r="HN6" s="646"/>
      <c r="HO6" s="646"/>
      <c r="HP6" s="646"/>
      <c r="HQ6" s="646"/>
      <c r="HR6" s="646"/>
      <c r="HS6" s="646"/>
      <c r="HT6" s="646"/>
      <c r="HU6" s="646"/>
      <c r="HV6" s="646"/>
      <c r="HW6" s="646"/>
      <c r="HX6" s="646"/>
      <c r="HY6" s="646"/>
      <c r="HZ6" s="646"/>
      <c r="IA6" s="646"/>
      <c r="IB6" s="646"/>
      <c r="IC6" s="646"/>
      <c r="ID6" s="646"/>
      <c r="IE6" s="646"/>
      <c r="IF6" s="646"/>
      <c r="IG6" s="646"/>
      <c r="IH6" s="646"/>
      <c r="II6" s="646"/>
      <c r="IJ6" s="646"/>
      <c r="IK6" s="646"/>
      <c r="IL6" s="646"/>
      <c r="IM6" s="646"/>
      <c r="IN6" s="646"/>
      <c r="IO6" s="646"/>
      <c r="IP6" s="646"/>
      <c r="IQ6" s="646"/>
      <c r="IR6" s="646"/>
      <c r="IS6" s="646"/>
      <c r="IT6" s="646"/>
      <c r="IU6" s="646"/>
      <c r="IV6" s="646"/>
      <c r="IW6" s="646"/>
      <c r="IX6" s="646"/>
      <c r="IY6" s="646"/>
      <c r="IZ6" s="646"/>
      <c r="JA6" s="646"/>
      <c r="JB6" s="646"/>
      <c r="JC6" s="646"/>
      <c r="JD6" s="646"/>
      <c r="JE6" s="646"/>
      <c r="JF6" s="646"/>
      <c r="JG6" s="646"/>
      <c r="JH6" s="646"/>
      <c r="JI6" s="646"/>
      <c r="JJ6" s="646"/>
      <c r="JK6" s="646"/>
      <c r="JL6" s="646"/>
      <c r="JM6" s="646"/>
      <c r="JN6" s="646"/>
      <c r="JO6" s="646"/>
      <c r="JP6" s="646"/>
      <c r="JQ6" s="646"/>
      <c r="JR6" s="646"/>
      <c r="JS6" s="646"/>
      <c r="JT6" s="646"/>
      <c r="JU6" s="646"/>
      <c r="JV6" s="646"/>
      <c r="JW6" s="646"/>
      <c r="JX6" s="646"/>
      <c r="JY6" s="646"/>
      <c r="JZ6" s="646"/>
      <c r="KA6" s="646"/>
      <c r="KB6" s="646"/>
      <c r="KC6" s="646"/>
      <c r="KD6" s="646"/>
      <c r="KE6" s="646"/>
      <c r="KF6" s="646"/>
      <c r="KG6" s="646"/>
      <c r="KH6" s="646"/>
      <c r="KI6" s="646"/>
      <c r="KJ6" s="646"/>
      <c r="KK6" s="646"/>
      <c r="KL6" s="646"/>
      <c r="KM6" s="646"/>
      <c r="KN6" s="646"/>
      <c r="KO6" s="646"/>
      <c r="KP6" s="646"/>
      <c r="KQ6" s="646"/>
      <c r="KR6" s="646"/>
      <c r="KS6" s="646"/>
      <c r="KT6" s="646"/>
      <c r="KU6" s="646"/>
      <c r="KV6" s="646"/>
      <c r="KW6" s="646"/>
      <c r="KX6" s="646"/>
      <c r="KY6" s="646"/>
      <c r="KZ6" s="646"/>
      <c r="LA6" s="646"/>
      <c r="LB6" s="646"/>
      <c r="LC6" s="646"/>
      <c r="LD6" s="646"/>
      <c r="LE6" s="646"/>
      <c r="LF6" s="646"/>
      <c r="LG6" s="646"/>
      <c r="LH6" s="646"/>
      <c r="LI6" s="646"/>
      <c r="LJ6" s="646"/>
      <c r="LK6" s="646"/>
      <c r="LL6" s="646"/>
      <c r="LM6" s="646"/>
      <c r="LN6" s="646"/>
      <c r="LO6" s="646"/>
      <c r="LP6" s="646"/>
      <c r="LQ6" s="646"/>
      <c r="LR6" s="646"/>
      <c r="LS6" s="646"/>
      <c r="LT6" s="646"/>
      <c r="LU6" s="646"/>
      <c r="LV6" s="646"/>
      <c r="LW6" s="646"/>
      <c r="LX6" s="646"/>
      <c r="LY6" s="646"/>
      <c r="LZ6" s="646"/>
      <c r="MA6" s="646"/>
      <c r="MB6" s="646"/>
      <c r="MC6" s="646"/>
      <c r="MD6" s="646"/>
      <c r="ME6" s="646"/>
      <c r="MF6" s="646"/>
      <c r="MG6" s="646"/>
      <c r="MH6" s="646"/>
      <c r="MI6" s="646"/>
      <c r="MJ6" s="646"/>
      <c r="MK6" s="646"/>
      <c r="ML6" s="646"/>
      <c r="MM6" s="646"/>
      <c r="MN6" s="646"/>
      <c r="MO6" s="646"/>
      <c r="MP6" s="646"/>
      <c r="MQ6" s="646"/>
      <c r="MR6" s="646"/>
      <c r="MS6" s="646"/>
      <c r="MT6" s="646"/>
      <c r="MU6" s="646"/>
      <c r="MV6" s="646"/>
      <c r="MW6" s="646"/>
      <c r="MX6" s="646"/>
      <c r="MY6" s="646"/>
      <c r="MZ6" s="646"/>
      <c r="NA6" s="646"/>
      <c r="NB6" s="646"/>
      <c r="NC6" s="646"/>
      <c r="ND6" s="646"/>
      <c r="NE6" s="646"/>
      <c r="NF6" s="646"/>
      <c r="NG6" s="646"/>
      <c r="NH6" s="646"/>
      <c r="NI6" s="646"/>
      <c r="NJ6" s="646"/>
      <c r="NK6" s="646"/>
      <c r="NL6" s="646"/>
      <c r="NM6" s="646"/>
      <c r="NN6" s="646"/>
      <c r="NO6" s="646"/>
      <c r="NP6" s="646"/>
      <c r="NQ6" s="646"/>
      <c r="NR6" s="646"/>
      <c r="NS6" s="646"/>
      <c r="NT6" s="646"/>
      <c r="NU6" s="646"/>
      <c r="NV6" s="646"/>
      <c r="NW6" s="646"/>
      <c r="NX6" s="646"/>
      <c r="NY6" s="646"/>
      <c r="NZ6" s="646"/>
      <c r="OA6" s="646"/>
      <c r="OB6" s="646"/>
      <c r="OC6" s="646"/>
      <c r="OD6" s="646"/>
      <c r="OE6" s="646"/>
      <c r="OF6" s="646"/>
      <c r="OG6" s="646"/>
      <c r="OH6" s="646"/>
      <c r="OI6" s="646"/>
      <c r="OJ6" s="646"/>
      <c r="OK6" s="646"/>
      <c r="OL6" s="646"/>
      <c r="OM6" s="646"/>
      <c r="ON6" s="646"/>
      <c r="OO6" s="646"/>
      <c r="OP6" s="646"/>
      <c r="OQ6" s="646"/>
      <c r="OR6" s="646"/>
      <c r="OS6" s="646"/>
      <c r="OT6" s="646"/>
      <c r="OU6" s="646"/>
      <c r="OV6" s="646"/>
      <c r="OW6" s="646"/>
      <c r="OX6" s="646"/>
      <c r="OY6" s="646"/>
      <c r="OZ6" s="646"/>
      <c r="PA6" s="646"/>
      <c r="PB6" s="646"/>
      <c r="PC6" s="646"/>
      <c r="PD6" s="646"/>
      <c r="PE6" s="646"/>
      <c r="PF6" s="646"/>
      <c r="PG6" s="646"/>
      <c r="PH6" s="646"/>
      <c r="PI6" s="646"/>
      <c r="PJ6" s="646"/>
      <c r="PK6" s="646"/>
      <c r="PL6" s="646"/>
      <c r="PM6" s="646"/>
      <c r="PN6" s="646"/>
      <c r="PO6" s="646"/>
      <c r="PP6" s="646"/>
      <c r="PQ6" s="646"/>
      <c r="PR6" s="646"/>
      <c r="PS6" s="646"/>
      <c r="PT6" s="646"/>
      <c r="PU6" s="646"/>
      <c r="PV6" s="646"/>
      <c r="PW6" s="646"/>
      <c r="PX6" s="646"/>
      <c r="PY6" s="646"/>
      <c r="PZ6" s="646"/>
      <c r="QA6" s="646"/>
      <c r="QB6" s="646"/>
      <c r="QC6" s="646"/>
      <c r="QD6" s="646"/>
      <c r="QE6" s="646"/>
      <c r="QF6" s="646"/>
      <c r="QG6" s="646"/>
      <c r="QH6" s="646"/>
      <c r="QI6" s="646"/>
      <c r="QJ6" s="646"/>
      <c r="QK6" s="646"/>
      <c r="QL6" s="646"/>
      <c r="QM6" s="646"/>
      <c r="QN6" s="646"/>
      <c r="QO6" s="646"/>
      <c r="QP6" s="646"/>
      <c r="QQ6" s="646"/>
      <c r="QR6" s="646"/>
      <c r="QS6" s="646"/>
      <c r="QT6" s="646"/>
      <c r="QU6" s="646"/>
      <c r="QV6" s="646"/>
      <c r="QW6" s="646"/>
      <c r="QX6" s="646"/>
      <c r="QY6" s="646"/>
      <c r="QZ6" s="646"/>
      <c r="RA6" s="646"/>
      <c r="RB6" s="646"/>
      <c r="RC6" s="646"/>
      <c r="RD6" s="646"/>
      <c r="RE6" s="646"/>
      <c r="RF6" s="646"/>
      <c r="RG6" s="646"/>
      <c r="RH6" s="646"/>
      <c r="RI6" s="646"/>
      <c r="RJ6" s="646"/>
      <c r="RK6" s="646"/>
      <c r="RL6" s="646"/>
      <c r="RM6" s="646"/>
      <c r="RN6" s="646"/>
      <c r="RO6" s="646"/>
      <c r="RP6" s="646"/>
      <c r="RQ6" s="646"/>
      <c r="RR6" s="646"/>
      <c r="RS6" s="646"/>
      <c r="RT6" s="646"/>
      <c r="RU6" s="646"/>
      <c r="RV6" s="646"/>
      <c r="RW6" s="646"/>
      <c r="RX6" s="646"/>
      <c r="RY6" s="646"/>
      <c r="RZ6" s="646"/>
      <c r="SA6" s="646"/>
      <c r="SB6" s="646"/>
      <c r="SC6" s="646"/>
      <c r="SD6" s="646"/>
      <c r="SE6" s="646"/>
      <c r="SF6" s="646"/>
      <c r="SG6" s="646"/>
      <c r="SH6" s="646"/>
      <c r="SI6" s="646"/>
      <c r="SJ6" s="646"/>
      <c r="SK6" s="646"/>
      <c r="SL6" s="646"/>
      <c r="SM6" s="646"/>
      <c r="SN6" s="646"/>
      <c r="SO6" s="646"/>
      <c r="SP6" s="646"/>
      <c r="SQ6" s="646"/>
      <c r="SR6" s="646"/>
      <c r="SS6" s="646"/>
      <c r="ST6" s="646"/>
      <c r="SU6" s="646"/>
      <c r="SV6" s="646"/>
      <c r="SW6" s="646"/>
      <c r="SX6" s="646"/>
      <c r="SY6" s="646"/>
      <c r="SZ6" s="646"/>
      <c r="TA6" s="646"/>
      <c r="TB6" s="646"/>
      <c r="TC6" s="646"/>
      <c r="TD6" s="646"/>
      <c r="TE6" s="646"/>
      <c r="TF6" s="646"/>
      <c r="TG6" s="646"/>
      <c r="TH6" s="646"/>
      <c r="TI6" s="646"/>
      <c r="TJ6" s="646"/>
      <c r="TK6" s="646"/>
      <c r="TL6" s="646"/>
      <c r="TM6" s="646"/>
      <c r="TN6" s="646"/>
      <c r="TO6" s="646"/>
      <c r="TP6" s="646"/>
      <c r="TQ6" s="646"/>
      <c r="TR6" s="646"/>
      <c r="TS6" s="646"/>
      <c r="TT6" s="646"/>
      <c r="TU6" s="646"/>
      <c r="TV6" s="646"/>
      <c r="TW6" s="646"/>
      <c r="TX6" s="646"/>
      <c r="TY6" s="646"/>
      <c r="TZ6" s="646"/>
      <c r="UA6" s="646"/>
      <c r="UB6" s="646"/>
      <c r="UC6" s="646"/>
      <c r="UD6" s="646"/>
      <c r="UE6" s="646"/>
      <c r="UF6" s="646"/>
      <c r="UG6" s="646"/>
      <c r="UH6" s="646"/>
      <c r="UI6" s="646"/>
      <c r="UJ6" s="646"/>
      <c r="UK6" s="646"/>
      <c r="UL6" s="646"/>
      <c r="UM6" s="646"/>
      <c r="UN6" s="646"/>
      <c r="UO6" s="646"/>
      <c r="UP6" s="646"/>
      <c r="UQ6" s="646"/>
      <c r="UR6" s="646"/>
      <c r="US6" s="646"/>
      <c r="UT6" s="646"/>
      <c r="UU6" s="646"/>
      <c r="UV6" s="646"/>
      <c r="UW6" s="646"/>
      <c r="UX6" s="646"/>
      <c r="UY6" s="646"/>
      <c r="UZ6" s="646"/>
      <c r="VA6" s="646"/>
      <c r="VB6" s="646"/>
      <c r="VC6" s="646"/>
      <c r="VD6" s="646"/>
      <c r="VE6" s="646"/>
      <c r="VF6" s="646"/>
      <c r="VG6" s="646"/>
      <c r="VH6" s="646"/>
      <c r="VI6" s="646"/>
      <c r="VJ6" s="646"/>
      <c r="VK6" s="646"/>
      <c r="VL6" s="646"/>
      <c r="VM6" s="646"/>
      <c r="VN6" s="646"/>
      <c r="VO6" s="646"/>
      <c r="VP6" s="646"/>
      <c r="VQ6" s="646"/>
      <c r="VR6" s="646"/>
      <c r="VS6" s="646"/>
      <c r="VT6" s="646"/>
      <c r="VU6" s="646"/>
      <c r="VV6" s="646"/>
      <c r="VW6" s="646"/>
      <c r="VX6" s="646"/>
      <c r="VY6" s="646"/>
      <c r="VZ6" s="646"/>
      <c r="WA6" s="646"/>
      <c r="WB6" s="646"/>
      <c r="WC6" s="646"/>
      <c r="WD6" s="646"/>
      <c r="WE6" s="646"/>
      <c r="WF6" s="646"/>
      <c r="WG6" s="646"/>
      <c r="WH6" s="646"/>
      <c r="WI6" s="646"/>
      <c r="WJ6" s="646"/>
      <c r="WK6" s="646"/>
      <c r="WL6" s="646"/>
      <c r="WM6" s="646"/>
      <c r="WN6" s="646"/>
      <c r="WO6" s="646"/>
      <c r="WP6" s="646"/>
      <c r="WQ6" s="646"/>
      <c r="WR6" s="646"/>
      <c r="WS6" s="646"/>
      <c r="WT6" s="646"/>
      <c r="WU6" s="646"/>
      <c r="WV6" s="646"/>
      <c r="WW6" s="646"/>
      <c r="WX6" s="646"/>
      <c r="WY6" s="646"/>
      <c r="WZ6" s="646"/>
      <c r="XA6" s="646"/>
      <c r="XB6" s="646"/>
      <c r="XC6" s="646"/>
      <c r="XD6" s="646"/>
      <c r="XE6" s="646"/>
      <c r="XF6" s="646"/>
      <c r="XG6" s="646"/>
      <c r="XH6" s="646"/>
      <c r="XI6" s="646"/>
      <c r="XJ6" s="646"/>
      <c r="XK6" s="646"/>
      <c r="XL6" s="646"/>
      <c r="XM6" s="646"/>
      <c r="XN6" s="646"/>
      <c r="XO6" s="646"/>
      <c r="XP6" s="646"/>
      <c r="XQ6" s="646"/>
      <c r="XR6" s="646"/>
      <c r="XS6" s="646"/>
      <c r="XT6" s="646"/>
      <c r="XU6" s="646"/>
      <c r="XV6" s="646"/>
      <c r="XW6" s="646"/>
      <c r="XX6" s="646"/>
      <c r="XY6" s="646"/>
      <c r="XZ6" s="646"/>
      <c r="YA6" s="646"/>
      <c r="YB6" s="646"/>
      <c r="YC6" s="646"/>
      <c r="YD6" s="646"/>
      <c r="YE6" s="646"/>
      <c r="YF6" s="646"/>
      <c r="YG6" s="646"/>
      <c r="YH6" s="646"/>
      <c r="YI6" s="646"/>
      <c r="YJ6" s="646"/>
      <c r="YK6" s="646"/>
      <c r="YL6" s="646"/>
      <c r="YM6" s="646"/>
      <c r="YN6" s="646"/>
      <c r="YO6" s="646"/>
      <c r="YP6" s="646"/>
      <c r="YQ6" s="646"/>
      <c r="YR6" s="646"/>
      <c r="YS6" s="646"/>
      <c r="YT6" s="646"/>
      <c r="YU6" s="646"/>
      <c r="YV6" s="646"/>
      <c r="YW6" s="646"/>
      <c r="YX6" s="646"/>
      <c r="YY6" s="646"/>
      <c r="YZ6" s="646"/>
      <c r="ZA6" s="646"/>
      <c r="ZB6" s="646"/>
      <c r="ZC6" s="646"/>
      <c r="ZD6" s="646"/>
      <c r="ZE6" s="646"/>
      <c r="ZF6" s="646"/>
      <c r="ZG6" s="646"/>
      <c r="ZH6" s="646"/>
      <c r="ZI6" s="646"/>
      <c r="ZJ6" s="646"/>
      <c r="ZK6" s="646"/>
      <c r="ZL6" s="646"/>
      <c r="ZM6" s="646"/>
      <c r="ZN6" s="646"/>
      <c r="ZO6" s="646"/>
      <c r="ZP6" s="646"/>
      <c r="ZQ6" s="646"/>
      <c r="ZR6" s="646"/>
      <c r="ZS6" s="646"/>
      <c r="ZT6" s="646"/>
      <c r="ZU6" s="646"/>
      <c r="ZV6" s="646"/>
      <c r="ZW6" s="646"/>
      <c r="ZX6" s="646"/>
      <c r="ZY6" s="646"/>
      <c r="ZZ6" s="646"/>
      <c r="AAA6" s="646"/>
      <c r="AAB6" s="646"/>
      <c r="AAC6" s="646"/>
      <c r="AAD6" s="646"/>
      <c r="AAE6" s="646"/>
      <c r="AAF6" s="646"/>
      <c r="AAG6" s="646"/>
      <c r="AAH6" s="646"/>
      <c r="AAI6" s="646"/>
      <c r="AAJ6" s="646"/>
      <c r="AAK6" s="646"/>
      <c r="AAL6" s="646"/>
      <c r="AAM6" s="646"/>
      <c r="AAN6" s="646"/>
      <c r="AAO6" s="646"/>
      <c r="AAP6" s="646"/>
      <c r="AAQ6" s="646"/>
      <c r="AAR6" s="646"/>
      <c r="AAS6" s="646"/>
      <c r="AAT6" s="646"/>
      <c r="AAU6" s="646"/>
      <c r="AAV6" s="646"/>
      <c r="AAW6" s="646"/>
      <c r="AAX6" s="646"/>
      <c r="AAY6" s="646"/>
      <c r="AAZ6" s="646"/>
      <c r="ABA6" s="646"/>
      <c r="ABB6" s="646"/>
      <c r="ABC6" s="646"/>
      <c r="ABD6" s="646"/>
      <c r="ABE6" s="646"/>
      <c r="ABF6" s="646"/>
      <c r="ABG6" s="646"/>
      <c r="ABH6" s="646"/>
      <c r="ABI6" s="646"/>
      <c r="ABJ6" s="646"/>
      <c r="ABK6" s="646"/>
      <c r="ABL6" s="646"/>
      <c r="ABM6" s="646"/>
      <c r="ABN6" s="646"/>
      <c r="ABO6" s="646"/>
      <c r="ABP6" s="646"/>
      <c r="ABQ6" s="646"/>
      <c r="ABR6" s="646"/>
      <c r="ABS6" s="646"/>
      <c r="ABT6" s="646"/>
      <c r="ABU6" s="646"/>
      <c r="ABV6" s="646"/>
      <c r="ABW6" s="646"/>
      <c r="ABX6" s="646"/>
      <c r="ABY6" s="646"/>
      <c r="ABZ6" s="646"/>
      <c r="ACA6" s="646"/>
      <c r="ACB6" s="646"/>
      <c r="ACC6" s="646"/>
      <c r="ACD6" s="646"/>
      <c r="ACE6" s="646"/>
      <c r="ACF6" s="646"/>
      <c r="ACG6" s="646"/>
      <c r="ACH6" s="646"/>
      <c r="ACI6" s="646"/>
      <c r="ACJ6" s="646"/>
      <c r="ACK6" s="646"/>
      <c r="ACL6" s="646"/>
      <c r="ACM6" s="646"/>
      <c r="ACN6" s="646"/>
      <c r="ACO6" s="646"/>
      <c r="ACP6" s="646"/>
      <c r="ACQ6" s="646"/>
      <c r="ACR6" s="646"/>
      <c r="ACS6" s="646"/>
      <c r="ACT6" s="646"/>
      <c r="ACU6" s="646"/>
      <c r="ACV6" s="646"/>
      <c r="ACW6" s="646"/>
      <c r="ACX6" s="646"/>
      <c r="ACY6" s="646"/>
      <c r="ACZ6" s="646"/>
      <c r="ADA6" s="646"/>
      <c r="ADB6" s="646"/>
      <c r="ADC6" s="646"/>
      <c r="ADD6" s="646"/>
      <c r="ADE6" s="646"/>
      <c r="ADF6" s="646"/>
      <c r="ADG6" s="646"/>
      <c r="ADH6" s="646"/>
      <c r="ADI6" s="646"/>
      <c r="ADJ6" s="646"/>
      <c r="ADK6" s="646"/>
      <c r="ADL6" s="646"/>
      <c r="ADM6" s="646"/>
      <c r="ADN6" s="646"/>
      <c r="ADO6" s="646"/>
      <c r="ADP6" s="646"/>
      <c r="ADQ6" s="646"/>
      <c r="ADR6" s="646"/>
      <c r="ADS6" s="646"/>
      <c r="ADT6" s="646"/>
      <c r="ADU6" s="646"/>
      <c r="ADV6" s="646"/>
      <c r="ADW6" s="646"/>
      <c r="ADX6" s="646"/>
      <c r="ADY6" s="646"/>
      <c r="ADZ6" s="646"/>
      <c r="AEA6" s="646"/>
      <c r="AEB6" s="646"/>
      <c r="AEC6" s="646"/>
      <c r="AED6" s="646"/>
      <c r="AEE6" s="646"/>
      <c r="AEF6" s="646"/>
      <c r="AEG6" s="646"/>
      <c r="AEH6" s="646"/>
      <c r="AEI6" s="646"/>
      <c r="AEJ6" s="646"/>
      <c r="AEK6" s="646"/>
      <c r="AEL6" s="646"/>
      <c r="AEM6" s="646"/>
      <c r="AEN6" s="646"/>
      <c r="AEO6" s="646"/>
      <c r="AEP6" s="646"/>
      <c r="AEQ6" s="646"/>
      <c r="AER6" s="646"/>
      <c r="AES6" s="646"/>
      <c r="AET6" s="646"/>
      <c r="AEU6" s="646"/>
      <c r="AEV6" s="646"/>
      <c r="AEW6" s="646"/>
      <c r="AEX6" s="646"/>
      <c r="AEY6" s="646"/>
      <c r="AEZ6" s="646"/>
      <c r="AFA6" s="646"/>
      <c r="AFB6" s="646"/>
      <c r="AFC6" s="646"/>
      <c r="AFD6" s="646"/>
      <c r="AFE6" s="646"/>
      <c r="AFF6" s="646"/>
      <c r="AFG6" s="646"/>
      <c r="AFH6" s="646"/>
      <c r="AFI6" s="646"/>
      <c r="AFJ6" s="646"/>
      <c r="AFK6" s="646"/>
      <c r="AFL6" s="646"/>
      <c r="AFM6" s="646"/>
      <c r="AFN6" s="646"/>
      <c r="AFO6" s="646"/>
      <c r="AFP6" s="646"/>
      <c r="AFQ6" s="646"/>
      <c r="AFR6" s="646"/>
      <c r="AFS6" s="646"/>
      <c r="AFT6" s="646"/>
      <c r="AFU6" s="646"/>
      <c r="AFV6" s="646"/>
      <c r="AFW6" s="646"/>
      <c r="AFX6" s="646"/>
      <c r="AFY6" s="646"/>
      <c r="AFZ6" s="646"/>
      <c r="AGA6" s="646"/>
      <c r="AGB6" s="646"/>
      <c r="AGC6" s="646"/>
      <c r="AGD6" s="646"/>
      <c r="AGE6" s="646"/>
      <c r="AGF6" s="646"/>
      <c r="AGG6" s="646"/>
      <c r="AGH6" s="646"/>
      <c r="AGI6" s="646"/>
      <c r="AGJ6" s="646"/>
      <c r="AGK6" s="646"/>
      <c r="AGL6" s="646"/>
      <c r="AGM6" s="646"/>
      <c r="AGN6" s="646"/>
      <c r="AGO6" s="646"/>
      <c r="AGP6" s="646"/>
      <c r="AGQ6" s="646"/>
      <c r="AGR6" s="646"/>
      <c r="AGS6" s="646"/>
      <c r="AGT6" s="646"/>
      <c r="AGU6" s="646"/>
      <c r="AGV6" s="646"/>
      <c r="AGW6" s="646"/>
      <c r="AGX6" s="646"/>
      <c r="AGY6" s="646"/>
      <c r="AGZ6" s="646"/>
      <c r="AHA6" s="646"/>
      <c r="AHB6" s="646"/>
      <c r="AHC6" s="646"/>
      <c r="AHD6" s="646"/>
      <c r="AHE6" s="646"/>
      <c r="AHF6" s="646"/>
      <c r="AHG6" s="646"/>
      <c r="AHH6" s="646"/>
      <c r="AHI6" s="646"/>
      <c r="AHJ6" s="646"/>
      <c r="AHK6" s="646"/>
      <c r="AHL6" s="646"/>
      <c r="AHM6" s="646"/>
      <c r="AHN6" s="646"/>
      <c r="AHO6" s="646"/>
      <c r="AHP6" s="646"/>
      <c r="AHQ6" s="646"/>
      <c r="AHR6" s="646"/>
      <c r="AHS6" s="646"/>
      <c r="AHT6" s="646"/>
      <c r="AHU6" s="646"/>
      <c r="AHV6" s="646"/>
      <c r="AHW6" s="646"/>
      <c r="AHX6" s="646"/>
      <c r="AHY6" s="646"/>
      <c r="AHZ6" s="646"/>
      <c r="AIA6" s="646"/>
      <c r="AIB6" s="646"/>
      <c r="AIC6" s="646"/>
      <c r="AID6" s="646"/>
      <c r="AIE6" s="646"/>
      <c r="AIF6" s="646"/>
      <c r="AIG6" s="646"/>
      <c r="AIH6" s="646"/>
      <c r="AII6" s="646"/>
      <c r="AIJ6" s="646"/>
      <c r="AIK6" s="646"/>
      <c r="AIL6" s="646"/>
      <c r="AIM6" s="646"/>
      <c r="AIN6" s="646"/>
      <c r="AIO6" s="646"/>
      <c r="AIP6" s="646"/>
      <c r="AIQ6" s="646"/>
      <c r="AIR6" s="646"/>
      <c r="AIS6" s="646"/>
      <c r="AIT6" s="646"/>
      <c r="AIU6" s="646"/>
      <c r="AIV6" s="646"/>
      <c r="AIW6" s="646"/>
      <c r="AIX6" s="646"/>
      <c r="AIY6" s="646"/>
      <c r="AIZ6" s="646"/>
      <c r="AJA6" s="646"/>
      <c r="AJB6" s="646"/>
      <c r="AJC6" s="646"/>
      <c r="AJD6" s="646"/>
      <c r="AJE6" s="646"/>
      <c r="AJF6" s="646"/>
      <c r="AJG6" s="646"/>
      <c r="AJH6" s="646"/>
      <c r="AJI6" s="646"/>
      <c r="AJJ6" s="646"/>
      <c r="AJK6" s="646"/>
      <c r="AJL6" s="646"/>
      <c r="AJM6" s="646"/>
      <c r="AJN6" s="646"/>
      <c r="AJO6" s="646"/>
      <c r="AJP6" s="646"/>
      <c r="AJQ6" s="646"/>
      <c r="AJR6" s="646"/>
      <c r="AJS6" s="646"/>
      <c r="AJT6" s="646"/>
      <c r="AJU6" s="646"/>
      <c r="AJV6" s="646"/>
      <c r="AJW6" s="646"/>
      <c r="AJX6" s="646"/>
      <c r="AJY6" s="646"/>
      <c r="AJZ6" s="646"/>
      <c r="AKA6" s="646"/>
      <c r="AKB6" s="646"/>
      <c r="AKC6" s="646"/>
      <c r="AKD6" s="646"/>
      <c r="AKE6" s="646"/>
      <c r="AKF6" s="646"/>
      <c r="AKG6" s="646"/>
      <c r="AKH6" s="646"/>
      <c r="AKI6" s="646"/>
      <c r="AKJ6" s="646"/>
      <c r="AKK6" s="646"/>
      <c r="AKL6" s="646"/>
      <c r="AKM6" s="646"/>
      <c r="AKN6" s="646"/>
      <c r="AKO6" s="646"/>
      <c r="AKP6" s="646"/>
      <c r="AKQ6" s="646"/>
      <c r="AKR6" s="646"/>
      <c r="AKS6" s="646"/>
      <c r="AKT6" s="646"/>
      <c r="AKU6" s="646"/>
      <c r="AKV6" s="646"/>
      <c r="AKW6" s="646"/>
      <c r="AKX6" s="646"/>
      <c r="AKY6" s="646"/>
      <c r="AKZ6" s="646"/>
      <c r="ALA6" s="646"/>
      <c r="ALB6" s="646"/>
      <c r="ALC6" s="646"/>
      <c r="ALD6" s="646"/>
      <c r="ALE6" s="646"/>
      <c r="ALF6" s="646"/>
      <c r="ALG6" s="646"/>
      <c r="ALH6" s="646"/>
      <c r="ALI6" s="646"/>
      <c r="ALJ6" s="646"/>
      <c r="ALK6" s="646"/>
      <c r="ALL6" s="646"/>
      <c r="ALM6" s="646"/>
      <c r="ALN6" s="646"/>
      <c r="ALO6" s="646"/>
      <c r="ALP6" s="646"/>
      <c r="ALQ6" s="646"/>
      <c r="ALR6" s="646"/>
      <c r="ALS6" s="646"/>
      <c r="ALT6" s="646"/>
      <c r="ALU6" s="646"/>
      <c r="ALV6" s="646"/>
      <c r="ALW6" s="646"/>
      <c r="ALX6" s="646"/>
      <c r="ALY6" s="646"/>
      <c r="ALZ6" s="646"/>
      <c r="AMA6" s="646"/>
      <c r="AMB6" s="646"/>
      <c r="AMC6" s="646"/>
      <c r="AMD6" s="646"/>
      <c r="AME6" s="646"/>
      <c r="AMF6" s="646"/>
      <c r="AMG6" s="646"/>
      <c r="AMH6" s="646"/>
    </row>
    <row r="7" spans="1:1022" ht="15.6">
      <c r="A7" s="650" t="s">
        <v>1826</v>
      </c>
      <c r="B7" s="651" t="s">
        <v>1977</v>
      </c>
      <c r="C7" s="646"/>
      <c r="D7" s="646"/>
      <c r="E7" s="646"/>
      <c r="F7" s="646"/>
      <c r="G7" s="646"/>
      <c r="H7" s="647"/>
      <c r="I7" s="646"/>
      <c r="J7" s="646"/>
      <c r="K7" s="646"/>
      <c r="L7" s="646"/>
      <c r="M7" s="646"/>
      <c r="N7" s="647"/>
      <c r="O7" s="647"/>
      <c r="P7" s="647"/>
      <c r="Q7" s="647"/>
      <c r="R7" s="646"/>
      <c r="S7" s="647"/>
      <c r="T7" s="646"/>
      <c r="U7" s="646"/>
      <c r="V7" s="646"/>
      <c r="W7" s="646"/>
      <c r="X7" s="646"/>
      <c r="Y7" s="646"/>
      <c r="Z7" s="646"/>
      <c r="AA7" s="646"/>
      <c r="AB7" s="646"/>
      <c r="AC7" s="646"/>
      <c r="AD7" s="646"/>
      <c r="AE7" s="646"/>
      <c r="AF7" s="646"/>
      <c r="AG7" s="646"/>
      <c r="AH7" s="646"/>
      <c r="AI7" s="646"/>
      <c r="AJ7" s="646"/>
      <c r="AK7" s="646"/>
      <c r="AL7" s="646"/>
      <c r="AM7" s="646"/>
      <c r="AN7" s="646"/>
      <c r="AO7" s="646"/>
      <c r="AP7" s="646"/>
      <c r="AQ7" s="646"/>
      <c r="AR7" s="646"/>
      <c r="AS7" s="646"/>
      <c r="AT7" s="646"/>
      <c r="AU7" s="646"/>
      <c r="AV7" s="646"/>
      <c r="AW7" s="646"/>
      <c r="AX7" s="646"/>
      <c r="AY7" s="646"/>
      <c r="AZ7" s="646"/>
      <c r="BA7" s="646"/>
      <c r="BB7" s="646"/>
      <c r="BC7" s="646"/>
      <c r="BD7" s="646"/>
      <c r="BE7" s="646"/>
      <c r="BF7" s="646"/>
      <c r="BG7" s="646"/>
      <c r="BH7" s="646"/>
      <c r="BI7" s="646"/>
      <c r="BJ7" s="646"/>
      <c r="BK7" s="646"/>
      <c r="BL7" s="646"/>
      <c r="BM7" s="646"/>
      <c r="BN7" s="646"/>
      <c r="BO7" s="646"/>
      <c r="BP7" s="646"/>
      <c r="BQ7" s="646"/>
      <c r="BR7" s="646"/>
      <c r="BS7" s="646"/>
      <c r="BT7" s="646"/>
      <c r="BU7" s="646"/>
      <c r="BV7" s="646"/>
      <c r="BW7" s="646"/>
      <c r="BX7" s="646"/>
      <c r="BY7" s="646"/>
      <c r="BZ7" s="646"/>
      <c r="CA7" s="646"/>
      <c r="CB7" s="646"/>
      <c r="CC7" s="646"/>
      <c r="CD7" s="646"/>
      <c r="CE7" s="646"/>
      <c r="CF7" s="646"/>
      <c r="CG7" s="646"/>
      <c r="CH7" s="646"/>
      <c r="CI7" s="646"/>
      <c r="CJ7" s="646"/>
      <c r="CK7" s="646"/>
      <c r="CL7" s="646"/>
      <c r="CM7" s="646"/>
      <c r="CN7" s="646"/>
      <c r="CO7" s="646"/>
      <c r="CP7" s="646"/>
      <c r="CQ7" s="646"/>
      <c r="CR7" s="646"/>
      <c r="CS7" s="646"/>
      <c r="CT7" s="646"/>
      <c r="CU7" s="646"/>
      <c r="CV7" s="646"/>
      <c r="CW7" s="646"/>
      <c r="CX7" s="646"/>
      <c r="CY7" s="646"/>
      <c r="CZ7" s="646"/>
      <c r="DA7" s="646"/>
      <c r="DB7" s="646"/>
      <c r="DC7" s="646"/>
      <c r="DD7" s="646"/>
      <c r="DE7" s="646"/>
      <c r="DF7" s="646"/>
      <c r="DG7" s="646"/>
      <c r="DH7" s="646"/>
      <c r="DI7" s="646"/>
      <c r="DJ7" s="646"/>
      <c r="DK7" s="646"/>
      <c r="DL7" s="646"/>
      <c r="DM7" s="646"/>
      <c r="DN7" s="646"/>
      <c r="DO7" s="646"/>
      <c r="DP7" s="646"/>
      <c r="DQ7" s="646"/>
      <c r="DR7" s="646"/>
      <c r="DS7" s="646"/>
      <c r="DT7" s="646"/>
      <c r="DU7" s="646"/>
      <c r="DV7" s="646"/>
      <c r="DW7" s="646"/>
      <c r="DX7" s="646"/>
      <c r="DY7" s="646"/>
      <c r="DZ7" s="646"/>
      <c r="EA7" s="646"/>
      <c r="EB7" s="646"/>
      <c r="EC7" s="646"/>
      <c r="ED7" s="646"/>
      <c r="EE7" s="646"/>
      <c r="EF7" s="646"/>
      <c r="EG7" s="646"/>
      <c r="EH7" s="646"/>
      <c r="EI7" s="646"/>
      <c r="EJ7" s="646"/>
      <c r="EK7" s="646"/>
      <c r="EL7" s="646"/>
      <c r="EM7" s="646"/>
      <c r="EN7" s="646"/>
      <c r="EO7" s="646"/>
      <c r="EP7" s="646"/>
      <c r="EQ7" s="646"/>
      <c r="ER7" s="646"/>
      <c r="ES7" s="646"/>
      <c r="ET7" s="646"/>
      <c r="EU7" s="646"/>
      <c r="EV7" s="646"/>
      <c r="EW7" s="646"/>
      <c r="EX7" s="646"/>
      <c r="EY7" s="646"/>
      <c r="EZ7" s="646"/>
      <c r="FA7" s="646"/>
      <c r="FB7" s="646"/>
      <c r="FC7" s="646"/>
      <c r="FD7" s="646"/>
      <c r="FE7" s="646"/>
      <c r="FF7" s="646"/>
      <c r="FG7" s="646"/>
      <c r="FH7" s="646"/>
      <c r="FI7" s="646"/>
      <c r="FJ7" s="646"/>
      <c r="FK7" s="646"/>
      <c r="FL7" s="646"/>
      <c r="FM7" s="646"/>
      <c r="FN7" s="646"/>
      <c r="FO7" s="646"/>
      <c r="FP7" s="646"/>
      <c r="FQ7" s="646"/>
      <c r="FR7" s="646"/>
      <c r="FS7" s="646"/>
      <c r="FT7" s="646"/>
      <c r="FU7" s="646"/>
      <c r="FV7" s="646"/>
      <c r="FW7" s="646"/>
      <c r="FX7" s="646"/>
      <c r="FY7" s="646"/>
      <c r="FZ7" s="646"/>
      <c r="GA7" s="646"/>
      <c r="GB7" s="646"/>
      <c r="GC7" s="646"/>
      <c r="GD7" s="646"/>
      <c r="GE7" s="646"/>
      <c r="GF7" s="646"/>
      <c r="GG7" s="646"/>
      <c r="GH7" s="646"/>
      <c r="GI7" s="646"/>
      <c r="GJ7" s="646"/>
      <c r="GK7" s="646"/>
      <c r="GL7" s="646"/>
      <c r="GM7" s="646"/>
      <c r="GN7" s="646"/>
      <c r="GO7" s="646"/>
      <c r="GP7" s="646"/>
      <c r="GQ7" s="646"/>
      <c r="GR7" s="646"/>
      <c r="GS7" s="646"/>
      <c r="GT7" s="646"/>
      <c r="GU7" s="646"/>
      <c r="GV7" s="646"/>
      <c r="GW7" s="646"/>
      <c r="GX7" s="646"/>
      <c r="GY7" s="646"/>
      <c r="GZ7" s="646"/>
      <c r="HA7" s="646"/>
      <c r="HB7" s="646"/>
      <c r="HC7" s="646"/>
      <c r="HD7" s="646"/>
      <c r="HE7" s="646"/>
      <c r="HF7" s="646"/>
      <c r="HG7" s="646"/>
      <c r="HH7" s="646"/>
      <c r="HI7" s="646"/>
      <c r="HJ7" s="646"/>
      <c r="HK7" s="646"/>
      <c r="HL7" s="646"/>
      <c r="HM7" s="646"/>
      <c r="HN7" s="646"/>
      <c r="HO7" s="646"/>
      <c r="HP7" s="646"/>
      <c r="HQ7" s="646"/>
      <c r="HR7" s="646"/>
      <c r="HS7" s="646"/>
      <c r="HT7" s="646"/>
      <c r="HU7" s="646"/>
      <c r="HV7" s="646"/>
      <c r="HW7" s="646"/>
      <c r="HX7" s="646"/>
      <c r="HY7" s="646"/>
      <c r="HZ7" s="646"/>
      <c r="IA7" s="646"/>
      <c r="IB7" s="646"/>
      <c r="IC7" s="646"/>
      <c r="ID7" s="646"/>
      <c r="IE7" s="646"/>
      <c r="IF7" s="646"/>
      <c r="IG7" s="646"/>
      <c r="IH7" s="646"/>
      <c r="II7" s="646"/>
      <c r="IJ7" s="646"/>
      <c r="IK7" s="646"/>
      <c r="IL7" s="646"/>
      <c r="IM7" s="646"/>
      <c r="IN7" s="646"/>
      <c r="IO7" s="646"/>
      <c r="IP7" s="646"/>
      <c r="IQ7" s="646"/>
      <c r="IR7" s="646"/>
      <c r="IS7" s="646"/>
      <c r="IT7" s="646"/>
      <c r="IU7" s="646"/>
      <c r="IV7" s="646"/>
      <c r="IW7" s="646"/>
      <c r="IX7" s="646"/>
      <c r="IY7" s="646"/>
      <c r="IZ7" s="646"/>
      <c r="JA7" s="646"/>
      <c r="JB7" s="646"/>
      <c r="JC7" s="646"/>
      <c r="JD7" s="646"/>
      <c r="JE7" s="646"/>
      <c r="JF7" s="646"/>
      <c r="JG7" s="646"/>
      <c r="JH7" s="646"/>
      <c r="JI7" s="646"/>
      <c r="JJ7" s="646"/>
      <c r="JK7" s="646"/>
      <c r="JL7" s="646"/>
      <c r="JM7" s="646"/>
      <c r="JN7" s="646"/>
      <c r="JO7" s="646"/>
      <c r="JP7" s="646"/>
      <c r="JQ7" s="646"/>
      <c r="JR7" s="646"/>
      <c r="JS7" s="646"/>
      <c r="JT7" s="646"/>
      <c r="JU7" s="646"/>
      <c r="JV7" s="646"/>
      <c r="JW7" s="646"/>
      <c r="JX7" s="646"/>
      <c r="JY7" s="646"/>
      <c r="JZ7" s="646"/>
      <c r="KA7" s="646"/>
      <c r="KB7" s="646"/>
      <c r="KC7" s="646"/>
      <c r="KD7" s="646"/>
      <c r="KE7" s="646"/>
      <c r="KF7" s="646"/>
      <c r="KG7" s="646"/>
      <c r="KH7" s="646"/>
      <c r="KI7" s="646"/>
      <c r="KJ7" s="646"/>
      <c r="KK7" s="646"/>
      <c r="KL7" s="646"/>
      <c r="KM7" s="646"/>
      <c r="KN7" s="646"/>
      <c r="KO7" s="646"/>
      <c r="KP7" s="646"/>
      <c r="KQ7" s="646"/>
      <c r="KR7" s="646"/>
      <c r="KS7" s="646"/>
      <c r="KT7" s="646"/>
      <c r="KU7" s="646"/>
      <c r="KV7" s="646"/>
      <c r="KW7" s="646"/>
      <c r="KX7" s="646"/>
      <c r="KY7" s="646"/>
      <c r="KZ7" s="646"/>
      <c r="LA7" s="646"/>
      <c r="LB7" s="646"/>
      <c r="LC7" s="646"/>
      <c r="LD7" s="646"/>
      <c r="LE7" s="646"/>
      <c r="LF7" s="646"/>
      <c r="LG7" s="646"/>
      <c r="LH7" s="646"/>
      <c r="LI7" s="646"/>
      <c r="LJ7" s="646"/>
      <c r="LK7" s="646"/>
      <c r="LL7" s="646"/>
      <c r="LM7" s="646"/>
      <c r="LN7" s="646"/>
      <c r="LO7" s="646"/>
      <c r="LP7" s="646"/>
      <c r="LQ7" s="646"/>
      <c r="LR7" s="646"/>
      <c r="LS7" s="646"/>
      <c r="LT7" s="646"/>
      <c r="LU7" s="646"/>
      <c r="LV7" s="646"/>
      <c r="LW7" s="646"/>
      <c r="LX7" s="646"/>
      <c r="LY7" s="646"/>
      <c r="LZ7" s="646"/>
      <c r="MA7" s="646"/>
      <c r="MB7" s="646"/>
      <c r="MC7" s="646"/>
      <c r="MD7" s="646"/>
      <c r="ME7" s="646"/>
      <c r="MF7" s="646"/>
      <c r="MG7" s="646"/>
      <c r="MH7" s="646"/>
      <c r="MI7" s="646"/>
      <c r="MJ7" s="646"/>
      <c r="MK7" s="646"/>
      <c r="ML7" s="646"/>
      <c r="MM7" s="646"/>
      <c r="MN7" s="646"/>
      <c r="MO7" s="646"/>
      <c r="MP7" s="646"/>
      <c r="MQ7" s="646"/>
      <c r="MR7" s="646"/>
      <c r="MS7" s="646"/>
      <c r="MT7" s="646"/>
      <c r="MU7" s="646"/>
      <c r="MV7" s="646"/>
      <c r="MW7" s="646"/>
      <c r="MX7" s="646"/>
      <c r="MY7" s="646"/>
      <c r="MZ7" s="646"/>
      <c r="NA7" s="646"/>
      <c r="NB7" s="646"/>
      <c r="NC7" s="646"/>
      <c r="ND7" s="646"/>
      <c r="NE7" s="646"/>
      <c r="NF7" s="646"/>
      <c r="NG7" s="646"/>
      <c r="NH7" s="646"/>
      <c r="NI7" s="646"/>
      <c r="NJ7" s="646"/>
      <c r="NK7" s="646"/>
      <c r="NL7" s="646"/>
      <c r="NM7" s="646"/>
      <c r="NN7" s="646"/>
      <c r="NO7" s="646"/>
      <c r="NP7" s="646"/>
      <c r="NQ7" s="646"/>
      <c r="NR7" s="646"/>
      <c r="NS7" s="646"/>
      <c r="NT7" s="646"/>
      <c r="NU7" s="646"/>
      <c r="NV7" s="646"/>
      <c r="NW7" s="646"/>
      <c r="NX7" s="646"/>
      <c r="NY7" s="646"/>
      <c r="NZ7" s="646"/>
      <c r="OA7" s="646"/>
      <c r="OB7" s="646"/>
      <c r="OC7" s="646"/>
      <c r="OD7" s="646"/>
      <c r="OE7" s="646"/>
      <c r="OF7" s="646"/>
      <c r="OG7" s="646"/>
      <c r="OH7" s="646"/>
      <c r="OI7" s="646"/>
      <c r="OJ7" s="646"/>
      <c r="OK7" s="646"/>
      <c r="OL7" s="646"/>
      <c r="OM7" s="646"/>
      <c r="ON7" s="646"/>
      <c r="OO7" s="646"/>
      <c r="OP7" s="646"/>
      <c r="OQ7" s="646"/>
      <c r="OR7" s="646"/>
      <c r="OS7" s="646"/>
      <c r="OT7" s="646"/>
      <c r="OU7" s="646"/>
      <c r="OV7" s="646"/>
      <c r="OW7" s="646"/>
      <c r="OX7" s="646"/>
      <c r="OY7" s="646"/>
      <c r="OZ7" s="646"/>
      <c r="PA7" s="646"/>
      <c r="PB7" s="646"/>
      <c r="PC7" s="646"/>
      <c r="PD7" s="646"/>
      <c r="PE7" s="646"/>
      <c r="PF7" s="646"/>
      <c r="PG7" s="646"/>
      <c r="PH7" s="646"/>
      <c r="PI7" s="646"/>
      <c r="PJ7" s="646"/>
      <c r="PK7" s="646"/>
      <c r="PL7" s="646"/>
      <c r="PM7" s="646"/>
      <c r="PN7" s="646"/>
      <c r="PO7" s="646"/>
      <c r="PP7" s="646"/>
      <c r="PQ7" s="646"/>
      <c r="PR7" s="646"/>
      <c r="PS7" s="646"/>
      <c r="PT7" s="646"/>
      <c r="PU7" s="646"/>
      <c r="PV7" s="646"/>
      <c r="PW7" s="646"/>
      <c r="PX7" s="646"/>
      <c r="PY7" s="646"/>
      <c r="PZ7" s="646"/>
      <c r="QA7" s="646"/>
      <c r="QB7" s="646"/>
      <c r="QC7" s="646"/>
      <c r="QD7" s="646"/>
      <c r="QE7" s="646"/>
      <c r="QF7" s="646"/>
      <c r="QG7" s="646"/>
      <c r="QH7" s="646"/>
      <c r="QI7" s="646"/>
      <c r="QJ7" s="646"/>
      <c r="QK7" s="646"/>
      <c r="QL7" s="646"/>
      <c r="QM7" s="646"/>
      <c r="QN7" s="646"/>
      <c r="QO7" s="646"/>
      <c r="QP7" s="646"/>
      <c r="QQ7" s="646"/>
      <c r="QR7" s="646"/>
      <c r="QS7" s="646"/>
      <c r="QT7" s="646"/>
      <c r="QU7" s="646"/>
      <c r="QV7" s="646"/>
      <c r="QW7" s="646"/>
      <c r="QX7" s="646"/>
      <c r="QY7" s="646"/>
      <c r="QZ7" s="646"/>
      <c r="RA7" s="646"/>
      <c r="RB7" s="646"/>
      <c r="RC7" s="646"/>
      <c r="RD7" s="646"/>
      <c r="RE7" s="646"/>
      <c r="RF7" s="646"/>
      <c r="RG7" s="646"/>
      <c r="RH7" s="646"/>
      <c r="RI7" s="646"/>
      <c r="RJ7" s="646"/>
      <c r="RK7" s="646"/>
      <c r="RL7" s="646"/>
      <c r="RM7" s="646"/>
      <c r="RN7" s="646"/>
      <c r="RO7" s="646"/>
      <c r="RP7" s="646"/>
      <c r="RQ7" s="646"/>
      <c r="RR7" s="646"/>
      <c r="RS7" s="646"/>
      <c r="RT7" s="646"/>
      <c r="RU7" s="646"/>
      <c r="RV7" s="646"/>
      <c r="RW7" s="646"/>
      <c r="RX7" s="646"/>
      <c r="RY7" s="646"/>
      <c r="RZ7" s="646"/>
      <c r="SA7" s="646"/>
      <c r="SB7" s="646"/>
      <c r="SC7" s="646"/>
      <c r="SD7" s="646"/>
      <c r="SE7" s="646"/>
      <c r="SF7" s="646"/>
      <c r="SG7" s="646"/>
      <c r="SH7" s="646"/>
      <c r="SI7" s="646"/>
      <c r="SJ7" s="646"/>
      <c r="SK7" s="646"/>
      <c r="SL7" s="646"/>
      <c r="SM7" s="646"/>
      <c r="SN7" s="646"/>
      <c r="SO7" s="646"/>
      <c r="SP7" s="646"/>
      <c r="SQ7" s="646"/>
      <c r="SR7" s="646"/>
      <c r="SS7" s="646"/>
      <c r="ST7" s="646"/>
      <c r="SU7" s="646"/>
      <c r="SV7" s="646"/>
      <c r="SW7" s="646"/>
      <c r="SX7" s="646"/>
      <c r="SY7" s="646"/>
      <c r="SZ7" s="646"/>
      <c r="TA7" s="646"/>
      <c r="TB7" s="646"/>
      <c r="TC7" s="646"/>
      <c r="TD7" s="646"/>
      <c r="TE7" s="646"/>
      <c r="TF7" s="646"/>
      <c r="TG7" s="646"/>
      <c r="TH7" s="646"/>
      <c r="TI7" s="646"/>
      <c r="TJ7" s="646"/>
      <c r="TK7" s="646"/>
      <c r="TL7" s="646"/>
      <c r="TM7" s="646"/>
      <c r="TN7" s="646"/>
      <c r="TO7" s="646"/>
      <c r="TP7" s="646"/>
      <c r="TQ7" s="646"/>
      <c r="TR7" s="646"/>
      <c r="TS7" s="646"/>
      <c r="TT7" s="646"/>
      <c r="TU7" s="646"/>
      <c r="TV7" s="646"/>
      <c r="TW7" s="646"/>
      <c r="TX7" s="646"/>
      <c r="TY7" s="646"/>
      <c r="TZ7" s="646"/>
      <c r="UA7" s="646"/>
      <c r="UB7" s="646"/>
      <c r="UC7" s="646"/>
      <c r="UD7" s="646"/>
      <c r="UE7" s="646"/>
      <c r="UF7" s="646"/>
      <c r="UG7" s="646"/>
      <c r="UH7" s="646"/>
      <c r="UI7" s="646"/>
      <c r="UJ7" s="646"/>
      <c r="UK7" s="646"/>
      <c r="UL7" s="646"/>
      <c r="UM7" s="646"/>
      <c r="UN7" s="646"/>
      <c r="UO7" s="646"/>
      <c r="UP7" s="646"/>
      <c r="UQ7" s="646"/>
      <c r="UR7" s="646"/>
      <c r="US7" s="646"/>
      <c r="UT7" s="646"/>
      <c r="UU7" s="646"/>
      <c r="UV7" s="646"/>
      <c r="UW7" s="646"/>
      <c r="UX7" s="646"/>
      <c r="UY7" s="646"/>
      <c r="UZ7" s="646"/>
      <c r="VA7" s="646"/>
      <c r="VB7" s="646"/>
      <c r="VC7" s="646"/>
      <c r="VD7" s="646"/>
      <c r="VE7" s="646"/>
      <c r="VF7" s="646"/>
      <c r="VG7" s="646"/>
      <c r="VH7" s="646"/>
      <c r="VI7" s="646"/>
      <c r="VJ7" s="646"/>
      <c r="VK7" s="646"/>
      <c r="VL7" s="646"/>
      <c r="VM7" s="646"/>
      <c r="VN7" s="646"/>
      <c r="VO7" s="646"/>
      <c r="VP7" s="646"/>
      <c r="VQ7" s="646"/>
      <c r="VR7" s="646"/>
      <c r="VS7" s="646"/>
      <c r="VT7" s="646"/>
      <c r="VU7" s="646"/>
      <c r="VV7" s="646"/>
      <c r="VW7" s="646"/>
      <c r="VX7" s="646"/>
      <c r="VY7" s="646"/>
      <c r="VZ7" s="646"/>
      <c r="WA7" s="646"/>
      <c r="WB7" s="646"/>
      <c r="WC7" s="646"/>
      <c r="WD7" s="646"/>
      <c r="WE7" s="646"/>
      <c r="WF7" s="646"/>
      <c r="WG7" s="646"/>
      <c r="WH7" s="646"/>
      <c r="WI7" s="646"/>
      <c r="WJ7" s="646"/>
      <c r="WK7" s="646"/>
      <c r="WL7" s="646"/>
      <c r="WM7" s="646"/>
      <c r="WN7" s="646"/>
      <c r="WO7" s="646"/>
      <c r="WP7" s="646"/>
      <c r="WQ7" s="646"/>
      <c r="WR7" s="646"/>
      <c r="WS7" s="646"/>
      <c r="WT7" s="646"/>
      <c r="WU7" s="646"/>
      <c r="WV7" s="646"/>
      <c r="WW7" s="646"/>
      <c r="WX7" s="646"/>
      <c r="WY7" s="646"/>
      <c r="WZ7" s="646"/>
      <c r="XA7" s="646"/>
      <c r="XB7" s="646"/>
      <c r="XC7" s="646"/>
      <c r="XD7" s="646"/>
      <c r="XE7" s="646"/>
      <c r="XF7" s="646"/>
      <c r="XG7" s="646"/>
      <c r="XH7" s="646"/>
      <c r="XI7" s="646"/>
      <c r="XJ7" s="646"/>
      <c r="XK7" s="646"/>
      <c r="XL7" s="646"/>
      <c r="XM7" s="646"/>
      <c r="XN7" s="646"/>
      <c r="XO7" s="646"/>
      <c r="XP7" s="646"/>
      <c r="XQ7" s="646"/>
      <c r="XR7" s="646"/>
      <c r="XS7" s="646"/>
      <c r="XT7" s="646"/>
      <c r="XU7" s="646"/>
      <c r="XV7" s="646"/>
      <c r="XW7" s="646"/>
      <c r="XX7" s="646"/>
      <c r="XY7" s="646"/>
      <c r="XZ7" s="646"/>
      <c r="YA7" s="646"/>
      <c r="YB7" s="646"/>
      <c r="YC7" s="646"/>
      <c r="YD7" s="646"/>
      <c r="YE7" s="646"/>
      <c r="YF7" s="646"/>
      <c r="YG7" s="646"/>
      <c r="YH7" s="646"/>
      <c r="YI7" s="646"/>
      <c r="YJ7" s="646"/>
      <c r="YK7" s="646"/>
      <c r="YL7" s="646"/>
      <c r="YM7" s="646"/>
      <c r="YN7" s="646"/>
      <c r="YO7" s="646"/>
      <c r="YP7" s="646"/>
      <c r="YQ7" s="646"/>
      <c r="YR7" s="646"/>
      <c r="YS7" s="646"/>
      <c r="YT7" s="646"/>
      <c r="YU7" s="646"/>
      <c r="YV7" s="646"/>
      <c r="YW7" s="646"/>
      <c r="YX7" s="646"/>
      <c r="YY7" s="646"/>
      <c r="YZ7" s="646"/>
      <c r="ZA7" s="646"/>
      <c r="ZB7" s="646"/>
      <c r="ZC7" s="646"/>
      <c r="ZD7" s="646"/>
      <c r="ZE7" s="646"/>
      <c r="ZF7" s="646"/>
      <c r="ZG7" s="646"/>
      <c r="ZH7" s="646"/>
      <c r="ZI7" s="646"/>
      <c r="ZJ7" s="646"/>
      <c r="ZK7" s="646"/>
      <c r="ZL7" s="646"/>
      <c r="ZM7" s="646"/>
      <c r="ZN7" s="646"/>
      <c r="ZO7" s="646"/>
      <c r="ZP7" s="646"/>
      <c r="ZQ7" s="646"/>
      <c r="ZR7" s="646"/>
      <c r="ZS7" s="646"/>
      <c r="ZT7" s="646"/>
      <c r="ZU7" s="646"/>
      <c r="ZV7" s="646"/>
      <c r="ZW7" s="646"/>
      <c r="ZX7" s="646"/>
      <c r="ZY7" s="646"/>
      <c r="ZZ7" s="646"/>
      <c r="AAA7" s="646"/>
      <c r="AAB7" s="646"/>
      <c r="AAC7" s="646"/>
      <c r="AAD7" s="646"/>
      <c r="AAE7" s="646"/>
      <c r="AAF7" s="646"/>
      <c r="AAG7" s="646"/>
      <c r="AAH7" s="646"/>
      <c r="AAI7" s="646"/>
      <c r="AAJ7" s="646"/>
      <c r="AAK7" s="646"/>
      <c r="AAL7" s="646"/>
      <c r="AAM7" s="646"/>
      <c r="AAN7" s="646"/>
      <c r="AAO7" s="646"/>
      <c r="AAP7" s="646"/>
      <c r="AAQ7" s="646"/>
      <c r="AAR7" s="646"/>
      <c r="AAS7" s="646"/>
      <c r="AAT7" s="646"/>
      <c r="AAU7" s="646"/>
      <c r="AAV7" s="646"/>
      <c r="AAW7" s="646"/>
      <c r="AAX7" s="646"/>
      <c r="AAY7" s="646"/>
      <c r="AAZ7" s="646"/>
      <c r="ABA7" s="646"/>
      <c r="ABB7" s="646"/>
      <c r="ABC7" s="646"/>
      <c r="ABD7" s="646"/>
      <c r="ABE7" s="646"/>
      <c r="ABF7" s="646"/>
      <c r="ABG7" s="646"/>
      <c r="ABH7" s="646"/>
      <c r="ABI7" s="646"/>
      <c r="ABJ7" s="646"/>
      <c r="ABK7" s="646"/>
      <c r="ABL7" s="646"/>
      <c r="ABM7" s="646"/>
      <c r="ABN7" s="646"/>
      <c r="ABO7" s="646"/>
      <c r="ABP7" s="646"/>
      <c r="ABQ7" s="646"/>
      <c r="ABR7" s="646"/>
      <c r="ABS7" s="646"/>
      <c r="ABT7" s="646"/>
      <c r="ABU7" s="646"/>
      <c r="ABV7" s="646"/>
      <c r="ABW7" s="646"/>
      <c r="ABX7" s="646"/>
      <c r="ABY7" s="646"/>
      <c r="ABZ7" s="646"/>
      <c r="ACA7" s="646"/>
      <c r="ACB7" s="646"/>
      <c r="ACC7" s="646"/>
      <c r="ACD7" s="646"/>
      <c r="ACE7" s="646"/>
      <c r="ACF7" s="646"/>
      <c r="ACG7" s="646"/>
      <c r="ACH7" s="646"/>
      <c r="ACI7" s="646"/>
      <c r="ACJ7" s="646"/>
      <c r="ACK7" s="646"/>
      <c r="ACL7" s="646"/>
      <c r="ACM7" s="646"/>
      <c r="ACN7" s="646"/>
      <c r="ACO7" s="646"/>
      <c r="ACP7" s="646"/>
      <c r="ACQ7" s="646"/>
      <c r="ACR7" s="646"/>
      <c r="ACS7" s="646"/>
      <c r="ACT7" s="646"/>
      <c r="ACU7" s="646"/>
      <c r="ACV7" s="646"/>
      <c r="ACW7" s="646"/>
      <c r="ACX7" s="646"/>
      <c r="ACY7" s="646"/>
      <c r="ACZ7" s="646"/>
      <c r="ADA7" s="646"/>
      <c r="ADB7" s="646"/>
      <c r="ADC7" s="646"/>
      <c r="ADD7" s="646"/>
      <c r="ADE7" s="646"/>
      <c r="ADF7" s="646"/>
      <c r="ADG7" s="646"/>
      <c r="ADH7" s="646"/>
      <c r="ADI7" s="646"/>
      <c r="ADJ7" s="646"/>
      <c r="ADK7" s="646"/>
      <c r="ADL7" s="646"/>
      <c r="ADM7" s="646"/>
      <c r="ADN7" s="646"/>
      <c r="ADO7" s="646"/>
      <c r="ADP7" s="646"/>
      <c r="ADQ7" s="646"/>
      <c r="ADR7" s="646"/>
      <c r="ADS7" s="646"/>
      <c r="ADT7" s="646"/>
      <c r="ADU7" s="646"/>
      <c r="ADV7" s="646"/>
      <c r="ADW7" s="646"/>
      <c r="ADX7" s="646"/>
      <c r="ADY7" s="646"/>
      <c r="ADZ7" s="646"/>
      <c r="AEA7" s="646"/>
      <c r="AEB7" s="646"/>
      <c r="AEC7" s="646"/>
      <c r="AED7" s="646"/>
      <c r="AEE7" s="646"/>
      <c r="AEF7" s="646"/>
      <c r="AEG7" s="646"/>
      <c r="AEH7" s="646"/>
      <c r="AEI7" s="646"/>
      <c r="AEJ7" s="646"/>
      <c r="AEK7" s="646"/>
      <c r="AEL7" s="646"/>
      <c r="AEM7" s="646"/>
      <c r="AEN7" s="646"/>
      <c r="AEO7" s="646"/>
      <c r="AEP7" s="646"/>
      <c r="AEQ7" s="646"/>
      <c r="AER7" s="646"/>
      <c r="AES7" s="646"/>
      <c r="AET7" s="646"/>
      <c r="AEU7" s="646"/>
      <c r="AEV7" s="646"/>
      <c r="AEW7" s="646"/>
      <c r="AEX7" s="646"/>
      <c r="AEY7" s="646"/>
      <c r="AEZ7" s="646"/>
      <c r="AFA7" s="646"/>
      <c r="AFB7" s="646"/>
      <c r="AFC7" s="646"/>
      <c r="AFD7" s="646"/>
      <c r="AFE7" s="646"/>
      <c r="AFF7" s="646"/>
      <c r="AFG7" s="646"/>
      <c r="AFH7" s="646"/>
      <c r="AFI7" s="646"/>
      <c r="AFJ7" s="646"/>
      <c r="AFK7" s="646"/>
      <c r="AFL7" s="646"/>
      <c r="AFM7" s="646"/>
      <c r="AFN7" s="646"/>
      <c r="AFO7" s="646"/>
      <c r="AFP7" s="646"/>
      <c r="AFQ7" s="646"/>
      <c r="AFR7" s="646"/>
      <c r="AFS7" s="646"/>
      <c r="AFT7" s="646"/>
      <c r="AFU7" s="646"/>
      <c r="AFV7" s="646"/>
      <c r="AFW7" s="646"/>
      <c r="AFX7" s="646"/>
      <c r="AFY7" s="646"/>
      <c r="AFZ7" s="646"/>
      <c r="AGA7" s="646"/>
      <c r="AGB7" s="646"/>
      <c r="AGC7" s="646"/>
      <c r="AGD7" s="646"/>
      <c r="AGE7" s="646"/>
      <c r="AGF7" s="646"/>
      <c r="AGG7" s="646"/>
      <c r="AGH7" s="646"/>
      <c r="AGI7" s="646"/>
      <c r="AGJ7" s="646"/>
      <c r="AGK7" s="646"/>
      <c r="AGL7" s="646"/>
      <c r="AGM7" s="646"/>
      <c r="AGN7" s="646"/>
      <c r="AGO7" s="646"/>
      <c r="AGP7" s="646"/>
      <c r="AGQ7" s="646"/>
      <c r="AGR7" s="646"/>
      <c r="AGS7" s="646"/>
      <c r="AGT7" s="646"/>
      <c r="AGU7" s="646"/>
      <c r="AGV7" s="646"/>
      <c r="AGW7" s="646"/>
      <c r="AGX7" s="646"/>
      <c r="AGY7" s="646"/>
      <c r="AGZ7" s="646"/>
      <c r="AHA7" s="646"/>
      <c r="AHB7" s="646"/>
      <c r="AHC7" s="646"/>
      <c r="AHD7" s="646"/>
      <c r="AHE7" s="646"/>
      <c r="AHF7" s="646"/>
      <c r="AHG7" s="646"/>
      <c r="AHH7" s="646"/>
      <c r="AHI7" s="646"/>
      <c r="AHJ7" s="646"/>
      <c r="AHK7" s="646"/>
      <c r="AHL7" s="646"/>
      <c r="AHM7" s="646"/>
      <c r="AHN7" s="646"/>
      <c r="AHO7" s="646"/>
      <c r="AHP7" s="646"/>
      <c r="AHQ7" s="646"/>
      <c r="AHR7" s="646"/>
      <c r="AHS7" s="646"/>
      <c r="AHT7" s="646"/>
      <c r="AHU7" s="646"/>
      <c r="AHV7" s="646"/>
      <c r="AHW7" s="646"/>
      <c r="AHX7" s="646"/>
      <c r="AHY7" s="646"/>
      <c r="AHZ7" s="646"/>
      <c r="AIA7" s="646"/>
      <c r="AIB7" s="646"/>
      <c r="AIC7" s="646"/>
      <c r="AID7" s="646"/>
      <c r="AIE7" s="646"/>
      <c r="AIF7" s="646"/>
      <c r="AIG7" s="646"/>
      <c r="AIH7" s="646"/>
      <c r="AII7" s="646"/>
      <c r="AIJ7" s="646"/>
      <c r="AIK7" s="646"/>
      <c r="AIL7" s="646"/>
      <c r="AIM7" s="646"/>
      <c r="AIN7" s="646"/>
      <c r="AIO7" s="646"/>
      <c r="AIP7" s="646"/>
      <c r="AIQ7" s="646"/>
      <c r="AIR7" s="646"/>
      <c r="AIS7" s="646"/>
      <c r="AIT7" s="646"/>
      <c r="AIU7" s="646"/>
      <c r="AIV7" s="646"/>
      <c r="AIW7" s="646"/>
      <c r="AIX7" s="646"/>
      <c r="AIY7" s="646"/>
      <c r="AIZ7" s="646"/>
      <c r="AJA7" s="646"/>
      <c r="AJB7" s="646"/>
      <c r="AJC7" s="646"/>
      <c r="AJD7" s="646"/>
      <c r="AJE7" s="646"/>
      <c r="AJF7" s="646"/>
      <c r="AJG7" s="646"/>
      <c r="AJH7" s="646"/>
      <c r="AJI7" s="646"/>
      <c r="AJJ7" s="646"/>
      <c r="AJK7" s="646"/>
      <c r="AJL7" s="646"/>
      <c r="AJM7" s="646"/>
      <c r="AJN7" s="646"/>
      <c r="AJO7" s="646"/>
      <c r="AJP7" s="646"/>
      <c r="AJQ7" s="646"/>
      <c r="AJR7" s="646"/>
      <c r="AJS7" s="646"/>
      <c r="AJT7" s="646"/>
      <c r="AJU7" s="646"/>
      <c r="AJV7" s="646"/>
      <c r="AJW7" s="646"/>
      <c r="AJX7" s="646"/>
      <c r="AJY7" s="646"/>
      <c r="AJZ7" s="646"/>
      <c r="AKA7" s="646"/>
      <c r="AKB7" s="646"/>
      <c r="AKC7" s="646"/>
      <c r="AKD7" s="646"/>
      <c r="AKE7" s="646"/>
      <c r="AKF7" s="646"/>
      <c r="AKG7" s="646"/>
      <c r="AKH7" s="646"/>
      <c r="AKI7" s="646"/>
      <c r="AKJ7" s="646"/>
      <c r="AKK7" s="646"/>
      <c r="AKL7" s="646"/>
      <c r="AKM7" s="646"/>
      <c r="AKN7" s="646"/>
      <c r="AKO7" s="646"/>
      <c r="AKP7" s="646"/>
      <c r="AKQ7" s="646"/>
      <c r="AKR7" s="646"/>
      <c r="AKS7" s="646"/>
      <c r="AKT7" s="646"/>
      <c r="AKU7" s="646"/>
      <c r="AKV7" s="646"/>
      <c r="AKW7" s="646"/>
      <c r="AKX7" s="646"/>
      <c r="AKY7" s="646"/>
      <c r="AKZ7" s="646"/>
      <c r="ALA7" s="646"/>
      <c r="ALB7" s="646"/>
      <c r="ALC7" s="646"/>
      <c r="ALD7" s="646"/>
      <c r="ALE7" s="646"/>
      <c r="ALF7" s="646"/>
      <c r="ALG7" s="646"/>
      <c r="ALH7" s="646"/>
      <c r="ALI7" s="646"/>
      <c r="ALJ7" s="646"/>
      <c r="ALK7" s="646"/>
      <c r="ALL7" s="646"/>
      <c r="ALM7" s="646"/>
      <c r="ALN7" s="646"/>
      <c r="ALO7" s="646"/>
      <c r="ALP7" s="646"/>
      <c r="ALQ7" s="646"/>
      <c r="ALR7" s="646"/>
      <c r="ALS7" s="646"/>
      <c r="ALT7" s="646"/>
      <c r="ALU7" s="646"/>
      <c r="ALV7" s="646"/>
      <c r="ALW7" s="646"/>
      <c r="ALX7" s="646"/>
      <c r="ALY7" s="646"/>
      <c r="ALZ7" s="646"/>
      <c r="AMA7" s="646"/>
      <c r="AMB7" s="646"/>
      <c r="AMC7" s="646"/>
      <c r="AMD7" s="646"/>
      <c r="AME7" s="646"/>
      <c r="AMF7" s="646"/>
      <c r="AMG7" s="646"/>
      <c r="AMH7" s="646"/>
    </row>
    <row r="8" spans="1:1022" ht="15.6">
      <c r="A8" s="650" t="s">
        <v>1827</v>
      </c>
      <c r="B8" s="651" t="s">
        <v>1828</v>
      </c>
      <c r="C8" s="646"/>
      <c r="D8" s="646"/>
      <c r="E8" s="646"/>
      <c r="F8" s="646"/>
      <c r="G8" s="646"/>
      <c r="H8" s="647"/>
      <c r="I8" s="646"/>
      <c r="J8" s="646"/>
      <c r="K8" s="646"/>
      <c r="L8" s="646"/>
      <c r="M8" s="646"/>
      <c r="N8" s="647"/>
      <c r="O8" s="647"/>
      <c r="P8" s="647"/>
      <c r="Q8" s="647"/>
      <c r="R8" s="646"/>
      <c r="S8" s="647"/>
      <c r="T8" s="646"/>
      <c r="U8" s="646"/>
      <c r="V8" s="646"/>
      <c r="W8" s="646"/>
      <c r="X8" s="646"/>
      <c r="Y8" s="646"/>
      <c r="Z8" s="646"/>
      <c r="AA8" s="646"/>
      <c r="AB8" s="646"/>
      <c r="AC8" s="646"/>
      <c r="AD8" s="646"/>
      <c r="AE8" s="646"/>
      <c r="AF8" s="646"/>
      <c r="AG8" s="646"/>
      <c r="AH8" s="646"/>
      <c r="AI8" s="646"/>
      <c r="AJ8" s="646"/>
      <c r="AK8" s="646"/>
      <c r="AL8" s="646"/>
      <c r="AM8" s="646"/>
      <c r="AN8" s="646"/>
      <c r="AO8" s="646"/>
      <c r="AP8" s="646"/>
      <c r="AQ8" s="646"/>
      <c r="AR8" s="646"/>
      <c r="AS8" s="646"/>
      <c r="AT8" s="646"/>
      <c r="AU8" s="646"/>
      <c r="AV8" s="646"/>
      <c r="AW8" s="646"/>
      <c r="AX8" s="646"/>
      <c r="AY8" s="646"/>
      <c r="AZ8" s="646"/>
      <c r="BA8" s="646"/>
      <c r="BB8" s="646"/>
      <c r="BC8" s="646"/>
      <c r="BD8" s="646"/>
      <c r="BE8" s="646"/>
      <c r="BF8" s="646"/>
      <c r="BG8" s="646"/>
      <c r="BH8" s="646"/>
      <c r="BI8" s="646"/>
      <c r="BJ8" s="646"/>
      <c r="BK8" s="646"/>
      <c r="BL8" s="646"/>
      <c r="BM8" s="646"/>
      <c r="BN8" s="646"/>
      <c r="BO8" s="646"/>
      <c r="BP8" s="646"/>
      <c r="BQ8" s="646"/>
      <c r="BR8" s="646"/>
      <c r="BS8" s="646"/>
      <c r="BT8" s="646"/>
      <c r="BU8" s="646"/>
      <c r="BV8" s="646"/>
      <c r="BW8" s="646"/>
      <c r="BX8" s="646"/>
      <c r="BY8" s="646"/>
      <c r="BZ8" s="646"/>
      <c r="CA8" s="646"/>
      <c r="CB8" s="646"/>
      <c r="CC8" s="646"/>
      <c r="CD8" s="646"/>
      <c r="CE8" s="646"/>
      <c r="CF8" s="646"/>
      <c r="CG8" s="646"/>
      <c r="CH8" s="646"/>
      <c r="CI8" s="646"/>
      <c r="CJ8" s="646"/>
      <c r="CK8" s="646"/>
      <c r="CL8" s="646"/>
      <c r="CM8" s="646"/>
      <c r="CN8" s="646"/>
      <c r="CO8" s="646"/>
      <c r="CP8" s="646"/>
      <c r="CQ8" s="646"/>
      <c r="CR8" s="646"/>
      <c r="CS8" s="646"/>
      <c r="CT8" s="646"/>
      <c r="CU8" s="646"/>
      <c r="CV8" s="646"/>
      <c r="CW8" s="646"/>
      <c r="CX8" s="646"/>
      <c r="CY8" s="646"/>
      <c r="CZ8" s="646"/>
      <c r="DA8" s="646"/>
      <c r="DB8" s="646"/>
      <c r="DC8" s="646"/>
      <c r="DD8" s="646"/>
      <c r="DE8" s="646"/>
      <c r="DF8" s="646"/>
      <c r="DG8" s="646"/>
      <c r="DH8" s="646"/>
      <c r="DI8" s="646"/>
      <c r="DJ8" s="646"/>
      <c r="DK8" s="646"/>
      <c r="DL8" s="646"/>
      <c r="DM8" s="646"/>
      <c r="DN8" s="646"/>
      <c r="DO8" s="646"/>
      <c r="DP8" s="646"/>
      <c r="DQ8" s="646"/>
      <c r="DR8" s="646"/>
      <c r="DS8" s="646"/>
      <c r="DT8" s="646"/>
      <c r="DU8" s="646"/>
      <c r="DV8" s="646"/>
      <c r="DW8" s="646"/>
      <c r="DX8" s="646"/>
      <c r="DY8" s="646"/>
      <c r="DZ8" s="646"/>
      <c r="EA8" s="646"/>
      <c r="EB8" s="646"/>
      <c r="EC8" s="646"/>
      <c r="ED8" s="646"/>
      <c r="EE8" s="646"/>
      <c r="EF8" s="646"/>
      <c r="EG8" s="646"/>
      <c r="EH8" s="646"/>
      <c r="EI8" s="646"/>
      <c r="EJ8" s="646"/>
      <c r="EK8" s="646"/>
      <c r="EL8" s="646"/>
      <c r="EM8" s="646"/>
      <c r="EN8" s="646"/>
      <c r="EO8" s="646"/>
      <c r="EP8" s="646"/>
      <c r="EQ8" s="646"/>
      <c r="ER8" s="646"/>
      <c r="ES8" s="646"/>
      <c r="ET8" s="646"/>
      <c r="EU8" s="646"/>
      <c r="EV8" s="646"/>
      <c r="EW8" s="646"/>
      <c r="EX8" s="646"/>
      <c r="EY8" s="646"/>
      <c r="EZ8" s="646"/>
      <c r="FA8" s="646"/>
      <c r="FB8" s="646"/>
      <c r="FC8" s="646"/>
      <c r="FD8" s="646"/>
      <c r="FE8" s="646"/>
      <c r="FF8" s="646"/>
      <c r="FG8" s="646"/>
      <c r="FH8" s="646"/>
      <c r="FI8" s="646"/>
      <c r="FJ8" s="646"/>
      <c r="FK8" s="646"/>
      <c r="FL8" s="646"/>
      <c r="FM8" s="646"/>
      <c r="FN8" s="646"/>
      <c r="FO8" s="646"/>
      <c r="FP8" s="646"/>
      <c r="FQ8" s="646"/>
      <c r="FR8" s="646"/>
      <c r="FS8" s="646"/>
      <c r="FT8" s="646"/>
      <c r="FU8" s="646"/>
      <c r="FV8" s="646"/>
      <c r="FW8" s="646"/>
      <c r="FX8" s="646"/>
      <c r="FY8" s="646"/>
      <c r="FZ8" s="646"/>
      <c r="GA8" s="646"/>
      <c r="GB8" s="646"/>
      <c r="GC8" s="646"/>
      <c r="GD8" s="646"/>
      <c r="GE8" s="646"/>
      <c r="GF8" s="646"/>
      <c r="GG8" s="646"/>
      <c r="GH8" s="646"/>
      <c r="GI8" s="646"/>
      <c r="GJ8" s="646"/>
      <c r="GK8" s="646"/>
      <c r="GL8" s="646"/>
      <c r="GM8" s="646"/>
      <c r="GN8" s="646"/>
      <c r="GO8" s="646"/>
      <c r="GP8" s="646"/>
      <c r="GQ8" s="646"/>
      <c r="GR8" s="646"/>
      <c r="GS8" s="646"/>
      <c r="GT8" s="646"/>
      <c r="GU8" s="646"/>
      <c r="GV8" s="646"/>
      <c r="GW8" s="646"/>
      <c r="GX8" s="646"/>
      <c r="GY8" s="646"/>
      <c r="GZ8" s="646"/>
      <c r="HA8" s="646"/>
      <c r="HB8" s="646"/>
      <c r="HC8" s="646"/>
      <c r="HD8" s="646"/>
      <c r="HE8" s="646"/>
      <c r="HF8" s="646"/>
      <c r="HG8" s="646"/>
      <c r="HH8" s="646"/>
      <c r="HI8" s="646"/>
      <c r="HJ8" s="646"/>
      <c r="HK8" s="646"/>
      <c r="HL8" s="646"/>
      <c r="HM8" s="646"/>
      <c r="HN8" s="646"/>
      <c r="HO8" s="646"/>
      <c r="HP8" s="646"/>
      <c r="HQ8" s="646"/>
      <c r="HR8" s="646"/>
      <c r="HS8" s="646"/>
      <c r="HT8" s="646"/>
      <c r="HU8" s="646"/>
      <c r="HV8" s="646"/>
      <c r="HW8" s="646"/>
      <c r="HX8" s="646"/>
      <c r="HY8" s="646"/>
      <c r="HZ8" s="646"/>
      <c r="IA8" s="646"/>
      <c r="IB8" s="646"/>
      <c r="IC8" s="646"/>
      <c r="ID8" s="646"/>
      <c r="IE8" s="646"/>
      <c r="IF8" s="646"/>
      <c r="IG8" s="646"/>
      <c r="IH8" s="646"/>
      <c r="II8" s="646"/>
      <c r="IJ8" s="646"/>
      <c r="IK8" s="646"/>
      <c r="IL8" s="646"/>
      <c r="IM8" s="646"/>
      <c r="IN8" s="646"/>
      <c r="IO8" s="646"/>
      <c r="IP8" s="646"/>
      <c r="IQ8" s="646"/>
      <c r="IR8" s="646"/>
      <c r="IS8" s="646"/>
      <c r="IT8" s="646"/>
      <c r="IU8" s="646"/>
      <c r="IV8" s="646"/>
      <c r="IW8" s="646"/>
      <c r="IX8" s="646"/>
      <c r="IY8" s="646"/>
      <c r="IZ8" s="646"/>
      <c r="JA8" s="646"/>
      <c r="JB8" s="646"/>
      <c r="JC8" s="646"/>
      <c r="JD8" s="646"/>
      <c r="JE8" s="646"/>
      <c r="JF8" s="646"/>
      <c r="JG8" s="646"/>
      <c r="JH8" s="646"/>
      <c r="JI8" s="646"/>
      <c r="JJ8" s="646"/>
      <c r="JK8" s="646"/>
      <c r="JL8" s="646"/>
      <c r="JM8" s="646"/>
      <c r="JN8" s="646"/>
      <c r="JO8" s="646"/>
      <c r="JP8" s="646"/>
      <c r="JQ8" s="646"/>
      <c r="JR8" s="646"/>
      <c r="JS8" s="646"/>
      <c r="JT8" s="646"/>
      <c r="JU8" s="646"/>
      <c r="JV8" s="646"/>
      <c r="JW8" s="646"/>
      <c r="JX8" s="646"/>
      <c r="JY8" s="646"/>
      <c r="JZ8" s="646"/>
      <c r="KA8" s="646"/>
      <c r="KB8" s="646"/>
      <c r="KC8" s="646"/>
      <c r="KD8" s="646"/>
      <c r="KE8" s="646"/>
      <c r="KF8" s="646"/>
      <c r="KG8" s="646"/>
      <c r="KH8" s="646"/>
      <c r="KI8" s="646"/>
      <c r="KJ8" s="646"/>
      <c r="KK8" s="646"/>
      <c r="KL8" s="646"/>
      <c r="KM8" s="646"/>
      <c r="KN8" s="646"/>
      <c r="KO8" s="646"/>
      <c r="KP8" s="646"/>
      <c r="KQ8" s="646"/>
      <c r="KR8" s="646"/>
      <c r="KS8" s="646"/>
      <c r="KT8" s="646"/>
      <c r="KU8" s="646"/>
      <c r="KV8" s="646"/>
      <c r="KW8" s="646"/>
      <c r="KX8" s="646"/>
      <c r="KY8" s="646"/>
      <c r="KZ8" s="646"/>
      <c r="LA8" s="646"/>
      <c r="LB8" s="646"/>
      <c r="LC8" s="646"/>
      <c r="LD8" s="646"/>
      <c r="LE8" s="646"/>
      <c r="LF8" s="646"/>
      <c r="LG8" s="646"/>
      <c r="LH8" s="646"/>
      <c r="LI8" s="646"/>
      <c r="LJ8" s="646"/>
      <c r="LK8" s="646"/>
      <c r="LL8" s="646"/>
      <c r="LM8" s="646"/>
      <c r="LN8" s="646"/>
      <c r="LO8" s="646"/>
      <c r="LP8" s="646"/>
      <c r="LQ8" s="646"/>
      <c r="LR8" s="646"/>
      <c r="LS8" s="646"/>
      <c r="LT8" s="646"/>
      <c r="LU8" s="646"/>
      <c r="LV8" s="646"/>
      <c r="LW8" s="646"/>
      <c r="LX8" s="646"/>
      <c r="LY8" s="646"/>
      <c r="LZ8" s="646"/>
      <c r="MA8" s="646"/>
      <c r="MB8" s="646"/>
      <c r="MC8" s="646"/>
      <c r="MD8" s="646"/>
      <c r="ME8" s="646"/>
      <c r="MF8" s="646"/>
      <c r="MG8" s="646"/>
      <c r="MH8" s="646"/>
      <c r="MI8" s="646"/>
      <c r="MJ8" s="646"/>
      <c r="MK8" s="646"/>
      <c r="ML8" s="646"/>
      <c r="MM8" s="646"/>
      <c r="MN8" s="646"/>
      <c r="MO8" s="646"/>
      <c r="MP8" s="646"/>
      <c r="MQ8" s="646"/>
      <c r="MR8" s="646"/>
      <c r="MS8" s="646"/>
      <c r="MT8" s="646"/>
      <c r="MU8" s="646"/>
      <c r="MV8" s="646"/>
      <c r="MW8" s="646"/>
      <c r="MX8" s="646"/>
      <c r="MY8" s="646"/>
      <c r="MZ8" s="646"/>
      <c r="NA8" s="646"/>
      <c r="NB8" s="646"/>
      <c r="NC8" s="646"/>
      <c r="ND8" s="646"/>
      <c r="NE8" s="646"/>
      <c r="NF8" s="646"/>
      <c r="NG8" s="646"/>
      <c r="NH8" s="646"/>
      <c r="NI8" s="646"/>
      <c r="NJ8" s="646"/>
      <c r="NK8" s="646"/>
      <c r="NL8" s="646"/>
      <c r="NM8" s="646"/>
      <c r="NN8" s="646"/>
      <c r="NO8" s="646"/>
      <c r="NP8" s="646"/>
      <c r="NQ8" s="646"/>
      <c r="NR8" s="646"/>
      <c r="NS8" s="646"/>
      <c r="NT8" s="646"/>
      <c r="NU8" s="646"/>
      <c r="NV8" s="646"/>
      <c r="NW8" s="646"/>
      <c r="NX8" s="646"/>
      <c r="NY8" s="646"/>
      <c r="NZ8" s="646"/>
      <c r="OA8" s="646"/>
      <c r="OB8" s="646"/>
      <c r="OC8" s="646"/>
      <c r="OD8" s="646"/>
      <c r="OE8" s="646"/>
      <c r="OF8" s="646"/>
      <c r="OG8" s="646"/>
      <c r="OH8" s="646"/>
      <c r="OI8" s="646"/>
      <c r="OJ8" s="646"/>
      <c r="OK8" s="646"/>
      <c r="OL8" s="646"/>
      <c r="OM8" s="646"/>
      <c r="ON8" s="646"/>
      <c r="OO8" s="646"/>
      <c r="OP8" s="646"/>
      <c r="OQ8" s="646"/>
      <c r="OR8" s="646"/>
      <c r="OS8" s="646"/>
      <c r="OT8" s="646"/>
      <c r="OU8" s="646"/>
      <c r="OV8" s="646"/>
      <c r="OW8" s="646"/>
      <c r="OX8" s="646"/>
      <c r="OY8" s="646"/>
      <c r="OZ8" s="646"/>
      <c r="PA8" s="646"/>
      <c r="PB8" s="646"/>
      <c r="PC8" s="646"/>
      <c r="PD8" s="646"/>
      <c r="PE8" s="646"/>
      <c r="PF8" s="646"/>
      <c r="PG8" s="646"/>
      <c r="PH8" s="646"/>
      <c r="PI8" s="646"/>
      <c r="PJ8" s="646"/>
      <c r="PK8" s="646"/>
      <c r="PL8" s="646"/>
      <c r="PM8" s="646"/>
      <c r="PN8" s="646"/>
      <c r="PO8" s="646"/>
      <c r="PP8" s="646"/>
      <c r="PQ8" s="646"/>
      <c r="PR8" s="646"/>
      <c r="PS8" s="646"/>
      <c r="PT8" s="646"/>
      <c r="PU8" s="646"/>
      <c r="PV8" s="646"/>
      <c r="PW8" s="646"/>
      <c r="PX8" s="646"/>
      <c r="PY8" s="646"/>
      <c r="PZ8" s="646"/>
      <c r="QA8" s="646"/>
      <c r="QB8" s="646"/>
      <c r="QC8" s="646"/>
      <c r="QD8" s="646"/>
      <c r="QE8" s="646"/>
      <c r="QF8" s="646"/>
      <c r="QG8" s="646"/>
      <c r="QH8" s="646"/>
      <c r="QI8" s="646"/>
      <c r="QJ8" s="646"/>
      <c r="QK8" s="646"/>
      <c r="QL8" s="646"/>
      <c r="QM8" s="646"/>
      <c r="QN8" s="646"/>
      <c r="QO8" s="646"/>
      <c r="QP8" s="646"/>
      <c r="QQ8" s="646"/>
      <c r="QR8" s="646"/>
      <c r="QS8" s="646"/>
      <c r="QT8" s="646"/>
      <c r="QU8" s="646"/>
      <c r="QV8" s="646"/>
      <c r="QW8" s="646"/>
      <c r="QX8" s="646"/>
      <c r="QY8" s="646"/>
      <c r="QZ8" s="646"/>
      <c r="RA8" s="646"/>
      <c r="RB8" s="646"/>
      <c r="RC8" s="646"/>
      <c r="RD8" s="646"/>
      <c r="RE8" s="646"/>
      <c r="RF8" s="646"/>
      <c r="RG8" s="646"/>
      <c r="RH8" s="646"/>
      <c r="RI8" s="646"/>
      <c r="RJ8" s="646"/>
      <c r="RK8" s="646"/>
      <c r="RL8" s="646"/>
      <c r="RM8" s="646"/>
      <c r="RN8" s="646"/>
      <c r="RO8" s="646"/>
      <c r="RP8" s="646"/>
      <c r="RQ8" s="646"/>
      <c r="RR8" s="646"/>
      <c r="RS8" s="646"/>
      <c r="RT8" s="646"/>
      <c r="RU8" s="646"/>
      <c r="RV8" s="646"/>
      <c r="RW8" s="646"/>
      <c r="RX8" s="646"/>
      <c r="RY8" s="646"/>
      <c r="RZ8" s="646"/>
      <c r="SA8" s="646"/>
      <c r="SB8" s="646"/>
      <c r="SC8" s="646"/>
      <c r="SD8" s="646"/>
      <c r="SE8" s="646"/>
      <c r="SF8" s="646"/>
      <c r="SG8" s="646"/>
      <c r="SH8" s="646"/>
      <c r="SI8" s="646"/>
      <c r="SJ8" s="646"/>
      <c r="SK8" s="646"/>
      <c r="SL8" s="646"/>
      <c r="SM8" s="646"/>
      <c r="SN8" s="646"/>
      <c r="SO8" s="646"/>
      <c r="SP8" s="646"/>
      <c r="SQ8" s="646"/>
      <c r="SR8" s="646"/>
      <c r="SS8" s="646"/>
      <c r="ST8" s="646"/>
      <c r="SU8" s="646"/>
      <c r="SV8" s="646"/>
      <c r="SW8" s="646"/>
      <c r="SX8" s="646"/>
      <c r="SY8" s="646"/>
      <c r="SZ8" s="646"/>
      <c r="TA8" s="646"/>
      <c r="TB8" s="646"/>
      <c r="TC8" s="646"/>
      <c r="TD8" s="646"/>
      <c r="TE8" s="646"/>
      <c r="TF8" s="646"/>
      <c r="TG8" s="646"/>
      <c r="TH8" s="646"/>
      <c r="TI8" s="646"/>
      <c r="TJ8" s="646"/>
      <c r="TK8" s="646"/>
      <c r="TL8" s="646"/>
      <c r="TM8" s="646"/>
      <c r="TN8" s="646"/>
      <c r="TO8" s="646"/>
      <c r="TP8" s="646"/>
      <c r="TQ8" s="646"/>
      <c r="TR8" s="646"/>
      <c r="TS8" s="646"/>
      <c r="TT8" s="646"/>
      <c r="TU8" s="646"/>
      <c r="TV8" s="646"/>
      <c r="TW8" s="646"/>
      <c r="TX8" s="646"/>
      <c r="TY8" s="646"/>
      <c r="TZ8" s="646"/>
      <c r="UA8" s="646"/>
      <c r="UB8" s="646"/>
      <c r="UC8" s="646"/>
      <c r="UD8" s="646"/>
      <c r="UE8" s="646"/>
      <c r="UF8" s="646"/>
      <c r="UG8" s="646"/>
      <c r="UH8" s="646"/>
      <c r="UI8" s="646"/>
      <c r="UJ8" s="646"/>
      <c r="UK8" s="646"/>
      <c r="UL8" s="646"/>
      <c r="UM8" s="646"/>
      <c r="UN8" s="646"/>
      <c r="UO8" s="646"/>
      <c r="UP8" s="646"/>
      <c r="UQ8" s="646"/>
      <c r="UR8" s="646"/>
      <c r="US8" s="646"/>
      <c r="UT8" s="646"/>
      <c r="UU8" s="646"/>
      <c r="UV8" s="646"/>
      <c r="UW8" s="646"/>
      <c r="UX8" s="646"/>
      <c r="UY8" s="646"/>
      <c r="UZ8" s="646"/>
      <c r="VA8" s="646"/>
      <c r="VB8" s="646"/>
      <c r="VC8" s="646"/>
      <c r="VD8" s="646"/>
      <c r="VE8" s="646"/>
      <c r="VF8" s="646"/>
      <c r="VG8" s="646"/>
      <c r="VH8" s="646"/>
      <c r="VI8" s="646"/>
      <c r="VJ8" s="646"/>
      <c r="VK8" s="646"/>
      <c r="VL8" s="646"/>
      <c r="VM8" s="646"/>
      <c r="VN8" s="646"/>
      <c r="VO8" s="646"/>
      <c r="VP8" s="646"/>
      <c r="VQ8" s="646"/>
      <c r="VR8" s="646"/>
      <c r="VS8" s="646"/>
      <c r="VT8" s="646"/>
      <c r="VU8" s="646"/>
      <c r="VV8" s="646"/>
      <c r="VW8" s="646"/>
      <c r="VX8" s="646"/>
      <c r="VY8" s="646"/>
      <c r="VZ8" s="646"/>
      <c r="WA8" s="646"/>
      <c r="WB8" s="646"/>
      <c r="WC8" s="646"/>
      <c r="WD8" s="646"/>
      <c r="WE8" s="646"/>
      <c r="WF8" s="646"/>
      <c r="WG8" s="646"/>
      <c r="WH8" s="646"/>
      <c r="WI8" s="646"/>
      <c r="WJ8" s="646"/>
      <c r="WK8" s="646"/>
      <c r="WL8" s="646"/>
      <c r="WM8" s="646"/>
      <c r="WN8" s="646"/>
      <c r="WO8" s="646"/>
      <c r="WP8" s="646"/>
      <c r="WQ8" s="646"/>
      <c r="WR8" s="646"/>
      <c r="WS8" s="646"/>
      <c r="WT8" s="646"/>
      <c r="WU8" s="646"/>
      <c r="WV8" s="646"/>
      <c r="WW8" s="646"/>
      <c r="WX8" s="646"/>
      <c r="WY8" s="646"/>
      <c r="WZ8" s="646"/>
      <c r="XA8" s="646"/>
      <c r="XB8" s="646"/>
      <c r="XC8" s="646"/>
      <c r="XD8" s="646"/>
      <c r="XE8" s="646"/>
      <c r="XF8" s="646"/>
      <c r="XG8" s="646"/>
      <c r="XH8" s="646"/>
      <c r="XI8" s="646"/>
      <c r="XJ8" s="646"/>
      <c r="XK8" s="646"/>
      <c r="XL8" s="646"/>
      <c r="XM8" s="646"/>
      <c r="XN8" s="646"/>
      <c r="XO8" s="646"/>
      <c r="XP8" s="646"/>
      <c r="XQ8" s="646"/>
      <c r="XR8" s="646"/>
      <c r="XS8" s="646"/>
      <c r="XT8" s="646"/>
      <c r="XU8" s="646"/>
      <c r="XV8" s="646"/>
      <c r="XW8" s="646"/>
      <c r="XX8" s="646"/>
      <c r="XY8" s="646"/>
      <c r="XZ8" s="646"/>
      <c r="YA8" s="646"/>
      <c r="YB8" s="646"/>
      <c r="YC8" s="646"/>
      <c r="YD8" s="646"/>
      <c r="YE8" s="646"/>
      <c r="YF8" s="646"/>
      <c r="YG8" s="646"/>
      <c r="YH8" s="646"/>
      <c r="YI8" s="646"/>
      <c r="YJ8" s="646"/>
      <c r="YK8" s="646"/>
      <c r="YL8" s="646"/>
      <c r="YM8" s="646"/>
      <c r="YN8" s="646"/>
      <c r="YO8" s="646"/>
      <c r="YP8" s="646"/>
      <c r="YQ8" s="646"/>
      <c r="YR8" s="646"/>
      <c r="YS8" s="646"/>
      <c r="YT8" s="646"/>
      <c r="YU8" s="646"/>
      <c r="YV8" s="646"/>
      <c r="YW8" s="646"/>
      <c r="YX8" s="646"/>
      <c r="YY8" s="646"/>
      <c r="YZ8" s="646"/>
      <c r="ZA8" s="646"/>
      <c r="ZB8" s="646"/>
      <c r="ZC8" s="646"/>
      <c r="ZD8" s="646"/>
      <c r="ZE8" s="646"/>
      <c r="ZF8" s="646"/>
      <c r="ZG8" s="646"/>
      <c r="ZH8" s="646"/>
      <c r="ZI8" s="646"/>
      <c r="ZJ8" s="646"/>
      <c r="ZK8" s="646"/>
      <c r="ZL8" s="646"/>
      <c r="ZM8" s="646"/>
      <c r="ZN8" s="646"/>
      <c r="ZO8" s="646"/>
      <c r="ZP8" s="646"/>
      <c r="ZQ8" s="646"/>
      <c r="ZR8" s="646"/>
      <c r="ZS8" s="646"/>
      <c r="ZT8" s="646"/>
      <c r="ZU8" s="646"/>
      <c r="ZV8" s="646"/>
      <c r="ZW8" s="646"/>
      <c r="ZX8" s="646"/>
      <c r="ZY8" s="646"/>
      <c r="ZZ8" s="646"/>
      <c r="AAA8" s="646"/>
      <c r="AAB8" s="646"/>
      <c r="AAC8" s="646"/>
      <c r="AAD8" s="646"/>
      <c r="AAE8" s="646"/>
      <c r="AAF8" s="646"/>
      <c r="AAG8" s="646"/>
      <c r="AAH8" s="646"/>
      <c r="AAI8" s="646"/>
      <c r="AAJ8" s="646"/>
      <c r="AAK8" s="646"/>
      <c r="AAL8" s="646"/>
      <c r="AAM8" s="646"/>
      <c r="AAN8" s="646"/>
      <c r="AAO8" s="646"/>
      <c r="AAP8" s="646"/>
      <c r="AAQ8" s="646"/>
      <c r="AAR8" s="646"/>
      <c r="AAS8" s="646"/>
      <c r="AAT8" s="646"/>
      <c r="AAU8" s="646"/>
      <c r="AAV8" s="646"/>
      <c r="AAW8" s="646"/>
      <c r="AAX8" s="646"/>
      <c r="AAY8" s="646"/>
      <c r="AAZ8" s="646"/>
      <c r="ABA8" s="646"/>
      <c r="ABB8" s="646"/>
      <c r="ABC8" s="646"/>
      <c r="ABD8" s="646"/>
      <c r="ABE8" s="646"/>
      <c r="ABF8" s="646"/>
      <c r="ABG8" s="646"/>
      <c r="ABH8" s="646"/>
      <c r="ABI8" s="646"/>
      <c r="ABJ8" s="646"/>
      <c r="ABK8" s="646"/>
      <c r="ABL8" s="646"/>
      <c r="ABM8" s="646"/>
      <c r="ABN8" s="646"/>
      <c r="ABO8" s="646"/>
      <c r="ABP8" s="646"/>
      <c r="ABQ8" s="646"/>
      <c r="ABR8" s="646"/>
      <c r="ABS8" s="646"/>
      <c r="ABT8" s="646"/>
      <c r="ABU8" s="646"/>
      <c r="ABV8" s="646"/>
      <c r="ABW8" s="646"/>
      <c r="ABX8" s="646"/>
      <c r="ABY8" s="646"/>
      <c r="ABZ8" s="646"/>
      <c r="ACA8" s="646"/>
      <c r="ACB8" s="646"/>
      <c r="ACC8" s="646"/>
      <c r="ACD8" s="646"/>
      <c r="ACE8" s="646"/>
      <c r="ACF8" s="646"/>
      <c r="ACG8" s="646"/>
      <c r="ACH8" s="646"/>
      <c r="ACI8" s="646"/>
      <c r="ACJ8" s="646"/>
      <c r="ACK8" s="646"/>
      <c r="ACL8" s="646"/>
      <c r="ACM8" s="646"/>
      <c r="ACN8" s="646"/>
      <c r="ACO8" s="646"/>
      <c r="ACP8" s="646"/>
      <c r="ACQ8" s="646"/>
      <c r="ACR8" s="646"/>
      <c r="ACS8" s="646"/>
      <c r="ACT8" s="646"/>
      <c r="ACU8" s="646"/>
      <c r="ACV8" s="646"/>
      <c r="ACW8" s="646"/>
      <c r="ACX8" s="646"/>
      <c r="ACY8" s="646"/>
      <c r="ACZ8" s="646"/>
      <c r="ADA8" s="646"/>
      <c r="ADB8" s="646"/>
      <c r="ADC8" s="646"/>
      <c r="ADD8" s="646"/>
      <c r="ADE8" s="646"/>
      <c r="ADF8" s="646"/>
      <c r="ADG8" s="646"/>
      <c r="ADH8" s="646"/>
      <c r="ADI8" s="646"/>
      <c r="ADJ8" s="646"/>
      <c r="ADK8" s="646"/>
      <c r="ADL8" s="646"/>
      <c r="ADM8" s="646"/>
      <c r="ADN8" s="646"/>
      <c r="ADO8" s="646"/>
      <c r="ADP8" s="646"/>
      <c r="ADQ8" s="646"/>
      <c r="ADR8" s="646"/>
      <c r="ADS8" s="646"/>
      <c r="ADT8" s="646"/>
      <c r="ADU8" s="646"/>
      <c r="ADV8" s="646"/>
      <c r="ADW8" s="646"/>
      <c r="ADX8" s="646"/>
      <c r="ADY8" s="646"/>
      <c r="ADZ8" s="646"/>
      <c r="AEA8" s="646"/>
      <c r="AEB8" s="646"/>
      <c r="AEC8" s="646"/>
      <c r="AED8" s="646"/>
      <c r="AEE8" s="646"/>
      <c r="AEF8" s="646"/>
      <c r="AEG8" s="646"/>
      <c r="AEH8" s="646"/>
      <c r="AEI8" s="646"/>
      <c r="AEJ8" s="646"/>
      <c r="AEK8" s="646"/>
      <c r="AEL8" s="646"/>
      <c r="AEM8" s="646"/>
      <c r="AEN8" s="646"/>
      <c r="AEO8" s="646"/>
      <c r="AEP8" s="646"/>
      <c r="AEQ8" s="646"/>
      <c r="AER8" s="646"/>
      <c r="AES8" s="646"/>
      <c r="AET8" s="646"/>
      <c r="AEU8" s="646"/>
      <c r="AEV8" s="646"/>
      <c r="AEW8" s="646"/>
      <c r="AEX8" s="646"/>
      <c r="AEY8" s="646"/>
      <c r="AEZ8" s="646"/>
      <c r="AFA8" s="646"/>
      <c r="AFB8" s="646"/>
      <c r="AFC8" s="646"/>
      <c r="AFD8" s="646"/>
      <c r="AFE8" s="646"/>
      <c r="AFF8" s="646"/>
      <c r="AFG8" s="646"/>
      <c r="AFH8" s="646"/>
      <c r="AFI8" s="646"/>
      <c r="AFJ8" s="646"/>
      <c r="AFK8" s="646"/>
      <c r="AFL8" s="646"/>
      <c r="AFM8" s="646"/>
      <c r="AFN8" s="646"/>
      <c r="AFO8" s="646"/>
      <c r="AFP8" s="646"/>
      <c r="AFQ8" s="646"/>
      <c r="AFR8" s="646"/>
      <c r="AFS8" s="646"/>
      <c r="AFT8" s="646"/>
      <c r="AFU8" s="646"/>
      <c r="AFV8" s="646"/>
      <c r="AFW8" s="646"/>
      <c r="AFX8" s="646"/>
      <c r="AFY8" s="646"/>
      <c r="AFZ8" s="646"/>
      <c r="AGA8" s="646"/>
      <c r="AGB8" s="646"/>
      <c r="AGC8" s="646"/>
      <c r="AGD8" s="646"/>
      <c r="AGE8" s="646"/>
      <c r="AGF8" s="646"/>
      <c r="AGG8" s="646"/>
      <c r="AGH8" s="646"/>
      <c r="AGI8" s="646"/>
      <c r="AGJ8" s="646"/>
      <c r="AGK8" s="646"/>
      <c r="AGL8" s="646"/>
      <c r="AGM8" s="646"/>
      <c r="AGN8" s="646"/>
      <c r="AGO8" s="646"/>
      <c r="AGP8" s="646"/>
      <c r="AGQ8" s="646"/>
      <c r="AGR8" s="646"/>
      <c r="AGS8" s="646"/>
      <c r="AGT8" s="646"/>
      <c r="AGU8" s="646"/>
      <c r="AGV8" s="646"/>
      <c r="AGW8" s="646"/>
      <c r="AGX8" s="646"/>
      <c r="AGY8" s="646"/>
      <c r="AGZ8" s="646"/>
      <c r="AHA8" s="646"/>
      <c r="AHB8" s="646"/>
      <c r="AHC8" s="646"/>
      <c r="AHD8" s="646"/>
      <c r="AHE8" s="646"/>
      <c r="AHF8" s="646"/>
      <c r="AHG8" s="646"/>
      <c r="AHH8" s="646"/>
      <c r="AHI8" s="646"/>
      <c r="AHJ8" s="646"/>
      <c r="AHK8" s="646"/>
      <c r="AHL8" s="646"/>
      <c r="AHM8" s="646"/>
      <c r="AHN8" s="646"/>
      <c r="AHO8" s="646"/>
      <c r="AHP8" s="646"/>
      <c r="AHQ8" s="646"/>
      <c r="AHR8" s="646"/>
      <c r="AHS8" s="646"/>
      <c r="AHT8" s="646"/>
      <c r="AHU8" s="646"/>
      <c r="AHV8" s="646"/>
      <c r="AHW8" s="646"/>
      <c r="AHX8" s="646"/>
      <c r="AHY8" s="646"/>
      <c r="AHZ8" s="646"/>
      <c r="AIA8" s="646"/>
      <c r="AIB8" s="646"/>
      <c r="AIC8" s="646"/>
      <c r="AID8" s="646"/>
      <c r="AIE8" s="646"/>
      <c r="AIF8" s="646"/>
      <c r="AIG8" s="646"/>
      <c r="AIH8" s="646"/>
      <c r="AII8" s="646"/>
      <c r="AIJ8" s="646"/>
      <c r="AIK8" s="646"/>
      <c r="AIL8" s="646"/>
      <c r="AIM8" s="646"/>
      <c r="AIN8" s="646"/>
      <c r="AIO8" s="646"/>
      <c r="AIP8" s="646"/>
      <c r="AIQ8" s="646"/>
      <c r="AIR8" s="646"/>
      <c r="AIS8" s="646"/>
      <c r="AIT8" s="646"/>
      <c r="AIU8" s="646"/>
      <c r="AIV8" s="646"/>
      <c r="AIW8" s="646"/>
      <c r="AIX8" s="646"/>
      <c r="AIY8" s="646"/>
      <c r="AIZ8" s="646"/>
      <c r="AJA8" s="646"/>
      <c r="AJB8" s="646"/>
      <c r="AJC8" s="646"/>
      <c r="AJD8" s="646"/>
      <c r="AJE8" s="646"/>
      <c r="AJF8" s="646"/>
      <c r="AJG8" s="646"/>
      <c r="AJH8" s="646"/>
      <c r="AJI8" s="646"/>
      <c r="AJJ8" s="646"/>
      <c r="AJK8" s="646"/>
      <c r="AJL8" s="646"/>
      <c r="AJM8" s="646"/>
      <c r="AJN8" s="646"/>
      <c r="AJO8" s="646"/>
      <c r="AJP8" s="646"/>
      <c r="AJQ8" s="646"/>
      <c r="AJR8" s="646"/>
      <c r="AJS8" s="646"/>
      <c r="AJT8" s="646"/>
      <c r="AJU8" s="646"/>
      <c r="AJV8" s="646"/>
      <c r="AJW8" s="646"/>
      <c r="AJX8" s="646"/>
      <c r="AJY8" s="646"/>
      <c r="AJZ8" s="646"/>
      <c r="AKA8" s="646"/>
      <c r="AKB8" s="646"/>
      <c r="AKC8" s="646"/>
      <c r="AKD8" s="646"/>
      <c r="AKE8" s="646"/>
      <c r="AKF8" s="646"/>
      <c r="AKG8" s="646"/>
      <c r="AKH8" s="646"/>
      <c r="AKI8" s="646"/>
      <c r="AKJ8" s="646"/>
      <c r="AKK8" s="646"/>
      <c r="AKL8" s="646"/>
      <c r="AKM8" s="646"/>
      <c r="AKN8" s="646"/>
      <c r="AKO8" s="646"/>
      <c r="AKP8" s="646"/>
      <c r="AKQ8" s="646"/>
      <c r="AKR8" s="646"/>
      <c r="AKS8" s="646"/>
      <c r="AKT8" s="646"/>
      <c r="AKU8" s="646"/>
      <c r="AKV8" s="646"/>
      <c r="AKW8" s="646"/>
      <c r="AKX8" s="646"/>
      <c r="AKY8" s="646"/>
      <c r="AKZ8" s="646"/>
      <c r="ALA8" s="646"/>
      <c r="ALB8" s="646"/>
      <c r="ALC8" s="646"/>
      <c r="ALD8" s="646"/>
      <c r="ALE8" s="646"/>
      <c r="ALF8" s="646"/>
      <c r="ALG8" s="646"/>
      <c r="ALH8" s="646"/>
      <c r="ALI8" s="646"/>
      <c r="ALJ8" s="646"/>
      <c r="ALK8" s="646"/>
      <c r="ALL8" s="646"/>
      <c r="ALM8" s="646"/>
      <c r="ALN8" s="646"/>
      <c r="ALO8" s="646"/>
      <c r="ALP8" s="646"/>
      <c r="ALQ8" s="646"/>
      <c r="ALR8" s="646"/>
      <c r="ALS8" s="646"/>
      <c r="ALT8" s="646"/>
      <c r="ALU8" s="646"/>
      <c r="ALV8" s="646"/>
      <c r="ALW8" s="646"/>
      <c r="ALX8" s="646"/>
      <c r="ALY8" s="646"/>
      <c r="ALZ8" s="646"/>
      <c r="AMA8" s="646"/>
      <c r="AMB8" s="646"/>
      <c r="AMC8" s="646"/>
      <c r="AMD8" s="646"/>
      <c r="AME8" s="646"/>
      <c r="AMF8" s="646"/>
      <c r="AMG8" s="646"/>
      <c r="AMH8" s="646"/>
    </row>
    <row r="9" spans="1:1022" ht="15.6">
      <c r="A9" s="650" t="s">
        <v>1829</v>
      </c>
      <c r="B9" s="651" t="s">
        <v>1783</v>
      </c>
      <c r="C9" s="646"/>
      <c r="D9" s="646"/>
      <c r="E9" s="646"/>
      <c r="F9" s="646"/>
      <c r="G9" s="646"/>
      <c r="H9" s="647"/>
      <c r="I9" s="646"/>
      <c r="J9" s="646"/>
      <c r="K9" s="646"/>
      <c r="L9" s="646"/>
      <c r="M9" s="646"/>
      <c r="N9" s="647"/>
      <c r="O9" s="647"/>
      <c r="P9" s="647"/>
      <c r="Q9" s="647"/>
      <c r="R9" s="646"/>
      <c r="S9" s="647"/>
      <c r="T9" s="646"/>
      <c r="U9" s="646"/>
      <c r="V9" s="646"/>
      <c r="W9" s="646"/>
      <c r="X9" s="646"/>
      <c r="Y9" s="646"/>
      <c r="Z9" s="646"/>
      <c r="AA9" s="646"/>
      <c r="AB9" s="646"/>
      <c r="AC9" s="646"/>
      <c r="AD9" s="646"/>
      <c r="AE9" s="646"/>
      <c r="AF9" s="646"/>
      <c r="AG9" s="646"/>
      <c r="AH9" s="646"/>
      <c r="AI9" s="646"/>
      <c r="AJ9" s="646"/>
      <c r="AK9" s="646"/>
      <c r="AL9" s="646"/>
      <c r="AM9" s="646"/>
      <c r="AN9" s="646"/>
      <c r="AO9" s="646"/>
      <c r="AP9" s="646"/>
      <c r="AQ9" s="646"/>
      <c r="AR9" s="646"/>
      <c r="AS9" s="646"/>
      <c r="AT9" s="646"/>
      <c r="AU9" s="646"/>
      <c r="AV9" s="646"/>
      <c r="AW9" s="646"/>
      <c r="AX9" s="646"/>
      <c r="AY9" s="646"/>
      <c r="AZ9" s="646"/>
      <c r="BA9" s="646"/>
      <c r="BB9" s="646"/>
      <c r="BC9" s="646"/>
      <c r="BD9" s="646"/>
      <c r="BE9" s="646"/>
      <c r="BF9" s="646"/>
      <c r="BG9" s="646"/>
      <c r="BH9" s="646"/>
      <c r="BI9" s="646"/>
      <c r="BJ9" s="646"/>
      <c r="BK9" s="646"/>
      <c r="BL9" s="646"/>
      <c r="BM9" s="646"/>
      <c r="BN9" s="646"/>
      <c r="BO9" s="646"/>
      <c r="BP9" s="646"/>
      <c r="BQ9" s="646"/>
      <c r="BR9" s="646"/>
      <c r="BS9" s="646"/>
      <c r="BT9" s="646"/>
      <c r="BU9" s="646"/>
      <c r="BV9" s="646"/>
      <c r="BW9" s="646"/>
      <c r="BX9" s="646"/>
      <c r="BY9" s="646"/>
      <c r="BZ9" s="646"/>
      <c r="CA9" s="646"/>
      <c r="CB9" s="646"/>
      <c r="CC9" s="646"/>
      <c r="CD9" s="646"/>
      <c r="CE9" s="646"/>
      <c r="CF9" s="646"/>
      <c r="CG9" s="646"/>
      <c r="CH9" s="646"/>
      <c r="CI9" s="646"/>
      <c r="CJ9" s="646"/>
      <c r="CK9" s="646"/>
      <c r="CL9" s="646"/>
      <c r="CM9" s="646"/>
      <c r="CN9" s="646"/>
      <c r="CO9" s="646"/>
      <c r="CP9" s="646"/>
      <c r="CQ9" s="646"/>
      <c r="CR9" s="646"/>
      <c r="CS9" s="646"/>
      <c r="CT9" s="646"/>
      <c r="CU9" s="646"/>
      <c r="CV9" s="646"/>
      <c r="CW9" s="646"/>
      <c r="CX9" s="646"/>
      <c r="CY9" s="646"/>
      <c r="CZ9" s="646"/>
      <c r="DA9" s="646"/>
      <c r="DB9" s="646"/>
      <c r="DC9" s="646"/>
      <c r="DD9" s="646"/>
      <c r="DE9" s="646"/>
      <c r="DF9" s="646"/>
      <c r="DG9" s="646"/>
      <c r="DH9" s="646"/>
      <c r="DI9" s="646"/>
      <c r="DJ9" s="646"/>
      <c r="DK9" s="646"/>
      <c r="DL9" s="646"/>
      <c r="DM9" s="646"/>
      <c r="DN9" s="646"/>
      <c r="DO9" s="646"/>
      <c r="DP9" s="646"/>
      <c r="DQ9" s="646"/>
      <c r="DR9" s="646"/>
      <c r="DS9" s="646"/>
      <c r="DT9" s="646"/>
      <c r="DU9" s="646"/>
      <c r="DV9" s="646"/>
      <c r="DW9" s="646"/>
      <c r="DX9" s="646"/>
      <c r="DY9" s="646"/>
      <c r="DZ9" s="646"/>
      <c r="EA9" s="646"/>
      <c r="EB9" s="646"/>
      <c r="EC9" s="646"/>
      <c r="ED9" s="646"/>
      <c r="EE9" s="646"/>
      <c r="EF9" s="646"/>
      <c r="EG9" s="646"/>
      <c r="EH9" s="646"/>
      <c r="EI9" s="646"/>
      <c r="EJ9" s="646"/>
      <c r="EK9" s="646"/>
      <c r="EL9" s="646"/>
      <c r="EM9" s="646"/>
      <c r="EN9" s="646"/>
      <c r="EO9" s="646"/>
      <c r="EP9" s="646"/>
      <c r="EQ9" s="646"/>
      <c r="ER9" s="646"/>
      <c r="ES9" s="646"/>
      <c r="ET9" s="646"/>
      <c r="EU9" s="646"/>
      <c r="EV9" s="646"/>
      <c r="EW9" s="646"/>
      <c r="EX9" s="646"/>
      <c r="EY9" s="646"/>
      <c r="EZ9" s="646"/>
      <c r="FA9" s="646"/>
      <c r="FB9" s="646"/>
      <c r="FC9" s="646"/>
      <c r="FD9" s="646"/>
      <c r="FE9" s="646"/>
      <c r="FF9" s="646"/>
      <c r="FG9" s="646"/>
      <c r="FH9" s="646"/>
      <c r="FI9" s="646"/>
      <c r="FJ9" s="646"/>
      <c r="FK9" s="646"/>
      <c r="FL9" s="646"/>
      <c r="FM9" s="646"/>
      <c r="FN9" s="646"/>
      <c r="FO9" s="646"/>
      <c r="FP9" s="646"/>
      <c r="FQ9" s="646"/>
      <c r="FR9" s="646"/>
      <c r="FS9" s="646"/>
      <c r="FT9" s="646"/>
      <c r="FU9" s="646"/>
      <c r="FV9" s="646"/>
      <c r="FW9" s="646"/>
      <c r="FX9" s="646"/>
      <c r="FY9" s="646"/>
      <c r="FZ9" s="646"/>
      <c r="GA9" s="646"/>
      <c r="GB9" s="646"/>
      <c r="GC9" s="646"/>
      <c r="GD9" s="646"/>
      <c r="GE9" s="646"/>
      <c r="GF9" s="646"/>
      <c r="GG9" s="646"/>
      <c r="GH9" s="646"/>
      <c r="GI9" s="646"/>
      <c r="GJ9" s="646"/>
      <c r="GK9" s="646"/>
      <c r="GL9" s="646"/>
      <c r="GM9" s="646"/>
      <c r="GN9" s="646"/>
      <c r="GO9" s="646"/>
      <c r="GP9" s="646"/>
      <c r="GQ9" s="646"/>
      <c r="GR9" s="646"/>
      <c r="GS9" s="646"/>
      <c r="GT9" s="646"/>
      <c r="GU9" s="646"/>
      <c r="GV9" s="646"/>
      <c r="GW9" s="646"/>
      <c r="GX9" s="646"/>
      <c r="GY9" s="646"/>
      <c r="GZ9" s="646"/>
      <c r="HA9" s="646"/>
      <c r="HB9" s="646"/>
      <c r="HC9" s="646"/>
      <c r="HD9" s="646"/>
      <c r="HE9" s="646"/>
      <c r="HF9" s="646"/>
      <c r="HG9" s="646"/>
      <c r="HH9" s="646"/>
      <c r="HI9" s="646"/>
      <c r="HJ9" s="646"/>
      <c r="HK9" s="646"/>
      <c r="HL9" s="646"/>
      <c r="HM9" s="646"/>
      <c r="HN9" s="646"/>
      <c r="HO9" s="646"/>
      <c r="HP9" s="646"/>
      <c r="HQ9" s="646"/>
      <c r="HR9" s="646"/>
      <c r="HS9" s="646"/>
      <c r="HT9" s="646"/>
      <c r="HU9" s="646"/>
      <c r="HV9" s="646"/>
      <c r="HW9" s="646"/>
      <c r="HX9" s="646"/>
      <c r="HY9" s="646"/>
      <c r="HZ9" s="646"/>
      <c r="IA9" s="646"/>
      <c r="IB9" s="646"/>
      <c r="IC9" s="646"/>
      <c r="ID9" s="646"/>
      <c r="IE9" s="646"/>
      <c r="IF9" s="646"/>
      <c r="IG9" s="646"/>
      <c r="IH9" s="646"/>
      <c r="II9" s="646"/>
      <c r="IJ9" s="646"/>
      <c r="IK9" s="646"/>
      <c r="IL9" s="646"/>
      <c r="IM9" s="646"/>
      <c r="IN9" s="646"/>
      <c r="IO9" s="646"/>
      <c r="IP9" s="646"/>
      <c r="IQ9" s="646"/>
      <c r="IR9" s="646"/>
      <c r="IS9" s="646"/>
      <c r="IT9" s="646"/>
      <c r="IU9" s="646"/>
      <c r="IV9" s="646"/>
      <c r="IW9" s="646"/>
      <c r="IX9" s="646"/>
      <c r="IY9" s="646"/>
      <c r="IZ9" s="646"/>
      <c r="JA9" s="646"/>
      <c r="JB9" s="646"/>
      <c r="JC9" s="646"/>
      <c r="JD9" s="646"/>
      <c r="JE9" s="646"/>
      <c r="JF9" s="646"/>
      <c r="JG9" s="646"/>
      <c r="JH9" s="646"/>
      <c r="JI9" s="646"/>
      <c r="JJ9" s="646"/>
      <c r="JK9" s="646"/>
      <c r="JL9" s="646"/>
      <c r="JM9" s="646"/>
      <c r="JN9" s="646"/>
      <c r="JO9" s="646"/>
      <c r="JP9" s="646"/>
      <c r="JQ9" s="646"/>
      <c r="JR9" s="646"/>
      <c r="JS9" s="646"/>
      <c r="JT9" s="646"/>
      <c r="JU9" s="646"/>
      <c r="JV9" s="646"/>
      <c r="JW9" s="646"/>
      <c r="JX9" s="646"/>
      <c r="JY9" s="646"/>
      <c r="JZ9" s="646"/>
      <c r="KA9" s="646"/>
      <c r="KB9" s="646"/>
      <c r="KC9" s="646"/>
      <c r="KD9" s="646"/>
      <c r="KE9" s="646"/>
      <c r="KF9" s="646"/>
      <c r="KG9" s="646"/>
      <c r="KH9" s="646"/>
      <c r="KI9" s="646"/>
      <c r="KJ9" s="646"/>
      <c r="KK9" s="646"/>
      <c r="KL9" s="646"/>
      <c r="KM9" s="646"/>
      <c r="KN9" s="646"/>
      <c r="KO9" s="646"/>
      <c r="KP9" s="646"/>
      <c r="KQ9" s="646"/>
      <c r="KR9" s="646"/>
      <c r="KS9" s="646"/>
      <c r="KT9" s="646"/>
      <c r="KU9" s="646"/>
      <c r="KV9" s="646"/>
      <c r="KW9" s="646"/>
      <c r="KX9" s="646"/>
      <c r="KY9" s="646"/>
      <c r="KZ9" s="646"/>
      <c r="LA9" s="646"/>
      <c r="LB9" s="646"/>
      <c r="LC9" s="646"/>
      <c r="LD9" s="646"/>
      <c r="LE9" s="646"/>
      <c r="LF9" s="646"/>
      <c r="LG9" s="646"/>
      <c r="LH9" s="646"/>
      <c r="LI9" s="646"/>
      <c r="LJ9" s="646"/>
      <c r="LK9" s="646"/>
      <c r="LL9" s="646"/>
      <c r="LM9" s="646"/>
      <c r="LN9" s="646"/>
      <c r="LO9" s="646"/>
      <c r="LP9" s="646"/>
      <c r="LQ9" s="646"/>
      <c r="LR9" s="646"/>
      <c r="LS9" s="646"/>
      <c r="LT9" s="646"/>
      <c r="LU9" s="646"/>
      <c r="LV9" s="646"/>
      <c r="LW9" s="646"/>
      <c r="LX9" s="646"/>
      <c r="LY9" s="646"/>
      <c r="LZ9" s="646"/>
      <c r="MA9" s="646"/>
      <c r="MB9" s="646"/>
      <c r="MC9" s="646"/>
      <c r="MD9" s="646"/>
      <c r="ME9" s="646"/>
      <c r="MF9" s="646"/>
      <c r="MG9" s="646"/>
      <c r="MH9" s="646"/>
      <c r="MI9" s="646"/>
      <c r="MJ9" s="646"/>
      <c r="MK9" s="646"/>
      <c r="ML9" s="646"/>
      <c r="MM9" s="646"/>
      <c r="MN9" s="646"/>
      <c r="MO9" s="646"/>
      <c r="MP9" s="646"/>
      <c r="MQ9" s="646"/>
      <c r="MR9" s="646"/>
      <c r="MS9" s="646"/>
      <c r="MT9" s="646"/>
      <c r="MU9" s="646"/>
      <c r="MV9" s="646"/>
      <c r="MW9" s="646"/>
      <c r="MX9" s="646"/>
      <c r="MY9" s="646"/>
      <c r="MZ9" s="646"/>
      <c r="NA9" s="646"/>
      <c r="NB9" s="646"/>
      <c r="NC9" s="646"/>
      <c r="ND9" s="646"/>
      <c r="NE9" s="646"/>
      <c r="NF9" s="646"/>
      <c r="NG9" s="646"/>
      <c r="NH9" s="646"/>
      <c r="NI9" s="646"/>
      <c r="NJ9" s="646"/>
      <c r="NK9" s="646"/>
      <c r="NL9" s="646"/>
      <c r="NM9" s="646"/>
      <c r="NN9" s="646"/>
      <c r="NO9" s="646"/>
      <c r="NP9" s="646"/>
      <c r="NQ9" s="646"/>
      <c r="NR9" s="646"/>
      <c r="NS9" s="646"/>
      <c r="NT9" s="646"/>
      <c r="NU9" s="646"/>
      <c r="NV9" s="646"/>
      <c r="NW9" s="646"/>
      <c r="NX9" s="646"/>
      <c r="NY9" s="646"/>
      <c r="NZ9" s="646"/>
      <c r="OA9" s="646"/>
      <c r="OB9" s="646"/>
      <c r="OC9" s="646"/>
      <c r="OD9" s="646"/>
      <c r="OE9" s="646"/>
      <c r="OF9" s="646"/>
      <c r="OG9" s="646"/>
      <c r="OH9" s="646"/>
      <c r="OI9" s="646"/>
      <c r="OJ9" s="646"/>
      <c r="OK9" s="646"/>
      <c r="OL9" s="646"/>
      <c r="OM9" s="646"/>
      <c r="ON9" s="646"/>
      <c r="OO9" s="646"/>
      <c r="OP9" s="646"/>
      <c r="OQ9" s="646"/>
      <c r="OR9" s="646"/>
      <c r="OS9" s="646"/>
      <c r="OT9" s="646"/>
      <c r="OU9" s="646"/>
      <c r="OV9" s="646"/>
      <c r="OW9" s="646"/>
      <c r="OX9" s="646"/>
      <c r="OY9" s="646"/>
      <c r="OZ9" s="646"/>
      <c r="PA9" s="646"/>
      <c r="PB9" s="646"/>
      <c r="PC9" s="646"/>
      <c r="PD9" s="646"/>
      <c r="PE9" s="646"/>
      <c r="PF9" s="646"/>
      <c r="PG9" s="646"/>
      <c r="PH9" s="646"/>
      <c r="PI9" s="646"/>
      <c r="PJ9" s="646"/>
      <c r="PK9" s="646"/>
      <c r="PL9" s="646"/>
      <c r="PM9" s="646"/>
      <c r="PN9" s="646"/>
      <c r="PO9" s="646"/>
      <c r="PP9" s="646"/>
      <c r="PQ9" s="646"/>
      <c r="PR9" s="646"/>
      <c r="PS9" s="646"/>
      <c r="PT9" s="646"/>
      <c r="PU9" s="646"/>
      <c r="PV9" s="646"/>
      <c r="PW9" s="646"/>
      <c r="PX9" s="646"/>
      <c r="PY9" s="646"/>
      <c r="PZ9" s="646"/>
      <c r="QA9" s="646"/>
      <c r="QB9" s="646"/>
      <c r="QC9" s="646"/>
      <c r="QD9" s="646"/>
      <c r="QE9" s="646"/>
      <c r="QF9" s="646"/>
      <c r="QG9" s="646"/>
      <c r="QH9" s="646"/>
      <c r="QI9" s="646"/>
      <c r="QJ9" s="646"/>
      <c r="QK9" s="646"/>
      <c r="QL9" s="646"/>
      <c r="QM9" s="646"/>
      <c r="QN9" s="646"/>
      <c r="QO9" s="646"/>
      <c r="QP9" s="646"/>
      <c r="QQ9" s="646"/>
      <c r="QR9" s="646"/>
      <c r="QS9" s="646"/>
      <c r="QT9" s="646"/>
      <c r="QU9" s="646"/>
      <c r="QV9" s="646"/>
      <c r="QW9" s="646"/>
      <c r="QX9" s="646"/>
      <c r="QY9" s="646"/>
      <c r="QZ9" s="646"/>
      <c r="RA9" s="646"/>
      <c r="RB9" s="646"/>
      <c r="RC9" s="646"/>
      <c r="RD9" s="646"/>
      <c r="RE9" s="646"/>
      <c r="RF9" s="646"/>
      <c r="RG9" s="646"/>
      <c r="RH9" s="646"/>
      <c r="RI9" s="646"/>
      <c r="RJ9" s="646"/>
      <c r="RK9" s="646"/>
      <c r="RL9" s="646"/>
      <c r="RM9" s="646"/>
      <c r="RN9" s="646"/>
      <c r="RO9" s="646"/>
      <c r="RP9" s="646"/>
      <c r="RQ9" s="646"/>
      <c r="RR9" s="646"/>
      <c r="RS9" s="646"/>
      <c r="RT9" s="646"/>
      <c r="RU9" s="646"/>
      <c r="RV9" s="646"/>
      <c r="RW9" s="646"/>
      <c r="RX9" s="646"/>
      <c r="RY9" s="646"/>
      <c r="RZ9" s="646"/>
      <c r="SA9" s="646"/>
      <c r="SB9" s="646"/>
      <c r="SC9" s="646"/>
      <c r="SD9" s="646"/>
      <c r="SE9" s="646"/>
      <c r="SF9" s="646"/>
      <c r="SG9" s="646"/>
      <c r="SH9" s="646"/>
      <c r="SI9" s="646"/>
      <c r="SJ9" s="646"/>
      <c r="SK9" s="646"/>
      <c r="SL9" s="646"/>
      <c r="SM9" s="646"/>
      <c r="SN9" s="646"/>
      <c r="SO9" s="646"/>
      <c r="SP9" s="646"/>
      <c r="SQ9" s="646"/>
      <c r="SR9" s="646"/>
      <c r="SS9" s="646"/>
      <c r="ST9" s="646"/>
      <c r="SU9" s="646"/>
      <c r="SV9" s="646"/>
      <c r="SW9" s="646"/>
      <c r="SX9" s="646"/>
      <c r="SY9" s="646"/>
      <c r="SZ9" s="646"/>
      <c r="TA9" s="646"/>
      <c r="TB9" s="646"/>
      <c r="TC9" s="646"/>
      <c r="TD9" s="646"/>
      <c r="TE9" s="646"/>
      <c r="TF9" s="646"/>
      <c r="TG9" s="646"/>
      <c r="TH9" s="646"/>
      <c r="TI9" s="646"/>
      <c r="TJ9" s="646"/>
      <c r="TK9" s="646"/>
      <c r="TL9" s="646"/>
      <c r="TM9" s="646"/>
      <c r="TN9" s="646"/>
      <c r="TO9" s="646"/>
      <c r="TP9" s="646"/>
      <c r="TQ9" s="646"/>
      <c r="TR9" s="646"/>
      <c r="TS9" s="646"/>
      <c r="TT9" s="646"/>
      <c r="TU9" s="646"/>
      <c r="TV9" s="646"/>
      <c r="TW9" s="646"/>
      <c r="TX9" s="646"/>
      <c r="TY9" s="646"/>
      <c r="TZ9" s="646"/>
      <c r="UA9" s="646"/>
      <c r="UB9" s="646"/>
      <c r="UC9" s="646"/>
      <c r="UD9" s="646"/>
      <c r="UE9" s="646"/>
      <c r="UF9" s="646"/>
      <c r="UG9" s="646"/>
      <c r="UH9" s="646"/>
      <c r="UI9" s="646"/>
      <c r="UJ9" s="646"/>
      <c r="UK9" s="646"/>
      <c r="UL9" s="646"/>
      <c r="UM9" s="646"/>
      <c r="UN9" s="646"/>
      <c r="UO9" s="646"/>
      <c r="UP9" s="646"/>
      <c r="UQ9" s="646"/>
      <c r="UR9" s="646"/>
      <c r="US9" s="646"/>
      <c r="UT9" s="646"/>
      <c r="UU9" s="646"/>
      <c r="UV9" s="646"/>
      <c r="UW9" s="646"/>
      <c r="UX9" s="646"/>
      <c r="UY9" s="646"/>
      <c r="UZ9" s="646"/>
      <c r="VA9" s="646"/>
      <c r="VB9" s="646"/>
      <c r="VC9" s="646"/>
      <c r="VD9" s="646"/>
      <c r="VE9" s="646"/>
      <c r="VF9" s="646"/>
      <c r="VG9" s="646"/>
      <c r="VH9" s="646"/>
      <c r="VI9" s="646"/>
      <c r="VJ9" s="646"/>
      <c r="VK9" s="646"/>
      <c r="VL9" s="646"/>
      <c r="VM9" s="646"/>
      <c r="VN9" s="646"/>
      <c r="VO9" s="646"/>
      <c r="VP9" s="646"/>
      <c r="VQ9" s="646"/>
      <c r="VR9" s="646"/>
      <c r="VS9" s="646"/>
      <c r="VT9" s="646"/>
      <c r="VU9" s="646"/>
      <c r="VV9" s="646"/>
      <c r="VW9" s="646"/>
      <c r="VX9" s="646"/>
      <c r="VY9" s="646"/>
      <c r="VZ9" s="646"/>
      <c r="WA9" s="646"/>
      <c r="WB9" s="646"/>
      <c r="WC9" s="646"/>
      <c r="WD9" s="646"/>
      <c r="WE9" s="646"/>
      <c r="WF9" s="646"/>
      <c r="WG9" s="646"/>
      <c r="WH9" s="646"/>
      <c r="WI9" s="646"/>
      <c r="WJ9" s="646"/>
      <c r="WK9" s="646"/>
      <c r="WL9" s="646"/>
      <c r="WM9" s="646"/>
      <c r="WN9" s="646"/>
      <c r="WO9" s="646"/>
      <c r="WP9" s="646"/>
      <c r="WQ9" s="646"/>
      <c r="WR9" s="646"/>
      <c r="WS9" s="646"/>
      <c r="WT9" s="646"/>
      <c r="WU9" s="646"/>
      <c r="WV9" s="646"/>
      <c r="WW9" s="646"/>
      <c r="WX9" s="646"/>
      <c r="WY9" s="646"/>
      <c r="WZ9" s="646"/>
      <c r="XA9" s="646"/>
      <c r="XB9" s="646"/>
      <c r="XC9" s="646"/>
      <c r="XD9" s="646"/>
      <c r="XE9" s="646"/>
      <c r="XF9" s="646"/>
      <c r="XG9" s="646"/>
      <c r="XH9" s="646"/>
      <c r="XI9" s="646"/>
      <c r="XJ9" s="646"/>
      <c r="XK9" s="646"/>
      <c r="XL9" s="646"/>
      <c r="XM9" s="646"/>
      <c r="XN9" s="646"/>
      <c r="XO9" s="646"/>
      <c r="XP9" s="646"/>
      <c r="XQ9" s="646"/>
      <c r="XR9" s="646"/>
      <c r="XS9" s="646"/>
      <c r="XT9" s="646"/>
      <c r="XU9" s="646"/>
      <c r="XV9" s="646"/>
      <c r="XW9" s="646"/>
      <c r="XX9" s="646"/>
      <c r="XY9" s="646"/>
      <c r="XZ9" s="646"/>
      <c r="YA9" s="646"/>
      <c r="YB9" s="646"/>
      <c r="YC9" s="646"/>
      <c r="YD9" s="646"/>
      <c r="YE9" s="646"/>
      <c r="YF9" s="646"/>
      <c r="YG9" s="646"/>
      <c r="YH9" s="646"/>
      <c r="YI9" s="646"/>
      <c r="YJ9" s="646"/>
      <c r="YK9" s="646"/>
      <c r="YL9" s="646"/>
      <c r="YM9" s="646"/>
      <c r="YN9" s="646"/>
      <c r="YO9" s="646"/>
      <c r="YP9" s="646"/>
      <c r="YQ9" s="646"/>
      <c r="YR9" s="646"/>
      <c r="YS9" s="646"/>
      <c r="YT9" s="646"/>
      <c r="YU9" s="646"/>
      <c r="YV9" s="646"/>
      <c r="YW9" s="646"/>
      <c r="YX9" s="646"/>
      <c r="YY9" s="646"/>
      <c r="YZ9" s="646"/>
      <c r="ZA9" s="646"/>
      <c r="ZB9" s="646"/>
      <c r="ZC9" s="646"/>
      <c r="ZD9" s="646"/>
      <c r="ZE9" s="646"/>
      <c r="ZF9" s="646"/>
      <c r="ZG9" s="646"/>
      <c r="ZH9" s="646"/>
      <c r="ZI9" s="646"/>
      <c r="ZJ9" s="646"/>
      <c r="ZK9" s="646"/>
      <c r="ZL9" s="646"/>
      <c r="ZM9" s="646"/>
      <c r="ZN9" s="646"/>
      <c r="ZO9" s="646"/>
      <c r="ZP9" s="646"/>
      <c r="ZQ9" s="646"/>
      <c r="ZR9" s="646"/>
      <c r="ZS9" s="646"/>
      <c r="ZT9" s="646"/>
      <c r="ZU9" s="646"/>
      <c r="ZV9" s="646"/>
      <c r="ZW9" s="646"/>
      <c r="ZX9" s="646"/>
      <c r="ZY9" s="646"/>
      <c r="ZZ9" s="646"/>
      <c r="AAA9" s="646"/>
      <c r="AAB9" s="646"/>
      <c r="AAC9" s="646"/>
      <c r="AAD9" s="646"/>
      <c r="AAE9" s="646"/>
      <c r="AAF9" s="646"/>
      <c r="AAG9" s="646"/>
      <c r="AAH9" s="646"/>
      <c r="AAI9" s="646"/>
      <c r="AAJ9" s="646"/>
      <c r="AAK9" s="646"/>
      <c r="AAL9" s="646"/>
      <c r="AAM9" s="646"/>
      <c r="AAN9" s="646"/>
      <c r="AAO9" s="646"/>
      <c r="AAP9" s="646"/>
      <c r="AAQ9" s="646"/>
      <c r="AAR9" s="646"/>
      <c r="AAS9" s="646"/>
      <c r="AAT9" s="646"/>
      <c r="AAU9" s="646"/>
      <c r="AAV9" s="646"/>
      <c r="AAW9" s="646"/>
      <c r="AAX9" s="646"/>
      <c r="AAY9" s="646"/>
      <c r="AAZ9" s="646"/>
      <c r="ABA9" s="646"/>
      <c r="ABB9" s="646"/>
      <c r="ABC9" s="646"/>
      <c r="ABD9" s="646"/>
      <c r="ABE9" s="646"/>
      <c r="ABF9" s="646"/>
      <c r="ABG9" s="646"/>
      <c r="ABH9" s="646"/>
      <c r="ABI9" s="646"/>
      <c r="ABJ9" s="646"/>
      <c r="ABK9" s="646"/>
      <c r="ABL9" s="646"/>
      <c r="ABM9" s="646"/>
      <c r="ABN9" s="646"/>
      <c r="ABO9" s="646"/>
      <c r="ABP9" s="646"/>
      <c r="ABQ9" s="646"/>
      <c r="ABR9" s="646"/>
      <c r="ABS9" s="646"/>
      <c r="ABT9" s="646"/>
      <c r="ABU9" s="646"/>
      <c r="ABV9" s="646"/>
      <c r="ABW9" s="646"/>
      <c r="ABX9" s="646"/>
      <c r="ABY9" s="646"/>
      <c r="ABZ9" s="646"/>
      <c r="ACA9" s="646"/>
      <c r="ACB9" s="646"/>
      <c r="ACC9" s="646"/>
      <c r="ACD9" s="646"/>
      <c r="ACE9" s="646"/>
      <c r="ACF9" s="646"/>
      <c r="ACG9" s="646"/>
      <c r="ACH9" s="646"/>
      <c r="ACI9" s="646"/>
      <c r="ACJ9" s="646"/>
      <c r="ACK9" s="646"/>
      <c r="ACL9" s="646"/>
      <c r="ACM9" s="646"/>
      <c r="ACN9" s="646"/>
      <c r="ACO9" s="646"/>
      <c r="ACP9" s="646"/>
      <c r="ACQ9" s="646"/>
      <c r="ACR9" s="646"/>
      <c r="ACS9" s="646"/>
      <c r="ACT9" s="646"/>
      <c r="ACU9" s="646"/>
      <c r="ACV9" s="646"/>
      <c r="ACW9" s="646"/>
      <c r="ACX9" s="646"/>
      <c r="ACY9" s="646"/>
      <c r="ACZ9" s="646"/>
      <c r="ADA9" s="646"/>
      <c r="ADB9" s="646"/>
      <c r="ADC9" s="646"/>
      <c r="ADD9" s="646"/>
      <c r="ADE9" s="646"/>
      <c r="ADF9" s="646"/>
      <c r="ADG9" s="646"/>
      <c r="ADH9" s="646"/>
      <c r="ADI9" s="646"/>
      <c r="ADJ9" s="646"/>
      <c r="ADK9" s="646"/>
      <c r="ADL9" s="646"/>
      <c r="ADM9" s="646"/>
      <c r="ADN9" s="646"/>
      <c r="ADO9" s="646"/>
      <c r="ADP9" s="646"/>
      <c r="ADQ9" s="646"/>
      <c r="ADR9" s="646"/>
      <c r="ADS9" s="646"/>
      <c r="ADT9" s="646"/>
      <c r="ADU9" s="646"/>
      <c r="ADV9" s="646"/>
      <c r="ADW9" s="646"/>
      <c r="ADX9" s="646"/>
      <c r="ADY9" s="646"/>
      <c r="ADZ9" s="646"/>
      <c r="AEA9" s="646"/>
      <c r="AEB9" s="646"/>
      <c r="AEC9" s="646"/>
      <c r="AED9" s="646"/>
      <c r="AEE9" s="646"/>
      <c r="AEF9" s="646"/>
      <c r="AEG9" s="646"/>
      <c r="AEH9" s="646"/>
      <c r="AEI9" s="646"/>
      <c r="AEJ9" s="646"/>
      <c r="AEK9" s="646"/>
      <c r="AEL9" s="646"/>
      <c r="AEM9" s="646"/>
      <c r="AEN9" s="646"/>
      <c r="AEO9" s="646"/>
      <c r="AEP9" s="646"/>
      <c r="AEQ9" s="646"/>
      <c r="AER9" s="646"/>
      <c r="AES9" s="646"/>
      <c r="AET9" s="646"/>
      <c r="AEU9" s="646"/>
      <c r="AEV9" s="646"/>
      <c r="AEW9" s="646"/>
      <c r="AEX9" s="646"/>
      <c r="AEY9" s="646"/>
      <c r="AEZ9" s="646"/>
      <c r="AFA9" s="646"/>
      <c r="AFB9" s="646"/>
      <c r="AFC9" s="646"/>
      <c r="AFD9" s="646"/>
      <c r="AFE9" s="646"/>
      <c r="AFF9" s="646"/>
      <c r="AFG9" s="646"/>
      <c r="AFH9" s="646"/>
      <c r="AFI9" s="646"/>
      <c r="AFJ9" s="646"/>
      <c r="AFK9" s="646"/>
      <c r="AFL9" s="646"/>
      <c r="AFM9" s="646"/>
      <c r="AFN9" s="646"/>
      <c r="AFO9" s="646"/>
      <c r="AFP9" s="646"/>
      <c r="AFQ9" s="646"/>
      <c r="AFR9" s="646"/>
      <c r="AFS9" s="646"/>
      <c r="AFT9" s="646"/>
      <c r="AFU9" s="646"/>
      <c r="AFV9" s="646"/>
      <c r="AFW9" s="646"/>
      <c r="AFX9" s="646"/>
      <c r="AFY9" s="646"/>
      <c r="AFZ9" s="646"/>
      <c r="AGA9" s="646"/>
      <c r="AGB9" s="646"/>
      <c r="AGC9" s="646"/>
      <c r="AGD9" s="646"/>
      <c r="AGE9" s="646"/>
      <c r="AGF9" s="646"/>
      <c r="AGG9" s="646"/>
      <c r="AGH9" s="646"/>
      <c r="AGI9" s="646"/>
      <c r="AGJ9" s="646"/>
      <c r="AGK9" s="646"/>
      <c r="AGL9" s="646"/>
      <c r="AGM9" s="646"/>
      <c r="AGN9" s="646"/>
      <c r="AGO9" s="646"/>
      <c r="AGP9" s="646"/>
      <c r="AGQ9" s="646"/>
      <c r="AGR9" s="646"/>
      <c r="AGS9" s="646"/>
      <c r="AGT9" s="646"/>
      <c r="AGU9" s="646"/>
      <c r="AGV9" s="646"/>
      <c r="AGW9" s="646"/>
      <c r="AGX9" s="646"/>
      <c r="AGY9" s="646"/>
      <c r="AGZ9" s="646"/>
      <c r="AHA9" s="646"/>
      <c r="AHB9" s="646"/>
      <c r="AHC9" s="646"/>
      <c r="AHD9" s="646"/>
      <c r="AHE9" s="646"/>
      <c r="AHF9" s="646"/>
      <c r="AHG9" s="646"/>
      <c r="AHH9" s="646"/>
      <c r="AHI9" s="646"/>
      <c r="AHJ9" s="646"/>
      <c r="AHK9" s="646"/>
      <c r="AHL9" s="646"/>
      <c r="AHM9" s="646"/>
      <c r="AHN9" s="646"/>
      <c r="AHO9" s="646"/>
      <c r="AHP9" s="646"/>
      <c r="AHQ9" s="646"/>
      <c r="AHR9" s="646"/>
      <c r="AHS9" s="646"/>
      <c r="AHT9" s="646"/>
      <c r="AHU9" s="646"/>
      <c r="AHV9" s="646"/>
      <c r="AHW9" s="646"/>
      <c r="AHX9" s="646"/>
      <c r="AHY9" s="646"/>
      <c r="AHZ9" s="646"/>
      <c r="AIA9" s="646"/>
      <c r="AIB9" s="646"/>
      <c r="AIC9" s="646"/>
      <c r="AID9" s="646"/>
      <c r="AIE9" s="646"/>
      <c r="AIF9" s="646"/>
      <c r="AIG9" s="646"/>
      <c r="AIH9" s="646"/>
      <c r="AII9" s="646"/>
      <c r="AIJ9" s="646"/>
      <c r="AIK9" s="646"/>
      <c r="AIL9" s="646"/>
      <c r="AIM9" s="646"/>
      <c r="AIN9" s="646"/>
      <c r="AIO9" s="646"/>
      <c r="AIP9" s="646"/>
      <c r="AIQ9" s="646"/>
      <c r="AIR9" s="646"/>
      <c r="AIS9" s="646"/>
      <c r="AIT9" s="646"/>
      <c r="AIU9" s="646"/>
      <c r="AIV9" s="646"/>
      <c r="AIW9" s="646"/>
      <c r="AIX9" s="646"/>
      <c r="AIY9" s="646"/>
      <c r="AIZ9" s="646"/>
      <c r="AJA9" s="646"/>
      <c r="AJB9" s="646"/>
      <c r="AJC9" s="646"/>
      <c r="AJD9" s="646"/>
      <c r="AJE9" s="646"/>
      <c r="AJF9" s="646"/>
      <c r="AJG9" s="646"/>
      <c r="AJH9" s="646"/>
      <c r="AJI9" s="646"/>
      <c r="AJJ9" s="646"/>
      <c r="AJK9" s="646"/>
      <c r="AJL9" s="646"/>
      <c r="AJM9" s="646"/>
      <c r="AJN9" s="646"/>
      <c r="AJO9" s="646"/>
      <c r="AJP9" s="646"/>
      <c r="AJQ9" s="646"/>
      <c r="AJR9" s="646"/>
      <c r="AJS9" s="646"/>
      <c r="AJT9" s="646"/>
      <c r="AJU9" s="646"/>
      <c r="AJV9" s="646"/>
      <c r="AJW9" s="646"/>
      <c r="AJX9" s="646"/>
      <c r="AJY9" s="646"/>
      <c r="AJZ9" s="646"/>
      <c r="AKA9" s="646"/>
      <c r="AKB9" s="646"/>
      <c r="AKC9" s="646"/>
      <c r="AKD9" s="646"/>
      <c r="AKE9" s="646"/>
      <c r="AKF9" s="646"/>
      <c r="AKG9" s="646"/>
      <c r="AKH9" s="646"/>
      <c r="AKI9" s="646"/>
      <c r="AKJ9" s="646"/>
      <c r="AKK9" s="646"/>
      <c r="AKL9" s="646"/>
      <c r="AKM9" s="646"/>
      <c r="AKN9" s="646"/>
      <c r="AKO9" s="646"/>
      <c r="AKP9" s="646"/>
      <c r="AKQ9" s="646"/>
      <c r="AKR9" s="646"/>
      <c r="AKS9" s="646"/>
      <c r="AKT9" s="646"/>
      <c r="AKU9" s="646"/>
      <c r="AKV9" s="646"/>
      <c r="AKW9" s="646"/>
      <c r="AKX9" s="646"/>
      <c r="AKY9" s="646"/>
      <c r="AKZ9" s="646"/>
      <c r="ALA9" s="646"/>
      <c r="ALB9" s="646"/>
      <c r="ALC9" s="646"/>
      <c r="ALD9" s="646"/>
      <c r="ALE9" s="646"/>
      <c r="ALF9" s="646"/>
      <c r="ALG9" s="646"/>
      <c r="ALH9" s="646"/>
      <c r="ALI9" s="646"/>
      <c r="ALJ9" s="646"/>
      <c r="ALK9" s="646"/>
      <c r="ALL9" s="646"/>
      <c r="ALM9" s="646"/>
      <c r="ALN9" s="646"/>
      <c r="ALO9" s="646"/>
      <c r="ALP9" s="646"/>
      <c r="ALQ9" s="646"/>
      <c r="ALR9" s="646"/>
      <c r="ALS9" s="646"/>
      <c r="ALT9" s="646"/>
      <c r="ALU9" s="646"/>
      <c r="ALV9" s="646"/>
      <c r="ALW9" s="646"/>
      <c r="ALX9" s="646"/>
      <c r="ALY9" s="646"/>
      <c r="ALZ9" s="646"/>
      <c r="AMA9" s="646"/>
      <c r="AMB9" s="646"/>
      <c r="AMC9" s="646"/>
      <c r="AMD9" s="646"/>
      <c r="AME9" s="646"/>
      <c r="AMF9" s="646"/>
      <c r="AMG9" s="646"/>
      <c r="AMH9" s="646"/>
    </row>
    <row r="10" spans="1:1022" ht="15.6">
      <c r="A10" s="650" t="s">
        <v>1830</v>
      </c>
      <c r="B10" s="651" t="s">
        <v>21</v>
      </c>
      <c r="C10" s="646"/>
      <c r="D10" s="646"/>
      <c r="E10" s="646"/>
      <c r="F10" s="646"/>
      <c r="G10" s="646"/>
      <c r="H10" s="647"/>
      <c r="I10" s="646"/>
      <c r="J10" s="646"/>
      <c r="K10" s="646"/>
      <c r="L10" s="646"/>
      <c r="M10" s="646"/>
      <c r="N10" s="647"/>
      <c r="O10" s="647"/>
      <c r="P10" s="647"/>
      <c r="Q10" s="647"/>
      <c r="R10" s="646"/>
      <c r="S10" s="647"/>
      <c r="T10" s="646"/>
      <c r="U10" s="646"/>
      <c r="V10" s="646"/>
      <c r="W10" s="646"/>
      <c r="X10" s="646"/>
      <c r="Y10" s="646"/>
      <c r="Z10" s="646"/>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6"/>
      <c r="BU10" s="646"/>
      <c r="BV10" s="646"/>
      <c r="BW10" s="646"/>
      <c r="BX10" s="646"/>
      <c r="BY10" s="646"/>
      <c r="BZ10" s="646"/>
      <c r="CA10" s="646"/>
      <c r="CB10" s="646"/>
      <c r="CC10" s="646"/>
      <c r="CD10" s="646"/>
      <c r="CE10" s="646"/>
      <c r="CF10" s="646"/>
      <c r="CG10" s="646"/>
      <c r="CH10" s="646"/>
      <c r="CI10" s="646"/>
      <c r="CJ10" s="646"/>
      <c r="CK10" s="646"/>
      <c r="CL10" s="646"/>
      <c r="CM10" s="646"/>
      <c r="CN10" s="646"/>
      <c r="CO10" s="646"/>
      <c r="CP10" s="646"/>
      <c r="CQ10" s="646"/>
      <c r="CR10" s="646"/>
      <c r="CS10" s="646"/>
      <c r="CT10" s="646"/>
      <c r="CU10" s="646"/>
      <c r="CV10" s="646"/>
      <c r="CW10" s="646"/>
      <c r="CX10" s="646"/>
      <c r="CY10" s="646"/>
      <c r="CZ10" s="646"/>
      <c r="DA10" s="646"/>
      <c r="DB10" s="646"/>
      <c r="DC10" s="646"/>
      <c r="DD10" s="646"/>
      <c r="DE10" s="646"/>
      <c r="DF10" s="646"/>
      <c r="DG10" s="646"/>
      <c r="DH10" s="646"/>
      <c r="DI10" s="646"/>
      <c r="DJ10" s="646"/>
      <c r="DK10" s="646"/>
      <c r="DL10" s="646"/>
      <c r="DM10" s="646"/>
      <c r="DN10" s="646"/>
      <c r="DO10" s="646"/>
      <c r="DP10" s="646"/>
      <c r="DQ10" s="646"/>
      <c r="DR10" s="646"/>
      <c r="DS10" s="646"/>
      <c r="DT10" s="646"/>
      <c r="DU10" s="646"/>
      <c r="DV10" s="646"/>
      <c r="DW10" s="646"/>
      <c r="DX10" s="646"/>
      <c r="DY10" s="646"/>
      <c r="DZ10" s="646"/>
      <c r="EA10" s="646"/>
      <c r="EB10" s="646"/>
      <c r="EC10" s="646"/>
      <c r="ED10" s="646"/>
      <c r="EE10" s="646"/>
      <c r="EF10" s="646"/>
      <c r="EG10" s="646"/>
      <c r="EH10" s="646"/>
      <c r="EI10" s="646"/>
      <c r="EJ10" s="646"/>
      <c r="EK10" s="646"/>
      <c r="EL10" s="646"/>
      <c r="EM10" s="646"/>
      <c r="EN10" s="646"/>
      <c r="EO10" s="646"/>
      <c r="EP10" s="646"/>
      <c r="EQ10" s="646"/>
      <c r="ER10" s="646"/>
      <c r="ES10" s="646"/>
      <c r="ET10" s="646"/>
      <c r="EU10" s="646"/>
      <c r="EV10" s="646"/>
      <c r="EW10" s="646"/>
      <c r="EX10" s="646"/>
      <c r="EY10" s="646"/>
      <c r="EZ10" s="646"/>
      <c r="FA10" s="646"/>
      <c r="FB10" s="646"/>
      <c r="FC10" s="646"/>
      <c r="FD10" s="646"/>
      <c r="FE10" s="646"/>
      <c r="FF10" s="646"/>
      <c r="FG10" s="646"/>
      <c r="FH10" s="646"/>
      <c r="FI10" s="646"/>
      <c r="FJ10" s="646"/>
      <c r="FK10" s="646"/>
      <c r="FL10" s="646"/>
      <c r="FM10" s="646"/>
      <c r="FN10" s="646"/>
      <c r="FO10" s="646"/>
      <c r="FP10" s="646"/>
      <c r="FQ10" s="646"/>
      <c r="FR10" s="646"/>
      <c r="FS10" s="646"/>
      <c r="FT10" s="646"/>
      <c r="FU10" s="646"/>
      <c r="FV10" s="646"/>
      <c r="FW10" s="646"/>
      <c r="FX10" s="646"/>
      <c r="FY10" s="646"/>
      <c r="FZ10" s="646"/>
      <c r="GA10" s="646"/>
      <c r="GB10" s="646"/>
      <c r="GC10" s="646"/>
      <c r="GD10" s="646"/>
      <c r="GE10" s="646"/>
      <c r="GF10" s="646"/>
      <c r="GG10" s="646"/>
      <c r="GH10" s="646"/>
      <c r="GI10" s="646"/>
      <c r="GJ10" s="646"/>
      <c r="GK10" s="646"/>
      <c r="GL10" s="646"/>
      <c r="GM10" s="646"/>
      <c r="GN10" s="646"/>
      <c r="GO10" s="646"/>
      <c r="GP10" s="646"/>
      <c r="GQ10" s="646"/>
      <c r="GR10" s="646"/>
      <c r="GS10" s="646"/>
      <c r="GT10" s="646"/>
      <c r="GU10" s="646"/>
      <c r="GV10" s="646"/>
      <c r="GW10" s="646"/>
      <c r="GX10" s="646"/>
      <c r="GY10" s="646"/>
      <c r="GZ10" s="646"/>
      <c r="HA10" s="646"/>
      <c r="HB10" s="646"/>
      <c r="HC10" s="646"/>
      <c r="HD10" s="646"/>
      <c r="HE10" s="646"/>
      <c r="HF10" s="646"/>
      <c r="HG10" s="646"/>
      <c r="HH10" s="646"/>
      <c r="HI10" s="646"/>
      <c r="HJ10" s="646"/>
      <c r="HK10" s="646"/>
      <c r="HL10" s="646"/>
      <c r="HM10" s="646"/>
      <c r="HN10" s="646"/>
      <c r="HO10" s="646"/>
      <c r="HP10" s="646"/>
      <c r="HQ10" s="646"/>
      <c r="HR10" s="646"/>
      <c r="HS10" s="646"/>
      <c r="HT10" s="646"/>
      <c r="HU10" s="646"/>
      <c r="HV10" s="646"/>
      <c r="HW10" s="646"/>
      <c r="HX10" s="646"/>
      <c r="HY10" s="646"/>
      <c r="HZ10" s="646"/>
      <c r="IA10" s="646"/>
      <c r="IB10" s="646"/>
      <c r="IC10" s="646"/>
      <c r="ID10" s="646"/>
      <c r="IE10" s="646"/>
      <c r="IF10" s="646"/>
      <c r="IG10" s="646"/>
      <c r="IH10" s="646"/>
      <c r="II10" s="646"/>
      <c r="IJ10" s="646"/>
      <c r="IK10" s="646"/>
      <c r="IL10" s="646"/>
      <c r="IM10" s="646"/>
      <c r="IN10" s="646"/>
      <c r="IO10" s="646"/>
      <c r="IP10" s="646"/>
      <c r="IQ10" s="646"/>
      <c r="IR10" s="646"/>
      <c r="IS10" s="646"/>
      <c r="IT10" s="646"/>
      <c r="IU10" s="646"/>
      <c r="IV10" s="646"/>
      <c r="IW10" s="646"/>
      <c r="IX10" s="646"/>
      <c r="IY10" s="646"/>
      <c r="IZ10" s="646"/>
      <c r="JA10" s="646"/>
      <c r="JB10" s="646"/>
      <c r="JC10" s="646"/>
      <c r="JD10" s="646"/>
      <c r="JE10" s="646"/>
      <c r="JF10" s="646"/>
      <c r="JG10" s="646"/>
      <c r="JH10" s="646"/>
      <c r="JI10" s="646"/>
      <c r="JJ10" s="646"/>
      <c r="JK10" s="646"/>
      <c r="JL10" s="646"/>
      <c r="JM10" s="646"/>
      <c r="JN10" s="646"/>
      <c r="JO10" s="646"/>
      <c r="JP10" s="646"/>
      <c r="JQ10" s="646"/>
      <c r="JR10" s="646"/>
      <c r="JS10" s="646"/>
      <c r="JT10" s="646"/>
      <c r="JU10" s="646"/>
      <c r="JV10" s="646"/>
      <c r="JW10" s="646"/>
      <c r="JX10" s="646"/>
      <c r="JY10" s="646"/>
      <c r="JZ10" s="646"/>
      <c r="KA10" s="646"/>
      <c r="KB10" s="646"/>
      <c r="KC10" s="646"/>
      <c r="KD10" s="646"/>
      <c r="KE10" s="646"/>
      <c r="KF10" s="646"/>
      <c r="KG10" s="646"/>
      <c r="KH10" s="646"/>
      <c r="KI10" s="646"/>
      <c r="KJ10" s="646"/>
      <c r="KK10" s="646"/>
      <c r="KL10" s="646"/>
      <c r="KM10" s="646"/>
      <c r="KN10" s="646"/>
      <c r="KO10" s="646"/>
      <c r="KP10" s="646"/>
      <c r="KQ10" s="646"/>
      <c r="KR10" s="646"/>
      <c r="KS10" s="646"/>
      <c r="KT10" s="646"/>
      <c r="KU10" s="646"/>
      <c r="KV10" s="646"/>
      <c r="KW10" s="646"/>
      <c r="KX10" s="646"/>
      <c r="KY10" s="646"/>
      <c r="KZ10" s="646"/>
      <c r="LA10" s="646"/>
      <c r="LB10" s="646"/>
      <c r="LC10" s="646"/>
      <c r="LD10" s="646"/>
      <c r="LE10" s="646"/>
      <c r="LF10" s="646"/>
      <c r="LG10" s="646"/>
      <c r="LH10" s="646"/>
      <c r="LI10" s="646"/>
      <c r="LJ10" s="646"/>
      <c r="LK10" s="646"/>
      <c r="LL10" s="646"/>
      <c r="LM10" s="646"/>
      <c r="LN10" s="646"/>
      <c r="LO10" s="646"/>
      <c r="LP10" s="646"/>
      <c r="LQ10" s="646"/>
      <c r="LR10" s="646"/>
      <c r="LS10" s="646"/>
      <c r="LT10" s="646"/>
      <c r="LU10" s="646"/>
      <c r="LV10" s="646"/>
      <c r="LW10" s="646"/>
      <c r="LX10" s="646"/>
      <c r="LY10" s="646"/>
      <c r="LZ10" s="646"/>
      <c r="MA10" s="646"/>
      <c r="MB10" s="646"/>
      <c r="MC10" s="646"/>
      <c r="MD10" s="646"/>
      <c r="ME10" s="646"/>
      <c r="MF10" s="646"/>
      <c r="MG10" s="646"/>
      <c r="MH10" s="646"/>
      <c r="MI10" s="646"/>
      <c r="MJ10" s="646"/>
      <c r="MK10" s="646"/>
      <c r="ML10" s="646"/>
      <c r="MM10" s="646"/>
      <c r="MN10" s="646"/>
      <c r="MO10" s="646"/>
      <c r="MP10" s="646"/>
      <c r="MQ10" s="646"/>
      <c r="MR10" s="646"/>
      <c r="MS10" s="646"/>
      <c r="MT10" s="646"/>
      <c r="MU10" s="646"/>
      <c r="MV10" s="646"/>
      <c r="MW10" s="646"/>
      <c r="MX10" s="646"/>
      <c r="MY10" s="646"/>
      <c r="MZ10" s="646"/>
      <c r="NA10" s="646"/>
      <c r="NB10" s="646"/>
      <c r="NC10" s="646"/>
      <c r="ND10" s="646"/>
      <c r="NE10" s="646"/>
      <c r="NF10" s="646"/>
      <c r="NG10" s="646"/>
      <c r="NH10" s="646"/>
      <c r="NI10" s="646"/>
      <c r="NJ10" s="646"/>
      <c r="NK10" s="646"/>
      <c r="NL10" s="646"/>
      <c r="NM10" s="646"/>
      <c r="NN10" s="646"/>
      <c r="NO10" s="646"/>
      <c r="NP10" s="646"/>
      <c r="NQ10" s="646"/>
      <c r="NR10" s="646"/>
      <c r="NS10" s="646"/>
      <c r="NT10" s="646"/>
      <c r="NU10" s="646"/>
      <c r="NV10" s="646"/>
      <c r="NW10" s="646"/>
      <c r="NX10" s="646"/>
      <c r="NY10" s="646"/>
      <c r="NZ10" s="646"/>
      <c r="OA10" s="646"/>
      <c r="OB10" s="646"/>
      <c r="OC10" s="646"/>
      <c r="OD10" s="646"/>
      <c r="OE10" s="646"/>
      <c r="OF10" s="646"/>
      <c r="OG10" s="646"/>
      <c r="OH10" s="646"/>
      <c r="OI10" s="646"/>
      <c r="OJ10" s="646"/>
      <c r="OK10" s="646"/>
      <c r="OL10" s="646"/>
      <c r="OM10" s="646"/>
      <c r="ON10" s="646"/>
      <c r="OO10" s="646"/>
      <c r="OP10" s="646"/>
      <c r="OQ10" s="646"/>
      <c r="OR10" s="646"/>
      <c r="OS10" s="646"/>
      <c r="OT10" s="646"/>
      <c r="OU10" s="646"/>
      <c r="OV10" s="646"/>
      <c r="OW10" s="646"/>
      <c r="OX10" s="646"/>
      <c r="OY10" s="646"/>
      <c r="OZ10" s="646"/>
      <c r="PA10" s="646"/>
      <c r="PB10" s="646"/>
      <c r="PC10" s="646"/>
      <c r="PD10" s="646"/>
      <c r="PE10" s="646"/>
      <c r="PF10" s="646"/>
      <c r="PG10" s="646"/>
      <c r="PH10" s="646"/>
      <c r="PI10" s="646"/>
      <c r="PJ10" s="646"/>
      <c r="PK10" s="646"/>
      <c r="PL10" s="646"/>
      <c r="PM10" s="646"/>
      <c r="PN10" s="646"/>
      <c r="PO10" s="646"/>
      <c r="PP10" s="646"/>
      <c r="PQ10" s="646"/>
      <c r="PR10" s="646"/>
      <c r="PS10" s="646"/>
      <c r="PT10" s="646"/>
      <c r="PU10" s="646"/>
      <c r="PV10" s="646"/>
      <c r="PW10" s="646"/>
      <c r="PX10" s="646"/>
      <c r="PY10" s="646"/>
      <c r="PZ10" s="646"/>
      <c r="QA10" s="646"/>
      <c r="QB10" s="646"/>
      <c r="QC10" s="646"/>
      <c r="QD10" s="646"/>
      <c r="QE10" s="646"/>
      <c r="QF10" s="646"/>
      <c r="QG10" s="646"/>
      <c r="QH10" s="646"/>
      <c r="QI10" s="646"/>
      <c r="QJ10" s="646"/>
      <c r="QK10" s="646"/>
      <c r="QL10" s="646"/>
      <c r="QM10" s="646"/>
      <c r="QN10" s="646"/>
      <c r="QO10" s="646"/>
      <c r="QP10" s="646"/>
      <c r="QQ10" s="646"/>
      <c r="QR10" s="646"/>
      <c r="QS10" s="646"/>
      <c r="QT10" s="646"/>
      <c r="QU10" s="646"/>
      <c r="QV10" s="646"/>
      <c r="QW10" s="646"/>
      <c r="QX10" s="646"/>
      <c r="QY10" s="646"/>
      <c r="QZ10" s="646"/>
      <c r="RA10" s="646"/>
      <c r="RB10" s="646"/>
      <c r="RC10" s="646"/>
      <c r="RD10" s="646"/>
      <c r="RE10" s="646"/>
      <c r="RF10" s="646"/>
      <c r="RG10" s="646"/>
      <c r="RH10" s="646"/>
      <c r="RI10" s="646"/>
      <c r="RJ10" s="646"/>
      <c r="RK10" s="646"/>
      <c r="RL10" s="646"/>
      <c r="RM10" s="646"/>
      <c r="RN10" s="646"/>
      <c r="RO10" s="646"/>
      <c r="RP10" s="646"/>
      <c r="RQ10" s="646"/>
      <c r="RR10" s="646"/>
      <c r="RS10" s="646"/>
      <c r="RT10" s="646"/>
      <c r="RU10" s="646"/>
      <c r="RV10" s="646"/>
      <c r="RW10" s="646"/>
      <c r="RX10" s="646"/>
      <c r="RY10" s="646"/>
      <c r="RZ10" s="646"/>
      <c r="SA10" s="646"/>
      <c r="SB10" s="646"/>
      <c r="SC10" s="646"/>
      <c r="SD10" s="646"/>
      <c r="SE10" s="646"/>
      <c r="SF10" s="646"/>
      <c r="SG10" s="646"/>
      <c r="SH10" s="646"/>
      <c r="SI10" s="646"/>
      <c r="SJ10" s="646"/>
      <c r="SK10" s="646"/>
      <c r="SL10" s="646"/>
      <c r="SM10" s="646"/>
      <c r="SN10" s="646"/>
      <c r="SO10" s="646"/>
      <c r="SP10" s="646"/>
      <c r="SQ10" s="646"/>
      <c r="SR10" s="646"/>
      <c r="SS10" s="646"/>
      <c r="ST10" s="646"/>
      <c r="SU10" s="646"/>
      <c r="SV10" s="646"/>
      <c r="SW10" s="646"/>
      <c r="SX10" s="646"/>
      <c r="SY10" s="646"/>
      <c r="SZ10" s="646"/>
      <c r="TA10" s="646"/>
      <c r="TB10" s="646"/>
      <c r="TC10" s="646"/>
      <c r="TD10" s="646"/>
      <c r="TE10" s="646"/>
      <c r="TF10" s="646"/>
      <c r="TG10" s="646"/>
      <c r="TH10" s="646"/>
      <c r="TI10" s="646"/>
      <c r="TJ10" s="646"/>
      <c r="TK10" s="646"/>
      <c r="TL10" s="646"/>
      <c r="TM10" s="646"/>
      <c r="TN10" s="646"/>
      <c r="TO10" s="646"/>
      <c r="TP10" s="646"/>
      <c r="TQ10" s="646"/>
      <c r="TR10" s="646"/>
      <c r="TS10" s="646"/>
      <c r="TT10" s="646"/>
      <c r="TU10" s="646"/>
      <c r="TV10" s="646"/>
      <c r="TW10" s="646"/>
      <c r="TX10" s="646"/>
      <c r="TY10" s="646"/>
      <c r="TZ10" s="646"/>
      <c r="UA10" s="646"/>
      <c r="UB10" s="646"/>
      <c r="UC10" s="646"/>
      <c r="UD10" s="646"/>
      <c r="UE10" s="646"/>
      <c r="UF10" s="646"/>
      <c r="UG10" s="646"/>
      <c r="UH10" s="646"/>
      <c r="UI10" s="646"/>
      <c r="UJ10" s="646"/>
      <c r="UK10" s="646"/>
      <c r="UL10" s="646"/>
      <c r="UM10" s="646"/>
      <c r="UN10" s="646"/>
      <c r="UO10" s="646"/>
      <c r="UP10" s="646"/>
      <c r="UQ10" s="646"/>
      <c r="UR10" s="646"/>
      <c r="US10" s="646"/>
      <c r="UT10" s="646"/>
      <c r="UU10" s="646"/>
      <c r="UV10" s="646"/>
      <c r="UW10" s="646"/>
      <c r="UX10" s="646"/>
      <c r="UY10" s="646"/>
      <c r="UZ10" s="646"/>
      <c r="VA10" s="646"/>
      <c r="VB10" s="646"/>
      <c r="VC10" s="646"/>
      <c r="VD10" s="646"/>
      <c r="VE10" s="646"/>
      <c r="VF10" s="646"/>
      <c r="VG10" s="646"/>
      <c r="VH10" s="646"/>
      <c r="VI10" s="646"/>
      <c r="VJ10" s="646"/>
      <c r="VK10" s="646"/>
      <c r="VL10" s="646"/>
      <c r="VM10" s="646"/>
      <c r="VN10" s="646"/>
      <c r="VO10" s="646"/>
      <c r="VP10" s="646"/>
      <c r="VQ10" s="646"/>
      <c r="VR10" s="646"/>
      <c r="VS10" s="646"/>
      <c r="VT10" s="646"/>
      <c r="VU10" s="646"/>
      <c r="VV10" s="646"/>
      <c r="VW10" s="646"/>
      <c r="VX10" s="646"/>
      <c r="VY10" s="646"/>
      <c r="VZ10" s="646"/>
      <c r="WA10" s="646"/>
      <c r="WB10" s="646"/>
      <c r="WC10" s="646"/>
      <c r="WD10" s="646"/>
      <c r="WE10" s="646"/>
      <c r="WF10" s="646"/>
      <c r="WG10" s="646"/>
      <c r="WH10" s="646"/>
      <c r="WI10" s="646"/>
      <c r="WJ10" s="646"/>
      <c r="WK10" s="646"/>
      <c r="WL10" s="646"/>
      <c r="WM10" s="646"/>
      <c r="WN10" s="646"/>
      <c r="WO10" s="646"/>
      <c r="WP10" s="646"/>
      <c r="WQ10" s="646"/>
      <c r="WR10" s="646"/>
      <c r="WS10" s="646"/>
      <c r="WT10" s="646"/>
      <c r="WU10" s="646"/>
      <c r="WV10" s="646"/>
      <c r="WW10" s="646"/>
      <c r="WX10" s="646"/>
      <c r="WY10" s="646"/>
      <c r="WZ10" s="646"/>
      <c r="XA10" s="646"/>
      <c r="XB10" s="646"/>
      <c r="XC10" s="646"/>
      <c r="XD10" s="646"/>
      <c r="XE10" s="646"/>
      <c r="XF10" s="646"/>
      <c r="XG10" s="646"/>
      <c r="XH10" s="646"/>
      <c r="XI10" s="646"/>
      <c r="XJ10" s="646"/>
      <c r="XK10" s="646"/>
      <c r="XL10" s="646"/>
      <c r="XM10" s="646"/>
      <c r="XN10" s="646"/>
      <c r="XO10" s="646"/>
      <c r="XP10" s="646"/>
      <c r="XQ10" s="646"/>
      <c r="XR10" s="646"/>
      <c r="XS10" s="646"/>
      <c r="XT10" s="646"/>
      <c r="XU10" s="646"/>
      <c r="XV10" s="646"/>
      <c r="XW10" s="646"/>
      <c r="XX10" s="646"/>
      <c r="XY10" s="646"/>
      <c r="XZ10" s="646"/>
      <c r="YA10" s="646"/>
      <c r="YB10" s="646"/>
      <c r="YC10" s="646"/>
      <c r="YD10" s="646"/>
      <c r="YE10" s="646"/>
      <c r="YF10" s="646"/>
      <c r="YG10" s="646"/>
      <c r="YH10" s="646"/>
      <c r="YI10" s="646"/>
      <c r="YJ10" s="646"/>
      <c r="YK10" s="646"/>
      <c r="YL10" s="646"/>
      <c r="YM10" s="646"/>
      <c r="YN10" s="646"/>
      <c r="YO10" s="646"/>
      <c r="YP10" s="646"/>
      <c r="YQ10" s="646"/>
      <c r="YR10" s="646"/>
      <c r="YS10" s="646"/>
      <c r="YT10" s="646"/>
      <c r="YU10" s="646"/>
      <c r="YV10" s="646"/>
      <c r="YW10" s="646"/>
      <c r="YX10" s="646"/>
      <c r="YY10" s="646"/>
      <c r="YZ10" s="646"/>
      <c r="ZA10" s="646"/>
      <c r="ZB10" s="646"/>
      <c r="ZC10" s="646"/>
      <c r="ZD10" s="646"/>
      <c r="ZE10" s="646"/>
      <c r="ZF10" s="646"/>
      <c r="ZG10" s="646"/>
      <c r="ZH10" s="646"/>
      <c r="ZI10" s="646"/>
      <c r="ZJ10" s="646"/>
      <c r="ZK10" s="646"/>
      <c r="ZL10" s="646"/>
      <c r="ZM10" s="646"/>
      <c r="ZN10" s="646"/>
      <c r="ZO10" s="646"/>
      <c r="ZP10" s="646"/>
      <c r="ZQ10" s="646"/>
      <c r="ZR10" s="646"/>
      <c r="ZS10" s="646"/>
      <c r="ZT10" s="646"/>
      <c r="ZU10" s="646"/>
      <c r="ZV10" s="646"/>
      <c r="ZW10" s="646"/>
      <c r="ZX10" s="646"/>
      <c r="ZY10" s="646"/>
      <c r="ZZ10" s="646"/>
      <c r="AAA10" s="646"/>
      <c r="AAB10" s="646"/>
      <c r="AAC10" s="646"/>
      <c r="AAD10" s="646"/>
      <c r="AAE10" s="646"/>
      <c r="AAF10" s="646"/>
      <c r="AAG10" s="646"/>
      <c r="AAH10" s="646"/>
      <c r="AAI10" s="646"/>
      <c r="AAJ10" s="646"/>
      <c r="AAK10" s="646"/>
      <c r="AAL10" s="646"/>
      <c r="AAM10" s="646"/>
      <c r="AAN10" s="646"/>
      <c r="AAO10" s="646"/>
      <c r="AAP10" s="646"/>
      <c r="AAQ10" s="646"/>
      <c r="AAR10" s="646"/>
      <c r="AAS10" s="646"/>
      <c r="AAT10" s="646"/>
      <c r="AAU10" s="646"/>
      <c r="AAV10" s="646"/>
      <c r="AAW10" s="646"/>
      <c r="AAX10" s="646"/>
      <c r="AAY10" s="646"/>
      <c r="AAZ10" s="646"/>
      <c r="ABA10" s="646"/>
      <c r="ABB10" s="646"/>
      <c r="ABC10" s="646"/>
      <c r="ABD10" s="646"/>
      <c r="ABE10" s="646"/>
      <c r="ABF10" s="646"/>
      <c r="ABG10" s="646"/>
      <c r="ABH10" s="646"/>
      <c r="ABI10" s="646"/>
      <c r="ABJ10" s="646"/>
      <c r="ABK10" s="646"/>
      <c r="ABL10" s="646"/>
      <c r="ABM10" s="646"/>
      <c r="ABN10" s="646"/>
      <c r="ABO10" s="646"/>
      <c r="ABP10" s="646"/>
      <c r="ABQ10" s="646"/>
      <c r="ABR10" s="646"/>
      <c r="ABS10" s="646"/>
      <c r="ABT10" s="646"/>
      <c r="ABU10" s="646"/>
      <c r="ABV10" s="646"/>
      <c r="ABW10" s="646"/>
      <c r="ABX10" s="646"/>
      <c r="ABY10" s="646"/>
      <c r="ABZ10" s="646"/>
      <c r="ACA10" s="646"/>
      <c r="ACB10" s="646"/>
      <c r="ACC10" s="646"/>
      <c r="ACD10" s="646"/>
      <c r="ACE10" s="646"/>
      <c r="ACF10" s="646"/>
      <c r="ACG10" s="646"/>
      <c r="ACH10" s="646"/>
      <c r="ACI10" s="646"/>
      <c r="ACJ10" s="646"/>
      <c r="ACK10" s="646"/>
      <c r="ACL10" s="646"/>
      <c r="ACM10" s="646"/>
      <c r="ACN10" s="646"/>
      <c r="ACO10" s="646"/>
      <c r="ACP10" s="646"/>
      <c r="ACQ10" s="646"/>
      <c r="ACR10" s="646"/>
      <c r="ACS10" s="646"/>
      <c r="ACT10" s="646"/>
      <c r="ACU10" s="646"/>
      <c r="ACV10" s="646"/>
      <c r="ACW10" s="646"/>
      <c r="ACX10" s="646"/>
      <c r="ACY10" s="646"/>
      <c r="ACZ10" s="646"/>
      <c r="ADA10" s="646"/>
      <c r="ADB10" s="646"/>
      <c r="ADC10" s="646"/>
      <c r="ADD10" s="646"/>
      <c r="ADE10" s="646"/>
      <c r="ADF10" s="646"/>
      <c r="ADG10" s="646"/>
      <c r="ADH10" s="646"/>
      <c r="ADI10" s="646"/>
      <c r="ADJ10" s="646"/>
      <c r="ADK10" s="646"/>
      <c r="ADL10" s="646"/>
      <c r="ADM10" s="646"/>
      <c r="ADN10" s="646"/>
      <c r="ADO10" s="646"/>
      <c r="ADP10" s="646"/>
      <c r="ADQ10" s="646"/>
      <c r="ADR10" s="646"/>
      <c r="ADS10" s="646"/>
      <c r="ADT10" s="646"/>
      <c r="ADU10" s="646"/>
      <c r="ADV10" s="646"/>
      <c r="ADW10" s="646"/>
      <c r="ADX10" s="646"/>
      <c r="ADY10" s="646"/>
      <c r="ADZ10" s="646"/>
      <c r="AEA10" s="646"/>
      <c r="AEB10" s="646"/>
      <c r="AEC10" s="646"/>
      <c r="AED10" s="646"/>
      <c r="AEE10" s="646"/>
      <c r="AEF10" s="646"/>
      <c r="AEG10" s="646"/>
      <c r="AEH10" s="646"/>
      <c r="AEI10" s="646"/>
      <c r="AEJ10" s="646"/>
      <c r="AEK10" s="646"/>
      <c r="AEL10" s="646"/>
      <c r="AEM10" s="646"/>
      <c r="AEN10" s="646"/>
      <c r="AEO10" s="646"/>
      <c r="AEP10" s="646"/>
      <c r="AEQ10" s="646"/>
      <c r="AER10" s="646"/>
      <c r="AES10" s="646"/>
      <c r="AET10" s="646"/>
      <c r="AEU10" s="646"/>
      <c r="AEV10" s="646"/>
      <c r="AEW10" s="646"/>
      <c r="AEX10" s="646"/>
      <c r="AEY10" s="646"/>
      <c r="AEZ10" s="646"/>
      <c r="AFA10" s="646"/>
      <c r="AFB10" s="646"/>
      <c r="AFC10" s="646"/>
      <c r="AFD10" s="646"/>
      <c r="AFE10" s="646"/>
      <c r="AFF10" s="646"/>
      <c r="AFG10" s="646"/>
      <c r="AFH10" s="646"/>
      <c r="AFI10" s="646"/>
      <c r="AFJ10" s="646"/>
      <c r="AFK10" s="646"/>
      <c r="AFL10" s="646"/>
      <c r="AFM10" s="646"/>
      <c r="AFN10" s="646"/>
      <c r="AFO10" s="646"/>
      <c r="AFP10" s="646"/>
      <c r="AFQ10" s="646"/>
      <c r="AFR10" s="646"/>
      <c r="AFS10" s="646"/>
      <c r="AFT10" s="646"/>
      <c r="AFU10" s="646"/>
      <c r="AFV10" s="646"/>
      <c r="AFW10" s="646"/>
      <c r="AFX10" s="646"/>
      <c r="AFY10" s="646"/>
      <c r="AFZ10" s="646"/>
      <c r="AGA10" s="646"/>
      <c r="AGB10" s="646"/>
      <c r="AGC10" s="646"/>
      <c r="AGD10" s="646"/>
      <c r="AGE10" s="646"/>
      <c r="AGF10" s="646"/>
      <c r="AGG10" s="646"/>
      <c r="AGH10" s="646"/>
      <c r="AGI10" s="646"/>
      <c r="AGJ10" s="646"/>
      <c r="AGK10" s="646"/>
      <c r="AGL10" s="646"/>
      <c r="AGM10" s="646"/>
      <c r="AGN10" s="646"/>
      <c r="AGO10" s="646"/>
      <c r="AGP10" s="646"/>
      <c r="AGQ10" s="646"/>
      <c r="AGR10" s="646"/>
      <c r="AGS10" s="646"/>
      <c r="AGT10" s="646"/>
      <c r="AGU10" s="646"/>
      <c r="AGV10" s="646"/>
      <c r="AGW10" s="646"/>
      <c r="AGX10" s="646"/>
      <c r="AGY10" s="646"/>
      <c r="AGZ10" s="646"/>
      <c r="AHA10" s="646"/>
      <c r="AHB10" s="646"/>
      <c r="AHC10" s="646"/>
      <c r="AHD10" s="646"/>
      <c r="AHE10" s="646"/>
      <c r="AHF10" s="646"/>
      <c r="AHG10" s="646"/>
      <c r="AHH10" s="646"/>
      <c r="AHI10" s="646"/>
      <c r="AHJ10" s="646"/>
      <c r="AHK10" s="646"/>
      <c r="AHL10" s="646"/>
      <c r="AHM10" s="646"/>
      <c r="AHN10" s="646"/>
      <c r="AHO10" s="646"/>
      <c r="AHP10" s="646"/>
      <c r="AHQ10" s="646"/>
      <c r="AHR10" s="646"/>
      <c r="AHS10" s="646"/>
      <c r="AHT10" s="646"/>
      <c r="AHU10" s="646"/>
      <c r="AHV10" s="646"/>
      <c r="AHW10" s="646"/>
      <c r="AHX10" s="646"/>
      <c r="AHY10" s="646"/>
      <c r="AHZ10" s="646"/>
      <c r="AIA10" s="646"/>
      <c r="AIB10" s="646"/>
      <c r="AIC10" s="646"/>
      <c r="AID10" s="646"/>
      <c r="AIE10" s="646"/>
      <c r="AIF10" s="646"/>
      <c r="AIG10" s="646"/>
      <c r="AIH10" s="646"/>
      <c r="AII10" s="646"/>
      <c r="AIJ10" s="646"/>
      <c r="AIK10" s="646"/>
      <c r="AIL10" s="646"/>
      <c r="AIM10" s="646"/>
      <c r="AIN10" s="646"/>
      <c r="AIO10" s="646"/>
      <c r="AIP10" s="646"/>
      <c r="AIQ10" s="646"/>
      <c r="AIR10" s="646"/>
      <c r="AIS10" s="646"/>
      <c r="AIT10" s="646"/>
      <c r="AIU10" s="646"/>
      <c r="AIV10" s="646"/>
      <c r="AIW10" s="646"/>
      <c r="AIX10" s="646"/>
      <c r="AIY10" s="646"/>
      <c r="AIZ10" s="646"/>
      <c r="AJA10" s="646"/>
      <c r="AJB10" s="646"/>
      <c r="AJC10" s="646"/>
      <c r="AJD10" s="646"/>
      <c r="AJE10" s="646"/>
      <c r="AJF10" s="646"/>
      <c r="AJG10" s="646"/>
      <c r="AJH10" s="646"/>
      <c r="AJI10" s="646"/>
      <c r="AJJ10" s="646"/>
      <c r="AJK10" s="646"/>
      <c r="AJL10" s="646"/>
      <c r="AJM10" s="646"/>
      <c r="AJN10" s="646"/>
      <c r="AJO10" s="646"/>
      <c r="AJP10" s="646"/>
      <c r="AJQ10" s="646"/>
      <c r="AJR10" s="646"/>
      <c r="AJS10" s="646"/>
      <c r="AJT10" s="646"/>
      <c r="AJU10" s="646"/>
      <c r="AJV10" s="646"/>
      <c r="AJW10" s="646"/>
      <c r="AJX10" s="646"/>
      <c r="AJY10" s="646"/>
      <c r="AJZ10" s="646"/>
      <c r="AKA10" s="646"/>
      <c r="AKB10" s="646"/>
      <c r="AKC10" s="646"/>
      <c r="AKD10" s="646"/>
      <c r="AKE10" s="646"/>
      <c r="AKF10" s="646"/>
      <c r="AKG10" s="646"/>
      <c r="AKH10" s="646"/>
      <c r="AKI10" s="646"/>
      <c r="AKJ10" s="646"/>
      <c r="AKK10" s="646"/>
      <c r="AKL10" s="646"/>
      <c r="AKM10" s="646"/>
      <c r="AKN10" s="646"/>
      <c r="AKO10" s="646"/>
      <c r="AKP10" s="646"/>
      <c r="AKQ10" s="646"/>
      <c r="AKR10" s="646"/>
      <c r="AKS10" s="646"/>
      <c r="AKT10" s="646"/>
      <c r="AKU10" s="646"/>
      <c r="AKV10" s="646"/>
      <c r="AKW10" s="646"/>
      <c r="AKX10" s="646"/>
      <c r="AKY10" s="646"/>
      <c r="AKZ10" s="646"/>
      <c r="ALA10" s="646"/>
      <c r="ALB10" s="646"/>
      <c r="ALC10" s="646"/>
      <c r="ALD10" s="646"/>
      <c r="ALE10" s="646"/>
      <c r="ALF10" s="646"/>
      <c r="ALG10" s="646"/>
      <c r="ALH10" s="646"/>
      <c r="ALI10" s="646"/>
      <c r="ALJ10" s="646"/>
      <c r="ALK10" s="646"/>
      <c r="ALL10" s="646"/>
      <c r="ALM10" s="646"/>
      <c r="ALN10" s="646"/>
      <c r="ALO10" s="646"/>
      <c r="ALP10" s="646"/>
      <c r="ALQ10" s="646"/>
      <c r="ALR10" s="646"/>
      <c r="ALS10" s="646"/>
      <c r="ALT10" s="646"/>
      <c r="ALU10" s="646"/>
      <c r="ALV10" s="646"/>
      <c r="ALW10" s="646"/>
      <c r="ALX10" s="646"/>
      <c r="ALY10" s="646"/>
      <c r="ALZ10" s="646"/>
      <c r="AMA10" s="646"/>
      <c r="AMB10" s="646"/>
      <c r="AMC10" s="646"/>
      <c r="AMD10" s="646"/>
      <c r="AME10" s="646"/>
      <c r="AMF10" s="646"/>
      <c r="AMG10" s="646"/>
      <c r="AMH10" s="646"/>
    </row>
    <row r="11" spans="1:1022" ht="15.6">
      <c r="A11" s="650" t="s">
        <v>1831</v>
      </c>
      <c r="B11" s="653">
        <v>46038</v>
      </c>
      <c r="C11" s="646"/>
      <c r="D11" s="646"/>
      <c r="E11" s="646"/>
      <c r="F11" s="646"/>
      <c r="G11" s="646"/>
      <c r="H11" s="647"/>
      <c r="I11" s="646"/>
      <c r="J11" s="646"/>
      <c r="K11" s="646"/>
      <c r="L11" s="646"/>
      <c r="M11" s="646"/>
      <c r="N11" s="647"/>
      <c r="O11" s="647"/>
      <c r="P11" s="647"/>
      <c r="Q11" s="647"/>
      <c r="R11" s="646"/>
      <c r="S11" s="647"/>
      <c r="T11" s="646"/>
      <c r="U11" s="646"/>
      <c r="V11" s="646"/>
      <c r="W11" s="646"/>
      <c r="X11" s="646"/>
      <c r="Y11" s="646"/>
      <c r="Z11" s="646"/>
      <c r="AA11" s="646"/>
      <c r="AB11" s="646"/>
      <c r="AC11" s="646"/>
      <c r="AD11" s="646"/>
      <c r="AE11" s="646"/>
      <c r="AF11" s="646"/>
      <c r="AG11" s="646"/>
      <c r="AH11" s="646"/>
      <c r="AI11" s="646"/>
      <c r="AJ11" s="646"/>
      <c r="AK11" s="646"/>
      <c r="AL11" s="646"/>
      <c r="AM11" s="646"/>
      <c r="AN11" s="646"/>
      <c r="AO11" s="646"/>
      <c r="AP11" s="646"/>
      <c r="AQ11" s="646"/>
      <c r="AR11" s="646"/>
      <c r="AS11" s="646"/>
      <c r="AT11" s="646"/>
      <c r="AU11" s="646"/>
      <c r="AV11" s="646"/>
      <c r="AW11" s="646"/>
      <c r="AX11" s="646"/>
      <c r="AY11" s="646"/>
      <c r="AZ11" s="646"/>
      <c r="BA11" s="646"/>
      <c r="BB11" s="646"/>
      <c r="BC11" s="646"/>
      <c r="BD11" s="646"/>
      <c r="BE11" s="646"/>
      <c r="BF11" s="646"/>
      <c r="BG11" s="646"/>
      <c r="BH11" s="646"/>
      <c r="BI11" s="646"/>
      <c r="BJ11" s="646"/>
      <c r="BK11" s="646"/>
      <c r="BL11" s="646"/>
      <c r="BM11" s="646"/>
      <c r="BN11" s="646"/>
      <c r="BO11" s="646"/>
      <c r="BP11" s="646"/>
      <c r="BQ11" s="646"/>
      <c r="BR11" s="646"/>
      <c r="BS11" s="646"/>
      <c r="BT11" s="646"/>
      <c r="BU11" s="646"/>
      <c r="BV11" s="646"/>
      <c r="BW11" s="646"/>
      <c r="BX11" s="646"/>
      <c r="BY11" s="646"/>
      <c r="BZ11" s="646"/>
      <c r="CA11" s="646"/>
      <c r="CB11" s="646"/>
      <c r="CC11" s="646"/>
      <c r="CD11" s="646"/>
      <c r="CE11" s="646"/>
      <c r="CF11" s="646"/>
      <c r="CG11" s="646"/>
      <c r="CH11" s="646"/>
      <c r="CI11" s="646"/>
      <c r="CJ11" s="646"/>
      <c r="CK11" s="646"/>
      <c r="CL11" s="646"/>
      <c r="CM11" s="646"/>
      <c r="CN11" s="646"/>
      <c r="CO11" s="646"/>
      <c r="CP11" s="646"/>
      <c r="CQ11" s="646"/>
      <c r="CR11" s="646"/>
      <c r="CS11" s="646"/>
      <c r="CT11" s="646"/>
      <c r="CU11" s="646"/>
      <c r="CV11" s="646"/>
      <c r="CW11" s="646"/>
      <c r="CX11" s="646"/>
      <c r="CY11" s="646"/>
      <c r="CZ11" s="646"/>
      <c r="DA11" s="646"/>
      <c r="DB11" s="646"/>
      <c r="DC11" s="646"/>
      <c r="DD11" s="646"/>
      <c r="DE11" s="646"/>
      <c r="DF11" s="646"/>
      <c r="DG11" s="646"/>
      <c r="DH11" s="646"/>
      <c r="DI11" s="646"/>
      <c r="DJ11" s="646"/>
      <c r="DK11" s="646"/>
      <c r="DL11" s="646"/>
      <c r="DM11" s="646"/>
      <c r="DN11" s="646"/>
      <c r="DO11" s="646"/>
      <c r="DP11" s="646"/>
      <c r="DQ11" s="646"/>
      <c r="DR11" s="646"/>
      <c r="DS11" s="646"/>
      <c r="DT11" s="646"/>
      <c r="DU11" s="646"/>
      <c r="DV11" s="646"/>
      <c r="DW11" s="646"/>
      <c r="DX11" s="646"/>
      <c r="DY11" s="646"/>
      <c r="DZ11" s="646"/>
      <c r="EA11" s="646"/>
      <c r="EB11" s="646"/>
      <c r="EC11" s="646"/>
      <c r="ED11" s="646"/>
      <c r="EE11" s="646"/>
      <c r="EF11" s="646"/>
      <c r="EG11" s="646"/>
      <c r="EH11" s="646"/>
      <c r="EI11" s="646"/>
      <c r="EJ11" s="646"/>
      <c r="EK11" s="646"/>
      <c r="EL11" s="646"/>
      <c r="EM11" s="646"/>
      <c r="EN11" s="646"/>
      <c r="EO11" s="646"/>
      <c r="EP11" s="646"/>
      <c r="EQ11" s="646"/>
      <c r="ER11" s="646"/>
      <c r="ES11" s="646"/>
      <c r="ET11" s="646"/>
      <c r="EU11" s="646"/>
      <c r="EV11" s="646"/>
      <c r="EW11" s="646"/>
      <c r="EX11" s="646"/>
      <c r="EY11" s="646"/>
      <c r="EZ11" s="646"/>
      <c r="FA11" s="646"/>
      <c r="FB11" s="646"/>
      <c r="FC11" s="646"/>
      <c r="FD11" s="646"/>
      <c r="FE11" s="646"/>
      <c r="FF11" s="646"/>
      <c r="FG11" s="646"/>
      <c r="FH11" s="646"/>
      <c r="FI11" s="646"/>
      <c r="FJ11" s="646"/>
      <c r="FK11" s="646"/>
      <c r="FL11" s="646"/>
      <c r="FM11" s="646"/>
      <c r="FN11" s="646"/>
      <c r="FO11" s="646"/>
      <c r="FP11" s="646"/>
      <c r="FQ11" s="646"/>
      <c r="FR11" s="646"/>
      <c r="FS11" s="646"/>
      <c r="FT11" s="646"/>
      <c r="FU11" s="646"/>
      <c r="FV11" s="646"/>
      <c r="FW11" s="646"/>
      <c r="FX11" s="646"/>
      <c r="FY11" s="646"/>
      <c r="FZ11" s="646"/>
      <c r="GA11" s="646"/>
      <c r="GB11" s="646"/>
      <c r="GC11" s="646"/>
      <c r="GD11" s="646"/>
      <c r="GE11" s="646"/>
      <c r="GF11" s="646"/>
      <c r="GG11" s="646"/>
      <c r="GH11" s="646"/>
      <c r="GI11" s="646"/>
      <c r="GJ11" s="646"/>
      <c r="GK11" s="646"/>
      <c r="GL11" s="646"/>
      <c r="GM11" s="646"/>
      <c r="GN11" s="646"/>
      <c r="GO11" s="646"/>
      <c r="GP11" s="646"/>
      <c r="GQ11" s="646"/>
      <c r="GR11" s="646"/>
      <c r="GS11" s="646"/>
      <c r="GT11" s="646"/>
      <c r="GU11" s="646"/>
      <c r="GV11" s="646"/>
      <c r="GW11" s="646"/>
      <c r="GX11" s="646"/>
      <c r="GY11" s="646"/>
      <c r="GZ11" s="646"/>
      <c r="HA11" s="646"/>
      <c r="HB11" s="646"/>
      <c r="HC11" s="646"/>
      <c r="HD11" s="646"/>
      <c r="HE11" s="646"/>
      <c r="HF11" s="646"/>
      <c r="HG11" s="646"/>
      <c r="HH11" s="646"/>
      <c r="HI11" s="646"/>
      <c r="HJ11" s="646"/>
      <c r="HK11" s="646"/>
      <c r="HL11" s="646"/>
      <c r="HM11" s="646"/>
      <c r="HN11" s="646"/>
      <c r="HO11" s="646"/>
      <c r="HP11" s="646"/>
      <c r="HQ11" s="646"/>
      <c r="HR11" s="646"/>
      <c r="HS11" s="646"/>
      <c r="HT11" s="646"/>
      <c r="HU11" s="646"/>
      <c r="HV11" s="646"/>
      <c r="HW11" s="646"/>
      <c r="HX11" s="646"/>
      <c r="HY11" s="646"/>
      <c r="HZ11" s="646"/>
      <c r="IA11" s="646"/>
      <c r="IB11" s="646"/>
      <c r="IC11" s="646"/>
      <c r="ID11" s="646"/>
      <c r="IE11" s="646"/>
      <c r="IF11" s="646"/>
      <c r="IG11" s="646"/>
      <c r="IH11" s="646"/>
      <c r="II11" s="646"/>
      <c r="IJ11" s="646"/>
      <c r="IK11" s="646"/>
      <c r="IL11" s="646"/>
      <c r="IM11" s="646"/>
      <c r="IN11" s="646"/>
      <c r="IO11" s="646"/>
      <c r="IP11" s="646"/>
      <c r="IQ11" s="646"/>
      <c r="IR11" s="646"/>
      <c r="IS11" s="646"/>
      <c r="IT11" s="646"/>
      <c r="IU11" s="646"/>
      <c r="IV11" s="646"/>
      <c r="IW11" s="646"/>
      <c r="IX11" s="646"/>
      <c r="IY11" s="646"/>
      <c r="IZ11" s="646"/>
      <c r="JA11" s="646"/>
      <c r="JB11" s="646"/>
      <c r="JC11" s="646"/>
      <c r="JD11" s="646"/>
      <c r="JE11" s="646"/>
      <c r="JF11" s="646"/>
      <c r="JG11" s="646"/>
      <c r="JH11" s="646"/>
      <c r="JI11" s="646"/>
      <c r="JJ11" s="646"/>
      <c r="JK11" s="646"/>
      <c r="JL11" s="646"/>
      <c r="JM11" s="646"/>
      <c r="JN11" s="646"/>
      <c r="JO11" s="646"/>
      <c r="JP11" s="646"/>
      <c r="JQ11" s="646"/>
      <c r="JR11" s="646"/>
      <c r="JS11" s="646"/>
      <c r="JT11" s="646"/>
      <c r="JU11" s="646"/>
      <c r="JV11" s="646"/>
      <c r="JW11" s="646"/>
      <c r="JX11" s="646"/>
      <c r="JY11" s="646"/>
      <c r="JZ11" s="646"/>
      <c r="KA11" s="646"/>
      <c r="KB11" s="646"/>
      <c r="KC11" s="646"/>
      <c r="KD11" s="646"/>
      <c r="KE11" s="646"/>
      <c r="KF11" s="646"/>
      <c r="KG11" s="646"/>
      <c r="KH11" s="646"/>
      <c r="KI11" s="646"/>
      <c r="KJ11" s="646"/>
      <c r="KK11" s="646"/>
      <c r="KL11" s="646"/>
      <c r="KM11" s="646"/>
      <c r="KN11" s="646"/>
      <c r="KO11" s="646"/>
      <c r="KP11" s="646"/>
      <c r="KQ11" s="646"/>
      <c r="KR11" s="646"/>
      <c r="KS11" s="646"/>
      <c r="KT11" s="646"/>
      <c r="KU11" s="646"/>
      <c r="KV11" s="646"/>
      <c r="KW11" s="646"/>
      <c r="KX11" s="646"/>
      <c r="KY11" s="646"/>
      <c r="KZ11" s="646"/>
      <c r="LA11" s="646"/>
      <c r="LB11" s="646"/>
      <c r="LC11" s="646"/>
      <c r="LD11" s="646"/>
      <c r="LE11" s="646"/>
      <c r="LF11" s="646"/>
      <c r="LG11" s="646"/>
      <c r="LH11" s="646"/>
      <c r="LI11" s="646"/>
      <c r="LJ11" s="646"/>
      <c r="LK11" s="646"/>
      <c r="LL11" s="646"/>
      <c r="LM11" s="646"/>
      <c r="LN11" s="646"/>
      <c r="LO11" s="646"/>
      <c r="LP11" s="646"/>
      <c r="LQ11" s="646"/>
      <c r="LR11" s="646"/>
      <c r="LS11" s="646"/>
      <c r="LT11" s="646"/>
      <c r="LU11" s="646"/>
      <c r="LV11" s="646"/>
      <c r="LW11" s="646"/>
      <c r="LX11" s="646"/>
      <c r="LY11" s="646"/>
      <c r="LZ11" s="646"/>
      <c r="MA11" s="646"/>
      <c r="MB11" s="646"/>
      <c r="MC11" s="646"/>
      <c r="MD11" s="646"/>
      <c r="ME11" s="646"/>
      <c r="MF11" s="646"/>
      <c r="MG11" s="646"/>
      <c r="MH11" s="646"/>
      <c r="MI11" s="646"/>
      <c r="MJ11" s="646"/>
      <c r="MK11" s="646"/>
      <c r="ML11" s="646"/>
      <c r="MM11" s="646"/>
      <c r="MN11" s="646"/>
      <c r="MO11" s="646"/>
      <c r="MP11" s="646"/>
      <c r="MQ11" s="646"/>
      <c r="MR11" s="646"/>
      <c r="MS11" s="646"/>
      <c r="MT11" s="646"/>
      <c r="MU11" s="646"/>
      <c r="MV11" s="646"/>
      <c r="MW11" s="646"/>
      <c r="MX11" s="646"/>
      <c r="MY11" s="646"/>
      <c r="MZ11" s="646"/>
      <c r="NA11" s="646"/>
      <c r="NB11" s="646"/>
      <c r="NC11" s="646"/>
      <c r="ND11" s="646"/>
      <c r="NE11" s="646"/>
      <c r="NF11" s="646"/>
      <c r="NG11" s="646"/>
      <c r="NH11" s="646"/>
      <c r="NI11" s="646"/>
      <c r="NJ11" s="646"/>
      <c r="NK11" s="646"/>
      <c r="NL11" s="646"/>
      <c r="NM11" s="646"/>
      <c r="NN11" s="646"/>
      <c r="NO11" s="646"/>
      <c r="NP11" s="646"/>
      <c r="NQ11" s="646"/>
      <c r="NR11" s="646"/>
      <c r="NS11" s="646"/>
      <c r="NT11" s="646"/>
      <c r="NU11" s="646"/>
      <c r="NV11" s="646"/>
      <c r="NW11" s="646"/>
      <c r="NX11" s="646"/>
      <c r="NY11" s="646"/>
      <c r="NZ11" s="646"/>
      <c r="OA11" s="646"/>
      <c r="OB11" s="646"/>
      <c r="OC11" s="646"/>
      <c r="OD11" s="646"/>
      <c r="OE11" s="646"/>
      <c r="OF11" s="646"/>
      <c r="OG11" s="646"/>
      <c r="OH11" s="646"/>
      <c r="OI11" s="646"/>
      <c r="OJ11" s="646"/>
      <c r="OK11" s="646"/>
      <c r="OL11" s="646"/>
      <c r="OM11" s="646"/>
      <c r="ON11" s="646"/>
      <c r="OO11" s="646"/>
      <c r="OP11" s="646"/>
      <c r="OQ11" s="646"/>
      <c r="OR11" s="646"/>
      <c r="OS11" s="646"/>
      <c r="OT11" s="646"/>
      <c r="OU11" s="646"/>
      <c r="OV11" s="646"/>
      <c r="OW11" s="646"/>
      <c r="OX11" s="646"/>
      <c r="OY11" s="646"/>
      <c r="OZ11" s="646"/>
      <c r="PA11" s="646"/>
      <c r="PB11" s="646"/>
      <c r="PC11" s="646"/>
      <c r="PD11" s="646"/>
      <c r="PE11" s="646"/>
      <c r="PF11" s="646"/>
      <c r="PG11" s="646"/>
      <c r="PH11" s="646"/>
      <c r="PI11" s="646"/>
      <c r="PJ11" s="646"/>
      <c r="PK11" s="646"/>
      <c r="PL11" s="646"/>
      <c r="PM11" s="646"/>
      <c r="PN11" s="646"/>
      <c r="PO11" s="646"/>
      <c r="PP11" s="646"/>
      <c r="PQ11" s="646"/>
      <c r="PR11" s="646"/>
      <c r="PS11" s="646"/>
      <c r="PT11" s="646"/>
      <c r="PU11" s="646"/>
      <c r="PV11" s="646"/>
      <c r="PW11" s="646"/>
      <c r="PX11" s="646"/>
      <c r="PY11" s="646"/>
      <c r="PZ11" s="646"/>
      <c r="QA11" s="646"/>
      <c r="QB11" s="646"/>
      <c r="QC11" s="646"/>
      <c r="QD11" s="646"/>
      <c r="QE11" s="646"/>
      <c r="QF11" s="646"/>
      <c r="QG11" s="646"/>
      <c r="QH11" s="646"/>
      <c r="QI11" s="646"/>
      <c r="QJ11" s="646"/>
      <c r="QK11" s="646"/>
      <c r="QL11" s="646"/>
      <c r="QM11" s="646"/>
      <c r="QN11" s="646"/>
      <c r="QO11" s="646"/>
      <c r="QP11" s="646"/>
      <c r="QQ11" s="646"/>
      <c r="QR11" s="646"/>
      <c r="QS11" s="646"/>
      <c r="QT11" s="646"/>
      <c r="QU11" s="646"/>
      <c r="QV11" s="646"/>
      <c r="QW11" s="646"/>
      <c r="QX11" s="646"/>
      <c r="QY11" s="646"/>
      <c r="QZ11" s="646"/>
      <c r="RA11" s="646"/>
      <c r="RB11" s="646"/>
      <c r="RC11" s="646"/>
      <c r="RD11" s="646"/>
      <c r="RE11" s="646"/>
      <c r="RF11" s="646"/>
      <c r="RG11" s="646"/>
      <c r="RH11" s="646"/>
      <c r="RI11" s="646"/>
      <c r="RJ11" s="646"/>
      <c r="RK11" s="646"/>
      <c r="RL11" s="646"/>
      <c r="RM11" s="646"/>
      <c r="RN11" s="646"/>
      <c r="RO11" s="646"/>
      <c r="RP11" s="646"/>
      <c r="RQ11" s="646"/>
      <c r="RR11" s="646"/>
      <c r="RS11" s="646"/>
      <c r="RT11" s="646"/>
      <c r="RU11" s="646"/>
      <c r="RV11" s="646"/>
      <c r="RW11" s="646"/>
      <c r="RX11" s="646"/>
      <c r="RY11" s="646"/>
      <c r="RZ11" s="646"/>
      <c r="SA11" s="646"/>
      <c r="SB11" s="646"/>
      <c r="SC11" s="646"/>
      <c r="SD11" s="646"/>
      <c r="SE11" s="646"/>
      <c r="SF11" s="646"/>
      <c r="SG11" s="646"/>
      <c r="SH11" s="646"/>
      <c r="SI11" s="646"/>
      <c r="SJ11" s="646"/>
      <c r="SK11" s="646"/>
      <c r="SL11" s="646"/>
      <c r="SM11" s="646"/>
      <c r="SN11" s="646"/>
      <c r="SO11" s="646"/>
      <c r="SP11" s="646"/>
      <c r="SQ11" s="646"/>
      <c r="SR11" s="646"/>
      <c r="SS11" s="646"/>
      <c r="ST11" s="646"/>
      <c r="SU11" s="646"/>
      <c r="SV11" s="646"/>
      <c r="SW11" s="646"/>
      <c r="SX11" s="646"/>
      <c r="SY11" s="646"/>
      <c r="SZ11" s="646"/>
      <c r="TA11" s="646"/>
      <c r="TB11" s="646"/>
      <c r="TC11" s="646"/>
      <c r="TD11" s="646"/>
      <c r="TE11" s="646"/>
      <c r="TF11" s="646"/>
      <c r="TG11" s="646"/>
      <c r="TH11" s="646"/>
      <c r="TI11" s="646"/>
      <c r="TJ11" s="646"/>
      <c r="TK11" s="646"/>
      <c r="TL11" s="646"/>
      <c r="TM11" s="646"/>
      <c r="TN11" s="646"/>
      <c r="TO11" s="646"/>
      <c r="TP11" s="646"/>
      <c r="TQ11" s="646"/>
      <c r="TR11" s="646"/>
      <c r="TS11" s="646"/>
      <c r="TT11" s="646"/>
      <c r="TU11" s="646"/>
      <c r="TV11" s="646"/>
      <c r="TW11" s="646"/>
      <c r="TX11" s="646"/>
      <c r="TY11" s="646"/>
      <c r="TZ11" s="646"/>
      <c r="UA11" s="646"/>
      <c r="UB11" s="646"/>
      <c r="UC11" s="646"/>
      <c r="UD11" s="646"/>
      <c r="UE11" s="646"/>
      <c r="UF11" s="646"/>
      <c r="UG11" s="646"/>
      <c r="UH11" s="646"/>
      <c r="UI11" s="646"/>
      <c r="UJ11" s="646"/>
      <c r="UK11" s="646"/>
      <c r="UL11" s="646"/>
      <c r="UM11" s="646"/>
      <c r="UN11" s="646"/>
      <c r="UO11" s="646"/>
      <c r="UP11" s="646"/>
      <c r="UQ11" s="646"/>
      <c r="UR11" s="646"/>
      <c r="US11" s="646"/>
      <c r="UT11" s="646"/>
      <c r="UU11" s="646"/>
      <c r="UV11" s="646"/>
      <c r="UW11" s="646"/>
      <c r="UX11" s="646"/>
      <c r="UY11" s="646"/>
      <c r="UZ11" s="646"/>
      <c r="VA11" s="646"/>
      <c r="VB11" s="646"/>
      <c r="VC11" s="646"/>
      <c r="VD11" s="646"/>
      <c r="VE11" s="646"/>
      <c r="VF11" s="646"/>
      <c r="VG11" s="646"/>
      <c r="VH11" s="646"/>
      <c r="VI11" s="646"/>
      <c r="VJ11" s="646"/>
      <c r="VK11" s="646"/>
      <c r="VL11" s="646"/>
      <c r="VM11" s="646"/>
      <c r="VN11" s="646"/>
      <c r="VO11" s="646"/>
      <c r="VP11" s="646"/>
      <c r="VQ11" s="646"/>
      <c r="VR11" s="646"/>
      <c r="VS11" s="646"/>
      <c r="VT11" s="646"/>
      <c r="VU11" s="646"/>
      <c r="VV11" s="646"/>
      <c r="VW11" s="646"/>
      <c r="VX11" s="646"/>
      <c r="VY11" s="646"/>
      <c r="VZ11" s="646"/>
      <c r="WA11" s="646"/>
      <c r="WB11" s="646"/>
      <c r="WC11" s="646"/>
      <c r="WD11" s="646"/>
      <c r="WE11" s="646"/>
      <c r="WF11" s="646"/>
      <c r="WG11" s="646"/>
      <c r="WH11" s="646"/>
      <c r="WI11" s="646"/>
      <c r="WJ11" s="646"/>
      <c r="WK11" s="646"/>
      <c r="WL11" s="646"/>
      <c r="WM11" s="646"/>
      <c r="WN11" s="646"/>
      <c r="WO11" s="646"/>
      <c r="WP11" s="646"/>
      <c r="WQ11" s="646"/>
      <c r="WR11" s="646"/>
      <c r="WS11" s="646"/>
      <c r="WT11" s="646"/>
      <c r="WU11" s="646"/>
      <c r="WV11" s="646"/>
      <c r="WW11" s="646"/>
      <c r="WX11" s="646"/>
      <c r="WY11" s="646"/>
      <c r="WZ11" s="646"/>
      <c r="XA11" s="646"/>
      <c r="XB11" s="646"/>
      <c r="XC11" s="646"/>
      <c r="XD11" s="646"/>
      <c r="XE11" s="646"/>
      <c r="XF11" s="646"/>
      <c r="XG11" s="646"/>
      <c r="XH11" s="646"/>
      <c r="XI11" s="646"/>
      <c r="XJ11" s="646"/>
      <c r="XK11" s="646"/>
      <c r="XL11" s="646"/>
      <c r="XM11" s="646"/>
      <c r="XN11" s="646"/>
      <c r="XO11" s="646"/>
      <c r="XP11" s="646"/>
      <c r="XQ11" s="646"/>
      <c r="XR11" s="646"/>
      <c r="XS11" s="646"/>
      <c r="XT11" s="646"/>
      <c r="XU11" s="646"/>
      <c r="XV11" s="646"/>
      <c r="XW11" s="646"/>
      <c r="XX11" s="646"/>
      <c r="XY11" s="646"/>
      <c r="XZ11" s="646"/>
      <c r="YA11" s="646"/>
      <c r="YB11" s="646"/>
      <c r="YC11" s="646"/>
      <c r="YD11" s="646"/>
      <c r="YE11" s="646"/>
      <c r="YF11" s="646"/>
      <c r="YG11" s="646"/>
      <c r="YH11" s="646"/>
      <c r="YI11" s="646"/>
      <c r="YJ11" s="646"/>
      <c r="YK11" s="646"/>
      <c r="YL11" s="646"/>
      <c r="YM11" s="646"/>
      <c r="YN11" s="646"/>
      <c r="YO11" s="646"/>
      <c r="YP11" s="646"/>
      <c r="YQ11" s="646"/>
      <c r="YR11" s="646"/>
      <c r="YS11" s="646"/>
      <c r="YT11" s="646"/>
      <c r="YU11" s="646"/>
      <c r="YV11" s="646"/>
      <c r="YW11" s="646"/>
      <c r="YX11" s="646"/>
      <c r="YY11" s="646"/>
      <c r="YZ11" s="646"/>
      <c r="ZA11" s="646"/>
      <c r="ZB11" s="646"/>
      <c r="ZC11" s="646"/>
      <c r="ZD11" s="646"/>
      <c r="ZE11" s="646"/>
      <c r="ZF11" s="646"/>
      <c r="ZG11" s="646"/>
      <c r="ZH11" s="646"/>
      <c r="ZI11" s="646"/>
      <c r="ZJ11" s="646"/>
      <c r="ZK11" s="646"/>
      <c r="ZL11" s="646"/>
      <c r="ZM11" s="646"/>
      <c r="ZN11" s="646"/>
      <c r="ZO11" s="646"/>
      <c r="ZP11" s="646"/>
      <c r="ZQ11" s="646"/>
      <c r="ZR11" s="646"/>
      <c r="ZS11" s="646"/>
      <c r="ZT11" s="646"/>
      <c r="ZU11" s="646"/>
      <c r="ZV11" s="646"/>
      <c r="ZW11" s="646"/>
      <c r="ZX11" s="646"/>
      <c r="ZY11" s="646"/>
      <c r="ZZ11" s="646"/>
      <c r="AAA11" s="646"/>
      <c r="AAB11" s="646"/>
      <c r="AAC11" s="646"/>
      <c r="AAD11" s="646"/>
      <c r="AAE11" s="646"/>
      <c r="AAF11" s="646"/>
      <c r="AAG11" s="646"/>
      <c r="AAH11" s="646"/>
      <c r="AAI11" s="646"/>
      <c r="AAJ11" s="646"/>
      <c r="AAK11" s="646"/>
      <c r="AAL11" s="646"/>
      <c r="AAM11" s="646"/>
      <c r="AAN11" s="646"/>
      <c r="AAO11" s="646"/>
      <c r="AAP11" s="646"/>
      <c r="AAQ11" s="646"/>
      <c r="AAR11" s="646"/>
      <c r="AAS11" s="646"/>
      <c r="AAT11" s="646"/>
      <c r="AAU11" s="646"/>
      <c r="AAV11" s="646"/>
      <c r="AAW11" s="646"/>
      <c r="AAX11" s="646"/>
      <c r="AAY11" s="646"/>
      <c r="AAZ11" s="646"/>
      <c r="ABA11" s="646"/>
      <c r="ABB11" s="646"/>
      <c r="ABC11" s="646"/>
      <c r="ABD11" s="646"/>
      <c r="ABE11" s="646"/>
      <c r="ABF11" s="646"/>
      <c r="ABG11" s="646"/>
      <c r="ABH11" s="646"/>
      <c r="ABI11" s="646"/>
      <c r="ABJ11" s="646"/>
      <c r="ABK11" s="646"/>
      <c r="ABL11" s="646"/>
      <c r="ABM11" s="646"/>
      <c r="ABN11" s="646"/>
      <c r="ABO11" s="646"/>
      <c r="ABP11" s="646"/>
      <c r="ABQ11" s="646"/>
      <c r="ABR11" s="646"/>
      <c r="ABS11" s="646"/>
      <c r="ABT11" s="646"/>
      <c r="ABU11" s="646"/>
      <c r="ABV11" s="646"/>
      <c r="ABW11" s="646"/>
      <c r="ABX11" s="646"/>
      <c r="ABY11" s="646"/>
      <c r="ABZ11" s="646"/>
      <c r="ACA11" s="646"/>
      <c r="ACB11" s="646"/>
      <c r="ACC11" s="646"/>
      <c r="ACD11" s="646"/>
      <c r="ACE11" s="646"/>
      <c r="ACF11" s="646"/>
      <c r="ACG11" s="646"/>
      <c r="ACH11" s="646"/>
      <c r="ACI11" s="646"/>
      <c r="ACJ11" s="646"/>
      <c r="ACK11" s="646"/>
      <c r="ACL11" s="646"/>
      <c r="ACM11" s="646"/>
      <c r="ACN11" s="646"/>
      <c r="ACO11" s="646"/>
      <c r="ACP11" s="646"/>
      <c r="ACQ11" s="646"/>
      <c r="ACR11" s="646"/>
      <c r="ACS11" s="646"/>
      <c r="ACT11" s="646"/>
      <c r="ACU11" s="646"/>
      <c r="ACV11" s="646"/>
      <c r="ACW11" s="646"/>
      <c r="ACX11" s="646"/>
      <c r="ACY11" s="646"/>
      <c r="ACZ11" s="646"/>
      <c r="ADA11" s="646"/>
      <c r="ADB11" s="646"/>
      <c r="ADC11" s="646"/>
      <c r="ADD11" s="646"/>
      <c r="ADE11" s="646"/>
      <c r="ADF11" s="646"/>
      <c r="ADG11" s="646"/>
      <c r="ADH11" s="646"/>
      <c r="ADI11" s="646"/>
      <c r="ADJ11" s="646"/>
      <c r="ADK11" s="646"/>
      <c r="ADL11" s="646"/>
      <c r="ADM11" s="646"/>
      <c r="ADN11" s="646"/>
      <c r="ADO11" s="646"/>
      <c r="ADP11" s="646"/>
      <c r="ADQ11" s="646"/>
      <c r="ADR11" s="646"/>
      <c r="ADS11" s="646"/>
      <c r="ADT11" s="646"/>
      <c r="ADU11" s="646"/>
      <c r="ADV11" s="646"/>
      <c r="ADW11" s="646"/>
      <c r="ADX11" s="646"/>
      <c r="ADY11" s="646"/>
      <c r="ADZ11" s="646"/>
      <c r="AEA11" s="646"/>
      <c r="AEB11" s="646"/>
      <c r="AEC11" s="646"/>
      <c r="AED11" s="646"/>
      <c r="AEE11" s="646"/>
      <c r="AEF11" s="646"/>
      <c r="AEG11" s="646"/>
      <c r="AEH11" s="646"/>
      <c r="AEI11" s="646"/>
      <c r="AEJ11" s="646"/>
      <c r="AEK11" s="646"/>
      <c r="AEL11" s="646"/>
      <c r="AEM11" s="646"/>
      <c r="AEN11" s="646"/>
      <c r="AEO11" s="646"/>
      <c r="AEP11" s="646"/>
      <c r="AEQ11" s="646"/>
      <c r="AER11" s="646"/>
      <c r="AES11" s="646"/>
      <c r="AET11" s="646"/>
      <c r="AEU11" s="646"/>
      <c r="AEV11" s="646"/>
      <c r="AEW11" s="646"/>
      <c r="AEX11" s="646"/>
      <c r="AEY11" s="646"/>
      <c r="AEZ11" s="646"/>
      <c r="AFA11" s="646"/>
      <c r="AFB11" s="646"/>
      <c r="AFC11" s="646"/>
      <c r="AFD11" s="646"/>
      <c r="AFE11" s="646"/>
      <c r="AFF11" s="646"/>
      <c r="AFG11" s="646"/>
      <c r="AFH11" s="646"/>
      <c r="AFI11" s="646"/>
      <c r="AFJ11" s="646"/>
      <c r="AFK11" s="646"/>
      <c r="AFL11" s="646"/>
      <c r="AFM11" s="646"/>
      <c r="AFN11" s="646"/>
      <c r="AFO11" s="646"/>
      <c r="AFP11" s="646"/>
      <c r="AFQ11" s="646"/>
      <c r="AFR11" s="646"/>
      <c r="AFS11" s="646"/>
      <c r="AFT11" s="646"/>
      <c r="AFU11" s="646"/>
      <c r="AFV11" s="646"/>
      <c r="AFW11" s="646"/>
      <c r="AFX11" s="646"/>
      <c r="AFY11" s="646"/>
      <c r="AFZ11" s="646"/>
      <c r="AGA11" s="646"/>
      <c r="AGB11" s="646"/>
      <c r="AGC11" s="646"/>
      <c r="AGD11" s="646"/>
      <c r="AGE11" s="646"/>
      <c r="AGF11" s="646"/>
      <c r="AGG11" s="646"/>
      <c r="AGH11" s="646"/>
      <c r="AGI11" s="646"/>
      <c r="AGJ11" s="646"/>
      <c r="AGK11" s="646"/>
      <c r="AGL11" s="646"/>
      <c r="AGM11" s="646"/>
      <c r="AGN11" s="646"/>
      <c r="AGO11" s="646"/>
      <c r="AGP11" s="646"/>
      <c r="AGQ11" s="646"/>
      <c r="AGR11" s="646"/>
      <c r="AGS11" s="646"/>
      <c r="AGT11" s="646"/>
      <c r="AGU11" s="646"/>
      <c r="AGV11" s="646"/>
      <c r="AGW11" s="646"/>
      <c r="AGX11" s="646"/>
      <c r="AGY11" s="646"/>
      <c r="AGZ11" s="646"/>
      <c r="AHA11" s="646"/>
      <c r="AHB11" s="646"/>
      <c r="AHC11" s="646"/>
      <c r="AHD11" s="646"/>
      <c r="AHE11" s="646"/>
      <c r="AHF11" s="646"/>
      <c r="AHG11" s="646"/>
      <c r="AHH11" s="646"/>
      <c r="AHI11" s="646"/>
      <c r="AHJ11" s="646"/>
      <c r="AHK11" s="646"/>
      <c r="AHL11" s="646"/>
      <c r="AHM11" s="646"/>
      <c r="AHN11" s="646"/>
      <c r="AHO11" s="646"/>
      <c r="AHP11" s="646"/>
      <c r="AHQ11" s="646"/>
      <c r="AHR11" s="646"/>
      <c r="AHS11" s="646"/>
      <c r="AHT11" s="646"/>
      <c r="AHU11" s="646"/>
      <c r="AHV11" s="646"/>
      <c r="AHW11" s="646"/>
      <c r="AHX11" s="646"/>
      <c r="AHY11" s="646"/>
      <c r="AHZ11" s="646"/>
      <c r="AIA11" s="646"/>
      <c r="AIB11" s="646"/>
      <c r="AIC11" s="646"/>
      <c r="AID11" s="646"/>
      <c r="AIE11" s="646"/>
      <c r="AIF11" s="646"/>
      <c r="AIG11" s="646"/>
      <c r="AIH11" s="646"/>
      <c r="AII11" s="646"/>
      <c r="AIJ11" s="646"/>
      <c r="AIK11" s="646"/>
      <c r="AIL11" s="646"/>
      <c r="AIM11" s="646"/>
      <c r="AIN11" s="646"/>
      <c r="AIO11" s="646"/>
      <c r="AIP11" s="646"/>
      <c r="AIQ11" s="646"/>
      <c r="AIR11" s="646"/>
      <c r="AIS11" s="646"/>
      <c r="AIT11" s="646"/>
      <c r="AIU11" s="646"/>
      <c r="AIV11" s="646"/>
      <c r="AIW11" s="646"/>
      <c r="AIX11" s="646"/>
      <c r="AIY11" s="646"/>
      <c r="AIZ11" s="646"/>
      <c r="AJA11" s="646"/>
      <c r="AJB11" s="646"/>
      <c r="AJC11" s="646"/>
      <c r="AJD11" s="646"/>
      <c r="AJE11" s="646"/>
      <c r="AJF11" s="646"/>
      <c r="AJG11" s="646"/>
      <c r="AJH11" s="646"/>
      <c r="AJI11" s="646"/>
      <c r="AJJ11" s="646"/>
      <c r="AJK11" s="646"/>
      <c r="AJL11" s="646"/>
      <c r="AJM11" s="646"/>
      <c r="AJN11" s="646"/>
      <c r="AJO11" s="646"/>
      <c r="AJP11" s="646"/>
      <c r="AJQ11" s="646"/>
      <c r="AJR11" s="646"/>
      <c r="AJS11" s="646"/>
      <c r="AJT11" s="646"/>
      <c r="AJU11" s="646"/>
      <c r="AJV11" s="646"/>
      <c r="AJW11" s="646"/>
      <c r="AJX11" s="646"/>
      <c r="AJY11" s="646"/>
      <c r="AJZ11" s="646"/>
      <c r="AKA11" s="646"/>
      <c r="AKB11" s="646"/>
      <c r="AKC11" s="646"/>
      <c r="AKD11" s="646"/>
      <c r="AKE11" s="646"/>
      <c r="AKF11" s="646"/>
      <c r="AKG11" s="646"/>
      <c r="AKH11" s="646"/>
      <c r="AKI11" s="646"/>
      <c r="AKJ11" s="646"/>
      <c r="AKK11" s="646"/>
      <c r="AKL11" s="646"/>
      <c r="AKM11" s="646"/>
      <c r="AKN11" s="646"/>
      <c r="AKO11" s="646"/>
      <c r="AKP11" s="646"/>
      <c r="AKQ11" s="646"/>
      <c r="AKR11" s="646"/>
      <c r="AKS11" s="646"/>
      <c r="AKT11" s="646"/>
      <c r="AKU11" s="646"/>
      <c r="AKV11" s="646"/>
      <c r="AKW11" s="646"/>
      <c r="AKX11" s="646"/>
      <c r="AKY11" s="646"/>
      <c r="AKZ11" s="646"/>
      <c r="ALA11" s="646"/>
      <c r="ALB11" s="646"/>
      <c r="ALC11" s="646"/>
      <c r="ALD11" s="646"/>
      <c r="ALE11" s="646"/>
      <c r="ALF11" s="646"/>
      <c r="ALG11" s="646"/>
      <c r="ALH11" s="646"/>
      <c r="ALI11" s="646"/>
      <c r="ALJ11" s="646"/>
      <c r="ALK11" s="646"/>
      <c r="ALL11" s="646"/>
      <c r="ALM11" s="646"/>
      <c r="ALN11" s="646"/>
      <c r="ALO11" s="646"/>
      <c r="ALP11" s="646"/>
      <c r="ALQ11" s="646"/>
      <c r="ALR11" s="646"/>
      <c r="ALS11" s="646"/>
      <c r="ALT11" s="646"/>
      <c r="ALU11" s="646"/>
      <c r="ALV11" s="646"/>
      <c r="ALW11" s="646"/>
      <c r="ALX11" s="646"/>
      <c r="ALY11" s="646"/>
      <c r="ALZ11" s="646"/>
      <c r="AMA11" s="646"/>
      <c r="AMB11" s="646"/>
      <c r="AMC11" s="646"/>
      <c r="AMD11" s="646"/>
      <c r="AME11" s="646"/>
      <c r="AMF11" s="646"/>
      <c r="AMG11" s="646"/>
      <c r="AMH11" s="646"/>
    </row>
    <row r="14" spans="1:1022">
      <c r="B14" s="65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A3C00-3145-427A-90CA-A9CFD1074062}">
  <dimension ref="A1:AD33"/>
  <sheetViews>
    <sheetView workbookViewId="0">
      <selection activeCell="A8" sqref="A8"/>
    </sheetView>
  </sheetViews>
  <sheetFormatPr baseColWidth="10" defaultRowHeight="14.4"/>
  <cols>
    <col min="2" max="2" width="13.77734375" bestFit="1" customWidth="1"/>
    <col min="3" max="3" width="52.6640625" bestFit="1" customWidth="1"/>
  </cols>
  <sheetData>
    <row r="1" spans="1:30">
      <c r="A1" s="694" t="s">
        <v>296</v>
      </c>
      <c r="B1" s="694"/>
      <c r="C1" t="s">
        <v>1120</v>
      </c>
      <c r="D1" s="694" t="str">
        <f>Etiquettes!H5</f>
        <v>2015-16</v>
      </c>
      <c r="E1" s="694"/>
      <c r="F1" s="694"/>
      <c r="G1" s="694"/>
      <c r="H1" s="694"/>
      <c r="I1" s="694"/>
      <c r="J1" s="694"/>
      <c r="K1" s="694"/>
      <c r="L1" s="694"/>
      <c r="M1" s="694" t="str">
        <f>Etiquettes!I5</f>
        <v>2019-20</v>
      </c>
      <c r="N1" s="694"/>
      <c r="O1" s="694"/>
      <c r="P1" s="694"/>
      <c r="Q1" s="694"/>
      <c r="R1" s="694"/>
      <c r="S1" s="694"/>
      <c r="T1" s="694"/>
      <c r="U1" s="694"/>
      <c r="V1" s="694" t="str">
        <f>Etiquettes!J5</f>
        <v>2023-24</v>
      </c>
      <c r="W1" s="694"/>
      <c r="X1" s="694"/>
      <c r="Y1" s="694"/>
      <c r="Z1" s="694"/>
      <c r="AA1" s="694"/>
      <c r="AB1" s="694"/>
      <c r="AC1" s="694"/>
      <c r="AD1" s="694"/>
    </row>
    <row r="2" spans="1:30">
      <c r="A2" t="s">
        <v>14</v>
      </c>
      <c r="B2" t="s">
        <v>15</v>
      </c>
      <c r="C2" t="s">
        <v>1105</v>
      </c>
      <c r="D2" t="str">
        <f>Etiquettes!$H$6</f>
        <v>Blé tendre</v>
      </c>
      <c r="E2" t="str">
        <f>Etiquettes!$I$6</f>
        <v>Maïs</v>
      </c>
      <c r="F2" t="str">
        <f>Etiquettes!$J$6</f>
        <v>Orge</v>
      </c>
      <c r="G2" t="str">
        <f>Etiquettes!$K$6</f>
        <v>Blé dur</v>
      </c>
      <c r="H2" t="str">
        <f>Etiquettes!$L$6</f>
        <v>Triticale</v>
      </c>
      <c r="I2" t="str">
        <f>Etiquettes!$M$6</f>
        <v>Sorgho</v>
      </c>
      <c r="J2" t="str">
        <f>Etiquettes!$N$6</f>
        <v>Avoine</v>
      </c>
      <c r="K2" t="str">
        <f>Etiquettes!$O$6</f>
        <v>Seigle</v>
      </c>
      <c r="L2" t="str">
        <f>Etiquettes!$P$6</f>
        <v>Sarrasin</v>
      </c>
      <c r="M2" t="str">
        <f>Etiquettes!$H$6</f>
        <v>Blé tendre</v>
      </c>
      <c r="N2" t="str">
        <f>Etiquettes!$I$6</f>
        <v>Maïs</v>
      </c>
      <c r="O2" t="str">
        <f>Etiquettes!$J$6</f>
        <v>Orge</v>
      </c>
      <c r="P2" t="str">
        <f>Etiquettes!$K$6</f>
        <v>Blé dur</v>
      </c>
      <c r="Q2" t="str">
        <f>Etiquettes!$L$6</f>
        <v>Triticale</v>
      </c>
      <c r="R2" t="str">
        <f>Etiquettes!$M$6</f>
        <v>Sorgho</v>
      </c>
      <c r="S2" t="str">
        <f>Etiquettes!$N$6</f>
        <v>Avoine</v>
      </c>
      <c r="T2" t="str">
        <f>Etiquettes!$O$6</f>
        <v>Seigle</v>
      </c>
      <c r="U2" t="str">
        <f>Etiquettes!$P$6</f>
        <v>Sarrasin</v>
      </c>
      <c r="V2" t="str">
        <f>Etiquettes!$H$6</f>
        <v>Blé tendre</v>
      </c>
      <c r="W2" t="str">
        <f>Etiquettes!$I$6</f>
        <v>Maïs</v>
      </c>
      <c r="X2" t="str">
        <f>Etiquettes!$J$6</f>
        <v>Orge</v>
      </c>
      <c r="Y2" t="str">
        <f>Etiquettes!$K$6</f>
        <v>Blé dur</v>
      </c>
      <c r="Z2" t="str">
        <f>Etiquettes!$L$6</f>
        <v>Triticale</v>
      </c>
      <c r="AA2" t="str">
        <f>Etiquettes!$M$6</f>
        <v>Sorgho</v>
      </c>
      <c r="AB2" t="str">
        <f>Etiquettes!$N$6</f>
        <v>Avoine</v>
      </c>
      <c r="AC2" t="str">
        <f>Etiquettes!$O$6</f>
        <v>Seigle</v>
      </c>
      <c r="AD2" t="str">
        <f>Etiquettes!$P$6</f>
        <v>Sarrasin</v>
      </c>
    </row>
    <row r="3" spans="1:30">
      <c r="A3" t="str">
        <f>Secteurs!$B$2</f>
        <v>Récolte</v>
      </c>
      <c r="B3" t="str">
        <f>Produits!$B$2</f>
        <v>Grains récoltés</v>
      </c>
      <c r="C3" t="s">
        <v>1121</v>
      </c>
      <c r="D3" s="506">
        <f>'Bilans Blé tendre - FAM'!U9</f>
        <v>40944.642399999982</v>
      </c>
      <c r="E3" s="506">
        <f>'Bilans Maïs - FAM'!U9</f>
        <v>13059.037244313087</v>
      </c>
      <c r="F3" s="506">
        <f>'Bilans Orge - FAM'!U9</f>
        <v>13098.233899999999</v>
      </c>
      <c r="G3" s="506">
        <f>'Bilans Blé dur - FAM'!AA9</f>
        <v>1805.385</v>
      </c>
      <c r="H3" s="506">
        <f>'Bilans Triticale - FAM'!R9</f>
        <v>1865.6332</v>
      </c>
      <c r="I3" s="506">
        <f>'Bilans Sorgho - FAM'!R9</f>
        <v>278.46340000000004</v>
      </c>
      <c r="J3" s="506">
        <f>'Bilans Avoine - FAM'!R9</f>
        <v>400.10309999999998</v>
      </c>
      <c r="K3" s="506">
        <f>'Bilans Seigle - FAM'!R9</f>
        <v>123.58670000000002</v>
      </c>
      <c r="L3" s="507">
        <v>21</v>
      </c>
      <c r="M3" s="506">
        <f>'Bilans Blé tendre - FAM'!Y9</f>
        <v>39516.46160000001</v>
      </c>
      <c r="N3" s="506">
        <f>'Bilans Maïs - FAM'!Y9</f>
        <v>12037.713</v>
      </c>
      <c r="O3" s="506">
        <f>'Bilans Orge - FAM'!Y9</f>
        <v>13725.0172</v>
      </c>
      <c r="P3" s="506">
        <f>'Bilans Blé dur - FAM'!AE9</f>
        <v>1566.2022000000002</v>
      </c>
      <c r="Q3" s="506">
        <f>'Bilans Triticale - FAM'!V9</f>
        <v>1660.7930000000003</v>
      </c>
      <c r="R3" s="506">
        <f>'Bilans Sorgho - FAM'!V9</f>
        <v>427.87870000000004</v>
      </c>
      <c r="S3" s="506">
        <f>'Bilans Avoine - FAM'!V9</f>
        <v>407.15910000000008</v>
      </c>
      <c r="T3" s="506">
        <f>'Bilans Seigle - FAM'!V9</f>
        <v>136.9547</v>
      </c>
      <c r="U3" s="507">
        <v>21</v>
      </c>
      <c r="V3" s="506">
        <f>'Bilans Blé tendre - FAM'!AC9</f>
        <v>35117.663299999993</v>
      </c>
      <c r="W3" s="506">
        <f>'Bilans Maïs - FAM'!AC9</f>
        <v>12055.824200000001</v>
      </c>
      <c r="X3" s="506">
        <f>'Bilans Orge - FAM'!AC9</f>
        <v>12286.3518</v>
      </c>
      <c r="Y3" s="506">
        <f>'Bilans Blé dur - FAM'!AI9</f>
        <v>1301.3882999999998</v>
      </c>
      <c r="Z3" s="506">
        <f>'Bilans Triticale - FAM'!Z9</f>
        <v>1665.8331000000001</v>
      </c>
      <c r="AA3" s="506">
        <f>'Bilans Sorgho - FAM'!Z9</f>
        <v>300.77590000000004</v>
      </c>
      <c r="AB3" s="506">
        <f>'Bilans Avoine - FAM'!Z9</f>
        <v>341.30380000000008</v>
      </c>
      <c r="AC3" s="506">
        <f>'Bilans Seigle - FAM'!Z9</f>
        <v>170.29000000000002</v>
      </c>
      <c r="AD3" s="507">
        <v>21</v>
      </c>
    </row>
    <row r="4" spans="1:30">
      <c r="A4" t="str">
        <f>Produits!$B$50</f>
        <v>Stock initial</v>
      </c>
      <c r="B4" t="str">
        <f>Secteurs!$B$3</f>
        <v>Ferme</v>
      </c>
      <c r="C4" t="s">
        <v>1017</v>
      </c>
      <c r="D4" s="506">
        <f>'Bilans Blé tendre - FAM'!U11</f>
        <v>784.27289590755925</v>
      </c>
      <c r="E4" s="507"/>
      <c r="F4" s="506">
        <f>'Bilans Orge - FAM'!U11</f>
        <v>356.93627982861807</v>
      </c>
      <c r="G4" s="506">
        <f>'Bilans Blé dur - FAM'!AA11</f>
        <v>61.133481313881148</v>
      </c>
      <c r="H4" s="507"/>
      <c r="I4" s="507"/>
      <c r="J4" s="507"/>
      <c r="K4" s="507"/>
      <c r="L4" s="507"/>
      <c r="M4" s="506">
        <f>'Bilans Blé tendre - FAM'!Y11</f>
        <v>400</v>
      </c>
      <c r="N4" s="507"/>
      <c r="O4" s="506">
        <f>'Bilans Orge - FAM'!Y11</f>
        <v>200</v>
      </c>
      <c r="P4" s="506">
        <f>'Bilans Blé dur - FAM'!AE11</f>
        <v>183.01359929111732</v>
      </c>
      <c r="Q4" s="507"/>
      <c r="R4" s="507"/>
      <c r="S4" s="507"/>
      <c r="T4" s="507"/>
      <c r="U4" s="507"/>
      <c r="V4" s="506">
        <f>'Bilans Blé tendre - FAM'!AC11</f>
        <v>400</v>
      </c>
      <c r="W4" s="507"/>
      <c r="X4" s="506">
        <f>'Bilans Orge - FAM'!AC11</f>
        <v>200</v>
      </c>
      <c r="Y4" s="506">
        <f>'Bilans Blé dur - FAM'!AI11</f>
        <v>240</v>
      </c>
      <c r="Z4" s="507"/>
      <c r="AA4" s="507"/>
      <c r="AB4" s="507"/>
      <c r="AC4" s="507"/>
      <c r="AD4" s="507"/>
    </row>
    <row r="5" spans="1:30">
      <c r="A5" t="str">
        <f>Secteurs!$B$3</f>
        <v>Ferme</v>
      </c>
      <c r="B5" t="str">
        <f>Produits!$B$3</f>
        <v>Grains autoconsommés</v>
      </c>
      <c r="C5" t="s">
        <v>1018</v>
      </c>
      <c r="D5" s="506">
        <f>'Bilans Blé tendre - FAM'!U12</f>
        <v>3016.7619690813881</v>
      </c>
      <c r="E5" s="506">
        <f>'Bilans Maïs - FAM'!U11</f>
        <v>979.68746131308944</v>
      </c>
      <c r="F5" s="506">
        <f>F3-F8+F4-F6</f>
        <v>2162.0233678206746</v>
      </c>
      <c r="G5" s="506">
        <f>'Bilans Blé dur - FAM'!AA12</f>
        <v>83.46786729250276</v>
      </c>
      <c r="H5" s="506">
        <f>'Bilans Triticale - FAM'!R11</f>
        <v>1074.9704019999999</v>
      </c>
      <c r="I5" s="506">
        <f>'Bilans Sorgho - FAM'!R11</f>
        <v>114.05505700000006</v>
      </c>
      <c r="J5" s="506">
        <f>'Bilans Avoine - FAM'!R11</f>
        <v>184.38104199999992</v>
      </c>
      <c r="K5" s="506">
        <f>'Bilans Seigle - FAM'!R11</f>
        <v>68.69815200000005</v>
      </c>
      <c r="L5" s="506">
        <f>L3-L8+L4-L6</f>
        <v>7.1527049999999974</v>
      </c>
      <c r="M5" s="506">
        <f>'Bilans Blé tendre - FAM'!Y12</f>
        <v>2998.4477000000115</v>
      </c>
      <c r="N5" s="506">
        <f>'Bilans Maïs - FAM'!Y11</f>
        <v>1676.1973470000066</v>
      </c>
      <c r="O5" s="506">
        <f>'Bilans Orge - FAM'!Y12</f>
        <v>2173.0542450000103</v>
      </c>
      <c r="P5" s="506">
        <f>P4-P6</f>
        <v>36.879000000000133</v>
      </c>
      <c r="Q5" s="506">
        <f>'Bilans Triticale - FAM'!V11</f>
        <v>929.12209100000064</v>
      </c>
      <c r="R5" s="506">
        <f>'Bilans Sorgho - FAM'!V11</f>
        <v>202.78642700000003</v>
      </c>
      <c r="S5" s="506">
        <f>'Bilans Avoine - FAM'!V11</f>
        <v>162.93552000000005</v>
      </c>
      <c r="T5" s="506">
        <f>'Bilans Seigle - FAM'!V11</f>
        <v>81.81013999999999</v>
      </c>
      <c r="U5" s="506">
        <f>U3-U8+U4-U6</f>
        <v>9.3236820000000034</v>
      </c>
      <c r="V5" s="506">
        <f>'Bilans Blé tendre - FAM'!AC12</f>
        <v>2840.7299999999923</v>
      </c>
      <c r="W5" s="506">
        <f>'Bilans Maïs - FAM'!AC11</f>
        <v>1439.8242000000009</v>
      </c>
      <c r="X5" s="506">
        <f>'Bilans Orge - FAM'!AC12</f>
        <v>1695.8366000000005</v>
      </c>
      <c r="Y5" s="506">
        <f>Y3-Y8+Y4-Y6</f>
        <v>48.989999999999782</v>
      </c>
      <c r="Z5" s="506">
        <f>'Bilans Triticale - FAM'!Z11</f>
        <v>860.85230000000001</v>
      </c>
      <c r="AA5" s="506">
        <f>'Bilans Sorgho - FAM'!Z11</f>
        <v>69.994400000000041</v>
      </c>
      <c r="AB5" s="506">
        <f>'Bilans Avoine - FAM'!Z11</f>
        <v>111.58580000000006</v>
      </c>
      <c r="AC5" s="506">
        <f>'Bilans Seigle - FAM'!Z11</f>
        <v>97.001400000000018</v>
      </c>
      <c r="AD5" s="506">
        <v>0</v>
      </c>
    </row>
    <row r="6" spans="1:30">
      <c r="A6" t="str">
        <f>Secteurs!$B$3</f>
        <v>Ferme</v>
      </c>
      <c r="B6" t="str">
        <f>Produits!$B$51</f>
        <v>Stock final</v>
      </c>
      <c r="C6" t="s">
        <v>1019</v>
      </c>
      <c r="D6" s="506">
        <f>'Bilans Blé tendre - FAM'!U13</f>
        <v>1755.5803268261564</v>
      </c>
      <c r="E6" s="507"/>
      <c r="F6" s="506">
        <f>'Bilans Orge - FAM'!U13</f>
        <v>403.40857500794471</v>
      </c>
      <c r="G6" s="506">
        <f>'Bilans Blé dur - FAM'!AA13</f>
        <v>80.580614021378452</v>
      </c>
      <c r="H6" s="507"/>
      <c r="I6" s="507"/>
      <c r="J6" s="507"/>
      <c r="K6" s="507"/>
      <c r="L6" s="507"/>
      <c r="M6" s="506">
        <f>'Bilans Blé tendre - FAM'!Y13</f>
        <v>400</v>
      </c>
      <c r="N6" s="507"/>
      <c r="O6" s="506">
        <f>'Bilans Orge - FAM'!Y13</f>
        <v>200</v>
      </c>
      <c r="P6" s="506">
        <f>'Bilans Blé dur - FAM'!AE13</f>
        <v>146.13459929111718</v>
      </c>
      <c r="Q6" s="507"/>
      <c r="R6" s="507"/>
      <c r="S6" s="507"/>
      <c r="T6" s="507"/>
      <c r="U6" s="507"/>
      <c r="V6" s="506">
        <f>'Bilans Blé tendre - FAM'!AC13</f>
        <v>800</v>
      </c>
      <c r="W6" s="507"/>
      <c r="X6" s="506">
        <f>'Bilans Orge - FAM'!AC13</f>
        <v>200</v>
      </c>
      <c r="Y6" s="506">
        <f>'Bilans Blé dur - FAM'!AI13</f>
        <v>240</v>
      </c>
      <c r="Z6" s="507"/>
      <c r="AA6" s="507"/>
      <c r="AB6" s="507"/>
      <c r="AC6" s="507"/>
      <c r="AD6" s="507"/>
    </row>
    <row r="7" spans="1:30">
      <c r="A7" t="str">
        <f>Produits!$B$50</f>
        <v>Stock initial</v>
      </c>
      <c r="B7" t="str">
        <f>Secteurs!$B$4</f>
        <v>OS</v>
      </c>
      <c r="C7" t="s">
        <v>1054</v>
      </c>
      <c r="D7" s="506">
        <f>'Bilans Blé tendre - FAM'!T58</f>
        <v>1873.1551000000002</v>
      </c>
      <c r="E7" s="508">
        <f>'Bilans Maïs - FAM'!T50</f>
        <v>2764.1047999999996</v>
      </c>
      <c r="F7" s="509">
        <f>'Bilans Orge - FAM'!T53</f>
        <v>808.51480000000004</v>
      </c>
      <c r="G7" s="509">
        <f>'Bilans Blé dur - FAM'!Z49</f>
        <v>61.9788</v>
      </c>
      <c r="H7" s="509">
        <f>'Bilans Triticale - FAM'!Q40</f>
        <v>55.837000000000003</v>
      </c>
      <c r="I7" s="508">
        <f>'Bilans Sorgho - FAM'!Q40</f>
        <v>27.213000000000001</v>
      </c>
      <c r="J7" s="509">
        <f>'Bilans Avoine - FAM'!Q41</f>
        <v>36.9039</v>
      </c>
      <c r="K7" s="509">
        <f>'Bilans Seigle - FAM'!Q41</f>
        <v>17.817900000000002</v>
      </c>
      <c r="L7" s="509">
        <f>'Bilans Sarrasin - FAM'!N41</f>
        <v>3.3209</v>
      </c>
      <c r="M7" s="506">
        <f>'Bilans Blé tendre - FAM'!X58</f>
        <v>1866.8236000000004</v>
      </c>
      <c r="N7" s="508">
        <f>'Bilans Maïs - FAM'!X50</f>
        <v>1913.2199999999998</v>
      </c>
      <c r="O7" s="509">
        <f>'Bilans Orge - FAM'!X53</f>
        <v>1054.3541999999998</v>
      </c>
      <c r="P7" s="509">
        <f>'Bilans Blé dur - FAM'!AD49</f>
        <v>270.15610000000004</v>
      </c>
      <c r="Q7" s="509">
        <f>'Bilans Triticale - FAM'!U40</f>
        <v>48.426499999999997</v>
      </c>
      <c r="R7" s="508">
        <f>'Bilans Sorgho - FAM'!U40</f>
        <v>35.331600000000002</v>
      </c>
      <c r="S7" s="509">
        <f>'Bilans Avoine - FAM'!U41</f>
        <v>50.994900000000001</v>
      </c>
      <c r="T7" s="509">
        <f>'Bilans Seigle - FAM'!U41</f>
        <v>8.9812000000000012</v>
      </c>
      <c r="U7" s="509">
        <f>'Bilans Sarrasin - FAM'!R41</f>
        <v>16.119799999999998</v>
      </c>
      <c r="V7" s="506">
        <f>'Bilans Blé tendre - FAM'!AB58</f>
        <v>1787.9988999999998</v>
      </c>
      <c r="W7" s="508">
        <f>'Bilans Maïs - FAM'!AB50</f>
        <v>1477.1908000000001</v>
      </c>
      <c r="X7" s="509">
        <f>'Bilans Orge - FAM'!AB53</f>
        <v>687.6848</v>
      </c>
      <c r="Y7" s="509">
        <f>'Bilans Blé dur - FAM'!AH49</f>
        <v>111.6108</v>
      </c>
      <c r="Z7" s="509">
        <f>'Bilans Triticale - FAM'!Y40</f>
        <v>52.422699999999999</v>
      </c>
      <c r="AA7" s="508">
        <f>'Bilans Sorgho - FAM'!Y40</f>
        <v>17.452099999999998</v>
      </c>
      <c r="AB7" s="509">
        <f>'Bilans Avoine - FAM'!Y41</f>
        <v>49.138800000000003</v>
      </c>
      <c r="AC7" s="509">
        <f>'Bilans Seigle - FAM'!Y41</f>
        <v>19.127299999999998</v>
      </c>
      <c r="AD7" s="509">
        <f>'Bilans Sarrasin - FAM'!V41</f>
        <v>12.622200000000001</v>
      </c>
    </row>
    <row r="8" spans="1:30">
      <c r="A8" t="str">
        <f>Produits!$B$2</f>
        <v>Grains récoltés</v>
      </c>
      <c r="B8" t="str">
        <f>Secteurs!$B$4</f>
        <v>OS</v>
      </c>
      <c r="C8" t="s">
        <v>1024</v>
      </c>
      <c r="D8" s="506">
        <f>'Bilans Blé tendre - FAM'!U23</f>
        <v>36956.572999999997</v>
      </c>
      <c r="E8" s="506">
        <f>'Bilans Maïs - FAM'!U21</f>
        <v>12079.349782999998</v>
      </c>
      <c r="F8" s="506">
        <f>'Bilans Orge - FAM'!U23</f>
        <v>10889.738236999998</v>
      </c>
      <c r="G8" s="506">
        <f>'Bilans Blé dur - FAM'!AA23</f>
        <v>1702.6944000000001</v>
      </c>
      <c r="H8" s="506">
        <f>'Bilans Triticale - FAM'!R21</f>
        <v>790.66279800000018</v>
      </c>
      <c r="I8" s="506">
        <f>'Bilans Sorgho - FAM'!R21</f>
        <v>164.40834299999997</v>
      </c>
      <c r="J8" s="506">
        <f>'Bilans Avoine - FAM'!R21</f>
        <v>215.72205800000006</v>
      </c>
      <c r="K8" s="506">
        <f>'Bilans Seigle - FAM'!R21</f>
        <v>54.888547999999979</v>
      </c>
      <c r="L8" s="506">
        <f>'Bilans Sarrasin - FAM'!O21</f>
        <v>13.847295000000003</v>
      </c>
      <c r="M8" s="506">
        <f>'Bilans Blé tendre - FAM'!Y23</f>
        <v>36518.013899999998</v>
      </c>
      <c r="N8" s="506">
        <f>'Bilans Maïs - FAM'!Y21</f>
        <v>10361.515652999993</v>
      </c>
      <c r="O8" s="506">
        <f>'Bilans Orge - FAM'!Y23</f>
        <v>11551.96295499999</v>
      </c>
      <c r="P8" s="506">
        <f>'Bilans Blé dur - FAM'!AE23</f>
        <v>1579.5894999999998</v>
      </c>
      <c r="Q8" s="506">
        <f>'Bilans Triticale - FAM'!V21</f>
        <v>731.67090899999971</v>
      </c>
      <c r="R8" s="506">
        <f>'Bilans Sorgho - FAM'!V21</f>
        <v>225.09227300000001</v>
      </c>
      <c r="S8" s="506">
        <f>'Bilans Avoine - FAM'!V21</f>
        <v>244.22358000000003</v>
      </c>
      <c r="T8" s="506">
        <f>'Bilans Seigle - FAM'!V21</f>
        <v>55.144560000000013</v>
      </c>
      <c r="U8" s="506">
        <f>'Bilans Sarrasin - FAM'!S21</f>
        <v>11.676317999999997</v>
      </c>
      <c r="V8" s="506">
        <f>'Bilans Blé tendre - FAM'!AC23</f>
        <v>31876.933300000001</v>
      </c>
      <c r="W8" s="506">
        <f>'Bilans Maïs - FAM'!AC21</f>
        <v>10616</v>
      </c>
      <c r="X8" s="506">
        <f>'Bilans Orge - FAM'!AC23</f>
        <v>10590.5152</v>
      </c>
      <c r="Y8" s="506">
        <f>'Bilans Blé dur - FAM'!AI23</f>
        <v>1252.3983000000001</v>
      </c>
      <c r="Z8" s="506">
        <f>'Bilans Triticale - FAM'!Z21</f>
        <v>804.98080000000004</v>
      </c>
      <c r="AA8" s="506">
        <f>'Bilans Sorgho - FAM'!Z21</f>
        <v>230.78149999999999</v>
      </c>
      <c r="AB8" s="506">
        <f>'Bilans Avoine - FAM'!Z21</f>
        <v>229.71800000000002</v>
      </c>
      <c r="AC8" s="506">
        <f>'Bilans Seigle - FAM'!Z21</f>
        <v>73.288600000000002</v>
      </c>
      <c r="AD8" s="506">
        <f>'Bilans Sarrasin - FAM'!W21</f>
        <v>35.331900000000005</v>
      </c>
    </row>
    <row r="9" spans="1:30" s="563" customFormat="1">
      <c r="A9"/>
      <c r="B9"/>
      <c r="C9" s="563" t="s">
        <v>1025</v>
      </c>
      <c r="D9" s="567">
        <f>'Bilans Blé tendre - FAM'!U24</f>
        <v>457.97140000000002</v>
      </c>
      <c r="E9" s="567">
        <f>'Bilans Maïs - FAM'!U22</f>
        <v>412.30969999999996</v>
      </c>
      <c r="F9" s="567">
        <f>'Bilans Orge - FAM'!U24</f>
        <v>70.218899999999991</v>
      </c>
      <c r="G9" s="567">
        <f>'Bilans Blé dur - FAM'!AA24</f>
        <v>50.93249999999999</v>
      </c>
      <c r="H9" s="567">
        <f>'Bilans Triticale - FAM'!R22</f>
        <v>6.1692</v>
      </c>
      <c r="I9" s="567">
        <f>'Bilans Sorgho - FAM'!R22</f>
        <v>1.8913000000000002</v>
      </c>
      <c r="J9" s="567">
        <f>'Bilans Avoine - FAM'!R22</f>
        <v>9.8019000000000016</v>
      </c>
      <c r="K9" s="567">
        <f>'Bilans Seigle - FAM'!R22</f>
        <v>0.81810000000000005</v>
      </c>
      <c r="L9" s="567">
        <f>'Bilans Sarrasin - FAM'!O22</f>
        <v>12.1448</v>
      </c>
      <c r="M9" s="567">
        <f>'Bilans Blé tendre - FAM'!Y24</f>
        <v>232.63939999999997</v>
      </c>
      <c r="N9" s="567">
        <f>'Bilans Maïs - FAM'!Y22</f>
        <v>675.53</v>
      </c>
      <c r="O9" s="567">
        <f>'Bilans Orge - FAM'!Y24</f>
        <v>72.442800000000005</v>
      </c>
      <c r="P9" s="567">
        <f>'Bilans Blé dur - FAM'!AE24</f>
        <v>43.13519999999999</v>
      </c>
      <c r="Q9" s="567">
        <f>'Bilans Triticale - FAM'!V22</f>
        <v>17.3658</v>
      </c>
      <c r="R9" s="567">
        <f>'Bilans Sorgho - FAM'!V22</f>
        <v>2.2260999999999993</v>
      </c>
      <c r="S9" s="567">
        <f>'Bilans Avoine - FAM'!V22</f>
        <v>14.1943</v>
      </c>
      <c r="T9" s="567">
        <f>'Bilans Seigle - FAM'!V22</f>
        <v>3.0727999999999995</v>
      </c>
      <c r="U9" s="567">
        <f>'Bilans Sarrasin - FAM'!S22</f>
        <v>4.9154000000000009</v>
      </c>
      <c r="V9" s="567">
        <f>'Bilans Blé tendre - FAM'!AC24</f>
        <v>120.83750000000001</v>
      </c>
      <c r="W9" s="567">
        <f>'Bilans Maïs - FAM'!AC22</f>
        <v>323.2758</v>
      </c>
      <c r="X9" s="567">
        <f>'Bilans Orge - FAM'!AC24</f>
        <v>36.703200000000002</v>
      </c>
      <c r="Y9" s="567">
        <f>'Bilans Blé dur - FAM'!AI24</f>
        <v>32.49580000000001</v>
      </c>
      <c r="Z9" s="567">
        <f>'Bilans Triticale - FAM'!Z22</f>
        <v>2.5325000000000002</v>
      </c>
      <c r="AA9" s="567">
        <f>'Bilans Sorgho - FAM'!Z22</f>
        <v>2.8814000000000002</v>
      </c>
      <c r="AB9" s="567">
        <f>'Bilans Avoine - FAM'!Z22</f>
        <v>9</v>
      </c>
      <c r="AC9" s="567">
        <f>'Bilans Seigle - FAM'!Z22</f>
        <v>3.1160000000000001</v>
      </c>
      <c r="AD9" s="567">
        <f>'Bilans Sarrasin - FAM'!W22</f>
        <v>4.4203999999999999</v>
      </c>
    </row>
    <row r="10" spans="1:30">
      <c r="C10" t="s">
        <v>1026</v>
      </c>
      <c r="F10" s="458">
        <f>'Bilans Orge - FAM'!U25</f>
        <v>56.867833999997174</v>
      </c>
      <c r="G10" s="458">
        <f>'Bilans Blé dur - FAM'!AA25</f>
        <v>212.17594400000002</v>
      </c>
      <c r="K10" s="458">
        <f>'Bilans Seigle - FAM'!R23</f>
        <v>16.371761480000028</v>
      </c>
      <c r="O10" s="458">
        <f>'Bilans Orge - FAM'!Y25</f>
        <v>0</v>
      </c>
      <c r="P10" s="458">
        <f>'Bilans Blé dur - FAM'!AE25</f>
        <v>341.60567100000054</v>
      </c>
      <c r="T10" s="458">
        <f>'Bilans Seigle - FAM'!V23</f>
        <v>9.5978875999999751</v>
      </c>
      <c r="X10" s="458">
        <f>'Bilans Orge - FAM'!AC25</f>
        <v>0</v>
      </c>
      <c r="Y10" s="458">
        <f>'Bilans Blé dur - FAM'!AI25</f>
        <v>306</v>
      </c>
      <c r="AC10" s="458">
        <f>'Bilans Seigle - FAM'!Z23</f>
        <v>0</v>
      </c>
    </row>
    <row r="11" spans="1:30" s="563" customFormat="1">
      <c r="A11" s="563" t="str">
        <f>Produits!$B$4</f>
        <v>Grains collectés</v>
      </c>
      <c r="B11" s="563" t="s">
        <v>1129</v>
      </c>
      <c r="C11" s="563" t="s">
        <v>1099</v>
      </c>
      <c r="F11" s="567"/>
      <c r="G11" s="567"/>
      <c r="K11" s="567">
        <f>'Bilans Seigle - FAM'!R28</f>
        <v>14.736798</v>
      </c>
      <c r="L11" s="600">
        <f>'Bilans Sarrasin - FAM'!O28</f>
        <v>12.560772999999999</v>
      </c>
      <c r="O11" s="567"/>
      <c r="P11" s="567"/>
      <c r="T11" s="567">
        <f>'Bilans Seigle - FAM'!V28</f>
        <v>16.45411</v>
      </c>
      <c r="U11" s="600">
        <f>'Bilans Sarrasin - FAM'!S28</f>
        <v>13.417603</v>
      </c>
      <c r="X11" s="567"/>
      <c r="Y11" s="567"/>
      <c r="AC11" s="567">
        <f>'Bilans Seigle - FAM'!Z28</f>
        <v>18.006798999999997</v>
      </c>
      <c r="AD11" s="600">
        <f>'Bilans Sarrasin - FAM'!W28</f>
        <v>23.381306000000002</v>
      </c>
    </row>
    <row r="12" spans="1:30" s="563" customFormat="1">
      <c r="C12" s="563" t="s">
        <v>1030</v>
      </c>
      <c r="D12" s="567">
        <f>'Bilans Blé tendre - FAM'!U30/1.3</f>
        <v>2201.1358766638459</v>
      </c>
      <c r="M12" s="567">
        <f>'Bilans Blé tendre - FAM'!Y30/1.3</f>
        <v>2070.9873100530767</v>
      </c>
      <c r="V12" s="567">
        <f>'Bilans Blé tendre - FAM'!AC30/1.3</f>
        <v>2132.4042874348961</v>
      </c>
    </row>
    <row r="13" spans="1:30">
      <c r="A13" t="str">
        <f>Produits!$B$4</f>
        <v>Grains collectés</v>
      </c>
      <c r="B13" t="str">
        <f>Secteurs!$B$9</f>
        <v>Amidonnerie / Glutennerie</v>
      </c>
      <c r="C13" t="s">
        <v>1122</v>
      </c>
      <c r="D13" s="506">
        <f>'Bilans Blé tendre - FAM'!U31</f>
        <v>2838.7638999999999</v>
      </c>
      <c r="E13" s="506">
        <f>'Bilans Maïs - FAM'!U28</f>
        <v>2258.7256939999997</v>
      </c>
      <c r="F13" s="507"/>
      <c r="G13" s="507"/>
      <c r="H13" s="507"/>
      <c r="I13" s="507"/>
      <c r="J13" s="507"/>
      <c r="K13" s="507"/>
      <c r="L13" s="507"/>
      <c r="M13" s="506">
        <f>'Bilans Blé tendre - FAM'!Y31</f>
        <v>2581.9319540000001</v>
      </c>
      <c r="N13" s="506">
        <f>'Bilans Maïs - FAM'!Y28</f>
        <v>2018.6741280000001</v>
      </c>
      <c r="O13" s="507"/>
      <c r="P13" s="507"/>
      <c r="Q13" s="507"/>
      <c r="R13" s="507"/>
      <c r="S13" s="507"/>
      <c r="T13" s="507"/>
      <c r="U13" s="507"/>
      <c r="V13" s="506">
        <f>'Bilans Blé tendre - FAM'!AC31</f>
        <v>2112.4152110010004</v>
      </c>
      <c r="W13" s="506">
        <f>'Bilans Maïs - FAM'!AC28</f>
        <v>1543.125597</v>
      </c>
      <c r="X13" s="507"/>
      <c r="Y13" s="507"/>
      <c r="Z13" s="507"/>
      <c r="AA13" s="507"/>
      <c r="AB13" s="507"/>
      <c r="AC13" s="507"/>
      <c r="AD13" s="507"/>
    </row>
    <row r="14" spans="1:30" s="563" customFormat="1">
      <c r="C14" s="563" t="s">
        <v>1032</v>
      </c>
      <c r="D14" s="567">
        <f>'Bilans Blé tendre - FAM'!U32/1.3</f>
        <v>924.42826771769217</v>
      </c>
      <c r="M14" s="567">
        <f>'Bilans Blé tendre - FAM'!Y32/1.3</f>
        <v>890.96210621384603</v>
      </c>
      <c r="V14" s="567">
        <f>'Bilans Blé tendre - FAM'!AC32/1.3</f>
        <v>885.48532180919574</v>
      </c>
    </row>
    <row r="15" spans="1:30" s="563" customFormat="1">
      <c r="C15" s="563" t="s">
        <v>1033</v>
      </c>
      <c r="D15" s="567">
        <f>('Bilans Blé tendre - FAM'!U33-'Malterie - ONRB'!H12)/1.3</f>
        <v>451.91273282538555</v>
      </c>
      <c r="M15" s="567">
        <f>('Bilans Blé tendre - FAM'!Y33-'Malterie - ONRB'!T34/10^3)/1.3</f>
        <v>516.13791321615486</v>
      </c>
      <c r="V15" s="567">
        <f>('Bilans Blé tendre - FAM'!AC33-'Malterie - ONRB'!C52/10^3)/1.3</f>
        <v>488.79061633732613</v>
      </c>
    </row>
    <row r="16" spans="1:30">
      <c r="A16" t="str">
        <f>Produits!$B$4</f>
        <v>Grains collectés</v>
      </c>
      <c r="B16" t="str">
        <f>Secteurs!$B$14</f>
        <v>Distillerie</v>
      </c>
      <c r="C16" t="s">
        <v>1034</v>
      </c>
      <c r="D16" s="506">
        <f>'Bilans Blé tendre - FAM'!U34</f>
        <v>1560</v>
      </c>
      <c r="E16" s="506">
        <f>'Bilans Maïs - FAM'!U30</f>
        <v>474</v>
      </c>
      <c r="F16" s="507"/>
      <c r="G16" s="507"/>
      <c r="H16" s="507"/>
      <c r="I16" s="507"/>
      <c r="J16" s="507"/>
      <c r="K16" s="507"/>
      <c r="L16" s="507"/>
      <c r="M16" s="506">
        <f>'Bilans Blé tendre - FAM'!Y34</f>
        <v>1520</v>
      </c>
      <c r="N16" s="506">
        <f>'Bilans Maïs - FAM'!Y30</f>
        <v>500</v>
      </c>
      <c r="O16" s="507"/>
      <c r="P16" s="507"/>
      <c r="Q16" s="507"/>
      <c r="R16" s="507"/>
      <c r="S16" s="507"/>
      <c r="T16" s="507"/>
      <c r="U16" s="507"/>
      <c r="V16" s="506">
        <f>'Bilans Blé tendre - FAM'!AC34</f>
        <v>1620</v>
      </c>
      <c r="W16" s="506">
        <f>'Bilans Maïs - FAM'!AC30</f>
        <v>530</v>
      </c>
      <c r="X16" s="507"/>
      <c r="Y16" s="507"/>
      <c r="Z16" s="507"/>
      <c r="AA16" s="507"/>
      <c r="AB16" s="507"/>
      <c r="AC16" s="507"/>
      <c r="AD16" s="507"/>
    </row>
    <row r="17" spans="1:30">
      <c r="A17" t="str">
        <f>Produits!$B$4</f>
        <v>Grains collectés</v>
      </c>
      <c r="B17" t="str">
        <f>Secteurs!$B$12</f>
        <v>Malterie</v>
      </c>
      <c r="C17" t="s">
        <v>1063</v>
      </c>
      <c r="D17" s="507"/>
      <c r="E17" s="507"/>
      <c r="F17" s="506">
        <f>'Bilans Orge - FAM'!U30+'Bilans Orge - FAM'!U48</f>
        <v>1696.3340000000003</v>
      </c>
      <c r="G17" s="507"/>
      <c r="H17" s="507"/>
      <c r="I17" s="507"/>
      <c r="J17" s="507"/>
      <c r="K17" s="507"/>
      <c r="L17" s="507"/>
      <c r="M17" s="507"/>
      <c r="N17" s="507"/>
      <c r="O17" s="506">
        <f>'Bilans Orge - FAM'!Y30+'Bilans Orge - FAM'!Y48</f>
        <v>1590.3050000000001</v>
      </c>
      <c r="P17" s="507"/>
      <c r="Q17" s="507"/>
      <c r="R17" s="507"/>
      <c r="S17" s="507"/>
      <c r="T17" s="507"/>
      <c r="U17" s="507"/>
      <c r="V17" s="507"/>
      <c r="W17" s="507"/>
      <c r="X17" s="506">
        <f>'Bilans Orge - FAM'!AC30+'Bilans Orge - FAM'!AC48</f>
        <v>1667.3180000000002</v>
      </c>
      <c r="Y17" s="507"/>
      <c r="Z17" s="507"/>
      <c r="AA17" s="507"/>
      <c r="AB17" s="507"/>
      <c r="AC17" s="507"/>
      <c r="AD17" s="507"/>
    </row>
    <row r="18" spans="1:30">
      <c r="A18" t="str">
        <f>Produits!$B$4</f>
        <v>Grains collectés</v>
      </c>
      <c r="B18" t="str">
        <f>Secteurs!$B$30</f>
        <v>Autres IAA</v>
      </c>
      <c r="C18" t="s">
        <v>1123</v>
      </c>
      <c r="D18" s="507"/>
      <c r="E18" s="507"/>
      <c r="F18" s="506">
        <f>'Bilans Orge - FAM'!U31</f>
        <v>20</v>
      </c>
      <c r="G18" s="507"/>
      <c r="H18" s="507"/>
      <c r="I18" s="507"/>
      <c r="J18" s="508">
        <f>'Bilans Avoine - FAM'!R28</f>
        <v>10</v>
      </c>
      <c r="K18" s="507"/>
      <c r="L18" s="507"/>
      <c r="M18" s="507"/>
      <c r="N18" s="507"/>
      <c r="O18" s="506">
        <f>'Bilans Orge - FAM'!Y31</f>
        <v>20</v>
      </c>
      <c r="P18" s="507"/>
      <c r="Q18" s="507"/>
      <c r="R18" s="507"/>
      <c r="S18" s="508">
        <f>'Bilans Avoine - FAM'!V28</f>
        <v>10</v>
      </c>
      <c r="T18" s="507"/>
      <c r="U18" s="507"/>
      <c r="V18" s="507"/>
      <c r="W18" s="507"/>
      <c r="X18" s="506">
        <f>'Bilans Orge - FAM'!AC31</f>
        <v>20</v>
      </c>
      <c r="Y18" s="507"/>
      <c r="Z18" s="507"/>
      <c r="AA18" s="507"/>
      <c r="AB18" s="508">
        <f>'Bilans Avoine - FAM'!Z28</f>
        <v>10</v>
      </c>
      <c r="AC18" s="507"/>
      <c r="AD18" s="507"/>
    </row>
    <row r="19" spans="1:30">
      <c r="A19" t="str">
        <f>Produits!$B$4</f>
        <v>Grains collectés</v>
      </c>
      <c r="B19" t="str">
        <f>Secteurs!$B$10</f>
        <v>Semoulerie</v>
      </c>
      <c r="C19" t="s">
        <v>1076</v>
      </c>
      <c r="D19" s="507"/>
      <c r="E19" s="506">
        <f>'Bilans Maïs - FAM'!U29+'Bilans Maïs - FAM'!U45</f>
        <v>419.44186999999999</v>
      </c>
      <c r="F19" s="507"/>
      <c r="G19" s="508">
        <f>'Bilans Blé dur - FAM'!AA30+'Bilans Blé dur - FAM'!AA44</f>
        <v>604.76840000000004</v>
      </c>
      <c r="H19" s="507"/>
      <c r="I19" s="507"/>
      <c r="J19" s="507"/>
      <c r="K19" s="507"/>
      <c r="L19" s="507"/>
      <c r="M19" s="507"/>
      <c r="N19" s="506">
        <f>'Bilans Maïs - FAM'!Y29+'Bilans Maïs - FAM'!Y45</f>
        <v>264.26410999999996</v>
      </c>
      <c r="O19" s="507"/>
      <c r="P19" s="508">
        <f>'Bilans Blé dur - FAM'!AE30+'Bilans Blé dur - FAM'!AE44</f>
        <v>628.52039999999988</v>
      </c>
      <c r="Q19" s="507"/>
      <c r="R19" s="507"/>
      <c r="S19" s="507"/>
      <c r="T19" s="507"/>
      <c r="U19" s="507"/>
      <c r="V19" s="507"/>
      <c r="W19" s="506">
        <f>'Bilans Maïs - FAM'!AC29+'Bilans Maïs - FAM'!AC45</f>
        <v>245.67962</v>
      </c>
      <c r="X19" s="507"/>
      <c r="Y19" s="508">
        <f>'Bilans Blé dur - FAM'!AI30+'Bilans Blé dur - FAM'!AI44</f>
        <v>587</v>
      </c>
      <c r="Z19" s="507"/>
      <c r="AA19" s="507"/>
      <c r="AB19" s="507"/>
      <c r="AC19" s="507"/>
      <c r="AD19" s="507"/>
    </row>
    <row r="20" spans="1:30">
      <c r="A20" t="str">
        <f>Produits!$B$4</f>
        <v>Grains collectés</v>
      </c>
      <c r="B20" t="str">
        <f>Secteurs!$B$33</f>
        <v>FAB</v>
      </c>
      <c r="C20" t="s">
        <v>1037</v>
      </c>
      <c r="D20" s="506">
        <f>'Bilans Blé tendre - FAM'!U37</f>
        <v>5217.1913370000002</v>
      </c>
      <c r="E20" s="506">
        <f>'Bilans Maïs - FAM'!U33</f>
        <v>2773.6967479999998</v>
      </c>
      <c r="F20" s="506">
        <f>'Bilans Orge - FAM'!U34</f>
        <v>1014.9894639999999</v>
      </c>
      <c r="G20" s="508">
        <f>'Bilans Blé dur - FAM'!AA33</f>
        <v>2.2214</v>
      </c>
      <c r="H20" s="508">
        <f>'Bilans Triticale - FAM'!R28</f>
        <v>591.15564299999994</v>
      </c>
      <c r="I20" s="508">
        <f>'Bilans Sorgho - FAM'!R28</f>
        <v>32.403645999999995</v>
      </c>
      <c r="J20" s="508">
        <f>'Bilans Avoine - FAM'!R29</f>
        <v>85.776518999999979</v>
      </c>
      <c r="K20" s="508">
        <f>'Bilans Seigle - FAM'!R29</f>
        <v>9.598450999999999</v>
      </c>
      <c r="L20" s="508">
        <f>'Bilans Sarrasin - FAM'!O29</f>
        <v>2.8799999999999999E-2</v>
      </c>
      <c r="M20" s="506">
        <f>'Bilans Blé tendre - FAM'!Y37</f>
        <v>4958.9253820000004</v>
      </c>
      <c r="N20" s="506">
        <f>'Bilans Maïs - FAM'!Y33</f>
        <v>2862.7390890000006</v>
      </c>
      <c r="O20" s="506">
        <f>'Bilans Orge - FAM'!Y34</f>
        <v>1497.210613</v>
      </c>
      <c r="P20" s="508">
        <f>'Bilans Blé dur - FAM'!AE33</f>
        <v>6.3652370000000005</v>
      </c>
      <c r="Q20" s="508">
        <f>'Bilans Triticale - FAM'!V28</f>
        <v>464.45506399999994</v>
      </c>
      <c r="R20" s="508">
        <f>'Bilans Sorgho - FAM'!V28</f>
        <v>43.805887999999996</v>
      </c>
      <c r="S20" s="508">
        <f>'Bilans Avoine - FAM'!V29</f>
        <v>93.56348100000001</v>
      </c>
      <c r="T20" s="508">
        <f>'Bilans Seigle - FAM'!V29</f>
        <v>4.752478</v>
      </c>
      <c r="U20" s="508">
        <f>'Bilans Sarrasin - FAM'!S29</f>
        <v>7.1399999999999996E-3</v>
      </c>
      <c r="V20" s="506">
        <f>'Bilans Blé tendre - FAM'!AC37</f>
        <v>4495.5036689999997</v>
      </c>
      <c r="W20" s="506">
        <f>'Bilans Maïs - FAM'!AC33</f>
        <v>2816</v>
      </c>
      <c r="X20" s="506">
        <f>'Bilans Orge - FAM'!AC34</f>
        <v>1109.8301700000002</v>
      </c>
      <c r="Y20" s="508">
        <f>'Bilans Blé dur - FAM'!AI33</f>
        <v>1</v>
      </c>
      <c r="Z20" s="508">
        <f>'Bilans Triticale - FAM'!Z28</f>
        <v>507.97990499999997</v>
      </c>
      <c r="AA20" s="508">
        <f>'Bilans Sorgho - FAM'!Z28</f>
        <v>37.006300000000003</v>
      </c>
      <c r="AB20" s="508">
        <f>'Bilans Avoine - FAM'!Z29</f>
        <v>67.351899000000003</v>
      </c>
      <c r="AC20" s="508">
        <f>'Bilans Seigle - FAM'!Z29</f>
        <v>7.230111</v>
      </c>
      <c r="AD20" s="508">
        <f>'Bilans Sarrasin - FAM'!W29</f>
        <v>0</v>
      </c>
    </row>
    <row r="21" spans="1:30">
      <c r="A21" t="str">
        <f>Produits!$B$4</f>
        <v>Grains collectés</v>
      </c>
      <c r="B21" t="str">
        <f>Secteurs!$B$7</f>
        <v>Semences certifiées</v>
      </c>
      <c r="C21" t="s">
        <v>1038</v>
      </c>
      <c r="D21" s="506">
        <f>'Bilans Blé tendre - FAM'!U38</f>
        <v>368.01890000000003</v>
      </c>
      <c r="E21" s="506">
        <f>'Bilans Maïs - FAM'!U34</f>
        <v>116.26766092294395</v>
      </c>
      <c r="F21" s="506">
        <f>'Bilans Orge - FAM'!U35</f>
        <v>164.322</v>
      </c>
      <c r="G21" s="508">
        <f>'Bilans Blé dur - FAM'!AA34</f>
        <v>45.465699999999998</v>
      </c>
      <c r="H21" s="508">
        <f>'Bilans Triticale - FAM'!R29</f>
        <v>25.897099999999998</v>
      </c>
      <c r="I21" s="508">
        <f>'Bilans Sorgho - FAM'!R29</f>
        <v>0.43619999999999998</v>
      </c>
      <c r="J21" s="508">
        <f>'Bilans Avoine - FAM'!R30</f>
        <v>6.4820000000000002</v>
      </c>
      <c r="K21" s="508">
        <f>'Bilans Seigle - FAM'!R30</f>
        <v>14.268700000000001</v>
      </c>
      <c r="L21" s="508">
        <f>'Bilans Sarrasin - FAM'!O30</f>
        <v>0.91239999999999999</v>
      </c>
      <c r="M21" s="506">
        <f>'Bilans Blé tendre - FAM'!Y38</f>
        <v>321.3623</v>
      </c>
      <c r="N21" s="506">
        <f>'Bilans Maïs - FAM'!Y34</f>
        <v>114.63131845201721</v>
      </c>
      <c r="O21" s="506">
        <f>'Bilans Orge - FAM'!Y35</f>
        <v>170.93779999999998</v>
      </c>
      <c r="P21" s="508">
        <f>'Bilans Blé dur - FAM'!AE34</f>
        <v>25.297499999999999</v>
      </c>
      <c r="Q21" s="508">
        <f>'Bilans Triticale - FAM'!V29</f>
        <v>27.142799999999998</v>
      </c>
      <c r="R21" s="508">
        <f>'Bilans Sorgho - FAM'!V29</f>
        <v>1.2053</v>
      </c>
      <c r="S21" s="508">
        <f>'Bilans Avoine - FAM'!V30</f>
        <v>7.7626999999999997</v>
      </c>
      <c r="T21" s="508">
        <f>'Bilans Seigle - FAM'!V30</f>
        <v>12.4222</v>
      </c>
      <c r="U21" s="508">
        <f>'Bilans Sarrasin - FAM'!S30</f>
        <v>0.62450000000000006</v>
      </c>
      <c r="V21" s="506">
        <f>'Bilans Blé tendre - FAM'!AC38</f>
        <v>305.46080000000001</v>
      </c>
      <c r="W21" s="506">
        <f>'Bilans Maïs - FAM'!AC34</f>
        <v>105.8360460287458</v>
      </c>
      <c r="X21" s="506">
        <f>'Bilans Orge - FAM'!AC35</f>
        <v>137.91550000000001</v>
      </c>
      <c r="Y21" s="508">
        <f>'Bilans Blé dur - FAM'!AI34</f>
        <v>20</v>
      </c>
      <c r="Z21" s="508">
        <f>'Bilans Triticale - FAM'!Z29</f>
        <v>25.143599999999999</v>
      </c>
      <c r="AA21" s="508">
        <f>'Bilans Sorgho - FAM'!Z29</f>
        <v>1.8331</v>
      </c>
      <c r="AB21" s="508">
        <f>'Bilans Avoine - FAM'!Z30</f>
        <v>6.3176000000000005</v>
      </c>
      <c r="AC21" s="508">
        <f>'Bilans Seigle - FAM'!Z30</f>
        <v>8.5670000000000002</v>
      </c>
      <c r="AD21" s="508">
        <f>'Bilans Sarrasin - FAM'!W30</f>
        <v>0.35331900000000005</v>
      </c>
    </row>
    <row r="22" spans="1:30">
      <c r="C22" t="s">
        <v>1039</v>
      </c>
      <c r="D22" s="458">
        <f>'Bilans Blé tendre - FAM'!U39</f>
        <v>369.56572999999997</v>
      </c>
      <c r="E22" s="458">
        <f>'Bilans Maïs - FAM'!U35</f>
        <v>120.79349782999998</v>
      </c>
      <c r="F22" s="458">
        <f>'Bilans Orge - FAM'!U36</f>
        <v>108.89738236999997</v>
      </c>
      <c r="G22" s="459">
        <f>'Bilans Blé dur - FAM'!AA35</f>
        <v>17.026944</v>
      </c>
      <c r="H22" s="459">
        <f>'Bilans Triticale - FAM'!R30</f>
        <v>7.9066279800000023</v>
      </c>
      <c r="I22" s="459">
        <f>'Bilans Sorgho - FAM'!R30</f>
        <v>1.6440834299999998</v>
      </c>
      <c r="J22" s="459">
        <f>'Bilans Avoine - FAM'!R31</f>
        <v>2.1572205800000006</v>
      </c>
      <c r="K22" s="459">
        <f>'Bilans Seigle - FAM'!R31</f>
        <v>0.54888547999999981</v>
      </c>
      <c r="L22" s="459">
        <f>'Bilans Sarrasin - FAM'!O31</f>
        <v>0.13847295000000004</v>
      </c>
      <c r="M22" s="458">
        <f>'Bilans Blé tendre - FAM'!Y39</f>
        <v>365.180139</v>
      </c>
      <c r="N22" s="458">
        <f>'Bilans Maïs - FAM'!Y35</f>
        <v>103.61515652999994</v>
      </c>
      <c r="O22" s="458">
        <f>'Bilans Orge - FAM'!Y36</f>
        <v>115.51962954999991</v>
      </c>
      <c r="P22" s="459">
        <f>'Bilans Blé dur - FAM'!AE35</f>
        <v>15.795894999999998</v>
      </c>
      <c r="Q22" s="459">
        <f>'Bilans Triticale - FAM'!V30</f>
        <v>7.3167090899999971</v>
      </c>
      <c r="R22" s="459">
        <f>'Bilans Sorgho - FAM'!V30</f>
        <v>2.2509227300000001</v>
      </c>
      <c r="S22" s="459">
        <f>'Bilans Avoine - FAM'!V31</f>
        <v>2.4422358000000002</v>
      </c>
      <c r="T22" s="459">
        <f>'Bilans Seigle - FAM'!V31</f>
        <v>0.55144560000000009</v>
      </c>
      <c r="U22" s="459">
        <f>'Bilans Sarrasin - FAM'!S31</f>
        <v>0.11676317999999997</v>
      </c>
      <c r="V22" s="458">
        <f>'Bilans Blé tendre - FAM'!AC39</f>
        <v>318.76933300000002</v>
      </c>
      <c r="W22" s="458">
        <f>'Bilans Maïs - FAM'!AC35</f>
        <v>106.16</v>
      </c>
      <c r="X22" s="458">
        <f>'Bilans Orge - FAM'!AC36</f>
        <v>105.905152</v>
      </c>
      <c r="Y22" s="459">
        <f>'Bilans Blé dur - FAM'!AI35</f>
        <v>12.523983000000001</v>
      </c>
      <c r="Z22" s="459">
        <f>'Bilans Triticale - FAM'!Z30</f>
        <v>8.0498080000000005</v>
      </c>
      <c r="AA22" s="459">
        <f>'Bilans Sorgho - FAM'!Z30</f>
        <v>2.3078150000000002</v>
      </c>
      <c r="AB22" s="459">
        <f>'Bilans Avoine - FAM'!Z31</f>
        <v>2.2971800000000004</v>
      </c>
      <c r="AC22" s="459">
        <f>'Bilans Seigle - FAM'!Z31</f>
        <v>0.73288600000000004</v>
      </c>
      <c r="AD22" s="459">
        <f>'Bilans Sarrasin - FAM'!W31</f>
        <v>0.35331900000000005</v>
      </c>
    </row>
    <row r="23" spans="1:30">
      <c r="C23" t="s">
        <v>431</v>
      </c>
      <c r="D23" s="458">
        <f>'Bilans Blé tendre - FAM'!U40</f>
        <v>810.23491399099021</v>
      </c>
      <c r="E23" s="458">
        <f>'Bilans Maïs - FAM'!U36</f>
        <v>716.1249452470538</v>
      </c>
      <c r="F23" s="458">
        <f>'Bilans Orge - FAM'!U37</f>
        <v>0</v>
      </c>
      <c r="G23" s="458">
        <f>'Bilans Blé dur - FAM'!AA36</f>
        <v>0</v>
      </c>
      <c r="H23" s="459">
        <f>'Bilans Triticale - FAM'!R31</f>
        <v>120.59634002000014</v>
      </c>
      <c r="I23" s="458">
        <f>'Bilans Sorgho - FAM'!R31</f>
        <v>11.505632569999968</v>
      </c>
      <c r="J23" s="458">
        <f>'Bilans Avoine - FAM'!R32</f>
        <v>58.688477420000098</v>
      </c>
      <c r="K23" s="458" t="str">
        <f>'Bilans Seigle - FAM'!R32</f>
        <v/>
      </c>
      <c r="L23" s="458">
        <f>'Bilans Sarrasin - FAM'!O32</f>
        <v>8.8760120500000017</v>
      </c>
      <c r="M23" s="458">
        <f>'Bilans Blé tendre - FAM'!Y40</f>
        <v>820.25361358200144</v>
      </c>
      <c r="N23" s="458">
        <f>'Bilans Maïs - FAM'!Y36</f>
        <v>1037.3157830179766</v>
      </c>
      <c r="O23" s="458">
        <f>'Bilans Orge - FAM'!Y37</f>
        <v>300.54173878332449</v>
      </c>
      <c r="P23" s="458" t="str">
        <f>'Bilans Blé dur - FAM'!AE36</f>
        <v/>
      </c>
      <c r="Q23" s="459">
        <f>'Bilans Triticale - FAM'!V31</f>
        <v>129.57101090999976</v>
      </c>
      <c r="R23" s="458">
        <f>'Bilans Sorgho - FAM'!V31</f>
        <v>26.76407226999995</v>
      </c>
      <c r="S23" s="458">
        <f>'Bilans Avoine - FAM'!V32</f>
        <v>68.888637200000034</v>
      </c>
      <c r="T23" s="458" t="str">
        <f>'Bilans Seigle - FAM'!V32</f>
        <v/>
      </c>
      <c r="U23" s="458">
        <f>'Bilans Sarrasin - FAM'!S32</f>
        <v>10.965524819999995</v>
      </c>
      <c r="V23" s="458">
        <f>'Bilans Blé tendre - FAM'!AC40</f>
        <v>941.21222502240562</v>
      </c>
      <c r="W23" s="458">
        <f>'Bilans Maïs - FAM'!AC36</f>
        <v>1029.9743859712526</v>
      </c>
      <c r="X23" s="458">
        <f>'Bilans Orge - FAM'!AC37</f>
        <v>503.84776999999895</v>
      </c>
      <c r="Y23" s="458">
        <f>'Bilans Blé dur - FAM'!AI36</f>
        <v>0</v>
      </c>
      <c r="Z23" s="459">
        <f>'Bilans Triticale - FAM'!Z31</f>
        <v>139.9277110000001</v>
      </c>
      <c r="AA23" s="458">
        <f>'Bilans Sorgho - FAM'!Z31</f>
        <v>25.48424500000004</v>
      </c>
      <c r="AB23" s="458">
        <f>'Bilans Avoine - FAM'!Z32</f>
        <v>73.935407000000012</v>
      </c>
      <c r="AC23" s="458">
        <f>'Bilans Seigle - FAM'!Z32</f>
        <v>5.1535080000000093</v>
      </c>
      <c r="AD23" s="458">
        <f>'Bilans Sarrasin - FAM'!W32</f>
        <v>9</v>
      </c>
    </row>
    <row r="24" spans="1:30" s="563" customFormat="1">
      <c r="A24"/>
      <c r="B24"/>
      <c r="C24" s="563" t="s">
        <v>1046</v>
      </c>
      <c r="D24" s="567">
        <f>'Bilans Blé tendre - FAM'!U47</f>
        <v>20566.345200000003</v>
      </c>
      <c r="E24" s="567">
        <f>'Bilans Maïs - FAM'!U44</f>
        <v>6107.1899999999987</v>
      </c>
      <c r="F24" s="567">
        <f>'Bilans Orge - FAM'!U44</f>
        <v>7714.3851999999988</v>
      </c>
      <c r="G24" s="567">
        <f>'Bilans Blé dur - FAM'!AA42</f>
        <v>1218.7581999999998</v>
      </c>
      <c r="H24" s="567">
        <f>'Bilans Triticale - FAM'!R36</f>
        <v>59.164500000000018</v>
      </c>
      <c r="I24" s="567">
        <f>'Bilans Sorgho - FAM'!R36</f>
        <v>120.58120000000001</v>
      </c>
      <c r="J24" s="567">
        <f>'Bilans Avoine - FAM'!R37</f>
        <v>70.825999999999993</v>
      </c>
      <c r="K24" s="567">
        <f>'Bilans Seigle - FAM'!R37</f>
        <v>34.6021</v>
      </c>
      <c r="L24" s="567">
        <f>'Bilans Sarrasin - FAM'!O37</f>
        <v>0.89289999999999992</v>
      </c>
      <c r="M24" s="567">
        <f>'Bilans Blé tendre - FAM'!Y47</f>
        <v>21002.862499999996</v>
      </c>
      <c r="N24" s="567">
        <f>'Bilans Maïs - FAM'!Y44</f>
        <v>4179.8281999999999</v>
      </c>
      <c r="O24" s="567">
        <f>'Bilans Orge - FAM'!Y44</f>
        <v>7870.3014000000003</v>
      </c>
      <c r="P24" s="567">
        <f>'Bilans Blé dur - FAM'!AE42</f>
        <v>1452.4056000000003</v>
      </c>
      <c r="Q24" s="567">
        <f>'Bilans Triticale - FAM'!V36</f>
        <v>68.138199999999998</v>
      </c>
      <c r="R24" s="567">
        <f>'Bilans Sorgho - FAM'!V36</f>
        <v>155.66240000000005</v>
      </c>
      <c r="S24" s="567">
        <f>'Bilans Avoine - FAM'!V37</f>
        <v>95.648399999999995</v>
      </c>
      <c r="T24" s="567">
        <f>'Bilans Seigle - FAM'!V37</f>
        <v>25.392999999999994</v>
      </c>
      <c r="U24" s="567">
        <f>'Bilans Sarrasin - FAM'!S37</f>
        <v>0.48479999999999995</v>
      </c>
      <c r="V24" s="567">
        <f>'Bilans Blé tendre - FAM'!AC47</f>
        <v>16632.677100000001</v>
      </c>
      <c r="W24" s="567">
        <f>'Bilans Maïs - FAM'!AC44</f>
        <v>4216.8795</v>
      </c>
      <c r="X24" s="567">
        <f>'Bilans Orge - FAM'!AC44</f>
        <v>6806.0839000000005</v>
      </c>
      <c r="Y24" s="567">
        <f>'Bilans Blé dur - FAM'!AI42</f>
        <v>992</v>
      </c>
      <c r="Z24" s="567">
        <f>'Bilans Triticale - FAM'!Z36</f>
        <v>91.977400000000017</v>
      </c>
      <c r="AA24" s="567">
        <f>'Bilans Sorgho - FAM'!Z36</f>
        <v>153.31269999999998</v>
      </c>
      <c r="AB24" s="567">
        <f>'Bilans Avoine - FAM'!Z37</f>
        <v>101.8415</v>
      </c>
      <c r="AC24" s="567">
        <f>'Bilans Seigle - FAM'!Z37</f>
        <v>27.655599999999996</v>
      </c>
      <c r="AD24" s="567">
        <f>'Bilans Sarrasin - FAM'!W37</f>
        <v>1.3462000000000001</v>
      </c>
    </row>
    <row r="25" spans="1:30">
      <c r="A25" t="str">
        <f>Secteurs!$B$4</f>
        <v>OS</v>
      </c>
      <c r="B25" t="str">
        <f>Produits!$B$51</f>
        <v>Stock final</v>
      </c>
      <c r="C25" t="s">
        <v>1054</v>
      </c>
      <c r="D25" s="509">
        <f>'Bilans Blé tendre - FAM'!U58</f>
        <v>2380.0365999999999</v>
      </c>
      <c r="E25" s="508">
        <f>'Bilans Maïs - FAM'!U50</f>
        <v>2264.7997999999998</v>
      </c>
      <c r="F25" s="509">
        <f>'Bilans Orge - FAM'!U53</f>
        <v>969.86840000000007</v>
      </c>
      <c r="G25" s="509">
        <f>'Bilans Blé dur - FAM'!AA49</f>
        <v>124.44090000000001</v>
      </c>
      <c r="H25" s="509">
        <f>'Bilans Triticale - FAM'!R40</f>
        <v>48.278700000000008</v>
      </c>
      <c r="I25" s="508">
        <f>'Bilans Sorgho - FAM'!R40</f>
        <v>28.222199999999997</v>
      </c>
      <c r="J25" s="509">
        <f>'Bilans Avoine - FAM'!R41</f>
        <v>29.430199999999999</v>
      </c>
      <c r="K25" s="509">
        <f>'Bilans Seigle - FAM'!R41</f>
        <v>16.2011</v>
      </c>
      <c r="L25" s="509">
        <f>'Bilans Sarrasin - FAM'!O41</f>
        <v>6.0173999999999994</v>
      </c>
      <c r="M25" s="509">
        <f>'Bilans Blé tendre - FAM'!Y58</f>
        <v>2247.4432999999999</v>
      </c>
      <c r="N25" s="508">
        <f>'Bilans Maïs - FAM'!Y50</f>
        <v>1851.1818000000003</v>
      </c>
      <c r="O25" s="509">
        <f>'Bilans Orge - FAM'!Y53</f>
        <v>1107.8488</v>
      </c>
      <c r="P25" s="509">
        <f>'Bilans Blé dur - FAM'!AE49</f>
        <v>109.85579999999999</v>
      </c>
      <c r="Q25" s="509">
        <f>'Bilans Triticale - FAM'!V40</f>
        <v>93.672699999999978</v>
      </c>
      <c r="R25" s="508">
        <f>'Bilans Sorgho - FAM'!V40</f>
        <v>33.088500000000003</v>
      </c>
      <c r="S25" s="509">
        <f>'Bilans Avoine - FAM'!V41</f>
        <v>31.059600000000003</v>
      </c>
      <c r="T25" s="509">
        <f>'Bilans Seigle - FAM'!V41</f>
        <v>17.017600000000002</v>
      </c>
      <c r="U25" s="509">
        <f>'Bilans Sarrasin - FAM'!S41</f>
        <v>7.0183</v>
      </c>
      <c r="V25" s="509">
        <f>'Bilans Blé tendre - FAM'!AC58</f>
        <v>2429.2547999999997</v>
      </c>
      <c r="W25" s="508">
        <f>'Bilans Maïs - FAM'!AC50</f>
        <v>1795.3820000000001</v>
      </c>
      <c r="X25" s="509">
        <f>'Bilans Orge - FAM'!AC53</f>
        <v>976.98649999999998</v>
      </c>
      <c r="Y25" s="509">
        <f>'Bilans Blé dur - FAM'!AI49</f>
        <v>90.578100000000006</v>
      </c>
      <c r="Z25" s="509">
        <f>'Bilans Triticale - FAM'!Z40</f>
        <v>81.069199999999995</v>
      </c>
      <c r="AA25" s="508">
        <f>'Bilans Sorgho - FAM'!Z40</f>
        <v>30.900299999999998</v>
      </c>
      <c r="AB25" s="509">
        <f>'Bilans Avoine - FAM'!Z41</f>
        <v>26.225200000000001</v>
      </c>
      <c r="AC25" s="509">
        <f>'Bilans Seigle - FAM'!Z41</f>
        <v>28.5928</v>
      </c>
      <c r="AD25" s="509">
        <f>'Bilans Sarrasin - FAM'!W41</f>
        <v>19.4175</v>
      </c>
    </row>
    <row r="27" spans="1:30">
      <c r="H27" s="86"/>
      <c r="I27" s="86"/>
      <c r="L27" s="459"/>
      <c r="M27" s="459"/>
      <c r="Y27" s="458"/>
    </row>
    <row r="28" spans="1:30">
      <c r="H28" s="458"/>
      <c r="L28" s="145"/>
      <c r="N28" s="459"/>
      <c r="P28" s="458"/>
      <c r="Q28" s="458"/>
      <c r="Y28" s="458"/>
      <c r="Z28" s="458"/>
    </row>
    <row r="29" spans="1:30">
      <c r="F29" s="458"/>
      <c r="G29" s="458"/>
      <c r="H29" s="458"/>
      <c r="K29" s="458"/>
      <c r="L29" s="459"/>
      <c r="N29" s="459"/>
      <c r="P29" s="458"/>
      <c r="Y29" s="458"/>
    </row>
    <row r="30" spans="1:30">
      <c r="F30" s="458"/>
      <c r="G30" s="458"/>
      <c r="H30" s="458"/>
      <c r="J30" s="459"/>
      <c r="K30" s="145"/>
      <c r="L30" s="145"/>
      <c r="N30" s="458"/>
    </row>
    <row r="32" spans="1:30">
      <c r="H32" s="145"/>
      <c r="I32" s="145"/>
      <c r="M32" s="145"/>
    </row>
    <row r="33" spans="9:13">
      <c r="I33" s="145"/>
      <c r="M33" s="459"/>
    </row>
  </sheetData>
  <mergeCells count="4">
    <mergeCell ref="D1:L1"/>
    <mergeCell ref="M1:U1"/>
    <mergeCell ref="V1:AD1"/>
    <mergeCell ref="A1:B1"/>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87624-3789-4197-AB31-6B8B2ABEA727}">
  <sheetPr>
    <tabColor rgb="FFFFC000"/>
  </sheetPr>
  <dimension ref="A1:AF66"/>
  <sheetViews>
    <sheetView zoomScale="70" zoomScaleNormal="70" workbookViewId="0">
      <pane xSplit="1" ySplit="3" topLeftCell="B33" activePane="bottomRight" state="frozen"/>
      <selection activeCell="X47" sqref="X47"/>
      <selection pane="topRight" activeCell="X47" sqref="X47"/>
      <selection pane="bottomLeft" activeCell="X47" sqref="X47"/>
      <selection pane="bottomRight" activeCell="B1" sqref="B1:AC1"/>
    </sheetView>
  </sheetViews>
  <sheetFormatPr baseColWidth="10" defaultRowHeight="18.600000000000001"/>
  <cols>
    <col min="1" max="1" width="68.5546875" style="281" customWidth="1"/>
    <col min="2" max="2" width="10.88671875" style="279" customWidth="1"/>
    <col min="3" max="3" width="11.109375" style="279" customWidth="1"/>
    <col min="4" max="4" width="11.33203125" style="279" customWidth="1"/>
    <col min="5" max="5" width="10.44140625" style="279" customWidth="1"/>
    <col min="6" max="6" width="11.109375" style="279" customWidth="1"/>
    <col min="7" max="7" width="12.5546875" style="279" customWidth="1"/>
    <col min="8" max="8" width="10.88671875" style="279" customWidth="1"/>
    <col min="9" max="9" width="11.6640625" style="279" customWidth="1"/>
    <col min="10" max="10" width="11.88671875" style="279" customWidth="1"/>
    <col min="11" max="11" width="11.44140625" style="279" customWidth="1"/>
    <col min="12" max="12" width="11.88671875" style="279" customWidth="1"/>
    <col min="13" max="13" width="11.109375" style="279" customWidth="1"/>
    <col min="14" max="14" width="11.44140625" style="279" customWidth="1"/>
    <col min="15" max="15" width="11.88671875" style="279" customWidth="1"/>
    <col min="16" max="16" width="11.44140625" style="279" customWidth="1"/>
    <col min="17" max="17" width="11.109375" style="279" customWidth="1"/>
    <col min="18" max="18" width="11.88671875" style="279" customWidth="1"/>
    <col min="19" max="19" width="11.33203125" style="279" customWidth="1"/>
    <col min="20" max="20" width="12.88671875" style="278" bestFit="1" customWidth="1"/>
    <col min="21" max="21" width="11.5546875" style="278" bestFit="1" customWidth="1"/>
    <col min="22" max="22" width="10.44140625" style="278" bestFit="1" customWidth="1"/>
    <col min="23" max="23" width="11" style="278" bestFit="1" customWidth="1"/>
    <col min="24" max="24" width="10.33203125" style="278" bestFit="1" customWidth="1"/>
    <col min="25" max="25" width="12.88671875" style="149" customWidth="1"/>
    <col min="26" max="26" width="14.33203125" style="149" customWidth="1"/>
    <col min="27" max="27" width="14.44140625" style="149" customWidth="1"/>
    <col min="28" max="28" width="15.33203125" style="149" customWidth="1"/>
    <col min="29" max="30" width="16.109375" style="149" customWidth="1"/>
    <col min="31" max="16384" width="11.5546875" style="149"/>
  </cols>
  <sheetData>
    <row r="1" spans="1:32" ht="89.25" customHeight="1">
      <c r="A1" s="146"/>
      <c r="B1" s="695" t="s">
        <v>1004</v>
      </c>
      <c r="C1" s="695"/>
      <c r="D1" s="695"/>
      <c r="E1" s="695"/>
      <c r="F1" s="695"/>
      <c r="G1" s="695"/>
      <c r="H1" s="695"/>
      <c r="I1" s="695"/>
      <c r="J1" s="695"/>
      <c r="K1" s="695"/>
      <c r="L1" s="695"/>
      <c r="M1" s="695"/>
      <c r="N1" s="695"/>
      <c r="O1" s="695"/>
      <c r="P1" s="695"/>
      <c r="Q1" s="695"/>
      <c r="R1" s="695"/>
      <c r="S1" s="695"/>
      <c r="T1" s="695"/>
      <c r="U1" s="695"/>
      <c r="V1" s="695"/>
      <c r="W1" s="695"/>
      <c r="X1" s="695"/>
      <c r="Y1" s="695"/>
      <c r="Z1" s="695"/>
      <c r="AA1" s="695"/>
      <c r="AB1" s="695"/>
      <c r="AC1" s="695"/>
      <c r="AD1" s="148"/>
    </row>
    <row r="2" spans="1:32" ht="18">
      <c r="A2" s="150"/>
      <c r="B2" s="151" t="s">
        <v>1005</v>
      </c>
      <c r="C2" s="152" t="s">
        <v>1006</v>
      </c>
      <c r="D2" s="152" t="s">
        <v>1007</v>
      </c>
      <c r="E2" s="152" t="s">
        <v>1008</v>
      </c>
      <c r="F2" s="152" t="s">
        <v>105</v>
      </c>
      <c r="G2" s="152" t="s">
        <v>108</v>
      </c>
      <c r="H2" s="152" t="s">
        <v>109</v>
      </c>
      <c r="I2" s="152" t="s">
        <v>106</v>
      </c>
      <c r="J2" s="152" t="s">
        <v>110</v>
      </c>
      <c r="K2" s="152" t="s">
        <v>111</v>
      </c>
      <c r="L2" s="152" t="s">
        <v>112</v>
      </c>
      <c r="M2" s="152" t="s">
        <v>113</v>
      </c>
      <c r="N2" s="152" t="s">
        <v>107</v>
      </c>
      <c r="O2" s="152" t="s">
        <v>114</v>
      </c>
      <c r="P2" s="152" t="s">
        <v>115</v>
      </c>
      <c r="Q2" s="152" t="s">
        <v>116</v>
      </c>
      <c r="R2" s="152" t="s">
        <v>117</v>
      </c>
      <c r="S2" s="152" t="s">
        <v>118</v>
      </c>
      <c r="T2" s="152" t="s">
        <v>119</v>
      </c>
      <c r="U2" s="152" t="s">
        <v>120</v>
      </c>
      <c r="V2" s="152" t="s">
        <v>121</v>
      </c>
      <c r="W2" s="152" t="s">
        <v>122</v>
      </c>
      <c r="X2" s="152" t="s">
        <v>123</v>
      </c>
      <c r="Y2" s="152" t="s">
        <v>124</v>
      </c>
      <c r="Z2" s="152" t="s">
        <v>125</v>
      </c>
      <c r="AA2" s="152" t="s">
        <v>126</v>
      </c>
      <c r="AB2" s="152" t="s">
        <v>127</v>
      </c>
      <c r="AC2" s="152" t="s">
        <v>128</v>
      </c>
      <c r="AD2" s="152" t="s">
        <v>129</v>
      </c>
    </row>
    <row r="3" spans="1:32" ht="18">
      <c r="A3" s="153" t="s">
        <v>1009</v>
      </c>
      <c r="B3" s="154"/>
      <c r="C3" s="155"/>
      <c r="D3" s="155"/>
      <c r="E3" s="155"/>
      <c r="F3" s="155"/>
      <c r="G3" s="155"/>
      <c r="H3" s="155"/>
      <c r="I3" s="155"/>
      <c r="J3" s="155"/>
      <c r="K3" s="155"/>
      <c r="L3" s="155"/>
      <c r="M3" s="155"/>
      <c r="N3" s="155"/>
      <c r="O3" s="155"/>
      <c r="P3" s="155"/>
      <c r="Q3" s="155"/>
      <c r="R3" s="155"/>
      <c r="S3" s="155"/>
      <c r="T3" s="156"/>
      <c r="U3" s="157"/>
      <c r="V3" s="158"/>
      <c r="W3" s="158"/>
      <c r="X3" s="157"/>
      <c r="Y3" s="158"/>
      <c r="Z3" s="157"/>
      <c r="AA3" s="158"/>
      <c r="AB3" s="157"/>
      <c r="AC3" s="157" t="s">
        <v>1010</v>
      </c>
      <c r="AD3" s="157" t="s">
        <v>1011</v>
      </c>
    </row>
    <row r="4" spans="1:32" ht="18">
      <c r="A4" s="159"/>
      <c r="B4" s="160"/>
      <c r="C4" s="161"/>
      <c r="D4" s="161"/>
      <c r="E4" s="161"/>
      <c r="F4" s="161"/>
      <c r="G4" s="161"/>
      <c r="H4" s="161"/>
      <c r="I4" s="161"/>
      <c r="J4" s="161"/>
      <c r="K4" s="161"/>
      <c r="L4" s="161"/>
      <c r="M4" s="161"/>
      <c r="N4" s="161"/>
      <c r="O4" s="161"/>
      <c r="P4" s="161"/>
      <c r="Q4" s="161" t="s">
        <v>116</v>
      </c>
      <c r="R4" s="161" t="s">
        <v>117</v>
      </c>
      <c r="S4" s="161" t="s">
        <v>118</v>
      </c>
      <c r="T4" s="162" t="s">
        <v>119</v>
      </c>
      <c r="U4" s="162" t="s">
        <v>120</v>
      </c>
      <c r="V4" s="162" t="s">
        <v>121</v>
      </c>
      <c r="W4" s="162" t="s">
        <v>1012</v>
      </c>
      <c r="X4" s="163"/>
      <c r="Y4" s="163"/>
      <c r="Z4" s="163"/>
      <c r="AA4" s="163"/>
      <c r="AB4" s="163"/>
      <c r="AC4" s="163"/>
      <c r="AD4" s="163"/>
    </row>
    <row r="5" spans="1:32">
      <c r="A5" s="164" t="s">
        <v>1013</v>
      </c>
      <c r="B5" s="165">
        <f>B23/B9</f>
        <v>0.89371262741638313</v>
      </c>
      <c r="C5" s="166">
        <f>C23/C9</f>
        <v>0.88177786350127929</v>
      </c>
      <c r="D5" s="166">
        <f t="shared" ref="D5:AD5" si="0">D23/D9</f>
        <v>0.9027892435293261</v>
      </c>
      <c r="E5" s="166">
        <f t="shared" si="0"/>
        <v>0.88697576002968115</v>
      </c>
      <c r="F5" s="166">
        <f t="shared" si="0"/>
        <v>0.89049495657519573</v>
      </c>
      <c r="G5" s="166">
        <f t="shared" si="0"/>
        <v>0.87113684484251641</v>
      </c>
      <c r="H5" s="166">
        <f t="shared" si="0"/>
        <v>0.88625014878012331</v>
      </c>
      <c r="I5" s="166">
        <f t="shared" si="0"/>
        <v>0.89379476800285562</v>
      </c>
      <c r="J5" s="166">
        <f t="shared" si="0"/>
        <v>0.89044568170402616</v>
      </c>
      <c r="K5" s="166">
        <f t="shared" si="0"/>
        <v>0.88758484905074542</v>
      </c>
      <c r="L5" s="166">
        <f t="shared" si="0"/>
        <v>0.89503376186819084</v>
      </c>
      <c r="M5" s="166">
        <f t="shared" si="0"/>
        <v>0.88715262024451291</v>
      </c>
      <c r="N5" s="166">
        <f t="shared" si="0"/>
        <v>0.87561242726451727</v>
      </c>
      <c r="O5" s="166">
        <f t="shared" si="0"/>
        <v>0.91862155652944821</v>
      </c>
      <c r="P5" s="166">
        <f t="shared" si="0"/>
        <v>0.93077373402406882</v>
      </c>
      <c r="Q5" s="166">
        <f t="shared" si="0"/>
        <v>0.93306042363205266</v>
      </c>
      <c r="R5" s="166">
        <f t="shared" si="0"/>
        <v>0.91747428284913879</v>
      </c>
      <c r="S5" s="166">
        <f t="shared" si="0"/>
        <v>0.91869966691405747</v>
      </c>
      <c r="T5" s="166">
        <f t="shared" si="0"/>
        <v>0.92019475099478087</v>
      </c>
      <c r="U5" s="166">
        <f t="shared" si="0"/>
        <v>0.90259850456039181</v>
      </c>
      <c r="V5" s="166">
        <f t="shared" si="0"/>
        <v>0.95032350050676184</v>
      </c>
      <c r="W5" s="166">
        <f t="shared" si="0"/>
        <v>0.91098255441754694</v>
      </c>
      <c r="X5" s="166">
        <f t="shared" si="0"/>
        <v>0.91608445189643883</v>
      </c>
      <c r="Y5" s="166">
        <f t="shared" si="0"/>
        <v>0.92412155393994055</v>
      </c>
      <c r="Z5" s="166">
        <f t="shared" si="0"/>
        <v>0.9348116560008195</v>
      </c>
      <c r="AA5" s="166">
        <f t="shared" si="0"/>
        <v>0.91319329112039715</v>
      </c>
      <c r="AB5" s="166">
        <f t="shared" si="0"/>
        <v>0.91001199664898846</v>
      </c>
      <c r="AC5" s="166">
        <f t="shared" si="0"/>
        <v>0.90771794887617163</v>
      </c>
      <c r="AD5" s="166">
        <f t="shared" si="0"/>
        <v>0.91291307631759799</v>
      </c>
    </row>
    <row r="6" spans="1:32">
      <c r="A6" s="167"/>
      <c r="B6" s="168"/>
      <c r="C6" s="169"/>
      <c r="D6" s="169"/>
      <c r="E6" s="169"/>
      <c r="F6" s="169"/>
      <c r="G6" s="169"/>
      <c r="H6" s="169"/>
      <c r="I6" s="169"/>
      <c r="J6" s="169"/>
      <c r="K6" s="169"/>
      <c r="L6" s="169"/>
      <c r="M6" s="169"/>
      <c r="N6" s="169"/>
      <c r="O6" s="169"/>
      <c r="P6" s="169"/>
      <c r="Q6" s="169"/>
      <c r="R6" s="169"/>
      <c r="S6" s="169"/>
      <c r="T6" s="169"/>
      <c r="U6" s="169"/>
      <c r="V6" s="169"/>
      <c r="W6" s="169"/>
      <c r="X6" s="170"/>
      <c r="Y6" s="170"/>
      <c r="Z6" s="170"/>
      <c r="AA6" s="170"/>
      <c r="AB6" s="170"/>
      <c r="AC6" s="170"/>
      <c r="AD6" s="170"/>
    </row>
    <row r="7" spans="1:32" ht="18">
      <c r="A7" s="171" t="s">
        <v>1014</v>
      </c>
      <c r="B7" s="172">
        <v>4764.0209999999997</v>
      </c>
      <c r="C7" s="173">
        <v>4840.619999999999</v>
      </c>
      <c r="D7" s="173">
        <v>4934.5919999999996</v>
      </c>
      <c r="E7" s="173">
        <v>4775.1100000000006</v>
      </c>
      <c r="F7" s="173">
        <v>4910.1420000000007</v>
      </c>
      <c r="G7" s="173">
        <v>4457.7020000000002</v>
      </c>
      <c r="H7" s="173">
        <v>4888.8779999999997</v>
      </c>
      <c r="I7" s="173">
        <v>4513.8320000000012</v>
      </c>
      <c r="J7" s="173">
        <v>4818.9950000000008</v>
      </c>
      <c r="K7" s="173">
        <v>4841.188000000001</v>
      </c>
      <c r="L7" s="173">
        <v>4778.5629999999992</v>
      </c>
      <c r="M7" s="173">
        <v>4765.8760000000011</v>
      </c>
      <c r="N7" s="173">
        <v>5044.853000000001</v>
      </c>
      <c r="O7" s="173">
        <v>4711.5110000000004</v>
      </c>
      <c r="P7" s="173">
        <v>4898.5149999999994</v>
      </c>
      <c r="Q7" s="173">
        <v>4990.1779999999999</v>
      </c>
      <c r="R7" s="173">
        <v>4860.6329999999989</v>
      </c>
      <c r="S7" s="173">
        <v>4983.6609999999991</v>
      </c>
      <c r="T7" s="173">
        <v>5010.4559999999992</v>
      </c>
      <c r="U7" s="173">
        <v>5161.3869999999997</v>
      </c>
      <c r="V7" s="174">
        <v>5131.7910000000002</v>
      </c>
      <c r="W7" s="174">
        <v>4962.0789999999997</v>
      </c>
      <c r="X7" s="175">
        <v>4880.2080000000005</v>
      </c>
      <c r="Y7" s="175">
        <v>4998.7500000000009</v>
      </c>
      <c r="Z7" s="175">
        <v>4267.4970000000003</v>
      </c>
      <c r="AA7" s="176">
        <v>4982.5060000000003</v>
      </c>
      <c r="AB7" s="176">
        <v>4696.8969999999999</v>
      </c>
      <c r="AC7" s="176">
        <v>4761.9480000000003</v>
      </c>
      <c r="AD7" s="176">
        <v>4186.5240000000003</v>
      </c>
      <c r="AF7" s="443"/>
    </row>
    <row r="8" spans="1:32" ht="18">
      <c r="A8" s="171" t="s">
        <v>1015</v>
      </c>
      <c r="B8" s="177">
        <f>B9/B7*10</f>
        <v>72.786173696547522</v>
      </c>
      <c r="C8" s="178">
        <f t="shared" ref="C8:AD8" si="1">C9/C7*10</f>
        <v>68.139132590453301</v>
      </c>
      <c r="D8" s="178">
        <f t="shared" si="1"/>
        <v>77.505219681789299</v>
      </c>
      <c r="E8" s="178">
        <f t="shared" si="1"/>
        <v>74.122698534693413</v>
      </c>
      <c r="F8" s="178">
        <f t="shared" si="1"/>
        <v>72.640948265854632</v>
      </c>
      <c r="G8" s="178">
        <f t="shared" si="1"/>
        <v>67.691149610270031</v>
      </c>
      <c r="H8" s="178">
        <f t="shared" si="1"/>
        <v>76.247525096760441</v>
      </c>
      <c r="I8" s="178">
        <f t="shared" si="1"/>
        <v>64.231983600630201</v>
      </c>
      <c r="J8" s="178">
        <f t="shared" si="1"/>
        <v>77.866940721042411</v>
      </c>
      <c r="K8" s="178">
        <f t="shared" si="1"/>
        <v>71.775227485484947</v>
      </c>
      <c r="L8" s="178">
        <f t="shared" si="1"/>
        <v>69.380846710611536</v>
      </c>
      <c r="M8" s="178">
        <f t="shared" si="1"/>
        <v>64.333212823833435</v>
      </c>
      <c r="N8" s="178">
        <f t="shared" si="1"/>
        <v>72.862254856583519</v>
      </c>
      <c r="O8" s="178">
        <f t="shared" si="1"/>
        <v>76.55545025788966</v>
      </c>
      <c r="P8" s="178">
        <f t="shared" si="1"/>
        <v>72.443669765224755</v>
      </c>
      <c r="Q8" s="178">
        <f t="shared" si="1"/>
        <v>68.074145852111897</v>
      </c>
      <c r="R8" s="178">
        <f t="shared" si="1"/>
        <v>73.04180628325571</v>
      </c>
      <c r="S8" s="178">
        <f t="shared" si="1"/>
        <v>73.983391928142794</v>
      </c>
      <c r="T8" s="178">
        <f t="shared" si="1"/>
        <v>74.775785277827026</v>
      </c>
      <c r="U8" s="178">
        <f t="shared" si="1"/>
        <v>79.328758723188145</v>
      </c>
      <c r="V8" s="178">
        <f t="shared" si="1"/>
        <v>53.705748733726679</v>
      </c>
      <c r="W8" s="178">
        <f t="shared" si="1"/>
        <v>73.677062578004097</v>
      </c>
      <c r="X8" s="179">
        <f t="shared" si="1"/>
        <v>69.7622148482196</v>
      </c>
      <c r="Y8" s="179">
        <f t="shared" si="1"/>
        <v>79.052686371592898</v>
      </c>
      <c r="Z8" s="179">
        <f t="shared" si="1"/>
        <v>68.448665576097639</v>
      </c>
      <c r="AA8" s="179">
        <f t="shared" si="1"/>
        <v>71.041519267613523</v>
      </c>
      <c r="AB8" s="179">
        <f t="shared" si="1"/>
        <v>71.736352106507766</v>
      </c>
      <c r="AC8" s="179">
        <f t="shared" si="1"/>
        <v>73.746423312476296</v>
      </c>
      <c r="AD8" s="179">
        <f t="shared" si="1"/>
        <v>61.078684608042394</v>
      </c>
    </row>
    <row r="9" spans="1:32" ht="18">
      <c r="A9" s="171" t="s">
        <v>1016</v>
      </c>
      <c r="B9" s="172">
        <v>34675.485999999997</v>
      </c>
      <c r="C9" s="173">
        <v>32983.5648</v>
      </c>
      <c r="D9" s="173">
        <v>38245.663699999997</v>
      </c>
      <c r="E9" s="173">
        <v>35394.40389999999</v>
      </c>
      <c r="F9" s="173">
        <v>35667.737100000006</v>
      </c>
      <c r="G9" s="173">
        <v>30174.697299999996</v>
      </c>
      <c r="H9" s="173">
        <v>37276.484799999998</v>
      </c>
      <c r="I9" s="173">
        <v>28993.23829999999</v>
      </c>
      <c r="J9" s="173">
        <v>37524.039799999984</v>
      </c>
      <c r="K9" s="173">
        <v>34747.736999999994</v>
      </c>
      <c r="L9" s="173">
        <v>33154.07469999999</v>
      </c>
      <c r="M9" s="173">
        <v>30660.411500000002</v>
      </c>
      <c r="N9" s="173">
        <v>36757.936500000003</v>
      </c>
      <c r="O9" s="173">
        <v>36069.184600000001</v>
      </c>
      <c r="P9" s="173">
        <v>35486.640299999992</v>
      </c>
      <c r="Q9" s="173">
        <v>33970.210500000001</v>
      </c>
      <c r="R9" s="173">
        <v>35502.941399999996</v>
      </c>
      <c r="S9" s="173">
        <v>36870.8145</v>
      </c>
      <c r="T9" s="173">
        <v>37466.078200000004</v>
      </c>
      <c r="U9" s="493">
        <v>40944.642399999982</v>
      </c>
      <c r="V9" s="174">
        <v>27560.667799999999</v>
      </c>
      <c r="W9" s="174">
        <v>36559.140500000001</v>
      </c>
      <c r="X9" s="175">
        <v>34045.411900000006</v>
      </c>
      <c r="Y9" s="498">
        <v>39516.46160000001</v>
      </c>
      <c r="Z9" s="175">
        <v>29210.447499999998</v>
      </c>
      <c r="AA9" s="175">
        <v>35396.479599999999</v>
      </c>
      <c r="AB9" s="176">
        <v>33693.825700000001</v>
      </c>
      <c r="AC9" s="493">
        <v>35117.663299999993</v>
      </c>
      <c r="AD9" s="176">
        <v>25570.737900000007</v>
      </c>
    </row>
    <row r="10" spans="1:32" ht="18">
      <c r="A10" s="180"/>
      <c r="B10" s="181"/>
      <c r="C10" s="182"/>
      <c r="D10" s="182"/>
      <c r="E10" s="182"/>
      <c r="F10" s="182"/>
      <c r="G10" s="182"/>
      <c r="H10" s="182"/>
      <c r="I10" s="182"/>
      <c r="J10" s="182"/>
      <c r="K10" s="182"/>
      <c r="L10" s="182"/>
      <c r="M10" s="182"/>
      <c r="N10" s="182"/>
      <c r="O10" s="182"/>
      <c r="P10" s="182"/>
      <c r="Q10" s="182"/>
      <c r="R10" s="182"/>
      <c r="S10" s="182"/>
      <c r="T10" s="182"/>
      <c r="U10" s="183"/>
      <c r="V10" s="183"/>
      <c r="W10" s="183"/>
      <c r="X10" s="184"/>
      <c r="Y10" s="184"/>
      <c r="Z10" s="184"/>
      <c r="AA10" s="184"/>
      <c r="AB10" s="184"/>
      <c r="AC10" s="184"/>
      <c r="AD10" s="184"/>
    </row>
    <row r="11" spans="1:32" ht="18">
      <c r="A11" s="171" t="s">
        <v>1017</v>
      </c>
      <c r="B11" s="185"/>
      <c r="C11" s="186"/>
      <c r="D11" s="186"/>
      <c r="E11" s="186"/>
      <c r="F11" s="186"/>
      <c r="G11" s="186"/>
      <c r="H11" s="186"/>
      <c r="I11" s="186"/>
      <c r="J11" s="186"/>
      <c r="K11" s="186"/>
      <c r="L11" s="186"/>
      <c r="M11" s="186"/>
      <c r="N11" s="186"/>
      <c r="O11" s="186"/>
      <c r="P11" s="186"/>
      <c r="Q11" s="186"/>
      <c r="R11" s="186">
        <v>235</v>
      </c>
      <c r="S11" s="186">
        <f>R13</f>
        <v>251.92649372000025</v>
      </c>
      <c r="T11" s="186">
        <f t="shared" ref="T11:AD11" si="2">S13</f>
        <v>400.34283442630368</v>
      </c>
      <c r="U11" s="492">
        <f t="shared" si="2"/>
        <v>784.27289590755925</v>
      </c>
      <c r="V11" s="186">
        <f t="shared" si="2"/>
        <v>1755.5803268261564</v>
      </c>
      <c r="W11" s="186">
        <f t="shared" si="2"/>
        <v>687.20813190175431</v>
      </c>
      <c r="X11" s="186">
        <f t="shared" si="2"/>
        <v>826.3</v>
      </c>
      <c r="Y11" s="492">
        <f t="shared" si="2"/>
        <v>400</v>
      </c>
      <c r="Z11" s="186">
        <f t="shared" si="2"/>
        <v>400</v>
      </c>
      <c r="AA11" s="186">
        <f t="shared" si="2"/>
        <v>400</v>
      </c>
      <c r="AB11" s="186">
        <f t="shared" si="2"/>
        <v>400</v>
      </c>
      <c r="AC11" s="492">
        <f t="shared" si="2"/>
        <v>400</v>
      </c>
      <c r="AD11" s="186">
        <f t="shared" si="2"/>
        <v>800</v>
      </c>
    </row>
    <row r="12" spans="1:32" ht="36">
      <c r="A12" s="187" t="s">
        <v>1018</v>
      </c>
      <c r="B12" s="186">
        <f t="shared" ref="B12:P12" si="3">B9-B23</f>
        <v>3685.5662999999913</v>
      </c>
      <c r="C12" s="186">
        <f t="shared" si="3"/>
        <v>3899.3875000000007</v>
      </c>
      <c r="D12" s="186">
        <f t="shared" si="3"/>
        <v>3717.8898999999947</v>
      </c>
      <c r="E12" s="186">
        <f t="shared" si="3"/>
        <v>4000.4255999999878</v>
      </c>
      <c r="F12" s="186">
        <f t="shared" si="3"/>
        <v>3905.7971000000034</v>
      </c>
      <c r="G12" s="186">
        <f t="shared" si="3"/>
        <v>3888.4066999999995</v>
      </c>
      <c r="H12" s="186">
        <f t="shared" si="3"/>
        <v>4240.1945999999953</v>
      </c>
      <c r="I12" s="186">
        <f t="shared" si="3"/>
        <v>3079.2335999999923</v>
      </c>
      <c r="J12" s="186">
        <f t="shared" si="3"/>
        <v>4110.9205999999904</v>
      </c>
      <c r="K12" s="186">
        <f t="shared" si="3"/>
        <v>3906.1720999999961</v>
      </c>
      <c r="L12" s="186">
        <f t="shared" si="3"/>
        <v>3480.0584999999883</v>
      </c>
      <c r="M12" s="186">
        <f t="shared" si="3"/>
        <v>3459.9471000000049</v>
      </c>
      <c r="N12" s="186">
        <f t="shared" si="3"/>
        <v>4572.2305000000051</v>
      </c>
      <c r="O12" s="186">
        <f t="shared" si="3"/>
        <v>2935.2540999999983</v>
      </c>
      <c r="P12" s="186">
        <f t="shared" si="3"/>
        <v>2456.6075999999957</v>
      </c>
      <c r="Q12" s="186">
        <f>Q9-Q23</f>
        <v>2273.9514999999956</v>
      </c>
      <c r="R12" s="186">
        <f>R9+R11-R13-R23</f>
        <v>2912.9792062800007</v>
      </c>
      <c r="S12" s="186">
        <f t="shared" ref="S12:AB12" si="4">S9+S11-S13-S23</f>
        <v>2849.1931592936962</v>
      </c>
      <c r="T12" s="186">
        <f t="shared" si="4"/>
        <v>2606.0596385187528</v>
      </c>
      <c r="U12" s="492">
        <f t="shared" si="4"/>
        <v>3016.7619690813881</v>
      </c>
      <c r="V12" s="186">
        <f t="shared" si="4"/>
        <v>2437.4896949244066</v>
      </c>
      <c r="W12" s="186">
        <f t="shared" si="4"/>
        <v>3115.3094319017546</v>
      </c>
      <c r="X12" s="186">
        <f t="shared" si="4"/>
        <v>3283.2394000000058</v>
      </c>
      <c r="Y12" s="492">
        <f t="shared" si="4"/>
        <v>2998.4477000000115</v>
      </c>
      <c r="Z12" s="186">
        <f t="shared" si="4"/>
        <v>1904.1807000000008</v>
      </c>
      <c r="AA12" s="186">
        <f t="shared" si="4"/>
        <v>3072.6519000000008</v>
      </c>
      <c r="AB12" s="186">
        <f t="shared" si="4"/>
        <v>3032.0400999999983</v>
      </c>
      <c r="AC12" s="492">
        <f>AC9+AC11-AC13-AC23</f>
        <v>2840.7299999999923</v>
      </c>
      <c r="AD12" s="186">
        <f t="shared" ref="AD12" si="5">AD9+AD11-AD13-AD23</f>
        <v>2626.8769000000066</v>
      </c>
    </row>
    <row r="13" spans="1:32" ht="18">
      <c r="A13" s="171" t="s">
        <v>1019</v>
      </c>
      <c r="B13" s="185"/>
      <c r="C13" s="186"/>
      <c r="D13" s="186"/>
      <c r="E13" s="186"/>
      <c r="F13" s="186"/>
      <c r="G13" s="186"/>
      <c r="H13" s="186"/>
      <c r="I13" s="186"/>
      <c r="J13" s="186"/>
      <c r="K13" s="186"/>
      <c r="L13" s="186"/>
      <c r="M13" s="186"/>
      <c r="N13" s="186"/>
      <c r="O13" s="186"/>
      <c r="P13" s="186"/>
      <c r="Q13" s="186"/>
      <c r="R13" s="186">
        <v>251.92649372000025</v>
      </c>
      <c r="S13" s="186">
        <v>400.34283442630368</v>
      </c>
      <c r="T13" s="186">
        <v>784.27289590755925</v>
      </c>
      <c r="U13" s="492">
        <v>1755.5803268261564</v>
      </c>
      <c r="V13" s="186">
        <v>687.20813190175431</v>
      </c>
      <c r="W13" s="186">
        <v>826.3</v>
      </c>
      <c r="X13" s="188">
        <v>400</v>
      </c>
      <c r="Y13" s="492">
        <v>400</v>
      </c>
      <c r="Z13" s="188">
        <v>400</v>
      </c>
      <c r="AA13" s="188">
        <v>400</v>
      </c>
      <c r="AB13" s="188">
        <v>400</v>
      </c>
      <c r="AC13" s="492">
        <v>800</v>
      </c>
      <c r="AD13" s="188">
        <v>400</v>
      </c>
    </row>
    <row r="14" spans="1:32" ht="18">
      <c r="A14" s="171"/>
      <c r="B14" s="186"/>
      <c r="C14" s="186"/>
      <c r="D14" s="186"/>
      <c r="E14" s="186"/>
      <c r="F14" s="186"/>
      <c r="G14" s="186"/>
      <c r="H14" s="186"/>
      <c r="I14" s="186"/>
      <c r="J14" s="186"/>
      <c r="K14" s="186"/>
      <c r="L14" s="186"/>
      <c r="M14" s="186"/>
      <c r="N14" s="186"/>
      <c r="O14" s="186"/>
      <c r="P14" s="186"/>
      <c r="Q14" s="186"/>
      <c r="R14" s="186"/>
      <c r="S14" s="186"/>
      <c r="T14" s="186"/>
      <c r="U14" s="186"/>
      <c r="V14" s="189"/>
      <c r="W14" s="186"/>
      <c r="X14" s="188"/>
      <c r="Y14" s="188"/>
      <c r="Z14" s="188"/>
      <c r="AA14" s="188"/>
      <c r="AB14" s="188"/>
      <c r="AC14" s="188"/>
      <c r="AD14" s="188"/>
    </row>
    <row r="15" spans="1:32" ht="18">
      <c r="A15" s="171"/>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row>
    <row r="16" spans="1:32" ht="18">
      <c r="A16" s="171"/>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row>
    <row r="17" spans="1:31" ht="51.75" customHeight="1">
      <c r="A17" s="190" t="s">
        <v>1020</v>
      </c>
      <c r="B17" s="696" t="s">
        <v>1021</v>
      </c>
      <c r="C17" s="696"/>
      <c r="D17" s="696"/>
      <c r="E17" s="696"/>
      <c r="F17" s="696"/>
      <c r="G17" s="696"/>
      <c r="H17" s="696"/>
      <c r="I17" s="696"/>
      <c r="J17" s="696"/>
      <c r="K17" s="696"/>
      <c r="L17" s="696"/>
      <c r="M17" s="696"/>
      <c r="N17" s="696"/>
      <c r="O17" s="696"/>
      <c r="P17" s="696"/>
      <c r="Q17" s="696"/>
      <c r="R17" s="696"/>
      <c r="S17" s="696"/>
      <c r="T17" s="696"/>
      <c r="U17" s="696"/>
      <c r="V17" s="696"/>
      <c r="W17" s="696"/>
      <c r="X17" s="696"/>
      <c r="Y17" s="696"/>
      <c r="Z17" s="696"/>
      <c r="AA17" s="696"/>
      <c r="AB17" s="696"/>
      <c r="AC17" s="696"/>
    </row>
    <row r="18" spans="1:31">
      <c r="A18" s="192" t="s">
        <v>1009</v>
      </c>
      <c r="B18" s="193" t="s">
        <v>1005</v>
      </c>
      <c r="C18" s="193" t="s">
        <v>1006</v>
      </c>
      <c r="D18" s="193" t="s">
        <v>1007</v>
      </c>
      <c r="E18" s="193" t="s">
        <v>1008</v>
      </c>
      <c r="F18" s="193" t="s">
        <v>105</v>
      </c>
      <c r="G18" s="193" t="s">
        <v>108</v>
      </c>
      <c r="H18" s="193" t="s">
        <v>109</v>
      </c>
      <c r="I18" s="193" t="s">
        <v>106</v>
      </c>
      <c r="J18" s="193" t="s">
        <v>110</v>
      </c>
      <c r="K18" s="193" t="s">
        <v>111</v>
      </c>
      <c r="L18" s="193" t="s">
        <v>112</v>
      </c>
      <c r="M18" s="193" t="s">
        <v>113</v>
      </c>
      <c r="N18" s="193" t="s">
        <v>107</v>
      </c>
      <c r="O18" s="193" t="s">
        <v>114</v>
      </c>
      <c r="P18" s="193" t="s">
        <v>115</v>
      </c>
      <c r="Q18" s="193" t="s">
        <v>116</v>
      </c>
      <c r="R18" s="193" t="s">
        <v>117</v>
      </c>
      <c r="S18" s="193" t="s">
        <v>118</v>
      </c>
      <c r="T18" s="194" t="s">
        <v>119</v>
      </c>
      <c r="U18" s="194" t="s">
        <v>120</v>
      </c>
      <c r="V18" s="194" t="s">
        <v>121</v>
      </c>
      <c r="W18" s="194" t="s">
        <v>122</v>
      </c>
      <c r="X18" s="195" t="s">
        <v>123</v>
      </c>
      <c r="Y18" s="195" t="s">
        <v>124</v>
      </c>
      <c r="Z18" s="195" t="s">
        <v>125</v>
      </c>
      <c r="AA18" s="195" t="str">
        <f>AA2</f>
        <v>2021/22</v>
      </c>
      <c r="AB18" s="195" t="str">
        <f>AB2</f>
        <v>2022/23</v>
      </c>
      <c r="AC18" s="195" t="str">
        <f>AC2</f>
        <v>2023/24</v>
      </c>
      <c r="AD18" s="195" t="str">
        <f>AD2</f>
        <v>2024/25</v>
      </c>
    </row>
    <row r="19" spans="1:31" ht="18">
      <c r="A19" s="196"/>
      <c r="B19" s="197"/>
      <c r="C19" s="197"/>
      <c r="D19" s="197"/>
      <c r="E19" s="197"/>
      <c r="F19" s="197"/>
      <c r="G19" s="197"/>
      <c r="H19" s="197"/>
      <c r="I19" s="197"/>
      <c r="J19" s="197"/>
      <c r="K19" s="197"/>
      <c r="L19" s="197"/>
      <c r="M19" s="197"/>
      <c r="N19" s="197"/>
      <c r="O19" s="197"/>
      <c r="P19" s="197"/>
      <c r="Q19" s="197"/>
      <c r="R19" s="197"/>
      <c r="S19" s="197"/>
      <c r="T19" s="198"/>
      <c r="U19" s="199"/>
      <c r="V19" s="199"/>
      <c r="W19" s="199"/>
      <c r="X19" s="200"/>
      <c r="Y19" s="200"/>
      <c r="Z19" s="200"/>
      <c r="AA19" s="200"/>
      <c r="AB19" s="200"/>
      <c r="AC19" s="200" t="str">
        <f>AC3</f>
        <v>Prov. Mars 25</v>
      </c>
      <c r="AD19" s="200" t="str">
        <f>AD3</f>
        <v>Prév. Mars 25</v>
      </c>
    </row>
    <row r="20" spans="1:31" ht="18">
      <c r="A20" s="201"/>
      <c r="B20" s="202"/>
      <c r="C20" s="202"/>
      <c r="D20" s="202"/>
      <c r="E20" s="202"/>
      <c r="F20" s="202"/>
      <c r="G20" s="202"/>
      <c r="H20" s="202"/>
      <c r="I20" s="202"/>
      <c r="J20" s="202"/>
      <c r="K20" s="202"/>
      <c r="L20" s="202"/>
      <c r="M20" s="202"/>
      <c r="N20" s="202"/>
      <c r="O20" s="202"/>
      <c r="P20" s="202"/>
      <c r="Q20" s="202"/>
      <c r="R20" s="202"/>
      <c r="S20" s="202"/>
      <c r="T20" s="203"/>
      <c r="U20" s="203"/>
      <c r="V20" s="203"/>
      <c r="W20" s="203"/>
      <c r="X20" s="204"/>
      <c r="Y20" s="205"/>
      <c r="Z20" s="205"/>
      <c r="AA20" s="205"/>
      <c r="AB20" s="205"/>
      <c r="AC20" s="205"/>
      <c r="AD20" s="205"/>
    </row>
    <row r="21" spans="1:31">
      <c r="A21" s="206" t="s">
        <v>1022</v>
      </c>
      <c r="B21" s="207"/>
      <c r="C21" s="208"/>
      <c r="D21" s="208"/>
      <c r="E21" s="208"/>
      <c r="F21" s="208"/>
      <c r="G21" s="208"/>
      <c r="H21" s="208"/>
      <c r="I21" s="208"/>
      <c r="J21" s="208"/>
      <c r="K21" s="208"/>
      <c r="L21" s="208"/>
      <c r="M21" s="208"/>
      <c r="N21" s="208"/>
      <c r="O21" s="208"/>
      <c r="P21" s="208"/>
      <c r="Q21" s="208"/>
      <c r="R21" s="208"/>
      <c r="S21" s="208"/>
      <c r="T21" s="209"/>
      <c r="U21" s="210"/>
      <c r="V21" s="210"/>
      <c r="W21" s="210"/>
      <c r="X21" s="211"/>
      <c r="Y21" s="211"/>
      <c r="Z21" s="211"/>
      <c r="AA21" s="211"/>
      <c r="AB21" s="211"/>
      <c r="AC21" s="212"/>
      <c r="AD21" s="212"/>
    </row>
    <row r="22" spans="1:31" ht="18">
      <c r="A22" s="213" t="s">
        <v>1023</v>
      </c>
      <c r="B22" s="214">
        <v>2204</v>
      </c>
      <c r="C22" s="214">
        <f t="shared" ref="C22:AB22" si="6">B57</f>
        <v>2428.7951073270142</v>
      </c>
      <c r="D22" s="214">
        <f t="shared" si="6"/>
        <v>5046.44139</v>
      </c>
      <c r="E22" s="214">
        <f t="shared" si="6"/>
        <v>7525.9112999999998</v>
      </c>
      <c r="F22" s="214">
        <f t="shared" si="6"/>
        <v>5423.08723904</v>
      </c>
      <c r="G22" s="214">
        <f t="shared" si="6"/>
        <v>3313.9805430000001</v>
      </c>
      <c r="H22" s="214">
        <f t="shared" si="6"/>
        <v>2900.80863</v>
      </c>
      <c r="I22" s="214">
        <f t="shared" si="6"/>
        <v>4026.810794</v>
      </c>
      <c r="J22" s="214">
        <f t="shared" si="6"/>
        <v>1976.3308589999999</v>
      </c>
      <c r="K22" s="214">
        <f t="shared" si="6"/>
        <v>4772.8584000000001</v>
      </c>
      <c r="L22" s="214">
        <f t="shared" si="6"/>
        <v>2772.4881780000001</v>
      </c>
      <c r="M22" s="214">
        <f t="shared" si="6"/>
        <v>2612.0288165340098</v>
      </c>
      <c r="N22" s="214">
        <f t="shared" si="6"/>
        <v>2778.5635784510678</v>
      </c>
      <c r="O22" s="214">
        <f t="shared" si="6"/>
        <v>3445.0456476353925</v>
      </c>
      <c r="P22" s="214">
        <f t="shared" si="6"/>
        <v>3433.646753</v>
      </c>
      <c r="Q22" s="214">
        <f t="shared" si="6"/>
        <v>2980.4781913100005</v>
      </c>
      <c r="R22" s="214">
        <f t="shared" si="6"/>
        <v>2290.8441984200003</v>
      </c>
      <c r="S22" s="214">
        <f t="shared" si="6"/>
        <v>2908.0577435</v>
      </c>
      <c r="T22" s="214">
        <f t="shared" si="6"/>
        <v>2416.531100877</v>
      </c>
      <c r="U22" s="214">
        <f t="shared" si="6"/>
        <v>2842.4526828899998</v>
      </c>
      <c r="V22" s="214">
        <f t="shared" si="6"/>
        <v>3321.4251275300003</v>
      </c>
      <c r="W22" s="214">
        <f t="shared" si="6"/>
        <v>2911.7970037799996</v>
      </c>
      <c r="X22" s="214">
        <f t="shared" si="6"/>
        <v>3064.9872578899999</v>
      </c>
      <c r="Y22" s="214">
        <f t="shared" si="6"/>
        <v>2676.5892618600005</v>
      </c>
      <c r="Z22" s="214">
        <f t="shared" si="6"/>
        <v>3052.7511089499999</v>
      </c>
      <c r="AA22" s="214">
        <f t="shared" si="6"/>
        <v>2321.0220025004396</v>
      </c>
      <c r="AB22" s="214">
        <f t="shared" si="6"/>
        <v>2779.6725672753009</v>
      </c>
      <c r="AC22" s="214">
        <f>AB57</f>
        <v>2539.6024282303956</v>
      </c>
      <c r="AD22" s="214">
        <v>3186.8761609511457</v>
      </c>
    </row>
    <row r="23" spans="1:31" ht="18">
      <c r="A23" s="215" t="s">
        <v>1024</v>
      </c>
      <c r="B23" s="214">
        <v>30989.919700000006</v>
      </c>
      <c r="C23" s="214">
        <v>29084.177299999999</v>
      </c>
      <c r="D23" s="214">
        <v>34527.773800000003</v>
      </c>
      <c r="E23" s="214">
        <v>31393.978300000002</v>
      </c>
      <c r="F23" s="214">
        <v>31761.940000000002</v>
      </c>
      <c r="G23" s="214">
        <v>26286.290599999997</v>
      </c>
      <c r="H23" s="214">
        <v>33036.290200000003</v>
      </c>
      <c r="I23" s="214">
        <v>25914.004699999998</v>
      </c>
      <c r="J23" s="214">
        <v>33413.119199999994</v>
      </c>
      <c r="K23" s="214">
        <v>30841.564899999998</v>
      </c>
      <c r="L23" s="214">
        <v>29674.016200000002</v>
      </c>
      <c r="M23" s="214">
        <v>27200.464399999997</v>
      </c>
      <c r="N23" s="214">
        <v>32185.705999999998</v>
      </c>
      <c r="O23" s="214">
        <v>33133.930500000002</v>
      </c>
      <c r="P23" s="214">
        <v>33030.032699999996</v>
      </c>
      <c r="Q23" s="214">
        <v>31696.259000000005</v>
      </c>
      <c r="R23" s="214">
        <v>32573.035699999997</v>
      </c>
      <c r="S23" s="214">
        <v>33873.205000000002</v>
      </c>
      <c r="T23" s="214">
        <v>34476.088499999991</v>
      </c>
      <c r="U23" s="499">
        <v>36956.572999999997</v>
      </c>
      <c r="V23" s="214">
        <v>26191.550299999995</v>
      </c>
      <c r="W23" s="214">
        <v>33304.739199999996</v>
      </c>
      <c r="X23" s="214">
        <v>31188.472500000003</v>
      </c>
      <c r="Y23" s="499">
        <v>36518.013899999998</v>
      </c>
      <c r="Z23" s="214">
        <v>27306.266799999998</v>
      </c>
      <c r="AA23" s="214">
        <v>32323.827699999998</v>
      </c>
      <c r="AB23" s="214">
        <v>30661.785600000003</v>
      </c>
      <c r="AC23" s="499">
        <v>31876.933300000001</v>
      </c>
      <c r="AD23" s="214">
        <v>23343.861000000001</v>
      </c>
    </row>
    <row r="24" spans="1:31" ht="18">
      <c r="A24" s="215" t="s">
        <v>1025</v>
      </c>
      <c r="B24" s="214">
        <v>159</v>
      </c>
      <c r="C24" s="214">
        <v>376.38400000000001</v>
      </c>
      <c r="D24" s="214">
        <v>259</v>
      </c>
      <c r="E24" s="214">
        <v>216.804</v>
      </c>
      <c r="F24" s="214">
        <v>274.30978000000005</v>
      </c>
      <c r="G24" s="214">
        <v>322.00986399999999</v>
      </c>
      <c r="H24" s="214">
        <v>292.60108599999995</v>
      </c>
      <c r="I24" s="214">
        <v>111.70201900000001</v>
      </c>
      <c r="J24" s="214">
        <v>134.05309800000001</v>
      </c>
      <c r="K24" s="214">
        <v>100.07680000000001</v>
      </c>
      <c r="L24" s="214">
        <v>114.63149999999999</v>
      </c>
      <c r="M24" s="214">
        <v>206.29429999999999</v>
      </c>
      <c r="N24" s="214">
        <v>302.35840000000002</v>
      </c>
      <c r="O24" s="214">
        <v>178.79849999999996</v>
      </c>
      <c r="P24" s="214">
        <v>742.35490000000004</v>
      </c>
      <c r="Q24" s="214">
        <v>220.46179999999998</v>
      </c>
      <c r="R24" s="214">
        <v>222.88280000000003</v>
      </c>
      <c r="S24" s="214">
        <v>255.98270000000002</v>
      </c>
      <c r="T24" s="214">
        <v>513.65150000000006</v>
      </c>
      <c r="U24" s="499">
        <v>457.97140000000002</v>
      </c>
      <c r="V24" s="214">
        <v>927.23350000000028</v>
      </c>
      <c r="W24" s="214">
        <v>340.81229999999999</v>
      </c>
      <c r="X24" s="214">
        <v>310.44130000000007</v>
      </c>
      <c r="Y24" s="499">
        <v>232.63939999999997</v>
      </c>
      <c r="Z24" s="214">
        <v>207.83520000000004</v>
      </c>
      <c r="AA24" s="214">
        <v>212.08180000000002</v>
      </c>
      <c r="AB24" s="214">
        <v>152.23589999999999</v>
      </c>
      <c r="AC24" s="499">
        <v>120.83750000000001</v>
      </c>
      <c r="AD24" s="214">
        <v>260</v>
      </c>
    </row>
    <row r="25" spans="1:31" ht="18">
      <c r="A25" s="216" t="s">
        <v>1026</v>
      </c>
      <c r="B25" s="214">
        <v>0</v>
      </c>
      <c r="C25" s="214">
        <v>462.74182467299397</v>
      </c>
      <c r="D25" s="214">
        <v>0</v>
      </c>
      <c r="E25" s="214">
        <v>0</v>
      </c>
      <c r="F25" s="214">
        <v>0</v>
      </c>
      <c r="G25" s="214">
        <v>0</v>
      </c>
      <c r="H25" s="214">
        <v>0</v>
      </c>
      <c r="I25" s="214">
        <v>0</v>
      </c>
      <c r="J25" s="214">
        <v>330.25723665516762</v>
      </c>
      <c r="K25" s="214">
        <v>0</v>
      </c>
      <c r="L25" s="214">
        <v>0</v>
      </c>
      <c r="M25" s="214">
        <v>0</v>
      </c>
      <c r="N25" s="214">
        <v>390.45476866731997</v>
      </c>
      <c r="O25" s="214">
        <v>328.96399211398875</v>
      </c>
      <c r="P25" s="214">
        <v>1032.5628911058584</v>
      </c>
      <c r="Q25" s="214">
        <v>0</v>
      </c>
      <c r="R25" s="214">
        <v>489.10910285257205</v>
      </c>
      <c r="S25" s="214">
        <v>0</v>
      </c>
      <c r="T25" s="214">
        <v>0</v>
      </c>
      <c r="U25" s="214">
        <v>0</v>
      </c>
      <c r="V25" s="214">
        <v>0</v>
      </c>
      <c r="W25" s="214">
        <v>0</v>
      </c>
      <c r="X25" s="214">
        <v>0</v>
      </c>
      <c r="Y25" s="214">
        <v>0</v>
      </c>
      <c r="Z25" s="214">
        <v>0</v>
      </c>
      <c r="AA25" s="214">
        <v>0</v>
      </c>
      <c r="AB25" s="214">
        <v>0</v>
      </c>
      <c r="AC25" s="214">
        <v>0</v>
      </c>
      <c r="AD25" s="214">
        <v>0</v>
      </c>
    </row>
    <row r="26" spans="1:31" thickBot="1">
      <c r="A26" s="217" t="s">
        <v>1027</v>
      </c>
      <c r="B26" s="218">
        <f t="shared" ref="B26:AC26" si="7">SUM(B22:B25)</f>
        <v>33352.919700000006</v>
      </c>
      <c r="C26" s="219">
        <f t="shared" si="7"/>
        <v>32352.098232000004</v>
      </c>
      <c r="D26" s="219">
        <f t="shared" si="7"/>
        <v>39833.215190000003</v>
      </c>
      <c r="E26" s="219">
        <f t="shared" si="7"/>
        <v>39136.693599999999</v>
      </c>
      <c r="F26" s="219">
        <f t="shared" si="7"/>
        <v>37459.337019040009</v>
      </c>
      <c r="G26" s="219">
        <f t="shared" si="7"/>
        <v>29922.281006999998</v>
      </c>
      <c r="H26" s="219">
        <f t="shared" si="7"/>
        <v>36229.699916000005</v>
      </c>
      <c r="I26" s="219">
        <f t="shared" si="7"/>
        <v>30052.517512999999</v>
      </c>
      <c r="J26" s="219">
        <f t="shared" si="7"/>
        <v>35853.76039365516</v>
      </c>
      <c r="K26" s="219">
        <f t="shared" si="7"/>
        <v>35714.500099999997</v>
      </c>
      <c r="L26" s="219">
        <f t="shared" si="7"/>
        <v>32561.135878000001</v>
      </c>
      <c r="M26" s="219">
        <f t="shared" si="7"/>
        <v>30018.787516534008</v>
      </c>
      <c r="N26" s="219">
        <f t="shared" si="7"/>
        <v>35657.08274711838</v>
      </c>
      <c r="O26" s="219">
        <f t="shared" si="7"/>
        <v>37086.738639749383</v>
      </c>
      <c r="P26" s="219">
        <f t="shared" si="7"/>
        <v>38238.597244105855</v>
      </c>
      <c r="Q26" s="219">
        <f t="shared" si="7"/>
        <v>34897.198991310004</v>
      </c>
      <c r="R26" s="219">
        <f t="shared" si="7"/>
        <v>35575.871801272566</v>
      </c>
      <c r="S26" s="219">
        <f t="shared" si="7"/>
        <v>37037.245443500004</v>
      </c>
      <c r="T26" s="219">
        <f t="shared" si="7"/>
        <v>37406.271100876991</v>
      </c>
      <c r="U26" s="219">
        <f t="shared" si="7"/>
        <v>40256.997082889997</v>
      </c>
      <c r="V26" s="219">
        <f t="shared" si="7"/>
        <v>30440.208927529995</v>
      </c>
      <c r="W26" s="219">
        <f t="shared" si="7"/>
        <v>36557.348503779991</v>
      </c>
      <c r="X26" s="219">
        <f t="shared" si="7"/>
        <v>34563.901057890005</v>
      </c>
      <c r="Y26" s="219">
        <f t="shared" si="7"/>
        <v>39427.242561859995</v>
      </c>
      <c r="Z26" s="219">
        <f t="shared" si="7"/>
        <v>30566.853108949999</v>
      </c>
      <c r="AA26" s="219">
        <f t="shared" si="7"/>
        <v>34856.93150250044</v>
      </c>
      <c r="AB26" s="219">
        <f t="shared" si="7"/>
        <v>33593.694067275304</v>
      </c>
      <c r="AC26" s="219">
        <f t="shared" si="7"/>
        <v>34537.373228230397</v>
      </c>
      <c r="AD26" s="219">
        <f t="shared" ref="AD26" si="8">SUM(AD22:AD25)</f>
        <v>26790.737160951147</v>
      </c>
    </row>
    <row r="27" spans="1:31" ht="19.2" thickTop="1">
      <c r="A27" s="220"/>
      <c r="B27" s="221"/>
      <c r="C27" s="222"/>
      <c r="D27" s="222"/>
      <c r="E27" s="222"/>
      <c r="F27" s="222"/>
      <c r="G27" s="222"/>
      <c r="H27" s="222"/>
      <c r="I27" s="222"/>
      <c r="J27" s="222"/>
      <c r="K27" s="222"/>
      <c r="L27" s="222"/>
      <c r="M27" s="222"/>
      <c r="N27" s="222"/>
      <c r="O27" s="222"/>
      <c r="P27" s="222"/>
      <c r="Q27" s="222"/>
      <c r="R27" s="222"/>
      <c r="S27" s="222"/>
      <c r="T27" s="223"/>
      <c r="U27" s="223"/>
      <c r="V27" s="223"/>
      <c r="W27" s="223"/>
      <c r="X27" s="223"/>
      <c r="Y27" s="224"/>
      <c r="Z27" s="224"/>
      <c r="AA27" s="224"/>
      <c r="AB27" s="224"/>
      <c r="AC27" s="224"/>
      <c r="AD27" s="224"/>
    </row>
    <row r="28" spans="1:31">
      <c r="A28" s="225" t="s">
        <v>1028</v>
      </c>
      <c r="B28" s="226"/>
      <c r="C28" s="227"/>
      <c r="D28" s="227"/>
      <c r="E28" s="227"/>
      <c r="F28" s="227"/>
      <c r="G28" s="227"/>
      <c r="H28" s="227"/>
      <c r="I28" s="227"/>
      <c r="J28" s="227"/>
      <c r="K28" s="227"/>
      <c r="L28" s="227"/>
      <c r="M28" s="227"/>
      <c r="N28" s="227"/>
      <c r="O28" s="227"/>
      <c r="P28" s="227"/>
      <c r="Q28" s="227"/>
      <c r="R28" s="227"/>
      <c r="S28" s="227"/>
      <c r="T28" s="228"/>
      <c r="U28" s="228"/>
      <c r="V28" s="229"/>
      <c r="W28" s="229"/>
      <c r="X28" s="211"/>
      <c r="Y28" s="230"/>
      <c r="Z28" s="231"/>
      <c r="AA28" s="231"/>
      <c r="AB28" s="231"/>
      <c r="AC28" s="232"/>
      <c r="AD28" s="232"/>
    </row>
    <row r="29" spans="1:31" ht="18">
      <c r="A29" s="233" t="s">
        <v>1029</v>
      </c>
      <c r="B29" s="234"/>
      <c r="C29" s="234"/>
      <c r="D29" s="234"/>
      <c r="E29" s="234"/>
      <c r="F29" s="234"/>
      <c r="G29" s="234"/>
      <c r="H29" s="235"/>
      <c r="I29" s="235"/>
      <c r="J29" s="235"/>
      <c r="K29" s="234"/>
      <c r="L29" s="234"/>
      <c r="M29" s="234"/>
      <c r="N29" s="234"/>
      <c r="O29" s="234"/>
      <c r="P29" s="234"/>
      <c r="Q29" s="235"/>
      <c r="R29" s="235"/>
      <c r="S29" s="236"/>
      <c r="T29" s="236"/>
      <c r="U29" s="236"/>
      <c r="V29" s="236"/>
      <c r="W29" s="236"/>
      <c r="X29" s="236"/>
      <c r="Y29" s="236"/>
      <c r="Z29" s="236"/>
      <c r="AA29" s="236"/>
      <c r="AB29" s="236"/>
      <c r="AC29" s="236"/>
      <c r="AD29" s="236"/>
    </row>
    <row r="30" spans="1:31" ht="18">
      <c r="A30" s="216" t="s">
        <v>1030</v>
      </c>
      <c r="B30" s="237">
        <v>3066</v>
      </c>
      <c r="C30" s="237">
        <v>3107</v>
      </c>
      <c r="D30" s="237">
        <v>3072.3240874922999</v>
      </c>
      <c r="E30" s="237">
        <v>3044.768</v>
      </c>
      <c r="F30" s="237">
        <v>3120.788</v>
      </c>
      <c r="G30" s="237">
        <v>3109</v>
      </c>
      <c r="H30" s="237">
        <v>3053.694</v>
      </c>
      <c r="I30" s="237">
        <v>2987.8286554216102</v>
      </c>
      <c r="J30" s="237">
        <v>2974.9261302587802</v>
      </c>
      <c r="K30" s="237">
        <v>3018.8062096333097</v>
      </c>
      <c r="L30" s="237">
        <v>2972.6371090661055</v>
      </c>
      <c r="M30" s="237">
        <v>2975.7732687026951</v>
      </c>
      <c r="N30" s="237">
        <v>2965.2875124962334</v>
      </c>
      <c r="O30" s="237">
        <v>2940.0949544891778</v>
      </c>
      <c r="P30" s="237">
        <v>2888.4874173139997</v>
      </c>
      <c r="Q30" s="237">
        <v>2885.9326826010001</v>
      </c>
      <c r="R30" s="237">
        <v>2872.9969303190101</v>
      </c>
      <c r="S30" s="237">
        <v>2907.8301001079972</v>
      </c>
      <c r="T30" s="237">
        <v>2855.0397703189983</v>
      </c>
      <c r="U30" s="489">
        <v>2861.4766396629998</v>
      </c>
      <c r="V30" s="237">
        <v>2850.912231399986</v>
      </c>
      <c r="W30" s="237">
        <v>2806.118703305001</v>
      </c>
      <c r="X30" s="237">
        <v>2770.7741688520123</v>
      </c>
      <c r="Y30" s="489">
        <v>2692.2835030689998</v>
      </c>
      <c r="Z30" s="237">
        <v>2706.6419893709985</v>
      </c>
      <c r="AA30" s="237">
        <v>2824.2820535431024</v>
      </c>
      <c r="AB30" s="237">
        <v>2789.9621680732566</v>
      </c>
      <c r="AC30" s="489">
        <v>2772.1255736653648</v>
      </c>
      <c r="AD30" s="237">
        <v>2820</v>
      </c>
      <c r="AE30" s="238"/>
    </row>
    <row r="31" spans="1:31" ht="41.25" customHeight="1">
      <c r="A31" s="239" t="s">
        <v>1031</v>
      </c>
      <c r="B31" s="237">
        <v>1111</v>
      </c>
      <c r="C31" s="237">
        <v>1513</v>
      </c>
      <c r="D31" s="237">
        <v>1921.2510474272101</v>
      </c>
      <c r="E31" s="237">
        <v>2005</v>
      </c>
      <c r="F31" s="237">
        <v>2277</v>
      </c>
      <c r="G31" s="237">
        <v>2406</v>
      </c>
      <c r="H31" s="237">
        <v>2562</v>
      </c>
      <c r="I31" s="237">
        <v>2550</v>
      </c>
      <c r="J31" s="237">
        <v>2748</v>
      </c>
      <c r="K31" s="237">
        <v>2803.8809599999995</v>
      </c>
      <c r="L31" s="237">
        <v>2815.7765949999998</v>
      </c>
      <c r="M31" s="237">
        <v>2692.2895400000002</v>
      </c>
      <c r="N31" s="237">
        <v>2638.5567500000002</v>
      </c>
      <c r="O31" s="237">
        <v>2970.3667599999999</v>
      </c>
      <c r="P31" s="237">
        <v>3325.4520000000002</v>
      </c>
      <c r="Q31" s="237">
        <v>3006.4962999999998</v>
      </c>
      <c r="R31" s="237">
        <v>2926.8656999999998</v>
      </c>
      <c r="S31" s="237">
        <v>2829.0307000000003</v>
      </c>
      <c r="T31" s="237">
        <v>2796.9339</v>
      </c>
      <c r="U31" s="489">
        <v>2838.7638999999999</v>
      </c>
      <c r="V31" s="237">
        <v>2668.3285000000001</v>
      </c>
      <c r="W31" s="237">
        <v>2796.9506599999995</v>
      </c>
      <c r="X31" s="237">
        <v>2651.6454679999997</v>
      </c>
      <c r="Y31" s="489">
        <v>2581.9319540000001</v>
      </c>
      <c r="Z31" s="237">
        <v>2608.1724669999999</v>
      </c>
      <c r="AA31" s="237">
        <v>2710.79988</v>
      </c>
      <c r="AB31" s="237">
        <v>2517.864067</v>
      </c>
      <c r="AC31" s="489">
        <v>2112.4152110010004</v>
      </c>
      <c r="AD31" s="237">
        <v>2200</v>
      </c>
    </row>
    <row r="32" spans="1:31" ht="26.25" customHeight="1">
      <c r="A32" s="187" t="s">
        <v>1032</v>
      </c>
      <c r="B32" s="237">
        <v>878</v>
      </c>
      <c r="C32" s="237">
        <v>937</v>
      </c>
      <c r="D32" s="237">
        <v>927.56412681656695</v>
      </c>
      <c r="E32" s="237">
        <v>959.87</v>
      </c>
      <c r="F32" s="237">
        <v>958.64400000000001</v>
      </c>
      <c r="G32" s="237">
        <v>950.53899999999999</v>
      </c>
      <c r="H32" s="237">
        <v>922.255</v>
      </c>
      <c r="I32" s="237">
        <v>981.91413106289599</v>
      </c>
      <c r="J32" s="237">
        <v>1030.4795693963799</v>
      </c>
      <c r="K32" s="237">
        <v>1090.9343224195177</v>
      </c>
      <c r="L32" s="237">
        <v>1114.9879719505354</v>
      </c>
      <c r="M32" s="237">
        <v>1174.3128277247556</v>
      </c>
      <c r="N32" s="237">
        <v>1133.2264269954778</v>
      </c>
      <c r="O32" s="237">
        <v>1157.0057594020632</v>
      </c>
      <c r="P32" s="237">
        <v>1185.0733390169987</v>
      </c>
      <c r="Q32" s="237">
        <v>1235.6067799389998</v>
      </c>
      <c r="R32" s="237">
        <v>1273.4207372469998</v>
      </c>
      <c r="S32" s="237">
        <v>1237.4378283139997</v>
      </c>
      <c r="T32" s="237">
        <v>1261.9375606129986</v>
      </c>
      <c r="U32" s="489">
        <v>1201.7567480329999</v>
      </c>
      <c r="V32" s="237">
        <v>1197.6188811889999</v>
      </c>
      <c r="W32" s="237">
        <v>1220.2369256659974</v>
      </c>
      <c r="X32" s="237">
        <v>1209.7516606439999</v>
      </c>
      <c r="Y32" s="489">
        <v>1158.2507380779998</v>
      </c>
      <c r="Z32" s="237">
        <v>1140.6512248479974</v>
      </c>
      <c r="AA32" s="237">
        <v>1183.8950052390799</v>
      </c>
      <c r="AB32" s="237">
        <v>1142.7700208421975</v>
      </c>
      <c r="AC32" s="489">
        <v>1151.1309183519545</v>
      </c>
      <c r="AD32" s="237">
        <v>1180</v>
      </c>
    </row>
    <row r="33" spans="1:31" ht="36">
      <c r="A33" s="239" t="s">
        <v>1033</v>
      </c>
      <c r="B33" s="237">
        <v>795</v>
      </c>
      <c r="C33" s="237">
        <v>821</v>
      </c>
      <c r="D33" s="237">
        <v>812</v>
      </c>
      <c r="E33" s="237">
        <v>773.7829999999999</v>
      </c>
      <c r="F33" s="237">
        <v>800.56299999999999</v>
      </c>
      <c r="G33" s="237">
        <v>804.99</v>
      </c>
      <c r="H33" s="237">
        <v>833.72199999999998</v>
      </c>
      <c r="I33" s="237">
        <v>814</v>
      </c>
      <c r="J33" s="237">
        <v>827</v>
      </c>
      <c r="K33" s="237">
        <v>832.40011553223599</v>
      </c>
      <c r="L33" s="237">
        <v>854.64776740787499</v>
      </c>
      <c r="M33" s="237">
        <v>854.33674523976094</v>
      </c>
      <c r="N33" s="237">
        <v>863.09442499128204</v>
      </c>
      <c r="O33" s="237">
        <v>832.82751185813902</v>
      </c>
      <c r="P33" s="237">
        <v>815.82208846485105</v>
      </c>
      <c r="Q33" s="237">
        <v>801.88176999999996</v>
      </c>
      <c r="R33" s="237">
        <v>753.96400220655801</v>
      </c>
      <c r="S33" s="237">
        <v>712.58273307399998</v>
      </c>
      <c r="T33" s="237">
        <v>651.52353516300116</v>
      </c>
      <c r="U33" s="489">
        <v>616.48655267300126</v>
      </c>
      <c r="V33" s="237">
        <v>616.72107223800128</v>
      </c>
      <c r="W33" s="237">
        <v>614.3071868530011</v>
      </c>
      <c r="X33" s="237">
        <v>603.03299498200124</v>
      </c>
      <c r="Y33" s="489">
        <v>688.94828718100143</v>
      </c>
      <c r="Z33" s="237">
        <v>642.88258438699995</v>
      </c>
      <c r="AA33" s="237">
        <v>691.09215049870522</v>
      </c>
      <c r="AB33" s="237">
        <v>616.73281471553969</v>
      </c>
      <c r="AC33" s="489">
        <v>658.865801238524</v>
      </c>
      <c r="AD33" s="237">
        <v>660</v>
      </c>
    </row>
    <row r="34" spans="1:31" ht="18">
      <c r="A34" s="216" t="s">
        <v>1034</v>
      </c>
      <c r="B34" s="240"/>
      <c r="C34" s="240"/>
      <c r="D34" s="240"/>
      <c r="E34" s="240"/>
      <c r="F34" s="240"/>
      <c r="G34" s="240"/>
      <c r="H34" s="240"/>
      <c r="I34" s="240"/>
      <c r="J34" s="237">
        <v>200.517</v>
      </c>
      <c r="K34" s="237">
        <v>376.20299999999997</v>
      </c>
      <c r="L34" s="237">
        <v>391.33800000000002</v>
      </c>
      <c r="M34" s="237">
        <v>779.74400000000003</v>
      </c>
      <c r="N34" s="237">
        <v>1214.1199999999999</v>
      </c>
      <c r="O34" s="237">
        <v>1454.0509999999999</v>
      </c>
      <c r="P34" s="237">
        <v>1620.9570000000001</v>
      </c>
      <c r="Q34" s="237">
        <v>1673.6424934706499</v>
      </c>
      <c r="R34" s="237">
        <v>1600</v>
      </c>
      <c r="S34" s="237">
        <v>1560</v>
      </c>
      <c r="T34" s="237">
        <v>1560</v>
      </c>
      <c r="U34" s="489">
        <v>1560</v>
      </c>
      <c r="V34" s="237">
        <v>1638</v>
      </c>
      <c r="W34" s="237">
        <v>1600</v>
      </c>
      <c r="X34" s="237">
        <v>1600</v>
      </c>
      <c r="Y34" s="489">
        <v>1520</v>
      </c>
      <c r="Z34" s="237">
        <v>1600</v>
      </c>
      <c r="AA34" s="237">
        <v>1650</v>
      </c>
      <c r="AB34" s="237">
        <v>1580</v>
      </c>
      <c r="AC34" s="489">
        <v>1620</v>
      </c>
      <c r="AD34" s="237">
        <v>1620</v>
      </c>
    </row>
    <row r="35" spans="1:31" ht="18">
      <c r="A35" s="241" t="s">
        <v>1035</v>
      </c>
      <c r="B35" s="242">
        <f>SUM(B30:B34)</f>
        <v>5850</v>
      </c>
      <c r="C35" s="242">
        <f t="shared" ref="C35:AD35" si="9">SUM(C30:C34)</f>
        <v>6378</v>
      </c>
      <c r="D35" s="242">
        <f t="shared" si="9"/>
        <v>6733.1392617360771</v>
      </c>
      <c r="E35" s="242">
        <f t="shared" si="9"/>
        <v>6783.4210000000003</v>
      </c>
      <c r="F35" s="242">
        <f t="shared" si="9"/>
        <v>7156.9950000000008</v>
      </c>
      <c r="G35" s="242">
        <f t="shared" si="9"/>
        <v>7270.5289999999995</v>
      </c>
      <c r="H35" s="242">
        <f t="shared" si="9"/>
        <v>7371.6709999999994</v>
      </c>
      <c r="I35" s="242">
        <f t="shared" si="9"/>
        <v>7333.7427864845058</v>
      </c>
      <c r="J35" s="242">
        <f t="shared" si="9"/>
        <v>7780.9226996551597</v>
      </c>
      <c r="K35" s="242">
        <f t="shared" si="9"/>
        <v>8122.2246075850635</v>
      </c>
      <c r="L35" s="242">
        <f t="shared" si="9"/>
        <v>8149.3874434245154</v>
      </c>
      <c r="M35" s="242">
        <f t="shared" si="9"/>
        <v>8476.4563816672107</v>
      </c>
      <c r="N35" s="242">
        <f t="shared" si="9"/>
        <v>8814.2851144829929</v>
      </c>
      <c r="O35" s="242">
        <f t="shared" si="9"/>
        <v>9354.3459857493799</v>
      </c>
      <c r="P35" s="242">
        <f t="shared" si="9"/>
        <v>9835.7918447958509</v>
      </c>
      <c r="Q35" s="242">
        <f t="shared" si="9"/>
        <v>9603.5600260106494</v>
      </c>
      <c r="R35" s="242">
        <f t="shared" si="9"/>
        <v>9427.2473697725691</v>
      </c>
      <c r="S35" s="242">
        <f t="shared" si="9"/>
        <v>9246.8813614959981</v>
      </c>
      <c r="T35" s="242">
        <f t="shared" si="9"/>
        <v>9125.434766094997</v>
      </c>
      <c r="U35" s="242">
        <f t="shared" si="9"/>
        <v>9078.483840369001</v>
      </c>
      <c r="V35" s="242">
        <f t="shared" si="9"/>
        <v>8971.5806848269876</v>
      </c>
      <c r="W35" s="242">
        <f t="shared" si="9"/>
        <v>9037.6134758240005</v>
      </c>
      <c r="X35" s="242">
        <f t="shared" si="9"/>
        <v>8835.2042924780144</v>
      </c>
      <c r="Y35" s="242">
        <f t="shared" si="9"/>
        <v>8641.4144823280003</v>
      </c>
      <c r="Z35" s="242">
        <f t="shared" si="9"/>
        <v>8698.3482656059969</v>
      </c>
      <c r="AA35" s="242">
        <f t="shared" si="9"/>
        <v>9060.0690892808889</v>
      </c>
      <c r="AB35" s="242">
        <f t="shared" si="9"/>
        <v>8647.3290706309926</v>
      </c>
      <c r="AC35" s="242">
        <f t="shared" si="9"/>
        <v>8314.5375042568448</v>
      </c>
      <c r="AD35" s="242">
        <f t="shared" si="9"/>
        <v>8480</v>
      </c>
    </row>
    <row r="36" spans="1:31" ht="18">
      <c r="A36" s="233" t="s">
        <v>1036</v>
      </c>
      <c r="B36" s="243"/>
      <c r="C36" s="244"/>
      <c r="D36" s="244"/>
      <c r="E36" s="244"/>
      <c r="F36" s="244"/>
      <c r="G36" s="244"/>
      <c r="H36" s="244"/>
      <c r="I36" s="244"/>
      <c r="J36" s="244"/>
      <c r="K36" s="244"/>
      <c r="L36" s="244"/>
      <c r="M36" s="244"/>
      <c r="N36" s="244"/>
      <c r="O36" s="244"/>
      <c r="P36" s="244"/>
      <c r="Q36" s="244"/>
      <c r="R36" s="244"/>
      <c r="S36" s="244"/>
      <c r="T36" s="245"/>
      <c r="U36" s="245"/>
      <c r="V36" s="245"/>
      <c r="W36" s="245"/>
      <c r="X36" s="245"/>
      <c r="Y36" s="245"/>
      <c r="Z36" s="245"/>
      <c r="AA36" s="245"/>
      <c r="AB36" s="245"/>
      <c r="AC36" s="245"/>
      <c r="AD36" s="245"/>
    </row>
    <row r="37" spans="1:31" ht="18">
      <c r="A37" s="246" t="s">
        <v>1037</v>
      </c>
      <c r="B37" s="237">
        <v>5628.0616999999993</v>
      </c>
      <c r="C37" s="237">
        <v>5224.1287000000002</v>
      </c>
      <c r="D37" s="237">
        <v>5991.7515000000003</v>
      </c>
      <c r="E37" s="237">
        <v>5851.6928000000016</v>
      </c>
      <c r="F37" s="237">
        <v>6800.0455221763405</v>
      </c>
      <c r="G37" s="237">
        <v>6161.3666086849644</v>
      </c>
      <c r="H37" s="237">
        <v>6540.5596999999989</v>
      </c>
      <c r="I37" s="237">
        <v>5884.6636000000017</v>
      </c>
      <c r="J37" s="237">
        <v>5747.3588</v>
      </c>
      <c r="K37" s="237">
        <v>6470.1249000000007</v>
      </c>
      <c r="L37" s="237">
        <v>6051.6056000000008</v>
      </c>
      <c r="M37" s="237">
        <v>4764.2719999999999</v>
      </c>
      <c r="N37" s="237">
        <v>5221.1832999999997</v>
      </c>
      <c r="O37" s="237">
        <v>5435.1121000000003</v>
      </c>
      <c r="P37" s="237">
        <v>4261.708858</v>
      </c>
      <c r="Q37" s="237">
        <v>5011.8098540000001</v>
      </c>
      <c r="R37" s="237">
        <v>4587.1595189999998</v>
      </c>
      <c r="S37" s="237">
        <v>4418.8700319999998</v>
      </c>
      <c r="T37" s="237">
        <v>4389.9338089999992</v>
      </c>
      <c r="U37" s="489">
        <v>5217.1913370000002</v>
      </c>
      <c r="V37" s="237">
        <v>5434.1536290000004</v>
      </c>
      <c r="W37" s="237">
        <v>5583.979284</v>
      </c>
      <c r="X37" s="237">
        <v>4535.3826239999999</v>
      </c>
      <c r="Y37" s="489">
        <v>4958.9253820000004</v>
      </c>
      <c r="Z37" s="237">
        <v>4554.3345479999998</v>
      </c>
      <c r="AA37" s="237">
        <v>4618.7898270000005</v>
      </c>
      <c r="AB37" s="237">
        <v>4456.2767350000004</v>
      </c>
      <c r="AC37" s="489">
        <v>4495.5036689999997</v>
      </c>
      <c r="AD37" s="237">
        <v>4500</v>
      </c>
    </row>
    <row r="38" spans="1:31" ht="18">
      <c r="A38" s="246" t="s">
        <v>1038</v>
      </c>
      <c r="B38" s="237">
        <v>432</v>
      </c>
      <c r="C38" s="237">
        <v>456</v>
      </c>
      <c r="D38" s="237">
        <v>463.375</v>
      </c>
      <c r="E38" s="237">
        <v>445.44795399999998</v>
      </c>
      <c r="F38" s="237">
        <v>433.68413399999991</v>
      </c>
      <c r="G38" s="237">
        <v>401.37782299999998</v>
      </c>
      <c r="H38" s="237">
        <v>387.73697499999997</v>
      </c>
      <c r="I38" s="237">
        <v>365.00915000000003</v>
      </c>
      <c r="J38" s="237">
        <v>373.11899499999998</v>
      </c>
      <c r="K38" s="237">
        <v>342.036497</v>
      </c>
      <c r="L38" s="237">
        <v>338.82653299999998</v>
      </c>
      <c r="M38" s="237">
        <v>399.15180699999996</v>
      </c>
      <c r="N38" s="237">
        <v>391.98785299999997</v>
      </c>
      <c r="O38" s="237">
        <v>345.80414200000007</v>
      </c>
      <c r="P38" s="237">
        <v>355.87299999999999</v>
      </c>
      <c r="Q38" s="237">
        <v>369.95</v>
      </c>
      <c r="R38" s="237">
        <v>409.62369999999999</v>
      </c>
      <c r="S38" s="237">
        <v>414.40640000000002</v>
      </c>
      <c r="T38" s="237">
        <v>411.45679999999999</v>
      </c>
      <c r="U38" s="489">
        <v>368.01890000000003</v>
      </c>
      <c r="V38" s="237">
        <v>322.84959999999995</v>
      </c>
      <c r="W38" s="237">
        <v>306.35179999999997</v>
      </c>
      <c r="X38" s="237">
        <v>335.44440000000003</v>
      </c>
      <c r="Y38" s="489">
        <v>321.3623</v>
      </c>
      <c r="Z38" s="237">
        <v>322.15899999999999</v>
      </c>
      <c r="AA38" s="237">
        <v>315.27959999999996</v>
      </c>
      <c r="AB38" s="237">
        <v>305.46080000000001</v>
      </c>
      <c r="AC38" s="489">
        <v>305.46080000000001</v>
      </c>
      <c r="AD38" s="237">
        <v>305</v>
      </c>
    </row>
    <row r="39" spans="1:31" ht="18">
      <c r="A39" s="246" t="s">
        <v>1039</v>
      </c>
      <c r="B39" s="237">
        <v>309.89919700000007</v>
      </c>
      <c r="C39" s="237">
        <v>290.84177299999999</v>
      </c>
      <c r="D39" s="237">
        <v>345.27773800000006</v>
      </c>
      <c r="E39" s="237">
        <v>313.93978300000003</v>
      </c>
      <c r="F39" s="237">
        <v>317.61940000000004</v>
      </c>
      <c r="G39" s="237">
        <v>262.86290599999995</v>
      </c>
      <c r="H39" s="237">
        <v>330.36290200000002</v>
      </c>
      <c r="I39" s="237">
        <v>259.14004699999998</v>
      </c>
      <c r="J39" s="237">
        <v>334.13119199999994</v>
      </c>
      <c r="K39" s="237">
        <v>308.41564899999997</v>
      </c>
      <c r="L39" s="237">
        <v>296.740162</v>
      </c>
      <c r="M39" s="237">
        <v>272.00464399999998</v>
      </c>
      <c r="N39" s="237">
        <v>321.85705999999999</v>
      </c>
      <c r="O39" s="237">
        <v>331.33930500000002</v>
      </c>
      <c r="P39" s="237">
        <v>330.30032699999998</v>
      </c>
      <c r="Q39" s="237">
        <v>316.96259000000003</v>
      </c>
      <c r="R39" s="237">
        <v>325.73035699999997</v>
      </c>
      <c r="S39" s="237">
        <v>338.73205000000002</v>
      </c>
      <c r="T39" s="237">
        <v>344.76088499999992</v>
      </c>
      <c r="U39" s="237">
        <v>369.56572999999997</v>
      </c>
      <c r="V39" s="237">
        <v>261.91550299999994</v>
      </c>
      <c r="W39" s="237">
        <v>333.04739199999995</v>
      </c>
      <c r="X39" s="237">
        <v>311.88472500000006</v>
      </c>
      <c r="Y39" s="237">
        <v>365.180139</v>
      </c>
      <c r="Z39" s="237">
        <v>273.06266799999997</v>
      </c>
      <c r="AA39" s="237">
        <v>323.23827699999998</v>
      </c>
      <c r="AB39" s="237">
        <v>306.61785600000002</v>
      </c>
      <c r="AC39" s="237">
        <v>318.76933300000002</v>
      </c>
      <c r="AD39" s="237">
        <v>233.43861000000001</v>
      </c>
      <c r="AE39" s="238"/>
    </row>
    <row r="40" spans="1:31" ht="18">
      <c r="A40" s="216" t="s">
        <v>431</v>
      </c>
      <c r="B40" s="237">
        <v>381.54042267299337</v>
      </c>
      <c r="C40" s="237">
        <v>0</v>
      </c>
      <c r="D40" s="237">
        <v>1386.9301592639276</v>
      </c>
      <c r="E40" s="237">
        <v>1143.2136359599972</v>
      </c>
      <c r="F40" s="237">
        <v>669.78010486366611</v>
      </c>
      <c r="G40" s="237">
        <v>515.03742731503144</v>
      </c>
      <c r="H40" s="237">
        <v>611.6812830000099</v>
      </c>
      <c r="I40" s="237">
        <v>191.06086851549094</v>
      </c>
      <c r="J40" s="237">
        <v>0</v>
      </c>
      <c r="K40" s="237">
        <v>730.04949441493545</v>
      </c>
      <c r="L40" s="237">
        <v>284.12296404147673</v>
      </c>
      <c r="M40" s="237">
        <v>146.46698541573369</v>
      </c>
      <c r="N40" s="237">
        <v>0</v>
      </c>
      <c r="O40" s="237">
        <v>0</v>
      </c>
      <c r="P40" s="237">
        <v>0</v>
      </c>
      <c r="Q40" s="237">
        <v>274.64993587935487</v>
      </c>
      <c r="R40" s="237">
        <v>0</v>
      </c>
      <c r="S40" s="237">
        <v>317.09179512700257</v>
      </c>
      <c r="T40" s="237">
        <v>228.83361389200036</v>
      </c>
      <c r="U40" s="489">
        <v>810.23491399099021</v>
      </c>
      <c r="V40" s="237">
        <v>680.90031092300796</v>
      </c>
      <c r="W40" s="237">
        <v>436.84624006599142</v>
      </c>
      <c r="X40" s="237">
        <v>457.54225055199322</v>
      </c>
      <c r="Y40" s="489">
        <v>820.25361358200144</v>
      </c>
      <c r="Z40" s="237">
        <v>501.13143784356407</v>
      </c>
      <c r="AA40" s="237">
        <v>552.50379794424316</v>
      </c>
      <c r="AB40" s="237">
        <v>383.34904241391951</v>
      </c>
      <c r="AC40" s="489">
        <v>941.21222502240562</v>
      </c>
      <c r="AD40" s="237">
        <v>478.89613861718453</v>
      </c>
    </row>
    <row r="41" spans="1:31" ht="18">
      <c r="A41" s="241" t="s">
        <v>1040</v>
      </c>
      <c r="B41" s="242">
        <f>SUM(B37:B40)</f>
        <v>6751.5013196729924</v>
      </c>
      <c r="C41" s="242">
        <f t="shared" ref="C41:AB41" si="10">SUM(C37:C40)</f>
        <v>5970.9704730000003</v>
      </c>
      <c r="D41" s="242">
        <f>SUM(D37:D40)</f>
        <v>8187.3343972639277</v>
      </c>
      <c r="E41" s="242">
        <f t="shared" si="10"/>
        <v>7754.2941729599988</v>
      </c>
      <c r="F41" s="242">
        <f t="shared" si="10"/>
        <v>8221.1291610400076</v>
      </c>
      <c r="G41" s="242">
        <f t="shared" si="10"/>
        <v>7340.6447649999955</v>
      </c>
      <c r="H41" s="242">
        <f t="shared" si="10"/>
        <v>7870.3408600000084</v>
      </c>
      <c r="I41" s="242">
        <f t="shared" si="10"/>
        <v>6699.8736655154926</v>
      </c>
      <c r="J41" s="242">
        <f t="shared" si="10"/>
        <v>6454.6089869999996</v>
      </c>
      <c r="K41" s="242">
        <f t="shared" si="10"/>
        <v>7850.6265404149362</v>
      </c>
      <c r="L41" s="242">
        <f t="shared" si="10"/>
        <v>6971.2952590414779</v>
      </c>
      <c r="M41" s="242">
        <f t="shared" si="10"/>
        <v>5581.8954364157335</v>
      </c>
      <c r="N41" s="242">
        <f t="shared" si="10"/>
        <v>5935.0282129999996</v>
      </c>
      <c r="O41" s="242">
        <f t="shared" si="10"/>
        <v>6112.2555470000007</v>
      </c>
      <c r="P41" s="242">
        <f t="shared" si="10"/>
        <v>4947.8821849999995</v>
      </c>
      <c r="Q41" s="242">
        <f t="shared" si="10"/>
        <v>5973.3723798793544</v>
      </c>
      <c r="R41" s="242">
        <f t="shared" si="10"/>
        <v>5322.5135760000003</v>
      </c>
      <c r="S41" s="242">
        <f t="shared" si="10"/>
        <v>5489.1002771270014</v>
      </c>
      <c r="T41" s="242">
        <f t="shared" si="10"/>
        <v>5374.9851078919992</v>
      </c>
      <c r="U41" s="242">
        <f t="shared" si="10"/>
        <v>6765.0108809909907</v>
      </c>
      <c r="V41" s="242">
        <f t="shared" si="10"/>
        <v>6699.8190429230081</v>
      </c>
      <c r="W41" s="242">
        <f t="shared" si="10"/>
        <v>6660.2247160659917</v>
      </c>
      <c r="X41" s="242">
        <f t="shared" si="10"/>
        <v>5640.2539995519928</v>
      </c>
      <c r="Y41" s="242">
        <f t="shared" si="10"/>
        <v>6465.7214345820012</v>
      </c>
      <c r="Z41" s="242">
        <f t="shared" si="10"/>
        <v>5650.6876538435627</v>
      </c>
      <c r="AA41" s="242">
        <f t="shared" si="10"/>
        <v>5809.8115019442439</v>
      </c>
      <c r="AB41" s="242">
        <f t="shared" si="10"/>
        <v>5451.7044334139191</v>
      </c>
      <c r="AC41" s="242">
        <f>SUM(AC37:AC40)</f>
        <v>6060.9460270224054</v>
      </c>
      <c r="AD41" s="242">
        <f>SUM(AD37:AD40)</f>
        <v>5517.3347486171842</v>
      </c>
    </row>
    <row r="42" spans="1:31" ht="18">
      <c r="A42" s="247" t="s">
        <v>1041</v>
      </c>
      <c r="B42" s="248">
        <f>B35+B41</f>
        <v>12601.501319672992</v>
      </c>
      <c r="C42" s="248">
        <f>C41+C35</f>
        <v>12348.970473000001</v>
      </c>
      <c r="D42" s="248">
        <f t="shared" ref="D42:AD42" si="11">D41+D35</f>
        <v>14920.473659000005</v>
      </c>
      <c r="E42" s="248">
        <f t="shared" si="11"/>
        <v>14537.715172959999</v>
      </c>
      <c r="F42" s="248">
        <f t="shared" si="11"/>
        <v>15378.124161040008</v>
      </c>
      <c r="G42" s="248">
        <f t="shared" si="11"/>
        <v>14611.173764999996</v>
      </c>
      <c r="H42" s="248">
        <f t="shared" si="11"/>
        <v>15242.011860000008</v>
      </c>
      <c r="I42" s="248">
        <f t="shared" si="11"/>
        <v>14033.616451999998</v>
      </c>
      <c r="J42" s="248">
        <f t="shared" si="11"/>
        <v>14235.531686655158</v>
      </c>
      <c r="K42" s="248">
        <f t="shared" si="11"/>
        <v>15972.851148</v>
      </c>
      <c r="L42" s="248">
        <f t="shared" si="11"/>
        <v>15120.682702465994</v>
      </c>
      <c r="M42" s="248">
        <f t="shared" si="11"/>
        <v>14058.351818082945</v>
      </c>
      <c r="N42" s="248">
        <f t="shared" si="11"/>
        <v>14749.313327482992</v>
      </c>
      <c r="O42" s="248">
        <f t="shared" si="11"/>
        <v>15466.601532749381</v>
      </c>
      <c r="P42" s="248">
        <f t="shared" si="11"/>
        <v>14783.674029795849</v>
      </c>
      <c r="Q42" s="248">
        <f t="shared" si="11"/>
        <v>15576.932405890004</v>
      </c>
      <c r="R42" s="248">
        <f t="shared" si="11"/>
        <v>14749.76094577257</v>
      </c>
      <c r="S42" s="248">
        <f t="shared" si="11"/>
        <v>14735.981638623</v>
      </c>
      <c r="T42" s="248">
        <f t="shared" si="11"/>
        <v>14500.419873986997</v>
      </c>
      <c r="U42" s="248">
        <f t="shared" si="11"/>
        <v>15843.494721359992</v>
      </c>
      <c r="V42" s="248">
        <f t="shared" si="11"/>
        <v>15671.399727749995</v>
      </c>
      <c r="W42" s="248">
        <f t="shared" si="11"/>
        <v>15697.838191889992</v>
      </c>
      <c r="X42" s="248">
        <f t="shared" si="11"/>
        <v>14475.458292030007</v>
      </c>
      <c r="Y42" s="248">
        <f t="shared" si="11"/>
        <v>15107.135916910001</v>
      </c>
      <c r="Z42" s="248">
        <f t="shared" si="11"/>
        <v>14349.03591944956</v>
      </c>
      <c r="AA42" s="248">
        <f t="shared" si="11"/>
        <v>14869.880591225134</v>
      </c>
      <c r="AB42" s="248">
        <f t="shared" si="11"/>
        <v>14099.033504044912</v>
      </c>
      <c r="AC42" s="248">
        <f t="shared" si="11"/>
        <v>14375.483531279249</v>
      </c>
      <c r="AD42" s="248">
        <f t="shared" si="11"/>
        <v>13997.334748617184</v>
      </c>
    </row>
    <row r="43" spans="1:31" ht="18">
      <c r="A43" s="233" t="s">
        <v>1042</v>
      </c>
      <c r="B43" s="249"/>
      <c r="C43" s="250"/>
      <c r="D43" s="250"/>
      <c r="E43" s="250"/>
      <c r="F43" s="250"/>
      <c r="G43" s="250"/>
      <c r="H43" s="250"/>
      <c r="I43" s="250"/>
      <c r="J43" s="250"/>
      <c r="K43" s="250"/>
      <c r="L43" s="250"/>
      <c r="M43" s="250"/>
      <c r="N43" s="250"/>
      <c r="O43" s="250"/>
      <c r="P43" s="250"/>
      <c r="Q43" s="250"/>
      <c r="R43" s="250"/>
      <c r="S43" s="250"/>
      <c r="T43" s="250"/>
      <c r="U43" s="250"/>
      <c r="V43" s="250"/>
      <c r="W43" s="250"/>
      <c r="X43" s="251"/>
      <c r="Y43" s="251"/>
      <c r="Z43" s="252"/>
      <c r="AA43" s="252"/>
      <c r="AB43" s="252"/>
      <c r="AC43" s="252"/>
      <c r="AD43" s="252"/>
    </row>
    <row r="44" spans="1:31" ht="18">
      <c r="A44" s="253" t="s">
        <v>1043</v>
      </c>
      <c r="B44" s="254">
        <v>9394.6945999999989</v>
      </c>
      <c r="C44" s="254">
        <v>7765.4750000000022</v>
      </c>
      <c r="D44" s="254">
        <v>8833.9979999999996</v>
      </c>
      <c r="E44" s="254">
        <v>9469.5411000000004</v>
      </c>
      <c r="F44" s="254">
        <v>10858.228918999999</v>
      </c>
      <c r="G44" s="254">
        <v>7290.0796500000015</v>
      </c>
      <c r="H44" s="254">
        <v>6979.8976679999996</v>
      </c>
      <c r="I44" s="254">
        <v>8808.553081</v>
      </c>
      <c r="J44" s="254">
        <v>8780.8997369999997</v>
      </c>
      <c r="K44" s="254">
        <v>9411.1355000000003</v>
      </c>
      <c r="L44" s="254">
        <v>8447.7511999999988</v>
      </c>
      <c r="M44" s="254">
        <v>7317.7291999999998</v>
      </c>
      <c r="N44" s="254">
        <v>6765.0019000000002</v>
      </c>
      <c r="O44" s="254">
        <v>7375.0034999999998</v>
      </c>
      <c r="P44" s="254">
        <v>6686.6454000000003</v>
      </c>
      <c r="Q44" s="254">
        <v>7518.4271999999992</v>
      </c>
      <c r="R44" s="254">
        <v>7174.8710000000001</v>
      </c>
      <c r="S44" s="254">
        <v>6807.3265000000001</v>
      </c>
      <c r="T44" s="254">
        <v>7997.2397000000001</v>
      </c>
      <c r="U44" s="254">
        <v>7816.3672000000006</v>
      </c>
      <c r="V44" s="254">
        <v>6286.1616000000004</v>
      </c>
      <c r="W44" s="254">
        <v>9152.1249000000007</v>
      </c>
      <c r="X44" s="254">
        <v>7368.0563000000002</v>
      </c>
      <c r="Y44" s="254">
        <v>7426.7032999999992</v>
      </c>
      <c r="Z44" s="254">
        <v>6172.6973999999991</v>
      </c>
      <c r="AA44" s="254">
        <v>8012.9698999999991</v>
      </c>
      <c r="AB44" s="254">
        <v>6389.1900999999998</v>
      </c>
      <c r="AC44" s="254">
        <v>6292.1096999999991</v>
      </c>
      <c r="AD44" s="254">
        <v>6275.11</v>
      </c>
    </row>
    <row r="45" spans="1:31" ht="18">
      <c r="A45" s="171" t="s">
        <v>1044</v>
      </c>
      <c r="B45" s="254">
        <v>6434.2015999999994</v>
      </c>
      <c r="C45" s="254">
        <v>5156.6399000000001</v>
      </c>
      <c r="D45" s="254">
        <v>6754.9533000000001</v>
      </c>
      <c r="E45" s="254">
        <v>7749.8609999999999</v>
      </c>
      <c r="F45" s="254">
        <v>6336.6534769999998</v>
      </c>
      <c r="G45" s="254">
        <v>3898.3380430000007</v>
      </c>
      <c r="H45" s="254">
        <v>8760.1114980000002</v>
      </c>
      <c r="I45" s="254">
        <v>4212.1933570000001</v>
      </c>
      <c r="J45" s="254">
        <v>7005.3011780000006</v>
      </c>
      <c r="K45" s="254">
        <v>6461.3948999999993</v>
      </c>
      <c r="L45" s="254">
        <v>5458.5866999999998</v>
      </c>
      <c r="M45" s="254">
        <v>4914.0800999999992</v>
      </c>
      <c r="N45" s="254">
        <v>9586.7060000000001</v>
      </c>
      <c r="O45" s="254">
        <v>9803.5114000000012</v>
      </c>
      <c r="P45" s="254">
        <v>12893.256100000002</v>
      </c>
      <c r="Q45" s="254">
        <v>8521.4636999999984</v>
      </c>
      <c r="R45" s="254">
        <v>9905.5427999999993</v>
      </c>
      <c r="S45" s="254">
        <v>12220.665700000001</v>
      </c>
      <c r="T45" s="254">
        <v>11367.644899999999</v>
      </c>
      <c r="U45" s="254">
        <v>12623.118</v>
      </c>
      <c r="V45" s="254">
        <v>4971.3505999999998</v>
      </c>
      <c r="W45" s="254">
        <v>8117.1435000000001</v>
      </c>
      <c r="X45" s="254">
        <v>9668.1733999999997</v>
      </c>
      <c r="Y45" s="254">
        <v>13460.6289</v>
      </c>
      <c r="Z45" s="254">
        <v>7361.4565000000021</v>
      </c>
      <c r="AA45" s="254">
        <v>8778.1222000000016</v>
      </c>
      <c r="AB45" s="254">
        <v>10154.415999999999</v>
      </c>
      <c r="AC45" s="254">
        <v>10233.465400000001</v>
      </c>
      <c r="AD45" s="254">
        <v>3200</v>
      </c>
    </row>
    <row r="46" spans="1:31" ht="18">
      <c r="A46" s="171" t="s">
        <v>1045</v>
      </c>
      <c r="B46" s="254">
        <v>93</v>
      </c>
      <c r="C46" s="254">
        <v>169.2</v>
      </c>
      <c r="D46" s="254">
        <v>292.2928</v>
      </c>
      <c r="E46" s="254">
        <v>381.93</v>
      </c>
      <c r="F46" s="254">
        <v>330.76730000000003</v>
      </c>
      <c r="G46" s="254">
        <v>208.57990000000001</v>
      </c>
      <c r="H46" s="254">
        <v>98.552299999999988</v>
      </c>
      <c r="I46" s="254">
        <v>96.941399999999987</v>
      </c>
      <c r="J46" s="254">
        <v>111.4444</v>
      </c>
      <c r="K46" s="254">
        <v>122.9868</v>
      </c>
      <c r="L46" s="254">
        <v>123.13090000000001</v>
      </c>
      <c r="M46" s="254">
        <v>101.232</v>
      </c>
      <c r="N46" s="254">
        <v>115.43120000000002</v>
      </c>
      <c r="O46" s="254">
        <v>122.91059999999999</v>
      </c>
      <c r="P46" s="254">
        <v>103.59259999999999</v>
      </c>
      <c r="Q46" s="254">
        <v>98.027400000000014</v>
      </c>
      <c r="R46" s="254">
        <v>91.61209999999997</v>
      </c>
      <c r="S46" s="254">
        <v>121.53410000000002</v>
      </c>
      <c r="T46" s="254">
        <v>106.15469999999998</v>
      </c>
      <c r="U46" s="254">
        <v>126.86</v>
      </c>
      <c r="V46" s="254">
        <v>121.68700000000003</v>
      </c>
      <c r="W46" s="254">
        <v>125.23929999999999</v>
      </c>
      <c r="X46" s="254">
        <v>119.69819999999999</v>
      </c>
      <c r="Y46" s="254">
        <v>115.53029999999998</v>
      </c>
      <c r="Z46" s="254">
        <v>116.25650000000005</v>
      </c>
      <c r="AA46" s="254">
        <v>118.92910000000001</v>
      </c>
      <c r="AB46" s="254">
        <v>107.10200000000002</v>
      </c>
      <c r="AC46" s="254">
        <v>107.10200000000002</v>
      </c>
      <c r="AD46" s="254">
        <v>100</v>
      </c>
    </row>
    <row r="47" spans="1:31" ht="18">
      <c r="A47" s="241" t="s">
        <v>1046</v>
      </c>
      <c r="B47" s="255">
        <f>SUM(B44:B46)</f>
        <v>15921.896199999999</v>
      </c>
      <c r="C47" s="256">
        <f>SUM(C44:C46)</f>
        <v>13091.314900000003</v>
      </c>
      <c r="D47" s="256">
        <f t="shared" ref="D47:AD47" si="12">SUM(D44:D46)</f>
        <v>15881.2441</v>
      </c>
      <c r="E47" s="256">
        <f t="shared" si="12"/>
        <v>17601.3321</v>
      </c>
      <c r="F47" s="256">
        <f t="shared" si="12"/>
        <v>17525.649696</v>
      </c>
      <c r="G47" s="256">
        <f t="shared" si="12"/>
        <v>11396.997593000004</v>
      </c>
      <c r="H47" s="256">
        <f t="shared" si="12"/>
        <v>15838.561465999999</v>
      </c>
      <c r="I47" s="256">
        <f t="shared" si="12"/>
        <v>13117.687838</v>
      </c>
      <c r="J47" s="256">
        <f t="shared" si="12"/>
        <v>15897.645315000002</v>
      </c>
      <c r="K47" s="256">
        <f t="shared" si="12"/>
        <v>15995.5172</v>
      </c>
      <c r="L47" s="256">
        <f t="shared" si="12"/>
        <v>14029.468799999999</v>
      </c>
      <c r="M47" s="256">
        <f t="shared" si="12"/>
        <v>12333.041299999999</v>
      </c>
      <c r="N47" s="256">
        <f t="shared" si="12"/>
        <v>16467.1391</v>
      </c>
      <c r="O47" s="256">
        <f t="shared" si="12"/>
        <v>17301.425500000001</v>
      </c>
      <c r="P47" s="256">
        <f t="shared" si="12"/>
        <v>19683.494100000004</v>
      </c>
      <c r="Q47" s="256">
        <f t="shared" si="12"/>
        <v>16137.918299999999</v>
      </c>
      <c r="R47" s="256">
        <f t="shared" si="12"/>
        <v>17172.025899999997</v>
      </c>
      <c r="S47" s="256">
        <f t="shared" si="12"/>
        <v>19149.526300000001</v>
      </c>
      <c r="T47" s="256">
        <f t="shared" si="12"/>
        <v>19471.039299999997</v>
      </c>
      <c r="U47" s="501">
        <f t="shared" si="12"/>
        <v>20566.345200000003</v>
      </c>
      <c r="V47" s="256">
        <f t="shared" si="12"/>
        <v>11379.199200000001</v>
      </c>
      <c r="W47" s="256">
        <f t="shared" si="12"/>
        <v>17394.507700000002</v>
      </c>
      <c r="X47" s="256">
        <f t="shared" si="12"/>
        <v>17155.927899999999</v>
      </c>
      <c r="Y47" s="501">
        <f t="shared" si="12"/>
        <v>21002.862499999996</v>
      </c>
      <c r="Z47" s="256">
        <f t="shared" si="12"/>
        <v>13650.410400000001</v>
      </c>
      <c r="AA47" s="256">
        <f t="shared" si="12"/>
        <v>16910.021200000003</v>
      </c>
      <c r="AB47" s="256">
        <f t="shared" si="12"/>
        <v>16650.708099999996</v>
      </c>
      <c r="AC47" s="501">
        <f t="shared" si="12"/>
        <v>16632.677100000001</v>
      </c>
      <c r="AD47" s="256">
        <f t="shared" si="12"/>
        <v>9575.11</v>
      </c>
    </row>
    <row r="48" spans="1:31" ht="18">
      <c r="A48" s="233" t="s">
        <v>1047</v>
      </c>
      <c r="B48" s="257"/>
      <c r="C48" s="214"/>
      <c r="D48" s="214" t="s">
        <v>1048</v>
      </c>
      <c r="E48" s="214"/>
      <c r="F48" s="214"/>
      <c r="G48" s="214"/>
      <c r="H48" s="214"/>
      <c r="I48" s="214"/>
      <c r="J48" s="214"/>
      <c r="K48" s="214"/>
      <c r="L48" s="214"/>
      <c r="M48" s="214"/>
      <c r="N48" s="214"/>
      <c r="O48" s="214"/>
      <c r="P48" s="214"/>
      <c r="Q48" s="214"/>
      <c r="R48" s="214"/>
      <c r="S48" s="214"/>
      <c r="T48" s="258"/>
      <c r="U48" s="258"/>
      <c r="V48" s="258"/>
      <c r="W48" s="258"/>
      <c r="X48" s="259"/>
      <c r="Y48" s="259"/>
      <c r="Z48" s="260"/>
      <c r="AA48" s="260"/>
      <c r="AB48" s="260"/>
      <c r="AC48" s="260"/>
      <c r="AD48" s="260"/>
    </row>
    <row r="49" spans="1:30" ht="18">
      <c r="A49" s="253" t="s">
        <v>1043</v>
      </c>
      <c r="B49" s="261">
        <v>2162.7270730000005</v>
      </c>
      <c r="C49" s="261">
        <v>1609.3714690000002</v>
      </c>
      <c r="D49" s="261">
        <v>1243.626131</v>
      </c>
      <c r="E49" s="261">
        <v>1332.2671859999998</v>
      </c>
      <c r="F49" s="261">
        <v>975.74441400000001</v>
      </c>
      <c r="G49" s="261">
        <v>705.95757499999991</v>
      </c>
      <c r="H49" s="261">
        <v>783.17844700000035</v>
      </c>
      <c r="I49" s="261">
        <v>630.57195500000023</v>
      </c>
      <c r="J49" s="261">
        <v>644.44950700000004</v>
      </c>
      <c r="K49" s="261">
        <v>291.70272900000003</v>
      </c>
      <c r="L49" s="261">
        <v>248.51197199999996</v>
      </c>
      <c r="M49" s="261">
        <v>263.13370799999996</v>
      </c>
      <c r="N49" s="261">
        <v>263.13576300000005</v>
      </c>
      <c r="O49" s="261">
        <v>202.93344200000001</v>
      </c>
      <c r="P49" s="261">
        <v>190.02626100000001</v>
      </c>
      <c r="Q49" s="261">
        <v>178.13507200000001</v>
      </c>
      <c r="R49" s="261">
        <v>241.223161</v>
      </c>
      <c r="S49" s="261">
        <v>232.40775900000003</v>
      </c>
      <c r="T49" s="261">
        <v>189.37249699999998</v>
      </c>
      <c r="U49" s="261">
        <v>178.86857000000001</v>
      </c>
      <c r="V49" s="261">
        <v>170.20729299999999</v>
      </c>
      <c r="W49" s="261">
        <v>211.16166200000001</v>
      </c>
      <c r="X49" s="261">
        <v>142.61837000000003</v>
      </c>
      <c r="Y49" s="261">
        <v>144.004673</v>
      </c>
      <c r="Z49" s="261">
        <v>151.08401100000003</v>
      </c>
      <c r="AA49" s="261">
        <v>175.35410900000002</v>
      </c>
      <c r="AB49" s="261">
        <v>196.75501600000004</v>
      </c>
      <c r="AC49" s="261">
        <v>229.42074800000003</v>
      </c>
      <c r="AD49" s="261">
        <v>200</v>
      </c>
    </row>
    <row r="50" spans="1:30" ht="18">
      <c r="A50" s="171" t="s">
        <v>1044</v>
      </c>
      <c r="B50" s="261">
        <v>154</v>
      </c>
      <c r="C50" s="261">
        <v>176</v>
      </c>
      <c r="D50" s="261">
        <v>195.96</v>
      </c>
      <c r="E50" s="261">
        <v>221.781902</v>
      </c>
      <c r="F50" s="261">
        <v>210.83820499999996</v>
      </c>
      <c r="G50" s="261">
        <v>242.78208399999991</v>
      </c>
      <c r="H50" s="261">
        <v>281.39032799999973</v>
      </c>
      <c r="I50" s="261">
        <v>258.07059900000019</v>
      </c>
      <c r="J50" s="261">
        <v>254.33652699999999</v>
      </c>
      <c r="K50" s="261">
        <v>631.07556700000021</v>
      </c>
      <c r="L50" s="261">
        <v>504.246036</v>
      </c>
      <c r="M50" s="261">
        <v>539.92083599999989</v>
      </c>
      <c r="N50" s="261">
        <v>686.77757500000018</v>
      </c>
      <c r="O50" s="261">
        <v>640.556104</v>
      </c>
      <c r="P50" s="261">
        <v>558.22431000000017</v>
      </c>
      <c r="Q50" s="261">
        <v>659.00575700000024</v>
      </c>
      <c r="R50" s="261">
        <v>452.7215690000001</v>
      </c>
      <c r="S50" s="261">
        <v>451.43733100000014</v>
      </c>
      <c r="T50" s="261">
        <v>354.049374</v>
      </c>
      <c r="U50" s="261">
        <v>297.77991200000002</v>
      </c>
      <c r="V50" s="261">
        <v>259.30825699999997</v>
      </c>
      <c r="W50" s="261">
        <v>141.50962900000002</v>
      </c>
      <c r="X50" s="261">
        <v>65.855762999999996</v>
      </c>
      <c r="Y50" s="261">
        <v>73.322400000000002</v>
      </c>
      <c r="Z50" s="261">
        <v>44.912436000000014</v>
      </c>
      <c r="AA50" s="261">
        <v>69.575039000000018</v>
      </c>
      <c r="AB50" s="261">
        <v>55.536923000000016</v>
      </c>
      <c r="AC50" s="261">
        <v>60.857592000000011</v>
      </c>
      <c r="AD50" s="261">
        <v>61</v>
      </c>
    </row>
    <row r="51" spans="1:30" ht="18">
      <c r="A51" s="171" t="s">
        <v>1045</v>
      </c>
      <c r="B51" s="262"/>
      <c r="C51" s="262"/>
      <c r="D51" s="262"/>
      <c r="E51" s="262"/>
      <c r="F51" s="262"/>
      <c r="G51" s="261">
        <v>24.561359999999997</v>
      </c>
      <c r="H51" s="261">
        <v>27.747020999999997</v>
      </c>
      <c r="I51" s="261">
        <v>28.239810000000002</v>
      </c>
      <c r="J51" s="261">
        <v>27.938958</v>
      </c>
      <c r="K51" s="261">
        <v>30.865278000000007</v>
      </c>
      <c r="L51" s="261">
        <v>26.197551000000018</v>
      </c>
      <c r="M51" s="261">
        <v>25.776275999999996</v>
      </c>
      <c r="N51" s="261">
        <v>25.671334000000005</v>
      </c>
      <c r="O51" s="261">
        <v>21.575308000000003</v>
      </c>
      <c r="P51" s="261">
        <v>22.700351999999995</v>
      </c>
      <c r="Q51" s="261">
        <v>24.363258000000005</v>
      </c>
      <c r="R51" s="261">
        <v>22.082482000000002</v>
      </c>
      <c r="S51" s="261">
        <v>21.361314000000011</v>
      </c>
      <c r="T51" s="261">
        <v>18.937373000000004</v>
      </c>
      <c r="U51" s="261">
        <v>19.083552000000005</v>
      </c>
      <c r="V51" s="261">
        <v>18.297445999999997</v>
      </c>
      <c r="W51" s="261">
        <v>17.344063000000002</v>
      </c>
      <c r="X51" s="261">
        <v>17.451471000000009</v>
      </c>
      <c r="Y51" s="261">
        <v>17.165963000000009</v>
      </c>
      <c r="Z51" s="261">
        <v>20.388339999999999</v>
      </c>
      <c r="AA51" s="261">
        <v>22.427995999999997</v>
      </c>
      <c r="AB51" s="261">
        <v>22.058096000000006</v>
      </c>
      <c r="AC51" s="261">
        <v>22.058096000000006</v>
      </c>
      <c r="AD51" s="261">
        <v>22</v>
      </c>
    </row>
    <row r="52" spans="1:30" ht="18">
      <c r="A52" s="171" t="s">
        <v>1049</v>
      </c>
      <c r="B52" s="261">
        <v>84</v>
      </c>
      <c r="C52" s="261">
        <v>80</v>
      </c>
      <c r="D52" s="261">
        <v>66</v>
      </c>
      <c r="E52" s="261">
        <v>20.51</v>
      </c>
      <c r="F52" s="261">
        <v>55</v>
      </c>
      <c r="G52" s="261">
        <v>40</v>
      </c>
      <c r="H52" s="261">
        <v>30</v>
      </c>
      <c r="I52" s="261">
        <v>8</v>
      </c>
      <c r="J52" s="261">
        <v>21</v>
      </c>
      <c r="K52" s="261">
        <v>20</v>
      </c>
      <c r="L52" s="261">
        <v>20</v>
      </c>
      <c r="M52" s="261">
        <v>20</v>
      </c>
      <c r="N52" s="261">
        <v>20</v>
      </c>
      <c r="O52" s="261">
        <v>20</v>
      </c>
      <c r="P52" s="261">
        <v>20</v>
      </c>
      <c r="Q52" s="261">
        <v>30</v>
      </c>
      <c r="R52" s="261">
        <v>30</v>
      </c>
      <c r="S52" s="261">
        <v>30</v>
      </c>
      <c r="T52" s="261">
        <v>30</v>
      </c>
      <c r="U52" s="261">
        <v>30</v>
      </c>
      <c r="V52" s="261">
        <v>30</v>
      </c>
      <c r="W52" s="261">
        <v>30</v>
      </c>
      <c r="X52" s="261">
        <v>30</v>
      </c>
      <c r="Y52" s="261">
        <v>30</v>
      </c>
      <c r="Z52" s="261">
        <v>30</v>
      </c>
      <c r="AA52" s="261">
        <v>30</v>
      </c>
      <c r="AB52" s="261">
        <v>30</v>
      </c>
      <c r="AC52" s="261">
        <v>30</v>
      </c>
      <c r="AD52" s="261">
        <v>30</v>
      </c>
    </row>
    <row r="53" spans="1:30" ht="18">
      <c r="A53" s="241" t="s">
        <v>1050</v>
      </c>
      <c r="B53" s="255">
        <f>SUM(B49:B52)</f>
        <v>2400.7270730000005</v>
      </c>
      <c r="C53" s="256">
        <f>SUM(C49:C52)</f>
        <v>1865.3714690000002</v>
      </c>
      <c r="D53" s="256">
        <f t="shared" ref="D53:AB53" si="13">SUM(D49:D52)</f>
        <v>1505.586131</v>
      </c>
      <c r="E53" s="256">
        <f t="shared" si="13"/>
        <v>1574.5590879999997</v>
      </c>
      <c r="F53" s="256">
        <f t="shared" si="13"/>
        <v>1241.582619</v>
      </c>
      <c r="G53" s="256">
        <f t="shared" si="13"/>
        <v>1013.3010189999999</v>
      </c>
      <c r="H53" s="256">
        <f t="shared" si="13"/>
        <v>1122.3157960000001</v>
      </c>
      <c r="I53" s="256">
        <f t="shared" si="13"/>
        <v>924.88236400000051</v>
      </c>
      <c r="J53" s="256">
        <f t="shared" si="13"/>
        <v>947.72499199999993</v>
      </c>
      <c r="K53" s="256">
        <f t="shared" si="13"/>
        <v>973.64357400000017</v>
      </c>
      <c r="L53" s="256">
        <f t="shared" si="13"/>
        <v>798.95555899999999</v>
      </c>
      <c r="M53" s="256">
        <f t="shared" si="13"/>
        <v>848.8308199999999</v>
      </c>
      <c r="N53" s="256">
        <f t="shared" si="13"/>
        <v>995.5846720000003</v>
      </c>
      <c r="O53" s="256">
        <f t="shared" si="13"/>
        <v>885.06485399999997</v>
      </c>
      <c r="P53" s="256">
        <f t="shared" si="13"/>
        <v>790.9509230000001</v>
      </c>
      <c r="Q53" s="256">
        <f t="shared" si="13"/>
        <v>891.50408700000025</v>
      </c>
      <c r="R53" s="256">
        <f t="shared" si="13"/>
        <v>746.02721200000019</v>
      </c>
      <c r="S53" s="256">
        <f t="shared" si="13"/>
        <v>735.20640400000013</v>
      </c>
      <c r="T53" s="256">
        <f t="shared" si="13"/>
        <v>592.35924399999999</v>
      </c>
      <c r="U53" s="256">
        <f t="shared" si="13"/>
        <v>525.73203400000011</v>
      </c>
      <c r="V53" s="256">
        <f t="shared" si="13"/>
        <v>477.81299599999994</v>
      </c>
      <c r="W53" s="256">
        <f t="shared" si="13"/>
        <v>400.015354</v>
      </c>
      <c r="X53" s="256">
        <f t="shared" si="13"/>
        <v>255.92560400000002</v>
      </c>
      <c r="Y53" s="256">
        <f t="shared" si="13"/>
        <v>264.49303599999996</v>
      </c>
      <c r="Z53" s="256">
        <f t="shared" si="13"/>
        <v>246.38478700000005</v>
      </c>
      <c r="AA53" s="256">
        <f t="shared" si="13"/>
        <v>297.35714400000006</v>
      </c>
      <c r="AB53" s="256">
        <f t="shared" si="13"/>
        <v>304.35003500000005</v>
      </c>
      <c r="AC53" s="256">
        <f>SUM(AC49:AC52)</f>
        <v>342.33643600000005</v>
      </c>
      <c r="AD53" s="256">
        <f>SUM(AD49:AD52)</f>
        <v>313</v>
      </c>
    </row>
    <row r="54" spans="1:30" ht="18">
      <c r="A54" s="247" t="s">
        <v>1051</v>
      </c>
      <c r="B54" s="263">
        <f>B53+B47</f>
        <v>18322.623273000001</v>
      </c>
      <c r="C54" s="263">
        <f>C53+C47</f>
        <v>14956.686369000003</v>
      </c>
      <c r="D54" s="263">
        <f t="shared" ref="D54:AD54" si="14">D53+D47</f>
        <v>17386.830231</v>
      </c>
      <c r="E54" s="263">
        <f t="shared" si="14"/>
        <v>19175.891187999998</v>
      </c>
      <c r="F54" s="263">
        <f t="shared" si="14"/>
        <v>18767.232315000001</v>
      </c>
      <c r="G54" s="263">
        <f t="shared" si="14"/>
        <v>12410.298612000004</v>
      </c>
      <c r="H54" s="263">
        <f t="shared" si="14"/>
        <v>16960.877261999998</v>
      </c>
      <c r="I54" s="263">
        <f t="shared" si="14"/>
        <v>14042.570202000001</v>
      </c>
      <c r="J54" s="263">
        <f t="shared" si="14"/>
        <v>16845.370307000001</v>
      </c>
      <c r="K54" s="263">
        <f t="shared" si="14"/>
        <v>16969.160774</v>
      </c>
      <c r="L54" s="263">
        <f t="shared" si="14"/>
        <v>14828.424358999999</v>
      </c>
      <c r="M54" s="263">
        <f t="shared" si="14"/>
        <v>13181.872119999998</v>
      </c>
      <c r="N54" s="263">
        <f t="shared" si="14"/>
        <v>17462.723772000001</v>
      </c>
      <c r="O54" s="263">
        <f t="shared" si="14"/>
        <v>18186.490354000001</v>
      </c>
      <c r="P54" s="263">
        <f t="shared" si="14"/>
        <v>20474.445023000004</v>
      </c>
      <c r="Q54" s="263">
        <f t="shared" si="14"/>
        <v>17029.422386999999</v>
      </c>
      <c r="R54" s="263">
        <f t="shared" si="14"/>
        <v>17918.053111999998</v>
      </c>
      <c r="S54" s="263">
        <f t="shared" si="14"/>
        <v>19884.732704000002</v>
      </c>
      <c r="T54" s="263">
        <f t="shared" si="14"/>
        <v>20063.398543999996</v>
      </c>
      <c r="U54" s="263">
        <f t="shared" si="14"/>
        <v>21092.077234000004</v>
      </c>
      <c r="V54" s="263">
        <f t="shared" si="14"/>
        <v>11857.012196000001</v>
      </c>
      <c r="W54" s="263">
        <f t="shared" si="14"/>
        <v>17794.523054000001</v>
      </c>
      <c r="X54" s="263">
        <f t="shared" si="14"/>
        <v>17411.853503999999</v>
      </c>
      <c r="Y54" s="263">
        <f t="shared" si="14"/>
        <v>21267.355535999995</v>
      </c>
      <c r="Z54" s="263">
        <f t="shared" si="14"/>
        <v>13896.795187000002</v>
      </c>
      <c r="AA54" s="263">
        <f t="shared" si="14"/>
        <v>17207.378344000004</v>
      </c>
      <c r="AB54" s="263">
        <f t="shared" si="14"/>
        <v>16955.058134999996</v>
      </c>
      <c r="AC54" s="263">
        <f t="shared" si="14"/>
        <v>16975.013536000002</v>
      </c>
      <c r="AD54" s="263">
        <f t="shared" si="14"/>
        <v>9888.11</v>
      </c>
    </row>
    <row r="55" spans="1:30" thickBot="1">
      <c r="A55" s="264" t="s">
        <v>1052</v>
      </c>
      <c r="B55" s="265">
        <f>B54+B42</f>
        <v>30924.124592672993</v>
      </c>
      <c r="C55" s="265">
        <f>C54+C42</f>
        <v>27305.656842000004</v>
      </c>
      <c r="D55" s="265">
        <f t="shared" ref="D55:AD55" si="15">D54+D42</f>
        <v>32307.303890000003</v>
      </c>
      <c r="E55" s="265">
        <f t="shared" si="15"/>
        <v>33713.606360959995</v>
      </c>
      <c r="F55" s="265">
        <f t="shared" si="15"/>
        <v>34145.356476040011</v>
      </c>
      <c r="G55" s="265">
        <f t="shared" si="15"/>
        <v>27021.472376999998</v>
      </c>
      <c r="H55" s="265">
        <f t="shared" si="15"/>
        <v>32202.889122000008</v>
      </c>
      <c r="I55" s="265">
        <f t="shared" si="15"/>
        <v>28076.186653999997</v>
      </c>
      <c r="J55" s="265">
        <f t="shared" si="15"/>
        <v>31080.901993655159</v>
      </c>
      <c r="K55" s="265">
        <f t="shared" si="15"/>
        <v>32942.011921999998</v>
      </c>
      <c r="L55" s="265">
        <f t="shared" si="15"/>
        <v>29949.107061465991</v>
      </c>
      <c r="M55" s="265">
        <f t="shared" si="15"/>
        <v>27240.223938082941</v>
      </c>
      <c r="N55" s="265">
        <f t="shared" si="15"/>
        <v>32212.037099482994</v>
      </c>
      <c r="O55" s="265">
        <f t="shared" si="15"/>
        <v>33653.091886749382</v>
      </c>
      <c r="P55" s="265">
        <f t="shared" si="15"/>
        <v>35258.119052795853</v>
      </c>
      <c r="Q55" s="265">
        <f t="shared" si="15"/>
        <v>32606.354792890001</v>
      </c>
      <c r="R55" s="265">
        <f t="shared" si="15"/>
        <v>32667.814057772568</v>
      </c>
      <c r="S55" s="265">
        <f t="shared" si="15"/>
        <v>34620.714342623003</v>
      </c>
      <c r="T55" s="265">
        <f t="shared" si="15"/>
        <v>34563.818417986993</v>
      </c>
      <c r="U55" s="265">
        <f t="shared" si="15"/>
        <v>36935.571955359992</v>
      </c>
      <c r="V55" s="265">
        <f t="shared" si="15"/>
        <v>27528.411923749998</v>
      </c>
      <c r="W55" s="265">
        <f t="shared" si="15"/>
        <v>33492.361245889995</v>
      </c>
      <c r="X55" s="265">
        <f t="shared" si="15"/>
        <v>31887.311796030008</v>
      </c>
      <c r="Y55" s="265">
        <f t="shared" si="15"/>
        <v>36374.491452909999</v>
      </c>
      <c r="Z55" s="265">
        <f t="shared" si="15"/>
        <v>28245.831106449561</v>
      </c>
      <c r="AA55" s="265">
        <f t="shared" si="15"/>
        <v>32077.258935225138</v>
      </c>
      <c r="AB55" s="265">
        <f t="shared" si="15"/>
        <v>31054.091639044906</v>
      </c>
      <c r="AC55" s="265">
        <f t="shared" si="15"/>
        <v>31350.497067279251</v>
      </c>
      <c r="AD55" s="265">
        <f t="shared" si="15"/>
        <v>23885.444748617185</v>
      </c>
    </row>
    <row r="56" spans="1:30" thickTop="1">
      <c r="A56" s="266"/>
      <c r="B56" s="214"/>
      <c r="C56" s="214"/>
      <c r="D56" s="214"/>
      <c r="E56" s="214"/>
      <c r="F56" s="214"/>
      <c r="G56" s="214"/>
      <c r="H56" s="214"/>
      <c r="I56" s="214"/>
      <c r="J56" s="214"/>
      <c r="K56" s="214"/>
      <c r="L56" s="214"/>
      <c r="M56" s="214"/>
      <c r="N56" s="214"/>
      <c r="O56" s="214"/>
      <c r="P56" s="214"/>
      <c r="Q56" s="214"/>
      <c r="R56" s="214"/>
      <c r="S56" s="214"/>
      <c r="T56" s="267"/>
      <c r="U56" s="267"/>
      <c r="V56" s="267"/>
      <c r="W56" s="267"/>
      <c r="X56" s="268"/>
      <c r="Y56" s="268"/>
      <c r="Z56" s="268"/>
      <c r="AA56" s="268"/>
      <c r="AB56" s="268"/>
      <c r="AC56" s="268"/>
      <c r="AD56" s="268"/>
    </row>
    <row r="57" spans="1:30">
      <c r="A57" s="269" t="s">
        <v>1053</v>
      </c>
      <c r="B57" s="270">
        <f>SUM(B58:B63)</f>
        <v>2428.7951073270142</v>
      </c>
      <c r="C57" s="270">
        <f t="shared" ref="C57:AC57" si="16">SUM(C58:C63)</f>
        <v>5046.44139</v>
      </c>
      <c r="D57" s="270">
        <f t="shared" si="16"/>
        <v>7525.9112999999998</v>
      </c>
      <c r="E57" s="270">
        <f t="shared" si="16"/>
        <v>5423.08723904</v>
      </c>
      <c r="F57" s="270">
        <f t="shared" si="16"/>
        <v>3313.9805430000001</v>
      </c>
      <c r="G57" s="270">
        <f t="shared" si="16"/>
        <v>2900.80863</v>
      </c>
      <c r="H57" s="270">
        <f t="shared" si="16"/>
        <v>4026.810794</v>
      </c>
      <c r="I57" s="270">
        <f t="shared" si="16"/>
        <v>1976.3308589999999</v>
      </c>
      <c r="J57" s="270">
        <f t="shared" si="16"/>
        <v>4772.8584000000001</v>
      </c>
      <c r="K57" s="270">
        <f t="shared" si="16"/>
        <v>2772.4881780000001</v>
      </c>
      <c r="L57" s="270">
        <f t="shared" si="16"/>
        <v>2612.0288165340098</v>
      </c>
      <c r="M57" s="270">
        <f t="shared" si="16"/>
        <v>2778.5635784510678</v>
      </c>
      <c r="N57" s="270">
        <f t="shared" si="16"/>
        <v>3445.0456476353925</v>
      </c>
      <c r="O57" s="270">
        <f t="shared" si="16"/>
        <v>3433.646753</v>
      </c>
      <c r="P57" s="270">
        <f t="shared" si="16"/>
        <v>2980.4781913100005</v>
      </c>
      <c r="Q57" s="270">
        <f t="shared" si="16"/>
        <v>2290.8441984200003</v>
      </c>
      <c r="R57" s="270">
        <f t="shared" si="16"/>
        <v>2908.0577435</v>
      </c>
      <c r="S57" s="270">
        <f t="shared" si="16"/>
        <v>2416.531100877</v>
      </c>
      <c r="T57" s="270">
        <f t="shared" si="16"/>
        <v>2842.4526828899998</v>
      </c>
      <c r="U57" s="270">
        <f t="shared" si="16"/>
        <v>3321.4251275300003</v>
      </c>
      <c r="V57" s="270">
        <f t="shared" si="16"/>
        <v>2911.7970037799996</v>
      </c>
      <c r="W57" s="270">
        <f t="shared" si="16"/>
        <v>3064.9872578899999</v>
      </c>
      <c r="X57" s="270">
        <f t="shared" si="16"/>
        <v>2676.5892618600005</v>
      </c>
      <c r="Y57" s="270">
        <f t="shared" si="16"/>
        <v>3052.7511089499999</v>
      </c>
      <c r="Z57" s="270">
        <f t="shared" si="16"/>
        <v>2321.0220025004396</v>
      </c>
      <c r="AA57" s="270">
        <f t="shared" si="16"/>
        <v>2779.6725672753009</v>
      </c>
      <c r="AB57" s="270">
        <f t="shared" si="16"/>
        <v>2539.6024282303956</v>
      </c>
      <c r="AC57" s="270">
        <f t="shared" si="16"/>
        <v>3186.8761609511457</v>
      </c>
      <c r="AD57" s="270">
        <f>AD26-AD55</f>
        <v>2905.2924123339617</v>
      </c>
    </row>
    <row r="58" spans="1:30" ht="18">
      <c r="A58" s="271" t="s">
        <v>1054</v>
      </c>
      <c r="B58" s="272">
        <v>1525.9416999999999</v>
      </c>
      <c r="C58" s="272">
        <v>3235.3220000000001</v>
      </c>
      <c r="D58" s="272">
        <v>2890.7262000000001</v>
      </c>
      <c r="E58" s="272">
        <v>1347.8779999999999</v>
      </c>
      <c r="F58" s="272">
        <v>1935.8695</v>
      </c>
      <c r="G58" s="272">
        <v>1848.1188999999999</v>
      </c>
      <c r="H58" s="272">
        <v>2434.9761000000003</v>
      </c>
      <c r="I58" s="272">
        <v>1172.7538999999999</v>
      </c>
      <c r="J58" s="272">
        <v>2011.7601000000002</v>
      </c>
      <c r="K58" s="272">
        <v>1684.7021999999999</v>
      </c>
      <c r="L58" s="272">
        <v>1607.5518</v>
      </c>
      <c r="M58" s="272">
        <v>1677.1214</v>
      </c>
      <c r="N58" s="272">
        <v>2195.4613999999997</v>
      </c>
      <c r="O58" s="272">
        <v>2427.0158999999999</v>
      </c>
      <c r="P58" s="272">
        <v>2092.7233999999999</v>
      </c>
      <c r="Q58" s="272">
        <v>1648.7293999999999</v>
      </c>
      <c r="R58" s="272">
        <v>2226.9232000000002</v>
      </c>
      <c r="S58" s="272">
        <v>1753.2913000000001</v>
      </c>
      <c r="T58" s="500">
        <v>1873.1551000000002</v>
      </c>
      <c r="U58" s="500">
        <v>2380.0365999999999</v>
      </c>
      <c r="V58" s="272">
        <v>2228.1345999999994</v>
      </c>
      <c r="W58" s="272">
        <v>2249.6138999999998</v>
      </c>
      <c r="X58" s="500">
        <v>1866.8236000000004</v>
      </c>
      <c r="Y58" s="500">
        <v>2247.4432999999999</v>
      </c>
      <c r="Z58" s="272">
        <v>1526.8371</v>
      </c>
      <c r="AA58" s="272">
        <v>2031.3034</v>
      </c>
      <c r="AB58" s="500">
        <v>1787.9988999999998</v>
      </c>
      <c r="AC58" s="500">
        <v>2429.2547999999997</v>
      </c>
      <c r="AD58" s="273"/>
    </row>
    <row r="59" spans="1:30" ht="18">
      <c r="A59" s="271" t="s">
        <v>1055</v>
      </c>
      <c r="B59" s="272">
        <v>115.289</v>
      </c>
      <c r="C59" s="272">
        <v>128.387</v>
      </c>
      <c r="D59" s="272">
        <v>96.511899999999997</v>
      </c>
      <c r="E59" s="272">
        <v>128.3999</v>
      </c>
      <c r="F59" s="272">
        <v>138.48760000000001</v>
      </c>
      <c r="G59" s="272">
        <v>173.84470000000002</v>
      </c>
      <c r="H59" s="272">
        <v>157.8785</v>
      </c>
      <c r="I59" s="272">
        <v>140.8536</v>
      </c>
      <c r="J59" s="272">
        <v>172.96429999999998</v>
      </c>
      <c r="K59" s="272">
        <v>141.46470000000002</v>
      </c>
      <c r="L59" s="272">
        <v>153.67359999999999</v>
      </c>
      <c r="M59" s="272">
        <v>141.53139999999999</v>
      </c>
      <c r="N59" s="272">
        <v>145.0249</v>
      </c>
      <c r="O59" s="272">
        <v>120.0895</v>
      </c>
      <c r="P59" s="272">
        <v>109.79253</v>
      </c>
      <c r="Q59" s="272">
        <v>123.24987</v>
      </c>
      <c r="R59" s="272">
        <v>139.17385000000002</v>
      </c>
      <c r="S59" s="272">
        <v>111.86897999999999</v>
      </c>
      <c r="T59" s="272">
        <v>117.62853200000001</v>
      </c>
      <c r="U59" s="272">
        <v>133.055432</v>
      </c>
      <c r="V59" s="272">
        <v>152.93223999999998</v>
      </c>
      <c r="W59" s="272">
        <v>144.96972500000001</v>
      </c>
      <c r="X59" s="272">
        <v>147.82407800000001</v>
      </c>
      <c r="Y59" s="272">
        <v>163.40875299999999</v>
      </c>
      <c r="Z59" s="272">
        <v>168.66771</v>
      </c>
      <c r="AA59" s="272">
        <v>150.747153</v>
      </c>
      <c r="AB59" s="272">
        <v>137.66458600000001</v>
      </c>
      <c r="AC59" s="272">
        <v>160.326795</v>
      </c>
      <c r="AD59" s="273"/>
    </row>
    <row r="60" spans="1:30" ht="18">
      <c r="A60" s="271" t="s">
        <v>1056</v>
      </c>
      <c r="B60" s="272">
        <v>624.89040732701415</v>
      </c>
      <c r="C60" s="272">
        <v>623</v>
      </c>
      <c r="D60" s="272">
        <v>576</v>
      </c>
      <c r="E60" s="272">
        <v>538.86271204000002</v>
      </c>
      <c r="F60" s="272">
        <v>510</v>
      </c>
      <c r="G60" s="272">
        <v>490.35429999999997</v>
      </c>
      <c r="H60" s="272">
        <v>550.84080000000006</v>
      </c>
      <c r="I60" s="272">
        <v>463.76990000000001</v>
      </c>
      <c r="J60" s="272">
        <v>473</v>
      </c>
      <c r="K60" s="272">
        <v>482</v>
      </c>
      <c r="L60" s="272">
        <v>448.28045653401</v>
      </c>
      <c r="M60" s="272">
        <v>531.61569545106795</v>
      </c>
      <c r="N60" s="272">
        <v>496.95422663539301</v>
      </c>
      <c r="O60" s="272">
        <v>446.78994599999999</v>
      </c>
      <c r="P60" s="272">
        <v>445.81337031000004</v>
      </c>
      <c r="Q60" s="272">
        <v>416.74822842000003</v>
      </c>
      <c r="R60" s="272">
        <v>400.96439350000003</v>
      </c>
      <c r="S60" s="272">
        <v>397.51945567000001</v>
      </c>
      <c r="T60" s="500">
        <v>389.36495088999999</v>
      </c>
      <c r="U60" s="500">
        <v>421.38429553000003</v>
      </c>
      <c r="V60" s="272">
        <v>393.28906377999999</v>
      </c>
      <c r="W60" s="272">
        <v>410.48275689000002</v>
      </c>
      <c r="X60" s="500">
        <v>416.47640186000007</v>
      </c>
      <c r="Y60" s="500">
        <v>395.50348395000003</v>
      </c>
      <c r="Z60" s="272">
        <v>378.50099450043996</v>
      </c>
      <c r="AA60" s="272">
        <v>357.050559275301</v>
      </c>
      <c r="AB60" s="500">
        <v>361.01577023039596</v>
      </c>
      <c r="AC60" s="500">
        <v>361.09649395114604</v>
      </c>
      <c r="AD60" s="273"/>
    </row>
    <row r="61" spans="1:30" ht="18">
      <c r="A61" s="271" t="s">
        <v>1057</v>
      </c>
      <c r="B61" s="272">
        <v>38.968000000000004</v>
      </c>
      <c r="C61" s="272">
        <v>258.03699999999998</v>
      </c>
      <c r="D61" s="272">
        <v>0</v>
      </c>
      <c r="E61" s="272">
        <v>58.234999999999999</v>
      </c>
      <c r="F61" s="272">
        <v>58.872500000000002</v>
      </c>
      <c r="G61" s="272">
        <v>74.443300000000008</v>
      </c>
      <c r="H61" s="272">
        <v>63.503900000000002</v>
      </c>
      <c r="I61" s="272">
        <v>70.685399999999987</v>
      </c>
      <c r="J61" s="272">
        <v>85</v>
      </c>
      <c r="K61" s="272">
        <v>61</v>
      </c>
      <c r="L61" s="272">
        <v>81.351799999999997</v>
      </c>
      <c r="M61" s="272">
        <v>85.775599999999997</v>
      </c>
      <c r="N61" s="272">
        <v>71.398200000000003</v>
      </c>
      <c r="O61" s="272">
        <v>64.040300000000002</v>
      </c>
      <c r="P61" s="272">
        <v>64.648399999999995</v>
      </c>
      <c r="Q61" s="272">
        <v>79.116699999999994</v>
      </c>
      <c r="R61" s="272">
        <v>63.996300000000005</v>
      </c>
      <c r="S61" s="272">
        <v>59.851365207000001</v>
      </c>
      <c r="T61" s="500">
        <v>88.304099999999991</v>
      </c>
      <c r="U61" s="500">
        <v>90.948800000000006</v>
      </c>
      <c r="V61" s="272">
        <v>87.441099999999992</v>
      </c>
      <c r="W61" s="272">
        <v>70.920876000000007</v>
      </c>
      <c r="X61" s="500">
        <v>67.465181999999999</v>
      </c>
      <c r="Y61" s="500">
        <v>68.395572000000001</v>
      </c>
      <c r="Z61" s="272">
        <v>69.016197999999989</v>
      </c>
      <c r="AA61" s="272">
        <v>62.571455</v>
      </c>
      <c r="AB61" s="500">
        <v>74.923172000000008</v>
      </c>
      <c r="AC61" s="500">
        <v>58.198072000000003</v>
      </c>
      <c r="AD61" s="273"/>
    </row>
    <row r="62" spans="1:30" ht="18">
      <c r="A62" s="271" t="s">
        <v>1058</v>
      </c>
      <c r="B62" s="272">
        <v>123.706</v>
      </c>
      <c r="C62" s="272">
        <v>185.43839000000003</v>
      </c>
      <c r="D62" s="272">
        <v>98.758529999999993</v>
      </c>
      <c r="E62" s="272">
        <v>128.02838</v>
      </c>
      <c r="F62" s="272">
        <v>118.84723</v>
      </c>
      <c r="G62" s="272">
        <v>54.725730000000006</v>
      </c>
      <c r="H62" s="272">
        <v>292.38452000000001</v>
      </c>
      <c r="I62" s="272">
        <v>63.829028999999998</v>
      </c>
      <c r="J62" s="272">
        <v>27.134</v>
      </c>
      <c r="K62" s="272">
        <v>99.321278000000007</v>
      </c>
      <c r="L62" s="272">
        <v>277.81412399999999</v>
      </c>
      <c r="M62" s="272">
        <v>342.51948299999992</v>
      </c>
      <c r="N62" s="272">
        <v>536.20692099999997</v>
      </c>
      <c r="O62" s="272">
        <v>375.71110700000003</v>
      </c>
      <c r="P62" s="272">
        <v>267.50049100000001</v>
      </c>
      <c r="Q62" s="272">
        <v>23</v>
      </c>
      <c r="R62" s="272">
        <v>77</v>
      </c>
      <c r="S62" s="272">
        <v>94</v>
      </c>
      <c r="T62" s="500">
        <v>374</v>
      </c>
      <c r="U62" s="500">
        <v>296</v>
      </c>
      <c r="V62" s="272">
        <v>50</v>
      </c>
      <c r="W62" s="272">
        <v>189</v>
      </c>
      <c r="X62" s="500">
        <v>178</v>
      </c>
      <c r="Y62" s="500">
        <v>178</v>
      </c>
      <c r="Z62" s="272">
        <v>178</v>
      </c>
      <c r="AA62" s="272">
        <v>178</v>
      </c>
      <c r="AB62" s="500">
        <v>178</v>
      </c>
      <c r="AC62" s="500">
        <v>178</v>
      </c>
      <c r="AD62" s="273"/>
    </row>
    <row r="63" spans="1:30" ht="18">
      <c r="A63" s="271" t="s">
        <v>1059</v>
      </c>
      <c r="B63" s="272">
        <v>0</v>
      </c>
      <c r="C63" s="272">
        <v>616.25699999999995</v>
      </c>
      <c r="D63" s="272">
        <v>3863.9146700000001</v>
      </c>
      <c r="E63" s="272">
        <v>3221.6832469999999</v>
      </c>
      <c r="F63" s="272">
        <v>551.90371300000015</v>
      </c>
      <c r="G63" s="272">
        <v>259.32170000000002</v>
      </c>
      <c r="H63" s="272">
        <v>527.22697399999993</v>
      </c>
      <c r="I63" s="272">
        <v>64.439030000000002</v>
      </c>
      <c r="J63" s="272">
        <v>2003</v>
      </c>
      <c r="K63" s="272">
        <v>304</v>
      </c>
      <c r="L63" s="272">
        <v>43.357036000000001</v>
      </c>
      <c r="M63" s="272">
        <v>0</v>
      </c>
      <c r="N63" s="272">
        <v>0</v>
      </c>
      <c r="O63" s="272">
        <v>0</v>
      </c>
      <c r="P63" s="272">
        <v>0</v>
      </c>
      <c r="Q63" s="272">
        <v>0</v>
      </c>
      <c r="R63" s="272">
        <v>0</v>
      </c>
      <c r="S63" s="272">
        <v>0</v>
      </c>
      <c r="T63" s="272">
        <v>0</v>
      </c>
      <c r="U63" s="272">
        <v>0</v>
      </c>
      <c r="V63" s="272">
        <v>0</v>
      </c>
      <c r="W63" s="272">
        <v>0</v>
      </c>
      <c r="X63" s="272">
        <v>0</v>
      </c>
      <c r="Y63" s="272">
        <v>0</v>
      </c>
      <c r="Z63" s="272">
        <v>0</v>
      </c>
      <c r="AA63" s="272">
        <v>0</v>
      </c>
      <c r="AB63" s="272">
        <v>0</v>
      </c>
      <c r="AC63" s="272">
        <v>0</v>
      </c>
      <c r="AD63" s="273"/>
    </row>
    <row r="65" spans="2:19">
      <c r="B65" s="274"/>
      <c r="C65" s="275" t="s">
        <v>1060</v>
      </c>
      <c r="D65" s="276"/>
      <c r="E65" s="276"/>
      <c r="F65" s="276"/>
      <c r="G65" s="276"/>
      <c r="H65" s="276"/>
      <c r="I65" s="276"/>
      <c r="J65" s="276"/>
      <c r="K65" s="276"/>
      <c r="L65" s="276"/>
      <c r="M65" s="276"/>
      <c r="N65" s="276"/>
      <c r="O65" s="276"/>
      <c r="P65" s="276"/>
      <c r="Q65" s="276"/>
      <c r="R65" s="276"/>
      <c r="S65" s="277"/>
    </row>
    <row r="66" spans="2:19">
      <c r="D66" s="280"/>
    </row>
  </sheetData>
  <mergeCells count="2">
    <mergeCell ref="B1:AC1"/>
    <mergeCell ref="B17:AC1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D5179-33E6-4774-A4CE-4D8DBF0E7092}">
  <sheetPr>
    <tabColor rgb="FFFFC000"/>
  </sheetPr>
  <dimension ref="A1:AD64"/>
  <sheetViews>
    <sheetView zoomScale="70" zoomScaleNormal="70" workbookViewId="0">
      <pane xSplit="1" ySplit="3" topLeftCell="R29" activePane="bottomRight" state="frozen"/>
      <selection activeCell="X47" sqref="X47"/>
      <selection pane="topRight" activeCell="X47" sqref="X47"/>
      <selection pane="bottomLeft" activeCell="X47" sqref="X47"/>
      <selection pane="bottomRight" activeCell="A45" sqref="A45"/>
    </sheetView>
  </sheetViews>
  <sheetFormatPr baseColWidth="10" defaultRowHeight="18.600000000000001"/>
  <cols>
    <col min="1" max="1" width="72.44140625" style="281" customWidth="1"/>
    <col min="2" max="17" width="12.5546875" style="279" customWidth="1"/>
    <col min="18" max="20" width="9.88671875" style="279" customWidth="1"/>
    <col min="21" max="21" width="10.44140625" style="279" bestFit="1" customWidth="1" collapsed="1"/>
    <col min="22" max="22" width="11" style="279" customWidth="1"/>
    <col min="23" max="30" width="16.6640625" style="279" customWidth="1"/>
    <col min="31" max="16384" width="11.5546875" style="149"/>
  </cols>
  <sheetData>
    <row r="1" spans="1:30" ht="89.25" customHeight="1">
      <c r="A1" s="146"/>
      <c r="B1" s="697" t="s">
        <v>1071</v>
      </c>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147"/>
      <c r="AD1" s="147"/>
    </row>
    <row r="2" spans="1:30" ht="18">
      <c r="A2" s="150"/>
      <c r="B2" s="152" t="s">
        <v>1005</v>
      </c>
      <c r="C2" s="152" t="s">
        <v>1006</v>
      </c>
      <c r="D2" s="152" t="s">
        <v>1007</v>
      </c>
      <c r="E2" s="152" t="s">
        <v>1008</v>
      </c>
      <c r="F2" s="152" t="s">
        <v>105</v>
      </c>
      <c r="G2" s="152" t="s">
        <v>108</v>
      </c>
      <c r="H2" s="152" t="s">
        <v>109</v>
      </c>
      <c r="I2" s="152" t="s">
        <v>106</v>
      </c>
      <c r="J2" s="152" t="s">
        <v>110</v>
      </c>
      <c r="K2" s="152" t="s">
        <v>111</v>
      </c>
      <c r="L2" s="152" t="s">
        <v>112</v>
      </c>
      <c r="M2" s="152" t="s">
        <v>113</v>
      </c>
      <c r="N2" s="152" t="s">
        <v>107</v>
      </c>
      <c r="O2" s="152" t="s">
        <v>114</v>
      </c>
      <c r="P2" s="152" t="s">
        <v>115</v>
      </c>
      <c r="Q2" s="152" t="s">
        <v>116</v>
      </c>
      <c r="R2" s="152" t="s">
        <v>117</v>
      </c>
      <c r="S2" s="152" t="s">
        <v>118</v>
      </c>
      <c r="T2" s="152" t="s">
        <v>119</v>
      </c>
      <c r="U2" s="152" t="s">
        <v>120</v>
      </c>
      <c r="V2" s="152" t="s">
        <v>121</v>
      </c>
      <c r="W2" s="152" t="s">
        <v>122</v>
      </c>
      <c r="X2" s="152" t="s">
        <v>123</v>
      </c>
      <c r="Y2" s="152" t="s">
        <v>124</v>
      </c>
      <c r="Z2" s="152" t="s">
        <v>125</v>
      </c>
      <c r="AA2" s="152" t="s">
        <v>126</v>
      </c>
      <c r="AB2" s="347" t="s">
        <v>127</v>
      </c>
      <c r="AC2" s="347" t="s">
        <v>128</v>
      </c>
      <c r="AD2" s="347" t="s">
        <v>129</v>
      </c>
    </row>
    <row r="3" spans="1:30" ht="18">
      <c r="A3" s="153" t="s">
        <v>1009</v>
      </c>
      <c r="B3" s="348"/>
      <c r="C3" s="348"/>
      <c r="D3" s="348"/>
      <c r="E3" s="348"/>
      <c r="F3" s="348"/>
      <c r="G3" s="348"/>
      <c r="H3" s="348"/>
      <c r="I3" s="348"/>
      <c r="J3" s="348"/>
      <c r="K3" s="348"/>
      <c r="L3" s="348"/>
      <c r="M3" s="348"/>
      <c r="N3" s="348"/>
      <c r="O3" s="348"/>
      <c r="P3" s="348"/>
      <c r="Q3" s="348"/>
      <c r="R3" s="348"/>
      <c r="S3" s="348"/>
      <c r="T3" s="157"/>
      <c r="U3" s="157"/>
      <c r="V3" s="157"/>
      <c r="W3" s="158"/>
      <c r="X3" s="158"/>
      <c r="Y3" s="158"/>
      <c r="Z3" s="158"/>
      <c r="AA3" s="349"/>
      <c r="AB3" s="349"/>
      <c r="AC3" s="349" t="str">
        <f>'Bilans Blé tendre - FAM'!AC3</f>
        <v>Prov. Mars 25</v>
      </c>
      <c r="AD3" s="349" t="str">
        <f>'Bilans Blé tendre - FAM'!AD3</f>
        <v>Prév. Mars 25</v>
      </c>
    </row>
    <row r="4" spans="1:30" ht="18">
      <c r="A4" s="285"/>
      <c r="B4" s="161"/>
      <c r="C4" s="161"/>
      <c r="D4" s="161"/>
      <c r="E4" s="161"/>
      <c r="F4" s="161"/>
      <c r="G4" s="161"/>
      <c r="H4" s="161"/>
      <c r="I4" s="161"/>
      <c r="J4" s="161"/>
      <c r="K4" s="161"/>
      <c r="L4" s="161"/>
      <c r="M4" s="161"/>
      <c r="N4" s="161"/>
      <c r="O4" s="161"/>
      <c r="P4" s="161"/>
      <c r="Q4" s="161" t="s">
        <v>116</v>
      </c>
      <c r="R4" s="161" t="s">
        <v>117</v>
      </c>
      <c r="S4" s="161" t="s">
        <v>118</v>
      </c>
      <c r="T4" s="161" t="s">
        <v>119</v>
      </c>
      <c r="U4" s="161" t="s">
        <v>120</v>
      </c>
      <c r="V4" s="161" t="s">
        <v>1072</v>
      </c>
      <c r="W4" s="161" t="s">
        <v>1012</v>
      </c>
      <c r="X4" s="161"/>
      <c r="Y4" s="161"/>
      <c r="Z4" s="161"/>
      <c r="AA4" s="161"/>
      <c r="AB4" s="293"/>
      <c r="AC4" s="293"/>
      <c r="AD4" s="293"/>
    </row>
    <row r="5" spans="1:30">
      <c r="A5" s="164" t="s">
        <v>1013</v>
      </c>
      <c r="B5" s="350">
        <f>B21/B9</f>
        <v>0.87878215262295256</v>
      </c>
      <c r="C5" s="350">
        <f t="shared" ref="C5:AC5" si="0">C21/C9</f>
        <v>0.91159808819506383</v>
      </c>
      <c r="D5" s="350">
        <f t="shared" si="0"/>
        <v>0.88411290594887215</v>
      </c>
      <c r="E5" s="350">
        <f t="shared" si="0"/>
        <v>0.89163120898170523</v>
      </c>
      <c r="F5" s="350">
        <f t="shared" si="0"/>
        <v>0.88289210068116675</v>
      </c>
      <c r="G5" s="350">
        <f t="shared" si="0"/>
        <v>0.87884320093966073</v>
      </c>
      <c r="H5" s="350">
        <f t="shared" si="0"/>
        <v>0.8671065267658028</v>
      </c>
      <c r="I5" s="350">
        <f t="shared" si="0"/>
        <v>0.93999928922494413</v>
      </c>
      <c r="J5" s="350">
        <f t="shared" si="0"/>
        <v>0.88859094487846169</v>
      </c>
      <c r="K5" s="350">
        <f t="shared" si="0"/>
        <v>0.90278972673549929</v>
      </c>
      <c r="L5" s="350">
        <f t="shared" si="0"/>
        <v>0.89118421436978923</v>
      </c>
      <c r="M5" s="350">
        <f t="shared" si="0"/>
        <v>0.85841915774359989</v>
      </c>
      <c r="N5" s="350">
        <f t="shared" si="0"/>
        <v>0.8523565899471357</v>
      </c>
      <c r="O5" s="350">
        <f t="shared" si="0"/>
        <v>0.89923835213162828</v>
      </c>
      <c r="P5" s="350">
        <f t="shared" si="0"/>
        <v>0.88850850150664351</v>
      </c>
      <c r="Q5" s="350">
        <f t="shared" si="0"/>
        <v>0.89572191310960958</v>
      </c>
      <c r="R5" s="350">
        <f t="shared" si="0"/>
        <v>0.89475159708138841</v>
      </c>
      <c r="S5" s="350">
        <f t="shared" si="0"/>
        <v>0.87088731107205597</v>
      </c>
      <c r="T5" s="350">
        <f t="shared" si="0"/>
        <v>0.90719388701699932</v>
      </c>
      <c r="U5" s="350">
        <f t="shared" si="0"/>
        <v>0.92498011583972461</v>
      </c>
      <c r="V5" s="350">
        <f t="shared" si="0"/>
        <v>0.86874089236541341</v>
      </c>
      <c r="W5" s="350">
        <f t="shared" si="0"/>
        <v>0.88613396150795121</v>
      </c>
      <c r="X5" s="350">
        <f t="shared" si="0"/>
        <v>0.89472822248902184</v>
      </c>
      <c r="Y5" s="350">
        <f t="shared" si="0"/>
        <v>0.86075450154028377</v>
      </c>
      <c r="Z5" s="350">
        <f t="shared" si="0"/>
        <v>0.84688377037733642</v>
      </c>
      <c r="AA5" s="350">
        <f t="shared" si="0"/>
        <v>0.8747596534551515</v>
      </c>
      <c r="AB5" s="350">
        <f t="shared" si="0"/>
        <v>0.85410920913650312</v>
      </c>
      <c r="AC5" s="350">
        <f t="shared" si="0"/>
        <v>0.88057023923756284</v>
      </c>
      <c r="AD5" s="350">
        <f>AD21/AD9</f>
        <v>0.86622417743219582</v>
      </c>
    </row>
    <row r="6" spans="1:30">
      <c r="A6" s="288"/>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293"/>
      <c r="AC6" s="293"/>
      <c r="AD6" s="293"/>
    </row>
    <row r="7" spans="1:30" ht="18">
      <c r="A7" s="292" t="s">
        <v>1014</v>
      </c>
      <c r="B7" s="173">
        <v>1661.1039999999996</v>
      </c>
      <c r="C7" s="173">
        <v>1776.6749999999997</v>
      </c>
      <c r="D7" s="173">
        <v>1713.6529999999998</v>
      </c>
      <c r="E7" s="173">
        <v>1673.04</v>
      </c>
      <c r="F7" s="173">
        <v>1721.6529999999998</v>
      </c>
      <c r="G7" s="173">
        <v>1867.588</v>
      </c>
      <c r="H7" s="173">
        <v>1782.934</v>
      </c>
      <c r="I7" s="173">
        <v>1638.9180000000001</v>
      </c>
      <c r="J7" s="173">
        <v>1772.9680000000003</v>
      </c>
      <c r="K7" s="173">
        <v>1622.9680000000001</v>
      </c>
      <c r="L7" s="173">
        <v>1476.8939999999998</v>
      </c>
      <c r="M7" s="173">
        <v>1494.4709999999998</v>
      </c>
      <c r="N7" s="173">
        <v>1716.1770000000001</v>
      </c>
      <c r="O7" s="173">
        <v>1697.6160000000002</v>
      </c>
      <c r="P7" s="173">
        <v>1550.1680000000001</v>
      </c>
      <c r="Q7" s="173">
        <v>1557.328</v>
      </c>
      <c r="R7" s="173">
        <v>1674.107</v>
      </c>
      <c r="S7" s="173">
        <v>1762.7909999999999</v>
      </c>
      <c r="T7" s="173">
        <v>1764.2180000000001</v>
      </c>
      <c r="U7" s="173">
        <v>1559.0619999999999</v>
      </c>
      <c r="V7" s="173">
        <v>1368.13</v>
      </c>
      <c r="W7" s="173">
        <v>1330.33</v>
      </c>
      <c r="X7" s="173">
        <v>1319.0840000000001</v>
      </c>
      <c r="Y7" s="173">
        <v>1392.03</v>
      </c>
      <c r="Z7" s="173">
        <v>1604.3889999999999</v>
      </c>
      <c r="AA7" s="173">
        <v>1429.59</v>
      </c>
      <c r="AB7" s="173">
        <v>1334.6030000000001</v>
      </c>
      <c r="AC7" s="173">
        <v>1215.7929999999999</v>
      </c>
      <c r="AD7" s="173">
        <v>1507.1270000000002</v>
      </c>
    </row>
    <row r="8" spans="1:30" ht="18">
      <c r="A8" s="292" t="s">
        <v>1015</v>
      </c>
      <c r="B8" s="293">
        <f>B9/B7*10</f>
        <v>85.199198244059403</v>
      </c>
      <c r="C8" s="293">
        <f>C9/C7*10</f>
        <v>92.132967481390835</v>
      </c>
      <c r="D8" s="293">
        <f t="shared" ref="D8:AD8" si="1">D9/D7*10</f>
        <v>85.892190542659463</v>
      </c>
      <c r="E8" s="293">
        <f t="shared" si="1"/>
        <v>90.8834600487735</v>
      </c>
      <c r="F8" s="293">
        <f t="shared" si="1"/>
        <v>91.348354168929518</v>
      </c>
      <c r="G8" s="293">
        <f t="shared" si="1"/>
        <v>86.446899423213267</v>
      </c>
      <c r="H8" s="293">
        <f t="shared" si="1"/>
        <v>90.105489603092451</v>
      </c>
      <c r="I8" s="293">
        <f t="shared" si="1"/>
        <v>70.97592558016936</v>
      </c>
      <c r="J8" s="293">
        <f t="shared" si="1"/>
        <v>87.644273895524321</v>
      </c>
      <c r="K8" s="293">
        <f t="shared" si="1"/>
        <v>81.621888416777168</v>
      </c>
      <c r="L8" s="293">
        <f t="shared" si="1"/>
        <v>84.166536664107255</v>
      </c>
      <c r="M8" s="293">
        <f t="shared" si="1"/>
        <v>96.51214777670495</v>
      </c>
      <c r="N8" s="293">
        <f t="shared" si="1"/>
        <v>92.965700507581687</v>
      </c>
      <c r="O8" s="293">
        <f t="shared" si="1"/>
        <v>91.046334388931285</v>
      </c>
      <c r="P8" s="293">
        <f t="shared" si="1"/>
        <v>90.004687878991177</v>
      </c>
      <c r="Q8" s="293">
        <f t="shared" si="1"/>
        <v>100.13831382984188</v>
      </c>
      <c r="R8" s="293">
        <f t="shared" si="1"/>
        <v>91.636532969243305</v>
      </c>
      <c r="S8" s="293">
        <f t="shared" si="1"/>
        <v>82.148422586682145</v>
      </c>
      <c r="T8" s="293">
        <f t="shared" si="1"/>
        <v>101.78388385108869</v>
      </c>
      <c r="U8" s="293">
        <f t="shared" si="1"/>
        <v>83.762141879624338</v>
      </c>
      <c r="V8" s="293">
        <f t="shared" si="1"/>
        <v>82.239750608494816</v>
      </c>
      <c r="W8" s="293">
        <f t="shared" si="1"/>
        <v>102.16117053663379</v>
      </c>
      <c r="X8" s="293">
        <f t="shared" si="1"/>
        <v>89.108381270639327</v>
      </c>
      <c r="Y8" s="293">
        <f t="shared" si="1"/>
        <v>86.47595956983686</v>
      </c>
      <c r="Z8" s="293">
        <f t="shared" si="1"/>
        <v>79.75861838992914</v>
      </c>
      <c r="AA8" s="293">
        <f t="shared" si="1"/>
        <v>100.72652928462007</v>
      </c>
      <c r="AB8" s="293">
        <f t="shared" si="1"/>
        <v>75.699913007838276</v>
      </c>
      <c r="AC8" s="293">
        <f t="shared" si="1"/>
        <v>99.16017118045589</v>
      </c>
      <c r="AD8" s="293">
        <f t="shared" si="1"/>
        <v>93.328288856878032</v>
      </c>
    </row>
    <row r="9" spans="1:30" ht="18">
      <c r="A9" s="292" t="s">
        <v>1016</v>
      </c>
      <c r="B9" s="351">
        <v>14152.472900000001</v>
      </c>
      <c r="C9" s="351">
        <v>16369.034000000001</v>
      </c>
      <c r="D9" s="351">
        <v>14718.940999999999</v>
      </c>
      <c r="E9" s="351">
        <v>15205.1664</v>
      </c>
      <c r="F9" s="351">
        <v>15727.016799999999</v>
      </c>
      <c r="G9" s="351">
        <v>16144.719200000001</v>
      </c>
      <c r="H9" s="351">
        <v>16065.214100000005</v>
      </c>
      <c r="I9" s="351">
        <v>11632.372200000002</v>
      </c>
      <c r="J9" s="351">
        <v>15539.049300000001</v>
      </c>
      <c r="K9" s="351">
        <v>13246.971300000001</v>
      </c>
      <c r="L9" s="351">
        <v>12430.505300000001</v>
      </c>
      <c r="M9" s="351">
        <v>14423.4606</v>
      </c>
      <c r="N9" s="351">
        <v>15954.559700000003</v>
      </c>
      <c r="O9" s="351">
        <v>15456.171399999997</v>
      </c>
      <c r="P9" s="351">
        <v>13952.238700000002</v>
      </c>
      <c r="Q9" s="351">
        <v>15594.82</v>
      </c>
      <c r="R9" s="351">
        <v>15340.9361299541</v>
      </c>
      <c r="S9" s="351">
        <v>14481.05</v>
      </c>
      <c r="T9" s="351">
        <v>17956.896000000001</v>
      </c>
      <c r="U9" s="496">
        <v>13059.037244313087</v>
      </c>
      <c r="V9" s="351">
        <v>11251.467000000001</v>
      </c>
      <c r="W9" s="351">
        <v>13590.807000000001</v>
      </c>
      <c r="X9" s="351">
        <v>11754.144</v>
      </c>
      <c r="Y9" s="496">
        <v>12037.713</v>
      </c>
      <c r="Z9" s="351">
        <v>12796.385</v>
      </c>
      <c r="AA9" s="351">
        <v>14399.7639</v>
      </c>
      <c r="AB9" s="351">
        <v>10102.933099999998</v>
      </c>
      <c r="AC9" s="496">
        <v>12055.824200000001</v>
      </c>
      <c r="AD9" s="351">
        <v>14065.758400000002</v>
      </c>
    </row>
    <row r="10" spans="1:30" ht="18">
      <c r="A10" s="292"/>
      <c r="B10" s="173"/>
      <c r="C10" s="173"/>
      <c r="D10" s="173"/>
      <c r="E10" s="173"/>
      <c r="F10" s="173"/>
      <c r="G10" s="173"/>
      <c r="H10" s="173"/>
      <c r="I10" s="173"/>
      <c r="J10" s="173"/>
      <c r="K10" s="173"/>
      <c r="L10" s="173"/>
      <c r="M10" s="173"/>
      <c r="N10" s="173"/>
      <c r="O10" s="173"/>
      <c r="P10" s="173"/>
      <c r="Q10" s="173"/>
      <c r="R10" s="173"/>
      <c r="S10" s="173"/>
      <c r="T10" s="173"/>
      <c r="U10" s="173"/>
      <c r="V10" s="352"/>
      <c r="W10" s="352"/>
      <c r="X10" s="352"/>
      <c r="Y10" s="352"/>
      <c r="Z10" s="352"/>
      <c r="AA10" s="352"/>
      <c r="AB10" s="293"/>
      <c r="AC10" s="293"/>
      <c r="AD10" s="293"/>
    </row>
    <row r="11" spans="1:30" ht="36">
      <c r="A11" s="297" t="s">
        <v>1073</v>
      </c>
      <c r="B11" s="173">
        <f>B9-B21</f>
        <v>1715.5323000000008</v>
      </c>
      <c r="C11" s="173">
        <f t="shared" ref="C11:AD11" si="2">C9-C21</f>
        <v>1447.0539000000026</v>
      </c>
      <c r="D11" s="173">
        <f t="shared" si="2"/>
        <v>1705.7353000000021</v>
      </c>
      <c r="E11" s="173">
        <f t="shared" si="2"/>
        <v>1647.7654999999977</v>
      </c>
      <c r="F11" s="173">
        <f t="shared" si="2"/>
        <v>1841.7578999999987</v>
      </c>
      <c r="G11" s="173">
        <f t="shared" si="2"/>
        <v>1956.0425000000014</v>
      </c>
      <c r="H11" s="173">
        <f t="shared" si="2"/>
        <v>2134.9620999999988</v>
      </c>
      <c r="I11" s="173">
        <f t="shared" si="2"/>
        <v>697.95060000000012</v>
      </c>
      <c r="J11" s="173">
        <f t="shared" si="2"/>
        <v>1731.1908000000021</v>
      </c>
      <c r="K11" s="173">
        <f t="shared" si="2"/>
        <v>1287.7416999999987</v>
      </c>
      <c r="L11" s="173">
        <f t="shared" si="2"/>
        <v>1352.6351999999988</v>
      </c>
      <c r="M11" s="173">
        <f t="shared" si="2"/>
        <v>2042.0857000000015</v>
      </c>
      <c r="N11" s="173">
        <f t="shared" si="2"/>
        <v>2355.585600000004</v>
      </c>
      <c r="O11" s="173">
        <f t="shared" si="2"/>
        <v>1557.3892999999971</v>
      </c>
      <c r="P11" s="173">
        <f t="shared" si="2"/>
        <v>1555.5560000000005</v>
      </c>
      <c r="Q11" s="173">
        <f t="shared" si="2"/>
        <v>1626.1979949999986</v>
      </c>
      <c r="R11" s="173">
        <f t="shared" si="2"/>
        <v>1614.6090269540946</v>
      </c>
      <c r="S11" s="173">
        <f t="shared" si="2"/>
        <v>1869.6873040000046</v>
      </c>
      <c r="T11" s="173">
        <f t="shared" si="2"/>
        <v>1666.5097189999924</v>
      </c>
      <c r="U11" s="493">
        <f t="shared" si="2"/>
        <v>979.68746131308944</v>
      </c>
      <c r="V11" s="173">
        <f t="shared" si="2"/>
        <v>1476.8575179999989</v>
      </c>
      <c r="W11" s="173">
        <f t="shared" si="2"/>
        <v>1547.5313530000058</v>
      </c>
      <c r="X11" s="173">
        <f t="shared" si="2"/>
        <v>1237.3796319999983</v>
      </c>
      <c r="Y11" s="493">
        <f t="shared" si="2"/>
        <v>1676.1973470000066</v>
      </c>
      <c r="Z11" s="173">
        <f t="shared" si="2"/>
        <v>1959.3342240000075</v>
      </c>
      <c r="AA11" s="173">
        <f t="shared" si="2"/>
        <v>1803.4314209999993</v>
      </c>
      <c r="AB11" s="173">
        <f t="shared" si="2"/>
        <v>1473.9249</v>
      </c>
      <c r="AC11" s="493">
        <f t="shared" si="2"/>
        <v>1439.8242000000009</v>
      </c>
      <c r="AD11" s="173">
        <f t="shared" si="2"/>
        <v>1881.6584000000021</v>
      </c>
    </row>
    <row r="12" spans="1:30" ht="18">
      <c r="A12" s="187"/>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row>
    <row r="13" spans="1:30" ht="18">
      <c r="A13" s="187"/>
      <c r="B13" s="173"/>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row>
    <row r="14" spans="1:30" ht="11.25" customHeight="1">
      <c r="A14" s="187"/>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row>
    <row r="15" spans="1:30" ht="48" customHeight="1">
      <c r="A15" s="353"/>
      <c r="B15" s="696" t="s">
        <v>1074</v>
      </c>
      <c r="C15" s="696"/>
      <c r="D15" s="696"/>
      <c r="E15" s="696"/>
      <c r="F15" s="696"/>
      <c r="G15" s="696"/>
      <c r="H15" s="696"/>
      <c r="I15" s="696"/>
      <c r="J15" s="696"/>
      <c r="K15" s="696"/>
      <c r="L15" s="696"/>
      <c r="M15" s="696"/>
      <c r="N15" s="696"/>
      <c r="O15" s="696"/>
      <c r="P15" s="696"/>
      <c r="Q15" s="696"/>
      <c r="R15" s="696"/>
      <c r="S15" s="696"/>
      <c r="T15" s="696"/>
      <c r="U15" s="696"/>
      <c r="V15" s="696"/>
      <c r="W15" s="696"/>
      <c r="X15" s="696"/>
      <c r="Y15" s="696"/>
      <c r="Z15" s="696"/>
      <c r="AA15" s="696"/>
      <c r="AB15" s="696"/>
      <c r="AC15" s="696"/>
      <c r="AD15" s="191"/>
    </row>
    <row r="16" spans="1:30">
      <c r="A16" s="192" t="s">
        <v>1009</v>
      </c>
      <c r="B16" s="194" t="s">
        <v>1005</v>
      </c>
      <c r="C16" s="194" t="s">
        <v>1006</v>
      </c>
      <c r="D16" s="194" t="s">
        <v>1007</v>
      </c>
      <c r="E16" s="194" t="s">
        <v>1008</v>
      </c>
      <c r="F16" s="194" t="s">
        <v>105</v>
      </c>
      <c r="G16" s="194" t="s">
        <v>108</v>
      </c>
      <c r="H16" s="194" t="s">
        <v>109</v>
      </c>
      <c r="I16" s="194" t="s">
        <v>106</v>
      </c>
      <c r="J16" s="194" t="s">
        <v>110</v>
      </c>
      <c r="K16" s="194" t="s">
        <v>111</v>
      </c>
      <c r="L16" s="194" t="s">
        <v>112</v>
      </c>
      <c r="M16" s="194" t="s">
        <v>113</v>
      </c>
      <c r="N16" s="194" t="s">
        <v>107</v>
      </c>
      <c r="O16" s="194" t="s">
        <v>114</v>
      </c>
      <c r="P16" s="194" t="s">
        <v>115</v>
      </c>
      <c r="Q16" s="194" t="s">
        <v>116</v>
      </c>
      <c r="R16" s="194" t="s">
        <v>117</v>
      </c>
      <c r="S16" s="194" t="s">
        <v>118</v>
      </c>
      <c r="T16" s="194" t="s">
        <v>119</v>
      </c>
      <c r="U16" s="194" t="s">
        <v>120</v>
      </c>
      <c r="V16" s="194" t="s">
        <v>121</v>
      </c>
      <c r="W16" s="194" t="s">
        <v>122</v>
      </c>
      <c r="X16" s="194" t="s">
        <v>123</v>
      </c>
      <c r="Y16" s="194" t="s">
        <v>124</v>
      </c>
      <c r="Z16" s="194" t="s">
        <v>125</v>
      </c>
      <c r="AA16" s="194" t="str">
        <f>AA2</f>
        <v>2021/22</v>
      </c>
      <c r="AB16" s="194" t="str">
        <f>AB2</f>
        <v>2022/23</v>
      </c>
      <c r="AC16" s="194" t="str">
        <f>AC2</f>
        <v>2023/24</v>
      </c>
      <c r="AD16" s="194" t="str">
        <f>AD2</f>
        <v>2024/25</v>
      </c>
    </row>
    <row r="17" spans="1:30" ht="18">
      <c r="A17" s="196"/>
      <c r="B17" s="199"/>
      <c r="C17" s="199"/>
      <c r="D17" s="199"/>
      <c r="E17" s="199"/>
      <c r="F17" s="199"/>
      <c r="G17" s="199"/>
      <c r="H17" s="199"/>
      <c r="I17" s="199"/>
      <c r="J17" s="199"/>
      <c r="K17" s="199"/>
      <c r="L17" s="199"/>
      <c r="M17" s="199"/>
      <c r="N17" s="199"/>
      <c r="O17" s="199"/>
      <c r="P17" s="199"/>
      <c r="Q17" s="199"/>
      <c r="R17" s="354"/>
      <c r="S17" s="354"/>
      <c r="T17" s="199"/>
      <c r="U17" s="199"/>
      <c r="V17" s="199"/>
      <c r="W17" s="199"/>
      <c r="X17" s="199"/>
      <c r="Y17" s="199"/>
      <c r="Z17" s="199"/>
      <c r="AA17" s="199"/>
      <c r="AB17" s="199"/>
      <c r="AC17" s="199" t="str">
        <f>AC3</f>
        <v>Prov. Mars 25</v>
      </c>
      <c r="AD17" s="199" t="str">
        <f>AD3</f>
        <v>Prév. Mars 25</v>
      </c>
    </row>
    <row r="18" spans="1:30" ht="18">
      <c r="A18" s="201"/>
      <c r="B18" s="355"/>
      <c r="C18" s="355"/>
      <c r="D18" s="355"/>
      <c r="E18" s="355"/>
      <c r="F18" s="355"/>
      <c r="G18" s="355"/>
      <c r="H18" s="355"/>
      <c r="I18" s="355"/>
      <c r="J18" s="355"/>
      <c r="K18" s="355"/>
      <c r="L18" s="355"/>
      <c r="M18" s="355"/>
      <c r="N18" s="355"/>
      <c r="O18" s="355"/>
      <c r="P18" s="355"/>
      <c r="Q18" s="355"/>
      <c r="R18" s="356"/>
      <c r="S18" s="356"/>
      <c r="T18" s="355"/>
      <c r="U18" s="355"/>
      <c r="V18" s="355"/>
      <c r="W18" s="355"/>
      <c r="X18" s="355"/>
      <c r="Y18" s="357"/>
      <c r="Z18" s="357"/>
      <c r="AA18" s="357"/>
      <c r="AB18" s="357"/>
      <c r="AC18" s="357"/>
      <c r="AD18" s="358"/>
    </row>
    <row r="19" spans="1:30">
      <c r="A19" s="206" t="s">
        <v>1022</v>
      </c>
      <c r="B19" s="207"/>
      <c r="C19" s="207"/>
      <c r="D19" s="207"/>
      <c r="E19" s="207"/>
      <c r="F19" s="207"/>
      <c r="G19" s="207"/>
      <c r="H19" s="207"/>
      <c r="I19" s="207"/>
      <c r="J19" s="207"/>
      <c r="K19" s="207"/>
      <c r="L19" s="207"/>
      <c r="M19" s="207"/>
      <c r="N19" s="207"/>
      <c r="O19" s="207"/>
      <c r="P19" s="207"/>
      <c r="Q19" s="207"/>
      <c r="R19" s="209"/>
      <c r="S19" s="209"/>
      <c r="T19" s="209"/>
      <c r="U19" s="309"/>
      <c r="V19" s="309"/>
      <c r="W19" s="309"/>
      <c r="X19" s="309"/>
      <c r="Y19" s="309"/>
      <c r="Z19" s="309"/>
      <c r="AA19" s="309"/>
      <c r="AB19" s="359"/>
      <c r="AC19" s="359"/>
      <c r="AD19" s="359"/>
    </row>
    <row r="20" spans="1:30" ht="18">
      <c r="A20" s="213" t="s">
        <v>1023</v>
      </c>
      <c r="B20" s="257">
        <v>1647.34752</v>
      </c>
      <c r="C20" s="173">
        <f>B49</f>
        <v>2035.71912</v>
      </c>
      <c r="D20" s="173">
        <f t="shared" ref="D20:AA20" si="3">C49</f>
        <v>3054.2546000000002</v>
      </c>
      <c r="E20" s="173">
        <f t="shared" si="3"/>
        <v>2330.3293400000002</v>
      </c>
      <c r="F20" s="173">
        <f t="shared" si="3"/>
        <v>1966.8530000000001</v>
      </c>
      <c r="G20" s="173">
        <f t="shared" si="3"/>
        <v>2424.6162400000007</v>
      </c>
      <c r="H20" s="173">
        <f t="shared" si="3"/>
        <v>2344.8762999999999</v>
      </c>
      <c r="I20" s="173">
        <f t="shared" si="3"/>
        <v>2509.6693999999998</v>
      </c>
      <c r="J20" s="173">
        <f t="shared" si="3"/>
        <v>2166.2290000000003</v>
      </c>
      <c r="K20" s="173">
        <f t="shared" si="3"/>
        <v>2157.8248399999998</v>
      </c>
      <c r="L20" s="173">
        <f t="shared" si="3"/>
        <v>2187.1606500000003</v>
      </c>
      <c r="M20" s="173">
        <f t="shared" si="3"/>
        <v>1916.7691</v>
      </c>
      <c r="N20" s="173">
        <f t="shared" si="3"/>
        <v>2171.4950600000002</v>
      </c>
      <c r="O20" s="173">
        <f t="shared" si="3"/>
        <v>2346.1220000000008</v>
      </c>
      <c r="P20" s="173">
        <f t="shared" si="3"/>
        <v>2364.6417999999999</v>
      </c>
      <c r="Q20" s="173">
        <f t="shared" si="3"/>
        <v>2281.7161419999998</v>
      </c>
      <c r="R20" s="173">
        <f t="shared" si="3"/>
        <v>2448.6120530000003</v>
      </c>
      <c r="S20" s="173">
        <f t="shared" si="3"/>
        <v>2469.5330209999997</v>
      </c>
      <c r="T20" s="173">
        <f t="shared" si="3"/>
        <v>2372.5076359999998</v>
      </c>
      <c r="U20" s="173">
        <f t="shared" si="3"/>
        <v>2966.2933019999991</v>
      </c>
      <c r="V20" s="173">
        <f t="shared" si="3"/>
        <v>2471.7123689999999</v>
      </c>
      <c r="W20" s="173">
        <f t="shared" si="3"/>
        <v>1924.1739250000003</v>
      </c>
      <c r="X20" s="173">
        <f t="shared" si="3"/>
        <v>2568.6034859999995</v>
      </c>
      <c r="Y20" s="173">
        <f t="shared" si="3"/>
        <v>2105.6380509999999</v>
      </c>
      <c r="Z20" s="173">
        <f t="shared" si="3"/>
        <v>2061.6159190000003</v>
      </c>
      <c r="AA20" s="173">
        <f t="shared" si="3"/>
        <v>1750.592357</v>
      </c>
      <c r="AB20" s="173">
        <v>2315.3515469999998</v>
      </c>
      <c r="AC20" s="173">
        <v>1653.829326</v>
      </c>
      <c r="AD20" s="173">
        <v>1999.537437</v>
      </c>
    </row>
    <row r="21" spans="1:30" ht="18">
      <c r="A21" s="215" t="s">
        <v>1024</v>
      </c>
      <c r="B21" s="313">
        <v>12436.9406</v>
      </c>
      <c r="C21" s="313">
        <v>14921.980099999999</v>
      </c>
      <c r="D21" s="313">
        <v>13013.205699999997</v>
      </c>
      <c r="E21" s="313">
        <v>13557.400900000002</v>
      </c>
      <c r="F21" s="313">
        <v>13885.258900000001</v>
      </c>
      <c r="G21" s="313">
        <v>14188.6767</v>
      </c>
      <c r="H21" s="313">
        <v>13930.252000000006</v>
      </c>
      <c r="I21" s="313">
        <v>10934.421600000001</v>
      </c>
      <c r="J21" s="313">
        <v>13807.858499999998</v>
      </c>
      <c r="K21" s="313">
        <v>11959.229600000002</v>
      </c>
      <c r="L21" s="313">
        <v>11077.870100000002</v>
      </c>
      <c r="M21" s="313">
        <v>12381.374899999999</v>
      </c>
      <c r="N21" s="313">
        <v>13598.974099999999</v>
      </c>
      <c r="O21" s="313">
        <v>13898.7821</v>
      </c>
      <c r="P21" s="313">
        <v>12396.682700000001</v>
      </c>
      <c r="Q21" s="313">
        <v>13968.622005000001</v>
      </c>
      <c r="R21" s="313">
        <v>13726.327103000005</v>
      </c>
      <c r="S21" s="313">
        <v>12611.362695999995</v>
      </c>
      <c r="T21" s="313">
        <v>16290.386281000008</v>
      </c>
      <c r="U21" s="489">
        <v>12079.349782999998</v>
      </c>
      <c r="V21" s="313">
        <v>9774.6094820000017</v>
      </c>
      <c r="W21" s="313">
        <v>12043.275646999995</v>
      </c>
      <c r="X21" s="313">
        <v>10516.764368000002</v>
      </c>
      <c r="Y21" s="489">
        <v>10361.515652999993</v>
      </c>
      <c r="Z21" s="313">
        <v>10837.050775999993</v>
      </c>
      <c r="AA21" s="313">
        <v>12596.332479000001</v>
      </c>
      <c r="AB21" s="313">
        <v>8629.0081999999984</v>
      </c>
      <c r="AC21" s="489">
        <v>10616</v>
      </c>
      <c r="AD21" s="313">
        <v>12184.1</v>
      </c>
    </row>
    <row r="22" spans="1:30" ht="18">
      <c r="A22" s="215" t="s">
        <v>1025</v>
      </c>
      <c r="B22" s="313">
        <v>236.1</v>
      </c>
      <c r="C22" s="313">
        <v>227.4</v>
      </c>
      <c r="D22" s="313">
        <v>233.7</v>
      </c>
      <c r="E22" s="313">
        <v>254.61</v>
      </c>
      <c r="F22" s="313">
        <v>243.58899999999997</v>
      </c>
      <c r="G22" s="313">
        <v>351.72659999999996</v>
      </c>
      <c r="H22" s="313">
        <v>940.76170000000002</v>
      </c>
      <c r="I22" s="313">
        <v>334.8732</v>
      </c>
      <c r="J22" s="313">
        <v>319.80010000000004</v>
      </c>
      <c r="K22" s="313">
        <v>243.58899999999997</v>
      </c>
      <c r="L22" s="313">
        <v>351.72659999999996</v>
      </c>
      <c r="M22" s="313">
        <v>940.76170000000002</v>
      </c>
      <c r="N22" s="313">
        <v>334.8732</v>
      </c>
      <c r="O22" s="313">
        <v>301.25510000000003</v>
      </c>
      <c r="P22" s="313">
        <v>453.29899999999992</v>
      </c>
      <c r="Q22" s="313">
        <v>383.15780000000001</v>
      </c>
      <c r="R22" s="313">
        <v>474.76450000000006</v>
      </c>
      <c r="S22" s="313">
        <v>586.74629999999991</v>
      </c>
      <c r="T22" s="313">
        <v>417.46829999999994</v>
      </c>
      <c r="U22" s="489">
        <v>412.30969999999996</v>
      </c>
      <c r="V22" s="313">
        <v>577.0698000000001</v>
      </c>
      <c r="W22" s="313">
        <v>604.71220000000005</v>
      </c>
      <c r="X22" s="313">
        <v>870.51039999999989</v>
      </c>
      <c r="Y22" s="489">
        <v>675.53</v>
      </c>
      <c r="Z22" s="313">
        <v>429.74670000000009</v>
      </c>
      <c r="AA22" s="313">
        <v>488.65710000000001</v>
      </c>
      <c r="AB22" s="313">
        <v>667.346</v>
      </c>
      <c r="AC22" s="489">
        <v>323.2758</v>
      </c>
      <c r="AD22" s="313">
        <v>280</v>
      </c>
    </row>
    <row r="23" spans="1:30" ht="18">
      <c r="A23" s="215" t="s">
        <v>1026</v>
      </c>
      <c r="B23" s="313">
        <v>0</v>
      </c>
      <c r="C23" s="313">
        <v>0</v>
      </c>
      <c r="D23" s="313">
        <v>0</v>
      </c>
      <c r="E23" s="313">
        <v>0</v>
      </c>
      <c r="F23" s="313">
        <v>0</v>
      </c>
      <c r="G23" s="313">
        <v>0</v>
      </c>
      <c r="H23" s="313">
        <v>0</v>
      </c>
      <c r="I23" s="313">
        <v>0</v>
      </c>
      <c r="J23" s="313">
        <v>0</v>
      </c>
      <c r="K23" s="313">
        <v>0</v>
      </c>
      <c r="L23" s="313">
        <v>0</v>
      </c>
      <c r="M23" s="313">
        <v>0</v>
      </c>
      <c r="N23" s="313">
        <v>0</v>
      </c>
      <c r="O23" s="313">
        <v>0</v>
      </c>
      <c r="P23" s="313">
        <v>0</v>
      </c>
      <c r="Q23" s="313">
        <v>0</v>
      </c>
      <c r="R23" s="313">
        <v>0</v>
      </c>
      <c r="S23" s="313">
        <v>0</v>
      </c>
      <c r="T23" s="313">
        <v>0</v>
      </c>
      <c r="U23" s="313">
        <v>0</v>
      </c>
      <c r="V23" s="313">
        <v>0</v>
      </c>
      <c r="W23" s="313">
        <v>0</v>
      </c>
      <c r="X23" s="313">
        <v>0</v>
      </c>
      <c r="Y23" s="313">
        <v>0</v>
      </c>
      <c r="Z23" s="313">
        <v>0</v>
      </c>
      <c r="AA23" s="313">
        <v>0</v>
      </c>
      <c r="AB23" s="313">
        <v>0</v>
      </c>
      <c r="AC23" s="313">
        <v>0</v>
      </c>
      <c r="AD23" s="313">
        <v>0</v>
      </c>
    </row>
    <row r="24" spans="1:30" thickBot="1">
      <c r="A24" s="217" t="s">
        <v>1027</v>
      </c>
      <c r="B24" s="315">
        <f>SUM(B20:B22)</f>
        <v>14320.38812</v>
      </c>
      <c r="C24" s="315">
        <f>SUM(C20:C22)</f>
        <v>17185.09922</v>
      </c>
      <c r="D24" s="315">
        <f t="shared" ref="D24:AD24" si="4">SUM(D20:D22)</f>
        <v>16301.160299999998</v>
      </c>
      <c r="E24" s="315">
        <f t="shared" si="4"/>
        <v>16142.340240000003</v>
      </c>
      <c r="F24" s="315">
        <f t="shared" si="4"/>
        <v>16095.7009</v>
      </c>
      <c r="G24" s="315">
        <f t="shared" si="4"/>
        <v>16965.019540000001</v>
      </c>
      <c r="H24" s="315">
        <f t="shared" si="4"/>
        <v>17215.890000000007</v>
      </c>
      <c r="I24" s="315">
        <f t="shared" si="4"/>
        <v>13778.9642</v>
      </c>
      <c r="J24" s="315">
        <f t="shared" si="4"/>
        <v>16293.887599999998</v>
      </c>
      <c r="K24" s="315">
        <f t="shared" si="4"/>
        <v>14360.643440000002</v>
      </c>
      <c r="L24" s="315">
        <f t="shared" si="4"/>
        <v>13616.757350000002</v>
      </c>
      <c r="M24" s="315">
        <f t="shared" si="4"/>
        <v>15238.905699999999</v>
      </c>
      <c r="N24" s="315">
        <f t="shared" si="4"/>
        <v>16105.342360000001</v>
      </c>
      <c r="O24" s="315">
        <f t="shared" si="4"/>
        <v>16546.159200000002</v>
      </c>
      <c r="P24" s="315">
        <f t="shared" si="4"/>
        <v>15214.6235</v>
      </c>
      <c r="Q24" s="315">
        <f t="shared" si="4"/>
        <v>16633.495946999999</v>
      </c>
      <c r="R24" s="315">
        <f t="shared" si="4"/>
        <v>16649.703656000005</v>
      </c>
      <c r="S24" s="315">
        <f t="shared" si="4"/>
        <v>15667.642016999995</v>
      </c>
      <c r="T24" s="315">
        <f t="shared" si="4"/>
        <v>19080.362217000009</v>
      </c>
      <c r="U24" s="315">
        <f t="shared" si="4"/>
        <v>15457.952784999996</v>
      </c>
      <c r="V24" s="315">
        <f t="shared" si="4"/>
        <v>12823.391651</v>
      </c>
      <c r="W24" s="315">
        <f t="shared" si="4"/>
        <v>14572.161771999996</v>
      </c>
      <c r="X24" s="315">
        <f t="shared" si="4"/>
        <v>13955.878254000001</v>
      </c>
      <c r="Y24" s="315">
        <f t="shared" si="4"/>
        <v>13142.683703999994</v>
      </c>
      <c r="Z24" s="315">
        <f t="shared" si="4"/>
        <v>13328.413394999992</v>
      </c>
      <c r="AA24" s="315">
        <f t="shared" si="4"/>
        <v>14835.581936</v>
      </c>
      <c r="AB24" s="315">
        <f t="shared" si="4"/>
        <v>11611.705746999998</v>
      </c>
      <c r="AC24" s="315">
        <f t="shared" si="4"/>
        <v>12593.105125999999</v>
      </c>
      <c r="AD24" s="315">
        <f t="shared" si="4"/>
        <v>14463.637437000001</v>
      </c>
    </row>
    <row r="25" spans="1:30" ht="19.2" thickTop="1">
      <c r="A25" s="220"/>
      <c r="B25" s="360"/>
      <c r="C25" s="360"/>
      <c r="D25" s="360"/>
      <c r="E25" s="360"/>
      <c r="F25" s="360"/>
      <c r="G25" s="360"/>
      <c r="H25" s="360"/>
      <c r="I25" s="360"/>
      <c r="J25" s="360"/>
      <c r="K25" s="360"/>
      <c r="L25" s="360"/>
      <c r="M25" s="360"/>
      <c r="N25" s="360"/>
      <c r="O25" s="360"/>
      <c r="P25" s="360"/>
      <c r="Q25" s="360"/>
      <c r="R25" s="360"/>
      <c r="S25" s="360"/>
      <c r="T25" s="360"/>
      <c r="U25" s="360"/>
      <c r="V25" s="361"/>
      <c r="W25" s="173"/>
      <c r="X25" s="173"/>
      <c r="Y25" s="183"/>
      <c r="Z25" s="183"/>
      <c r="AA25" s="183"/>
      <c r="AB25" s="183"/>
      <c r="AC25" s="183"/>
      <c r="AD25" s="183"/>
    </row>
    <row r="26" spans="1:30">
      <c r="A26" s="225" t="s">
        <v>1028</v>
      </c>
      <c r="B26" s="226"/>
      <c r="C26" s="226"/>
      <c r="D26" s="226"/>
      <c r="E26" s="226"/>
      <c r="F26" s="226"/>
      <c r="G26" s="226"/>
      <c r="H26" s="226"/>
      <c r="I26" s="226"/>
      <c r="J26" s="226"/>
      <c r="K26" s="226"/>
      <c r="L26" s="226"/>
      <c r="M26" s="226"/>
      <c r="N26" s="226"/>
      <c r="O26" s="226"/>
      <c r="P26" s="226"/>
      <c r="Q26" s="226"/>
      <c r="R26" s="362"/>
      <c r="S26" s="362"/>
      <c r="T26" s="228"/>
      <c r="U26" s="228"/>
      <c r="V26" s="229"/>
      <c r="W26" s="229"/>
      <c r="X26" s="229"/>
      <c r="Y26" s="229"/>
      <c r="Z26" s="229"/>
      <c r="AA26" s="229"/>
      <c r="AB26" s="363"/>
      <c r="AC26" s="363"/>
      <c r="AD26" s="363"/>
    </row>
    <row r="27" spans="1:30" ht="18">
      <c r="A27" s="233" t="s">
        <v>1029</v>
      </c>
      <c r="B27" s="364"/>
      <c r="C27" s="364"/>
      <c r="D27" s="364"/>
      <c r="E27" s="364"/>
      <c r="F27" s="364"/>
      <c r="G27" s="364"/>
      <c r="H27" s="364"/>
      <c r="I27" s="364"/>
      <c r="J27" s="364"/>
      <c r="K27" s="364"/>
      <c r="L27" s="364"/>
      <c r="M27" s="364"/>
      <c r="N27" s="364"/>
      <c r="O27" s="364"/>
      <c r="P27" s="364"/>
      <c r="Q27" s="364"/>
      <c r="R27" s="364"/>
      <c r="S27" s="364"/>
      <c r="T27" s="364"/>
      <c r="U27" s="364"/>
      <c r="V27" s="364"/>
      <c r="W27" s="364"/>
      <c r="X27" s="364"/>
      <c r="Y27" s="365"/>
      <c r="Z27" s="365"/>
      <c r="AA27" s="365"/>
      <c r="AB27" s="365"/>
      <c r="AC27" s="365"/>
      <c r="AD27" s="365"/>
    </row>
    <row r="28" spans="1:30" ht="18">
      <c r="A28" s="216" t="s">
        <v>1075</v>
      </c>
      <c r="B28" s="237">
        <v>1773</v>
      </c>
      <c r="C28" s="237">
        <v>1774</v>
      </c>
      <c r="D28" s="237">
        <v>1747</v>
      </c>
      <c r="E28" s="237">
        <v>1809</v>
      </c>
      <c r="F28" s="237">
        <v>1929</v>
      </c>
      <c r="G28" s="237">
        <v>1819</v>
      </c>
      <c r="H28" s="237">
        <v>1767</v>
      </c>
      <c r="I28" s="237">
        <v>1875</v>
      </c>
      <c r="J28" s="237">
        <v>1897</v>
      </c>
      <c r="K28" s="237">
        <v>1974.9981000000002</v>
      </c>
      <c r="L28" s="237">
        <v>1987.7945999999999</v>
      </c>
      <c r="M28" s="237">
        <v>2032.9908</v>
      </c>
      <c r="N28" s="237">
        <v>1881.83267</v>
      </c>
      <c r="O28" s="237">
        <v>1968.1324999999999</v>
      </c>
      <c r="P28" s="237">
        <v>2185.2632000000003</v>
      </c>
      <c r="Q28" s="237">
        <v>2174.322885</v>
      </c>
      <c r="R28" s="237">
        <v>2251.7030399999999</v>
      </c>
      <c r="S28" s="237">
        <v>2288.9032429999997</v>
      </c>
      <c r="T28" s="237">
        <v>2294.0992369999999</v>
      </c>
      <c r="U28" s="489">
        <v>2258.7256939999997</v>
      </c>
      <c r="V28" s="237">
        <v>2268.7135109999999</v>
      </c>
      <c r="W28" s="237">
        <v>2194.5958010000004</v>
      </c>
      <c r="X28" s="237">
        <v>2121.1555789999998</v>
      </c>
      <c r="Y28" s="489">
        <v>2018.6741280000001</v>
      </c>
      <c r="Z28" s="237">
        <v>1751.1506600000002</v>
      </c>
      <c r="AA28" s="237">
        <v>1885.35753</v>
      </c>
      <c r="AB28" s="237">
        <v>1735.5000030000001</v>
      </c>
      <c r="AC28" s="489">
        <v>1543.125597</v>
      </c>
      <c r="AD28" s="237">
        <v>1700</v>
      </c>
    </row>
    <row r="29" spans="1:30" ht="18">
      <c r="A29" s="216" t="s">
        <v>1076</v>
      </c>
      <c r="B29" s="237">
        <v>61</v>
      </c>
      <c r="C29" s="237">
        <v>73</v>
      </c>
      <c r="D29" s="237">
        <v>140</v>
      </c>
      <c r="E29" s="237">
        <v>140</v>
      </c>
      <c r="F29" s="237">
        <v>142</v>
      </c>
      <c r="G29" s="237">
        <v>150</v>
      </c>
      <c r="H29" s="237">
        <v>150</v>
      </c>
      <c r="I29" s="237">
        <v>142</v>
      </c>
      <c r="J29" s="237">
        <v>138</v>
      </c>
      <c r="K29" s="237">
        <v>166.553822</v>
      </c>
      <c r="L29" s="237">
        <v>163.01933500000001</v>
      </c>
      <c r="M29" s="237">
        <v>146.06050000000002</v>
      </c>
      <c r="N29" s="237">
        <v>125.86316599999999</v>
      </c>
      <c r="O29" s="237">
        <v>122.63579999999996</v>
      </c>
      <c r="P29" s="237">
        <v>135.10235499999999</v>
      </c>
      <c r="Q29" s="237">
        <v>133.67588949999993</v>
      </c>
      <c r="R29" s="237">
        <v>126.71269699999999</v>
      </c>
      <c r="S29" s="237">
        <v>147.34190000000009</v>
      </c>
      <c r="T29" s="237">
        <v>177.06310999999997</v>
      </c>
      <c r="U29" s="489">
        <v>187.88116999999994</v>
      </c>
      <c r="V29" s="237">
        <v>204.01155000000008</v>
      </c>
      <c r="W29" s="237">
        <v>158.91310999999999</v>
      </c>
      <c r="X29" s="237">
        <v>121.95837999999998</v>
      </c>
      <c r="Y29" s="489">
        <v>129.82418999999999</v>
      </c>
      <c r="Z29" s="237">
        <v>121.85021</v>
      </c>
      <c r="AA29" s="237">
        <v>127.69629999999999</v>
      </c>
      <c r="AB29" s="237">
        <v>120.05166999999994</v>
      </c>
      <c r="AC29" s="489">
        <v>105.67962</v>
      </c>
      <c r="AD29" s="237">
        <v>120</v>
      </c>
    </row>
    <row r="30" spans="1:30" ht="18">
      <c r="A30" s="216" t="s">
        <v>1034</v>
      </c>
      <c r="B30" s="240"/>
      <c r="C30" s="240"/>
      <c r="D30" s="240"/>
      <c r="E30" s="240"/>
      <c r="F30" s="240"/>
      <c r="G30" s="240"/>
      <c r="H30" s="240"/>
      <c r="I30" s="240"/>
      <c r="J30" s="240"/>
      <c r="K30" s="240"/>
      <c r="L30" s="240"/>
      <c r="M30" s="240"/>
      <c r="N30" s="237">
        <v>392</v>
      </c>
      <c r="O30" s="237">
        <v>489</v>
      </c>
      <c r="P30" s="237">
        <v>480</v>
      </c>
      <c r="Q30" s="237">
        <v>488</v>
      </c>
      <c r="R30" s="237">
        <v>521</v>
      </c>
      <c r="S30" s="237">
        <v>536</v>
      </c>
      <c r="T30" s="237">
        <v>517.5</v>
      </c>
      <c r="U30" s="489">
        <v>474</v>
      </c>
      <c r="V30" s="237">
        <v>515</v>
      </c>
      <c r="W30" s="237">
        <v>535</v>
      </c>
      <c r="X30" s="237">
        <v>550</v>
      </c>
      <c r="Y30" s="489">
        <v>500</v>
      </c>
      <c r="Z30" s="237">
        <v>530</v>
      </c>
      <c r="AA30" s="237">
        <v>530</v>
      </c>
      <c r="AB30" s="237">
        <v>531</v>
      </c>
      <c r="AC30" s="489">
        <v>530</v>
      </c>
      <c r="AD30" s="237">
        <v>530</v>
      </c>
    </row>
    <row r="31" spans="1:30" ht="18">
      <c r="A31" s="241" t="s">
        <v>1035</v>
      </c>
      <c r="B31" s="242">
        <f>SUM(B28:B30)</f>
        <v>1834</v>
      </c>
      <c r="C31" s="242">
        <f>SUM(C28:C30)</f>
        <v>1847</v>
      </c>
      <c r="D31" s="242">
        <f t="shared" ref="D31:AD31" si="5">SUM(D28:D30)</f>
        <v>1887</v>
      </c>
      <c r="E31" s="242">
        <f t="shared" si="5"/>
        <v>1949</v>
      </c>
      <c r="F31" s="242">
        <f t="shared" si="5"/>
        <v>2071</v>
      </c>
      <c r="G31" s="242">
        <f t="shared" si="5"/>
        <v>1969</v>
      </c>
      <c r="H31" s="242">
        <f t="shared" si="5"/>
        <v>1917</v>
      </c>
      <c r="I31" s="242">
        <f t="shared" si="5"/>
        <v>2017</v>
      </c>
      <c r="J31" s="242">
        <f t="shared" si="5"/>
        <v>2035</v>
      </c>
      <c r="K31" s="242">
        <f t="shared" si="5"/>
        <v>2141.5519220000001</v>
      </c>
      <c r="L31" s="242">
        <f t="shared" si="5"/>
        <v>2150.8139350000001</v>
      </c>
      <c r="M31" s="242">
        <f t="shared" si="5"/>
        <v>2179.0513000000001</v>
      </c>
      <c r="N31" s="242">
        <f t="shared" si="5"/>
        <v>2399.6958359999999</v>
      </c>
      <c r="O31" s="242">
        <f t="shared" si="5"/>
        <v>2579.7682999999997</v>
      </c>
      <c r="P31" s="242">
        <f t="shared" si="5"/>
        <v>2800.3655550000003</v>
      </c>
      <c r="Q31" s="242">
        <f t="shared" si="5"/>
        <v>2795.9987744999999</v>
      </c>
      <c r="R31" s="242">
        <f t="shared" si="5"/>
        <v>2899.4157369999998</v>
      </c>
      <c r="S31" s="242">
        <f t="shared" si="5"/>
        <v>2972.2451429999996</v>
      </c>
      <c r="T31" s="242">
        <f t="shared" si="5"/>
        <v>2988.662347</v>
      </c>
      <c r="U31" s="242">
        <f t="shared" si="5"/>
        <v>2920.6068639999999</v>
      </c>
      <c r="V31" s="242">
        <f t="shared" si="5"/>
        <v>2987.7250610000001</v>
      </c>
      <c r="W31" s="242">
        <f t="shared" si="5"/>
        <v>2888.5089110000004</v>
      </c>
      <c r="X31" s="242">
        <f t="shared" si="5"/>
        <v>2793.1139589999998</v>
      </c>
      <c r="Y31" s="242">
        <f t="shared" si="5"/>
        <v>2648.4983179999999</v>
      </c>
      <c r="Z31" s="242">
        <f t="shared" si="5"/>
        <v>2403.0008700000003</v>
      </c>
      <c r="AA31" s="242">
        <f t="shared" si="5"/>
        <v>2543.0538299999998</v>
      </c>
      <c r="AB31" s="242">
        <f t="shared" si="5"/>
        <v>2386.5516729999999</v>
      </c>
      <c r="AC31" s="242">
        <f t="shared" si="5"/>
        <v>2178.8052170000001</v>
      </c>
      <c r="AD31" s="242">
        <f t="shared" si="5"/>
        <v>2350</v>
      </c>
    </row>
    <row r="32" spans="1:30" ht="18">
      <c r="A32" s="233" t="s">
        <v>1036</v>
      </c>
      <c r="B32" s="366"/>
      <c r="C32" s="366"/>
      <c r="D32" s="366"/>
      <c r="E32" s="366"/>
      <c r="F32" s="366"/>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row>
    <row r="33" spans="1:30" ht="18">
      <c r="A33" s="246" t="s">
        <v>1037</v>
      </c>
      <c r="B33" s="367">
        <v>2494.2982999999999</v>
      </c>
      <c r="C33" s="367">
        <v>3448.6120999999998</v>
      </c>
      <c r="D33" s="367">
        <v>2873.0358999999999</v>
      </c>
      <c r="E33" s="367">
        <v>3057.7561000000001</v>
      </c>
      <c r="F33" s="367">
        <v>2785.4118009360282</v>
      </c>
      <c r="G33" s="367">
        <v>3484.9898937549665</v>
      </c>
      <c r="H33" s="367">
        <v>3086.1446800000003</v>
      </c>
      <c r="I33" s="367">
        <v>2750.2307999999998</v>
      </c>
      <c r="J33" s="367">
        <v>3227.7659999999996</v>
      </c>
      <c r="K33" s="367">
        <v>2580.9737999999998</v>
      </c>
      <c r="L33" s="367">
        <v>2618.1011999999996</v>
      </c>
      <c r="M33" s="367">
        <v>4135.2376999999997</v>
      </c>
      <c r="N33" s="367">
        <v>3478.6147999999994</v>
      </c>
      <c r="O33" s="367">
        <v>2743.2404999999999</v>
      </c>
      <c r="P33" s="367">
        <v>3467.8184310000001</v>
      </c>
      <c r="Q33" s="367">
        <v>3471.0367409999994</v>
      </c>
      <c r="R33" s="367">
        <v>3492.1373320000002</v>
      </c>
      <c r="S33" s="367">
        <v>3530.7380210000001</v>
      </c>
      <c r="T33" s="367">
        <v>3700.6086140000002</v>
      </c>
      <c r="U33" s="336">
        <v>2773.6967479999998</v>
      </c>
      <c r="V33" s="367">
        <v>2285.6166320000002</v>
      </c>
      <c r="W33" s="367">
        <v>2486.8101399999996</v>
      </c>
      <c r="X33" s="367">
        <v>3288.6717899999994</v>
      </c>
      <c r="Y33" s="336">
        <v>2862.7390890000006</v>
      </c>
      <c r="Z33" s="367">
        <v>3227.3564480000005</v>
      </c>
      <c r="AA33" s="367">
        <v>2986.6606739999993</v>
      </c>
      <c r="AB33" s="367">
        <v>2441.0619999999999</v>
      </c>
      <c r="AC33" s="336">
        <v>2816</v>
      </c>
      <c r="AD33" s="367">
        <v>3050</v>
      </c>
    </row>
    <row r="34" spans="1:30" ht="18">
      <c r="A34" s="246" t="s">
        <v>1038</v>
      </c>
      <c r="B34" s="367">
        <v>94</v>
      </c>
      <c r="C34" s="367">
        <v>93</v>
      </c>
      <c r="D34" s="367">
        <v>89</v>
      </c>
      <c r="E34" s="367">
        <v>89.325595000000007</v>
      </c>
      <c r="F34" s="367">
        <v>96.06015699999999</v>
      </c>
      <c r="G34" s="367">
        <v>93.608879999999999</v>
      </c>
      <c r="H34" s="367">
        <v>95.801710999999997</v>
      </c>
      <c r="I34" s="367">
        <v>91.881339999999994</v>
      </c>
      <c r="J34" s="367">
        <v>91.061437000000012</v>
      </c>
      <c r="K34" s="367">
        <v>88.992932999999994</v>
      </c>
      <c r="L34" s="367">
        <v>91.26971300000001</v>
      </c>
      <c r="M34" s="367">
        <v>95.850410999999994</v>
      </c>
      <c r="N34" s="367">
        <v>100.98619100000001</v>
      </c>
      <c r="O34" s="367">
        <v>91.899000000000001</v>
      </c>
      <c r="P34" s="367">
        <v>92.292299999999997</v>
      </c>
      <c r="Q34" s="367">
        <v>104.63</v>
      </c>
      <c r="R34" s="367">
        <v>108.498</v>
      </c>
      <c r="S34" s="367">
        <v>84.745999999999995</v>
      </c>
      <c r="T34" s="367">
        <v>135.11362481184827</v>
      </c>
      <c r="U34" s="336">
        <v>116.26766092294395</v>
      </c>
      <c r="V34" s="367">
        <v>103.52100211513812</v>
      </c>
      <c r="W34" s="367">
        <v>100.11451381644034</v>
      </c>
      <c r="X34" s="367">
        <v>101.30719603860257</v>
      </c>
      <c r="Y34" s="336">
        <v>114.63131845201721</v>
      </c>
      <c r="Z34" s="367">
        <v>123.16441636368536</v>
      </c>
      <c r="AA34" s="367">
        <v>129.47922790338512</v>
      </c>
      <c r="AB34" s="367">
        <v>105.8360460287458</v>
      </c>
      <c r="AC34" s="336">
        <v>105.8360460287458</v>
      </c>
      <c r="AD34" s="367">
        <v>130</v>
      </c>
    </row>
    <row r="35" spans="1:30" ht="18">
      <c r="A35" s="246" t="s">
        <v>1077</v>
      </c>
      <c r="B35" s="367">
        <f>0.01*B21</f>
        <v>124.369406</v>
      </c>
      <c r="C35" s="367">
        <f>0.01*C21</f>
        <v>149.21980099999999</v>
      </c>
      <c r="D35" s="367">
        <f t="shared" ref="D35:AA35" si="6">0.01*D21</f>
        <v>130.13205699999997</v>
      </c>
      <c r="E35" s="367">
        <f t="shared" si="6"/>
        <v>135.57400900000002</v>
      </c>
      <c r="F35" s="367">
        <f t="shared" si="6"/>
        <v>138.85258900000002</v>
      </c>
      <c r="G35" s="367">
        <f t="shared" si="6"/>
        <v>141.88676699999999</v>
      </c>
      <c r="H35" s="367">
        <f t="shared" si="6"/>
        <v>139.30252000000007</v>
      </c>
      <c r="I35" s="367">
        <f t="shared" si="6"/>
        <v>109.34421600000002</v>
      </c>
      <c r="J35" s="367">
        <f t="shared" si="6"/>
        <v>138.07858499999998</v>
      </c>
      <c r="K35" s="367">
        <f t="shared" si="6"/>
        <v>119.59229600000003</v>
      </c>
      <c r="L35" s="367">
        <f t="shared" si="6"/>
        <v>110.77870100000003</v>
      </c>
      <c r="M35" s="367">
        <f t="shared" si="6"/>
        <v>123.81374899999999</v>
      </c>
      <c r="N35" s="367">
        <f t="shared" si="6"/>
        <v>135.98974100000001</v>
      </c>
      <c r="O35" s="367">
        <f t="shared" si="6"/>
        <v>138.987821</v>
      </c>
      <c r="P35" s="367">
        <f t="shared" si="6"/>
        <v>123.96682700000001</v>
      </c>
      <c r="Q35" s="367">
        <f t="shared" si="6"/>
        <v>139.68622005</v>
      </c>
      <c r="R35" s="367">
        <f t="shared" si="6"/>
        <v>137.26327103000006</v>
      </c>
      <c r="S35" s="367">
        <f t="shared" si="6"/>
        <v>126.11362695999995</v>
      </c>
      <c r="T35" s="367">
        <f t="shared" si="6"/>
        <v>162.90386281000008</v>
      </c>
      <c r="U35" s="367">
        <f t="shared" si="6"/>
        <v>120.79349782999998</v>
      </c>
      <c r="V35" s="367">
        <f t="shared" si="6"/>
        <v>97.746094820000025</v>
      </c>
      <c r="W35" s="367">
        <f t="shared" si="6"/>
        <v>120.43275646999996</v>
      </c>
      <c r="X35" s="367">
        <f t="shared" si="6"/>
        <v>105.16764368000003</v>
      </c>
      <c r="Y35" s="367">
        <f t="shared" si="6"/>
        <v>103.61515652999994</v>
      </c>
      <c r="Z35" s="367">
        <f t="shared" si="6"/>
        <v>108.37050775999992</v>
      </c>
      <c r="AA35" s="367">
        <f t="shared" si="6"/>
        <v>125.96332479000002</v>
      </c>
      <c r="AB35" s="367">
        <v>86.290081999999984</v>
      </c>
      <c r="AC35" s="367">
        <v>106.16</v>
      </c>
      <c r="AD35" s="367">
        <v>121.84100000000001</v>
      </c>
    </row>
    <row r="36" spans="1:30" ht="18">
      <c r="A36" s="216" t="s">
        <v>431</v>
      </c>
      <c r="B36" s="367">
        <v>372.20129399999928</v>
      </c>
      <c r="C36" s="367">
        <v>484.61271899999792</v>
      </c>
      <c r="D36" s="367">
        <v>345.45000299999629</v>
      </c>
      <c r="E36" s="367">
        <v>271.55367842424403</v>
      </c>
      <c r="F36" s="367">
        <v>596.41781906397091</v>
      </c>
      <c r="G36" s="367">
        <v>569.82702724503542</v>
      </c>
      <c r="H36" s="367">
        <v>1224.086404000006</v>
      </c>
      <c r="I36" s="367">
        <v>524.69360499999948</v>
      </c>
      <c r="J36" s="367">
        <v>417.30899999999883</v>
      </c>
      <c r="K36" s="367">
        <v>390.11831900000061</v>
      </c>
      <c r="L36" s="367">
        <v>667.61754100000189</v>
      </c>
      <c r="M36" s="367">
        <v>874.00349999999889</v>
      </c>
      <c r="N36" s="367">
        <v>1031.642612000001</v>
      </c>
      <c r="O36" s="367">
        <v>644.92765900000131</v>
      </c>
      <c r="P36" s="367">
        <v>572.30912500000113</v>
      </c>
      <c r="Q36" s="367">
        <v>545.12117844999875</v>
      </c>
      <c r="R36" s="367">
        <v>747.18861497000626</v>
      </c>
      <c r="S36" s="367">
        <v>1074.3860900399955</v>
      </c>
      <c r="T36" s="367">
        <v>873.83372637816046</v>
      </c>
      <c r="U36" s="336">
        <v>716.1249452470538</v>
      </c>
      <c r="V36" s="367">
        <v>757.7688760648623</v>
      </c>
      <c r="W36" s="367">
        <v>1094.7908847135545</v>
      </c>
      <c r="X36" s="367">
        <v>1205.0077942814023</v>
      </c>
      <c r="Y36" s="336">
        <v>1037.3157830179766</v>
      </c>
      <c r="Z36" s="367">
        <v>1010.213415876307</v>
      </c>
      <c r="AA36" s="367">
        <v>998.77425230661311</v>
      </c>
      <c r="AB36" s="367">
        <v>976.67573997125328</v>
      </c>
      <c r="AC36" s="336">
        <v>1029.9743859712526</v>
      </c>
      <c r="AD36" s="367">
        <v>997</v>
      </c>
    </row>
    <row r="37" spans="1:30" ht="18">
      <c r="A37" s="241" t="s">
        <v>1040</v>
      </c>
      <c r="B37" s="242">
        <f>SUM(B33:B36)</f>
        <v>3084.8689999999988</v>
      </c>
      <c r="C37" s="242">
        <f>SUM(C33:C36)</f>
        <v>4175.4446199999984</v>
      </c>
      <c r="D37" s="242">
        <f t="shared" ref="D37:AD37" si="7">SUM(D33:D36)</f>
        <v>3437.6179599999959</v>
      </c>
      <c r="E37" s="242">
        <f t="shared" si="7"/>
        <v>3554.2093824242438</v>
      </c>
      <c r="F37" s="242">
        <f t="shared" si="7"/>
        <v>3616.742365999999</v>
      </c>
      <c r="G37" s="242">
        <f t="shared" si="7"/>
        <v>4290.3125680000021</v>
      </c>
      <c r="H37" s="242">
        <f t="shared" si="7"/>
        <v>4545.3353150000066</v>
      </c>
      <c r="I37" s="242">
        <f t="shared" si="7"/>
        <v>3476.1499609999992</v>
      </c>
      <c r="J37" s="242">
        <f t="shared" si="7"/>
        <v>3874.215021999998</v>
      </c>
      <c r="K37" s="242">
        <f t="shared" si="7"/>
        <v>3179.6773480000006</v>
      </c>
      <c r="L37" s="242">
        <f t="shared" si="7"/>
        <v>3487.7671550000018</v>
      </c>
      <c r="M37" s="242">
        <f t="shared" si="7"/>
        <v>5228.9053599999988</v>
      </c>
      <c r="N37" s="242">
        <f t="shared" si="7"/>
        <v>4747.2333440000002</v>
      </c>
      <c r="O37" s="242">
        <f t="shared" si="7"/>
        <v>3619.0549800000013</v>
      </c>
      <c r="P37" s="242">
        <f t="shared" si="7"/>
        <v>4256.3866830000015</v>
      </c>
      <c r="Q37" s="242">
        <f t="shared" si="7"/>
        <v>4260.4741394999983</v>
      </c>
      <c r="R37" s="242">
        <f t="shared" si="7"/>
        <v>4485.087218000006</v>
      </c>
      <c r="S37" s="242">
        <f t="shared" si="7"/>
        <v>4815.9837379999954</v>
      </c>
      <c r="T37" s="242">
        <f t="shared" si="7"/>
        <v>4872.4598280000091</v>
      </c>
      <c r="U37" s="242">
        <f t="shared" si="7"/>
        <v>3726.8828519999975</v>
      </c>
      <c r="V37" s="242">
        <f t="shared" si="7"/>
        <v>3244.6526050000002</v>
      </c>
      <c r="W37" s="242">
        <f t="shared" si="7"/>
        <v>3802.1482949999941</v>
      </c>
      <c r="X37" s="242">
        <f t="shared" si="7"/>
        <v>4700.1544240000039</v>
      </c>
      <c r="Y37" s="242">
        <f t="shared" si="7"/>
        <v>4118.3013469999951</v>
      </c>
      <c r="Z37" s="242">
        <f t="shared" si="7"/>
        <v>4469.1047879999924</v>
      </c>
      <c r="AA37" s="242">
        <f t="shared" si="7"/>
        <v>4240.877478999997</v>
      </c>
      <c r="AB37" s="242">
        <f t="shared" si="7"/>
        <v>3609.863867999999</v>
      </c>
      <c r="AC37" s="242">
        <f t="shared" si="7"/>
        <v>4057.9704319999983</v>
      </c>
      <c r="AD37" s="242">
        <f t="shared" si="7"/>
        <v>4298.8410000000003</v>
      </c>
    </row>
    <row r="38" spans="1:30" ht="18">
      <c r="A38" s="247" t="s">
        <v>1041</v>
      </c>
      <c r="B38" s="326">
        <f>B37+B31</f>
        <v>4918.8689999999988</v>
      </c>
      <c r="C38" s="326">
        <f>C37+C31</f>
        <v>6022.4446199999984</v>
      </c>
      <c r="D38" s="326">
        <f t="shared" ref="D38:AD38" si="8">D37+D31</f>
        <v>5324.6179599999959</v>
      </c>
      <c r="E38" s="326">
        <f t="shared" si="8"/>
        <v>5503.2093824242438</v>
      </c>
      <c r="F38" s="326">
        <f t="shared" si="8"/>
        <v>5687.7423659999986</v>
      </c>
      <c r="G38" s="326">
        <f t="shared" si="8"/>
        <v>6259.3125680000021</v>
      </c>
      <c r="H38" s="326">
        <f t="shared" si="8"/>
        <v>6462.3353150000066</v>
      </c>
      <c r="I38" s="326">
        <f t="shared" si="8"/>
        <v>5493.1499609999992</v>
      </c>
      <c r="J38" s="326">
        <f t="shared" si="8"/>
        <v>5909.2150219999985</v>
      </c>
      <c r="K38" s="326">
        <f t="shared" si="8"/>
        <v>5321.2292700000007</v>
      </c>
      <c r="L38" s="326">
        <f t="shared" si="8"/>
        <v>5638.5810900000015</v>
      </c>
      <c r="M38" s="326">
        <f t="shared" si="8"/>
        <v>7407.9566599999989</v>
      </c>
      <c r="N38" s="326">
        <f t="shared" si="8"/>
        <v>7146.9291800000001</v>
      </c>
      <c r="O38" s="326">
        <f t="shared" si="8"/>
        <v>6198.8232800000005</v>
      </c>
      <c r="P38" s="326">
        <f t="shared" si="8"/>
        <v>7056.7522380000019</v>
      </c>
      <c r="Q38" s="326">
        <f t="shared" si="8"/>
        <v>7056.4729139999981</v>
      </c>
      <c r="R38" s="326">
        <f t="shared" si="8"/>
        <v>7384.5029550000054</v>
      </c>
      <c r="S38" s="326">
        <f t="shared" si="8"/>
        <v>7788.2288809999955</v>
      </c>
      <c r="T38" s="326">
        <f t="shared" si="8"/>
        <v>7861.1221750000095</v>
      </c>
      <c r="U38" s="326">
        <f t="shared" si="8"/>
        <v>6647.4897159999973</v>
      </c>
      <c r="V38" s="326">
        <f t="shared" si="8"/>
        <v>6232.3776660000003</v>
      </c>
      <c r="W38" s="326">
        <f t="shared" si="8"/>
        <v>6690.6572059999944</v>
      </c>
      <c r="X38" s="326">
        <f t="shared" si="8"/>
        <v>7493.2683830000042</v>
      </c>
      <c r="Y38" s="326">
        <f t="shared" si="8"/>
        <v>6766.799664999995</v>
      </c>
      <c r="Z38" s="326">
        <f t="shared" si="8"/>
        <v>6872.1056579999931</v>
      </c>
      <c r="AA38" s="326">
        <f t="shared" si="8"/>
        <v>6783.9313089999969</v>
      </c>
      <c r="AB38" s="326">
        <f t="shared" si="8"/>
        <v>5996.4155409999985</v>
      </c>
      <c r="AC38" s="326">
        <f t="shared" si="8"/>
        <v>6236.7756489999983</v>
      </c>
      <c r="AD38" s="326">
        <f t="shared" si="8"/>
        <v>6648.8410000000003</v>
      </c>
    </row>
    <row r="39" spans="1:30" ht="18">
      <c r="A39" s="233" t="s">
        <v>1042</v>
      </c>
      <c r="B39" s="368"/>
      <c r="C39" s="368"/>
      <c r="D39" s="368"/>
      <c r="E39" s="368"/>
      <c r="F39" s="368"/>
      <c r="G39" s="368"/>
      <c r="H39" s="368"/>
      <c r="I39" s="368"/>
      <c r="J39" s="368"/>
      <c r="K39" s="368"/>
      <c r="L39" s="368"/>
      <c r="M39" s="368"/>
      <c r="N39" s="368"/>
      <c r="O39" s="368"/>
      <c r="P39" s="368"/>
      <c r="Q39" s="368"/>
      <c r="R39" s="368"/>
      <c r="S39" s="368"/>
      <c r="T39" s="368"/>
      <c r="U39" s="368"/>
      <c r="V39" s="368"/>
      <c r="W39" s="368"/>
      <c r="X39" s="368"/>
      <c r="Y39" s="173"/>
      <c r="Z39" s="368"/>
      <c r="AA39" s="368"/>
      <c r="AB39" s="368"/>
      <c r="AC39" s="368"/>
      <c r="AD39" s="368"/>
    </row>
    <row r="40" spans="1:30" ht="18">
      <c r="A40" s="253" t="s">
        <v>1065</v>
      </c>
      <c r="B40" s="367">
        <v>6923.8</v>
      </c>
      <c r="C40" s="367">
        <v>7506.6</v>
      </c>
      <c r="D40" s="367">
        <v>8137.1</v>
      </c>
      <c r="E40" s="367">
        <v>8120.5540000000001</v>
      </c>
      <c r="F40" s="367">
        <v>7516.5316109999994</v>
      </c>
      <c r="G40" s="367">
        <v>7904.519745999999</v>
      </c>
      <c r="H40" s="367">
        <v>7677.8084330000002</v>
      </c>
      <c r="I40" s="367">
        <v>5680.2315509999999</v>
      </c>
      <c r="J40" s="367">
        <v>7818.9457599999996</v>
      </c>
      <c r="K40" s="367">
        <v>6333.6178000000009</v>
      </c>
      <c r="L40" s="367">
        <v>5582.7827000000016</v>
      </c>
      <c r="M40" s="367">
        <v>5020.2017999999998</v>
      </c>
      <c r="N40" s="367">
        <v>5882.6133999999993</v>
      </c>
      <c r="O40" s="367">
        <v>7161.9553999999998</v>
      </c>
      <c r="P40" s="367">
        <v>5326.7858999999989</v>
      </c>
      <c r="Q40" s="367">
        <v>6298.9706999999999</v>
      </c>
      <c r="R40" s="367">
        <v>5873.7243999999992</v>
      </c>
      <c r="S40" s="367">
        <v>4723.2591999999995</v>
      </c>
      <c r="T40" s="367">
        <v>7518.1374000000014</v>
      </c>
      <c r="U40" s="367">
        <v>5624.1656999999996</v>
      </c>
      <c r="V40" s="367">
        <v>4123.9785000000002</v>
      </c>
      <c r="W40" s="367">
        <v>4900.9741000000004</v>
      </c>
      <c r="X40" s="367">
        <v>3953.9827999999989</v>
      </c>
      <c r="Y40" s="367">
        <v>3954.8</v>
      </c>
      <c r="Z40" s="367">
        <v>4252.7043999999996</v>
      </c>
      <c r="AA40" s="367">
        <v>4905.2144000000008</v>
      </c>
      <c r="AB40" s="367">
        <v>3319.3429000000001</v>
      </c>
      <c r="AC40" s="367">
        <v>3657.6952000000001</v>
      </c>
      <c r="AD40" s="367">
        <v>3985.5129999999999</v>
      </c>
    </row>
    <row r="41" spans="1:30" ht="18">
      <c r="A41" s="171" t="s">
        <v>1044</v>
      </c>
      <c r="B41" s="367">
        <v>99</v>
      </c>
      <c r="C41" s="367">
        <v>106.80000000000001</v>
      </c>
      <c r="D41" s="367">
        <v>52</v>
      </c>
      <c r="E41" s="367">
        <v>78.426899999999989</v>
      </c>
      <c r="F41" s="367">
        <v>72.406283000000002</v>
      </c>
      <c r="G41" s="367">
        <v>41.582926</v>
      </c>
      <c r="H41" s="367">
        <v>136.28465199999999</v>
      </c>
      <c r="I41" s="367">
        <v>64.478988000000001</v>
      </c>
      <c r="J41" s="367">
        <v>48.808177999999998</v>
      </c>
      <c r="K41" s="367">
        <v>52.686999999999983</v>
      </c>
      <c r="L41" s="367">
        <v>101.04660000000001</v>
      </c>
      <c r="M41" s="367">
        <v>219.4648</v>
      </c>
      <c r="N41" s="367">
        <v>312.92309999999998</v>
      </c>
      <c r="O41" s="367">
        <v>415.10179999999997</v>
      </c>
      <c r="P41" s="367">
        <v>153.38409999999999</v>
      </c>
      <c r="Q41" s="367">
        <v>421.66079999999999</v>
      </c>
      <c r="R41" s="367">
        <v>523.82870000000003</v>
      </c>
      <c r="S41" s="367">
        <v>401.64640000000003</v>
      </c>
      <c r="T41" s="367">
        <v>370.86889999999994</v>
      </c>
      <c r="U41" s="367">
        <v>354.0317</v>
      </c>
      <c r="V41" s="367">
        <v>195.15100000000001</v>
      </c>
      <c r="W41" s="367">
        <v>141.75039999999998</v>
      </c>
      <c r="X41" s="367">
        <v>154.50080000000003</v>
      </c>
      <c r="Y41" s="367">
        <v>136.93809999999996</v>
      </c>
      <c r="Z41" s="367">
        <v>223.52199999999959</v>
      </c>
      <c r="AA41" s="367">
        <v>589.7989000000008</v>
      </c>
      <c r="AB41" s="367">
        <v>402.93009999999958</v>
      </c>
      <c r="AC41" s="367">
        <v>459.18430000000018</v>
      </c>
      <c r="AD41" s="367">
        <v>500</v>
      </c>
    </row>
    <row r="42" spans="1:30" ht="18">
      <c r="A42" s="171" t="s">
        <v>1045</v>
      </c>
      <c r="B42" s="369"/>
      <c r="C42" s="367">
        <v>94</v>
      </c>
      <c r="D42" s="367">
        <v>83.7</v>
      </c>
      <c r="E42" s="367">
        <v>98.296957575757602</v>
      </c>
      <c r="F42" s="367">
        <v>103.4044</v>
      </c>
      <c r="G42" s="367">
        <v>115.72799999999999</v>
      </c>
      <c r="H42" s="367">
        <v>129.79220000000001</v>
      </c>
      <c r="I42" s="367">
        <v>124.87469999999998</v>
      </c>
      <c r="J42" s="367">
        <v>117.0938</v>
      </c>
      <c r="K42" s="367">
        <v>142.29069999999999</v>
      </c>
      <c r="L42" s="367">
        <v>117.59350000000001</v>
      </c>
      <c r="M42" s="367">
        <v>142.62549999999996</v>
      </c>
      <c r="N42" s="367">
        <v>148.56940000000003</v>
      </c>
      <c r="O42" s="367">
        <v>138.28890000000004</v>
      </c>
      <c r="P42" s="367">
        <v>134.96539999999999</v>
      </c>
      <c r="Q42" s="367">
        <v>121.11060000000001</v>
      </c>
      <c r="R42" s="367">
        <v>120.12060000000004</v>
      </c>
      <c r="S42" s="367">
        <v>95.651700000000005</v>
      </c>
      <c r="T42" s="367">
        <v>124.21880000000002</v>
      </c>
      <c r="U42" s="367">
        <v>128.99259999999995</v>
      </c>
      <c r="V42" s="367">
        <v>100.5</v>
      </c>
      <c r="W42" s="367">
        <v>92.11609999999996</v>
      </c>
      <c r="X42" s="367">
        <v>105.03129999999997</v>
      </c>
      <c r="Y42" s="367">
        <v>88.090100000000007</v>
      </c>
      <c r="Z42" s="367">
        <v>94.777599999999993</v>
      </c>
      <c r="AA42" s="367">
        <v>97.900299999999987</v>
      </c>
      <c r="AB42" s="367">
        <v>91.073700000000002</v>
      </c>
      <c r="AC42" s="367">
        <v>100</v>
      </c>
      <c r="AD42" s="367">
        <v>100</v>
      </c>
    </row>
    <row r="43" spans="1:30" ht="18">
      <c r="A43" s="171" t="s">
        <v>1078</v>
      </c>
      <c r="B43" s="367">
        <v>24</v>
      </c>
      <c r="C43" s="367">
        <v>73</v>
      </c>
      <c r="D43" s="367">
        <v>50.412999999999997</v>
      </c>
      <c r="E43" s="367">
        <v>73</v>
      </c>
      <c r="F43" s="367"/>
      <c r="G43" s="367"/>
      <c r="H43" s="367"/>
      <c r="I43" s="367"/>
      <c r="J43" s="367"/>
      <c r="K43" s="367"/>
      <c r="L43" s="367"/>
      <c r="M43" s="367"/>
      <c r="N43" s="367"/>
      <c r="O43" s="367"/>
      <c r="P43" s="367"/>
      <c r="Q43" s="367"/>
      <c r="R43" s="367"/>
      <c r="S43" s="367"/>
      <c r="T43" s="367"/>
      <c r="U43" s="367"/>
      <c r="V43" s="367"/>
      <c r="W43" s="367"/>
      <c r="X43" s="367"/>
      <c r="Y43" s="367"/>
      <c r="Z43" s="367"/>
      <c r="AA43" s="367"/>
      <c r="AB43" s="367"/>
      <c r="AC43" s="367"/>
      <c r="AD43" s="367"/>
    </row>
    <row r="44" spans="1:30" ht="18">
      <c r="A44" s="241" t="s">
        <v>1046</v>
      </c>
      <c r="B44" s="242">
        <f>SUM(B40:B43)</f>
        <v>7046.8</v>
      </c>
      <c r="C44" s="242">
        <f t="shared" ref="C44:AD44" si="9">SUM(C40:C43)</f>
        <v>7780.4000000000005</v>
      </c>
      <c r="D44" s="242">
        <f t="shared" si="9"/>
        <v>8323.2130000000016</v>
      </c>
      <c r="E44" s="242">
        <f t="shared" si="9"/>
        <v>8370.2778575757584</v>
      </c>
      <c r="F44" s="242">
        <f t="shared" si="9"/>
        <v>7692.342294</v>
      </c>
      <c r="G44" s="242">
        <f t="shared" si="9"/>
        <v>8061.8306719999991</v>
      </c>
      <c r="H44" s="242">
        <f t="shared" si="9"/>
        <v>7943.8852850000003</v>
      </c>
      <c r="I44" s="242">
        <f t="shared" si="9"/>
        <v>5869.585239</v>
      </c>
      <c r="J44" s="242">
        <f t="shared" si="9"/>
        <v>7984.8477379999995</v>
      </c>
      <c r="K44" s="242">
        <f t="shared" si="9"/>
        <v>6528.5955000000004</v>
      </c>
      <c r="L44" s="242">
        <f t="shared" si="9"/>
        <v>5801.4228000000012</v>
      </c>
      <c r="M44" s="242">
        <f t="shared" si="9"/>
        <v>5382.2920999999997</v>
      </c>
      <c r="N44" s="242">
        <f t="shared" si="9"/>
        <v>6344.1058999999996</v>
      </c>
      <c r="O44" s="242">
        <f t="shared" si="9"/>
        <v>7715.3461000000007</v>
      </c>
      <c r="P44" s="242">
        <f t="shared" si="9"/>
        <v>5615.1353999999992</v>
      </c>
      <c r="Q44" s="242">
        <f t="shared" si="9"/>
        <v>6841.7420999999995</v>
      </c>
      <c r="R44" s="242">
        <f t="shared" si="9"/>
        <v>6517.6736999999994</v>
      </c>
      <c r="S44" s="242">
        <f t="shared" si="9"/>
        <v>5220.5572999999995</v>
      </c>
      <c r="T44" s="242">
        <f t="shared" si="9"/>
        <v>8013.2251000000006</v>
      </c>
      <c r="U44" s="502">
        <f t="shared" si="9"/>
        <v>6107.1899999999987</v>
      </c>
      <c r="V44" s="242">
        <f t="shared" si="9"/>
        <v>4419.6295</v>
      </c>
      <c r="W44" s="242">
        <f t="shared" si="9"/>
        <v>5134.8406000000004</v>
      </c>
      <c r="X44" s="242">
        <f t="shared" si="9"/>
        <v>4213.5148999999983</v>
      </c>
      <c r="Y44" s="502">
        <f t="shared" si="9"/>
        <v>4179.8281999999999</v>
      </c>
      <c r="Z44" s="242">
        <f t="shared" si="9"/>
        <v>4571.0039999999999</v>
      </c>
      <c r="AA44" s="242">
        <f t="shared" si="9"/>
        <v>5592.9136000000017</v>
      </c>
      <c r="AB44" s="242">
        <f t="shared" si="9"/>
        <v>3813.3466999999996</v>
      </c>
      <c r="AC44" s="502">
        <f t="shared" si="9"/>
        <v>4216.8795</v>
      </c>
      <c r="AD44" s="242">
        <f t="shared" si="9"/>
        <v>4585.5129999999999</v>
      </c>
    </row>
    <row r="45" spans="1:30" ht="18">
      <c r="A45" s="241" t="s">
        <v>1079</v>
      </c>
      <c r="B45" s="370">
        <v>319</v>
      </c>
      <c r="C45" s="370">
        <v>328</v>
      </c>
      <c r="D45" s="370">
        <v>323</v>
      </c>
      <c r="E45" s="370">
        <v>302</v>
      </c>
      <c r="F45" s="370">
        <v>291</v>
      </c>
      <c r="G45" s="370">
        <v>299</v>
      </c>
      <c r="H45" s="370">
        <v>300</v>
      </c>
      <c r="I45" s="370">
        <v>250</v>
      </c>
      <c r="J45" s="370">
        <v>242</v>
      </c>
      <c r="K45" s="370">
        <v>323.65801999999996</v>
      </c>
      <c r="L45" s="370">
        <v>259.98435999999998</v>
      </c>
      <c r="M45" s="370">
        <v>277.16188</v>
      </c>
      <c r="N45" s="370">
        <v>268.18528000000003</v>
      </c>
      <c r="O45" s="370">
        <v>267.34802000000002</v>
      </c>
      <c r="P45" s="370">
        <v>261.01972000000001</v>
      </c>
      <c r="Q45" s="370">
        <v>286.66888</v>
      </c>
      <c r="R45" s="370">
        <v>277.99398000000002</v>
      </c>
      <c r="S45" s="370">
        <v>286.34819999999996</v>
      </c>
      <c r="T45" s="370">
        <v>239.72164000000001</v>
      </c>
      <c r="U45" s="486">
        <v>231.56070000000005</v>
      </c>
      <c r="V45" s="370">
        <v>247.21055999999996</v>
      </c>
      <c r="W45" s="370">
        <v>178.06048000000001</v>
      </c>
      <c r="X45" s="370">
        <v>143.45692</v>
      </c>
      <c r="Y45" s="486">
        <v>134.43991999999997</v>
      </c>
      <c r="Z45" s="370">
        <v>134.71137999999996</v>
      </c>
      <c r="AA45" s="370">
        <v>143.38547999999997</v>
      </c>
      <c r="AB45" s="370">
        <v>148.11418</v>
      </c>
      <c r="AC45" s="486">
        <v>140</v>
      </c>
      <c r="AD45" s="370">
        <v>145</v>
      </c>
    </row>
    <row r="46" spans="1:30" ht="18">
      <c r="A46" s="241" t="s">
        <v>1051</v>
      </c>
      <c r="B46" s="326">
        <f>SUM(B44,B45)</f>
        <v>7365.8</v>
      </c>
      <c r="C46" s="326">
        <f t="shared" ref="C46:AD46" si="10">SUM(C44,C45)</f>
        <v>8108.4000000000005</v>
      </c>
      <c r="D46" s="326">
        <f t="shared" si="10"/>
        <v>8646.2130000000016</v>
      </c>
      <c r="E46" s="326">
        <f t="shared" si="10"/>
        <v>8672.2778575757584</v>
      </c>
      <c r="F46" s="326">
        <f t="shared" si="10"/>
        <v>7983.342294</v>
      </c>
      <c r="G46" s="326">
        <f t="shared" si="10"/>
        <v>8360.830672</v>
      </c>
      <c r="H46" s="326">
        <f t="shared" si="10"/>
        <v>8243.8852850000003</v>
      </c>
      <c r="I46" s="326">
        <f t="shared" si="10"/>
        <v>6119.585239</v>
      </c>
      <c r="J46" s="326">
        <f t="shared" si="10"/>
        <v>8226.8477380000004</v>
      </c>
      <c r="K46" s="326">
        <f t="shared" si="10"/>
        <v>6852.2535200000002</v>
      </c>
      <c r="L46" s="326">
        <f t="shared" si="10"/>
        <v>6061.4071600000016</v>
      </c>
      <c r="M46" s="326">
        <f t="shared" si="10"/>
        <v>5659.4539799999993</v>
      </c>
      <c r="N46" s="326">
        <f t="shared" si="10"/>
        <v>6612.2911799999993</v>
      </c>
      <c r="O46" s="326">
        <f t="shared" si="10"/>
        <v>7982.694120000001</v>
      </c>
      <c r="P46" s="326">
        <f t="shared" si="10"/>
        <v>5876.1551199999994</v>
      </c>
      <c r="Q46" s="334">
        <f t="shared" si="10"/>
        <v>7128.4109799999997</v>
      </c>
      <c r="R46" s="334">
        <f t="shared" si="10"/>
        <v>6795.6676799999996</v>
      </c>
      <c r="S46" s="334">
        <f t="shared" si="10"/>
        <v>5506.9054999999998</v>
      </c>
      <c r="T46" s="334">
        <f t="shared" si="10"/>
        <v>8252.9467400000012</v>
      </c>
      <c r="U46" s="334">
        <f t="shared" si="10"/>
        <v>6338.7506999999987</v>
      </c>
      <c r="V46" s="334">
        <f t="shared" si="10"/>
        <v>4666.8400599999995</v>
      </c>
      <c r="W46" s="334">
        <f t="shared" si="10"/>
        <v>5312.9010800000005</v>
      </c>
      <c r="X46" s="334">
        <f t="shared" si="10"/>
        <v>4356.9718199999979</v>
      </c>
      <c r="Y46" s="334">
        <f t="shared" si="10"/>
        <v>4314.2681199999997</v>
      </c>
      <c r="Z46" s="334">
        <f t="shared" si="10"/>
        <v>4705.7153799999996</v>
      </c>
      <c r="AA46" s="334">
        <f t="shared" si="10"/>
        <v>5736.2990800000016</v>
      </c>
      <c r="AB46" s="334">
        <f t="shared" si="10"/>
        <v>3961.4608799999996</v>
      </c>
      <c r="AC46" s="334">
        <f t="shared" si="10"/>
        <v>4356.8795</v>
      </c>
      <c r="AD46" s="334">
        <f t="shared" si="10"/>
        <v>4730.5129999999999</v>
      </c>
    </row>
    <row r="47" spans="1:30" thickBot="1">
      <c r="A47" s="247" t="s">
        <v>1052</v>
      </c>
      <c r="B47" s="335">
        <f>SUM(B46,B38)</f>
        <v>12284.668999999998</v>
      </c>
      <c r="C47" s="335">
        <f t="shared" ref="C47:AD47" si="11">SUM(C46,C38)</f>
        <v>14130.84462</v>
      </c>
      <c r="D47" s="335">
        <f t="shared" si="11"/>
        <v>13970.830959999998</v>
      </c>
      <c r="E47" s="335">
        <f t="shared" si="11"/>
        <v>14175.487240000002</v>
      </c>
      <c r="F47" s="335">
        <f t="shared" si="11"/>
        <v>13671.084659999999</v>
      </c>
      <c r="G47" s="335">
        <f t="shared" si="11"/>
        <v>14620.143240000001</v>
      </c>
      <c r="H47" s="335">
        <f t="shared" si="11"/>
        <v>14706.220600000008</v>
      </c>
      <c r="I47" s="335">
        <f t="shared" si="11"/>
        <v>11612.735199999999</v>
      </c>
      <c r="J47" s="335">
        <f t="shared" si="11"/>
        <v>14136.062759999999</v>
      </c>
      <c r="K47" s="335">
        <f t="shared" si="11"/>
        <v>12173.482790000002</v>
      </c>
      <c r="L47" s="335">
        <f t="shared" si="11"/>
        <v>11699.988250000002</v>
      </c>
      <c r="M47" s="335">
        <f t="shared" si="11"/>
        <v>13067.410639999998</v>
      </c>
      <c r="N47" s="335">
        <f t="shared" si="11"/>
        <v>13759.220359999999</v>
      </c>
      <c r="O47" s="335">
        <f t="shared" si="11"/>
        <v>14181.517400000001</v>
      </c>
      <c r="P47" s="335">
        <f t="shared" si="11"/>
        <v>12932.907358</v>
      </c>
      <c r="Q47" s="335">
        <f t="shared" si="11"/>
        <v>14184.883893999999</v>
      </c>
      <c r="R47" s="335">
        <f t="shared" si="11"/>
        <v>14180.170635000006</v>
      </c>
      <c r="S47" s="335">
        <f t="shared" si="11"/>
        <v>13295.134380999996</v>
      </c>
      <c r="T47" s="335">
        <f t="shared" si="11"/>
        <v>16114.068915000011</v>
      </c>
      <c r="U47" s="335">
        <f t="shared" si="11"/>
        <v>12986.240415999997</v>
      </c>
      <c r="V47" s="335">
        <f t="shared" si="11"/>
        <v>10899.217725999999</v>
      </c>
      <c r="W47" s="335">
        <f t="shared" si="11"/>
        <v>12003.558285999996</v>
      </c>
      <c r="X47" s="335">
        <f t="shared" si="11"/>
        <v>11850.240203000001</v>
      </c>
      <c r="Y47" s="335">
        <f t="shared" si="11"/>
        <v>11081.067784999996</v>
      </c>
      <c r="Z47" s="335">
        <f t="shared" si="11"/>
        <v>11577.821037999993</v>
      </c>
      <c r="AA47" s="335">
        <f t="shared" si="11"/>
        <v>12520.230388999998</v>
      </c>
      <c r="AB47" s="335">
        <f t="shared" si="11"/>
        <v>9957.8764209999972</v>
      </c>
      <c r="AC47" s="335">
        <f t="shared" si="11"/>
        <v>10593.655148999998</v>
      </c>
      <c r="AD47" s="335">
        <f t="shared" si="11"/>
        <v>11379.353999999999</v>
      </c>
    </row>
    <row r="48" spans="1:30" thickTop="1">
      <c r="A48" s="266"/>
      <c r="B48" s="257"/>
      <c r="C48" s="257"/>
      <c r="D48" s="257"/>
      <c r="E48" s="257"/>
      <c r="F48" s="257"/>
      <c r="G48" s="257"/>
      <c r="H48" s="257"/>
      <c r="I48" s="257"/>
      <c r="J48" s="257"/>
      <c r="K48" s="257"/>
      <c r="L48" s="257"/>
      <c r="M48" s="257"/>
      <c r="N48" s="257"/>
      <c r="O48" s="257"/>
      <c r="P48" s="257"/>
      <c r="Q48" s="257"/>
      <c r="R48" s="258"/>
      <c r="S48" s="258"/>
      <c r="T48" s="258"/>
      <c r="U48" s="258"/>
      <c r="V48" s="258"/>
      <c r="W48" s="258"/>
      <c r="X48" s="258"/>
      <c r="Y48" s="258"/>
      <c r="Z48" s="258"/>
      <c r="AA48" s="258"/>
      <c r="AB48" s="258"/>
      <c r="AC48" s="258"/>
      <c r="AD48" s="258"/>
    </row>
    <row r="49" spans="1:30">
      <c r="A49" s="269" t="s">
        <v>1053</v>
      </c>
      <c r="B49" s="270">
        <f t="shared" ref="B49:AC49" si="12">SUM(B50:B55)</f>
        <v>2035.71912</v>
      </c>
      <c r="C49" s="270">
        <f t="shared" si="12"/>
        <v>3054.2546000000002</v>
      </c>
      <c r="D49" s="270">
        <f t="shared" si="12"/>
        <v>2330.3293400000002</v>
      </c>
      <c r="E49" s="270">
        <f t="shared" si="12"/>
        <v>1966.8530000000001</v>
      </c>
      <c r="F49" s="270">
        <f t="shared" si="12"/>
        <v>2424.6162400000007</v>
      </c>
      <c r="G49" s="270">
        <f t="shared" si="12"/>
        <v>2344.8762999999999</v>
      </c>
      <c r="H49" s="270">
        <f t="shared" si="12"/>
        <v>2509.6693999999998</v>
      </c>
      <c r="I49" s="270">
        <f t="shared" si="12"/>
        <v>2166.2290000000003</v>
      </c>
      <c r="J49" s="270">
        <f t="shared" si="12"/>
        <v>2157.8248399999998</v>
      </c>
      <c r="K49" s="270">
        <f t="shared" si="12"/>
        <v>2187.1606500000003</v>
      </c>
      <c r="L49" s="270">
        <f t="shared" si="12"/>
        <v>1916.7691</v>
      </c>
      <c r="M49" s="270">
        <f t="shared" si="12"/>
        <v>2171.4950600000002</v>
      </c>
      <c r="N49" s="270">
        <f t="shared" si="12"/>
        <v>2346.1220000000008</v>
      </c>
      <c r="O49" s="270">
        <f t="shared" si="12"/>
        <v>2364.6417999999999</v>
      </c>
      <c r="P49" s="270">
        <f t="shared" si="12"/>
        <v>2281.7161419999998</v>
      </c>
      <c r="Q49" s="270">
        <f t="shared" si="12"/>
        <v>2448.6120530000003</v>
      </c>
      <c r="R49" s="270">
        <f t="shared" si="12"/>
        <v>2469.5330209999997</v>
      </c>
      <c r="S49" s="270">
        <f t="shared" si="12"/>
        <v>2372.5076359999998</v>
      </c>
      <c r="T49" s="270">
        <f t="shared" si="12"/>
        <v>2966.2933019999991</v>
      </c>
      <c r="U49" s="270">
        <f t="shared" si="12"/>
        <v>2471.7123689999999</v>
      </c>
      <c r="V49" s="270">
        <f t="shared" si="12"/>
        <v>1924.1739250000003</v>
      </c>
      <c r="W49" s="270">
        <f t="shared" si="12"/>
        <v>2568.6034859999995</v>
      </c>
      <c r="X49" s="270">
        <f t="shared" si="12"/>
        <v>2105.6380509999999</v>
      </c>
      <c r="Y49" s="270">
        <f t="shared" si="12"/>
        <v>2061.6159190000003</v>
      </c>
      <c r="Z49" s="270">
        <f t="shared" si="12"/>
        <v>1750.592357</v>
      </c>
      <c r="AA49" s="270">
        <f t="shared" si="12"/>
        <v>2315.3515469999998</v>
      </c>
      <c r="AB49" s="270">
        <f t="shared" si="12"/>
        <v>1653.8293260000003</v>
      </c>
      <c r="AC49" s="270">
        <f t="shared" si="12"/>
        <v>1999.537437</v>
      </c>
      <c r="AD49" s="340">
        <f>AD24-AD47</f>
        <v>3084.2834370000019</v>
      </c>
    </row>
    <row r="50" spans="1:30" ht="18">
      <c r="A50" s="271" t="s">
        <v>1054</v>
      </c>
      <c r="B50" s="371">
        <v>1804.3231000000001</v>
      </c>
      <c r="C50" s="371">
        <v>2456.413</v>
      </c>
      <c r="D50" s="371">
        <v>1930.6796999999999</v>
      </c>
      <c r="E50" s="371">
        <v>1754.2664</v>
      </c>
      <c r="F50" s="371">
        <v>2271.2375000000006</v>
      </c>
      <c r="G50" s="371">
        <v>2190.8319999999999</v>
      </c>
      <c r="H50" s="371">
        <v>2342.2808</v>
      </c>
      <c r="I50" s="371">
        <v>1964.8036000000002</v>
      </c>
      <c r="J50" s="371">
        <v>1907.1906999999999</v>
      </c>
      <c r="K50" s="371">
        <v>2023.8242</v>
      </c>
      <c r="L50" s="371">
        <v>1734.0716</v>
      </c>
      <c r="M50" s="371">
        <v>1962.3481999999999</v>
      </c>
      <c r="N50" s="371">
        <v>2160.8241000000003</v>
      </c>
      <c r="O50" s="371">
        <v>2217.9110000000001</v>
      </c>
      <c r="P50" s="371">
        <v>2094.3054999999999</v>
      </c>
      <c r="Q50" s="371">
        <v>2280.1787999999997</v>
      </c>
      <c r="R50" s="371">
        <v>2309.7922999999996</v>
      </c>
      <c r="S50" s="371">
        <v>2150.8925999999997</v>
      </c>
      <c r="T50" s="497">
        <v>2764.1047999999996</v>
      </c>
      <c r="U50" s="497">
        <v>2264.7997999999998</v>
      </c>
      <c r="V50" s="371">
        <v>1746.4811000000002</v>
      </c>
      <c r="W50" s="371">
        <v>2383.7321999999999</v>
      </c>
      <c r="X50" s="497">
        <v>1913.2199999999998</v>
      </c>
      <c r="Y50" s="497">
        <v>1851.1818000000003</v>
      </c>
      <c r="Z50" s="371">
        <v>1567.1089999999999</v>
      </c>
      <c r="AA50" s="371">
        <v>2076.5681</v>
      </c>
      <c r="AB50" s="497">
        <v>1477.1908000000001</v>
      </c>
      <c r="AC50" s="497">
        <v>1795.3820000000001</v>
      </c>
      <c r="AD50" s="371"/>
    </row>
    <row r="51" spans="1:30" ht="18">
      <c r="A51" s="271" t="s">
        <v>1055</v>
      </c>
      <c r="B51" s="371">
        <v>85.337999999999994</v>
      </c>
      <c r="C51" s="371">
        <v>77.491</v>
      </c>
      <c r="D51" s="371">
        <v>100.0748</v>
      </c>
      <c r="E51" s="371">
        <v>87.033100000000005</v>
      </c>
      <c r="F51" s="371">
        <v>105.1532</v>
      </c>
      <c r="G51" s="371">
        <v>95.395800000000008</v>
      </c>
      <c r="H51" s="371">
        <v>88.3078</v>
      </c>
      <c r="I51" s="371">
        <v>100.3192</v>
      </c>
      <c r="J51" s="371">
        <v>87.26339999999999</v>
      </c>
      <c r="K51" s="371">
        <v>95.771000000000001</v>
      </c>
      <c r="L51" s="371">
        <v>98.325000000000003</v>
      </c>
      <c r="M51" s="371">
        <v>127.7945</v>
      </c>
      <c r="N51" s="371">
        <v>110.68130000000001</v>
      </c>
      <c r="O51" s="371">
        <v>83.151699999999991</v>
      </c>
      <c r="P51" s="371">
        <v>98.044842000000003</v>
      </c>
      <c r="Q51" s="371">
        <v>90.222888000000012</v>
      </c>
      <c r="R51" s="371">
        <v>86.829994999999997</v>
      </c>
      <c r="S51" s="371">
        <v>93.01900599999999</v>
      </c>
      <c r="T51" s="371">
        <v>84.603443999999996</v>
      </c>
      <c r="U51" s="371">
        <v>89.149769000000006</v>
      </c>
      <c r="V51" s="371">
        <v>94.021929</v>
      </c>
      <c r="W51" s="371">
        <v>90.650841999999997</v>
      </c>
      <c r="X51" s="371">
        <v>108.25845200000001</v>
      </c>
      <c r="Y51" s="371">
        <v>110.225021</v>
      </c>
      <c r="Z51" s="371">
        <v>117.00018899999999</v>
      </c>
      <c r="AA51" s="371">
        <v>145.531192</v>
      </c>
      <c r="AB51" s="371">
        <v>115.52345600000001</v>
      </c>
      <c r="AC51" s="371">
        <v>145.15504199999998</v>
      </c>
      <c r="AD51" s="371"/>
    </row>
    <row r="52" spans="1:30" ht="18">
      <c r="A52" s="271" t="s">
        <v>1057</v>
      </c>
      <c r="B52" s="371">
        <v>121.04600000000001</v>
      </c>
      <c r="C52" s="371">
        <v>175.49</v>
      </c>
      <c r="D52" s="371">
        <v>164.34899999999999</v>
      </c>
      <c r="E52" s="371">
        <v>113.1069</v>
      </c>
      <c r="F52" s="371">
        <v>38.746639999999999</v>
      </c>
      <c r="G52" s="371">
        <v>44.964100000000002</v>
      </c>
      <c r="H52" s="371">
        <v>59.3628</v>
      </c>
      <c r="I52" s="371">
        <v>81.405899999999988</v>
      </c>
      <c r="J52" s="371">
        <v>78</v>
      </c>
      <c r="K52" s="371">
        <v>49</v>
      </c>
      <c r="L52" s="371">
        <v>70.708600000000004</v>
      </c>
      <c r="M52" s="371">
        <v>67.914400000000001</v>
      </c>
      <c r="N52" s="371">
        <v>66.742399999999989</v>
      </c>
      <c r="O52" s="371">
        <v>54.500599999999999</v>
      </c>
      <c r="P52" s="371">
        <v>70.958600000000004</v>
      </c>
      <c r="Q52" s="371">
        <v>49.947165000000005</v>
      </c>
      <c r="R52" s="371">
        <v>63.872145999999994</v>
      </c>
      <c r="S52" s="371">
        <v>53.25003000000001</v>
      </c>
      <c r="T52" s="497">
        <v>66.411928000000003</v>
      </c>
      <c r="U52" s="497">
        <v>73.414590000000004</v>
      </c>
      <c r="V52" s="371">
        <v>66.955596</v>
      </c>
      <c r="W52" s="371">
        <v>66.175343999999996</v>
      </c>
      <c r="X52" s="497">
        <v>56.414638999999994</v>
      </c>
      <c r="Y52" s="497">
        <v>74.976597999999996</v>
      </c>
      <c r="Z52" s="371">
        <v>41.250827999999991</v>
      </c>
      <c r="AA52" s="371">
        <v>67.584535000000002</v>
      </c>
      <c r="AB52" s="497">
        <v>36.231070000000003</v>
      </c>
      <c r="AC52" s="497">
        <v>34.146395000000005</v>
      </c>
      <c r="AD52" s="371"/>
    </row>
    <row r="53" spans="1:30" ht="18">
      <c r="A53" s="271" t="s">
        <v>1080</v>
      </c>
      <c r="B53" s="371">
        <v>25.01202</v>
      </c>
      <c r="C53" s="371">
        <v>24.017599999999998</v>
      </c>
      <c r="D53" s="371">
        <v>25.064910000000001</v>
      </c>
      <c r="E53" s="371">
        <v>7.8452000000000002</v>
      </c>
      <c r="F53" s="371">
        <v>6.4788999999999994</v>
      </c>
      <c r="G53" s="371">
        <v>11.083</v>
      </c>
      <c r="H53" s="371">
        <v>19.718</v>
      </c>
      <c r="I53" s="371">
        <v>19.700299999999999</v>
      </c>
      <c r="J53" s="371">
        <v>22.370740000000001</v>
      </c>
      <c r="K53" s="371">
        <v>18.565450000000002</v>
      </c>
      <c r="L53" s="371">
        <v>13.6639</v>
      </c>
      <c r="M53" s="371">
        <v>7.6379599999999996</v>
      </c>
      <c r="N53" s="371">
        <v>7.8742000000000001</v>
      </c>
      <c r="O53" s="371">
        <v>7.1185</v>
      </c>
      <c r="P53" s="371">
        <v>6.8464999999999998</v>
      </c>
      <c r="Q53" s="371">
        <v>5.4276999999999997</v>
      </c>
      <c r="R53" s="371">
        <v>6.6790000000000003</v>
      </c>
      <c r="S53" s="371">
        <v>7.3449999999999998</v>
      </c>
      <c r="T53" s="497">
        <v>8.3501300000000018</v>
      </c>
      <c r="U53" s="497">
        <v>8.5472100000000015</v>
      </c>
      <c r="V53" s="371">
        <v>6.7153</v>
      </c>
      <c r="W53" s="371">
        <v>1.0450999999999999</v>
      </c>
      <c r="X53" s="497">
        <v>0.74496000000000007</v>
      </c>
      <c r="Y53" s="497">
        <v>1.2324999999999999</v>
      </c>
      <c r="Z53" s="371">
        <v>1.2323400000000002</v>
      </c>
      <c r="AA53" s="371">
        <v>1.6677200000000001</v>
      </c>
      <c r="AB53" s="497">
        <v>0.88400000000000001</v>
      </c>
      <c r="AC53" s="497">
        <v>0.85399999999999998</v>
      </c>
      <c r="AD53" s="371"/>
    </row>
    <row r="54" spans="1:30" ht="18">
      <c r="A54" s="271" t="s">
        <v>1058</v>
      </c>
      <c r="B54" s="372"/>
      <c r="C54" s="372"/>
      <c r="D54" s="372"/>
      <c r="E54" s="372"/>
      <c r="F54" s="372"/>
      <c r="G54" s="372"/>
      <c r="H54" s="372"/>
      <c r="I54" s="372"/>
      <c r="J54" s="372"/>
      <c r="K54" s="372"/>
      <c r="L54" s="372"/>
      <c r="M54" s="371">
        <v>5.8</v>
      </c>
      <c r="N54" s="371">
        <v>0</v>
      </c>
      <c r="O54" s="371">
        <v>1.96</v>
      </c>
      <c r="P54" s="371">
        <v>11.560699999999999</v>
      </c>
      <c r="Q54" s="371">
        <v>22.8355</v>
      </c>
      <c r="R54" s="371">
        <v>2.3595799999999998</v>
      </c>
      <c r="S54" s="371">
        <v>68.001000000000005</v>
      </c>
      <c r="T54" s="497">
        <v>42.823</v>
      </c>
      <c r="U54" s="497">
        <v>35.801000000000002</v>
      </c>
      <c r="V54" s="371">
        <v>10</v>
      </c>
      <c r="W54" s="371">
        <v>27</v>
      </c>
      <c r="X54" s="497">
        <v>27</v>
      </c>
      <c r="Y54" s="497">
        <v>24</v>
      </c>
      <c r="Z54" s="371">
        <v>24</v>
      </c>
      <c r="AA54" s="371">
        <v>24</v>
      </c>
      <c r="AB54" s="497">
        <v>24</v>
      </c>
      <c r="AC54" s="497">
        <v>24</v>
      </c>
      <c r="AD54" s="371"/>
    </row>
    <row r="55" spans="1:30" ht="18">
      <c r="A55" s="271" t="s">
        <v>1059</v>
      </c>
      <c r="B55" s="371">
        <v>0</v>
      </c>
      <c r="C55" s="371">
        <v>320.84300000000002</v>
      </c>
      <c r="D55" s="371">
        <v>110.16092999999999</v>
      </c>
      <c r="E55" s="371">
        <v>4.6013999999999999</v>
      </c>
      <c r="F55" s="371">
        <v>3</v>
      </c>
      <c r="G55" s="371">
        <v>2.6013999999999999</v>
      </c>
      <c r="H55" s="371">
        <v>0</v>
      </c>
      <c r="I55" s="371">
        <v>0</v>
      </c>
      <c r="J55" s="371">
        <v>63</v>
      </c>
      <c r="K55" s="371"/>
      <c r="L55" s="371"/>
      <c r="M55" s="371"/>
      <c r="N55" s="371"/>
      <c r="O55" s="371"/>
      <c r="P55" s="371"/>
      <c r="Q55" s="371"/>
      <c r="R55" s="371"/>
      <c r="S55" s="371"/>
      <c r="T55" s="371"/>
      <c r="U55" s="371"/>
      <c r="V55" s="371"/>
      <c r="W55" s="371"/>
      <c r="X55" s="371"/>
      <c r="Y55" s="371"/>
      <c r="Z55" s="371"/>
      <c r="AA55" s="371"/>
      <c r="AB55" s="371"/>
      <c r="AC55" s="371"/>
      <c r="AD55" s="371"/>
    </row>
    <row r="56" spans="1:30">
      <c r="Y56" s="373"/>
      <c r="AC56" s="277"/>
    </row>
    <row r="57" spans="1:30">
      <c r="B57" s="274"/>
      <c r="C57" s="275" t="s">
        <v>1060</v>
      </c>
      <c r="D57" s="277"/>
      <c r="E57" s="277"/>
      <c r="F57" s="277"/>
      <c r="G57" s="277"/>
      <c r="H57" s="277"/>
      <c r="I57" s="277"/>
      <c r="J57" s="277"/>
      <c r="K57" s="277"/>
      <c r="L57" s="277"/>
      <c r="M57" s="277"/>
      <c r="N57" s="277"/>
      <c r="O57" s="277"/>
      <c r="P57" s="277"/>
      <c r="Q57" s="277"/>
      <c r="R57" s="277"/>
      <c r="S57" s="277"/>
      <c r="T57" s="277"/>
      <c r="U57" s="277"/>
      <c r="V57" s="277"/>
      <c r="W57" s="277"/>
      <c r="X57" s="277"/>
    </row>
    <row r="58" spans="1:30">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5"/>
      <c r="Z58" s="375"/>
      <c r="AA58" s="375"/>
      <c r="AB58" s="375"/>
      <c r="AC58" s="375"/>
      <c r="AD58" s="375"/>
    </row>
    <row r="59" spans="1:30">
      <c r="Y59" s="376"/>
      <c r="Z59" s="376"/>
      <c r="AA59" s="376"/>
      <c r="AB59" s="376"/>
      <c r="AC59" s="376"/>
      <c r="AD59" s="376"/>
    </row>
    <row r="60" spans="1:30">
      <c r="Y60" s="277"/>
      <c r="Z60" s="277"/>
      <c r="AA60" s="277"/>
      <c r="AB60" s="277"/>
      <c r="AC60" s="277"/>
      <c r="AD60" s="277"/>
    </row>
    <row r="63" spans="1:30">
      <c r="Y63" s="377"/>
    </row>
    <row r="64" spans="1:30">
      <c r="Y64" s="377"/>
    </row>
  </sheetData>
  <mergeCells count="2">
    <mergeCell ref="B1:AB1"/>
    <mergeCell ref="B15:AC1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40C16-8E18-4FC9-B429-4000F0CE609F}">
  <sheetPr>
    <tabColor rgb="FFFFC000"/>
  </sheetPr>
  <dimension ref="A1:AF59"/>
  <sheetViews>
    <sheetView zoomScale="70" zoomScaleNormal="70" workbookViewId="0">
      <pane xSplit="1" ySplit="3" topLeftCell="O38" activePane="bottomRight" state="frozen"/>
      <selection activeCell="X47" sqref="X47"/>
      <selection pane="topRight" activeCell="X47" sqref="X47"/>
      <selection pane="bottomLeft" activeCell="X47" sqref="X47"/>
      <selection pane="bottomRight" activeCell="AB55" sqref="A1:AF59"/>
    </sheetView>
  </sheetViews>
  <sheetFormatPr baseColWidth="10" defaultRowHeight="18.600000000000001"/>
  <cols>
    <col min="1" max="1" width="67.5546875" style="281" customWidth="1"/>
    <col min="2" max="2" width="11.88671875" style="279" customWidth="1"/>
    <col min="3" max="3" width="11.109375" style="279" customWidth="1"/>
    <col min="4" max="4" width="11.6640625" style="279" customWidth="1"/>
    <col min="5" max="5" width="11.109375" style="279" customWidth="1"/>
    <col min="6" max="6" width="11.88671875" style="279" customWidth="1"/>
    <col min="7" max="8" width="11.109375" style="279" customWidth="1"/>
    <col min="9" max="9" width="10.88671875" style="279" customWidth="1"/>
    <col min="10" max="10" width="11.109375" style="279" customWidth="1"/>
    <col min="11" max="11" width="11.6640625" style="279" customWidth="1"/>
    <col min="12" max="12" width="11.33203125" style="279" customWidth="1"/>
    <col min="13" max="13" width="11.88671875" style="279" customWidth="1"/>
    <col min="14" max="14" width="11.6640625" style="279" customWidth="1"/>
    <col min="15" max="15" width="11.33203125" style="279" customWidth="1"/>
    <col min="16" max="16" width="11.44140625" style="279" customWidth="1"/>
    <col min="17" max="17" width="9.88671875" style="279" customWidth="1"/>
    <col min="18" max="18" width="11.33203125" style="279" customWidth="1"/>
    <col min="19" max="19" width="9.88671875" style="279" customWidth="1"/>
    <col min="20" max="20" width="11" style="278" customWidth="1"/>
    <col min="21" max="21" width="11.44140625" style="278" customWidth="1"/>
    <col min="22" max="22" width="11.5546875" style="278" customWidth="1"/>
    <col min="23" max="23" width="11" style="278" customWidth="1"/>
    <col min="24" max="24" width="10.5546875" style="278" customWidth="1"/>
    <col min="25" max="26" width="12.33203125" style="278" customWidth="1"/>
    <col min="27" max="30" width="16.5546875" style="278" customWidth="1"/>
    <col min="31" max="16384" width="11.5546875" style="149"/>
  </cols>
  <sheetData>
    <row r="1" spans="1:31" ht="87.75" customHeight="1">
      <c r="A1" s="146"/>
      <c r="B1" s="697" t="s">
        <v>1061</v>
      </c>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147"/>
      <c r="AD1" s="147"/>
    </row>
    <row r="2" spans="1:31" ht="18">
      <c r="A2" s="150"/>
      <c r="B2" s="152" t="s">
        <v>1005</v>
      </c>
      <c r="C2" s="152" t="s">
        <v>1006</v>
      </c>
      <c r="D2" s="152" t="s">
        <v>1007</v>
      </c>
      <c r="E2" s="152" t="s">
        <v>1008</v>
      </c>
      <c r="F2" s="152" t="s">
        <v>105</v>
      </c>
      <c r="G2" s="152" t="s">
        <v>108</v>
      </c>
      <c r="H2" s="152" t="s">
        <v>109</v>
      </c>
      <c r="I2" s="152" t="s">
        <v>106</v>
      </c>
      <c r="J2" s="152" t="s">
        <v>110</v>
      </c>
      <c r="K2" s="152" t="s">
        <v>111</v>
      </c>
      <c r="L2" s="152" t="s">
        <v>112</v>
      </c>
      <c r="M2" s="152" t="s">
        <v>113</v>
      </c>
      <c r="N2" s="152" t="s">
        <v>107</v>
      </c>
      <c r="O2" s="152" t="s">
        <v>114</v>
      </c>
      <c r="P2" s="152" t="s">
        <v>115</v>
      </c>
      <c r="Q2" s="152" t="s">
        <v>116</v>
      </c>
      <c r="R2" s="152" t="s">
        <v>117</v>
      </c>
      <c r="S2" s="152" t="s">
        <v>118</v>
      </c>
      <c r="T2" s="152" t="s">
        <v>119</v>
      </c>
      <c r="U2" s="152" t="s">
        <v>120</v>
      </c>
      <c r="V2" s="282" t="s">
        <v>121</v>
      </c>
      <c r="W2" s="152" t="s">
        <v>122</v>
      </c>
      <c r="X2" s="282" t="s">
        <v>123</v>
      </c>
      <c r="Y2" s="282" t="s">
        <v>124</v>
      </c>
      <c r="Z2" s="282" t="s">
        <v>125</v>
      </c>
      <c r="AA2" s="282" t="s">
        <v>126</v>
      </c>
      <c r="AB2" s="282" t="s">
        <v>127</v>
      </c>
      <c r="AC2" s="282" t="s">
        <v>128</v>
      </c>
      <c r="AD2" s="282" t="s">
        <v>129</v>
      </c>
    </row>
    <row r="3" spans="1:31" ht="18">
      <c r="A3" s="153" t="s">
        <v>1009</v>
      </c>
      <c r="B3" s="157"/>
      <c r="C3" s="157"/>
      <c r="D3" s="157"/>
      <c r="E3" s="157"/>
      <c r="F3" s="157"/>
      <c r="G3" s="157"/>
      <c r="H3" s="157"/>
      <c r="I3" s="157"/>
      <c r="J3" s="157"/>
      <c r="K3" s="157"/>
      <c r="L3" s="157"/>
      <c r="M3" s="157"/>
      <c r="N3" s="157"/>
      <c r="O3" s="157"/>
      <c r="P3" s="157"/>
      <c r="Q3" s="157"/>
      <c r="R3" s="157"/>
      <c r="S3" s="157"/>
      <c r="T3" s="157"/>
      <c r="U3" s="157"/>
      <c r="V3" s="283"/>
      <c r="W3" s="284"/>
      <c r="X3" s="283"/>
      <c r="Y3" s="283"/>
      <c r="Z3" s="283"/>
      <c r="AA3" s="283"/>
      <c r="AB3" s="283"/>
      <c r="AC3" s="283" t="str">
        <f>'Bilans Blé tendre - FAM'!AC3</f>
        <v>Prov. Mars 25</v>
      </c>
      <c r="AD3" s="283" t="str">
        <f>'Bilans Blé tendre - FAM'!AD3</f>
        <v>Prév. Mars 25</v>
      </c>
    </row>
    <row r="4" spans="1:31" ht="18">
      <c r="A4" s="285"/>
      <c r="B4" s="161"/>
      <c r="C4" s="161"/>
      <c r="D4" s="161"/>
      <c r="E4" s="161"/>
      <c r="F4" s="161"/>
      <c r="G4" s="161"/>
      <c r="H4" s="161"/>
      <c r="I4" s="161"/>
      <c r="J4" s="161"/>
      <c r="K4" s="161"/>
      <c r="L4" s="161"/>
      <c r="M4" s="161"/>
      <c r="N4" s="161"/>
      <c r="O4" s="161"/>
      <c r="P4" s="161"/>
      <c r="Q4" s="161" t="s">
        <v>116</v>
      </c>
      <c r="R4" s="161" t="s">
        <v>117</v>
      </c>
      <c r="S4" s="161"/>
      <c r="T4" s="161"/>
      <c r="U4" s="161"/>
      <c r="V4" s="163"/>
      <c r="W4" s="161"/>
      <c r="X4" s="163"/>
      <c r="Y4" s="163"/>
      <c r="Z4" s="163"/>
      <c r="AA4" s="163"/>
      <c r="AB4" s="163"/>
      <c r="AC4" s="163"/>
      <c r="AD4" s="286"/>
    </row>
    <row r="5" spans="1:31">
      <c r="A5" s="164" t="s">
        <v>1013</v>
      </c>
      <c r="B5" s="287">
        <f>B23/B9</f>
        <v>0.74490472110176864</v>
      </c>
      <c r="C5" s="287">
        <f>C23/C9</f>
        <v>0.78217013118140644</v>
      </c>
      <c r="D5" s="287">
        <f t="shared" ref="D5:AD5" si="0">D23/D9</f>
        <v>0.78219474431358971</v>
      </c>
      <c r="E5" s="287">
        <f t="shared" si="0"/>
        <v>0.76969385556138858</v>
      </c>
      <c r="F5" s="287">
        <f t="shared" si="0"/>
        <v>0.77319080188923439</v>
      </c>
      <c r="G5" s="287">
        <f t="shared" si="0"/>
        <v>0.7921350128605269</v>
      </c>
      <c r="H5" s="287">
        <f t="shared" si="0"/>
        <v>0.80383507819523037</v>
      </c>
      <c r="I5" s="287">
        <f t="shared" si="0"/>
        <v>0.81531391202707126</v>
      </c>
      <c r="J5" s="287">
        <f t="shared" si="0"/>
        <v>0.8139194911205776</v>
      </c>
      <c r="K5" s="287">
        <f t="shared" si="0"/>
        <v>0.80277879027084897</v>
      </c>
      <c r="L5" s="287">
        <f t="shared" si="0"/>
        <v>0.8132302103149166</v>
      </c>
      <c r="M5" s="287">
        <f t="shared" si="0"/>
        <v>0.80762497516406728</v>
      </c>
      <c r="N5" s="287">
        <f t="shared" si="0"/>
        <v>0.81632569272737454</v>
      </c>
      <c r="O5" s="287">
        <f t="shared" si="0"/>
        <v>0.82583447085305606</v>
      </c>
      <c r="P5" s="287">
        <f t="shared" si="0"/>
        <v>0.83186899664911373</v>
      </c>
      <c r="Q5" s="287">
        <f t="shared" si="0"/>
        <v>0.78130031577560421</v>
      </c>
      <c r="R5" s="287">
        <f t="shared" si="0"/>
        <v>0.84597576366950145</v>
      </c>
      <c r="S5" s="287">
        <f t="shared" si="0"/>
        <v>0.82028711451294911</v>
      </c>
      <c r="T5" s="287">
        <f t="shared" si="0"/>
        <v>0.85533815903642829</v>
      </c>
      <c r="U5" s="287">
        <f t="shared" si="0"/>
        <v>0.83138981332437489</v>
      </c>
      <c r="V5" s="287">
        <f t="shared" si="0"/>
        <v>0.83869147668889754</v>
      </c>
      <c r="W5" s="287">
        <f t="shared" si="0"/>
        <v>0.82206236311146808</v>
      </c>
      <c r="X5" s="287">
        <f t="shared" si="0"/>
        <v>0.82885866661506469</v>
      </c>
      <c r="Y5" s="287">
        <f t="shared" si="0"/>
        <v>0.84167202027258592</v>
      </c>
      <c r="Z5" s="287">
        <f t="shared" si="0"/>
        <v>0.83650851949403859</v>
      </c>
      <c r="AA5" s="287">
        <f t="shared" si="0"/>
        <v>0.84339435609193369</v>
      </c>
      <c r="AB5" s="287">
        <f t="shared" si="0"/>
        <v>0.84826248270984905</v>
      </c>
      <c r="AC5" s="287">
        <f t="shared" si="0"/>
        <v>0.86197395064009152</v>
      </c>
      <c r="AD5" s="287">
        <f t="shared" si="0"/>
        <v>0.84524172417122567</v>
      </c>
    </row>
    <row r="6" spans="1:31">
      <c r="A6" s="288"/>
      <c r="B6" s="169"/>
      <c r="C6" s="169"/>
      <c r="D6" s="169"/>
      <c r="E6" s="169"/>
      <c r="F6" s="169"/>
      <c r="G6" s="169"/>
      <c r="H6" s="169"/>
      <c r="I6" s="169"/>
      <c r="J6" s="169"/>
      <c r="K6" s="169"/>
      <c r="L6" s="169"/>
      <c r="M6" s="169"/>
      <c r="N6" s="169"/>
      <c r="O6" s="169"/>
      <c r="P6" s="169"/>
      <c r="Q6" s="169"/>
      <c r="R6" s="169"/>
      <c r="S6" s="169"/>
      <c r="T6" s="169"/>
      <c r="U6" s="169"/>
      <c r="V6" s="289"/>
      <c r="W6" s="169"/>
      <c r="X6" s="169"/>
      <c r="Y6" s="290"/>
      <c r="Z6" s="290"/>
      <c r="AA6" s="290"/>
      <c r="AB6" s="290"/>
      <c r="AC6" s="290"/>
      <c r="AD6" s="290"/>
      <c r="AE6" s="291"/>
    </row>
    <row r="7" spans="1:31" ht="18">
      <c r="A7" s="292" t="s">
        <v>1014</v>
      </c>
      <c r="B7" s="173">
        <v>1511.701</v>
      </c>
      <c r="C7" s="173">
        <v>1662.1990000000003</v>
      </c>
      <c r="D7" s="173">
        <v>1599.9679999999998</v>
      </c>
      <c r="E7" s="173">
        <v>1500.4440000000002</v>
      </c>
      <c r="F7" s="173">
        <v>1534.8950000000002</v>
      </c>
      <c r="G7" s="173">
        <v>1704.0620000000001</v>
      </c>
      <c r="H7" s="173">
        <v>1637.9839999999997</v>
      </c>
      <c r="I7" s="173">
        <v>1757.8820000000003</v>
      </c>
      <c r="J7" s="173">
        <v>1627.7840000000001</v>
      </c>
      <c r="K7" s="173">
        <v>1599.385</v>
      </c>
      <c r="L7" s="173">
        <v>1663.8679999999999</v>
      </c>
      <c r="M7" s="173">
        <v>1692.1649999999997</v>
      </c>
      <c r="N7" s="173">
        <v>1791.1239999999996</v>
      </c>
      <c r="O7" s="173">
        <v>1877.8779999999995</v>
      </c>
      <c r="P7" s="173">
        <v>1574.6379999999999</v>
      </c>
      <c r="Q7" s="173">
        <v>1544.6649999999995</v>
      </c>
      <c r="R7" s="173">
        <v>1683.0139999999999</v>
      </c>
      <c r="S7" s="173">
        <v>1635.2990000000002</v>
      </c>
      <c r="T7" s="173">
        <v>1764.346</v>
      </c>
      <c r="U7" s="173">
        <v>1838.6890000000001</v>
      </c>
      <c r="V7" s="173">
        <v>1917.4679999999998</v>
      </c>
      <c r="W7" s="173">
        <v>1904.8720000000001</v>
      </c>
      <c r="X7" s="173">
        <v>1767.9709999999998</v>
      </c>
      <c r="Y7" s="173">
        <v>1944.1889999999999</v>
      </c>
      <c r="Z7" s="173">
        <v>1974.1550000000002</v>
      </c>
      <c r="AA7" s="173">
        <v>1730.3689999999999</v>
      </c>
      <c r="AB7" s="173">
        <v>1866.5199999999995</v>
      </c>
      <c r="AC7" s="173">
        <v>1815.4939999999999</v>
      </c>
      <c r="AD7" s="173">
        <v>1814.9349999999999</v>
      </c>
    </row>
    <row r="8" spans="1:31" ht="18">
      <c r="A8" s="292" t="s">
        <v>1015</v>
      </c>
      <c r="B8" s="293">
        <f>B9/B7*10</f>
        <v>62.207773230288261</v>
      </c>
      <c r="C8" s="293">
        <f t="shared" ref="C8:AD8" si="1">C9/C7*10</f>
        <v>60.185525920783228</v>
      </c>
      <c r="D8" s="293">
        <f t="shared" si="1"/>
        <v>65.194786395727931</v>
      </c>
      <c r="E8" s="293">
        <f t="shared" si="1"/>
        <v>62.49086403757822</v>
      </c>
      <c r="F8" s="293">
        <f t="shared" si="1"/>
        <v>63.298392398177072</v>
      </c>
      <c r="G8" s="293">
        <f t="shared" si="1"/>
        <v>57.46713441177608</v>
      </c>
      <c r="H8" s="293">
        <f t="shared" si="1"/>
        <v>66.889525172407062</v>
      </c>
      <c r="I8" s="293">
        <f t="shared" si="1"/>
        <v>55.935274381329343</v>
      </c>
      <c r="J8" s="293">
        <f t="shared" si="1"/>
        <v>67.642090105321103</v>
      </c>
      <c r="K8" s="293">
        <f t="shared" si="1"/>
        <v>64.330722746555693</v>
      </c>
      <c r="L8" s="293">
        <f t="shared" si="1"/>
        <v>62.33901006570234</v>
      </c>
      <c r="M8" s="293">
        <f t="shared" si="1"/>
        <v>55.756493013388202</v>
      </c>
      <c r="N8" s="293">
        <f t="shared" si="1"/>
        <v>67.612195470553729</v>
      </c>
      <c r="O8" s="293">
        <f t="shared" si="1"/>
        <v>68.328219937610427</v>
      </c>
      <c r="P8" s="293">
        <f t="shared" si="1"/>
        <v>63.799543768154969</v>
      </c>
      <c r="Q8" s="293">
        <f t="shared" si="1"/>
        <v>56.809440234613994</v>
      </c>
      <c r="R8" s="293">
        <f t="shared" si="1"/>
        <v>67.38618217079599</v>
      </c>
      <c r="S8" s="293">
        <f t="shared" si="1"/>
        <v>63.078891994674962</v>
      </c>
      <c r="T8" s="293">
        <f t="shared" si="1"/>
        <v>66.475378978953117</v>
      </c>
      <c r="U8" s="293">
        <f t="shared" si="1"/>
        <v>71.236810031495267</v>
      </c>
      <c r="V8" s="293">
        <f t="shared" si="1"/>
        <v>54.412727617879426</v>
      </c>
      <c r="W8" s="293">
        <f t="shared" si="1"/>
        <v>63.452010948767175</v>
      </c>
      <c r="X8" s="293">
        <f t="shared" si="1"/>
        <v>63.195236799698634</v>
      </c>
      <c r="Y8" s="293">
        <f t="shared" si="1"/>
        <v>70.595076918962107</v>
      </c>
      <c r="Z8" s="293">
        <f t="shared" si="1"/>
        <v>52.671320640983112</v>
      </c>
      <c r="AA8" s="293">
        <f t="shared" si="1"/>
        <v>66.196940074631485</v>
      </c>
      <c r="AB8" s="293">
        <f t="shared" si="1"/>
        <v>61.173766153054899</v>
      </c>
      <c r="AC8" s="293">
        <f t="shared" si="1"/>
        <v>67.674978821191374</v>
      </c>
      <c r="AD8" s="293">
        <f t="shared" si="1"/>
        <v>54.205412866025512</v>
      </c>
    </row>
    <row r="9" spans="1:31" ht="18">
      <c r="A9" s="292" t="s">
        <v>1016</v>
      </c>
      <c r="B9" s="173">
        <v>9403.9552999999996</v>
      </c>
      <c r="C9" s="173">
        <v>10004.032099999999</v>
      </c>
      <c r="D9" s="173">
        <v>10430.957200000003</v>
      </c>
      <c r="E9" s="173">
        <v>9376.4042000000027</v>
      </c>
      <c r="F9" s="173">
        <v>9715.6386000000002</v>
      </c>
      <c r="G9" s="173">
        <v>9792.7559999999976</v>
      </c>
      <c r="H9" s="173">
        <v>10956.397199999999</v>
      </c>
      <c r="I9" s="173">
        <v>9832.7612000000008</v>
      </c>
      <c r="J9" s="173">
        <v>11010.671200000001</v>
      </c>
      <c r="K9" s="173">
        <v>10288.959299999999</v>
      </c>
      <c r="L9" s="173">
        <v>10372.388400000002</v>
      </c>
      <c r="M9" s="173">
        <v>9434.9186000000027</v>
      </c>
      <c r="N9" s="173">
        <v>12110.182600000004</v>
      </c>
      <c r="O9" s="173">
        <v>12831.206099999998</v>
      </c>
      <c r="P9" s="173">
        <v>10046.1186</v>
      </c>
      <c r="Q9" s="173">
        <v>8775.1553999999996</v>
      </c>
      <c r="R9" s="173">
        <v>11341.188800000004</v>
      </c>
      <c r="S9" s="173">
        <v>10315.284899999999</v>
      </c>
      <c r="T9" s="173">
        <v>11728.556900000001</v>
      </c>
      <c r="U9" s="493">
        <v>13098.233899999999</v>
      </c>
      <c r="V9" s="173">
        <v>10433.466400000001</v>
      </c>
      <c r="W9" s="173">
        <v>12086.795900000003</v>
      </c>
      <c r="X9" s="173">
        <v>11172.734599999998</v>
      </c>
      <c r="Y9" s="493">
        <v>13725.0172</v>
      </c>
      <c r="Z9" s="173">
        <v>10398.135100000001</v>
      </c>
      <c r="AA9" s="173">
        <v>11454.513300000001</v>
      </c>
      <c r="AB9" s="173">
        <v>11418.205800000002</v>
      </c>
      <c r="AC9" s="493">
        <v>12286.3518</v>
      </c>
      <c r="AD9" s="173">
        <v>9837.9301000000014</v>
      </c>
    </row>
    <row r="10" spans="1:31" ht="18">
      <c r="A10" s="294"/>
      <c r="B10" s="182"/>
      <c r="C10" s="182"/>
      <c r="D10" s="182"/>
      <c r="E10" s="182"/>
      <c r="F10" s="182"/>
      <c r="G10" s="182"/>
      <c r="H10" s="182"/>
      <c r="I10" s="182"/>
      <c r="J10" s="182"/>
      <c r="K10" s="182"/>
      <c r="L10" s="182"/>
      <c r="M10" s="182"/>
      <c r="N10" s="182"/>
      <c r="O10" s="182"/>
      <c r="P10" s="182"/>
      <c r="Q10" s="182"/>
      <c r="R10" s="182"/>
      <c r="S10" s="182"/>
      <c r="T10" s="182"/>
      <c r="U10" s="183"/>
      <c r="V10" s="295"/>
      <c r="W10" s="183"/>
      <c r="X10" s="183"/>
      <c r="Y10" s="295"/>
      <c r="Z10" s="296"/>
      <c r="AA10" s="296"/>
      <c r="AB10" s="296"/>
      <c r="AC10" s="296"/>
      <c r="AD10" s="296"/>
    </row>
    <row r="11" spans="1:31" ht="18">
      <c r="A11" s="292" t="s">
        <v>1017</v>
      </c>
      <c r="B11" s="186"/>
      <c r="C11" s="186"/>
      <c r="D11" s="186"/>
      <c r="E11" s="186"/>
      <c r="F11" s="186"/>
      <c r="G11" s="186"/>
      <c r="H11" s="186"/>
      <c r="I11" s="186"/>
      <c r="J11" s="186"/>
      <c r="K11" s="186"/>
      <c r="L11" s="186"/>
      <c r="M11" s="186"/>
      <c r="N11" s="186"/>
      <c r="O11" s="186"/>
      <c r="P11" s="186"/>
      <c r="Q11" s="186"/>
      <c r="R11" s="186">
        <v>43</v>
      </c>
      <c r="S11" s="186">
        <f>R13</f>
        <v>43.866807950000016</v>
      </c>
      <c r="T11" s="186">
        <f>S13</f>
        <v>134</v>
      </c>
      <c r="U11" s="492">
        <f t="shared" ref="U11:AB11" si="2">T13</f>
        <v>356.93627982861807</v>
      </c>
      <c r="V11" s="186">
        <f t="shared" si="2"/>
        <v>403.40857500794471</v>
      </c>
      <c r="W11" s="186">
        <f t="shared" si="2"/>
        <v>250.52898900095343</v>
      </c>
      <c r="X11" s="186">
        <f t="shared" si="2"/>
        <v>200</v>
      </c>
      <c r="Y11" s="492">
        <f t="shared" si="2"/>
        <v>200</v>
      </c>
      <c r="Z11" s="186">
        <f t="shared" si="2"/>
        <v>200</v>
      </c>
      <c r="AA11" s="186">
        <f t="shared" si="2"/>
        <v>200</v>
      </c>
      <c r="AB11" s="186">
        <f t="shared" si="2"/>
        <v>200</v>
      </c>
      <c r="AC11" s="492">
        <v>200</v>
      </c>
      <c r="AD11" s="186">
        <v>200</v>
      </c>
    </row>
    <row r="12" spans="1:31" ht="36">
      <c r="A12" s="297" t="s">
        <v>1018</v>
      </c>
      <c r="B12" s="186">
        <f t="shared" ref="B12:P12" si="3">B9-B23</f>
        <v>2398.9046000000008</v>
      </c>
      <c r="C12" s="186">
        <f t="shared" si="3"/>
        <v>2179.1769999999988</v>
      </c>
      <c r="D12" s="186">
        <f t="shared" si="3"/>
        <v>2271.9173000000028</v>
      </c>
      <c r="E12" s="186">
        <f t="shared" si="3"/>
        <v>2159.443500000003</v>
      </c>
      <c r="F12" s="186">
        <f t="shared" si="3"/>
        <v>2203.5962000000018</v>
      </c>
      <c r="G12" s="186">
        <f t="shared" si="3"/>
        <v>2035.5710999999974</v>
      </c>
      <c r="H12" s="186">
        <f t="shared" si="3"/>
        <v>2149.2607999999964</v>
      </c>
      <c r="I12" s="186">
        <f t="shared" si="3"/>
        <v>1815.9742000000006</v>
      </c>
      <c r="J12" s="186">
        <f t="shared" si="3"/>
        <v>2048.8713000000007</v>
      </c>
      <c r="K12" s="186">
        <f t="shared" si="3"/>
        <v>2029.2009999999991</v>
      </c>
      <c r="L12" s="186">
        <f t="shared" si="3"/>
        <v>1937.2487999999994</v>
      </c>
      <c r="M12" s="186">
        <f t="shared" si="3"/>
        <v>1815.0427000000045</v>
      </c>
      <c r="N12" s="186">
        <f t="shared" si="3"/>
        <v>2224.3294000000024</v>
      </c>
      <c r="O12" s="186">
        <f t="shared" si="3"/>
        <v>2234.753799999995</v>
      </c>
      <c r="P12" s="186">
        <f t="shared" si="3"/>
        <v>1689.0640000000003</v>
      </c>
      <c r="Q12" s="186">
        <f>Q9-Q23</f>
        <v>1919.1237150000015</v>
      </c>
      <c r="R12" s="186">
        <f>0.9759*(R11+R9-R23)</f>
        <v>1746.683331549604</v>
      </c>
      <c r="S12" s="186">
        <f t="shared" ref="S12:V12" si="4">0.8045*(S11+S9-S23)</f>
        <v>1526.6645914587791</v>
      </c>
      <c r="T12" s="186">
        <f t="shared" si="4"/>
        <v>1472.7777422485019</v>
      </c>
      <c r="U12" s="492">
        <f t="shared" si="4"/>
        <v>2063.8899980056249</v>
      </c>
      <c r="V12" s="186">
        <f t="shared" si="4"/>
        <v>1678.5213767548953</v>
      </c>
      <c r="W12" s="186">
        <f>0.8045*(W11+W9-W23)</f>
        <v>1931.7854232012646</v>
      </c>
      <c r="X12" s="186">
        <f>X9+X11-X13-X23</f>
        <v>1912.1166970000013</v>
      </c>
      <c r="Y12" s="492">
        <f t="shared" ref="Y12:AA12" si="5">Y9+Y11-Y13-Y23</f>
        <v>2173.0542450000103</v>
      </c>
      <c r="Z12" s="186">
        <f t="shared" si="5"/>
        <v>1700.0065020000038</v>
      </c>
      <c r="AA12" s="186">
        <f t="shared" si="5"/>
        <v>1793.8414310000098</v>
      </c>
      <c r="AB12" s="186">
        <f>AB9+AB11-AB13-AB23</f>
        <v>1732.5702000000019</v>
      </c>
      <c r="AC12" s="492">
        <f>AC9+AC11-AC13-AC23</f>
        <v>1695.8366000000005</v>
      </c>
      <c r="AD12" s="186">
        <f>AD9+AD11-AD13-AD23</f>
        <v>1522.5011000000013</v>
      </c>
    </row>
    <row r="13" spans="1:31" ht="18">
      <c r="A13" s="292" t="s">
        <v>1019</v>
      </c>
      <c r="B13" s="186">
        <v>0.26407792199633323</v>
      </c>
      <c r="C13" s="186"/>
      <c r="D13" s="186"/>
      <c r="E13" s="186"/>
      <c r="F13" s="186"/>
      <c r="G13" s="186"/>
      <c r="H13" s="186"/>
      <c r="I13" s="186"/>
      <c r="J13" s="186"/>
      <c r="K13" s="186"/>
      <c r="L13" s="186"/>
      <c r="M13" s="186"/>
      <c r="N13" s="186"/>
      <c r="O13" s="186"/>
      <c r="P13" s="186"/>
      <c r="Q13" s="186"/>
      <c r="R13" s="186">
        <v>43.866807950000016</v>
      </c>
      <c r="S13" s="186">
        <v>134</v>
      </c>
      <c r="T13" s="186">
        <v>356.93627982861807</v>
      </c>
      <c r="U13" s="492">
        <v>403.40857500794471</v>
      </c>
      <c r="V13" s="188">
        <v>250.52898900095343</v>
      </c>
      <c r="W13" s="186">
        <v>200</v>
      </c>
      <c r="X13" s="186">
        <v>200</v>
      </c>
      <c r="Y13" s="492">
        <v>200</v>
      </c>
      <c r="Z13" s="188">
        <v>200</v>
      </c>
      <c r="AA13" s="188">
        <v>200</v>
      </c>
      <c r="AB13" s="188">
        <v>200</v>
      </c>
      <c r="AC13" s="492">
        <v>200</v>
      </c>
      <c r="AD13" s="188">
        <v>200</v>
      </c>
    </row>
    <row r="14" spans="1:31" ht="18">
      <c r="A14" s="292"/>
      <c r="B14" s="186"/>
      <c r="C14" s="186"/>
      <c r="D14" s="186"/>
      <c r="E14" s="186"/>
      <c r="F14" s="186"/>
      <c r="G14" s="186"/>
      <c r="H14" s="186"/>
      <c r="I14" s="186"/>
      <c r="J14" s="186"/>
      <c r="K14" s="186"/>
      <c r="L14" s="186"/>
      <c r="M14" s="186"/>
      <c r="N14" s="186"/>
      <c r="O14" s="186"/>
      <c r="P14" s="186"/>
      <c r="Q14" s="186"/>
      <c r="R14" s="186"/>
      <c r="S14" s="186"/>
      <c r="T14" s="186"/>
      <c r="U14" s="186"/>
      <c r="V14" s="188"/>
      <c r="W14" s="186"/>
      <c r="X14" s="186"/>
      <c r="Y14" s="186"/>
      <c r="Z14" s="186"/>
      <c r="AA14" s="186"/>
      <c r="AB14" s="186"/>
      <c r="AC14" s="186"/>
      <c r="AD14" s="298"/>
    </row>
    <row r="15" spans="1:31" ht="18">
      <c r="A15" s="292"/>
      <c r="B15" s="173"/>
      <c r="C15" s="173"/>
      <c r="D15" s="173"/>
      <c r="E15" s="173"/>
      <c r="F15" s="173"/>
      <c r="G15" s="173"/>
      <c r="H15" s="173"/>
      <c r="I15" s="173"/>
      <c r="J15" s="173"/>
      <c r="K15" s="173"/>
      <c r="L15" s="173"/>
      <c r="M15" s="173"/>
      <c r="N15" s="173"/>
      <c r="O15" s="173"/>
      <c r="P15" s="173"/>
      <c r="Q15" s="173"/>
      <c r="R15" s="173"/>
      <c r="S15" s="173"/>
      <c r="T15" s="173"/>
      <c r="U15" s="173"/>
      <c r="V15" s="176"/>
      <c r="W15" s="173"/>
      <c r="X15" s="173"/>
      <c r="Y15" s="173"/>
      <c r="Z15" s="173"/>
      <c r="AA15" s="173"/>
      <c r="AB15" s="173"/>
      <c r="AC15" s="173"/>
      <c r="AD15" s="299"/>
    </row>
    <row r="16" spans="1:31" ht="18">
      <c r="A16" s="300"/>
      <c r="B16" s="301"/>
      <c r="C16" s="301"/>
      <c r="D16" s="301"/>
      <c r="E16" s="301"/>
      <c r="F16" s="301"/>
      <c r="G16" s="301"/>
      <c r="H16" s="301"/>
      <c r="I16" s="301"/>
      <c r="J16" s="301"/>
      <c r="K16" s="301"/>
      <c r="L16" s="301"/>
      <c r="M16" s="301"/>
      <c r="N16" s="301"/>
      <c r="O16" s="301"/>
      <c r="P16" s="301"/>
      <c r="Q16" s="301"/>
      <c r="R16" s="301"/>
      <c r="S16" s="301"/>
      <c r="T16" s="302"/>
      <c r="U16" s="302"/>
      <c r="V16" s="296"/>
      <c r="W16" s="302"/>
      <c r="X16" s="302"/>
      <c r="Y16" s="302"/>
      <c r="Z16" s="302"/>
      <c r="AA16" s="302"/>
      <c r="AB16" s="302"/>
      <c r="AC16" s="302"/>
      <c r="AD16" s="303"/>
    </row>
    <row r="17" spans="1:31" ht="46.5" customHeight="1">
      <c r="A17" s="304" t="s">
        <v>1020</v>
      </c>
      <c r="B17" s="696" t="s">
        <v>1062</v>
      </c>
      <c r="C17" s="696"/>
      <c r="D17" s="696"/>
      <c r="E17" s="696"/>
      <c r="F17" s="696"/>
      <c r="G17" s="696"/>
      <c r="H17" s="696"/>
      <c r="I17" s="696"/>
      <c r="J17" s="696"/>
      <c r="K17" s="696"/>
      <c r="L17" s="696"/>
      <c r="M17" s="696"/>
      <c r="N17" s="696"/>
      <c r="O17" s="696"/>
      <c r="P17" s="696"/>
      <c r="Q17" s="696"/>
      <c r="R17" s="696"/>
      <c r="S17" s="696"/>
      <c r="T17" s="696"/>
      <c r="U17" s="696"/>
      <c r="V17" s="696"/>
      <c r="W17" s="696"/>
      <c r="X17" s="696"/>
      <c r="Y17" s="696"/>
      <c r="Z17" s="696"/>
      <c r="AA17" s="696"/>
      <c r="AB17" s="696"/>
      <c r="AC17" s="696"/>
      <c r="AD17" s="191"/>
    </row>
    <row r="18" spans="1:31">
      <c r="A18" s="192" t="s">
        <v>1009</v>
      </c>
      <c r="B18" s="194" t="s">
        <v>1005</v>
      </c>
      <c r="C18" s="194" t="s">
        <v>1006</v>
      </c>
      <c r="D18" s="194" t="s">
        <v>1007</v>
      </c>
      <c r="E18" s="194" t="s">
        <v>1008</v>
      </c>
      <c r="F18" s="194" t="s">
        <v>105</v>
      </c>
      <c r="G18" s="194" t="s">
        <v>108</v>
      </c>
      <c r="H18" s="194" t="s">
        <v>109</v>
      </c>
      <c r="I18" s="194" t="s">
        <v>106</v>
      </c>
      <c r="J18" s="194" t="s">
        <v>110</v>
      </c>
      <c r="K18" s="194" t="s">
        <v>111</v>
      </c>
      <c r="L18" s="194" t="s">
        <v>112</v>
      </c>
      <c r="M18" s="194" t="s">
        <v>113</v>
      </c>
      <c r="N18" s="194" t="s">
        <v>107</v>
      </c>
      <c r="O18" s="194" t="s">
        <v>114</v>
      </c>
      <c r="P18" s="194" t="s">
        <v>115</v>
      </c>
      <c r="Q18" s="194" t="s">
        <v>116</v>
      </c>
      <c r="R18" s="194" t="s">
        <v>117</v>
      </c>
      <c r="S18" s="194" t="str">
        <f>S2</f>
        <v>2013/14</v>
      </c>
      <c r="T18" s="194" t="s">
        <v>119</v>
      </c>
      <c r="U18" s="194" t="s">
        <v>120</v>
      </c>
      <c r="V18" s="195" t="s">
        <v>121</v>
      </c>
      <c r="W18" s="194" t="s">
        <v>122</v>
      </c>
      <c r="X18" s="195" t="s">
        <v>123</v>
      </c>
      <c r="Y18" s="195" t="str">
        <f>Y2</f>
        <v>2019/20</v>
      </c>
      <c r="Z18" s="195" t="str">
        <f t="shared" ref="Z18:AD18" si="6">Z2</f>
        <v>2020/21</v>
      </c>
      <c r="AA18" s="195" t="str">
        <f t="shared" si="6"/>
        <v>2021/22</v>
      </c>
      <c r="AB18" s="195" t="str">
        <f t="shared" si="6"/>
        <v>2022/23</v>
      </c>
      <c r="AC18" s="195" t="str">
        <f t="shared" si="6"/>
        <v>2023/24</v>
      </c>
      <c r="AD18" s="195" t="str">
        <f t="shared" si="6"/>
        <v>2024/25</v>
      </c>
    </row>
    <row r="19" spans="1:31" ht="18">
      <c r="A19" s="196"/>
      <c r="B19" s="305"/>
      <c r="C19" s="305"/>
      <c r="D19" s="305"/>
      <c r="E19" s="305"/>
      <c r="F19" s="305"/>
      <c r="G19" s="305"/>
      <c r="H19" s="305"/>
      <c r="I19" s="305"/>
      <c r="J19" s="305"/>
      <c r="K19" s="305"/>
      <c r="L19" s="305"/>
      <c r="M19" s="305"/>
      <c r="N19" s="305"/>
      <c r="O19" s="305"/>
      <c r="P19" s="305"/>
      <c r="Q19" s="305"/>
      <c r="R19" s="305"/>
      <c r="S19" s="305"/>
      <c r="T19" s="305"/>
      <c r="U19" s="305"/>
      <c r="V19" s="306"/>
      <c r="W19" s="305"/>
      <c r="X19" s="306"/>
      <c r="Y19" s="306"/>
      <c r="Z19" s="306"/>
      <c r="AA19" s="307"/>
      <c r="AB19" s="307"/>
      <c r="AC19" s="306" t="str">
        <f>AC3</f>
        <v>Prov. Mars 25</v>
      </c>
      <c r="AD19" s="306" t="str">
        <f>AD3</f>
        <v>Prév. Mars 25</v>
      </c>
    </row>
    <row r="20" spans="1:31" ht="18">
      <c r="A20" s="201"/>
      <c r="B20" s="203"/>
      <c r="C20" s="203"/>
      <c r="D20" s="203"/>
      <c r="E20" s="203"/>
      <c r="F20" s="203"/>
      <c r="G20" s="203"/>
      <c r="H20" s="203"/>
      <c r="I20" s="203"/>
      <c r="J20" s="203"/>
      <c r="K20" s="203"/>
      <c r="L20" s="203"/>
      <c r="M20" s="203"/>
      <c r="N20" s="203"/>
      <c r="O20" s="203"/>
      <c r="P20" s="203"/>
      <c r="Q20" s="203"/>
      <c r="R20" s="203"/>
      <c r="S20" s="203"/>
      <c r="T20" s="308"/>
      <c r="U20" s="308"/>
      <c r="V20" s="308"/>
      <c r="W20" s="308"/>
      <c r="X20" s="308"/>
      <c r="Y20" s="308"/>
      <c r="Z20" s="308"/>
      <c r="AA20" s="308"/>
      <c r="AB20" s="308"/>
      <c r="AC20" s="308"/>
      <c r="AD20" s="308"/>
    </row>
    <row r="21" spans="1:31">
      <c r="A21" s="206" t="s">
        <v>1022</v>
      </c>
      <c r="B21" s="209"/>
      <c r="C21" s="209"/>
      <c r="D21" s="209"/>
      <c r="E21" s="209"/>
      <c r="F21" s="209"/>
      <c r="G21" s="209"/>
      <c r="H21" s="209"/>
      <c r="I21" s="209"/>
      <c r="J21" s="209"/>
      <c r="K21" s="209"/>
      <c r="L21" s="209"/>
      <c r="M21" s="209"/>
      <c r="N21" s="209"/>
      <c r="O21" s="209"/>
      <c r="P21" s="209"/>
      <c r="Q21" s="209"/>
      <c r="R21" s="209"/>
      <c r="S21" s="209"/>
      <c r="T21" s="209"/>
      <c r="U21" s="309"/>
      <c r="V21" s="310"/>
      <c r="W21" s="309"/>
      <c r="X21" s="310"/>
      <c r="Y21" s="311"/>
      <c r="Z21" s="311"/>
      <c r="AA21" s="312"/>
      <c r="AB21" s="312"/>
      <c r="AC21" s="312"/>
      <c r="AD21" s="312"/>
    </row>
    <row r="22" spans="1:31" ht="18">
      <c r="A22" s="213" t="s">
        <v>1023</v>
      </c>
      <c r="B22" s="313">
        <v>624.61099999999999</v>
      </c>
      <c r="C22" s="313">
        <f>B52</f>
        <v>853.9636099999999</v>
      </c>
      <c r="D22" s="313">
        <f t="shared" ref="D22:AA22" si="7">C52</f>
        <v>1733.6000000000001</v>
      </c>
      <c r="E22" s="313">
        <f t="shared" si="7"/>
        <v>1071.6534899999999</v>
      </c>
      <c r="F22" s="313">
        <f t="shared" si="7"/>
        <v>800.34618999999998</v>
      </c>
      <c r="G22" s="313">
        <f t="shared" si="7"/>
        <v>1189.3279600000001</v>
      </c>
      <c r="H22" s="313">
        <f t="shared" si="7"/>
        <v>1013.91336</v>
      </c>
      <c r="I22" s="313">
        <f t="shared" si="7"/>
        <v>1291.78566</v>
      </c>
      <c r="J22" s="313">
        <f t="shared" si="7"/>
        <v>784.87770000000012</v>
      </c>
      <c r="K22" s="313">
        <f t="shared" si="7"/>
        <v>1029.7801899999999</v>
      </c>
      <c r="L22" s="313">
        <f t="shared" si="7"/>
        <v>1040.10511</v>
      </c>
      <c r="M22" s="313">
        <f t="shared" si="7"/>
        <v>799.99248399999999</v>
      </c>
      <c r="N22" s="313">
        <f t="shared" si="7"/>
        <v>721.67502999999999</v>
      </c>
      <c r="O22" s="313">
        <f t="shared" si="7"/>
        <v>1642.7031200000001</v>
      </c>
      <c r="P22" s="313">
        <f t="shared" si="7"/>
        <v>2250.2455099999997</v>
      </c>
      <c r="Q22" s="313">
        <f t="shared" si="7"/>
        <v>1377.9469709999998</v>
      </c>
      <c r="R22" s="313">
        <f t="shared" si="7"/>
        <v>954.59345800000006</v>
      </c>
      <c r="S22" s="313">
        <f t="shared" si="7"/>
        <v>1279.150349</v>
      </c>
      <c r="T22" s="313">
        <f t="shared" si="7"/>
        <v>1043.5367509999999</v>
      </c>
      <c r="U22" s="313">
        <f t="shared" si="7"/>
        <v>973.45957500000009</v>
      </c>
      <c r="V22" s="313">
        <f t="shared" si="7"/>
        <v>1270.748656</v>
      </c>
      <c r="W22" s="313">
        <f t="shared" si="7"/>
        <v>1064.790219</v>
      </c>
      <c r="X22" s="313">
        <f t="shared" si="7"/>
        <v>1495.6844090000002</v>
      </c>
      <c r="Y22" s="313">
        <f t="shared" si="7"/>
        <v>1327.017094333333</v>
      </c>
      <c r="Z22" s="313">
        <f t="shared" si="7"/>
        <v>1386.6066679999999</v>
      </c>
      <c r="AA22" s="313">
        <f t="shared" si="7"/>
        <v>786.41604699999993</v>
      </c>
      <c r="AB22" s="313">
        <v>1081.6563959999999</v>
      </c>
      <c r="AC22" s="313">
        <v>1012.614887</v>
      </c>
      <c r="AD22" s="313">
        <v>1288.9327950000002</v>
      </c>
    </row>
    <row r="23" spans="1:31" ht="18">
      <c r="A23" s="215" t="s">
        <v>1024</v>
      </c>
      <c r="B23" s="314">
        <v>7005.0506999999989</v>
      </c>
      <c r="C23" s="314">
        <v>7824.8550999999998</v>
      </c>
      <c r="D23" s="314">
        <v>8159.0398999999998</v>
      </c>
      <c r="E23" s="314">
        <v>7216.9606999999996</v>
      </c>
      <c r="F23" s="314">
        <v>7512.0423999999985</v>
      </c>
      <c r="G23" s="314">
        <v>7757.1849000000002</v>
      </c>
      <c r="H23" s="314">
        <v>8807.1364000000031</v>
      </c>
      <c r="I23" s="314">
        <v>8016.7870000000003</v>
      </c>
      <c r="J23" s="314">
        <v>8961.7999</v>
      </c>
      <c r="K23" s="314">
        <v>8259.7582999999995</v>
      </c>
      <c r="L23" s="314">
        <v>8435.1396000000022</v>
      </c>
      <c r="M23" s="314">
        <v>7619.8758999999982</v>
      </c>
      <c r="N23" s="314">
        <v>9885.8532000000014</v>
      </c>
      <c r="O23" s="314">
        <v>10596.452300000003</v>
      </c>
      <c r="P23" s="314">
        <v>8357.0545999999995</v>
      </c>
      <c r="Q23" s="314">
        <v>6856.0316849999981</v>
      </c>
      <c r="R23" s="314">
        <v>9594.3708559999995</v>
      </c>
      <c r="S23" s="314">
        <v>8461.4952859999939</v>
      </c>
      <c r="T23" s="314">
        <v>10031.882266999999</v>
      </c>
      <c r="U23" s="494">
        <v>10889.738236999998</v>
      </c>
      <c r="V23" s="314">
        <v>8750.4593419999965</v>
      </c>
      <c r="W23" s="314">
        <v>9936.1000000000058</v>
      </c>
      <c r="X23" s="314">
        <v>9260.6179029999967</v>
      </c>
      <c r="Y23" s="494">
        <v>11551.96295499999</v>
      </c>
      <c r="Z23" s="314">
        <v>8698.1285979999975</v>
      </c>
      <c r="AA23" s="314">
        <v>9660.6718689999907</v>
      </c>
      <c r="AB23" s="314">
        <v>9685.6355999999996</v>
      </c>
      <c r="AC23" s="494">
        <v>10590.5152</v>
      </c>
      <c r="AD23" s="314">
        <v>8315.4290000000001</v>
      </c>
    </row>
    <row r="24" spans="1:31" ht="18">
      <c r="A24" s="215" t="s">
        <v>1025</v>
      </c>
      <c r="B24" s="173">
        <v>77</v>
      </c>
      <c r="C24" s="173">
        <v>43.4</v>
      </c>
      <c r="D24" s="173">
        <v>20</v>
      </c>
      <c r="E24" s="173">
        <v>27.163</v>
      </c>
      <c r="F24" s="173">
        <v>112.39918800000001</v>
      </c>
      <c r="G24" s="173">
        <v>31.650524000000001</v>
      </c>
      <c r="H24" s="173">
        <v>27.400568000000003</v>
      </c>
      <c r="I24" s="173">
        <v>24.139917000000001</v>
      </c>
      <c r="J24" s="173">
        <v>34.378178999999996</v>
      </c>
      <c r="K24" s="173">
        <v>54.07670000000001</v>
      </c>
      <c r="L24" s="173">
        <v>41.761299999999999</v>
      </c>
      <c r="M24" s="173">
        <v>87.539799999999971</v>
      </c>
      <c r="N24" s="173">
        <v>36.847199999999994</v>
      </c>
      <c r="O24" s="173">
        <v>24.161999999999999</v>
      </c>
      <c r="P24" s="173">
        <v>128.40350000000001</v>
      </c>
      <c r="Q24" s="173">
        <v>111.01859999999999</v>
      </c>
      <c r="R24" s="173">
        <v>58.879600000000003</v>
      </c>
      <c r="S24" s="173">
        <v>36.0289</v>
      </c>
      <c r="T24" s="173">
        <v>81.763999999999996</v>
      </c>
      <c r="U24" s="493">
        <v>70.218899999999991</v>
      </c>
      <c r="V24" s="173">
        <v>124.21970000000002</v>
      </c>
      <c r="W24" s="173">
        <v>45.512899999999995</v>
      </c>
      <c r="X24" s="173">
        <v>85.057199999999995</v>
      </c>
      <c r="Y24" s="493">
        <v>72.442800000000005</v>
      </c>
      <c r="Z24" s="173">
        <v>87.666900000000012</v>
      </c>
      <c r="AA24" s="173">
        <v>43.406200000000013</v>
      </c>
      <c r="AB24" s="173">
        <v>40.135700000000007</v>
      </c>
      <c r="AC24" s="493">
        <v>36.703200000000002</v>
      </c>
      <c r="AD24" s="173">
        <v>45</v>
      </c>
    </row>
    <row r="25" spans="1:31" ht="18">
      <c r="A25" s="215" t="s">
        <v>1026</v>
      </c>
      <c r="B25" s="173">
        <v>0</v>
      </c>
      <c r="C25" s="173">
        <v>0</v>
      </c>
      <c r="D25" s="173">
        <v>0</v>
      </c>
      <c r="E25" s="173">
        <v>0</v>
      </c>
      <c r="F25" s="173">
        <v>0</v>
      </c>
      <c r="G25" s="173">
        <v>0</v>
      </c>
      <c r="H25" s="173">
        <v>0</v>
      </c>
      <c r="I25" s="173">
        <v>0</v>
      </c>
      <c r="J25" s="173">
        <v>0</v>
      </c>
      <c r="K25" s="173">
        <v>0</v>
      </c>
      <c r="L25" s="173">
        <v>0</v>
      </c>
      <c r="M25" s="173">
        <v>0</v>
      </c>
      <c r="N25" s="173">
        <v>0</v>
      </c>
      <c r="O25" s="173">
        <v>0</v>
      </c>
      <c r="P25" s="173">
        <v>219.31838910000124</v>
      </c>
      <c r="Q25" s="173">
        <v>0</v>
      </c>
      <c r="R25" s="173">
        <v>0</v>
      </c>
      <c r="S25" s="173">
        <v>0</v>
      </c>
      <c r="T25" s="173">
        <v>0</v>
      </c>
      <c r="U25" s="173">
        <v>56.867833999997174</v>
      </c>
      <c r="V25" s="173">
        <v>0</v>
      </c>
      <c r="W25" s="173">
        <v>0</v>
      </c>
      <c r="X25" s="173">
        <v>0</v>
      </c>
      <c r="Y25" s="173">
        <v>0</v>
      </c>
      <c r="Z25" s="173">
        <v>0</v>
      </c>
      <c r="AA25" s="173">
        <v>0</v>
      </c>
      <c r="AB25" s="314">
        <v>0</v>
      </c>
      <c r="AC25" s="314">
        <v>0</v>
      </c>
      <c r="AD25" s="314">
        <v>0</v>
      </c>
    </row>
    <row r="26" spans="1:31" thickBot="1">
      <c r="A26" s="217" t="s">
        <v>1027</v>
      </c>
      <c r="B26" s="315">
        <f>SUM(B22:B24)</f>
        <v>7706.6616999999987</v>
      </c>
      <c r="C26" s="315">
        <f t="shared" ref="C26:O26" si="8">SUM(C22:C24)</f>
        <v>8722.2187099999992</v>
      </c>
      <c r="D26" s="315">
        <f t="shared" si="8"/>
        <v>9912.6399000000001</v>
      </c>
      <c r="E26" s="315">
        <f t="shared" si="8"/>
        <v>8315.7771900000007</v>
      </c>
      <c r="F26" s="315">
        <f t="shared" si="8"/>
        <v>8424.7877779999981</v>
      </c>
      <c r="G26" s="315">
        <f t="shared" si="8"/>
        <v>8978.1633840000013</v>
      </c>
      <c r="H26" s="315">
        <f t="shared" si="8"/>
        <v>9848.4503280000026</v>
      </c>
      <c r="I26" s="315">
        <f t="shared" si="8"/>
        <v>9332.7125770000002</v>
      </c>
      <c r="J26" s="315">
        <f t="shared" si="8"/>
        <v>9781.0557790000003</v>
      </c>
      <c r="K26" s="315">
        <f t="shared" si="8"/>
        <v>9343.6151899999986</v>
      </c>
      <c r="L26" s="315">
        <f t="shared" si="8"/>
        <v>9517.0060100000028</v>
      </c>
      <c r="M26" s="315">
        <f t="shared" si="8"/>
        <v>8507.4081839999981</v>
      </c>
      <c r="N26" s="315">
        <f t="shared" si="8"/>
        <v>10644.375430000002</v>
      </c>
      <c r="O26" s="315">
        <f t="shared" si="8"/>
        <v>12263.317420000003</v>
      </c>
      <c r="P26" s="315">
        <f>SUM(P22:P25)</f>
        <v>10955.021999100001</v>
      </c>
      <c r="Q26" s="315">
        <f t="shared" ref="Q26:AD26" si="9">SUM(Q22:Q25)</f>
        <v>8344.9972559999969</v>
      </c>
      <c r="R26" s="315">
        <f t="shared" si="9"/>
        <v>10607.843913999999</v>
      </c>
      <c r="S26" s="315">
        <f t="shared" si="9"/>
        <v>9776.6745349999928</v>
      </c>
      <c r="T26" s="315">
        <f t="shared" si="9"/>
        <v>11157.183017999998</v>
      </c>
      <c r="U26" s="315">
        <f t="shared" si="9"/>
        <v>11990.284545999995</v>
      </c>
      <c r="V26" s="315">
        <f t="shared" si="9"/>
        <v>10145.427697999996</v>
      </c>
      <c r="W26" s="315">
        <f t="shared" si="9"/>
        <v>11046.403119000006</v>
      </c>
      <c r="X26" s="315">
        <f t="shared" si="9"/>
        <v>10841.359511999995</v>
      </c>
      <c r="Y26" s="315">
        <f t="shared" si="9"/>
        <v>12951.422849333323</v>
      </c>
      <c r="Z26" s="315">
        <f t="shared" si="9"/>
        <v>10172.402165999998</v>
      </c>
      <c r="AA26" s="315">
        <f t="shared" si="9"/>
        <v>10490.494115999991</v>
      </c>
      <c r="AB26" s="315">
        <f t="shared" si="9"/>
        <v>10807.427696000001</v>
      </c>
      <c r="AC26" s="315">
        <f t="shared" si="9"/>
        <v>11639.833286999999</v>
      </c>
      <c r="AD26" s="315">
        <f t="shared" si="9"/>
        <v>9649.3617950000007</v>
      </c>
    </row>
    <row r="27" spans="1:31" ht="19.2" thickTop="1">
      <c r="A27" s="220"/>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7"/>
      <c r="Z27" s="317"/>
      <c r="AA27" s="317"/>
      <c r="AB27" s="317"/>
      <c r="AC27" s="317"/>
      <c r="AD27" s="317"/>
    </row>
    <row r="28" spans="1:31">
      <c r="A28" s="225" t="s">
        <v>1028</v>
      </c>
      <c r="B28" s="228"/>
      <c r="C28" s="228"/>
      <c r="D28" s="228"/>
      <c r="E28" s="228"/>
      <c r="F28" s="228"/>
      <c r="G28" s="228"/>
      <c r="H28" s="228"/>
      <c r="I28" s="228"/>
      <c r="J28" s="228"/>
      <c r="K28" s="228"/>
      <c r="L28" s="228"/>
      <c r="M28" s="228"/>
      <c r="N28" s="228"/>
      <c r="O28" s="228"/>
      <c r="P28" s="228"/>
      <c r="Q28" s="228"/>
      <c r="R28" s="228"/>
      <c r="S28" s="228"/>
      <c r="T28" s="228"/>
      <c r="U28" s="228"/>
      <c r="V28" s="318"/>
      <c r="W28" s="229"/>
      <c r="X28" s="230"/>
      <c r="Y28" s="319"/>
      <c r="Z28" s="319"/>
      <c r="AA28" s="320"/>
      <c r="AB28" s="320"/>
      <c r="AC28" s="320"/>
      <c r="AD28" s="320"/>
    </row>
    <row r="29" spans="1:31" ht="18">
      <c r="A29" s="233" t="s">
        <v>1029</v>
      </c>
      <c r="B29" s="321"/>
      <c r="C29" s="321"/>
      <c r="D29" s="321"/>
      <c r="E29" s="321"/>
      <c r="F29" s="321"/>
      <c r="G29" s="321"/>
      <c r="H29" s="321"/>
      <c r="I29" s="321"/>
      <c r="J29" s="321"/>
      <c r="K29" s="321"/>
      <c r="L29" s="321"/>
      <c r="M29" s="321"/>
      <c r="N29" s="321"/>
      <c r="O29" s="321"/>
      <c r="P29" s="321"/>
      <c r="Q29" s="321"/>
      <c r="R29" s="321"/>
      <c r="S29" s="321"/>
      <c r="T29" s="321"/>
      <c r="U29" s="322"/>
      <c r="V29" s="321"/>
      <c r="W29" s="322"/>
      <c r="X29" s="323"/>
      <c r="Y29" s="323"/>
      <c r="Z29" s="323"/>
      <c r="AA29" s="323"/>
      <c r="AB29" s="323"/>
      <c r="AC29" s="323"/>
      <c r="AD29" s="323"/>
      <c r="AE29" s="324"/>
    </row>
    <row r="30" spans="1:31" ht="18">
      <c r="A30" s="216" t="s">
        <v>1063</v>
      </c>
      <c r="B30" s="237">
        <v>206</v>
      </c>
      <c r="C30" s="237">
        <v>164</v>
      </c>
      <c r="D30" s="237">
        <v>164</v>
      </c>
      <c r="E30" s="237">
        <v>164</v>
      </c>
      <c r="F30" s="237">
        <v>177</v>
      </c>
      <c r="G30" s="237">
        <v>235</v>
      </c>
      <c r="H30" s="237">
        <v>223</v>
      </c>
      <c r="I30" s="237">
        <v>189</v>
      </c>
      <c r="J30" s="237">
        <v>226</v>
      </c>
      <c r="K30" s="237">
        <v>160.96777700000001</v>
      </c>
      <c r="L30" s="237">
        <v>130.72222899999983</v>
      </c>
      <c r="M30" s="237">
        <v>190.26472700000019</v>
      </c>
      <c r="N30" s="237">
        <v>237.81688100000005</v>
      </c>
      <c r="O30" s="237">
        <v>217.73063899999997</v>
      </c>
      <c r="P30" s="237">
        <v>129.64123499999988</v>
      </c>
      <c r="Q30" s="237">
        <v>160.47128899999987</v>
      </c>
      <c r="R30" s="237">
        <v>160.9171399999999</v>
      </c>
      <c r="S30" s="237">
        <v>153.47636499999999</v>
      </c>
      <c r="T30" s="237">
        <v>128.11231499999994</v>
      </c>
      <c r="U30" s="489">
        <v>258.56598400000019</v>
      </c>
      <c r="V30" s="237">
        <v>255.24789700000011</v>
      </c>
      <c r="W30" s="237">
        <v>347.569818</v>
      </c>
      <c r="X30" s="237">
        <v>274.15110799999979</v>
      </c>
      <c r="Y30" s="489">
        <v>249.90839199999999</v>
      </c>
      <c r="Z30" s="237">
        <v>216.02329700000001</v>
      </c>
      <c r="AA30" s="237">
        <v>248.71160000000009</v>
      </c>
      <c r="AB30" s="237">
        <v>319.20529399999998</v>
      </c>
      <c r="AC30" s="489">
        <v>308.87380299999984</v>
      </c>
      <c r="AD30" s="237">
        <v>320</v>
      </c>
    </row>
    <row r="31" spans="1:31" ht="18">
      <c r="A31" s="216" t="s">
        <v>1064</v>
      </c>
      <c r="B31" s="237">
        <v>20</v>
      </c>
      <c r="C31" s="237">
        <v>20</v>
      </c>
      <c r="D31" s="237">
        <v>20</v>
      </c>
      <c r="E31" s="237">
        <v>20</v>
      </c>
      <c r="F31" s="237">
        <v>20</v>
      </c>
      <c r="G31" s="237">
        <v>20</v>
      </c>
      <c r="H31" s="237">
        <v>20</v>
      </c>
      <c r="I31" s="237">
        <v>20</v>
      </c>
      <c r="J31" s="237">
        <v>20</v>
      </c>
      <c r="K31" s="237">
        <v>20</v>
      </c>
      <c r="L31" s="237">
        <v>20</v>
      </c>
      <c r="M31" s="237">
        <v>20</v>
      </c>
      <c r="N31" s="237">
        <v>20</v>
      </c>
      <c r="O31" s="237">
        <v>20</v>
      </c>
      <c r="P31" s="237">
        <v>20</v>
      </c>
      <c r="Q31" s="237">
        <v>20</v>
      </c>
      <c r="R31" s="237">
        <v>20</v>
      </c>
      <c r="S31" s="237">
        <v>20</v>
      </c>
      <c r="T31" s="237">
        <v>20</v>
      </c>
      <c r="U31" s="489">
        <v>20</v>
      </c>
      <c r="V31" s="237">
        <v>20</v>
      </c>
      <c r="W31" s="237">
        <v>20</v>
      </c>
      <c r="X31" s="237">
        <v>20</v>
      </c>
      <c r="Y31" s="489">
        <v>20</v>
      </c>
      <c r="Z31" s="237">
        <v>20</v>
      </c>
      <c r="AA31" s="237">
        <v>20</v>
      </c>
      <c r="AB31" s="237">
        <v>21</v>
      </c>
      <c r="AC31" s="489">
        <v>20</v>
      </c>
      <c r="AD31" s="237">
        <v>20</v>
      </c>
    </row>
    <row r="32" spans="1:31" ht="18">
      <c r="A32" s="241" t="s">
        <v>1035</v>
      </c>
      <c r="B32" s="242">
        <f>B31+B30</f>
        <v>226</v>
      </c>
      <c r="C32" s="242">
        <f t="shared" ref="C32:AD32" si="10">C31+C30</f>
        <v>184</v>
      </c>
      <c r="D32" s="242">
        <f t="shared" si="10"/>
        <v>184</v>
      </c>
      <c r="E32" s="242">
        <f t="shared" si="10"/>
        <v>184</v>
      </c>
      <c r="F32" s="242">
        <f t="shared" si="10"/>
        <v>197</v>
      </c>
      <c r="G32" s="242">
        <f t="shared" si="10"/>
        <v>255</v>
      </c>
      <c r="H32" s="242">
        <f t="shared" si="10"/>
        <v>243</v>
      </c>
      <c r="I32" s="242">
        <f t="shared" si="10"/>
        <v>209</v>
      </c>
      <c r="J32" s="242">
        <f t="shared" si="10"/>
        <v>246</v>
      </c>
      <c r="K32" s="242">
        <f t="shared" si="10"/>
        <v>180.96777700000001</v>
      </c>
      <c r="L32" s="242">
        <f t="shared" si="10"/>
        <v>150.72222899999983</v>
      </c>
      <c r="M32" s="242">
        <f t="shared" si="10"/>
        <v>210.26472700000019</v>
      </c>
      <c r="N32" s="242">
        <f t="shared" si="10"/>
        <v>257.81688100000008</v>
      </c>
      <c r="O32" s="242">
        <f t="shared" si="10"/>
        <v>237.73063899999997</v>
      </c>
      <c r="P32" s="242">
        <f t="shared" si="10"/>
        <v>149.64123499999988</v>
      </c>
      <c r="Q32" s="242">
        <f t="shared" si="10"/>
        <v>180.47128899999987</v>
      </c>
      <c r="R32" s="242">
        <f t="shared" si="10"/>
        <v>180.9171399999999</v>
      </c>
      <c r="S32" s="242">
        <f t="shared" si="10"/>
        <v>173.47636499999999</v>
      </c>
      <c r="T32" s="242">
        <f t="shared" si="10"/>
        <v>148.11231499999994</v>
      </c>
      <c r="U32" s="242">
        <f t="shared" si="10"/>
        <v>278.56598400000019</v>
      </c>
      <c r="V32" s="242">
        <f t="shared" si="10"/>
        <v>275.24789700000008</v>
      </c>
      <c r="W32" s="242">
        <f t="shared" si="10"/>
        <v>367.569818</v>
      </c>
      <c r="X32" s="242">
        <f t="shared" si="10"/>
        <v>294.15110799999979</v>
      </c>
      <c r="Y32" s="242">
        <f t="shared" si="10"/>
        <v>269.90839199999999</v>
      </c>
      <c r="Z32" s="242">
        <f t="shared" si="10"/>
        <v>236.02329700000001</v>
      </c>
      <c r="AA32" s="242">
        <f t="shared" si="10"/>
        <v>268.71160000000009</v>
      </c>
      <c r="AB32" s="242">
        <f t="shared" si="10"/>
        <v>340.20529399999998</v>
      </c>
      <c r="AC32" s="242">
        <f t="shared" si="10"/>
        <v>328.87380299999984</v>
      </c>
      <c r="AD32" s="242">
        <f t="shared" si="10"/>
        <v>340</v>
      </c>
    </row>
    <row r="33" spans="1:32" ht="18">
      <c r="A33" s="233" t="s">
        <v>1036</v>
      </c>
      <c r="B33" s="325"/>
      <c r="C33" s="325"/>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c r="AD33" s="325"/>
    </row>
    <row r="34" spans="1:32" ht="18">
      <c r="A34" s="246" t="s">
        <v>1037</v>
      </c>
      <c r="B34" s="237">
        <v>1014.2726000000001</v>
      </c>
      <c r="C34" s="237">
        <v>879.34759999999994</v>
      </c>
      <c r="D34" s="237">
        <v>890.97260000000006</v>
      </c>
      <c r="E34" s="237">
        <v>793.12750000000005</v>
      </c>
      <c r="F34" s="237">
        <v>846.89050184670089</v>
      </c>
      <c r="G34" s="237">
        <v>1397.5055979883373</v>
      </c>
      <c r="H34" s="237">
        <v>1286.5436999999999</v>
      </c>
      <c r="I34" s="237">
        <v>2008.9574000000002</v>
      </c>
      <c r="J34" s="237">
        <v>1268.9353999999998</v>
      </c>
      <c r="K34" s="237">
        <v>1086.6863999999998</v>
      </c>
      <c r="L34" s="237">
        <v>1713.9220999999998</v>
      </c>
      <c r="M34" s="237">
        <v>1259.7333000000001</v>
      </c>
      <c r="N34" s="237">
        <v>1620.8569</v>
      </c>
      <c r="O34" s="237">
        <v>1675.6441</v>
      </c>
      <c r="P34" s="237">
        <v>2000.0889259999997</v>
      </c>
      <c r="Q34" s="237">
        <v>1238.8833060000004</v>
      </c>
      <c r="R34" s="237">
        <v>1291.23307</v>
      </c>
      <c r="S34" s="237">
        <v>1205.2232760000002</v>
      </c>
      <c r="T34" s="237">
        <v>1012.2504169999999</v>
      </c>
      <c r="U34" s="489">
        <v>1014.9894639999999</v>
      </c>
      <c r="V34" s="237">
        <v>1607.2478699999999</v>
      </c>
      <c r="W34" s="237">
        <v>1258.1064099999999</v>
      </c>
      <c r="X34" s="237">
        <v>1024.4899989999999</v>
      </c>
      <c r="Y34" s="489">
        <v>1497.210613</v>
      </c>
      <c r="Z34" s="237">
        <v>1437.1871060000001</v>
      </c>
      <c r="AA34" s="237">
        <v>1064.3192780000002</v>
      </c>
      <c r="AB34" s="237">
        <v>1201.086438</v>
      </c>
      <c r="AC34" s="489">
        <v>1109.8301700000002</v>
      </c>
      <c r="AD34" s="237">
        <v>1150</v>
      </c>
    </row>
    <row r="35" spans="1:32" ht="18">
      <c r="A35" s="246" t="s">
        <v>1038</v>
      </c>
      <c r="B35" s="237">
        <v>165</v>
      </c>
      <c r="C35" s="237">
        <v>170</v>
      </c>
      <c r="D35" s="237">
        <v>170</v>
      </c>
      <c r="E35" s="237">
        <v>168.57241300000001</v>
      </c>
      <c r="F35" s="237">
        <v>193.432998</v>
      </c>
      <c r="G35" s="237">
        <v>166.61419100000001</v>
      </c>
      <c r="H35" s="237">
        <v>185.68242699999999</v>
      </c>
      <c r="I35" s="237">
        <v>159.00520799999998</v>
      </c>
      <c r="J35" s="237">
        <v>159.74508900000001</v>
      </c>
      <c r="K35" s="237">
        <v>155.06823699999998</v>
      </c>
      <c r="L35" s="237">
        <v>158.968681</v>
      </c>
      <c r="M35" s="237">
        <v>175.16262499999999</v>
      </c>
      <c r="N35" s="237">
        <v>180.86038600000001</v>
      </c>
      <c r="O35" s="237">
        <v>140.03716200000002</v>
      </c>
      <c r="P35" s="237">
        <v>141.26939999999999</v>
      </c>
      <c r="Q35" s="237">
        <v>165.04</v>
      </c>
      <c r="R35" s="237">
        <v>159.60420000000002</v>
      </c>
      <c r="S35" s="237">
        <v>169.84899999999999</v>
      </c>
      <c r="T35" s="237">
        <v>168.7586</v>
      </c>
      <c r="U35" s="489">
        <v>164.322</v>
      </c>
      <c r="V35" s="237">
        <v>142.2705</v>
      </c>
      <c r="W35" s="237">
        <v>147.0352</v>
      </c>
      <c r="X35" s="237">
        <v>156.32739999999998</v>
      </c>
      <c r="Y35" s="489">
        <v>170.93779999999998</v>
      </c>
      <c r="Z35" s="237">
        <v>136.0206</v>
      </c>
      <c r="AA35" s="237">
        <v>146.01599999999999</v>
      </c>
      <c r="AB35" s="237">
        <v>137.91550000000001</v>
      </c>
      <c r="AC35" s="489">
        <v>137.91550000000001</v>
      </c>
      <c r="AD35" s="237">
        <v>136</v>
      </c>
    </row>
    <row r="36" spans="1:32" ht="18">
      <c r="A36" s="246" t="s">
        <v>1039</v>
      </c>
      <c r="B36" s="258">
        <f>0.01*B23</f>
        <v>70.050506999999996</v>
      </c>
      <c r="C36" s="258">
        <f t="shared" ref="C36:AA36" si="11">0.01*C23</f>
        <v>78.248551000000006</v>
      </c>
      <c r="D36" s="258">
        <f t="shared" si="11"/>
        <v>81.590399000000005</v>
      </c>
      <c r="E36" s="258">
        <f t="shared" si="11"/>
        <v>72.169606999999999</v>
      </c>
      <c r="F36" s="258">
        <f t="shared" si="11"/>
        <v>75.120423999999986</v>
      </c>
      <c r="G36" s="258">
        <f t="shared" si="11"/>
        <v>77.571849</v>
      </c>
      <c r="H36" s="258">
        <f t="shared" si="11"/>
        <v>88.071364000000031</v>
      </c>
      <c r="I36" s="258">
        <f t="shared" si="11"/>
        <v>80.167870000000008</v>
      </c>
      <c r="J36" s="258">
        <f t="shared" si="11"/>
        <v>89.617998999999998</v>
      </c>
      <c r="K36" s="258">
        <f t="shared" si="11"/>
        <v>82.597583</v>
      </c>
      <c r="L36" s="258">
        <f t="shared" si="11"/>
        <v>84.351396000000022</v>
      </c>
      <c r="M36" s="258">
        <f t="shared" si="11"/>
        <v>76.198758999999981</v>
      </c>
      <c r="N36" s="258">
        <f t="shared" si="11"/>
        <v>98.858532000000011</v>
      </c>
      <c r="O36" s="258">
        <f t="shared" si="11"/>
        <v>105.96452300000003</v>
      </c>
      <c r="P36" s="258">
        <f t="shared" si="11"/>
        <v>83.570545999999993</v>
      </c>
      <c r="Q36" s="258">
        <f t="shared" si="11"/>
        <v>68.560316849999978</v>
      </c>
      <c r="R36" s="258">
        <f t="shared" si="11"/>
        <v>95.943708560000005</v>
      </c>
      <c r="S36" s="258">
        <f t="shared" si="11"/>
        <v>84.614952859999946</v>
      </c>
      <c r="T36" s="258">
        <f t="shared" si="11"/>
        <v>100.31882266999999</v>
      </c>
      <c r="U36" s="258">
        <f t="shared" si="11"/>
        <v>108.89738236999997</v>
      </c>
      <c r="V36" s="258">
        <f t="shared" si="11"/>
        <v>87.504593419999964</v>
      </c>
      <c r="W36" s="258">
        <f t="shared" si="11"/>
        <v>99.361000000000061</v>
      </c>
      <c r="X36" s="258">
        <f t="shared" si="11"/>
        <v>92.606179029999964</v>
      </c>
      <c r="Y36" s="258">
        <f t="shared" si="11"/>
        <v>115.51962954999991</v>
      </c>
      <c r="Z36" s="258">
        <f t="shared" si="11"/>
        <v>86.981285979999981</v>
      </c>
      <c r="AA36" s="258">
        <f t="shared" si="11"/>
        <v>96.606718689999909</v>
      </c>
      <c r="AB36" s="258">
        <v>96.856356000000005</v>
      </c>
      <c r="AC36" s="258">
        <v>105.905152</v>
      </c>
      <c r="AD36" s="258">
        <v>83.154290000000003</v>
      </c>
    </row>
    <row r="37" spans="1:32" ht="18">
      <c r="A37" s="216" t="s">
        <v>431</v>
      </c>
      <c r="B37" s="237">
        <v>1231.3749829999988</v>
      </c>
      <c r="C37" s="237">
        <v>2454.0925589999988</v>
      </c>
      <c r="D37" s="237">
        <v>1078.1657110000003</v>
      </c>
      <c r="E37" s="237">
        <v>810.70948000000067</v>
      </c>
      <c r="F37" s="237">
        <v>1943.6457561532975</v>
      </c>
      <c r="G37" s="237">
        <v>1701.8086070116638</v>
      </c>
      <c r="H37" s="237">
        <v>1682.5849700000022</v>
      </c>
      <c r="I37" s="237">
        <v>1082.9605810000003</v>
      </c>
      <c r="J37" s="237">
        <v>1782.4360970000002</v>
      </c>
      <c r="K37" s="237">
        <v>520.24545999999964</v>
      </c>
      <c r="L37" s="237">
        <v>185.34874900000466</v>
      </c>
      <c r="M37" s="237">
        <v>306.83016999999688</v>
      </c>
      <c r="N37" s="237">
        <v>333.43879200000083</v>
      </c>
      <c r="O37" s="237">
        <v>1393.4652250000026</v>
      </c>
      <c r="P37" s="237">
        <v>0</v>
      </c>
      <c r="Q37" s="237">
        <v>0</v>
      </c>
      <c r="R37" s="237">
        <v>133.24368644000015</v>
      </c>
      <c r="S37" s="237">
        <v>487.55305513999224</v>
      </c>
      <c r="T37" s="237">
        <v>544.07910332999813</v>
      </c>
      <c r="U37" s="489">
        <v>0</v>
      </c>
      <c r="V37" s="237">
        <v>256.67681557999686</v>
      </c>
      <c r="W37" s="237">
        <v>282.82520000000591</v>
      </c>
      <c r="X37" s="237">
        <v>331.00643963666448</v>
      </c>
      <c r="Y37" s="489">
        <v>300.54173878332449</v>
      </c>
      <c r="Z37" s="237">
        <v>376.36022701999968</v>
      </c>
      <c r="AA37" s="237">
        <v>217.71782330998985</v>
      </c>
      <c r="AB37" s="237">
        <v>346.17251499999998</v>
      </c>
      <c r="AC37" s="489">
        <v>503.84776999999895</v>
      </c>
      <c r="AD37" s="237">
        <v>256</v>
      </c>
    </row>
    <row r="38" spans="1:32" ht="18">
      <c r="A38" s="241" t="s">
        <v>1040</v>
      </c>
      <c r="B38" s="242">
        <f>SUM(B34:B37)</f>
        <v>2480.698089999999</v>
      </c>
      <c r="C38" s="242">
        <f t="shared" ref="C38:AD38" si="12">SUM(C34:C37)</f>
        <v>3581.6887099999985</v>
      </c>
      <c r="D38" s="242">
        <f t="shared" si="12"/>
        <v>2220.7287100000003</v>
      </c>
      <c r="E38" s="242">
        <f t="shared" si="12"/>
        <v>1844.5790000000006</v>
      </c>
      <c r="F38" s="242">
        <f t="shared" si="12"/>
        <v>3059.0896799999982</v>
      </c>
      <c r="G38" s="242">
        <f t="shared" si="12"/>
        <v>3343.5002450000011</v>
      </c>
      <c r="H38" s="242">
        <f t="shared" si="12"/>
        <v>3242.882461000002</v>
      </c>
      <c r="I38" s="242">
        <f t="shared" si="12"/>
        <v>3331.0910590000008</v>
      </c>
      <c r="J38" s="242">
        <f t="shared" si="12"/>
        <v>3300.7345850000002</v>
      </c>
      <c r="K38" s="242">
        <f t="shared" si="12"/>
        <v>1844.5976799999994</v>
      </c>
      <c r="L38" s="242">
        <f t="shared" si="12"/>
        <v>2142.5909260000044</v>
      </c>
      <c r="M38" s="242">
        <f t="shared" si="12"/>
        <v>1817.9248539999967</v>
      </c>
      <c r="N38" s="242">
        <f t="shared" si="12"/>
        <v>2234.0146100000011</v>
      </c>
      <c r="O38" s="242">
        <f t="shared" si="12"/>
        <v>3315.1110100000028</v>
      </c>
      <c r="P38" s="242">
        <f t="shared" si="12"/>
        <v>2224.9288719999995</v>
      </c>
      <c r="Q38" s="242">
        <f t="shared" si="12"/>
        <v>1472.4836228500003</v>
      </c>
      <c r="R38" s="242">
        <f t="shared" si="12"/>
        <v>1680.0246650000001</v>
      </c>
      <c r="S38" s="242">
        <f>SUM(S34:S37)</f>
        <v>1947.2402839999922</v>
      </c>
      <c r="T38" s="242">
        <f t="shared" si="12"/>
        <v>1825.4069429999979</v>
      </c>
      <c r="U38" s="242">
        <f t="shared" si="12"/>
        <v>1288.2088463699999</v>
      </c>
      <c r="V38" s="242">
        <f t="shared" si="12"/>
        <v>2093.6997789999969</v>
      </c>
      <c r="W38" s="242">
        <f>SUM(W34:W37)</f>
        <v>1787.3278100000059</v>
      </c>
      <c r="X38" s="242">
        <f t="shared" si="12"/>
        <v>1604.4300176666643</v>
      </c>
      <c r="Y38" s="242">
        <f t="shared" si="12"/>
        <v>2084.2097813333244</v>
      </c>
      <c r="Z38" s="242">
        <f t="shared" si="12"/>
        <v>2036.5492189999998</v>
      </c>
      <c r="AA38" s="242">
        <f>SUM(AA34:AA37)</f>
        <v>1524.6598199999901</v>
      </c>
      <c r="AB38" s="242">
        <f t="shared" si="12"/>
        <v>1782.0308090000001</v>
      </c>
      <c r="AC38" s="242">
        <f t="shared" si="12"/>
        <v>1857.4985919999992</v>
      </c>
      <c r="AD38" s="242">
        <f t="shared" si="12"/>
        <v>1625.1542899999999</v>
      </c>
    </row>
    <row r="39" spans="1:32" ht="18">
      <c r="A39" s="247" t="s">
        <v>1041</v>
      </c>
      <c r="B39" s="326">
        <f>B38+B32</f>
        <v>2706.698089999999</v>
      </c>
      <c r="C39" s="326">
        <f t="shared" ref="C39:AD39" si="13">C38+C32</f>
        <v>3765.6887099999985</v>
      </c>
      <c r="D39" s="326">
        <f t="shared" si="13"/>
        <v>2404.7287100000003</v>
      </c>
      <c r="E39" s="326">
        <f t="shared" si="13"/>
        <v>2028.5790000000006</v>
      </c>
      <c r="F39" s="326">
        <f t="shared" si="13"/>
        <v>3256.0896799999982</v>
      </c>
      <c r="G39" s="326">
        <f t="shared" si="13"/>
        <v>3598.5002450000011</v>
      </c>
      <c r="H39" s="326">
        <f t="shared" si="13"/>
        <v>3485.882461000002</v>
      </c>
      <c r="I39" s="326">
        <f t="shared" si="13"/>
        <v>3540.0910590000008</v>
      </c>
      <c r="J39" s="326">
        <f t="shared" si="13"/>
        <v>3546.7345850000002</v>
      </c>
      <c r="K39" s="326">
        <f t="shared" si="13"/>
        <v>2025.5654569999995</v>
      </c>
      <c r="L39" s="326">
        <f t="shared" si="13"/>
        <v>2293.3131550000044</v>
      </c>
      <c r="M39" s="326">
        <f t="shared" si="13"/>
        <v>2028.1895809999969</v>
      </c>
      <c r="N39" s="326">
        <f t="shared" si="13"/>
        <v>2491.8314910000013</v>
      </c>
      <c r="O39" s="326">
        <f t="shared" si="13"/>
        <v>3552.8416490000027</v>
      </c>
      <c r="P39" s="326">
        <f t="shared" si="13"/>
        <v>2374.5701069999996</v>
      </c>
      <c r="Q39" s="326">
        <f t="shared" si="13"/>
        <v>1652.9549118500001</v>
      </c>
      <c r="R39" s="326">
        <f t="shared" si="13"/>
        <v>1860.9418049999999</v>
      </c>
      <c r="S39" s="326">
        <f t="shared" si="13"/>
        <v>2120.7166489999922</v>
      </c>
      <c r="T39" s="326">
        <f t="shared" si="13"/>
        <v>1973.5192579999978</v>
      </c>
      <c r="U39" s="326">
        <f t="shared" si="13"/>
        <v>1566.77483037</v>
      </c>
      <c r="V39" s="326">
        <f t="shared" si="13"/>
        <v>2368.947675999997</v>
      </c>
      <c r="W39" s="326">
        <f t="shared" si="13"/>
        <v>2154.8976280000061</v>
      </c>
      <c r="X39" s="326">
        <f t="shared" si="13"/>
        <v>1898.5811256666641</v>
      </c>
      <c r="Y39" s="326">
        <f t="shared" si="13"/>
        <v>2354.1181733333242</v>
      </c>
      <c r="Z39" s="326">
        <f t="shared" si="13"/>
        <v>2272.5725159999997</v>
      </c>
      <c r="AA39" s="326">
        <f t="shared" si="13"/>
        <v>1793.3714199999902</v>
      </c>
      <c r="AB39" s="326">
        <f t="shared" si="13"/>
        <v>2122.2361030000002</v>
      </c>
      <c r="AC39" s="326">
        <f t="shared" si="13"/>
        <v>2186.372394999999</v>
      </c>
      <c r="AD39" s="326">
        <f t="shared" si="13"/>
        <v>1965.1542899999999</v>
      </c>
    </row>
    <row r="40" spans="1:32" ht="18">
      <c r="A40" s="233" t="s">
        <v>1042</v>
      </c>
      <c r="B40" s="251"/>
      <c r="C40" s="251"/>
      <c r="D40" s="251"/>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row>
    <row r="41" spans="1:32" ht="18">
      <c r="A41" s="253" t="s">
        <v>1065</v>
      </c>
      <c r="B41" s="237">
        <v>2505</v>
      </c>
      <c r="C41" s="237">
        <v>2278.6999999999998</v>
      </c>
      <c r="D41" s="237">
        <v>2723.0153</v>
      </c>
      <c r="E41" s="237">
        <v>2664.8519999999999</v>
      </c>
      <c r="F41" s="237">
        <v>2611.4876100000001</v>
      </c>
      <c r="G41" s="237">
        <v>3177.0698870000001</v>
      </c>
      <c r="H41" s="237">
        <v>3019.4511830000001</v>
      </c>
      <c r="I41" s="237">
        <v>4168.1535009999998</v>
      </c>
      <c r="J41" s="237">
        <v>4108.6636859999999</v>
      </c>
      <c r="K41" s="237">
        <v>4011.0865999999992</v>
      </c>
      <c r="L41" s="237">
        <v>4213.8172999999997</v>
      </c>
      <c r="M41" s="237">
        <v>3366.5345000000002</v>
      </c>
      <c r="N41" s="237">
        <v>4048.7465000000002</v>
      </c>
      <c r="O41" s="237">
        <v>4496.8578000000007</v>
      </c>
      <c r="P41" s="237">
        <v>4402.0397999999996</v>
      </c>
      <c r="Q41" s="237">
        <v>3495.7078999999994</v>
      </c>
      <c r="R41" s="237">
        <v>4192.125399999999</v>
      </c>
      <c r="S41" s="237">
        <v>3458.2366000000002</v>
      </c>
      <c r="T41" s="237">
        <v>3007.6573000000003</v>
      </c>
      <c r="U41" s="237">
        <v>3057.9982999999997</v>
      </c>
      <c r="V41" s="237">
        <v>2918.754699999999</v>
      </c>
      <c r="W41" s="237">
        <v>3468.2910000000002</v>
      </c>
      <c r="X41" s="237">
        <v>3777.6866999999997</v>
      </c>
      <c r="Y41" s="237">
        <v>3917.6541999999999</v>
      </c>
      <c r="Z41" s="237">
        <v>2464.6228999999998</v>
      </c>
      <c r="AA41" s="237">
        <v>2811.6672000000003</v>
      </c>
      <c r="AB41" s="237">
        <v>3178.447000000001</v>
      </c>
      <c r="AC41" s="237">
        <v>2977.4325000000003</v>
      </c>
      <c r="AD41" s="237">
        <v>2785.12</v>
      </c>
    </row>
    <row r="42" spans="1:32" ht="18">
      <c r="A42" s="171" t="s">
        <v>1044</v>
      </c>
      <c r="B42" s="237">
        <v>1641</v>
      </c>
      <c r="C42" s="237">
        <v>914.23</v>
      </c>
      <c r="D42" s="237">
        <v>3691.4423999999999</v>
      </c>
      <c r="E42" s="237">
        <v>2805</v>
      </c>
      <c r="F42" s="237">
        <v>1360.9106280000001</v>
      </c>
      <c r="G42" s="237">
        <v>1170.5938920000003</v>
      </c>
      <c r="H42" s="237">
        <v>2026.7748240000001</v>
      </c>
      <c r="I42" s="237">
        <v>815.8638169999997</v>
      </c>
      <c r="J42" s="237">
        <v>1066.591318</v>
      </c>
      <c r="K42" s="237">
        <v>757.41640000000018</v>
      </c>
      <c r="L42" s="237">
        <v>820.55780000000004</v>
      </c>
      <c r="M42" s="237">
        <v>1121.2938999999999</v>
      </c>
      <c r="N42" s="237">
        <v>1214.567</v>
      </c>
      <c r="O42" s="237">
        <v>700.15109999999993</v>
      </c>
      <c r="P42" s="237">
        <v>1255.4557999999997</v>
      </c>
      <c r="Q42" s="237">
        <v>788.6642999999998</v>
      </c>
      <c r="R42" s="237">
        <v>1771.2527</v>
      </c>
      <c r="S42" s="237">
        <v>1612.194</v>
      </c>
      <c r="T42" s="237">
        <v>3635.0921000000003</v>
      </c>
      <c r="U42" s="237">
        <v>4643.8395999999993</v>
      </c>
      <c r="V42" s="237">
        <v>2357.8755000000006</v>
      </c>
      <c r="W42" s="237">
        <v>2561.0972000000002</v>
      </c>
      <c r="X42" s="237">
        <v>2398.3987999999999</v>
      </c>
      <c r="Y42" s="237">
        <v>3931.4056999999998</v>
      </c>
      <c r="Z42" s="237">
        <v>3240.404</v>
      </c>
      <c r="AA42" s="237">
        <v>3379.1951999999997</v>
      </c>
      <c r="AB42" s="237">
        <v>3110.5149000000001</v>
      </c>
      <c r="AC42" s="237">
        <v>3807.5533</v>
      </c>
      <c r="AD42" s="237">
        <v>2200</v>
      </c>
    </row>
    <row r="43" spans="1:32" ht="18">
      <c r="A43" s="171" t="s">
        <v>1045</v>
      </c>
      <c r="B43" s="240"/>
      <c r="C43" s="237">
        <v>30</v>
      </c>
      <c r="D43" s="237">
        <v>21.8</v>
      </c>
      <c r="E43" s="237">
        <v>17</v>
      </c>
      <c r="F43" s="237">
        <v>6.9718999999999998</v>
      </c>
      <c r="G43" s="237">
        <v>18.085999999999999</v>
      </c>
      <c r="H43" s="237">
        <v>24.5562</v>
      </c>
      <c r="I43" s="237">
        <v>23.726500000000001</v>
      </c>
      <c r="J43" s="237">
        <v>29.286000000000005</v>
      </c>
      <c r="K43" s="237">
        <v>13.629400000000002</v>
      </c>
      <c r="L43" s="237">
        <v>22.732499999999995</v>
      </c>
      <c r="M43" s="237">
        <v>19.247900000000001</v>
      </c>
      <c r="N43" s="237">
        <v>22.057200000000002</v>
      </c>
      <c r="O43" s="237">
        <v>15.352</v>
      </c>
      <c r="P43" s="237">
        <v>23.513800000000003</v>
      </c>
      <c r="Q43" s="237">
        <v>24.944599999999998</v>
      </c>
      <c r="R43" s="237">
        <v>14.640799999999999</v>
      </c>
      <c r="S43" s="237">
        <v>17.608900000000002</v>
      </c>
      <c r="T43" s="237">
        <v>10.669100000000002</v>
      </c>
      <c r="U43" s="237">
        <v>12.5473</v>
      </c>
      <c r="V43" s="237">
        <v>22.503499999999995</v>
      </c>
      <c r="W43" s="237">
        <v>24.110699999999998</v>
      </c>
      <c r="X43" s="237">
        <v>15.5999</v>
      </c>
      <c r="Y43" s="237">
        <v>21.241499999999998</v>
      </c>
      <c r="Z43" s="237">
        <v>12.239000000000001</v>
      </c>
      <c r="AA43" s="237">
        <v>22.371500000000001</v>
      </c>
      <c r="AB43" s="237">
        <v>21.098100000000002</v>
      </c>
      <c r="AC43" s="237">
        <v>21.098100000000002</v>
      </c>
      <c r="AD43" s="237">
        <v>21</v>
      </c>
    </row>
    <row r="44" spans="1:32" ht="18">
      <c r="A44" s="241" t="s">
        <v>1046</v>
      </c>
      <c r="B44" s="327">
        <f>SUM(B41:B43)</f>
        <v>4146</v>
      </c>
      <c r="C44" s="327">
        <f t="shared" ref="C44:AD44" si="14">SUM(C41:C43)</f>
        <v>3222.93</v>
      </c>
      <c r="D44" s="327">
        <f t="shared" si="14"/>
        <v>6436.2577000000001</v>
      </c>
      <c r="E44" s="327">
        <f t="shared" si="14"/>
        <v>5486.8519999999999</v>
      </c>
      <c r="F44" s="327">
        <f t="shared" si="14"/>
        <v>3979.3701380000002</v>
      </c>
      <c r="G44" s="327">
        <f t="shared" si="14"/>
        <v>4365.7497790000007</v>
      </c>
      <c r="H44" s="327">
        <f t="shared" si="14"/>
        <v>5070.7822070000002</v>
      </c>
      <c r="I44" s="327">
        <f t="shared" si="14"/>
        <v>5007.743817999999</v>
      </c>
      <c r="J44" s="327">
        <f t="shared" si="14"/>
        <v>5204.5410039999997</v>
      </c>
      <c r="K44" s="327">
        <f t="shared" si="14"/>
        <v>4782.1323999999995</v>
      </c>
      <c r="L44" s="327">
        <f t="shared" si="14"/>
        <v>5057.1075999999994</v>
      </c>
      <c r="M44" s="327">
        <f t="shared" si="14"/>
        <v>4507.0763000000006</v>
      </c>
      <c r="N44" s="327">
        <f t="shared" si="14"/>
        <v>5285.3707000000004</v>
      </c>
      <c r="O44" s="327">
        <f t="shared" si="14"/>
        <v>5212.3609000000006</v>
      </c>
      <c r="P44" s="327">
        <f t="shared" si="14"/>
        <v>5681.009399999999</v>
      </c>
      <c r="Q44" s="327">
        <f t="shared" si="14"/>
        <v>4309.3167999999987</v>
      </c>
      <c r="R44" s="327">
        <f t="shared" si="14"/>
        <v>5978.0188999999991</v>
      </c>
      <c r="S44" s="327">
        <f t="shared" si="14"/>
        <v>5088.0394999999999</v>
      </c>
      <c r="T44" s="327">
        <f t="shared" si="14"/>
        <v>6653.4185000000007</v>
      </c>
      <c r="U44" s="503">
        <f t="shared" si="14"/>
        <v>7714.3851999999988</v>
      </c>
      <c r="V44" s="327">
        <f t="shared" si="14"/>
        <v>5299.1336999999994</v>
      </c>
      <c r="W44" s="327">
        <f t="shared" si="14"/>
        <v>6053.4989000000005</v>
      </c>
      <c r="X44" s="327">
        <f t="shared" si="14"/>
        <v>6191.6853999999994</v>
      </c>
      <c r="Y44" s="503">
        <f t="shared" si="14"/>
        <v>7870.3014000000003</v>
      </c>
      <c r="Z44" s="327">
        <f t="shared" si="14"/>
        <v>5717.2658999999994</v>
      </c>
      <c r="AA44" s="327">
        <f t="shared" si="14"/>
        <v>6213.2339000000002</v>
      </c>
      <c r="AB44" s="327">
        <f t="shared" si="14"/>
        <v>6310.0600000000013</v>
      </c>
      <c r="AC44" s="503">
        <f t="shared" si="14"/>
        <v>6806.0839000000005</v>
      </c>
      <c r="AD44" s="327">
        <f t="shared" si="14"/>
        <v>5006.12</v>
      </c>
    </row>
    <row r="45" spans="1:32" ht="18">
      <c r="A45" s="233" t="s">
        <v>1066</v>
      </c>
      <c r="B45" s="328"/>
      <c r="C45" s="328"/>
      <c r="D45" s="328"/>
      <c r="E45" s="328"/>
      <c r="F45" s="328"/>
      <c r="G45" s="328"/>
      <c r="H45" s="328"/>
      <c r="I45" s="328"/>
      <c r="J45" s="328"/>
      <c r="K45" s="328"/>
      <c r="L45" s="328"/>
      <c r="M45" s="328"/>
      <c r="N45" s="328"/>
      <c r="O45" s="328"/>
      <c r="P45" s="328"/>
      <c r="Q45" s="328"/>
      <c r="R45" s="328"/>
      <c r="S45" s="328"/>
      <c r="T45" s="328"/>
      <c r="U45" s="329"/>
      <c r="V45" s="330"/>
      <c r="W45" s="329"/>
      <c r="X45" s="330"/>
      <c r="Y45" s="330"/>
      <c r="Z45" s="330"/>
      <c r="AA45" s="330"/>
      <c r="AB45" s="330"/>
      <c r="AC45" s="330"/>
      <c r="AD45" s="330"/>
    </row>
    <row r="46" spans="1:32" ht="18">
      <c r="A46" s="253" t="s">
        <v>1067</v>
      </c>
      <c r="B46" s="331"/>
      <c r="C46" s="331"/>
      <c r="D46" s="331"/>
      <c r="E46" s="331"/>
      <c r="F46" s="331"/>
      <c r="G46" s="331"/>
      <c r="H46" s="331"/>
      <c r="I46" s="331"/>
      <c r="J46" s="331"/>
      <c r="K46" s="332">
        <v>883.89015500000005</v>
      </c>
      <c r="L46" s="332">
        <v>897.90892300000019</v>
      </c>
      <c r="M46" s="332">
        <v>857.35756900000013</v>
      </c>
      <c r="N46" s="332">
        <v>814.70436499999994</v>
      </c>
      <c r="O46" s="332">
        <v>753.26024099999995</v>
      </c>
      <c r="P46" s="332">
        <v>845.34248000000002</v>
      </c>
      <c r="Q46" s="332">
        <v>847.92032600000016</v>
      </c>
      <c r="R46" s="332">
        <v>799.49294000000009</v>
      </c>
      <c r="S46" s="332">
        <v>789.50426300000004</v>
      </c>
      <c r="T46" s="332">
        <v>823.05118599999992</v>
      </c>
      <c r="U46" s="332">
        <v>726.51226300000008</v>
      </c>
      <c r="V46" s="332">
        <v>724.80919300000005</v>
      </c>
      <c r="W46" s="332">
        <v>708.353295</v>
      </c>
      <c r="X46" s="332">
        <v>744.30470899999989</v>
      </c>
      <c r="Y46" s="332">
        <v>702.69988999999998</v>
      </c>
      <c r="Z46" s="332">
        <v>751.80812300000002</v>
      </c>
      <c r="AA46" s="332">
        <v>762.17818100000011</v>
      </c>
      <c r="AB46" s="332">
        <v>719.36025800000004</v>
      </c>
      <c r="AC46" s="332">
        <v>676.33596000000023</v>
      </c>
      <c r="AD46" s="332">
        <v>680</v>
      </c>
    </row>
    <row r="47" spans="1:32" ht="18">
      <c r="A47" s="171" t="s">
        <v>1068</v>
      </c>
      <c r="B47" s="331"/>
      <c r="C47" s="331"/>
      <c r="D47" s="331"/>
      <c r="E47" s="331"/>
      <c r="F47" s="331"/>
      <c r="G47" s="331"/>
      <c r="H47" s="331"/>
      <c r="I47" s="331"/>
      <c r="J47" s="331"/>
      <c r="K47" s="332">
        <v>611.92206799999997</v>
      </c>
      <c r="L47" s="332">
        <v>468.68384799999995</v>
      </c>
      <c r="M47" s="332">
        <v>393.10970399999997</v>
      </c>
      <c r="N47" s="332">
        <v>409.76575400000002</v>
      </c>
      <c r="O47" s="332">
        <v>494.60912000000002</v>
      </c>
      <c r="P47" s="332">
        <v>657.854285</v>
      </c>
      <c r="Q47" s="332">
        <v>630.079385</v>
      </c>
      <c r="R47" s="332">
        <v>690.2399200000001</v>
      </c>
      <c r="S47" s="332">
        <v>734.87737200000004</v>
      </c>
      <c r="T47" s="332">
        <v>733.73449900000003</v>
      </c>
      <c r="U47" s="332">
        <v>711.25575300000003</v>
      </c>
      <c r="V47" s="332">
        <v>687.74691000000007</v>
      </c>
      <c r="W47" s="332">
        <v>633.96888700000011</v>
      </c>
      <c r="X47" s="332">
        <v>679.77118300000006</v>
      </c>
      <c r="Y47" s="332">
        <v>637.69671800000003</v>
      </c>
      <c r="Z47" s="332">
        <v>644.33957999999996</v>
      </c>
      <c r="AA47" s="332">
        <v>640.05421899999999</v>
      </c>
      <c r="AB47" s="332">
        <v>643.15644799999995</v>
      </c>
      <c r="AC47" s="332">
        <v>682.10823699999992</v>
      </c>
      <c r="AD47" s="332">
        <v>670</v>
      </c>
    </row>
    <row r="48" spans="1:32" ht="18">
      <c r="A48" s="241" t="s">
        <v>1069</v>
      </c>
      <c r="B48" s="327">
        <f>SUM(B46:B47)</f>
        <v>0</v>
      </c>
      <c r="C48" s="327">
        <f t="shared" ref="C48:AD48" si="15">SUM(C46:C47)</f>
        <v>0</v>
      </c>
      <c r="D48" s="327">
        <f t="shared" si="15"/>
        <v>0</v>
      </c>
      <c r="E48" s="327">
        <f t="shared" si="15"/>
        <v>0</v>
      </c>
      <c r="F48" s="327">
        <f t="shared" si="15"/>
        <v>0</v>
      </c>
      <c r="G48" s="327">
        <f t="shared" si="15"/>
        <v>0</v>
      </c>
      <c r="H48" s="327">
        <f t="shared" si="15"/>
        <v>0</v>
      </c>
      <c r="I48" s="327">
        <f t="shared" si="15"/>
        <v>0</v>
      </c>
      <c r="J48" s="327">
        <f t="shared" si="15"/>
        <v>0</v>
      </c>
      <c r="K48" s="327">
        <f t="shared" si="15"/>
        <v>1495.8122229999999</v>
      </c>
      <c r="L48" s="327">
        <f t="shared" si="15"/>
        <v>1366.5927710000001</v>
      </c>
      <c r="M48" s="327">
        <f t="shared" si="15"/>
        <v>1250.4672730000002</v>
      </c>
      <c r="N48" s="327">
        <f t="shared" si="15"/>
        <v>1224.4701190000001</v>
      </c>
      <c r="O48" s="327">
        <f t="shared" si="15"/>
        <v>1247.869361</v>
      </c>
      <c r="P48" s="327">
        <f t="shared" si="15"/>
        <v>1503.1967650000001</v>
      </c>
      <c r="Q48" s="327">
        <f t="shared" si="15"/>
        <v>1477.9997110000002</v>
      </c>
      <c r="R48" s="327">
        <f t="shared" si="15"/>
        <v>1489.7328600000001</v>
      </c>
      <c r="S48" s="327">
        <f t="shared" si="15"/>
        <v>1524.3816350000002</v>
      </c>
      <c r="T48" s="327">
        <f t="shared" si="15"/>
        <v>1556.7856849999998</v>
      </c>
      <c r="U48" s="503">
        <f t="shared" si="15"/>
        <v>1437.768016</v>
      </c>
      <c r="V48" s="327">
        <f t="shared" si="15"/>
        <v>1412.5561030000001</v>
      </c>
      <c r="W48" s="327">
        <f t="shared" si="15"/>
        <v>1342.3221820000001</v>
      </c>
      <c r="X48" s="327">
        <f t="shared" si="15"/>
        <v>1424.0758919999998</v>
      </c>
      <c r="Y48" s="503">
        <f t="shared" si="15"/>
        <v>1340.396608</v>
      </c>
      <c r="Z48" s="327">
        <f t="shared" si="15"/>
        <v>1396.1477030000001</v>
      </c>
      <c r="AA48" s="327">
        <f t="shared" si="15"/>
        <v>1402.2324000000001</v>
      </c>
      <c r="AB48" s="327">
        <f t="shared" si="15"/>
        <v>1362.5167059999999</v>
      </c>
      <c r="AC48" s="503">
        <f t="shared" si="15"/>
        <v>1358.4441970000003</v>
      </c>
      <c r="AD48" s="327">
        <f t="shared" si="15"/>
        <v>1350</v>
      </c>
      <c r="AF48" s="333"/>
    </row>
    <row r="49" spans="1:30" ht="18">
      <c r="A49" s="247" t="s">
        <v>1051</v>
      </c>
      <c r="B49" s="326">
        <f>B48+B44</f>
        <v>4146</v>
      </c>
      <c r="C49" s="326">
        <f t="shared" ref="C49:AD49" si="16">C48+C44</f>
        <v>3222.93</v>
      </c>
      <c r="D49" s="326">
        <f t="shared" si="16"/>
        <v>6436.2577000000001</v>
      </c>
      <c r="E49" s="326">
        <f t="shared" si="16"/>
        <v>5486.8519999999999</v>
      </c>
      <c r="F49" s="326">
        <f t="shared" si="16"/>
        <v>3979.3701380000002</v>
      </c>
      <c r="G49" s="326">
        <f t="shared" si="16"/>
        <v>4365.7497790000007</v>
      </c>
      <c r="H49" s="326">
        <f t="shared" si="16"/>
        <v>5070.7822070000002</v>
      </c>
      <c r="I49" s="326">
        <f t="shared" si="16"/>
        <v>5007.743817999999</v>
      </c>
      <c r="J49" s="326">
        <f t="shared" si="16"/>
        <v>5204.5410039999997</v>
      </c>
      <c r="K49" s="326">
        <f t="shared" si="16"/>
        <v>6277.9446229999994</v>
      </c>
      <c r="L49" s="326">
        <f t="shared" si="16"/>
        <v>6423.700370999999</v>
      </c>
      <c r="M49" s="326">
        <f t="shared" si="16"/>
        <v>5757.5435730000008</v>
      </c>
      <c r="N49" s="326">
        <f t="shared" si="16"/>
        <v>6509.8408190000009</v>
      </c>
      <c r="O49" s="326">
        <f t="shared" si="16"/>
        <v>6460.2302610000006</v>
      </c>
      <c r="P49" s="326">
        <f t="shared" si="16"/>
        <v>7184.2061649999996</v>
      </c>
      <c r="Q49" s="326">
        <f t="shared" si="16"/>
        <v>5787.3165109999991</v>
      </c>
      <c r="R49" s="326">
        <f t="shared" si="16"/>
        <v>7467.7517599999992</v>
      </c>
      <c r="S49" s="326">
        <f t="shared" si="16"/>
        <v>6612.4211350000005</v>
      </c>
      <c r="T49" s="326">
        <f t="shared" si="16"/>
        <v>8210.2041850000005</v>
      </c>
      <c r="U49" s="326">
        <f t="shared" si="16"/>
        <v>9152.1532159999988</v>
      </c>
      <c r="V49" s="326">
        <f t="shared" si="16"/>
        <v>6711.6898029999993</v>
      </c>
      <c r="W49" s="326">
        <f t="shared" si="16"/>
        <v>7395.8210820000004</v>
      </c>
      <c r="X49" s="326">
        <f t="shared" si="16"/>
        <v>7615.7612919999992</v>
      </c>
      <c r="Y49" s="326">
        <f t="shared" si="16"/>
        <v>9210.6980079999994</v>
      </c>
      <c r="Z49" s="326">
        <f t="shared" si="16"/>
        <v>7113.4136029999991</v>
      </c>
      <c r="AA49" s="334">
        <f t="shared" si="16"/>
        <v>7615.4663</v>
      </c>
      <c r="AB49" s="334">
        <f t="shared" si="16"/>
        <v>7672.5767060000016</v>
      </c>
      <c r="AC49" s="334">
        <f t="shared" si="16"/>
        <v>8164.5280970000003</v>
      </c>
      <c r="AD49" s="334">
        <f t="shared" si="16"/>
        <v>6356.12</v>
      </c>
    </row>
    <row r="50" spans="1:30" thickBot="1">
      <c r="A50" s="264" t="s">
        <v>1052</v>
      </c>
      <c r="B50" s="335">
        <f>B49+B39</f>
        <v>6852.698089999999</v>
      </c>
      <c r="C50" s="335">
        <f t="shared" ref="C50:AD50" si="17">C49+C39</f>
        <v>6988.6187099999988</v>
      </c>
      <c r="D50" s="335">
        <f t="shared" si="17"/>
        <v>8840.9864100000013</v>
      </c>
      <c r="E50" s="335">
        <f t="shared" si="17"/>
        <v>7515.4310000000005</v>
      </c>
      <c r="F50" s="335">
        <f t="shared" si="17"/>
        <v>7235.4598179999984</v>
      </c>
      <c r="G50" s="335">
        <f t="shared" si="17"/>
        <v>7964.2500240000018</v>
      </c>
      <c r="H50" s="335">
        <f t="shared" si="17"/>
        <v>8556.6646680000013</v>
      </c>
      <c r="I50" s="335">
        <f t="shared" si="17"/>
        <v>8547.8348769999993</v>
      </c>
      <c r="J50" s="335">
        <f t="shared" si="17"/>
        <v>8751.2755890000008</v>
      </c>
      <c r="K50" s="335">
        <f t="shared" si="17"/>
        <v>8303.5100799999982</v>
      </c>
      <c r="L50" s="335">
        <f t="shared" si="17"/>
        <v>8717.0135260000025</v>
      </c>
      <c r="M50" s="335">
        <f t="shared" si="17"/>
        <v>7785.7331539999977</v>
      </c>
      <c r="N50" s="335">
        <f t="shared" si="17"/>
        <v>9001.6723100000017</v>
      </c>
      <c r="O50" s="335">
        <f t="shared" si="17"/>
        <v>10013.071910000002</v>
      </c>
      <c r="P50" s="335">
        <f t="shared" si="17"/>
        <v>9558.7762719999992</v>
      </c>
      <c r="Q50" s="335">
        <f t="shared" si="17"/>
        <v>7440.271422849999</v>
      </c>
      <c r="R50" s="335">
        <f t="shared" si="17"/>
        <v>9328.6935649999996</v>
      </c>
      <c r="S50" s="335">
        <f t="shared" si="17"/>
        <v>8733.1377839999932</v>
      </c>
      <c r="T50" s="335">
        <f t="shared" si="17"/>
        <v>10183.723442999999</v>
      </c>
      <c r="U50" s="335">
        <f t="shared" si="17"/>
        <v>10718.928046369998</v>
      </c>
      <c r="V50" s="335">
        <f t="shared" si="17"/>
        <v>9080.6374789999973</v>
      </c>
      <c r="W50" s="335">
        <f t="shared" si="17"/>
        <v>9550.7187100000065</v>
      </c>
      <c r="X50" s="335">
        <f t="shared" si="17"/>
        <v>9514.3424176666631</v>
      </c>
      <c r="Y50" s="335">
        <f t="shared" si="17"/>
        <v>11564.816181333324</v>
      </c>
      <c r="Z50" s="335">
        <f t="shared" si="17"/>
        <v>9385.9861189999992</v>
      </c>
      <c r="AA50" s="335">
        <f t="shared" si="17"/>
        <v>9408.8377199999904</v>
      </c>
      <c r="AB50" s="335">
        <f t="shared" si="17"/>
        <v>9794.8128090000027</v>
      </c>
      <c r="AC50" s="335">
        <f t="shared" si="17"/>
        <v>10350.900491999999</v>
      </c>
      <c r="AD50" s="335">
        <f t="shared" si="17"/>
        <v>8321.2742899999994</v>
      </c>
    </row>
    <row r="51" spans="1:30" thickTop="1">
      <c r="A51" s="266"/>
      <c r="B51" s="258"/>
      <c r="C51" s="258"/>
      <c r="D51" s="258"/>
      <c r="E51" s="258"/>
      <c r="F51" s="258"/>
      <c r="G51" s="258"/>
      <c r="H51" s="258"/>
      <c r="I51" s="258"/>
      <c r="J51" s="258"/>
      <c r="K51" s="258"/>
      <c r="L51" s="258"/>
      <c r="M51" s="258"/>
      <c r="N51" s="258"/>
      <c r="O51" s="258"/>
      <c r="P51" s="258"/>
      <c r="Q51" s="258"/>
      <c r="R51" s="258"/>
      <c r="S51" s="258"/>
      <c r="T51" s="258"/>
      <c r="U51" s="258"/>
      <c r="V51" s="259"/>
      <c r="W51" s="258"/>
      <c r="X51" s="336"/>
      <c r="Y51" s="337"/>
      <c r="Z51" s="337"/>
      <c r="AA51" s="338"/>
      <c r="AB51" s="338"/>
      <c r="AC51" s="338"/>
      <c r="AD51" s="338"/>
    </row>
    <row r="52" spans="1:30">
      <c r="A52" s="269" t="s">
        <v>1053</v>
      </c>
      <c r="B52" s="339">
        <f>SUM(B53:B56)</f>
        <v>853.9636099999999</v>
      </c>
      <c r="C52" s="339">
        <f t="shared" ref="C52:AB52" si="18">SUM(C53:C56)</f>
        <v>1733.6000000000001</v>
      </c>
      <c r="D52" s="339">
        <f t="shared" si="18"/>
        <v>1071.6534899999999</v>
      </c>
      <c r="E52" s="339">
        <f t="shared" si="18"/>
        <v>800.34618999999998</v>
      </c>
      <c r="F52" s="339">
        <f t="shared" si="18"/>
        <v>1189.3279600000001</v>
      </c>
      <c r="G52" s="339">
        <f t="shared" si="18"/>
        <v>1013.91336</v>
      </c>
      <c r="H52" s="339">
        <f t="shared" si="18"/>
        <v>1291.78566</v>
      </c>
      <c r="I52" s="339">
        <f t="shared" si="18"/>
        <v>784.87770000000012</v>
      </c>
      <c r="J52" s="339">
        <f t="shared" si="18"/>
        <v>1029.7801899999999</v>
      </c>
      <c r="K52" s="339">
        <f t="shared" si="18"/>
        <v>1040.10511</v>
      </c>
      <c r="L52" s="339">
        <f t="shared" si="18"/>
        <v>799.99248399999999</v>
      </c>
      <c r="M52" s="339">
        <f t="shared" si="18"/>
        <v>721.67502999999999</v>
      </c>
      <c r="N52" s="339">
        <f t="shared" si="18"/>
        <v>1642.7031200000001</v>
      </c>
      <c r="O52" s="339">
        <f t="shared" si="18"/>
        <v>2250.2455099999997</v>
      </c>
      <c r="P52" s="339">
        <f t="shared" si="18"/>
        <v>1377.9469709999998</v>
      </c>
      <c r="Q52" s="339">
        <f t="shared" si="18"/>
        <v>954.59345800000006</v>
      </c>
      <c r="R52" s="339">
        <f t="shared" si="18"/>
        <v>1279.150349</v>
      </c>
      <c r="S52" s="339">
        <f t="shared" si="18"/>
        <v>1043.5367509999999</v>
      </c>
      <c r="T52" s="339">
        <f t="shared" si="18"/>
        <v>973.45957500000009</v>
      </c>
      <c r="U52" s="339">
        <f t="shared" si="18"/>
        <v>1270.748656</v>
      </c>
      <c r="V52" s="339">
        <f t="shared" si="18"/>
        <v>1064.790219</v>
      </c>
      <c r="W52" s="339">
        <f t="shared" si="18"/>
        <v>1495.6844090000002</v>
      </c>
      <c r="X52" s="339">
        <f t="shared" si="18"/>
        <v>1327.017094333333</v>
      </c>
      <c r="Y52" s="339">
        <f t="shared" si="18"/>
        <v>1386.6066679999999</v>
      </c>
      <c r="Z52" s="339">
        <f t="shared" si="18"/>
        <v>786.41604699999993</v>
      </c>
      <c r="AA52" s="339">
        <f t="shared" si="18"/>
        <v>1081.6563959999999</v>
      </c>
      <c r="AB52" s="339">
        <f t="shared" si="18"/>
        <v>1012.614887</v>
      </c>
      <c r="AC52" s="339">
        <f>SUM(AC53:AC56)</f>
        <v>1288.9327950000002</v>
      </c>
      <c r="AD52" s="340">
        <f>AD26-AD50</f>
        <v>1328.0875050000013</v>
      </c>
    </row>
    <row r="53" spans="1:30" ht="18">
      <c r="A53" s="271" t="s">
        <v>1054</v>
      </c>
      <c r="B53" s="341">
        <v>601.08709999999996</v>
      </c>
      <c r="C53" s="341">
        <v>1461.4</v>
      </c>
      <c r="D53" s="341">
        <v>827.49699999999996</v>
      </c>
      <c r="E53" s="341">
        <v>483.0795</v>
      </c>
      <c r="F53" s="341">
        <v>984.20950000000005</v>
      </c>
      <c r="G53" s="341">
        <v>772.06459999999993</v>
      </c>
      <c r="H53" s="341">
        <v>1045.9661999999998</v>
      </c>
      <c r="I53" s="341">
        <v>588.00810000000001</v>
      </c>
      <c r="J53" s="341">
        <v>807.52539999999999</v>
      </c>
      <c r="K53" s="341">
        <v>872.30969999999991</v>
      </c>
      <c r="L53" s="341">
        <v>587.88959999999997</v>
      </c>
      <c r="M53" s="341">
        <v>591.7047</v>
      </c>
      <c r="N53" s="341">
        <v>1393.8732</v>
      </c>
      <c r="O53" s="341">
        <v>1951.0344</v>
      </c>
      <c r="P53" s="341">
        <v>1000.6793</v>
      </c>
      <c r="Q53" s="341">
        <v>793.53539999999998</v>
      </c>
      <c r="R53" s="341">
        <v>1096.5139999999999</v>
      </c>
      <c r="S53" s="341">
        <v>883.64769999999999</v>
      </c>
      <c r="T53" s="495">
        <v>808.51480000000004</v>
      </c>
      <c r="U53" s="495">
        <v>969.86840000000007</v>
      </c>
      <c r="V53" s="341">
        <v>745.68110000000013</v>
      </c>
      <c r="W53" s="341">
        <v>1225.9512000000002</v>
      </c>
      <c r="X53" s="495">
        <v>1054.3541999999998</v>
      </c>
      <c r="Y53" s="495">
        <v>1107.8488</v>
      </c>
      <c r="Z53" s="341">
        <v>513.74079999999992</v>
      </c>
      <c r="AA53" s="341">
        <v>772.36059999999998</v>
      </c>
      <c r="AB53" s="495">
        <v>687.6848</v>
      </c>
      <c r="AC53" s="495">
        <v>976.98649999999998</v>
      </c>
      <c r="AD53" s="342"/>
    </row>
    <row r="54" spans="1:30" ht="18">
      <c r="A54" s="271" t="s">
        <v>1055</v>
      </c>
      <c r="B54" s="341">
        <v>28.89</v>
      </c>
      <c r="C54" s="341">
        <v>32</v>
      </c>
      <c r="D54" s="341">
        <v>33.096800000000002</v>
      </c>
      <c r="E54" s="341">
        <v>40.396699999999996</v>
      </c>
      <c r="F54" s="341">
        <v>36.3003</v>
      </c>
      <c r="G54" s="341">
        <v>46.078600000000002</v>
      </c>
      <c r="H54" s="341">
        <v>42.466500000000003</v>
      </c>
      <c r="I54" s="341">
        <v>55.156599999999997</v>
      </c>
      <c r="J54" s="341">
        <v>45.225300000000004</v>
      </c>
      <c r="K54" s="341">
        <v>44.707000000000001</v>
      </c>
      <c r="L54" s="341">
        <v>53.304300000000005</v>
      </c>
      <c r="M54" s="341">
        <v>51.734300000000005</v>
      </c>
      <c r="N54" s="341">
        <v>62.570399999999999</v>
      </c>
      <c r="O54" s="341">
        <v>45.455500000000001</v>
      </c>
      <c r="P54" s="341">
        <v>56.090794000000002</v>
      </c>
      <c r="Q54" s="341">
        <v>40.694057999999998</v>
      </c>
      <c r="R54" s="341">
        <v>42.569074999999998</v>
      </c>
      <c r="S54" s="341">
        <v>42.939050999999999</v>
      </c>
      <c r="T54" s="341">
        <v>42.623775000000002</v>
      </c>
      <c r="U54" s="341">
        <v>40.756256</v>
      </c>
      <c r="V54" s="341">
        <v>59.734119</v>
      </c>
      <c r="W54" s="341">
        <v>62.467209000000004</v>
      </c>
      <c r="X54" s="341">
        <v>40.625561000000005</v>
      </c>
      <c r="Y54" s="341">
        <v>63.233868000000001</v>
      </c>
      <c r="Z54" s="341">
        <v>51.126247000000006</v>
      </c>
      <c r="AA54" s="341">
        <v>68.588796000000002</v>
      </c>
      <c r="AB54" s="341">
        <v>68.961087000000006</v>
      </c>
      <c r="AC54" s="341">
        <v>60.883294999999997</v>
      </c>
      <c r="AD54" s="342"/>
    </row>
    <row r="55" spans="1:30" ht="18">
      <c r="A55" s="271" t="s">
        <v>1070</v>
      </c>
      <c r="B55" s="341">
        <v>200.376</v>
      </c>
      <c r="C55" s="341">
        <v>178.5</v>
      </c>
      <c r="D55" s="341">
        <v>159.52699999999999</v>
      </c>
      <c r="E55" s="341">
        <v>173.149</v>
      </c>
      <c r="F55" s="341">
        <v>168.81800000000001</v>
      </c>
      <c r="G55" s="341">
        <v>183.77</v>
      </c>
      <c r="H55" s="341">
        <v>160.131</v>
      </c>
      <c r="I55" s="341">
        <v>135.215</v>
      </c>
      <c r="J55" s="341">
        <v>108</v>
      </c>
      <c r="K55" s="341">
        <v>87</v>
      </c>
      <c r="L55" s="341">
        <v>91.349000000000004</v>
      </c>
      <c r="M55" s="341">
        <v>71.662999999999997</v>
      </c>
      <c r="N55" s="341">
        <v>117.161</v>
      </c>
      <c r="O55" s="341">
        <v>94.921000000000006</v>
      </c>
      <c r="P55" s="341">
        <v>146.89500000000001</v>
      </c>
      <c r="Q55" s="341">
        <v>107.51900000000001</v>
      </c>
      <c r="R55" s="341">
        <v>94.825999999999993</v>
      </c>
      <c r="S55" s="341">
        <v>103.878</v>
      </c>
      <c r="T55" s="495">
        <v>106.453</v>
      </c>
      <c r="U55" s="495">
        <v>120.285</v>
      </c>
      <c r="V55" s="341">
        <v>159.375</v>
      </c>
      <c r="W55" s="341">
        <v>93.266000000000005</v>
      </c>
      <c r="X55" s="495">
        <v>114.09099999999999</v>
      </c>
      <c r="Y55" s="495">
        <v>102.524</v>
      </c>
      <c r="Z55" s="341">
        <v>108.54900000000001</v>
      </c>
      <c r="AA55" s="341">
        <v>127.70699999999999</v>
      </c>
      <c r="AB55" s="495">
        <v>142.96899999999999</v>
      </c>
      <c r="AC55" s="495">
        <v>138.06299999999999</v>
      </c>
      <c r="AD55" s="342"/>
    </row>
    <row r="56" spans="1:30" ht="18">
      <c r="A56" s="271" t="s">
        <v>1058</v>
      </c>
      <c r="B56" s="341">
        <v>23.610509999999998</v>
      </c>
      <c r="C56" s="341">
        <v>61.7</v>
      </c>
      <c r="D56" s="341">
        <v>51.532690000000002</v>
      </c>
      <c r="E56" s="341">
        <v>103.72099</v>
      </c>
      <c r="F56" s="341">
        <v>1.6000000000000001E-4</v>
      </c>
      <c r="G56" s="341">
        <v>12.000159999999999</v>
      </c>
      <c r="H56" s="341">
        <v>43.221959999999996</v>
      </c>
      <c r="I56" s="341">
        <v>6.4980000000000002</v>
      </c>
      <c r="J56" s="341">
        <v>69.02949000000001</v>
      </c>
      <c r="K56" s="341">
        <v>36.088410000000003</v>
      </c>
      <c r="L56" s="341">
        <v>67.449584000000002</v>
      </c>
      <c r="M56" s="341">
        <v>6.5730300000000002</v>
      </c>
      <c r="N56" s="341">
        <v>69.098519999999994</v>
      </c>
      <c r="O56" s="341">
        <v>158.83461</v>
      </c>
      <c r="P56" s="341">
        <v>174.28187700000001</v>
      </c>
      <c r="Q56" s="341">
        <v>12.845000000000001</v>
      </c>
      <c r="R56" s="341">
        <v>45.241274000000004</v>
      </c>
      <c r="S56" s="341">
        <v>13.071999999999999</v>
      </c>
      <c r="T56" s="495">
        <v>15.868</v>
      </c>
      <c r="U56" s="495">
        <v>139.839</v>
      </c>
      <c r="V56" s="341">
        <v>100</v>
      </c>
      <c r="W56" s="341">
        <v>114</v>
      </c>
      <c r="X56" s="495">
        <v>117.94633333333333</v>
      </c>
      <c r="Y56" s="495">
        <v>113</v>
      </c>
      <c r="Z56" s="341">
        <v>113</v>
      </c>
      <c r="AA56" s="341">
        <v>113</v>
      </c>
      <c r="AB56" s="495">
        <v>113</v>
      </c>
      <c r="AC56" s="495">
        <v>113</v>
      </c>
      <c r="AD56" s="343"/>
    </row>
    <row r="57" spans="1:30" ht="18">
      <c r="A57" s="271" t="s">
        <v>1059</v>
      </c>
      <c r="B57" s="344"/>
      <c r="C57" s="344"/>
      <c r="D57" s="341">
        <v>859.65433999999993</v>
      </c>
      <c r="E57" s="341">
        <v>58.213730000000005</v>
      </c>
      <c r="F57" s="341">
        <v>434.46712000000002</v>
      </c>
      <c r="G57" s="341">
        <v>500.01580000000001</v>
      </c>
      <c r="H57" s="341">
        <v>511.15209999999996</v>
      </c>
      <c r="I57" s="341">
        <v>11.852</v>
      </c>
      <c r="J57" s="341">
        <v>194</v>
      </c>
      <c r="K57" s="341">
        <v>232</v>
      </c>
      <c r="L57" s="341">
        <v>0</v>
      </c>
      <c r="M57" s="341">
        <v>0</v>
      </c>
      <c r="N57" s="341">
        <v>0</v>
      </c>
      <c r="O57" s="341">
        <v>0</v>
      </c>
      <c r="P57" s="341">
        <v>0</v>
      </c>
      <c r="Q57" s="341">
        <v>0</v>
      </c>
      <c r="R57" s="341">
        <v>0</v>
      </c>
      <c r="S57" s="341">
        <v>0</v>
      </c>
      <c r="T57" s="341">
        <v>0</v>
      </c>
      <c r="U57" s="341">
        <v>0</v>
      </c>
      <c r="V57" s="341">
        <v>0</v>
      </c>
      <c r="W57" s="341">
        <v>0</v>
      </c>
      <c r="X57" s="341">
        <v>0</v>
      </c>
      <c r="Y57" s="341">
        <v>0</v>
      </c>
      <c r="Z57" s="341">
        <v>0</v>
      </c>
      <c r="AA57" s="341">
        <v>0</v>
      </c>
      <c r="AB57" s="341">
        <v>0</v>
      </c>
      <c r="AC57" s="341">
        <v>0</v>
      </c>
      <c r="AD57" s="345"/>
    </row>
    <row r="59" spans="1:30">
      <c r="B59" s="274"/>
      <c r="C59" s="275" t="s">
        <v>1060</v>
      </c>
      <c r="U59" s="346"/>
    </row>
  </sheetData>
  <mergeCells count="2">
    <mergeCell ref="B1:AB1"/>
    <mergeCell ref="B17:AC1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553B4-54FB-4E4F-822C-15C1550DA5CE}">
  <sheetPr>
    <tabColor rgb="FFFFC000"/>
  </sheetPr>
  <dimension ref="A1:AK56"/>
  <sheetViews>
    <sheetView zoomScale="70" zoomScaleNormal="70" workbookViewId="0">
      <pane xSplit="1" ySplit="3" topLeftCell="V38" activePane="bottomRight" state="frozen"/>
      <selection activeCell="X47" sqref="X47"/>
      <selection pane="topRight" activeCell="X47" sqref="X47"/>
      <selection pane="bottomLeft" activeCell="X47" sqref="X47"/>
      <selection pane="bottomRight" activeCell="A44" sqref="A44"/>
    </sheetView>
  </sheetViews>
  <sheetFormatPr baseColWidth="10" defaultRowHeight="18.600000000000001"/>
  <cols>
    <col min="1" max="1" width="72.33203125" style="281" customWidth="1"/>
    <col min="2" max="8" width="11.109375" style="279" customWidth="1"/>
    <col min="9" max="9" width="11.33203125" style="279" customWidth="1"/>
    <col min="10" max="22" width="11.109375" style="279" customWidth="1"/>
    <col min="23" max="26" width="9.88671875" style="279" customWidth="1"/>
    <col min="27" max="27" width="11.109375" style="279" customWidth="1"/>
    <col min="28" max="28" width="12.5546875" style="279" customWidth="1"/>
    <col min="29" max="30" width="13" style="279" customWidth="1"/>
    <col min="31" max="31" width="15" style="149" customWidth="1"/>
    <col min="32" max="32" width="13.109375" style="149" customWidth="1"/>
    <col min="33" max="33" width="15.109375" style="149" customWidth="1"/>
    <col min="34" max="36" width="15" style="149" customWidth="1"/>
    <col min="37" max="16384" width="11.5546875" style="149"/>
  </cols>
  <sheetData>
    <row r="1" spans="1:36" ht="87.75" customHeight="1">
      <c r="A1" s="146"/>
      <c r="B1" s="697" t="s">
        <v>1081</v>
      </c>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697"/>
      <c r="AG1" s="697"/>
      <c r="AH1" s="697"/>
      <c r="AI1" s="697"/>
      <c r="AJ1" s="147"/>
    </row>
    <row r="2" spans="1:36" ht="18">
      <c r="A2" s="378"/>
      <c r="B2" s="379" t="s">
        <v>1082</v>
      </c>
      <c r="C2" s="379" t="s">
        <v>1083</v>
      </c>
      <c r="D2" s="379" t="s">
        <v>1084</v>
      </c>
      <c r="E2" s="379" t="s">
        <v>1085</v>
      </c>
      <c r="F2" s="379" t="s">
        <v>1086</v>
      </c>
      <c r="G2" s="379" t="s">
        <v>1087</v>
      </c>
      <c r="H2" s="379" t="s">
        <v>1005</v>
      </c>
      <c r="I2" s="379" t="s">
        <v>1006</v>
      </c>
      <c r="J2" s="379" t="s">
        <v>1007</v>
      </c>
      <c r="K2" s="379" t="s">
        <v>1008</v>
      </c>
      <c r="L2" s="379" t="s">
        <v>105</v>
      </c>
      <c r="M2" s="379" t="s">
        <v>108</v>
      </c>
      <c r="N2" s="379" t="s">
        <v>109</v>
      </c>
      <c r="O2" s="379" t="s">
        <v>106</v>
      </c>
      <c r="P2" s="379" t="s">
        <v>110</v>
      </c>
      <c r="Q2" s="379" t="s">
        <v>111</v>
      </c>
      <c r="R2" s="379" t="s">
        <v>112</v>
      </c>
      <c r="S2" s="379" t="s">
        <v>113</v>
      </c>
      <c r="T2" s="379" t="s">
        <v>107</v>
      </c>
      <c r="U2" s="379" t="s">
        <v>114</v>
      </c>
      <c r="V2" s="379" t="s">
        <v>115</v>
      </c>
      <c r="W2" s="379" t="s">
        <v>116</v>
      </c>
      <c r="X2" s="379" t="s">
        <v>117</v>
      </c>
      <c r="Y2" s="379" t="s">
        <v>118</v>
      </c>
      <c r="Z2" s="379" t="s">
        <v>119</v>
      </c>
      <c r="AA2" s="379" t="s">
        <v>120</v>
      </c>
      <c r="AB2" s="379" t="s">
        <v>121</v>
      </c>
      <c r="AC2" s="379" t="s">
        <v>122</v>
      </c>
      <c r="AD2" s="379" t="s">
        <v>123</v>
      </c>
      <c r="AE2" s="379" t="s">
        <v>124</v>
      </c>
      <c r="AF2" s="379" t="s">
        <v>125</v>
      </c>
      <c r="AG2" s="379" t="s">
        <v>126</v>
      </c>
      <c r="AH2" s="379" t="s">
        <v>127</v>
      </c>
      <c r="AI2" s="379" t="s">
        <v>128</v>
      </c>
      <c r="AJ2" s="379" t="s">
        <v>129</v>
      </c>
    </row>
    <row r="3" spans="1:36" ht="18">
      <c r="A3" s="380" t="s">
        <v>1009</v>
      </c>
      <c r="B3" s="381"/>
      <c r="C3" s="381"/>
      <c r="D3" s="381"/>
      <c r="E3" s="381"/>
      <c r="F3" s="381"/>
      <c r="G3" s="381"/>
      <c r="H3" s="381"/>
      <c r="I3" s="381"/>
      <c r="J3" s="381"/>
      <c r="K3" s="381"/>
      <c r="L3" s="381"/>
      <c r="M3" s="381"/>
      <c r="N3" s="381"/>
      <c r="O3" s="381"/>
      <c r="P3" s="381"/>
      <c r="Q3" s="381"/>
      <c r="R3" s="381"/>
      <c r="S3" s="381"/>
      <c r="T3" s="381"/>
      <c r="U3" s="381"/>
      <c r="V3" s="381"/>
      <c r="W3" s="381"/>
      <c r="X3" s="382"/>
      <c r="Y3" s="382"/>
      <c r="Z3" s="381"/>
      <c r="AA3" s="381"/>
      <c r="AB3" s="284"/>
      <c r="AC3" s="284"/>
      <c r="AD3" s="284"/>
      <c r="AE3" s="284"/>
      <c r="AF3" s="284"/>
      <c r="AG3" s="349"/>
      <c r="AH3" s="349"/>
      <c r="AI3" s="349" t="str">
        <f>'Bilans Blé tendre - FAM'!AC3</f>
        <v>Prov. Mars 25</v>
      </c>
      <c r="AJ3" s="349" t="str">
        <f>'Bilans Blé tendre - FAM'!AD3</f>
        <v>Prév. Mars 25</v>
      </c>
    </row>
    <row r="4" spans="1:36" ht="18">
      <c r="A4" s="285"/>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2"/>
      <c r="AF4" s="162"/>
      <c r="AG4" s="162"/>
      <c r="AH4" s="162"/>
      <c r="AI4" s="162"/>
      <c r="AJ4" s="162"/>
    </row>
    <row r="5" spans="1:36">
      <c r="A5" s="164" t="s">
        <v>1013</v>
      </c>
      <c r="B5" s="350">
        <f>B23/B9</f>
        <v>0.99413279626423035</v>
      </c>
      <c r="C5" s="350">
        <f t="shared" ref="C5:AJ5" si="0">C23/C9</f>
        <v>0.98760215115142735</v>
      </c>
      <c r="D5" s="350">
        <f t="shared" si="0"/>
        <v>0.96875915979236016</v>
      </c>
      <c r="E5" s="350">
        <f t="shared" si="0"/>
        <v>0.88753570074716881</v>
      </c>
      <c r="F5" s="350">
        <f t="shared" si="0"/>
        <v>0.95821241493075437</v>
      </c>
      <c r="G5" s="350">
        <f t="shared" si="0"/>
        <v>0.94256219475149616</v>
      </c>
      <c r="H5" s="350">
        <f t="shared" si="0"/>
        <v>0.96192340017590305</v>
      </c>
      <c r="I5" s="350">
        <f t="shared" si="0"/>
        <v>0.90385904100097336</v>
      </c>
      <c r="J5" s="350">
        <f t="shared" si="0"/>
        <v>0.96284876415524645</v>
      </c>
      <c r="K5" s="350">
        <f t="shared" si="0"/>
        <v>0.91632900488967151</v>
      </c>
      <c r="L5" s="350">
        <f t="shared" si="0"/>
        <v>0.94658954692559705</v>
      </c>
      <c r="M5" s="350">
        <f t="shared" si="0"/>
        <v>0.93391872493498396</v>
      </c>
      <c r="N5" s="350">
        <f t="shared" si="0"/>
        <v>0.95049393160870554</v>
      </c>
      <c r="O5" s="350">
        <f t="shared" si="0"/>
        <v>1.0353531547219941</v>
      </c>
      <c r="P5" s="350">
        <f t="shared" si="0"/>
        <v>0.98009032648820427</v>
      </c>
      <c r="Q5" s="350">
        <f t="shared" si="0"/>
        <v>0.94846439471225563</v>
      </c>
      <c r="R5" s="350">
        <f t="shared" si="0"/>
        <v>1.0005365214050839</v>
      </c>
      <c r="S5" s="350">
        <f t="shared" si="0"/>
        <v>0.9658632044486215</v>
      </c>
      <c r="T5" s="350">
        <f t="shared" si="0"/>
        <v>0.96714284164937392</v>
      </c>
      <c r="U5" s="350">
        <f t="shared" si="0"/>
        <v>0.94054874786597165</v>
      </c>
      <c r="V5" s="350">
        <f t="shared" si="0"/>
        <v>0.99258301185688624</v>
      </c>
      <c r="W5" s="350">
        <f t="shared" si="0"/>
        <v>0.93440311348286287</v>
      </c>
      <c r="X5" s="350">
        <f t="shared" si="0"/>
        <v>0.97085945595778822</v>
      </c>
      <c r="Y5" s="350">
        <f t="shared" si="0"/>
        <v>1.0268224872983294</v>
      </c>
      <c r="Z5" s="350">
        <f t="shared" si="0"/>
        <v>0.9515902277431153</v>
      </c>
      <c r="AA5" s="350">
        <f t="shared" si="0"/>
        <v>0.94311983316577908</v>
      </c>
      <c r="AB5" s="350">
        <f t="shared" si="0"/>
        <v>0.93185669041379038</v>
      </c>
      <c r="AC5" s="350">
        <f t="shared" si="0"/>
        <v>0.92629804867036802</v>
      </c>
      <c r="AD5" s="350">
        <f t="shared" si="0"/>
        <v>0.98624897805941814</v>
      </c>
      <c r="AE5" s="350">
        <f t="shared" si="0"/>
        <v>1.0085476192026799</v>
      </c>
      <c r="AF5" s="350">
        <f t="shared" si="0"/>
        <v>0.94243640464184819</v>
      </c>
      <c r="AG5" s="350">
        <f t="shared" si="0"/>
        <v>0.94488526014354557</v>
      </c>
      <c r="AH5" s="350">
        <f t="shared" si="0"/>
        <v>0.96444035264253059</v>
      </c>
      <c r="AI5" s="350">
        <f t="shared" si="0"/>
        <v>0.96235558595386195</v>
      </c>
      <c r="AJ5" s="350">
        <f t="shared" si="0"/>
        <v>0.94896964815306273</v>
      </c>
    </row>
    <row r="6" spans="1:36">
      <c r="A6" s="288"/>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row>
    <row r="7" spans="1:36" ht="18">
      <c r="A7" s="292" t="s">
        <v>1014</v>
      </c>
      <c r="B7" s="383">
        <v>397.50200000000001</v>
      </c>
      <c r="C7" s="383">
        <v>495.05399999999997</v>
      </c>
      <c r="D7" s="383">
        <v>425.86200000000002</v>
      </c>
      <c r="E7" s="383">
        <v>223.10499999999999</v>
      </c>
      <c r="F7" s="383">
        <v>234.50700000000001</v>
      </c>
      <c r="G7" s="383">
        <v>229.98400000000004</v>
      </c>
      <c r="H7" s="383">
        <v>271.68</v>
      </c>
      <c r="I7" s="383">
        <v>267.68799999999999</v>
      </c>
      <c r="J7" s="383">
        <v>298.03200000000004</v>
      </c>
      <c r="K7" s="383">
        <v>328.96600000000001</v>
      </c>
      <c r="L7" s="383">
        <v>339.72499999999997</v>
      </c>
      <c r="M7" s="383">
        <v>308.85399999999998</v>
      </c>
      <c r="N7" s="383">
        <v>334.416</v>
      </c>
      <c r="O7" s="383">
        <v>330.86500000000001</v>
      </c>
      <c r="P7" s="383">
        <v>407.87700000000001</v>
      </c>
      <c r="Q7" s="383">
        <v>423.85799999999995</v>
      </c>
      <c r="R7" s="383">
        <v>454.32000000000005</v>
      </c>
      <c r="S7" s="383">
        <v>455.84799999999996</v>
      </c>
      <c r="T7" s="383">
        <v>427.04999999999995</v>
      </c>
      <c r="U7" s="383">
        <v>416.85699999999997</v>
      </c>
      <c r="V7" s="383">
        <v>506.84799999999996</v>
      </c>
      <c r="W7" s="383">
        <v>417.15</v>
      </c>
      <c r="X7" s="383">
        <v>437.19299999999998</v>
      </c>
      <c r="Y7" s="383">
        <v>336.11700000000002</v>
      </c>
      <c r="Z7" s="383">
        <v>286.75399999999996</v>
      </c>
      <c r="AA7" s="383">
        <v>318.82099999999997</v>
      </c>
      <c r="AB7" s="383">
        <v>393.55799999999999</v>
      </c>
      <c r="AC7" s="383">
        <v>370.00500000000005</v>
      </c>
      <c r="AD7" s="383">
        <v>353.88599999999997</v>
      </c>
      <c r="AE7" s="383">
        <v>245.50399999999999</v>
      </c>
      <c r="AF7" s="383">
        <v>252.27799999999996</v>
      </c>
      <c r="AG7" s="383">
        <v>294.226</v>
      </c>
      <c r="AH7" s="383">
        <v>252.947</v>
      </c>
      <c r="AI7" s="383">
        <v>236.33499999999998</v>
      </c>
      <c r="AJ7" s="383">
        <v>239.41499999999999</v>
      </c>
    </row>
    <row r="8" spans="1:36" ht="18">
      <c r="A8" s="292" t="s">
        <v>1015</v>
      </c>
      <c r="B8" s="293">
        <f>B9/B7*10</f>
        <v>49.789359550392199</v>
      </c>
      <c r="C8" s="293">
        <f t="shared" ref="C8:AJ8" si="1">C9/C7*10</f>
        <v>51.912597413615487</v>
      </c>
      <c r="D8" s="293">
        <f t="shared" si="1"/>
        <v>44.510014981378944</v>
      </c>
      <c r="E8" s="293">
        <f t="shared" si="1"/>
        <v>39.929302346428813</v>
      </c>
      <c r="F8" s="293">
        <f t="shared" si="1"/>
        <v>44.173154745913763</v>
      </c>
      <c r="G8" s="293">
        <f t="shared" si="1"/>
        <v>45.131196083205779</v>
      </c>
      <c r="H8" s="293">
        <f t="shared" si="1"/>
        <v>46.365993080094228</v>
      </c>
      <c r="I8" s="293">
        <f t="shared" si="1"/>
        <v>32.823017841666413</v>
      </c>
      <c r="J8" s="293">
        <f t="shared" si="1"/>
        <v>52.191526413271056</v>
      </c>
      <c r="K8" s="293">
        <f t="shared" si="1"/>
        <v>47.317570812789157</v>
      </c>
      <c r="L8" s="293">
        <f t="shared" si="1"/>
        <v>49.348007947604692</v>
      </c>
      <c r="M8" s="293">
        <f t="shared" si="1"/>
        <v>43.944559565360983</v>
      </c>
      <c r="N8" s="293">
        <f t="shared" si="1"/>
        <v>48.175117219271812</v>
      </c>
      <c r="O8" s="293">
        <f t="shared" si="1"/>
        <v>39.581874782766384</v>
      </c>
      <c r="P8" s="293">
        <f t="shared" si="1"/>
        <v>51.254954312206863</v>
      </c>
      <c r="Q8" s="293">
        <f t="shared" si="1"/>
        <v>48.342963917160937</v>
      </c>
      <c r="R8" s="293">
        <f t="shared" si="1"/>
        <v>46.313389241063575</v>
      </c>
      <c r="S8" s="293">
        <f t="shared" si="1"/>
        <v>43.667740123900955</v>
      </c>
      <c r="T8" s="293">
        <f t="shared" si="1"/>
        <v>49.227640791476418</v>
      </c>
      <c r="U8" s="293">
        <f t="shared" si="1"/>
        <v>50.780725764470802</v>
      </c>
      <c r="V8" s="293">
        <f t="shared" si="1"/>
        <v>50.288544100006327</v>
      </c>
      <c r="W8" s="293">
        <f t="shared" si="1"/>
        <v>48.485767709457036</v>
      </c>
      <c r="X8" s="293">
        <f t="shared" si="1"/>
        <v>54.502254153200063</v>
      </c>
      <c r="Y8" s="293">
        <f t="shared" si="1"/>
        <v>52.70659621500846</v>
      </c>
      <c r="Z8" s="293">
        <f t="shared" si="1"/>
        <v>51.755996428994891</v>
      </c>
      <c r="AA8" s="293">
        <f t="shared" si="1"/>
        <v>56.626916043798879</v>
      </c>
      <c r="AB8" s="293">
        <f t="shared" si="1"/>
        <v>43.022565924209395</v>
      </c>
      <c r="AC8" s="293">
        <f t="shared" si="1"/>
        <v>57.262882934014392</v>
      </c>
      <c r="AD8" s="293">
        <f t="shared" si="1"/>
        <v>50.736143842932478</v>
      </c>
      <c r="AE8" s="293">
        <f t="shared" si="1"/>
        <v>63.79538418925965</v>
      </c>
      <c r="AF8" s="293">
        <f t="shared" si="1"/>
        <v>52.55174846795996</v>
      </c>
      <c r="AG8" s="293">
        <f t="shared" si="1"/>
        <v>54.144841040560657</v>
      </c>
      <c r="AH8" s="293">
        <f t="shared" si="1"/>
        <v>53.212633476578105</v>
      </c>
      <c r="AI8" s="293">
        <f t="shared" si="1"/>
        <v>55.065407155097638</v>
      </c>
      <c r="AJ8" s="293">
        <f t="shared" si="1"/>
        <v>50.787515402126033</v>
      </c>
    </row>
    <row r="9" spans="1:36" ht="18">
      <c r="A9" s="292" t="s">
        <v>1016</v>
      </c>
      <c r="B9" s="383">
        <v>1979.1369999999999</v>
      </c>
      <c r="C9" s="383">
        <v>2569.9539</v>
      </c>
      <c r="D9" s="383">
        <v>1895.5124000000001</v>
      </c>
      <c r="E9" s="383">
        <v>890.84270000000004</v>
      </c>
      <c r="F9" s="383">
        <v>1035.8914</v>
      </c>
      <c r="G9" s="383">
        <v>1037.9452999999999</v>
      </c>
      <c r="H9" s="383">
        <v>1259.6713</v>
      </c>
      <c r="I9" s="383">
        <v>878.63279999999986</v>
      </c>
      <c r="J9" s="383">
        <v>1555.4745</v>
      </c>
      <c r="K9" s="383">
        <v>1556.5871999999999</v>
      </c>
      <c r="L9" s="383">
        <v>1676.4752000000003</v>
      </c>
      <c r="M9" s="383">
        <v>1357.2453</v>
      </c>
      <c r="N9" s="383">
        <v>1611.0530000000001</v>
      </c>
      <c r="O9" s="383">
        <v>1309.6257000000001</v>
      </c>
      <c r="P9" s="383">
        <v>2090.5717</v>
      </c>
      <c r="Q9" s="383">
        <v>2049.0551999999998</v>
      </c>
      <c r="R9" s="383">
        <v>2104.1099000000004</v>
      </c>
      <c r="S9" s="383">
        <v>1990.5852</v>
      </c>
      <c r="T9" s="383">
        <v>2102.2664000000004</v>
      </c>
      <c r="U9" s="383">
        <v>2116.8301000000001</v>
      </c>
      <c r="V9" s="383">
        <v>2548.8648000000003</v>
      </c>
      <c r="W9" s="383">
        <v>2022.5838000000001</v>
      </c>
      <c r="X9" s="383">
        <v>2382.8003999999996</v>
      </c>
      <c r="Y9" s="383">
        <v>1771.5582999999999</v>
      </c>
      <c r="Z9" s="383">
        <v>1484.1238999999998</v>
      </c>
      <c r="AA9" s="486">
        <v>1805.385</v>
      </c>
      <c r="AB9" s="383">
        <v>1693.1875000000002</v>
      </c>
      <c r="AC9" s="383">
        <v>2118.7552999999998</v>
      </c>
      <c r="AD9" s="383">
        <v>1795.4811000000002</v>
      </c>
      <c r="AE9" s="486">
        <v>1566.2022000000002</v>
      </c>
      <c r="AF9" s="383">
        <v>1325.7650000000001</v>
      </c>
      <c r="AG9" s="383">
        <v>1593.0820000000001</v>
      </c>
      <c r="AH9" s="383">
        <v>1345.9976000000001</v>
      </c>
      <c r="AI9" s="486">
        <v>1301.3882999999998</v>
      </c>
      <c r="AJ9" s="383">
        <v>1215.9293000000002</v>
      </c>
    </row>
    <row r="10" spans="1:36" ht="18">
      <c r="A10" s="294"/>
      <c r="B10" s="183"/>
      <c r="C10" s="183"/>
      <c r="D10" s="183"/>
      <c r="E10" s="183"/>
      <c r="F10" s="183"/>
      <c r="G10" s="183"/>
      <c r="H10" s="183"/>
      <c r="I10" s="183"/>
      <c r="J10" s="183"/>
      <c r="K10" s="183"/>
      <c r="L10" s="183"/>
      <c r="M10" s="183"/>
      <c r="N10" s="183"/>
      <c r="O10" s="183"/>
      <c r="P10" s="183"/>
      <c r="Q10" s="183"/>
      <c r="R10" s="183"/>
      <c r="S10" s="183"/>
      <c r="T10" s="183"/>
      <c r="U10" s="183"/>
      <c r="V10" s="183"/>
      <c r="W10" s="182"/>
      <c r="X10" s="182"/>
      <c r="Y10" s="182"/>
      <c r="Z10" s="182"/>
      <c r="AA10" s="183"/>
      <c r="AB10" s="183"/>
      <c r="AC10" s="183"/>
      <c r="AD10" s="183"/>
      <c r="AE10" s="184"/>
      <c r="AF10" s="184"/>
      <c r="AG10" s="184"/>
      <c r="AH10" s="184"/>
      <c r="AI10" s="184"/>
      <c r="AJ10" s="184"/>
    </row>
    <row r="11" spans="1:36" ht="18">
      <c r="A11" s="292" t="s">
        <v>1017</v>
      </c>
      <c r="B11" s="384"/>
      <c r="C11" s="384"/>
      <c r="D11" s="384"/>
      <c r="E11" s="384"/>
      <c r="F11" s="384"/>
      <c r="G11" s="384"/>
      <c r="H11" s="384"/>
      <c r="I11" s="384"/>
      <c r="J11" s="384"/>
      <c r="K11" s="186">
        <v>115.654</v>
      </c>
      <c r="L11" s="186">
        <v>89.866199999999935</v>
      </c>
      <c r="M11" s="186">
        <v>98.745300000000043</v>
      </c>
      <c r="N11" s="186">
        <v>80.283000000000129</v>
      </c>
      <c r="O11" s="186">
        <v>-45.929299999999998</v>
      </c>
      <c r="P11" s="186">
        <v>41.994699999999739</v>
      </c>
      <c r="Q11" s="186">
        <v>115.66119999999978</v>
      </c>
      <c r="R11" s="186">
        <v>2.0158999999998741</v>
      </c>
      <c r="S11" s="186">
        <v>69.280799999999999</v>
      </c>
      <c r="T11" s="186">
        <v>72.546000000000049</v>
      </c>
      <c r="U11" s="186">
        <v>124.12620000000015</v>
      </c>
      <c r="V11" s="186">
        <v>15.192799999999806</v>
      </c>
      <c r="W11" s="186">
        <v>0</v>
      </c>
      <c r="X11" s="186">
        <v>35</v>
      </c>
      <c r="Y11" s="186">
        <v>52.12405750999995</v>
      </c>
      <c r="Z11" s="186">
        <v>7.0896688500660066</v>
      </c>
      <c r="AA11" s="492">
        <v>61.133481313881148</v>
      </c>
      <c r="AB11" s="186">
        <v>80.580614021378452</v>
      </c>
      <c r="AC11" s="186">
        <v>102.3695992911169</v>
      </c>
      <c r="AD11" s="186">
        <v>208.32359929111726</v>
      </c>
      <c r="AE11" s="492">
        <v>183.01359929111732</v>
      </c>
      <c r="AF11" s="186">
        <v>146.13459929111718</v>
      </c>
      <c r="AG11" s="186">
        <v>172.31059929111734</v>
      </c>
      <c r="AH11" s="186">
        <v>210.10539929111746</v>
      </c>
      <c r="AI11" s="492">
        <v>240</v>
      </c>
      <c r="AJ11" s="186">
        <v>240</v>
      </c>
    </row>
    <row r="12" spans="1:36" ht="36">
      <c r="A12" s="297" t="s">
        <v>1018</v>
      </c>
      <c r="B12" s="384"/>
      <c r="C12" s="384"/>
      <c r="D12" s="384"/>
      <c r="E12" s="384"/>
      <c r="F12" s="384"/>
      <c r="G12" s="384"/>
      <c r="H12" s="384"/>
      <c r="I12" s="384"/>
      <c r="J12" s="384"/>
      <c r="K12" s="384"/>
      <c r="L12" s="384"/>
      <c r="M12" s="384"/>
      <c r="N12" s="384"/>
      <c r="O12" s="384"/>
      <c r="P12" s="384"/>
      <c r="Q12" s="384"/>
      <c r="R12" s="384"/>
      <c r="S12" s="384"/>
      <c r="T12" s="384"/>
      <c r="U12" s="384"/>
      <c r="V12" s="384"/>
      <c r="W12" s="384"/>
      <c r="X12" s="186">
        <v>52.312042489999946</v>
      </c>
      <c r="Y12" s="186">
        <v>5.6477886599340064</v>
      </c>
      <c r="Z12" s="186">
        <v>17.667087536184781</v>
      </c>
      <c r="AA12" s="492">
        <v>83.46786729250276</v>
      </c>
      <c r="AB12" s="186">
        <v>94.495014730261758</v>
      </c>
      <c r="AC12" s="186">
        <v>50</v>
      </c>
      <c r="AD12" s="186">
        <v>50</v>
      </c>
      <c r="AE12" s="492">
        <v>20</v>
      </c>
      <c r="AF12" s="186">
        <v>50</v>
      </c>
      <c r="AG12" s="186">
        <v>50</v>
      </c>
      <c r="AH12" s="186">
        <v>50</v>
      </c>
      <c r="AI12" s="492">
        <v>50</v>
      </c>
      <c r="AJ12" s="186">
        <v>50</v>
      </c>
    </row>
    <row r="13" spans="1:36" ht="18">
      <c r="A13" s="292" t="s">
        <v>1019</v>
      </c>
      <c r="B13" s="384"/>
      <c r="C13" s="384"/>
      <c r="D13" s="384"/>
      <c r="E13" s="384"/>
      <c r="F13" s="384"/>
      <c r="G13" s="384"/>
      <c r="H13" s="384"/>
      <c r="I13" s="384"/>
      <c r="J13" s="384"/>
      <c r="K13" s="384"/>
      <c r="L13" s="384"/>
      <c r="M13" s="384"/>
      <c r="N13" s="384"/>
      <c r="O13" s="384"/>
      <c r="P13" s="384"/>
      <c r="Q13" s="384"/>
      <c r="R13" s="384"/>
      <c r="S13" s="384"/>
      <c r="T13" s="384"/>
      <c r="U13" s="384"/>
      <c r="V13" s="384"/>
      <c r="W13" s="384"/>
      <c r="X13" s="186">
        <v>52.12405750999995</v>
      </c>
      <c r="Y13" s="186">
        <v>7.0896688500660066</v>
      </c>
      <c r="Z13" s="186">
        <v>61.133481313881148</v>
      </c>
      <c r="AA13" s="492">
        <v>80.580614021378452</v>
      </c>
      <c r="AB13" s="186">
        <v>102.3695992911169</v>
      </c>
      <c r="AC13" s="186">
        <v>208.32359929111726</v>
      </c>
      <c r="AD13" s="186">
        <v>183.01359929111732</v>
      </c>
      <c r="AE13" s="492">
        <v>146.13459929111718</v>
      </c>
      <c r="AF13" s="186">
        <v>172.31059929111734</v>
      </c>
      <c r="AG13" s="186">
        <v>210.10539929111746</v>
      </c>
      <c r="AH13" s="186">
        <v>240</v>
      </c>
      <c r="AI13" s="492">
        <v>240</v>
      </c>
      <c r="AJ13" s="186">
        <v>240</v>
      </c>
    </row>
    <row r="14" spans="1:36" ht="18">
      <c r="A14" s="292"/>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385"/>
      <c r="AF14" s="385"/>
      <c r="AG14" s="186"/>
      <c r="AH14" s="186"/>
      <c r="AI14" s="186"/>
      <c r="AJ14" s="186"/>
    </row>
    <row r="15" spans="1:36" ht="18">
      <c r="A15" s="292"/>
      <c r="B15" s="173"/>
      <c r="C15" s="173"/>
      <c r="D15" s="173"/>
      <c r="E15" s="173"/>
      <c r="F15" s="173"/>
      <c r="G15" s="173"/>
      <c r="H15" s="173"/>
      <c r="I15" s="173"/>
      <c r="J15" s="173"/>
      <c r="K15" s="173"/>
      <c r="L15" s="173"/>
      <c r="M15" s="173"/>
      <c r="N15" s="173"/>
      <c r="O15" s="173"/>
      <c r="P15" s="173"/>
      <c r="Q15" s="173"/>
      <c r="R15" s="173"/>
      <c r="S15" s="173"/>
      <c r="T15" s="173"/>
      <c r="U15" s="173"/>
      <c r="V15" s="173"/>
      <c r="W15" s="173"/>
      <c r="X15" s="370"/>
      <c r="Y15" s="370"/>
      <c r="Z15" s="173"/>
      <c r="AA15" s="173"/>
      <c r="AB15" s="173"/>
      <c r="AC15" s="386"/>
      <c r="AD15" s="386"/>
      <c r="AE15" s="386"/>
      <c r="AF15" s="386"/>
      <c r="AG15" s="386"/>
      <c r="AH15" s="386"/>
      <c r="AI15" s="386"/>
      <c r="AJ15" s="386"/>
    </row>
    <row r="16" spans="1:36" ht="18">
      <c r="A16" s="300"/>
      <c r="B16" s="387"/>
      <c r="C16" s="387"/>
      <c r="D16" s="387"/>
      <c r="E16" s="387"/>
      <c r="F16" s="387"/>
      <c r="G16" s="387"/>
      <c r="H16" s="387"/>
      <c r="I16" s="387"/>
      <c r="J16" s="387"/>
      <c r="K16" s="387"/>
      <c r="L16" s="387"/>
      <c r="M16" s="387"/>
      <c r="N16" s="387"/>
      <c r="O16" s="387"/>
      <c r="P16" s="387"/>
      <c r="Q16" s="387"/>
      <c r="R16" s="387"/>
      <c r="S16" s="387"/>
      <c r="T16" s="387"/>
      <c r="U16" s="387"/>
      <c r="V16" s="387"/>
      <c r="W16" s="387"/>
      <c r="X16" s="387"/>
      <c r="Y16" s="387"/>
      <c r="Z16" s="387"/>
      <c r="AA16" s="387"/>
      <c r="AB16" s="387"/>
      <c r="AC16" s="388"/>
      <c r="AD16" s="388"/>
      <c r="AE16" s="388"/>
      <c r="AF16" s="388"/>
      <c r="AG16" s="388"/>
      <c r="AH16" s="388"/>
      <c r="AI16" s="388"/>
      <c r="AJ16" s="388"/>
    </row>
    <row r="17" spans="1:37" ht="47.25" customHeight="1">
      <c r="A17" s="190" t="s">
        <v>1020</v>
      </c>
      <c r="B17" s="698" t="s">
        <v>1088</v>
      </c>
      <c r="C17" s="698"/>
      <c r="D17" s="698"/>
      <c r="E17" s="698"/>
      <c r="F17" s="698"/>
      <c r="G17" s="698"/>
      <c r="H17" s="698"/>
      <c r="I17" s="698"/>
      <c r="J17" s="698"/>
      <c r="K17" s="698"/>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698"/>
      <c r="AJ17" s="191"/>
    </row>
    <row r="18" spans="1:37">
      <c r="A18" s="389" t="s">
        <v>1009</v>
      </c>
      <c r="B18" s="390" t="str">
        <f t="shared" ref="B18:U18" si="2">B2</f>
        <v>1990/91</v>
      </c>
      <c r="C18" s="390" t="str">
        <f t="shared" si="2"/>
        <v>1991/92</v>
      </c>
      <c r="D18" s="390" t="str">
        <f t="shared" si="2"/>
        <v>1992/93</v>
      </c>
      <c r="E18" s="390" t="str">
        <f t="shared" si="2"/>
        <v>1993/94</v>
      </c>
      <c r="F18" s="390" t="str">
        <f t="shared" si="2"/>
        <v>1994/95</v>
      </c>
      <c r="G18" s="390" t="str">
        <f t="shared" si="2"/>
        <v>1995/96</v>
      </c>
      <c r="H18" s="390" t="str">
        <f t="shared" si="2"/>
        <v>1996/97</v>
      </c>
      <c r="I18" s="390" t="str">
        <f t="shared" si="2"/>
        <v>1997/98</v>
      </c>
      <c r="J18" s="390" t="str">
        <f t="shared" si="2"/>
        <v>1998/99</v>
      </c>
      <c r="K18" s="390" t="str">
        <f t="shared" si="2"/>
        <v>1999/00</v>
      </c>
      <c r="L18" s="390" t="str">
        <f t="shared" si="2"/>
        <v>2000/01</v>
      </c>
      <c r="M18" s="390" t="str">
        <f t="shared" si="2"/>
        <v>2001/02</v>
      </c>
      <c r="N18" s="390" t="str">
        <f t="shared" si="2"/>
        <v>2002/03</v>
      </c>
      <c r="O18" s="390" t="str">
        <f t="shared" si="2"/>
        <v>2003/04</v>
      </c>
      <c r="P18" s="390" t="str">
        <f t="shared" si="2"/>
        <v>2004/05</v>
      </c>
      <c r="Q18" s="390" t="str">
        <f t="shared" si="2"/>
        <v>2005/06</v>
      </c>
      <c r="R18" s="390" t="str">
        <f t="shared" si="2"/>
        <v>2006/07</v>
      </c>
      <c r="S18" s="390" t="str">
        <f t="shared" si="2"/>
        <v>2007/08</v>
      </c>
      <c r="T18" s="390" t="str">
        <f t="shared" si="2"/>
        <v>2008/09</v>
      </c>
      <c r="U18" s="390" t="str">
        <f t="shared" si="2"/>
        <v>2009/10</v>
      </c>
      <c r="V18" s="390" t="str">
        <f>V2</f>
        <v>2010/11</v>
      </c>
      <c r="W18" s="390" t="s">
        <v>116</v>
      </c>
      <c r="X18" s="390" t="s">
        <v>117</v>
      </c>
      <c r="Y18" s="390" t="s">
        <v>118</v>
      </c>
      <c r="Z18" s="390" t="s">
        <v>119</v>
      </c>
      <c r="AA18" s="390" t="s">
        <v>120</v>
      </c>
      <c r="AB18" s="390" t="s">
        <v>121</v>
      </c>
      <c r="AC18" s="390" t="s">
        <v>122</v>
      </c>
      <c r="AD18" s="390" t="s">
        <v>123</v>
      </c>
      <c r="AE18" s="390" t="s">
        <v>124</v>
      </c>
      <c r="AF18" s="390" t="s">
        <v>125</v>
      </c>
      <c r="AG18" s="390" t="str">
        <f>AG2</f>
        <v>2021/22</v>
      </c>
      <c r="AH18" s="390" t="str">
        <f>AH2</f>
        <v>2022/23</v>
      </c>
      <c r="AI18" s="390" t="str">
        <f>AI2</f>
        <v>2023/24</v>
      </c>
      <c r="AJ18" s="390" t="str">
        <f>AJ2</f>
        <v>2024/25</v>
      </c>
    </row>
    <row r="19" spans="1:37" ht="18">
      <c r="A19" s="391"/>
      <c r="B19" s="392"/>
      <c r="C19" s="392"/>
      <c r="D19" s="392"/>
      <c r="E19" s="392"/>
      <c r="F19" s="392"/>
      <c r="G19" s="392"/>
      <c r="H19" s="392"/>
      <c r="I19" s="392"/>
      <c r="J19" s="392"/>
      <c r="K19" s="392"/>
      <c r="L19" s="392"/>
      <c r="M19" s="392"/>
      <c r="N19" s="392"/>
      <c r="O19" s="392"/>
      <c r="P19" s="392"/>
      <c r="Q19" s="392"/>
      <c r="R19" s="392"/>
      <c r="S19" s="392"/>
      <c r="T19" s="392"/>
      <c r="U19" s="392"/>
      <c r="V19" s="392"/>
      <c r="W19" s="393"/>
      <c r="X19" s="394"/>
      <c r="Y19" s="394"/>
      <c r="Z19" s="393"/>
      <c r="AA19" s="392"/>
      <c r="AB19" s="392"/>
      <c r="AC19" s="395"/>
      <c r="AD19" s="395"/>
      <c r="AE19" s="395"/>
      <c r="AF19" s="395"/>
      <c r="AG19" s="395"/>
      <c r="AH19" s="395"/>
      <c r="AI19" s="395" t="str">
        <f>AI3</f>
        <v>Prov. Mars 25</v>
      </c>
      <c r="AJ19" s="395" t="str">
        <f>AJ3</f>
        <v>Prév. Mars 25</v>
      </c>
    </row>
    <row r="20" spans="1:37" ht="18">
      <c r="A20" s="396"/>
      <c r="B20" s="397"/>
      <c r="C20" s="397"/>
      <c r="D20" s="397"/>
      <c r="E20" s="397"/>
      <c r="F20" s="397"/>
      <c r="G20" s="397"/>
      <c r="H20" s="397"/>
      <c r="I20" s="397"/>
      <c r="J20" s="397"/>
      <c r="K20" s="397"/>
      <c r="L20" s="397"/>
      <c r="M20" s="397"/>
      <c r="N20" s="397"/>
      <c r="O20" s="397"/>
      <c r="P20" s="397"/>
      <c r="Q20" s="397"/>
      <c r="R20" s="397"/>
      <c r="S20" s="397"/>
      <c r="T20" s="397"/>
      <c r="U20" s="397"/>
      <c r="V20" s="397"/>
      <c r="W20" s="397"/>
      <c r="X20" s="398"/>
      <c r="Y20" s="398"/>
      <c r="Z20" s="397"/>
      <c r="AA20" s="397"/>
      <c r="AB20" s="397"/>
      <c r="AC20" s="397"/>
      <c r="AD20" s="397"/>
      <c r="AE20" s="399"/>
      <c r="AF20" s="399"/>
      <c r="AG20" s="399"/>
      <c r="AH20" s="399"/>
      <c r="AI20" s="399"/>
      <c r="AJ20" s="399"/>
      <c r="AK20" s="400"/>
    </row>
    <row r="21" spans="1:37">
      <c r="A21" s="206" t="s">
        <v>1022</v>
      </c>
      <c r="B21" s="309"/>
      <c r="C21" s="309"/>
      <c r="D21" s="309"/>
      <c r="E21" s="309"/>
      <c r="F21" s="309"/>
      <c r="G21" s="309"/>
      <c r="H21" s="309"/>
      <c r="I21" s="309"/>
      <c r="J21" s="309"/>
      <c r="K21" s="309"/>
      <c r="L21" s="309"/>
      <c r="M21" s="309"/>
      <c r="N21" s="309"/>
      <c r="O21" s="309"/>
      <c r="P21" s="309"/>
      <c r="Q21" s="309"/>
      <c r="R21" s="309"/>
      <c r="S21" s="309"/>
      <c r="T21" s="309"/>
      <c r="U21" s="309"/>
      <c r="V21" s="309"/>
      <c r="W21" s="209"/>
      <c r="X21" s="209"/>
      <c r="Y21" s="209"/>
      <c r="Z21" s="209"/>
      <c r="AA21" s="309"/>
      <c r="AB21" s="309"/>
      <c r="AC21" s="309"/>
      <c r="AD21" s="309"/>
      <c r="AE21" s="401"/>
      <c r="AF21" s="401"/>
      <c r="AG21" s="401"/>
      <c r="AH21" s="401"/>
      <c r="AI21" s="401"/>
      <c r="AJ21" s="401"/>
    </row>
    <row r="22" spans="1:37" ht="18">
      <c r="A22" s="402" t="s">
        <v>1023</v>
      </c>
      <c r="B22" s="403">
        <v>146.941</v>
      </c>
      <c r="C22" s="403">
        <f>B48</f>
        <v>139.77000000000001</v>
      </c>
      <c r="D22" s="403">
        <f t="shared" ref="D22:AI22" si="3">C48</f>
        <v>353.33300000000003</v>
      </c>
      <c r="E22" s="403">
        <f t="shared" si="3"/>
        <v>76.817000000000007</v>
      </c>
      <c r="F22" s="403">
        <f t="shared" si="3"/>
        <v>214.911</v>
      </c>
      <c r="G22" s="403">
        <f t="shared" si="3"/>
        <v>104</v>
      </c>
      <c r="H22" s="403">
        <f t="shared" si="3"/>
        <v>48.000000000000007</v>
      </c>
      <c r="I22" s="403">
        <f t="shared" si="3"/>
        <v>67</v>
      </c>
      <c r="J22" s="403">
        <f t="shared" si="3"/>
        <v>109</v>
      </c>
      <c r="K22" s="403">
        <f t="shared" si="3"/>
        <v>80</v>
      </c>
      <c r="L22" s="403">
        <f t="shared" si="3"/>
        <v>121</v>
      </c>
      <c r="M22" s="403">
        <f t="shared" si="3"/>
        <v>105.416</v>
      </c>
      <c r="N22" s="403">
        <f t="shared" si="3"/>
        <v>106</v>
      </c>
      <c r="O22" s="403">
        <f t="shared" si="3"/>
        <v>135</v>
      </c>
      <c r="P22" s="403">
        <f t="shared" si="3"/>
        <v>142</v>
      </c>
      <c r="Q22" s="403">
        <f t="shared" si="3"/>
        <v>91</v>
      </c>
      <c r="R22" s="403">
        <f t="shared" si="3"/>
        <v>162</v>
      </c>
      <c r="S22" s="403">
        <f t="shared" si="3"/>
        <v>120</v>
      </c>
      <c r="T22" s="403">
        <f t="shared" si="3"/>
        <v>242</v>
      </c>
      <c r="U22" s="403">
        <f t="shared" si="3"/>
        <v>144</v>
      </c>
      <c r="V22" s="403">
        <f t="shared" si="3"/>
        <v>326</v>
      </c>
      <c r="W22" s="403">
        <f t="shared" si="3"/>
        <v>305</v>
      </c>
      <c r="X22" s="403">
        <f t="shared" si="3"/>
        <v>153.2516</v>
      </c>
      <c r="Y22" s="403">
        <f t="shared" si="3"/>
        <v>273.751015</v>
      </c>
      <c r="Z22" s="403">
        <f t="shared" si="3"/>
        <v>97.503949999999989</v>
      </c>
      <c r="AA22" s="403">
        <f t="shared" si="3"/>
        <v>87.748200000000011</v>
      </c>
      <c r="AB22" s="403">
        <f t="shared" si="3"/>
        <v>165.31040000000002</v>
      </c>
      <c r="AC22" s="403">
        <f t="shared" si="3"/>
        <v>297.59663</v>
      </c>
      <c r="AD22" s="403">
        <f t="shared" si="3"/>
        <v>397.48230000000001</v>
      </c>
      <c r="AE22" s="403">
        <f t="shared" si="3"/>
        <v>352.332561</v>
      </c>
      <c r="AF22" s="403">
        <f t="shared" si="3"/>
        <v>188.2783</v>
      </c>
      <c r="AG22" s="403">
        <f t="shared" si="3"/>
        <v>154.67040900000001</v>
      </c>
      <c r="AH22" s="403">
        <f t="shared" si="3"/>
        <v>147.37049999999999</v>
      </c>
      <c r="AI22" s="403">
        <f t="shared" si="3"/>
        <v>162.37979999999999</v>
      </c>
      <c r="AJ22" s="403">
        <f>AI48</f>
        <v>139.55866</v>
      </c>
    </row>
    <row r="23" spans="1:37" ht="18">
      <c r="A23" s="404" t="s">
        <v>1024</v>
      </c>
      <c r="B23" s="405">
        <v>1967.5250000000001</v>
      </c>
      <c r="C23" s="405">
        <v>2538.0920000000001</v>
      </c>
      <c r="D23" s="405">
        <v>1836.2950000000001</v>
      </c>
      <c r="E23" s="405">
        <v>790.65469999999993</v>
      </c>
      <c r="F23" s="405">
        <v>992.60400000000004</v>
      </c>
      <c r="G23" s="405">
        <v>978.32799999999997</v>
      </c>
      <c r="H23" s="405">
        <v>1211.7073</v>
      </c>
      <c r="I23" s="405">
        <v>794.16019999999992</v>
      </c>
      <c r="J23" s="405">
        <v>1497.6867</v>
      </c>
      <c r="K23" s="405">
        <v>1426.346</v>
      </c>
      <c r="L23" s="405">
        <v>1586.9339</v>
      </c>
      <c r="M23" s="405">
        <v>1267.5567999999998</v>
      </c>
      <c r="N23" s="405">
        <v>1531.2961</v>
      </c>
      <c r="O23" s="405">
        <v>1355.9250999999999</v>
      </c>
      <c r="P23" s="405">
        <v>2048.9491000000003</v>
      </c>
      <c r="Q23" s="405">
        <v>1943.4558999999997</v>
      </c>
      <c r="R23" s="405">
        <v>2105.2387999999992</v>
      </c>
      <c r="S23" s="405">
        <v>1922.633</v>
      </c>
      <c r="T23" s="405">
        <v>2033.1918999999998</v>
      </c>
      <c r="U23" s="405">
        <v>1990.9818999999998</v>
      </c>
      <c r="V23" s="405">
        <v>2529.9599000000003</v>
      </c>
      <c r="W23" s="405">
        <v>1889.9086000000002</v>
      </c>
      <c r="X23" s="405">
        <v>2313.3642999999997</v>
      </c>
      <c r="Y23" s="405">
        <v>1819.0758999999998</v>
      </c>
      <c r="Z23" s="405">
        <v>1412.2778000000003</v>
      </c>
      <c r="AA23" s="487">
        <v>1702.6944000000001</v>
      </c>
      <c r="AB23" s="405">
        <v>1577.8081</v>
      </c>
      <c r="AC23" s="405">
        <v>1962.5989</v>
      </c>
      <c r="AD23" s="405">
        <v>1770.7914000000001</v>
      </c>
      <c r="AE23" s="487">
        <v>1579.5894999999998</v>
      </c>
      <c r="AF23" s="405">
        <v>1249.4492</v>
      </c>
      <c r="AG23" s="405">
        <v>1505.2797</v>
      </c>
      <c r="AH23" s="405">
        <v>1298.1343999999999</v>
      </c>
      <c r="AI23" s="487">
        <v>1252.3983000000001</v>
      </c>
      <c r="AJ23" s="405">
        <v>1153.8800000000001</v>
      </c>
    </row>
    <row r="24" spans="1:37" ht="18">
      <c r="A24" s="404" t="s">
        <v>1025</v>
      </c>
      <c r="B24" s="405">
        <v>2</v>
      </c>
      <c r="C24" s="405">
        <v>8</v>
      </c>
      <c r="D24" s="405">
        <v>9</v>
      </c>
      <c r="E24" s="405">
        <v>258</v>
      </c>
      <c r="F24" s="405">
        <v>108</v>
      </c>
      <c r="G24" s="405">
        <v>142</v>
      </c>
      <c r="H24" s="405">
        <v>133</v>
      </c>
      <c r="I24" s="405">
        <v>205</v>
      </c>
      <c r="J24" s="405">
        <v>43</v>
      </c>
      <c r="K24" s="405">
        <v>87.523799999999994</v>
      </c>
      <c r="L24" s="405">
        <v>252.104129</v>
      </c>
      <c r="M24" s="405">
        <v>224.05567300000004</v>
      </c>
      <c r="N24" s="405">
        <v>77.271704</v>
      </c>
      <c r="O24" s="405">
        <v>133.102585</v>
      </c>
      <c r="P24" s="405">
        <v>70.062529000000026</v>
      </c>
      <c r="Q24" s="405">
        <v>93.632300000000015</v>
      </c>
      <c r="R24" s="405">
        <v>59.779900000000012</v>
      </c>
      <c r="S24" s="405">
        <v>102.10730000000001</v>
      </c>
      <c r="T24" s="405">
        <v>124.06840000000001</v>
      </c>
      <c r="U24" s="405">
        <v>75.059600000000003</v>
      </c>
      <c r="V24" s="405">
        <v>121.50780000000002</v>
      </c>
      <c r="W24" s="405">
        <v>93.51209999999999</v>
      </c>
      <c r="X24" s="405">
        <v>78.209199999999996</v>
      </c>
      <c r="Y24" s="405">
        <v>40.1828</v>
      </c>
      <c r="Z24" s="405">
        <v>194.65380000000002</v>
      </c>
      <c r="AA24" s="487">
        <v>50.93249999999999</v>
      </c>
      <c r="AB24" s="405">
        <v>198.45290000000003</v>
      </c>
      <c r="AC24" s="405">
        <v>96.362099999999998</v>
      </c>
      <c r="AD24" s="405">
        <v>65.302300000000002</v>
      </c>
      <c r="AE24" s="487">
        <v>43.13519999999999</v>
      </c>
      <c r="AF24" s="405">
        <v>42.747199999999999</v>
      </c>
      <c r="AG24" s="405">
        <v>32.6006</v>
      </c>
      <c r="AH24" s="405">
        <v>29.906300000000002</v>
      </c>
      <c r="AI24" s="487">
        <v>32.49580000000001</v>
      </c>
      <c r="AJ24" s="405">
        <v>15</v>
      </c>
    </row>
    <row r="25" spans="1:37" ht="18">
      <c r="A25" s="216" t="s">
        <v>1026</v>
      </c>
      <c r="B25" s="405">
        <v>0.593000000000103</v>
      </c>
      <c r="C25" s="405">
        <v>83.470999999999947</v>
      </c>
      <c r="D25" s="405" t="s">
        <v>89</v>
      </c>
      <c r="E25" s="405">
        <v>17.195499999999981</v>
      </c>
      <c r="F25" s="405">
        <v>124.82069999999999</v>
      </c>
      <c r="G25" s="405">
        <v>132.01760000000002</v>
      </c>
      <c r="H25" s="405">
        <v>211.31200000000001</v>
      </c>
      <c r="I25" s="405">
        <v>103.88240000000019</v>
      </c>
      <c r="J25" s="405">
        <v>150.31330000000003</v>
      </c>
      <c r="K25" s="405">
        <v>176.47709400000031</v>
      </c>
      <c r="L25" s="405">
        <v>184.59361380459342</v>
      </c>
      <c r="M25" s="405" t="s">
        <v>89</v>
      </c>
      <c r="N25" s="405" t="s">
        <v>89</v>
      </c>
      <c r="O25" s="405">
        <v>77.742670000000089</v>
      </c>
      <c r="P25" s="405">
        <v>103.15614099999993</v>
      </c>
      <c r="Q25" s="405">
        <v>17.290788000000248</v>
      </c>
      <c r="R25" s="405">
        <v>7.9851410000005671</v>
      </c>
      <c r="S25" s="405">
        <v>54.811494000000039</v>
      </c>
      <c r="T25" s="405">
        <v>73.868403000000171</v>
      </c>
      <c r="U25" s="405">
        <v>122.84001899999998</v>
      </c>
      <c r="V25" s="405" t="s">
        <v>89</v>
      </c>
      <c r="W25" s="405">
        <v>129.9707859999998</v>
      </c>
      <c r="X25" s="405">
        <v>31.894637000000728</v>
      </c>
      <c r="Y25" s="405">
        <v>96.813383000000115</v>
      </c>
      <c r="Z25" s="405">
        <v>327.25303799999983</v>
      </c>
      <c r="AA25" s="405">
        <v>212.17594400000002</v>
      </c>
      <c r="AB25" s="405">
        <v>70.60708099999988</v>
      </c>
      <c r="AC25" s="405">
        <v>351.21741000000009</v>
      </c>
      <c r="AD25" s="405">
        <v>263.17241700000005</v>
      </c>
      <c r="AE25" s="405">
        <v>341.60567100000054</v>
      </c>
      <c r="AF25" s="405">
        <v>169.84868100000034</v>
      </c>
      <c r="AG25" s="405">
        <v>207.95774299999971</v>
      </c>
      <c r="AH25" s="405">
        <v>230.17738200000002</v>
      </c>
      <c r="AI25" s="405">
        <v>306</v>
      </c>
      <c r="AJ25" s="405">
        <v>150</v>
      </c>
    </row>
    <row r="26" spans="1:37" thickBot="1">
      <c r="A26" s="406" t="s">
        <v>1027</v>
      </c>
      <c r="B26" s="315">
        <f t="shared" ref="B26:AH26" si="4">SUM(B22:B25)</f>
        <v>2117.0590000000002</v>
      </c>
      <c r="C26" s="315">
        <f t="shared" si="4"/>
        <v>2769.3330000000001</v>
      </c>
      <c r="D26" s="315">
        <f t="shared" si="4"/>
        <v>2198.6280000000002</v>
      </c>
      <c r="E26" s="315">
        <f t="shared" si="4"/>
        <v>1142.6672000000001</v>
      </c>
      <c r="F26" s="315">
        <f t="shared" si="4"/>
        <v>1440.3357000000001</v>
      </c>
      <c r="G26" s="315">
        <f t="shared" si="4"/>
        <v>1356.3456000000001</v>
      </c>
      <c r="H26" s="315">
        <f t="shared" si="4"/>
        <v>1604.0192999999999</v>
      </c>
      <c r="I26" s="315">
        <f t="shared" si="4"/>
        <v>1170.0426</v>
      </c>
      <c r="J26" s="315">
        <f t="shared" si="4"/>
        <v>1800</v>
      </c>
      <c r="K26" s="315">
        <f t="shared" si="4"/>
        <v>1770.3468940000002</v>
      </c>
      <c r="L26" s="315">
        <f t="shared" si="4"/>
        <v>2144.6316428045934</v>
      </c>
      <c r="M26" s="315">
        <f t="shared" si="4"/>
        <v>1597.0284729999998</v>
      </c>
      <c r="N26" s="315">
        <f t="shared" si="4"/>
        <v>1714.567804</v>
      </c>
      <c r="O26" s="315">
        <f t="shared" si="4"/>
        <v>1701.7703550000001</v>
      </c>
      <c r="P26" s="315">
        <f t="shared" si="4"/>
        <v>2364.16777</v>
      </c>
      <c r="Q26" s="315">
        <f t="shared" si="4"/>
        <v>2145.3789879999999</v>
      </c>
      <c r="R26" s="315">
        <f t="shared" si="4"/>
        <v>2335.0038409999997</v>
      </c>
      <c r="S26" s="315">
        <f t="shared" si="4"/>
        <v>2199.551794</v>
      </c>
      <c r="T26" s="315">
        <f t="shared" si="4"/>
        <v>2473.1287030000003</v>
      </c>
      <c r="U26" s="315">
        <f t="shared" si="4"/>
        <v>2332.8815189999996</v>
      </c>
      <c r="V26" s="315">
        <f t="shared" si="4"/>
        <v>2977.4677000000001</v>
      </c>
      <c r="W26" s="315">
        <f t="shared" si="4"/>
        <v>2418.391486</v>
      </c>
      <c r="X26" s="315">
        <f t="shared" si="4"/>
        <v>2576.7197370000004</v>
      </c>
      <c r="Y26" s="315">
        <f t="shared" si="4"/>
        <v>2229.8230979999998</v>
      </c>
      <c r="Z26" s="315">
        <f t="shared" si="4"/>
        <v>2031.6885880000002</v>
      </c>
      <c r="AA26" s="315">
        <f t="shared" si="4"/>
        <v>2053.5510439999998</v>
      </c>
      <c r="AB26" s="315">
        <f t="shared" si="4"/>
        <v>2012.1784809999999</v>
      </c>
      <c r="AC26" s="315">
        <f t="shared" si="4"/>
        <v>2707.77504</v>
      </c>
      <c r="AD26" s="315">
        <f t="shared" si="4"/>
        <v>2496.7484170000002</v>
      </c>
      <c r="AE26" s="315">
        <f t="shared" si="4"/>
        <v>2316.6629320000002</v>
      </c>
      <c r="AF26" s="315">
        <f t="shared" si="4"/>
        <v>1650.3233810000004</v>
      </c>
      <c r="AG26" s="315">
        <f t="shared" si="4"/>
        <v>1900.5084519999998</v>
      </c>
      <c r="AH26" s="315">
        <f t="shared" si="4"/>
        <v>1705.5885820000001</v>
      </c>
      <c r="AI26" s="315">
        <f>SUM(AI22:AI25)</f>
        <v>1753.2738999999999</v>
      </c>
      <c r="AJ26" s="315">
        <f>SUM(AJ22:AJ25)</f>
        <v>1458.43866</v>
      </c>
    </row>
    <row r="27" spans="1:37" ht="19.2" thickTop="1">
      <c r="A27" s="220"/>
      <c r="B27" s="407"/>
      <c r="C27" s="407"/>
      <c r="D27" s="407"/>
      <c r="E27" s="407"/>
      <c r="F27" s="407"/>
      <c r="G27" s="407"/>
      <c r="H27" s="407"/>
      <c r="I27" s="407"/>
      <c r="J27" s="407"/>
      <c r="K27" s="407"/>
      <c r="L27" s="407"/>
      <c r="M27" s="407"/>
      <c r="N27" s="407"/>
      <c r="O27" s="407"/>
      <c r="P27" s="407"/>
      <c r="Q27" s="407"/>
      <c r="R27" s="407"/>
      <c r="S27" s="407"/>
      <c r="T27" s="407"/>
      <c r="U27" s="407"/>
      <c r="V27" s="407"/>
      <c r="W27" s="407"/>
      <c r="X27" s="408"/>
      <c r="Y27" s="407"/>
      <c r="Z27" s="407"/>
      <c r="AA27" s="407"/>
      <c r="AB27" s="407"/>
      <c r="AC27" s="407"/>
      <c r="AD27" s="407"/>
      <c r="AE27" s="407"/>
      <c r="AF27" s="409"/>
      <c r="AG27" s="409"/>
      <c r="AH27" s="409"/>
      <c r="AI27" s="409"/>
      <c r="AJ27" s="409"/>
    </row>
    <row r="28" spans="1:37">
      <c r="A28" s="410" t="s">
        <v>1028</v>
      </c>
      <c r="B28" s="411"/>
      <c r="C28" s="411"/>
      <c r="D28" s="411"/>
      <c r="E28" s="411"/>
      <c r="F28" s="411"/>
      <c r="G28" s="411"/>
      <c r="H28" s="411"/>
      <c r="I28" s="411"/>
      <c r="J28" s="411"/>
      <c r="K28" s="411"/>
      <c r="L28" s="411"/>
      <c r="M28" s="411"/>
      <c r="N28" s="411"/>
      <c r="O28" s="411"/>
      <c r="P28" s="411"/>
      <c r="Q28" s="411"/>
      <c r="R28" s="411"/>
      <c r="S28" s="411"/>
      <c r="T28" s="411"/>
      <c r="U28" s="411"/>
      <c r="V28" s="411"/>
      <c r="W28" s="411"/>
      <c r="X28" s="362"/>
      <c r="Y28" s="362"/>
      <c r="Z28" s="411"/>
      <c r="AA28" s="411"/>
      <c r="AB28" s="412"/>
      <c r="AC28" s="412"/>
      <c r="AD28" s="412"/>
      <c r="AE28" s="319"/>
      <c r="AF28" s="319"/>
      <c r="AG28" s="319"/>
      <c r="AH28" s="319"/>
      <c r="AI28" s="320"/>
      <c r="AJ28" s="320"/>
    </row>
    <row r="29" spans="1:37" ht="18">
      <c r="A29" s="413" t="s">
        <v>1029</v>
      </c>
      <c r="B29" s="414"/>
      <c r="C29" s="414"/>
      <c r="D29" s="414"/>
      <c r="E29" s="414"/>
      <c r="F29" s="414"/>
      <c r="G29" s="414"/>
      <c r="H29" s="414"/>
      <c r="I29" s="414"/>
      <c r="J29" s="414"/>
      <c r="K29" s="414"/>
      <c r="L29" s="414"/>
      <c r="M29" s="414"/>
      <c r="N29" s="414"/>
      <c r="O29" s="414"/>
      <c r="P29" s="414"/>
      <c r="Q29" s="414"/>
      <c r="R29" s="414"/>
      <c r="S29" s="414"/>
      <c r="T29" s="414"/>
      <c r="U29" s="414"/>
      <c r="V29" s="414"/>
      <c r="W29" s="414"/>
      <c r="X29" s="415"/>
      <c r="Y29" s="415"/>
      <c r="Z29" s="414"/>
      <c r="AA29" s="414"/>
      <c r="AB29" s="414"/>
      <c r="AC29" s="414"/>
      <c r="AD29" s="414"/>
      <c r="AE29" s="416"/>
      <c r="AF29" s="416"/>
      <c r="AG29" s="416"/>
      <c r="AH29" s="416"/>
      <c r="AI29" s="416"/>
      <c r="AJ29" s="416"/>
      <c r="AK29" s="417"/>
    </row>
    <row r="30" spans="1:37" ht="18">
      <c r="A30" s="418" t="s">
        <v>1076</v>
      </c>
      <c r="B30" s="419">
        <v>529</v>
      </c>
      <c r="C30" s="419">
        <v>514</v>
      </c>
      <c r="D30" s="419">
        <v>515</v>
      </c>
      <c r="E30" s="419">
        <v>532</v>
      </c>
      <c r="F30" s="419">
        <v>510</v>
      </c>
      <c r="G30" s="419">
        <v>529</v>
      </c>
      <c r="H30" s="419">
        <v>527</v>
      </c>
      <c r="I30" s="419">
        <v>504</v>
      </c>
      <c r="J30" s="419">
        <v>496</v>
      </c>
      <c r="K30" s="419">
        <v>483</v>
      </c>
      <c r="L30" s="419">
        <v>497</v>
      </c>
      <c r="M30" s="419">
        <v>528</v>
      </c>
      <c r="N30" s="419">
        <v>487</v>
      </c>
      <c r="O30" s="419">
        <v>498</v>
      </c>
      <c r="P30" s="419">
        <v>518</v>
      </c>
      <c r="Q30" s="419">
        <v>488.63849999999991</v>
      </c>
      <c r="R30" s="419">
        <v>525.66634999999985</v>
      </c>
      <c r="S30" s="419">
        <v>538.01580000000013</v>
      </c>
      <c r="T30" s="419">
        <v>515.72405000000015</v>
      </c>
      <c r="U30" s="419">
        <v>500.60894999999994</v>
      </c>
      <c r="V30" s="419">
        <v>504.03184999999996</v>
      </c>
      <c r="W30" s="419">
        <v>488.43324999999993</v>
      </c>
      <c r="X30" s="419">
        <v>477.02010000000007</v>
      </c>
      <c r="Y30" s="419">
        <v>486.99064999999985</v>
      </c>
      <c r="Z30" s="419">
        <v>494.87885000000011</v>
      </c>
      <c r="AA30" s="488">
        <v>478.14080000000007</v>
      </c>
      <c r="AB30" s="419">
        <v>486.30394999999993</v>
      </c>
      <c r="AC30" s="419">
        <v>481.03344999999996</v>
      </c>
      <c r="AD30" s="419">
        <v>495.30665000000005</v>
      </c>
      <c r="AE30" s="488">
        <v>509.89679999999993</v>
      </c>
      <c r="AF30" s="419">
        <v>512.91610000000003</v>
      </c>
      <c r="AG30" s="419">
        <v>521.2826</v>
      </c>
      <c r="AH30" s="419">
        <v>495.7303</v>
      </c>
      <c r="AI30" s="488">
        <v>492</v>
      </c>
      <c r="AJ30" s="419">
        <v>506</v>
      </c>
    </row>
    <row r="31" spans="1:37" ht="18">
      <c r="A31" s="420" t="s">
        <v>1035</v>
      </c>
      <c r="B31" s="242">
        <f>B30</f>
        <v>529</v>
      </c>
      <c r="C31" s="242">
        <f t="shared" ref="C31:AJ31" si="5">C30</f>
        <v>514</v>
      </c>
      <c r="D31" s="242">
        <f t="shared" si="5"/>
        <v>515</v>
      </c>
      <c r="E31" s="242">
        <f t="shared" si="5"/>
        <v>532</v>
      </c>
      <c r="F31" s="242">
        <f t="shared" si="5"/>
        <v>510</v>
      </c>
      <c r="G31" s="242">
        <f t="shared" si="5"/>
        <v>529</v>
      </c>
      <c r="H31" s="242">
        <f t="shared" si="5"/>
        <v>527</v>
      </c>
      <c r="I31" s="242">
        <f t="shared" si="5"/>
        <v>504</v>
      </c>
      <c r="J31" s="242">
        <f t="shared" si="5"/>
        <v>496</v>
      </c>
      <c r="K31" s="242">
        <f t="shared" si="5"/>
        <v>483</v>
      </c>
      <c r="L31" s="242">
        <f t="shared" si="5"/>
        <v>497</v>
      </c>
      <c r="M31" s="242">
        <f t="shared" si="5"/>
        <v>528</v>
      </c>
      <c r="N31" s="242">
        <f t="shared" si="5"/>
        <v>487</v>
      </c>
      <c r="O31" s="242">
        <f t="shared" si="5"/>
        <v>498</v>
      </c>
      <c r="P31" s="242">
        <f t="shared" si="5"/>
        <v>518</v>
      </c>
      <c r="Q31" s="242">
        <f t="shared" si="5"/>
        <v>488.63849999999991</v>
      </c>
      <c r="R31" s="242">
        <f t="shared" si="5"/>
        <v>525.66634999999985</v>
      </c>
      <c r="S31" s="242">
        <f t="shared" si="5"/>
        <v>538.01580000000013</v>
      </c>
      <c r="T31" s="242">
        <f t="shared" si="5"/>
        <v>515.72405000000015</v>
      </c>
      <c r="U31" s="242">
        <f t="shared" si="5"/>
        <v>500.60894999999994</v>
      </c>
      <c r="V31" s="242">
        <f t="shared" si="5"/>
        <v>504.03184999999996</v>
      </c>
      <c r="W31" s="242">
        <f t="shared" si="5"/>
        <v>488.43324999999993</v>
      </c>
      <c r="X31" s="242">
        <f t="shared" si="5"/>
        <v>477.02010000000007</v>
      </c>
      <c r="Y31" s="242">
        <f t="shared" si="5"/>
        <v>486.99064999999985</v>
      </c>
      <c r="Z31" s="242">
        <f t="shared" si="5"/>
        <v>494.87885000000011</v>
      </c>
      <c r="AA31" s="242">
        <f t="shared" si="5"/>
        <v>478.14080000000007</v>
      </c>
      <c r="AB31" s="242">
        <f t="shared" si="5"/>
        <v>486.30394999999993</v>
      </c>
      <c r="AC31" s="242">
        <f t="shared" si="5"/>
        <v>481.03344999999996</v>
      </c>
      <c r="AD31" s="242">
        <f t="shared" si="5"/>
        <v>495.30665000000005</v>
      </c>
      <c r="AE31" s="242">
        <f t="shared" si="5"/>
        <v>509.89679999999993</v>
      </c>
      <c r="AF31" s="242">
        <f t="shared" si="5"/>
        <v>512.91610000000003</v>
      </c>
      <c r="AG31" s="242">
        <f t="shared" si="5"/>
        <v>521.2826</v>
      </c>
      <c r="AH31" s="242">
        <f t="shared" si="5"/>
        <v>495.7303</v>
      </c>
      <c r="AI31" s="242">
        <f t="shared" si="5"/>
        <v>492</v>
      </c>
      <c r="AJ31" s="242">
        <f t="shared" si="5"/>
        <v>506</v>
      </c>
    </row>
    <row r="32" spans="1:37" ht="18">
      <c r="A32" s="413" t="s">
        <v>1036</v>
      </c>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2"/>
      <c r="AF32" s="422"/>
      <c r="AG32" s="422"/>
      <c r="AH32" s="422"/>
      <c r="AI32" s="422"/>
      <c r="AJ32" s="422"/>
      <c r="AK32" s="423"/>
    </row>
    <row r="33" spans="1:37" ht="18">
      <c r="A33" s="424" t="s">
        <v>1037</v>
      </c>
      <c r="B33" s="419">
        <v>0.28899999999999998</v>
      </c>
      <c r="C33" s="419">
        <v>0</v>
      </c>
      <c r="D33" s="419">
        <v>0.91079999999999983</v>
      </c>
      <c r="E33" s="419">
        <v>1.6171999999999997</v>
      </c>
      <c r="F33" s="419">
        <v>2.4746999999999999</v>
      </c>
      <c r="G33" s="419">
        <v>0.34559999999999996</v>
      </c>
      <c r="H33" s="419">
        <v>1.9300000000000001E-2</v>
      </c>
      <c r="I33" s="419">
        <v>4.2599999999999999E-2</v>
      </c>
      <c r="J33" s="419">
        <v>0</v>
      </c>
      <c r="K33" s="419">
        <v>5.7813999999999997</v>
      </c>
      <c r="L33" s="419">
        <v>17.145499804593623</v>
      </c>
      <c r="M33" s="419">
        <v>5.7598998627662663</v>
      </c>
      <c r="N33" s="419">
        <v>1.9185999999999999</v>
      </c>
      <c r="O33" s="419">
        <v>1.2549999999999999</v>
      </c>
      <c r="P33" s="419">
        <v>0.62190000000000001</v>
      </c>
      <c r="Q33" s="419">
        <v>0.82250000000000001</v>
      </c>
      <c r="R33" s="419">
        <v>0.17</v>
      </c>
      <c r="S33" s="419">
        <v>0.44820000000000004</v>
      </c>
      <c r="T33" s="419">
        <v>0.1406</v>
      </c>
      <c r="U33" s="419">
        <v>8.9999999999999998E-4</v>
      </c>
      <c r="V33" s="419">
        <v>2E-3</v>
      </c>
      <c r="W33" s="419">
        <v>0.01</v>
      </c>
      <c r="X33" s="419">
        <v>15.539479</v>
      </c>
      <c r="Y33" s="419">
        <v>3.5912889999999997</v>
      </c>
      <c r="Z33" s="419">
        <v>0.22440999999999997</v>
      </c>
      <c r="AA33" s="488">
        <v>2.2214</v>
      </c>
      <c r="AB33" s="419">
        <v>26.988170000000004</v>
      </c>
      <c r="AC33" s="419">
        <v>17.467751</v>
      </c>
      <c r="AD33" s="419">
        <v>71.289242000000002</v>
      </c>
      <c r="AE33" s="488">
        <v>6.3652370000000005</v>
      </c>
      <c r="AF33" s="419">
        <v>4.4791799999999995</v>
      </c>
      <c r="AG33" s="419">
        <v>0.30560999999999999</v>
      </c>
      <c r="AH33" s="419">
        <v>0.97619999999999996</v>
      </c>
      <c r="AI33" s="488">
        <v>1</v>
      </c>
      <c r="AJ33" s="419">
        <v>20</v>
      </c>
    </row>
    <row r="34" spans="1:37" ht="18">
      <c r="A34" s="424" t="s">
        <v>1038</v>
      </c>
      <c r="B34" s="419">
        <v>47.324749999999995</v>
      </c>
      <c r="C34" s="419">
        <v>8.6190799999999967</v>
      </c>
      <c r="D34" s="419">
        <v>27.637049999999999</v>
      </c>
      <c r="E34" s="419">
        <v>17.093453</v>
      </c>
      <c r="F34" s="419">
        <v>27.07396</v>
      </c>
      <c r="G34" s="419">
        <v>31.216720000000002</v>
      </c>
      <c r="H34" s="419">
        <v>27.882926999999999</v>
      </c>
      <c r="I34" s="419">
        <v>30.058398</v>
      </c>
      <c r="J34" s="419">
        <v>30.023133000000001</v>
      </c>
      <c r="K34" s="419">
        <v>48.800434000000003</v>
      </c>
      <c r="L34" s="419">
        <v>48.204936000000004</v>
      </c>
      <c r="M34" s="419">
        <v>51.377215000000007</v>
      </c>
      <c r="N34" s="419">
        <v>55.102360999999995</v>
      </c>
      <c r="O34" s="419">
        <v>60.137482999999996</v>
      </c>
      <c r="P34" s="419">
        <v>59.553159000000001</v>
      </c>
      <c r="Q34" s="419">
        <v>56.598629000000003</v>
      </c>
      <c r="R34" s="419">
        <v>53.334753000000006</v>
      </c>
      <c r="S34" s="419">
        <v>56.289464000000002</v>
      </c>
      <c r="T34" s="419">
        <v>54.485284</v>
      </c>
      <c r="U34" s="419">
        <v>58.636000000000003</v>
      </c>
      <c r="V34" s="419">
        <v>45.727400000000003</v>
      </c>
      <c r="W34" s="419">
        <v>49.44</v>
      </c>
      <c r="X34" s="419">
        <v>41.384</v>
      </c>
      <c r="Y34" s="419">
        <v>34.739800000000002</v>
      </c>
      <c r="Z34" s="419">
        <v>41.0062</v>
      </c>
      <c r="AA34" s="488">
        <v>45.465699999999998</v>
      </c>
      <c r="AB34" s="419">
        <v>39.268500000000003</v>
      </c>
      <c r="AC34" s="419">
        <v>33.6449</v>
      </c>
      <c r="AD34" s="419">
        <v>23.169599999999999</v>
      </c>
      <c r="AE34" s="488">
        <v>25.297499999999999</v>
      </c>
      <c r="AF34" s="419">
        <v>26.303900000000002</v>
      </c>
      <c r="AG34" s="419">
        <v>26.771699999999999</v>
      </c>
      <c r="AH34" s="419">
        <v>21.166400000000003</v>
      </c>
      <c r="AI34" s="488">
        <v>20</v>
      </c>
      <c r="AJ34" s="419">
        <v>24</v>
      </c>
    </row>
    <row r="35" spans="1:37" ht="18">
      <c r="A35" s="424" t="s">
        <v>1077</v>
      </c>
      <c r="B35" s="425">
        <f t="shared" ref="B35:AJ35" si="6">0.01*B23</f>
        <v>19.675250000000002</v>
      </c>
      <c r="C35" s="425">
        <f t="shared" si="6"/>
        <v>25.380920000000003</v>
      </c>
      <c r="D35" s="425">
        <f t="shared" si="6"/>
        <v>18.362950000000001</v>
      </c>
      <c r="E35" s="425">
        <f t="shared" si="6"/>
        <v>7.9065469999999998</v>
      </c>
      <c r="F35" s="425">
        <f t="shared" si="6"/>
        <v>9.9260400000000004</v>
      </c>
      <c r="G35" s="425">
        <f t="shared" si="6"/>
        <v>9.7832799999999995</v>
      </c>
      <c r="H35" s="425">
        <f t="shared" si="6"/>
        <v>12.117073000000001</v>
      </c>
      <c r="I35" s="425">
        <f t="shared" si="6"/>
        <v>7.9416019999999996</v>
      </c>
      <c r="J35" s="425">
        <f t="shared" si="6"/>
        <v>14.976867</v>
      </c>
      <c r="K35" s="425">
        <f t="shared" si="6"/>
        <v>14.26346</v>
      </c>
      <c r="L35" s="425">
        <f t="shared" si="6"/>
        <v>15.869339</v>
      </c>
      <c r="M35" s="425">
        <f t="shared" si="6"/>
        <v>12.675567999999998</v>
      </c>
      <c r="N35" s="425">
        <f t="shared" si="6"/>
        <v>15.312961000000001</v>
      </c>
      <c r="O35" s="425">
        <f t="shared" si="6"/>
        <v>13.559251</v>
      </c>
      <c r="P35" s="425">
        <f t="shared" si="6"/>
        <v>20.489491000000005</v>
      </c>
      <c r="Q35" s="425">
        <f t="shared" si="6"/>
        <v>19.434558999999997</v>
      </c>
      <c r="R35" s="425">
        <f t="shared" si="6"/>
        <v>21.052387999999993</v>
      </c>
      <c r="S35" s="425">
        <f t="shared" si="6"/>
        <v>19.226330000000001</v>
      </c>
      <c r="T35" s="425">
        <f t="shared" si="6"/>
        <v>20.331918999999999</v>
      </c>
      <c r="U35" s="425">
        <f t="shared" si="6"/>
        <v>19.909818999999999</v>
      </c>
      <c r="V35" s="425">
        <f t="shared" si="6"/>
        <v>25.299599000000004</v>
      </c>
      <c r="W35" s="425">
        <f t="shared" si="6"/>
        <v>18.899086000000004</v>
      </c>
      <c r="X35" s="425">
        <f t="shared" si="6"/>
        <v>23.133642999999999</v>
      </c>
      <c r="Y35" s="425">
        <f t="shared" si="6"/>
        <v>18.190759</v>
      </c>
      <c r="Z35" s="425">
        <f t="shared" si="6"/>
        <v>14.122778000000004</v>
      </c>
      <c r="AA35" s="425">
        <f t="shared" si="6"/>
        <v>17.026944</v>
      </c>
      <c r="AB35" s="425">
        <f t="shared" si="6"/>
        <v>15.778081</v>
      </c>
      <c r="AC35" s="425">
        <f t="shared" si="6"/>
        <v>19.625989000000001</v>
      </c>
      <c r="AD35" s="425">
        <f t="shared" si="6"/>
        <v>17.707914000000002</v>
      </c>
      <c r="AE35" s="425">
        <f t="shared" si="6"/>
        <v>15.795894999999998</v>
      </c>
      <c r="AF35" s="425">
        <f t="shared" si="6"/>
        <v>12.494492000000001</v>
      </c>
      <c r="AG35" s="425">
        <f t="shared" si="6"/>
        <v>15.052797</v>
      </c>
      <c r="AH35" s="425">
        <f t="shared" si="6"/>
        <v>12.981344</v>
      </c>
      <c r="AI35" s="425">
        <f t="shared" si="6"/>
        <v>12.523983000000001</v>
      </c>
      <c r="AJ35" s="425">
        <f t="shared" si="6"/>
        <v>11.538800000000002</v>
      </c>
    </row>
    <row r="36" spans="1:37" ht="18">
      <c r="A36" s="216" t="s">
        <v>431</v>
      </c>
      <c r="B36" s="313" t="s">
        <v>89</v>
      </c>
      <c r="C36" s="313" t="s">
        <v>89</v>
      </c>
      <c r="D36" s="313">
        <v>46.900200000000041</v>
      </c>
      <c r="E36" s="313" t="s">
        <v>89</v>
      </c>
      <c r="F36" s="313" t="s">
        <v>89</v>
      </c>
      <c r="G36" s="313" t="s">
        <v>89</v>
      </c>
      <c r="H36" s="313" t="s">
        <v>89</v>
      </c>
      <c r="I36" s="313" t="s">
        <v>89</v>
      </c>
      <c r="J36" s="313" t="s">
        <v>89</v>
      </c>
      <c r="K36" s="313" t="s">
        <v>89</v>
      </c>
      <c r="L36" s="313" t="s">
        <v>89</v>
      </c>
      <c r="M36" s="313">
        <v>0.30510913723333033</v>
      </c>
      <c r="N36" s="313">
        <v>48.94081099999994</v>
      </c>
      <c r="O36" s="313" t="s">
        <v>89</v>
      </c>
      <c r="P36" s="313" t="s">
        <v>89</v>
      </c>
      <c r="Q36" s="313" t="s">
        <v>89</v>
      </c>
      <c r="R36" s="313" t="s">
        <v>89</v>
      </c>
      <c r="S36" s="313" t="s">
        <v>89</v>
      </c>
      <c r="T36" s="313" t="s">
        <v>89</v>
      </c>
      <c r="U36" s="313" t="s">
        <v>89</v>
      </c>
      <c r="V36" s="313">
        <v>11.163101000000097</v>
      </c>
      <c r="W36" s="313" t="s">
        <v>89</v>
      </c>
      <c r="X36" s="313" t="s">
        <v>89</v>
      </c>
      <c r="Y36" s="313" t="s">
        <v>89</v>
      </c>
      <c r="Z36" s="313" t="s">
        <v>89</v>
      </c>
      <c r="AA36" s="313"/>
      <c r="AB36" s="313" t="s">
        <v>89</v>
      </c>
      <c r="AC36" s="313" t="s">
        <v>89</v>
      </c>
      <c r="AD36" s="313" t="s">
        <v>89</v>
      </c>
      <c r="AE36" s="313" t="s">
        <v>89</v>
      </c>
      <c r="AF36" s="313" t="s">
        <v>89</v>
      </c>
      <c r="AG36" s="313" t="s">
        <v>89</v>
      </c>
      <c r="AH36" s="313">
        <v>0</v>
      </c>
      <c r="AI36" s="313">
        <v>0</v>
      </c>
      <c r="AJ36" s="313">
        <v>70</v>
      </c>
    </row>
    <row r="37" spans="1:37" ht="18">
      <c r="A37" s="420" t="s">
        <v>1040</v>
      </c>
      <c r="B37" s="242">
        <f>SUM(B33:B36)</f>
        <v>67.289000000000001</v>
      </c>
      <c r="C37" s="242">
        <f t="shared" ref="C37:AJ37" si="7">SUM(C33:C36)</f>
        <v>34</v>
      </c>
      <c r="D37" s="242">
        <f t="shared" si="7"/>
        <v>93.811000000000035</v>
      </c>
      <c r="E37" s="242">
        <f t="shared" si="7"/>
        <v>26.6172</v>
      </c>
      <c r="F37" s="242">
        <f t="shared" si="7"/>
        <v>39.474699999999999</v>
      </c>
      <c r="G37" s="242">
        <f t="shared" si="7"/>
        <v>41.345600000000005</v>
      </c>
      <c r="H37" s="242">
        <f t="shared" si="7"/>
        <v>40.019300000000001</v>
      </c>
      <c r="I37" s="242">
        <f t="shared" si="7"/>
        <v>38.0426</v>
      </c>
      <c r="J37" s="242">
        <f t="shared" si="7"/>
        <v>45</v>
      </c>
      <c r="K37" s="242">
        <f t="shared" si="7"/>
        <v>68.845293999999996</v>
      </c>
      <c r="L37" s="242">
        <f t="shared" si="7"/>
        <v>81.219774804593627</v>
      </c>
      <c r="M37" s="242">
        <f t="shared" si="7"/>
        <v>70.117791999999611</v>
      </c>
      <c r="N37" s="242">
        <f t="shared" si="7"/>
        <v>121.27473299999994</v>
      </c>
      <c r="O37" s="242">
        <f t="shared" si="7"/>
        <v>74.951734000000002</v>
      </c>
      <c r="P37" s="242">
        <f t="shared" si="7"/>
        <v>80.664550000000006</v>
      </c>
      <c r="Q37" s="242">
        <f t="shared" si="7"/>
        <v>76.855688000000001</v>
      </c>
      <c r="R37" s="242">
        <f t="shared" si="7"/>
        <v>74.557141000000001</v>
      </c>
      <c r="S37" s="242">
        <f t="shared" si="7"/>
        <v>75.963994</v>
      </c>
      <c r="T37" s="242">
        <f t="shared" si="7"/>
        <v>74.957802999999998</v>
      </c>
      <c r="U37" s="242">
        <f t="shared" si="7"/>
        <v>78.546718999999996</v>
      </c>
      <c r="V37" s="242">
        <f t="shared" si="7"/>
        <v>82.19210000000011</v>
      </c>
      <c r="W37" s="242">
        <f t="shared" si="7"/>
        <v>68.349086</v>
      </c>
      <c r="X37" s="242">
        <f t="shared" si="7"/>
        <v>80.057121999999993</v>
      </c>
      <c r="Y37" s="242">
        <f t="shared" si="7"/>
        <v>56.521848000000006</v>
      </c>
      <c r="Z37" s="242">
        <f t="shared" si="7"/>
        <v>55.353388000000002</v>
      </c>
      <c r="AA37" s="242">
        <f t="shared" si="7"/>
        <v>64.714044000000001</v>
      </c>
      <c r="AB37" s="242">
        <f t="shared" si="7"/>
        <v>82.034751000000014</v>
      </c>
      <c r="AC37" s="242">
        <f t="shared" si="7"/>
        <v>70.738640000000004</v>
      </c>
      <c r="AD37" s="242">
        <f t="shared" si="7"/>
        <v>112.16675600000001</v>
      </c>
      <c r="AE37" s="242">
        <f t="shared" si="7"/>
        <v>47.458631999999994</v>
      </c>
      <c r="AF37" s="242">
        <f t="shared" si="7"/>
        <v>43.277572000000006</v>
      </c>
      <c r="AG37" s="242">
        <f t="shared" si="7"/>
        <v>42.130107000000002</v>
      </c>
      <c r="AH37" s="242">
        <f t="shared" si="7"/>
        <v>35.123944000000002</v>
      </c>
      <c r="AI37" s="242">
        <f t="shared" si="7"/>
        <v>33.523983000000001</v>
      </c>
      <c r="AJ37" s="242">
        <f t="shared" si="7"/>
        <v>125.53880000000001</v>
      </c>
    </row>
    <row r="38" spans="1:37" ht="18">
      <c r="A38" s="426" t="s">
        <v>1041</v>
      </c>
      <c r="B38" s="326">
        <f>B37+B31</f>
        <v>596.28899999999999</v>
      </c>
      <c r="C38" s="326">
        <f t="shared" ref="C38:AJ38" si="8">C37+C31</f>
        <v>548</v>
      </c>
      <c r="D38" s="326">
        <f t="shared" si="8"/>
        <v>608.81100000000004</v>
      </c>
      <c r="E38" s="326">
        <f t="shared" si="8"/>
        <v>558.61720000000003</v>
      </c>
      <c r="F38" s="326">
        <f t="shared" si="8"/>
        <v>549.47469999999998</v>
      </c>
      <c r="G38" s="326">
        <f t="shared" si="8"/>
        <v>570.34559999999999</v>
      </c>
      <c r="H38" s="326">
        <f t="shared" si="8"/>
        <v>567.01930000000004</v>
      </c>
      <c r="I38" s="326">
        <f t="shared" si="8"/>
        <v>542.04259999999999</v>
      </c>
      <c r="J38" s="326">
        <f t="shared" si="8"/>
        <v>541</v>
      </c>
      <c r="K38" s="326">
        <f t="shared" si="8"/>
        <v>551.84529399999997</v>
      </c>
      <c r="L38" s="326">
        <f t="shared" si="8"/>
        <v>578.21977480459361</v>
      </c>
      <c r="M38" s="326">
        <f t="shared" si="8"/>
        <v>598.11779199999955</v>
      </c>
      <c r="N38" s="326">
        <f t="shared" si="8"/>
        <v>608.27473299999997</v>
      </c>
      <c r="O38" s="326">
        <f t="shared" si="8"/>
        <v>572.95173399999999</v>
      </c>
      <c r="P38" s="326">
        <f t="shared" si="8"/>
        <v>598.66454999999996</v>
      </c>
      <c r="Q38" s="326">
        <f t="shared" si="8"/>
        <v>565.49418799999989</v>
      </c>
      <c r="R38" s="326">
        <f t="shared" si="8"/>
        <v>600.22349099999985</v>
      </c>
      <c r="S38" s="326">
        <f t="shared" si="8"/>
        <v>613.97979400000008</v>
      </c>
      <c r="T38" s="326">
        <f t="shared" si="8"/>
        <v>590.68185300000016</v>
      </c>
      <c r="U38" s="326">
        <f t="shared" si="8"/>
        <v>579.15566899999999</v>
      </c>
      <c r="V38" s="326">
        <f t="shared" si="8"/>
        <v>586.22395000000006</v>
      </c>
      <c r="W38" s="326">
        <f t="shared" si="8"/>
        <v>556.78233599999999</v>
      </c>
      <c r="X38" s="326">
        <f t="shared" si="8"/>
        <v>557.07722200000012</v>
      </c>
      <c r="Y38" s="326">
        <f t="shared" si="8"/>
        <v>543.51249799999982</v>
      </c>
      <c r="Z38" s="326">
        <f t="shared" si="8"/>
        <v>550.23223800000017</v>
      </c>
      <c r="AA38" s="326">
        <f t="shared" si="8"/>
        <v>542.85484400000007</v>
      </c>
      <c r="AB38" s="326">
        <f t="shared" si="8"/>
        <v>568.3387009999999</v>
      </c>
      <c r="AC38" s="326">
        <f t="shared" si="8"/>
        <v>551.77208999999993</v>
      </c>
      <c r="AD38" s="326">
        <f t="shared" si="8"/>
        <v>607.47340600000007</v>
      </c>
      <c r="AE38" s="326">
        <f t="shared" si="8"/>
        <v>557.35543199999995</v>
      </c>
      <c r="AF38" s="326">
        <f t="shared" si="8"/>
        <v>556.19367199999999</v>
      </c>
      <c r="AG38" s="326">
        <f t="shared" si="8"/>
        <v>563.41270699999995</v>
      </c>
      <c r="AH38" s="326">
        <f t="shared" si="8"/>
        <v>530.85424399999999</v>
      </c>
      <c r="AI38" s="326">
        <f t="shared" si="8"/>
        <v>525.52398300000004</v>
      </c>
      <c r="AJ38" s="326">
        <f t="shared" si="8"/>
        <v>631.53880000000004</v>
      </c>
    </row>
    <row r="39" spans="1:37" ht="18">
      <c r="A39" s="413" t="s">
        <v>1042</v>
      </c>
      <c r="B39" s="368"/>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427"/>
      <c r="AF39" s="427"/>
      <c r="AG39" s="427"/>
      <c r="AH39" s="427"/>
      <c r="AI39" s="427"/>
      <c r="AJ39" s="427"/>
      <c r="AK39" s="428"/>
    </row>
    <row r="40" spans="1:37" ht="18">
      <c r="A40" s="429" t="s">
        <v>1065</v>
      </c>
      <c r="B40" s="430">
        <v>811</v>
      </c>
      <c r="C40" s="430">
        <v>1324</v>
      </c>
      <c r="D40" s="430">
        <v>992</v>
      </c>
      <c r="E40" s="430">
        <v>283</v>
      </c>
      <c r="F40" s="430">
        <v>517</v>
      </c>
      <c r="G40" s="430">
        <v>572</v>
      </c>
      <c r="H40" s="430">
        <v>795</v>
      </c>
      <c r="I40" s="430">
        <v>388</v>
      </c>
      <c r="J40" s="430">
        <v>1025</v>
      </c>
      <c r="K40" s="430">
        <v>866.82</v>
      </c>
      <c r="L40" s="430">
        <v>1193.0193400000001</v>
      </c>
      <c r="M40" s="430">
        <v>704.63269100000025</v>
      </c>
      <c r="N40" s="430">
        <v>667.02968600000008</v>
      </c>
      <c r="O40" s="430">
        <v>529.82237900000007</v>
      </c>
      <c r="P40" s="430">
        <v>594.44381299999998</v>
      </c>
      <c r="Q40" s="430">
        <v>470.87119999999999</v>
      </c>
      <c r="R40" s="430">
        <v>714.31370000000004</v>
      </c>
      <c r="S40" s="430">
        <v>745.2903</v>
      </c>
      <c r="T40" s="430">
        <v>1050.2915</v>
      </c>
      <c r="U40" s="430">
        <v>719.85050000000001</v>
      </c>
      <c r="V40" s="430">
        <v>792.2056</v>
      </c>
      <c r="W40" s="430">
        <v>697.90449999999998</v>
      </c>
      <c r="X40" s="430">
        <v>1006.4475</v>
      </c>
      <c r="Y40" s="430">
        <v>1023.0033</v>
      </c>
      <c r="Z40" s="430">
        <v>953.74160000000006</v>
      </c>
      <c r="AA40" s="430">
        <v>718.37149999999986</v>
      </c>
      <c r="AB40" s="430">
        <v>832.92390000000012</v>
      </c>
      <c r="AC40" s="430">
        <v>1349.2099000000001</v>
      </c>
      <c r="AD40" s="430">
        <v>1186.5608999999999</v>
      </c>
      <c r="AE40" s="430">
        <v>1143.5128000000002</v>
      </c>
      <c r="AF40" s="430">
        <v>665.77650000000017</v>
      </c>
      <c r="AG40" s="430">
        <v>990.10730000000001</v>
      </c>
      <c r="AH40" s="430">
        <v>798.48560000000009</v>
      </c>
      <c r="AI40" s="430">
        <v>853</v>
      </c>
      <c r="AJ40" s="430">
        <v>560</v>
      </c>
    </row>
    <row r="41" spans="1:37" ht="18">
      <c r="A41" s="171" t="s">
        <v>1044</v>
      </c>
      <c r="B41" s="430">
        <v>494</v>
      </c>
      <c r="C41" s="430">
        <v>474</v>
      </c>
      <c r="D41" s="430">
        <v>432</v>
      </c>
      <c r="E41" s="430">
        <v>6</v>
      </c>
      <c r="F41" s="430">
        <v>146</v>
      </c>
      <c r="G41" s="430">
        <v>64</v>
      </c>
      <c r="H41" s="430">
        <v>55</v>
      </c>
      <c r="I41" s="430">
        <v>11</v>
      </c>
      <c r="J41" s="430">
        <v>33</v>
      </c>
      <c r="K41" s="430">
        <v>74.781599999999997</v>
      </c>
      <c r="L41" s="430">
        <v>81.376527999999979</v>
      </c>
      <c r="M41" s="430">
        <v>14.177990000000001</v>
      </c>
      <c r="N41" s="430">
        <v>92.063385000000011</v>
      </c>
      <c r="O41" s="430">
        <v>263.853882</v>
      </c>
      <c r="P41" s="430">
        <v>881.42844300000002</v>
      </c>
      <c r="Q41" s="430">
        <v>737.7192</v>
      </c>
      <c r="R41" s="430">
        <v>687.59460000000001</v>
      </c>
      <c r="S41" s="430">
        <v>414.57219999999995</v>
      </c>
      <c r="T41" s="430">
        <v>531.99739999999997</v>
      </c>
      <c r="U41" s="430">
        <v>570.60209999999995</v>
      </c>
      <c r="V41" s="430">
        <v>1136.9984999999999</v>
      </c>
      <c r="W41" s="430">
        <v>856.91710000000012</v>
      </c>
      <c r="X41" s="430">
        <v>590.81200000000001</v>
      </c>
      <c r="Y41" s="430">
        <v>437.11939999999998</v>
      </c>
      <c r="Z41" s="430">
        <v>317.64859999999999</v>
      </c>
      <c r="AA41" s="430">
        <v>500.38669999999996</v>
      </c>
      <c r="AB41" s="430">
        <v>208.56660000000002</v>
      </c>
      <c r="AC41" s="430">
        <v>307.48849999999999</v>
      </c>
      <c r="AD41" s="430">
        <v>254.2062</v>
      </c>
      <c r="AE41" s="430">
        <v>308.89280000000002</v>
      </c>
      <c r="AF41" s="430">
        <v>165.55260000000004</v>
      </c>
      <c r="AG41" s="430">
        <v>94.211899999999986</v>
      </c>
      <c r="AH41" s="430">
        <v>121.06319999999995</v>
      </c>
      <c r="AI41" s="430">
        <v>139</v>
      </c>
      <c r="AJ41" s="430">
        <v>60</v>
      </c>
    </row>
    <row r="42" spans="1:37" ht="18">
      <c r="A42" s="420" t="s">
        <v>1046</v>
      </c>
      <c r="B42" s="431">
        <f>B41+B40</f>
        <v>1305</v>
      </c>
      <c r="C42" s="431">
        <f t="shared" ref="C42:AJ42" si="9">C41+C40</f>
        <v>1798</v>
      </c>
      <c r="D42" s="431">
        <f t="shared" si="9"/>
        <v>1424</v>
      </c>
      <c r="E42" s="431">
        <f t="shared" si="9"/>
        <v>289</v>
      </c>
      <c r="F42" s="431">
        <f t="shared" si="9"/>
        <v>663</v>
      </c>
      <c r="G42" s="431">
        <f t="shared" si="9"/>
        <v>636</v>
      </c>
      <c r="H42" s="431">
        <f t="shared" si="9"/>
        <v>850</v>
      </c>
      <c r="I42" s="431">
        <f t="shared" si="9"/>
        <v>399</v>
      </c>
      <c r="J42" s="431">
        <f t="shared" si="9"/>
        <v>1058</v>
      </c>
      <c r="K42" s="431">
        <f t="shared" si="9"/>
        <v>941.60160000000008</v>
      </c>
      <c r="L42" s="431">
        <f t="shared" si="9"/>
        <v>1274.3958680000001</v>
      </c>
      <c r="M42" s="431">
        <f t="shared" si="9"/>
        <v>718.81068100000027</v>
      </c>
      <c r="N42" s="431">
        <f t="shared" si="9"/>
        <v>759.09307100000012</v>
      </c>
      <c r="O42" s="431">
        <f t="shared" si="9"/>
        <v>793.67626100000007</v>
      </c>
      <c r="P42" s="431">
        <f t="shared" si="9"/>
        <v>1475.8722560000001</v>
      </c>
      <c r="Q42" s="431">
        <f t="shared" si="9"/>
        <v>1208.5904</v>
      </c>
      <c r="R42" s="431">
        <f t="shared" si="9"/>
        <v>1401.9083000000001</v>
      </c>
      <c r="S42" s="431">
        <f t="shared" si="9"/>
        <v>1159.8625</v>
      </c>
      <c r="T42" s="431">
        <f t="shared" si="9"/>
        <v>1582.2889</v>
      </c>
      <c r="U42" s="431">
        <f t="shared" si="9"/>
        <v>1290.4526000000001</v>
      </c>
      <c r="V42" s="431">
        <f t="shared" si="9"/>
        <v>1929.2040999999999</v>
      </c>
      <c r="W42" s="431">
        <f t="shared" si="9"/>
        <v>1554.8216000000002</v>
      </c>
      <c r="X42" s="431">
        <f t="shared" si="9"/>
        <v>1597.2595000000001</v>
      </c>
      <c r="Y42" s="431">
        <f t="shared" si="9"/>
        <v>1460.1226999999999</v>
      </c>
      <c r="Z42" s="431">
        <f t="shared" si="9"/>
        <v>1271.3902</v>
      </c>
      <c r="AA42" s="504">
        <f t="shared" si="9"/>
        <v>1218.7581999999998</v>
      </c>
      <c r="AB42" s="431">
        <f t="shared" si="9"/>
        <v>1041.4905000000001</v>
      </c>
      <c r="AC42" s="431">
        <f t="shared" si="9"/>
        <v>1656.6984</v>
      </c>
      <c r="AD42" s="431">
        <f t="shared" si="9"/>
        <v>1440.7671</v>
      </c>
      <c r="AE42" s="504">
        <f t="shared" si="9"/>
        <v>1452.4056000000003</v>
      </c>
      <c r="AF42" s="431">
        <f t="shared" si="9"/>
        <v>831.32910000000015</v>
      </c>
      <c r="AG42" s="431">
        <f t="shared" si="9"/>
        <v>1084.3191999999999</v>
      </c>
      <c r="AH42" s="431">
        <f t="shared" si="9"/>
        <v>919.54880000000003</v>
      </c>
      <c r="AI42" s="504">
        <f t="shared" si="9"/>
        <v>992</v>
      </c>
      <c r="AJ42" s="431">
        <f t="shared" si="9"/>
        <v>620</v>
      </c>
    </row>
    <row r="43" spans="1:37" ht="18">
      <c r="A43" s="413" t="s">
        <v>1089</v>
      </c>
      <c r="B43" s="432"/>
      <c r="C43" s="432"/>
      <c r="D43" s="432"/>
      <c r="E43" s="432"/>
      <c r="F43" s="432"/>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432"/>
      <c r="AE43" s="433"/>
      <c r="AF43" s="433"/>
      <c r="AG43" s="433"/>
      <c r="AH43" s="433"/>
      <c r="AI43" s="433"/>
      <c r="AJ43" s="433"/>
    </row>
    <row r="44" spans="1:37" ht="18">
      <c r="A44" s="420" t="s">
        <v>1079</v>
      </c>
      <c r="B44" s="419">
        <v>76</v>
      </c>
      <c r="C44" s="419">
        <v>70</v>
      </c>
      <c r="D44" s="419">
        <v>89</v>
      </c>
      <c r="E44" s="419">
        <v>80</v>
      </c>
      <c r="F44" s="419">
        <v>124</v>
      </c>
      <c r="G44" s="419">
        <v>102</v>
      </c>
      <c r="H44" s="419">
        <v>120</v>
      </c>
      <c r="I44" s="419">
        <v>120</v>
      </c>
      <c r="J44" s="419">
        <v>121</v>
      </c>
      <c r="K44" s="419">
        <v>155.9</v>
      </c>
      <c r="L44" s="419">
        <v>186.6</v>
      </c>
      <c r="M44" s="419">
        <v>174.1</v>
      </c>
      <c r="N44" s="419">
        <v>212.2</v>
      </c>
      <c r="O44" s="419">
        <v>193.14236000000002</v>
      </c>
      <c r="P44" s="419">
        <v>198.63096400000001</v>
      </c>
      <c r="Q44" s="419">
        <v>209.2944</v>
      </c>
      <c r="R44" s="419">
        <v>212.87205000000003</v>
      </c>
      <c r="S44" s="419">
        <v>183.70950000000002</v>
      </c>
      <c r="T44" s="419">
        <v>156.15794999999997</v>
      </c>
      <c r="U44" s="419">
        <v>137.27324999999999</v>
      </c>
      <c r="V44" s="419">
        <v>157.03964999999999</v>
      </c>
      <c r="W44" s="419">
        <v>153.53595000000001</v>
      </c>
      <c r="X44" s="419">
        <v>148.63200000000003</v>
      </c>
      <c r="Y44" s="419">
        <v>128.68395000000001</v>
      </c>
      <c r="Z44" s="419">
        <v>122.31794999999998</v>
      </c>
      <c r="AA44" s="488">
        <v>126.6276</v>
      </c>
      <c r="AB44" s="419">
        <v>104.75265</v>
      </c>
      <c r="AC44" s="419">
        <v>101.82225000000001</v>
      </c>
      <c r="AD44" s="419">
        <v>96.175350000000009</v>
      </c>
      <c r="AE44" s="488">
        <v>118.62359999999998</v>
      </c>
      <c r="AF44" s="419">
        <v>108.13020000000002</v>
      </c>
      <c r="AG44" s="419">
        <v>105.40604499999999</v>
      </c>
      <c r="AH44" s="419">
        <v>92.805737999999991</v>
      </c>
      <c r="AI44" s="488">
        <v>95</v>
      </c>
      <c r="AJ44" s="419">
        <v>100</v>
      </c>
    </row>
    <row r="45" spans="1:37" ht="18">
      <c r="A45" s="426" t="s">
        <v>1051</v>
      </c>
      <c r="B45" s="326">
        <f>B44+B42</f>
        <v>1381</v>
      </c>
      <c r="C45" s="326">
        <f t="shared" ref="C45:AJ45" si="10">C44+C42</f>
        <v>1868</v>
      </c>
      <c r="D45" s="326">
        <f t="shared" si="10"/>
        <v>1513</v>
      </c>
      <c r="E45" s="326">
        <f t="shared" si="10"/>
        <v>369</v>
      </c>
      <c r="F45" s="326">
        <f t="shared" si="10"/>
        <v>787</v>
      </c>
      <c r="G45" s="326">
        <f t="shared" si="10"/>
        <v>738</v>
      </c>
      <c r="H45" s="326">
        <f t="shared" si="10"/>
        <v>970</v>
      </c>
      <c r="I45" s="326">
        <f t="shared" si="10"/>
        <v>519</v>
      </c>
      <c r="J45" s="326">
        <f t="shared" si="10"/>
        <v>1179</v>
      </c>
      <c r="K45" s="326">
        <f t="shared" si="10"/>
        <v>1097.5016000000001</v>
      </c>
      <c r="L45" s="326">
        <f t="shared" si="10"/>
        <v>1460.995868</v>
      </c>
      <c r="M45" s="326">
        <f t="shared" si="10"/>
        <v>892.9106810000003</v>
      </c>
      <c r="N45" s="326">
        <f t="shared" si="10"/>
        <v>971.29307100000005</v>
      </c>
      <c r="O45" s="326">
        <f t="shared" si="10"/>
        <v>986.81862100000012</v>
      </c>
      <c r="P45" s="326">
        <f t="shared" si="10"/>
        <v>1674.5032200000001</v>
      </c>
      <c r="Q45" s="326">
        <f t="shared" si="10"/>
        <v>1417.8848</v>
      </c>
      <c r="R45" s="326">
        <f t="shared" si="10"/>
        <v>1614.78035</v>
      </c>
      <c r="S45" s="326">
        <f t="shared" si="10"/>
        <v>1343.5719999999999</v>
      </c>
      <c r="T45" s="326">
        <f t="shared" si="10"/>
        <v>1738.44685</v>
      </c>
      <c r="U45" s="326">
        <f t="shared" si="10"/>
        <v>1427.72585</v>
      </c>
      <c r="V45" s="326">
        <f t="shared" si="10"/>
        <v>2086.2437500000001</v>
      </c>
      <c r="W45" s="326">
        <f t="shared" si="10"/>
        <v>1708.3575500000002</v>
      </c>
      <c r="X45" s="326">
        <f t="shared" si="10"/>
        <v>1745.8915000000002</v>
      </c>
      <c r="Y45" s="326">
        <f t="shared" si="10"/>
        <v>1588.80665</v>
      </c>
      <c r="Z45" s="326">
        <f t="shared" si="10"/>
        <v>1393.7081499999999</v>
      </c>
      <c r="AA45" s="326">
        <f t="shared" si="10"/>
        <v>1345.3857999999998</v>
      </c>
      <c r="AB45" s="326">
        <f t="shared" si="10"/>
        <v>1146.24315</v>
      </c>
      <c r="AC45" s="326">
        <f t="shared" si="10"/>
        <v>1758.5206499999999</v>
      </c>
      <c r="AD45" s="326">
        <f t="shared" si="10"/>
        <v>1536.94245</v>
      </c>
      <c r="AE45" s="326">
        <f t="shared" si="10"/>
        <v>1571.0292000000002</v>
      </c>
      <c r="AF45" s="326">
        <f t="shared" si="10"/>
        <v>939.45930000000021</v>
      </c>
      <c r="AG45" s="326">
        <f t="shared" si="10"/>
        <v>1189.7252449999999</v>
      </c>
      <c r="AH45" s="326">
        <f t="shared" si="10"/>
        <v>1012.354538</v>
      </c>
      <c r="AI45" s="326">
        <f t="shared" si="10"/>
        <v>1087</v>
      </c>
      <c r="AJ45" s="326">
        <f t="shared" si="10"/>
        <v>720</v>
      </c>
    </row>
    <row r="46" spans="1:37" thickBot="1">
      <c r="A46" s="434" t="s">
        <v>1052</v>
      </c>
      <c r="B46" s="335">
        <f>B45+B38</f>
        <v>1977.289</v>
      </c>
      <c r="C46" s="335">
        <f t="shared" ref="C46:AJ46" si="11">C45+C38</f>
        <v>2416</v>
      </c>
      <c r="D46" s="335">
        <f t="shared" si="11"/>
        <v>2121.8110000000001</v>
      </c>
      <c r="E46" s="335">
        <f t="shared" si="11"/>
        <v>927.61720000000003</v>
      </c>
      <c r="F46" s="335">
        <f t="shared" si="11"/>
        <v>1336.4747</v>
      </c>
      <c r="G46" s="335">
        <f t="shared" si="11"/>
        <v>1308.3456000000001</v>
      </c>
      <c r="H46" s="335">
        <f t="shared" si="11"/>
        <v>1537.0192999999999</v>
      </c>
      <c r="I46" s="335">
        <f t="shared" si="11"/>
        <v>1061.0426</v>
      </c>
      <c r="J46" s="335">
        <f t="shared" si="11"/>
        <v>1720</v>
      </c>
      <c r="K46" s="335">
        <f t="shared" si="11"/>
        <v>1649.346894</v>
      </c>
      <c r="L46" s="335">
        <f t="shared" si="11"/>
        <v>2039.2156428045937</v>
      </c>
      <c r="M46" s="335">
        <f t="shared" si="11"/>
        <v>1491.0284729999998</v>
      </c>
      <c r="N46" s="335">
        <f t="shared" si="11"/>
        <v>1579.567804</v>
      </c>
      <c r="O46" s="335">
        <f t="shared" si="11"/>
        <v>1559.7703550000001</v>
      </c>
      <c r="P46" s="335">
        <f t="shared" si="11"/>
        <v>2273.16777</v>
      </c>
      <c r="Q46" s="335">
        <f t="shared" si="11"/>
        <v>1983.3789879999999</v>
      </c>
      <c r="R46" s="335">
        <f t="shared" si="11"/>
        <v>2215.0038409999997</v>
      </c>
      <c r="S46" s="335">
        <f t="shared" si="11"/>
        <v>1957.551794</v>
      </c>
      <c r="T46" s="335">
        <f t="shared" si="11"/>
        <v>2329.1287030000003</v>
      </c>
      <c r="U46" s="335">
        <f t="shared" si="11"/>
        <v>2006.881519</v>
      </c>
      <c r="V46" s="335">
        <f t="shared" si="11"/>
        <v>2672.4677000000001</v>
      </c>
      <c r="W46" s="335">
        <f t="shared" si="11"/>
        <v>2265.1398859999999</v>
      </c>
      <c r="X46" s="335">
        <f t="shared" si="11"/>
        <v>2302.9687220000005</v>
      </c>
      <c r="Y46" s="335">
        <f t="shared" si="11"/>
        <v>2132.3191479999996</v>
      </c>
      <c r="Z46" s="335">
        <f t="shared" si="11"/>
        <v>1943.940388</v>
      </c>
      <c r="AA46" s="335">
        <f t="shared" si="11"/>
        <v>1888.240644</v>
      </c>
      <c r="AB46" s="335">
        <f t="shared" si="11"/>
        <v>1714.5818509999999</v>
      </c>
      <c r="AC46" s="335">
        <f t="shared" si="11"/>
        <v>2310.2927399999999</v>
      </c>
      <c r="AD46" s="335">
        <f t="shared" si="11"/>
        <v>2144.4158560000001</v>
      </c>
      <c r="AE46" s="335">
        <f t="shared" si="11"/>
        <v>2128.3846320000002</v>
      </c>
      <c r="AF46" s="335">
        <f t="shared" si="11"/>
        <v>1495.6529720000003</v>
      </c>
      <c r="AG46" s="335">
        <f t="shared" si="11"/>
        <v>1753.1379519999998</v>
      </c>
      <c r="AH46" s="335">
        <f t="shared" si="11"/>
        <v>1543.2087820000002</v>
      </c>
      <c r="AI46" s="335">
        <f t="shared" si="11"/>
        <v>1612.523983</v>
      </c>
      <c r="AJ46" s="335">
        <f t="shared" si="11"/>
        <v>1351.5388</v>
      </c>
    </row>
    <row r="47" spans="1:37" thickTop="1">
      <c r="A47" s="435"/>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row>
    <row r="48" spans="1:37">
      <c r="A48" s="436" t="s">
        <v>1053</v>
      </c>
      <c r="B48" s="437">
        <f>SUM(B49:B54)</f>
        <v>139.77000000000001</v>
      </c>
      <c r="C48" s="437">
        <f t="shared" ref="C48:AI48" si="12">SUM(C49:C54)</f>
        <v>353.33300000000003</v>
      </c>
      <c r="D48" s="437">
        <f t="shared" si="12"/>
        <v>76.817000000000007</v>
      </c>
      <c r="E48" s="437">
        <f t="shared" si="12"/>
        <v>214.911</v>
      </c>
      <c r="F48" s="437">
        <f t="shared" si="12"/>
        <v>104</v>
      </c>
      <c r="G48" s="437">
        <f t="shared" si="12"/>
        <v>48.000000000000007</v>
      </c>
      <c r="H48" s="437">
        <f t="shared" si="12"/>
        <v>67</v>
      </c>
      <c r="I48" s="437">
        <f t="shared" si="12"/>
        <v>109</v>
      </c>
      <c r="J48" s="437">
        <f t="shared" si="12"/>
        <v>80</v>
      </c>
      <c r="K48" s="437">
        <f t="shared" si="12"/>
        <v>121</v>
      </c>
      <c r="L48" s="437">
        <f t="shared" si="12"/>
        <v>105.416</v>
      </c>
      <c r="M48" s="437">
        <f t="shared" si="12"/>
        <v>106</v>
      </c>
      <c r="N48" s="437">
        <f t="shared" si="12"/>
        <v>135</v>
      </c>
      <c r="O48" s="437">
        <f t="shared" si="12"/>
        <v>142</v>
      </c>
      <c r="P48" s="437">
        <f t="shared" si="12"/>
        <v>91</v>
      </c>
      <c r="Q48" s="437">
        <f t="shared" si="12"/>
        <v>162</v>
      </c>
      <c r="R48" s="437">
        <f t="shared" si="12"/>
        <v>120</v>
      </c>
      <c r="S48" s="437">
        <f t="shared" si="12"/>
        <v>242</v>
      </c>
      <c r="T48" s="437">
        <f t="shared" si="12"/>
        <v>144</v>
      </c>
      <c r="U48" s="437">
        <f t="shared" si="12"/>
        <v>326</v>
      </c>
      <c r="V48" s="437">
        <f t="shared" si="12"/>
        <v>305</v>
      </c>
      <c r="W48" s="437">
        <f t="shared" si="12"/>
        <v>153.2516</v>
      </c>
      <c r="X48" s="437">
        <f t="shared" si="12"/>
        <v>273.751015</v>
      </c>
      <c r="Y48" s="437">
        <f t="shared" si="12"/>
        <v>97.503949999999989</v>
      </c>
      <c r="Z48" s="437">
        <f t="shared" si="12"/>
        <v>87.748200000000011</v>
      </c>
      <c r="AA48" s="437">
        <f t="shared" si="12"/>
        <v>165.31040000000002</v>
      </c>
      <c r="AB48" s="437">
        <f t="shared" si="12"/>
        <v>297.59663</v>
      </c>
      <c r="AC48" s="437">
        <f t="shared" si="12"/>
        <v>397.48230000000001</v>
      </c>
      <c r="AD48" s="437">
        <f t="shared" si="12"/>
        <v>352.332561</v>
      </c>
      <c r="AE48" s="437">
        <f t="shared" si="12"/>
        <v>188.2783</v>
      </c>
      <c r="AF48" s="437">
        <f t="shared" si="12"/>
        <v>154.67040900000001</v>
      </c>
      <c r="AG48" s="437">
        <f t="shared" si="12"/>
        <v>147.37049999999999</v>
      </c>
      <c r="AH48" s="437">
        <f t="shared" si="12"/>
        <v>162.37979999999999</v>
      </c>
      <c r="AI48" s="437">
        <f t="shared" si="12"/>
        <v>139.55866</v>
      </c>
      <c r="AJ48" s="340">
        <f>AJ26-AJ46</f>
        <v>106.89985999999999</v>
      </c>
    </row>
    <row r="49" spans="1:36" ht="18">
      <c r="A49" s="271" t="s">
        <v>1054</v>
      </c>
      <c r="B49" s="438">
        <v>44.381999999999998</v>
      </c>
      <c r="C49" s="438">
        <v>37.124000000000002</v>
      </c>
      <c r="D49" s="438">
        <v>8.5337999999999994</v>
      </c>
      <c r="E49" s="438">
        <v>163.7945</v>
      </c>
      <c r="F49" s="438">
        <v>72.255300000000005</v>
      </c>
      <c r="G49" s="438">
        <v>16.3704</v>
      </c>
      <c r="H49" s="438">
        <v>32.933699999999995</v>
      </c>
      <c r="I49" s="438">
        <v>74.740600000000001</v>
      </c>
      <c r="J49" s="438">
        <v>50.576000000000001</v>
      </c>
      <c r="K49" s="438">
        <v>97.987300000000005</v>
      </c>
      <c r="L49" s="438">
        <v>67.543399999999991</v>
      </c>
      <c r="M49" s="438">
        <v>67.543399999999991</v>
      </c>
      <c r="N49" s="438">
        <v>103.3781</v>
      </c>
      <c r="O49" s="438">
        <v>74.520300000000006</v>
      </c>
      <c r="P49" s="438">
        <v>51.6693</v>
      </c>
      <c r="Q49" s="438">
        <v>92.278499999999994</v>
      </c>
      <c r="R49" s="438">
        <v>78.006399999999999</v>
      </c>
      <c r="S49" s="438">
        <v>158.3887</v>
      </c>
      <c r="T49" s="438">
        <v>73.001899999999992</v>
      </c>
      <c r="U49" s="438">
        <v>253.6645</v>
      </c>
      <c r="V49" s="438">
        <v>235.62039999999999</v>
      </c>
      <c r="W49" s="438">
        <v>125.2466</v>
      </c>
      <c r="X49" s="438">
        <v>210.4888</v>
      </c>
      <c r="Y49" s="438">
        <v>62.119299999999996</v>
      </c>
      <c r="Z49" s="490">
        <v>61.9788</v>
      </c>
      <c r="AA49" s="490">
        <v>124.44090000000001</v>
      </c>
      <c r="AB49" s="438">
        <v>244.17319999999998</v>
      </c>
      <c r="AC49" s="438">
        <v>341.52479999999997</v>
      </c>
      <c r="AD49" s="490">
        <v>270.15610000000004</v>
      </c>
      <c r="AE49" s="490">
        <v>109.85579999999999</v>
      </c>
      <c r="AF49" s="438">
        <v>90.654900000000012</v>
      </c>
      <c r="AG49" s="438">
        <v>109.51819999999999</v>
      </c>
      <c r="AH49" s="490">
        <v>111.6108</v>
      </c>
      <c r="AI49" s="490">
        <v>90.578100000000006</v>
      </c>
      <c r="AJ49" s="439"/>
    </row>
    <row r="50" spans="1:36" ht="18">
      <c r="A50" s="271" t="s">
        <v>1055</v>
      </c>
      <c r="B50" s="438">
        <v>0</v>
      </c>
      <c r="C50" s="438">
        <v>0</v>
      </c>
      <c r="D50" s="438">
        <v>0</v>
      </c>
      <c r="E50" s="440"/>
      <c r="F50" s="440"/>
      <c r="G50" s="440"/>
      <c r="H50" s="440"/>
      <c r="I50" s="440"/>
      <c r="J50" s="440"/>
      <c r="K50" s="438">
        <v>7.9000000000000001E-2</v>
      </c>
      <c r="L50" s="438">
        <v>7.0000000000000001E-3</v>
      </c>
      <c r="M50" s="438">
        <v>1.5704</v>
      </c>
      <c r="N50" s="438">
        <v>1.8600000000000002E-2</v>
      </c>
      <c r="O50" s="438">
        <v>0.21509999999999999</v>
      </c>
      <c r="P50" s="438">
        <v>2.1600000000000001E-2</v>
      </c>
      <c r="Q50" s="438">
        <v>2.4500000000000001E-2</v>
      </c>
      <c r="R50" s="438">
        <v>1.9399999999999997E-2</v>
      </c>
      <c r="S50" s="438">
        <v>5.2999999999999999E-2</v>
      </c>
      <c r="T50" s="438">
        <v>2.81E-2</v>
      </c>
      <c r="U50" s="438">
        <v>2.7199999999999998E-2</v>
      </c>
      <c r="V50" s="438">
        <v>2.52E-2</v>
      </c>
      <c r="W50" s="438">
        <v>2.52E-2</v>
      </c>
      <c r="X50" s="438">
        <v>0.91791499999999993</v>
      </c>
      <c r="Y50" s="438">
        <v>7.4150000000000008E-2</v>
      </c>
      <c r="Z50" s="438">
        <v>4.5899999999999996E-2</v>
      </c>
      <c r="AA50" s="438">
        <v>1.24E-2</v>
      </c>
      <c r="AB50" s="438">
        <v>0.65383000000000002</v>
      </c>
      <c r="AC50" s="438">
        <v>8.9599999999999999E-2</v>
      </c>
      <c r="AD50" s="438">
        <v>1.3591610000000001</v>
      </c>
      <c r="AE50" s="438">
        <v>5.9999999999999995E-4</v>
      </c>
      <c r="AF50" s="438">
        <v>5.1109000000000002E-2</v>
      </c>
      <c r="AG50" s="438">
        <v>5.9999999999999995E-4</v>
      </c>
      <c r="AH50" s="438">
        <v>3.4000000000000002E-2</v>
      </c>
      <c r="AI50" s="438">
        <v>0.15175999999999998</v>
      </c>
      <c r="AJ50" s="439"/>
    </row>
    <row r="51" spans="1:36" ht="18">
      <c r="A51" s="271" t="s">
        <v>1080</v>
      </c>
      <c r="B51" s="438">
        <v>32.394000000000005</v>
      </c>
      <c r="C51" s="438">
        <v>41.860999999999997</v>
      </c>
      <c r="D51" s="438">
        <v>25.465200000000003</v>
      </c>
      <c r="E51" s="438">
        <v>43.851499999999987</v>
      </c>
      <c r="F51" s="438">
        <v>31.567699999999988</v>
      </c>
      <c r="G51" s="438">
        <v>30.999600000000001</v>
      </c>
      <c r="H51" s="438">
        <v>33.724300000000007</v>
      </c>
      <c r="I51" s="438">
        <v>31.9114</v>
      </c>
      <c r="J51" s="438">
        <v>29.423999999999999</v>
      </c>
      <c r="K51" s="438">
        <v>22.933700000000002</v>
      </c>
      <c r="L51" s="438">
        <v>37.865600000000001</v>
      </c>
      <c r="M51" s="438">
        <v>36.886200000000002</v>
      </c>
      <c r="N51" s="438">
        <v>31.60329999999999</v>
      </c>
      <c r="O51" s="438">
        <v>67.264599999999987</v>
      </c>
      <c r="P51" s="438">
        <v>33.679099999999998</v>
      </c>
      <c r="Q51" s="438">
        <v>69.697000000000003</v>
      </c>
      <c r="R51" s="438">
        <v>41.642617999999999</v>
      </c>
      <c r="S51" s="438">
        <v>31.368210000000005</v>
      </c>
      <c r="T51" s="438">
        <v>46.417000000000016</v>
      </c>
      <c r="U51" s="438">
        <v>40.030300000000011</v>
      </c>
      <c r="V51" s="438">
        <v>44.060339999999997</v>
      </c>
      <c r="W51" s="438">
        <v>19.863800000000001</v>
      </c>
      <c r="X51" s="438">
        <v>44.186300000000003</v>
      </c>
      <c r="Y51" s="438">
        <v>24.302499999999998</v>
      </c>
      <c r="Z51" s="490">
        <v>24.302499999999998</v>
      </c>
      <c r="AA51" s="490">
        <v>24.4511</v>
      </c>
      <c r="AB51" s="438">
        <v>47.769600000000004</v>
      </c>
      <c r="AC51" s="438">
        <v>50.867899999999999</v>
      </c>
      <c r="AD51" s="490">
        <v>75.817300000000003</v>
      </c>
      <c r="AE51" s="490">
        <v>73.421899999999994</v>
      </c>
      <c r="AF51" s="438">
        <v>58.964400000000005</v>
      </c>
      <c r="AG51" s="438">
        <v>32.851699999999994</v>
      </c>
      <c r="AH51" s="490">
        <v>45.734999999999999</v>
      </c>
      <c r="AI51" s="490">
        <v>43.828800000000001</v>
      </c>
      <c r="AJ51" s="439"/>
    </row>
    <row r="52" spans="1:36" ht="18">
      <c r="A52" s="271" t="s">
        <v>1058</v>
      </c>
      <c r="B52" s="438"/>
      <c r="C52" s="438"/>
      <c r="D52" s="438"/>
      <c r="E52" s="438"/>
      <c r="F52" s="438"/>
      <c r="G52" s="438"/>
      <c r="H52" s="438"/>
      <c r="I52" s="438"/>
      <c r="J52" s="438"/>
      <c r="K52" s="438"/>
      <c r="L52" s="438"/>
      <c r="M52" s="438"/>
      <c r="N52" s="438"/>
      <c r="O52" s="438"/>
      <c r="P52" s="438">
        <v>5.63</v>
      </c>
      <c r="Q52" s="438">
        <v>0</v>
      </c>
      <c r="R52" s="438">
        <v>0.33158199999999999</v>
      </c>
      <c r="S52" s="438">
        <v>52.190089999999998</v>
      </c>
      <c r="T52" s="438">
        <v>24.553000000000001</v>
      </c>
      <c r="U52" s="438">
        <v>32.277999999999999</v>
      </c>
      <c r="V52" s="438">
        <v>25.294059999999998</v>
      </c>
      <c r="W52" s="438">
        <v>8.1159999999999997</v>
      </c>
      <c r="X52" s="438">
        <v>18.158000000000001</v>
      </c>
      <c r="Y52" s="438">
        <v>11.007999999999999</v>
      </c>
      <c r="Z52" s="490">
        <v>1.421</v>
      </c>
      <c r="AA52" s="490">
        <v>16.405999999999999</v>
      </c>
      <c r="AB52" s="438">
        <v>5</v>
      </c>
      <c r="AC52" s="438">
        <v>5</v>
      </c>
      <c r="AD52" s="490">
        <v>5</v>
      </c>
      <c r="AE52" s="490">
        <v>5</v>
      </c>
      <c r="AF52" s="438">
        <v>5</v>
      </c>
      <c r="AG52" s="438">
        <v>5</v>
      </c>
      <c r="AH52" s="490">
        <v>5</v>
      </c>
      <c r="AI52" s="490">
        <v>5</v>
      </c>
      <c r="AJ52" s="441"/>
    </row>
    <row r="53" spans="1:36" ht="18">
      <c r="A53" s="180" t="s">
        <v>1090</v>
      </c>
      <c r="B53" s="438">
        <v>62.77</v>
      </c>
      <c r="C53" s="438">
        <v>274.33300000000003</v>
      </c>
      <c r="D53" s="438">
        <v>42.817</v>
      </c>
      <c r="E53" s="438">
        <v>6.05</v>
      </c>
      <c r="F53" s="438">
        <v>0</v>
      </c>
      <c r="G53" s="438">
        <v>0</v>
      </c>
      <c r="H53" s="438">
        <v>0</v>
      </c>
      <c r="I53" s="438">
        <v>0</v>
      </c>
      <c r="J53" s="438">
        <v>0</v>
      </c>
      <c r="K53" s="438"/>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8"/>
      <c r="AI53" s="442"/>
      <c r="AJ53" s="442"/>
    </row>
    <row r="54" spans="1:36" ht="18">
      <c r="A54" s="180" t="s">
        <v>1091</v>
      </c>
      <c r="B54" s="438">
        <v>0.224</v>
      </c>
      <c r="C54" s="438">
        <v>1.4999999999999999E-2</v>
      </c>
      <c r="D54" s="438">
        <v>1E-3</v>
      </c>
      <c r="E54" s="438">
        <v>1.2150000000000001</v>
      </c>
      <c r="F54" s="438">
        <v>0.17699999999999999</v>
      </c>
      <c r="G54" s="438">
        <v>0.63</v>
      </c>
      <c r="H54" s="438">
        <v>0.34200000000000003</v>
      </c>
      <c r="I54" s="438">
        <v>2.3479999999999999</v>
      </c>
      <c r="J54" s="438">
        <v>0</v>
      </c>
      <c r="K54" s="438"/>
      <c r="L54" s="438"/>
      <c r="M54" s="438"/>
      <c r="N54" s="438"/>
      <c r="O54" s="438"/>
      <c r="P54" s="438"/>
      <c r="Q54" s="438"/>
      <c r="R54" s="438"/>
      <c r="S54" s="438"/>
      <c r="T54" s="438"/>
      <c r="U54" s="438"/>
      <c r="V54" s="438"/>
      <c r="W54" s="438"/>
      <c r="X54" s="438"/>
      <c r="Y54" s="438"/>
      <c r="Z54" s="438"/>
      <c r="AA54" s="438"/>
      <c r="AB54" s="438"/>
      <c r="AC54" s="438"/>
      <c r="AD54" s="438"/>
      <c r="AE54" s="438"/>
      <c r="AF54" s="438"/>
      <c r="AG54" s="438"/>
      <c r="AH54" s="438"/>
    </row>
    <row r="55" spans="1:36">
      <c r="AE55" s="443"/>
    </row>
    <row r="56" spans="1:36">
      <c r="B56" s="274"/>
      <c r="C56" s="274"/>
      <c r="D56" s="274"/>
      <c r="E56" s="274"/>
      <c r="F56" s="274"/>
      <c r="G56" s="274"/>
      <c r="H56" s="274"/>
      <c r="I56" s="274"/>
      <c r="J56" s="274"/>
      <c r="K56" s="275" t="s">
        <v>1060</v>
      </c>
    </row>
  </sheetData>
  <mergeCells count="2">
    <mergeCell ref="B1:AI1"/>
    <mergeCell ref="B17:AI1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71ABD-A6F3-404C-B8E2-9110F992EB94}">
  <sheetPr>
    <tabColor rgb="FFFFC000"/>
  </sheetPr>
  <dimension ref="A1:AB47"/>
  <sheetViews>
    <sheetView zoomScale="70" zoomScaleNormal="70" workbookViewId="0">
      <pane xSplit="1" ySplit="3" topLeftCell="K20" activePane="bottomRight" state="frozen"/>
      <selection activeCell="X47" sqref="X47"/>
      <selection pane="topRight" activeCell="X47" sqref="X47"/>
      <selection pane="bottomLeft" activeCell="X47" sqref="X47"/>
      <selection pane="bottomRight" activeCell="Z36" sqref="A1:AB47"/>
    </sheetView>
  </sheetViews>
  <sheetFormatPr baseColWidth="10" defaultRowHeight="18.600000000000001"/>
  <cols>
    <col min="1" max="1" width="57.109375" style="281" customWidth="1"/>
    <col min="2" max="13" width="11.109375" style="279" customWidth="1"/>
    <col min="14" max="17" width="9.88671875" style="279" customWidth="1"/>
    <col min="18" max="18" width="11.109375" style="279" customWidth="1"/>
    <col min="19" max="19" width="12.5546875" style="279" customWidth="1"/>
    <col min="20" max="21" width="13" style="279" customWidth="1"/>
    <col min="22" max="22" width="15" style="149" customWidth="1"/>
    <col min="23" max="23" width="13.109375" style="149" customWidth="1"/>
    <col min="24" max="24" width="15.109375" style="149" customWidth="1"/>
    <col min="25" max="27" width="15" style="149" customWidth="1"/>
    <col min="28" max="16384" width="11.5546875" style="149"/>
  </cols>
  <sheetData>
    <row r="1" spans="1:27" ht="85.5" customHeight="1">
      <c r="A1" s="146"/>
      <c r="B1" s="697" t="s">
        <v>1092</v>
      </c>
      <c r="C1" s="697"/>
      <c r="D1" s="697"/>
      <c r="E1" s="697"/>
      <c r="F1" s="697"/>
      <c r="G1" s="697"/>
      <c r="H1" s="697"/>
      <c r="I1" s="697"/>
      <c r="J1" s="697"/>
      <c r="K1" s="697"/>
      <c r="L1" s="697"/>
      <c r="M1" s="697"/>
      <c r="N1" s="697"/>
      <c r="O1" s="697"/>
      <c r="P1" s="697"/>
      <c r="Q1" s="697"/>
      <c r="R1" s="697"/>
      <c r="S1" s="697"/>
      <c r="T1" s="697"/>
      <c r="U1" s="697"/>
      <c r="V1" s="697"/>
      <c r="W1" s="697"/>
      <c r="X1" s="697"/>
      <c r="Y1" s="697"/>
      <c r="Z1" s="147"/>
      <c r="AA1" s="147"/>
    </row>
    <row r="2" spans="1:27" ht="18">
      <c r="A2" s="378"/>
      <c r="B2" s="379" t="s">
        <v>1008</v>
      </c>
      <c r="C2" s="379" t="s">
        <v>105</v>
      </c>
      <c r="D2" s="379" t="s">
        <v>108</v>
      </c>
      <c r="E2" s="379" t="s">
        <v>109</v>
      </c>
      <c r="F2" s="379" t="s">
        <v>106</v>
      </c>
      <c r="G2" s="379" t="s">
        <v>110</v>
      </c>
      <c r="H2" s="379" t="s">
        <v>111</v>
      </c>
      <c r="I2" s="379" t="s">
        <v>112</v>
      </c>
      <c r="J2" s="379" t="s">
        <v>113</v>
      </c>
      <c r="K2" s="379" t="s">
        <v>107</v>
      </c>
      <c r="L2" s="379" t="s">
        <v>114</v>
      </c>
      <c r="M2" s="379" t="s">
        <v>115</v>
      </c>
      <c r="N2" s="379" t="s">
        <v>116</v>
      </c>
      <c r="O2" s="379" t="s">
        <v>117</v>
      </c>
      <c r="P2" s="379" t="s">
        <v>118</v>
      </c>
      <c r="Q2" s="379" t="s">
        <v>119</v>
      </c>
      <c r="R2" s="379" t="s">
        <v>120</v>
      </c>
      <c r="S2" s="379" t="s">
        <v>121</v>
      </c>
      <c r="T2" s="379" t="s">
        <v>122</v>
      </c>
      <c r="U2" s="379" t="s">
        <v>123</v>
      </c>
      <c r="V2" s="379" t="s">
        <v>124</v>
      </c>
      <c r="W2" s="379" t="s">
        <v>125</v>
      </c>
      <c r="X2" s="379" t="s">
        <v>126</v>
      </c>
      <c r="Y2" s="379" t="s">
        <v>127</v>
      </c>
      <c r="Z2" s="379" t="str">
        <f>'Bilans Blé tendre - FAM'!AC2</f>
        <v>2023/24</v>
      </c>
      <c r="AA2" s="379" t="str">
        <f>'Bilans Blé tendre - FAM'!AD2</f>
        <v>2024/25</v>
      </c>
    </row>
    <row r="3" spans="1:27" ht="18">
      <c r="A3" s="380" t="s">
        <v>1009</v>
      </c>
      <c r="B3" s="381"/>
      <c r="C3" s="381"/>
      <c r="D3" s="381"/>
      <c r="E3" s="381"/>
      <c r="F3" s="381"/>
      <c r="G3" s="381"/>
      <c r="H3" s="381"/>
      <c r="I3" s="381"/>
      <c r="J3" s="381"/>
      <c r="K3" s="381"/>
      <c r="L3" s="381"/>
      <c r="M3" s="381"/>
      <c r="N3" s="381"/>
      <c r="O3" s="382"/>
      <c r="P3" s="382"/>
      <c r="Q3" s="381"/>
      <c r="R3" s="381"/>
      <c r="S3" s="284"/>
      <c r="T3" s="284"/>
      <c r="U3" s="284"/>
      <c r="V3" s="284"/>
      <c r="W3" s="284"/>
      <c r="X3" s="349"/>
      <c r="Y3" s="349"/>
      <c r="Z3" s="349" t="str">
        <f>'Bilans Blé tendre - FAM'!AC3</f>
        <v>Prov. Mars 25</v>
      </c>
      <c r="AA3" s="349" t="str">
        <f>'Bilans Blé tendre - FAM'!AD3</f>
        <v>Prév. Mars 25</v>
      </c>
    </row>
    <row r="4" spans="1:27" ht="18">
      <c r="A4" s="285"/>
      <c r="B4" s="161"/>
      <c r="C4" s="161"/>
      <c r="D4" s="161"/>
      <c r="E4" s="161"/>
      <c r="F4" s="161"/>
      <c r="G4" s="161"/>
      <c r="H4" s="161"/>
      <c r="I4" s="161"/>
      <c r="J4" s="161"/>
      <c r="K4" s="161"/>
      <c r="L4" s="161"/>
      <c r="M4" s="161"/>
      <c r="N4" s="161"/>
      <c r="O4" s="161"/>
      <c r="P4" s="161"/>
      <c r="Q4" s="161"/>
      <c r="R4" s="161"/>
      <c r="S4" s="161"/>
      <c r="T4" s="161"/>
      <c r="U4" s="161"/>
      <c r="V4" s="162"/>
      <c r="W4" s="162"/>
      <c r="X4" s="162"/>
      <c r="Y4" s="162"/>
      <c r="Z4" s="162"/>
      <c r="AA4" s="162"/>
    </row>
    <row r="5" spans="1:27">
      <c r="A5" s="164" t="s">
        <v>1013</v>
      </c>
      <c r="B5" s="350">
        <f t="shared" ref="B5:AA5" si="0">B21/B9</f>
        <v>0.29117401823763012</v>
      </c>
      <c r="C5" s="350">
        <f t="shared" si="0"/>
        <v>0.30976606332808337</v>
      </c>
      <c r="D5" s="350">
        <f t="shared" si="0"/>
        <v>0.23105454002041848</v>
      </c>
      <c r="E5" s="350">
        <f t="shared" si="0"/>
        <v>0.36052343283277249</v>
      </c>
      <c r="F5" s="350">
        <f t="shared" si="0"/>
        <v>0.35175283344180253</v>
      </c>
      <c r="G5" s="350">
        <f t="shared" si="0"/>
        <v>0.38213869515258991</v>
      </c>
      <c r="H5" s="350">
        <f t="shared" si="0"/>
        <v>0.38859347117426679</v>
      </c>
      <c r="I5" s="350">
        <f t="shared" si="0"/>
        <v>0.35522776057119376</v>
      </c>
      <c r="J5" s="350">
        <f t="shared" si="0"/>
        <v>0.29860261926309012</v>
      </c>
      <c r="K5" s="350">
        <f t="shared" si="0"/>
        <v>0.36773017062957258</v>
      </c>
      <c r="L5" s="350">
        <f t="shared" si="0"/>
        <v>0.39109245330709469</v>
      </c>
      <c r="M5" s="350">
        <f t="shared" si="0"/>
        <v>0.35931493726761071</v>
      </c>
      <c r="N5" s="350">
        <f t="shared" si="0"/>
        <v>0.37659588015369494</v>
      </c>
      <c r="O5" s="350">
        <f t="shared" si="0"/>
        <v>0.43713711715543246</v>
      </c>
      <c r="P5" s="350">
        <f t="shared" si="0"/>
        <v>0.38190401972260923</v>
      </c>
      <c r="Q5" s="350">
        <f t="shared" si="0"/>
        <v>0.41109959551732894</v>
      </c>
      <c r="R5" s="350">
        <f t="shared" si="0"/>
        <v>0.42380399212449704</v>
      </c>
      <c r="S5" s="350">
        <f t="shared" si="0"/>
        <v>0.35019978703077215</v>
      </c>
      <c r="T5" s="350">
        <f t="shared" si="0"/>
        <v>0.41023495845515551</v>
      </c>
      <c r="U5" s="350">
        <f t="shared" si="0"/>
        <v>0.37344677453035985</v>
      </c>
      <c r="V5" s="350">
        <f t="shared" si="0"/>
        <v>0.4405551498591333</v>
      </c>
      <c r="W5" s="350">
        <f t="shared" si="0"/>
        <v>0.39669353822022563</v>
      </c>
      <c r="X5" s="350">
        <f t="shared" si="0"/>
        <v>0.47489554075191615</v>
      </c>
      <c r="Y5" s="350">
        <f t="shared" si="0"/>
        <v>0.50187192467227804</v>
      </c>
      <c r="Z5" s="350">
        <f t="shared" si="0"/>
        <v>0.4832301627335896</v>
      </c>
      <c r="AA5" s="350">
        <f t="shared" si="0"/>
        <v>0.48762398780559041</v>
      </c>
    </row>
    <row r="6" spans="1:27">
      <c r="A6" s="288"/>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row>
    <row r="7" spans="1:27" ht="18">
      <c r="A7" s="292" t="s">
        <v>1014</v>
      </c>
      <c r="B7" s="383">
        <v>240.941</v>
      </c>
      <c r="C7" s="383">
        <v>244.02799999999999</v>
      </c>
      <c r="D7" s="383">
        <v>240.68899999999999</v>
      </c>
      <c r="E7" s="383">
        <v>270.47899999999998</v>
      </c>
      <c r="F7" s="383">
        <v>289.24399999999991</v>
      </c>
      <c r="G7" s="383">
        <v>326.81100000000004</v>
      </c>
      <c r="H7" s="383">
        <v>331.92500000000001</v>
      </c>
      <c r="I7" s="383">
        <v>330.91700000000003</v>
      </c>
      <c r="J7" s="383">
        <v>324.21699999999998</v>
      </c>
      <c r="K7" s="383">
        <v>343.12299999999999</v>
      </c>
      <c r="L7" s="383">
        <v>355.79500000000002</v>
      </c>
      <c r="M7" s="383">
        <v>383.3010000000001</v>
      </c>
      <c r="N7" s="383">
        <v>391.11100000000005</v>
      </c>
      <c r="O7" s="383">
        <v>415.71900000000011</v>
      </c>
      <c r="P7" s="383">
        <v>384.77199999999999</v>
      </c>
      <c r="Q7" s="383">
        <v>387.6040000000001</v>
      </c>
      <c r="R7" s="383">
        <v>342.887</v>
      </c>
      <c r="S7" s="383">
        <v>331.26600000000002</v>
      </c>
      <c r="T7" s="383">
        <v>303.89400000000001</v>
      </c>
      <c r="U7" s="383">
        <v>283.80699999999996</v>
      </c>
      <c r="V7" s="383">
        <v>305.22100000000006</v>
      </c>
      <c r="W7" s="383">
        <v>261.625</v>
      </c>
      <c r="X7" s="383">
        <v>338.59899999999999</v>
      </c>
      <c r="Y7" s="383">
        <v>341.57400000000001</v>
      </c>
      <c r="Z7" s="383">
        <v>326.274</v>
      </c>
      <c r="AA7" s="383">
        <v>254.98700000000002</v>
      </c>
    </row>
    <row r="8" spans="1:27" ht="18">
      <c r="A8" s="292" t="s">
        <v>1015</v>
      </c>
      <c r="B8" s="293">
        <f>B9/B7*10</f>
        <v>50.453862148824825</v>
      </c>
      <c r="C8" s="293">
        <f t="shared" ref="C8:AA8" si="1">C9/C7*10</f>
        <v>51.616216171914708</v>
      </c>
      <c r="D8" s="293">
        <f t="shared" si="1"/>
        <v>46.263086389490169</v>
      </c>
      <c r="E8" s="293">
        <f t="shared" si="1"/>
        <v>54.850206485531245</v>
      </c>
      <c r="F8" s="293">
        <f t="shared" si="1"/>
        <v>43.857891607086074</v>
      </c>
      <c r="G8" s="293">
        <f t="shared" si="1"/>
        <v>55.517690653007385</v>
      </c>
      <c r="H8" s="293">
        <f t="shared" si="1"/>
        <v>53.991534232130753</v>
      </c>
      <c r="I8" s="293">
        <f t="shared" si="1"/>
        <v>50.757567607587404</v>
      </c>
      <c r="J8" s="293">
        <f t="shared" si="1"/>
        <v>44.77363309141716</v>
      </c>
      <c r="K8" s="293">
        <f t="shared" si="1"/>
        <v>52.92608772947311</v>
      </c>
      <c r="L8" s="293">
        <f t="shared" si="1"/>
        <v>56.543473067356196</v>
      </c>
      <c r="M8" s="293">
        <f t="shared" si="1"/>
        <v>53.760830261335073</v>
      </c>
      <c r="N8" s="293">
        <f t="shared" si="1"/>
        <v>50.813334321969975</v>
      </c>
      <c r="O8" s="293">
        <f t="shared" si="1"/>
        <v>55.337927782949535</v>
      </c>
      <c r="P8" s="293">
        <f t="shared" si="1"/>
        <v>52.773148773819301</v>
      </c>
      <c r="Q8" s="293">
        <f t="shared" si="1"/>
        <v>52.19955934407281</v>
      </c>
      <c r="R8" s="293">
        <f t="shared" si="1"/>
        <v>54.409563500511823</v>
      </c>
      <c r="S8" s="293">
        <f t="shared" si="1"/>
        <v>42.795505726515856</v>
      </c>
      <c r="T8" s="293">
        <f t="shared" si="1"/>
        <v>51.969354445958125</v>
      </c>
      <c r="U8" s="293">
        <f t="shared" si="1"/>
        <v>47.548813101861491</v>
      </c>
      <c r="V8" s="293">
        <f t="shared" si="1"/>
        <v>54.412802526693781</v>
      </c>
      <c r="W8" s="293">
        <f t="shared" si="1"/>
        <v>46.660605828953656</v>
      </c>
      <c r="X8" s="293">
        <f t="shared" si="1"/>
        <v>51.900495866792284</v>
      </c>
      <c r="Y8" s="293">
        <f t="shared" si="1"/>
        <v>47.934722783350018</v>
      </c>
      <c r="Z8" s="293">
        <f t="shared" si="1"/>
        <v>51.056262527814049</v>
      </c>
      <c r="AA8" s="293">
        <f t="shared" si="1"/>
        <v>43.233843293971844</v>
      </c>
    </row>
    <row r="9" spans="1:27" ht="18">
      <c r="A9" s="292" t="s">
        <v>1016</v>
      </c>
      <c r="B9" s="383">
        <v>1215.6404000000002</v>
      </c>
      <c r="C9" s="383">
        <v>1259.5802000000001</v>
      </c>
      <c r="D9" s="383">
        <v>1113.5016000000001</v>
      </c>
      <c r="E9" s="383">
        <v>1483.5829000000006</v>
      </c>
      <c r="F9" s="383">
        <v>1268.5632000000001</v>
      </c>
      <c r="G9" s="383">
        <v>1814.3791999999999</v>
      </c>
      <c r="H9" s="383">
        <v>1792.114</v>
      </c>
      <c r="I9" s="383">
        <v>1679.6542000000002</v>
      </c>
      <c r="J9" s="383">
        <v>1451.6372999999999</v>
      </c>
      <c r="K9" s="383">
        <v>1816.0158000000001</v>
      </c>
      <c r="L9" s="383">
        <v>2011.7884999999999</v>
      </c>
      <c r="M9" s="383">
        <v>2060.6579999999999</v>
      </c>
      <c r="N9" s="383">
        <v>1987.3654000000001</v>
      </c>
      <c r="O9" s="383">
        <v>2300.5028000000007</v>
      </c>
      <c r="P9" s="383">
        <v>2030.5630000000001</v>
      </c>
      <c r="Q9" s="383">
        <v>2023.2758000000003</v>
      </c>
      <c r="R9" s="486">
        <v>1865.6332</v>
      </c>
      <c r="S9" s="383">
        <v>1417.6696000000002</v>
      </c>
      <c r="T9" s="383">
        <v>1579.3174999999999</v>
      </c>
      <c r="U9" s="383">
        <v>1349.4686000000002</v>
      </c>
      <c r="V9" s="486">
        <v>1660.7930000000003</v>
      </c>
      <c r="W9" s="383">
        <v>1220.7581</v>
      </c>
      <c r="X9" s="383">
        <v>1757.3455999999999</v>
      </c>
      <c r="Y9" s="383">
        <v>1637.3254999999999</v>
      </c>
      <c r="Z9" s="486">
        <v>1665.8331000000001</v>
      </c>
      <c r="AA9" s="383">
        <v>1102.4068</v>
      </c>
    </row>
    <row r="10" spans="1:27" ht="18">
      <c r="A10" s="294"/>
      <c r="B10" s="183"/>
      <c r="C10" s="183"/>
      <c r="D10" s="183"/>
      <c r="E10" s="183"/>
      <c r="F10" s="183"/>
      <c r="G10" s="183"/>
      <c r="H10" s="183"/>
      <c r="I10" s="183"/>
      <c r="J10" s="183"/>
      <c r="K10" s="183"/>
      <c r="L10" s="183"/>
      <c r="M10" s="183"/>
      <c r="N10" s="182"/>
      <c r="O10" s="182"/>
      <c r="P10" s="182"/>
      <c r="Q10" s="182"/>
      <c r="R10" s="183"/>
      <c r="S10" s="183"/>
      <c r="T10" s="183"/>
      <c r="U10" s="183"/>
      <c r="V10" s="184"/>
      <c r="W10" s="184"/>
      <c r="X10" s="184"/>
      <c r="Y10" s="184"/>
      <c r="Z10" s="184"/>
      <c r="AA10" s="184"/>
    </row>
    <row r="11" spans="1:27" ht="36">
      <c r="A11" s="297" t="s">
        <v>1073</v>
      </c>
      <c r="B11" s="186">
        <f t="shared" ref="B11:AA11" si="2">B9-B21</f>
        <v>861.67750000000024</v>
      </c>
      <c r="C11" s="186">
        <f t="shared" si="2"/>
        <v>869.4050000000002</v>
      </c>
      <c r="D11" s="186">
        <f t="shared" si="2"/>
        <v>856.22199999999998</v>
      </c>
      <c r="E11" s="186">
        <f t="shared" si="2"/>
        <v>948.71650000000056</v>
      </c>
      <c r="F11" s="186">
        <f t="shared" si="2"/>
        <v>822.34249999999997</v>
      </c>
      <c r="G11" s="186">
        <f t="shared" si="2"/>
        <v>1121.0346999999999</v>
      </c>
      <c r="H11" s="186">
        <f t="shared" si="2"/>
        <v>1095.7102</v>
      </c>
      <c r="I11" s="186">
        <f t="shared" si="2"/>
        <v>1082.9944</v>
      </c>
      <c r="J11" s="186">
        <f t="shared" si="2"/>
        <v>1018.1745999999998</v>
      </c>
      <c r="K11" s="186">
        <f t="shared" si="2"/>
        <v>1148.2120000000004</v>
      </c>
      <c r="L11" s="186">
        <f t="shared" si="2"/>
        <v>1224.9931999999999</v>
      </c>
      <c r="M11" s="186">
        <f t="shared" si="2"/>
        <v>1320.2327999999998</v>
      </c>
      <c r="N11" s="186">
        <f t="shared" si="2"/>
        <v>1238.9317780000001</v>
      </c>
      <c r="O11" s="186">
        <f t="shared" si="2"/>
        <v>1294.8676379999999</v>
      </c>
      <c r="P11" s="186">
        <f t="shared" si="2"/>
        <v>1255.0828279999996</v>
      </c>
      <c r="Q11" s="186">
        <f t="shared" si="2"/>
        <v>1191.5079370000001</v>
      </c>
      <c r="R11" s="492">
        <f t="shared" si="2"/>
        <v>1074.9704019999999</v>
      </c>
      <c r="S11" s="186">
        <f t="shared" si="2"/>
        <v>921.20200800000021</v>
      </c>
      <c r="T11" s="186">
        <f t="shared" si="2"/>
        <v>931.42625099999987</v>
      </c>
      <c r="U11" s="186">
        <f t="shared" si="2"/>
        <v>845.51390399999968</v>
      </c>
      <c r="V11" s="492">
        <f t="shared" si="2"/>
        <v>929.12209100000064</v>
      </c>
      <c r="W11" s="186">
        <f t="shared" si="2"/>
        <v>736.49125000000004</v>
      </c>
      <c r="X11" s="186">
        <f t="shared" si="2"/>
        <v>922.79001099999937</v>
      </c>
      <c r="Y11" s="186">
        <f t="shared" si="2"/>
        <v>815.59780000000001</v>
      </c>
      <c r="Z11" s="492">
        <f t="shared" si="2"/>
        <v>860.85230000000001</v>
      </c>
      <c r="AA11" s="186">
        <f t="shared" si="2"/>
        <v>564.84680000000003</v>
      </c>
    </row>
    <row r="12" spans="1:27" ht="18">
      <c r="A12" s="292"/>
      <c r="B12" s="186"/>
      <c r="C12" s="186"/>
      <c r="D12" s="186"/>
      <c r="E12" s="186"/>
      <c r="F12" s="186"/>
      <c r="G12" s="186"/>
      <c r="H12" s="186"/>
      <c r="I12" s="186"/>
      <c r="J12" s="186"/>
      <c r="K12" s="186"/>
      <c r="L12" s="186"/>
      <c r="M12" s="186"/>
      <c r="N12" s="186"/>
      <c r="O12" s="186"/>
      <c r="P12" s="186"/>
      <c r="Q12" s="186"/>
      <c r="R12" s="186"/>
      <c r="S12" s="186"/>
      <c r="T12" s="186"/>
      <c r="U12" s="186"/>
      <c r="V12" s="385"/>
      <c r="W12" s="385"/>
      <c r="X12" s="186"/>
      <c r="Y12" s="186"/>
      <c r="Z12" s="186"/>
      <c r="AA12" s="186"/>
    </row>
    <row r="13" spans="1:27" ht="18">
      <c r="A13" s="292"/>
      <c r="B13" s="173"/>
      <c r="C13" s="173"/>
      <c r="D13" s="173"/>
      <c r="E13" s="173"/>
      <c r="F13" s="173"/>
      <c r="G13" s="173"/>
      <c r="H13" s="173"/>
      <c r="I13" s="173"/>
      <c r="J13" s="173"/>
      <c r="K13" s="173"/>
      <c r="L13" s="173"/>
      <c r="M13" s="173"/>
      <c r="N13" s="173"/>
      <c r="O13" s="370"/>
      <c r="P13" s="370"/>
      <c r="Q13" s="173"/>
      <c r="R13" s="173"/>
      <c r="S13" s="173"/>
      <c r="T13" s="386"/>
      <c r="U13" s="386"/>
      <c r="V13" s="386"/>
      <c r="W13" s="386"/>
      <c r="X13" s="386"/>
      <c r="Y13" s="386"/>
      <c r="Z13" s="386"/>
      <c r="AA13" s="386"/>
    </row>
    <row r="14" spans="1:27" ht="18">
      <c r="A14" s="300"/>
      <c r="B14" s="387"/>
      <c r="C14" s="387"/>
      <c r="D14" s="387"/>
      <c r="E14" s="387"/>
      <c r="F14" s="387"/>
      <c r="G14" s="387"/>
      <c r="H14" s="387"/>
      <c r="I14" s="387"/>
      <c r="J14" s="387"/>
      <c r="K14" s="387"/>
      <c r="L14" s="387"/>
      <c r="M14" s="387"/>
      <c r="N14" s="387"/>
      <c r="O14" s="387"/>
      <c r="P14" s="387"/>
      <c r="Q14" s="387"/>
      <c r="R14" s="387"/>
      <c r="S14" s="387"/>
      <c r="T14" s="388"/>
      <c r="U14" s="388"/>
      <c r="V14" s="388"/>
      <c r="W14" s="388"/>
      <c r="X14" s="388"/>
      <c r="Y14" s="388"/>
      <c r="Z14" s="388"/>
      <c r="AA14" s="388"/>
    </row>
    <row r="15" spans="1:27" ht="37.5" customHeight="1">
      <c r="A15" s="190" t="s">
        <v>1020</v>
      </c>
      <c r="B15" s="698" t="s">
        <v>1093</v>
      </c>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191"/>
    </row>
    <row r="16" spans="1:27">
      <c r="A16" s="389" t="s">
        <v>1009</v>
      </c>
      <c r="B16" s="390" t="str">
        <f t="shared" ref="B16:M16" si="3">B2</f>
        <v>1999/00</v>
      </c>
      <c r="C16" s="390" t="str">
        <f t="shared" si="3"/>
        <v>2000/01</v>
      </c>
      <c r="D16" s="390" t="str">
        <f t="shared" si="3"/>
        <v>2001/02</v>
      </c>
      <c r="E16" s="390" t="str">
        <f t="shared" si="3"/>
        <v>2002/03</v>
      </c>
      <c r="F16" s="390" t="str">
        <f t="shared" si="3"/>
        <v>2003/04</v>
      </c>
      <c r="G16" s="390" t="str">
        <f t="shared" si="3"/>
        <v>2004/05</v>
      </c>
      <c r="H16" s="390" t="str">
        <f t="shared" si="3"/>
        <v>2005/06</v>
      </c>
      <c r="I16" s="390" t="str">
        <f t="shared" si="3"/>
        <v>2006/07</v>
      </c>
      <c r="J16" s="390" t="str">
        <f t="shared" si="3"/>
        <v>2007/08</v>
      </c>
      <c r="K16" s="390" t="str">
        <f t="shared" si="3"/>
        <v>2008/09</v>
      </c>
      <c r="L16" s="390" t="str">
        <f t="shared" si="3"/>
        <v>2009/10</v>
      </c>
      <c r="M16" s="390" t="str">
        <f t="shared" si="3"/>
        <v>2010/11</v>
      </c>
      <c r="N16" s="390" t="s">
        <v>116</v>
      </c>
      <c r="O16" s="390" t="s">
        <v>117</v>
      </c>
      <c r="P16" s="390" t="s">
        <v>118</v>
      </c>
      <c r="Q16" s="390" t="s">
        <v>119</v>
      </c>
      <c r="R16" s="390" t="s">
        <v>120</v>
      </c>
      <c r="S16" s="390" t="s">
        <v>121</v>
      </c>
      <c r="T16" s="390" t="s">
        <v>122</v>
      </c>
      <c r="U16" s="390" t="s">
        <v>123</v>
      </c>
      <c r="V16" s="390" t="s">
        <v>124</v>
      </c>
      <c r="W16" s="390" t="s">
        <v>125</v>
      </c>
      <c r="X16" s="390" t="str">
        <f>X2</f>
        <v>2021/22</v>
      </c>
      <c r="Y16" s="390" t="str">
        <f>Y2</f>
        <v>2022/23</v>
      </c>
      <c r="Z16" s="390" t="str">
        <f>Z2</f>
        <v>2023/24</v>
      </c>
      <c r="AA16" s="390" t="str">
        <f>AA2</f>
        <v>2024/25</v>
      </c>
    </row>
    <row r="17" spans="1:28" ht="18">
      <c r="A17" s="391"/>
      <c r="B17" s="392"/>
      <c r="C17" s="392"/>
      <c r="D17" s="392"/>
      <c r="E17" s="392"/>
      <c r="F17" s="392"/>
      <c r="G17" s="392"/>
      <c r="H17" s="392"/>
      <c r="I17" s="392"/>
      <c r="J17" s="392"/>
      <c r="K17" s="392"/>
      <c r="L17" s="392"/>
      <c r="M17" s="392"/>
      <c r="N17" s="393"/>
      <c r="O17" s="394"/>
      <c r="P17" s="394"/>
      <c r="Q17" s="393"/>
      <c r="R17" s="392"/>
      <c r="S17" s="392"/>
      <c r="T17" s="395"/>
      <c r="U17" s="395"/>
      <c r="V17" s="395"/>
      <c r="W17" s="395"/>
      <c r="X17" s="395"/>
      <c r="Y17" s="395"/>
      <c r="Z17" s="395" t="str">
        <f>Z3</f>
        <v>Prov. Mars 25</v>
      </c>
      <c r="AA17" s="395" t="str">
        <f>AA3</f>
        <v>Prév. Mars 25</v>
      </c>
    </row>
    <row r="18" spans="1:28" ht="18">
      <c r="A18" s="396"/>
      <c r="B18" s="397"/>
      <c r="C18" s="397"/>
      <c r="D18" s="397"/>
      <c r="E18" s="397"/>
      <c r="F18" s="397"/>
      <c r="G18" s="397"/>
      <c r="H18" s="397"/>
      <c r="I18" s="397"/>
      <c r="J18" s="397"/>
      <c r="K18" s="397"/>
      <c r="L18" s="397"/>
      <c r="M18" s="397"/>
      <c r="N18" s="397"/>
      <c r="O18" s="398"/>
      <c r="P18" s="398"/>
      <c r="Q18" s="397"/>
      <c r="R18" s="397"/>
      <c r="S18" s="397"/>
      <c r="T18" s="397"/>
      <c r="U18" s="397"/>
      <c r="V18" s="399"/>
      <c r="W18" s="399"/>
      <c r="X18" s="399"/>
      <c r="Y18" s="399"/>
      <c r="Z18" s="399"/>
      <c r="AA18" s="399"/>
      <c r="AB18" s="400"/>
    </row>
    <row r="19" spans="1:28">
      <c r="A19" s="206" t="s">
        <v>1022</v>
      </c>
      <c r="B19" s="309"/>
      <c r="C19" s="309"/>
      <c r="D19" s="309"/>
      <c r="E19" s="309"/>
      <c r="F19" s="309"/>
      <c r="G19" s="309"/>
      <c r="H19" s="309"/>
      <c r="I19" s="309"/>
      <c r="J19" s="309"/>
      <c r="K19" s="309"/>
      <c r="L19" s="309"/>
      <c r="M19" s="309"/>
      <c r="N19" s="209"/>
      <c r="O19" s="209"/>
      <c r="P19" s="209"/>
      <c r="Q19" s="209"/>
      <c r="R19" s="309"/>
      <c r="S19" s="309"/>
      <c r="T19" s="309"/>
      <c r="U19" s="309"/>
      <c r="V19" s="401"/>
      <c r="W19" s="401"/>
      <c r="X19" s="401"/>
      <c r="Y19" s="401"/>
      <c r="Z19" s="444"/>
      <c r="AA19" s="444"/>
    </row>
    <row r="20" spans="1:28" ht="18">
      <c r="A20" s="402" t="s">
        <v>1023</v>
      </c>
      <c r="B20" s="403">
        <v>19</v>
      </c>
      <c r="C20" s="403">
        <f>B39</f>
        <v>8.9314999999999998</v>
      </c>
      <c r="D20" s="403">
        <f t="shared" ref="D20:AA20" si="4">C39</f>
        <v>13.2409</v>
      </c>
      <c r="E20" s="403">
        <f t="shared" si="4"/>
        <v>11.2189</v>
      </c>
      <c r="F20" s="403">
        <f t="shared" si="4"/>
        <v>34.077800000000003</v>
      </c>
      <c r="G20" s="403">
        <f t="shared" si="4"/>
        <v>16.964600000000001</v>
      </c>
      <c r="H20" s="403">
        <f t="shared" si="4"/>
        <v>36.428600000000003</v>
      </c>
      <c r="I20" s="403">
        <f t="shared" si="4"/>
        <v>29.738299999999999</v>
      </c>
      <c r="J20" s="403">
        <f t="shared" si="4"/>
        <v>24.666599999999999</v>
      </c>
      <c r="K20" s="403">
        <f t="shared" si="4"/>
        <v>34.159399999999998</v>
      </c>
      <c r="L20" s="403">
        <f t="shared" si="4"/>
        <v>47.508199999999995</v>
      </c>
      <c r="M20" s="403">
        <f t="shared" si="4"/>
        <v>38.844300000000004</v>
      </c>
      <c r="N20" s="403">
        <f t="shared" si="4"/>
        <v>66.884266999999994</v>
      </c>
      <c r="O20" s="403">
        <f t="shared" si="4"/>
        <v>53.039254</v>
      </c>
      <c r="P20" s="403">
        <f t="shared" si="4"/>
        <v>118.35534600000001</v>
      </c>
      <c r="Q20" s="403">
        <f t="shared" si="4"/>
        <v>74.83708</v>
      </c>
      <c r="R20" s="403">
        <f t="shared" si="4"/>
        <v>73.707910999999996</v>
      </c>
      <c r="S20" s="403">
        <f t="shared" si="4"/>
        <v>65.819698000000002</v>
      </c>
      <c r="T20" s="403">
        <f t="shared" si="4"/>
        <v>46.373201000000002</v>
      </c>
      <c r="U20" s="403">
        <f t="shared" si="4"/>
        <v>69.269344000000004</v>
      </c>
      <c r="V20" s="403">
        <f t="shared" si="4"/>
        <v>60.296894999999999</v>
      </c>
      <c r="W20" s="403">
        <f t="shared" si="4"/>
        <v>112.70981999999998</v>
      </c>
      <c r="X20" s="403">
        <f t="shared" si="4"/>
        <v>48.789459999999998</v>
      </c>
      <c r="Y20" s="403">
        <f t="shared" si="4"/>
        <v>114.35226399999999</v>
      </c>
      <c r="Z20" s="403">
        <f t="shared" si="4"/>
        <v>67.726067</v>
      </c>
      <c r="AA20" s="403">
        <f t="shared" si="4"/>
        <v>102.16094299999999</v>
      </c>
    </row>
    <row r="21" spans="1:28" ht="18">
      <c r="A21" s="404" t="s">
        <v>1024</v>
      </c>
      <c r="B21" s="405">
        <v>353.96290000000005</v>
      </c>
      <c r="C21" s="405">
        <v>390.17519999999996</v>
      </c>
      <c r="D21" s="405">
        <v>257.27960000000002</v>
      </c>
      <c r="E21" s="405">
        <v>534.8664</v>
      </c>
      <c r="F21" s="405">
        <v>446.22070000000008</v>
      </c>
      <c r="G21" s="405">
        <v>693.34449999999993</v>
      </c>
      <c r="H21" s="405">
        <v>696.40379999999993</v>
      </c>
      <c r="I21" s="405">
        <v>596.65980000000002</v>
      </c>
      <c r="J21" s="405">
        <v>433.4627000000001</v>
      </c>
      <c r="K21" s="405">
        <v>667.8037999999998</v>
      </c>
      <c r="L21" s="405">
        <v>786.7953</v>
      </c>
      <c r="M21" s="405">
        <v>740.42520000000013</v>
      </c>
      <c r="N21" s="405">
        <v>748.43362200000001</v>
      </c>
      <c r="O21" s="405">
        <v>1005.6351620000007</v>
      </c>
      <c r="P21" s="405">
        <v>775.48017200000061</v>
      </c>
      <c r="Q21" s="405">
        <v>831.76786300000026</v>
      </c>
      <c r="R21" s="487">
        <v>790.66279800000018</v>
      </c>
      <c r="S21" s="405">
        <v>496.46759200000002</v>
      </c>
      <c r="T21" s="405">
        <v>647.89124900000002</v>
      </c>
      <c r="U21" s="405">
        <v>503.95469600000041</v>
      </c>
      <c r="V21" s="487">
        <v>731.67090899999971</v>
      </c>
      <c r="W21" s="405">
        <v>484.26685000000003</v>
      </c>
      <c r="X21" s="405">
        <v>834.55558900000051</v>
      </c>
      <c r="Y21" s="405">
        <v>821.72769999999991</v>
      </c>
      <c r="Z21" s="487">
        <v>804.98080000000004</v>
      </c>
      <c r="AA21" s="405">
        <v>537.55999999999995</v>
      </c>
    </row>
    <row r="22" spans="1:28" ht="18">
      <c r="A22" s="404" t="s">
        <v>1025</v>
      </c>
      <c r="B22" s="405">
        <v>2</v>
      </c>
      <c r="C22" s="405">
        <v>2.1289920000000007</v>
      </c>
      <c r="D22" s="405">
        <v>8.7622280000000003</v>
      </c>
      <c r="E22" s="405">
        <v>1.9919350000000005</v>
      </c>
      <c r="F22" s="405">
        <v>1.20462</v>
      </c>
      <c r="G22" s="405">
        <v>2.1198430000000004</v>
      </c>
      <c r="H22" s="405">
        <v>1.0982000000000001</v>
      </c>
      <c r="I22" s="405">
        <v>0.4204</v>
      </c>
      <c r="J22" s="405">
        <v>1.1885000000000003</v>
      </c>
      <c r="K22" s="405">
        <v>2.5830000000000002</v>
      </c>
      <c r="L22" s="405">
        <v>1.3700999999999999</v>
      </c>
      <c r="M22" s="405">
        <v>2.6292000000000004</v>
      </c>
      <c r="N22" s="405">
        <v>0.58819999999999995</v>
      </c>
      <c r="O22" s="405">
        <v>0.60929999999999995</v>
      </c>
      <c r="P22" s="405">
        <v>3.3604000000000003</v>
      </c>
      <c r="Q22" s="405">
        <v>6.9095000000000004</v>
      </c>
      <c r="R22" s="487">
        <v>6.1692</v>
      </c>
      <c r="S22" s="405">
        <v>20.197199999999999</v>
      </c>
      <c r="T22" s="405">
        <v>15.689500000000004</v>
      </c>
      <c r="U22" s="405">
        <v>12.962699999999998</v>
      </c>
      <c r="V22" s="487">
        <v>17.3658</v>
      </c>
      <c r="W22" s="405">
        <v>33.923499999999997</v>
      </c>
      <c r="X22" s="405">
        <v>17.040400000000005</v>
      </c>
      <c r="Y22" s="405">
        <v>3.3395000000000006</v>
      </c>
      <c r="Z22" s="487">
        <v>2.5325000000000002</v>
      </c>
      <c r="AA22" s="405">
        <v>3.3</v>
      </c>
    </row>
    <row r="23" spans="1:28" ht="18">
      <c r="A23" s="216" t="s">
        <v>1026</v>
      </c>
      <c r="B23" s="405" t="s">
        <v>89</v>
      </c>
      <c r="C23" s="405" t="s">
        <v>89</v>
      </c>
      <c r="D23" s="405" t="s">
        <v>89</v>
      </c>
      <c r="E23" s="405" t="s">
        <v>89</v>
      </c>
      <c r="F23" s="405" t="s">
        <v>89</v>
      </c>
      <c r="G23" s="405" t="s">
        <v>89</v>
      </c>
      <c r="H23" s="405" t="s">
        <v>89</v>
      </c>
      <c r="I23" s="405" t="s">
        <v>89</v>
      </c>
      <c r="J23" s="405" t="s">
        <v>89</v>
      </c>
      <c r="K23" s="405" t="s">
        <v>89</v>
      </c>
      <c r="L23" s="405" t="s">
        <v>89</v>
      </c>
      <c r="M23" s="405" t="s">
        <v>89</v>
      </c>
      <c r="N23" s="405" t="s">
        <v>89</v>
      </c>
      <c r="O23" s="405" t="s">
        <v>89</v>
      </c>
      <c r="P23" s="405" t="s">
        <v>89</v>
      </c>
      <c r="Q23" s="405" t="s">
        <v>89</v>
      </c>
      <c r="R23" s="405" t="s">
        <v>89</v>
      </c>
      <c r="S23" s="405" t="s">
        <v>89</v>
      </c>
      <c r="T23" s="405" t="s">
        <v>89</v>
      </c>
      <c r="U23" s="405" t="s">
        <v>89</v>
      </c>
      <c r="V23" s="405" t="s">
        <v>89</v>
      </c>
      <c r="W23" s="405" t="s">
        <v>89</v>
      </c>
      <c r="X23" s="405" t="s">
        <v>89</v>
      </c>
      <c r="Y23" s="405">
        <v>0</v>
      </c>
      <c r="Z23" s="405">
        <v>0</v>
      </c>
      <c r="AA23" s="405">
        <v>0</v>
      </c>
    </row>
    <row r="24" spans="1:28" thickBot="1">
      <c r="A24" s="406" t="s">
        <v>1027</v>
      </c>
      <c r="B24" s="315">
        <f>SUM(B20:B23)</f>
        <v>374.96290000000005</v>
      </c>
      <c r="C24" s="315">
        <f t="shared" ref="C24:AA24" si="5">SUM(C20:C23)</f>
        <v>401.23569199999991</v>
      </c>
      <c r="D24" s="315">
        <f t="shared" si="5"/>
        <v>279.28272800000002</v>
      </c>
      <c r="E24" s="315">
        <f t="shared" si="5"/>
        <v>548.07723499999997</v>
      </c>
      <c r="F24" s="315">
        <f t="shared" si="5"/>
        <v>481.50312000000008</v>
      </c>
      <c r="G24" s="315">
        <f t="shared" si="5"/>
        <v>712.42894299999989</v>
      </c>
      <c r="H24" s="315">
        <f t="shared" si="5"/>
        <v>733.93059999999991</v>
      </c>
      <c r="I24" s="315">
        <f t="shared" si="5"/>
        <v>626.81849999999997</v>
      </c>
      <c r="J24" s="315">
        <f t="shared" si="5"/>
        <v>459.31780000000009</v>
      </c>
      <c r="K24" s="315">
        <f t="shared" si="5"/>
        <v>704.54619999999977</v>
      </c>
      <c r="L24" s="315">
        <f t="shared" si="5"/>
        <v>835.67359999999996</v>
      </c>
      <c r="M24" s="315">
        <f t="shared" si="5"/>
        <v>781.89870000000008</v>
      </c>
      <c r="N24" s="315">
        <f t="shared" si="5"/>
        <v>815.90608900000007</v>
      </c>
      <c r="O24" s="315">
        <f t="shared" si="5"/>
        <v>1059.2837160000008</v>
      </c>
      <c r="P24" s="315">
        <f t="shared" si="5"/>
        <v>897.19591800000069</v>
      </c>
      <c r="Q24" s="315">
        <f t="shared" si="5"/>
        <v>913.51444300000026</v>
      </c>
      <c r="R24" s="315">
        <f t="shared" si="5"/>
        <v>870.53990900000019</v>
      </c>
      <c r="S24" s="315">
        <f t="shared" si="5"/>
        <v>582.48448999999994</v>
      </c>
      <c r="T24" s="315">
        <f t="shared" si="5"/>
        <v>709.95394999999996</v>
      </c>
      <c r="U24" s="315">
        <f t="shared" si="5"/>
        <v>586.18674000000044</v>
      </c>
      <c r="V24" s="315">
        <f t="shared" si="5"/>
        <v>809.3336039999997</v>
      </c>
      <c r="W24" s="315">
        <f t="shared" si="5"/>
        <v>630.90017</v>
      </c>
      <c r="X24" s="315">
        <f t="shared" si="5"/>
        <v>900.38544900000045</v>
      </c>
      <c r="Y24" s="315">
        <f t="shared" si="5"/>
        <v>939.41946399999995</v>
      </c>
      <c r="Z24" s="315">
        <f t="shared" si="5"/>
        <v>875.23936700000013</v>
      </c>
      <c r="AA24" s="315">
        <f t="shared" si="5"/>
        <v>643.02094299999987</v>
      </c>
    </row>
    <row r="25" spans="1:28" ht="19.2" thickTop="1">
      <c r="A25" s="220"/>
      <c r="B25" s="407"/>
      <c r="C25" s="407"/>
      <c r="D25" s="407"/>
      <c r="E25" s="407"/>
      <c r="F25" s="407"/>
      <c r="G25" s="407"/>
      <c r="H25" s="407"/>
      <c r="I25" s="407"/>
      <c r="J25" s="407"/>
      <c r="K25" s="407"/>
      <c r="L25" s="407"/>
      <c r="M25" s="407"/>
      <c r="N25" s="407"/>
      <c r="O25" s="408"/>
      <c r="P25" s="407"/>
      <c r="Q25" s="407"/>
      <c r="R25" s="407"/>
      <c r="S25" s="407"/>
      <c r="T25" s="407"/>
      <c r="U25" s="407"/>
      <c r="V25" s="407"/>
      <c r="W25" s="409"/>
      <c r="X25" s="409"/>
      <c r="Y25" s="409"/>
      <c r="Z25" s="409"/>
      <c r="AA25" s="409"/>
    </row>
    <row r="26" spans="1:28">
      <c r="A26" s="410" t="s">
        <v>1028</v>
      </c>
      <c r="B26" s="411"/>
      <c r="C26" s="411"/>
      <c r="D26" s="411"/>
      <c r="E26" s="411"/>
      <c r="F26" s="411"/>
      <c r="G26" s="411"/>
      <c r="H26" s="411"/>
      <c r="I26" s="411"/>
      <c r="J26" s="411"/>
      <c r="K26" s="411"/>
      <c r="L26" s="411"/>
      <c r="M26" s="411"/>
      <c r="N26" s="411"/>
      <c r="O26" s="362"/>
      <c r="P26" s="362"/>
      <c r="Q26" s="411"/>
      <c r="R26" s="411"/>
      <c r="S26" s="412"/>
      <c r="T26" s="412"/>
      <c r="U26" s="412"/>
      <c r="V26" s="319"/>
      <c r="W26" s="319"/>
      <c r="X26" s="319"/>
      <c r="Y26" s="319"/>
      <c r="Z26" s="319"/>
      <c r="AA26" s="319"/>
    </row>
    <row r="27" spans="1:28" ht="18">
      <c r="A27" s="413" t="s">
        <v>1094</v>
      </c>
      <c r="B27" s="414"/>
      <c r="C27" s="414"/>
      <c r="D27" s="414"/>
      <c r="E27" s="414"/>
      <c r="F27" s="414"/>
      <c r="G27" s="414"/>
      <c r="H27" s="414"/>
      <c r="I27" s="414"/>
      <c r="J27" s="414"/>
      <c r="K27" s="414"/>
      <c r="L27" s="414"/>
      <c r="M27" s="414"/>
      <c r="N27" s="414"/>
      <c r="O27" s="415"/>
      <c r="P27" s="415"/>
      <c r="Q27" s="414"/>
      <c r="R27" s="414"/>
      <c r="S27" s="414"/>
      <c r="T27" s="414"/>
      <c r="U27" s="414"/>
      <c r="V27" s="416"/>
      <c r="W27" s="416"/>
      <c r="X27" s="416"/>
      <c r="Y27" s="416"/>
      <c r="Z27" s="416"/>
      <c r="AA27" s="416"/>
      <c r="AB27" s="417"/>
    </row>
    <row r="28" spans="1:28" ht="18">
      <c r="A28" s="424" t="s">
        <v>1037</v>
      </c>
      <c r="B28" s="419">
        <v>282.04480000000007</v>
      </c>
      <c r="C28" s="419">
        <v>276.325800605692</v>
      </c>
      <c r="D28" s="419">
        <v>188.68979907608033</v>
      </c>
      <c r="E28" s="419">
        <v>366.9984</v>
      </c>
      <c r="F28" s="419">
        <v>333.03199999999993</v>
      </c>
      <c r="G28" s="419">
        <v>493.75779999999997</v>
      </c>
      <c r="H28" s="419">
        <v>524.93020000000001</v>
      </c>
      <c r="I28" s="419">
        <v>452.27260000000001</v>
      </c>
      <c r="J28" s="419">
        <v>289.64260000000002</v>
      </c>
      <c r="K28" s="419">
        <v>501.35669999999999</v>
      </c>
      <c r="L28" s="419">
        <v>607.66279999999995</v>
      </c>
      <c r="M28" s="419">
        <v>539.129458</v>
      </c>
      <c r="N28" s="419">
        <v>578.61284000000001</v>
      </c>
      <c r="O28" s="419">
        <v>724.15453099999991</v>
      </c>
      <c r="P28" s="419">
        <v>588.92775900000004</v>
      </c>
      <c r="Q28" s="419">
        <v>620.00602300000003</v>
      </c>
      <c r="R28" s="488">
        <v>591.15564299999994</v>
      </c>
      <c r="S28" s="419">
        <v>371.25091300000003</v>
      </c>
      <c r="T28" s="419">
        <v>444.58647400000001</v>
      </c>
      <c r="U28" s="419">
        <v>359.05024399999996</v>
      </c>
      <c r="V28" s="488">
        <v>464.45506399999994</v>
      </c>
      <c r="W28" s="419">
        <v>373.74778600000008</v>
      </c>
      <c r="X28" s="419">
        <v>446.07379400000008</v>
      </c>
      <c r="Y28" s="419">
        <v>529.57909200000006</v>
      </c>
      <c r="Z28" s="488">
        <v>507.97990499999997</v>
      </c>
      <c r="AA28" s="419">
        <v>510</v>
      </c>
    </row>
    <row r="29" spans="1:28" ht="18">
      <c r="A29" s="424" t="s">
        <v>1038</v>
      </c>
      <c r="B29" s="419">
        <v>24.089924</v>
      </c>
      <c r="C29" s="419">
        <v>24.547954999999998</v>
      </c>
      <c r="D29" s="419">
        <v>26.173708999999999</v>
      </c>
      <c r="E29" s="419">
        <v>29.404130000000002</v>
      </c>
      <c r="F29" s="419">
        <v>30.712568999999998</v>
      </c>
      <c r="G29" s="419">
        <v>29.183987000000002</v>
      </c>
      <c r="H29" s="419">
        <v>26.028822999999999</v>
      </c>
      <c r="I29" s="419">
        <v>25.583786</v>
      </c>
      <c r="J29" s="419">
        <v>28.833048999999999</v>
      </c>
      <c r="K29" s="419">
        <v>31.504171000000003</v>
      </c>
      <c r="L29" s="419">
        <v>27.204000000000001</v>
      </c>
      <c r="M29" s="419">
        <v>28.1953</v>
      </c>
      <c r="N29" s="419">
        <v>32.360999999999997</v>
      </c>
      <c r="O29" s="419">
        <v>33.223500000000001</v>
      </c>
      <c r="P29" s="419">
        <v>32.743900000000004</v>
      </c>
      <c r="Q29" s="419">
        <v>30.552</v>
      </c>
      <c r="R29" s="488">
        <v>25.897099999999998</v>
      </c>
      <c r="S29" s="419">
        <v>23.5688</v>
      </c>
      <c r="T29" s="419">
        <v>23.8034</v>
      </c>
      <c r="U29" s="419">
        <v>25.661200000000001</v>
      </c>
      <c r="V29" s="488">
        <v>27.142799999999998</v>
      </c>
      <c r="W29" s="419">
        <v>26.684200000000001</v>
      </c>
      <c r="X29" s="419">
        <v>27.549599999999998</v>
      </c>
      <c r="Y29" s="419">
        <v>25.7576</v>
      </c>
      <c r="Z29" s="488">
        <v>25.143599999999999</v>
      </c>
      <c r="AA29" s="419">
        <v>23.5</v>
      </c>
    </row>
    <row r="30" spans="1:28" ht="18">
      <c r="A30" s="424" t="s">
        <v>1077</v>
      </c>
      <c r="B30" s="425">
        <f t="shared" ref="B30:AA30" si="6">0.01*B21</f>
        <v>3.5396290000000006</v>
      </c>
      <c r="C30" s="425">
        <f t="shared" si="6"/>
        <v>3.9017519999999997</v>
      </c>
      <c r="D30" s="425">
        <f t="shared" si="6"/>
        <v>2.5727960000000003</v>
      </c>
      <c r="E30" s="425">
        <f t="shared" si="6"/>
        <v>5.3486640000000003</v>
      </c>
      <c r="F30" s="425">
        <f t="shared" si="6"/>
        <v>4.4622070000000011</v>
      </c>
      <c r="G30" s="425">
        <f t="shared" si="6"/>
        <v>6.933444999999999</v>
      </c>
      <c r="H30" s="425">
        <f t="shared" si="6"/>
        <v>6.9640379999999995</v>
      </c>
      <c r="I30" s="425">
        <f t="shared" si="6"/>
        <v>5.9665980000000003</v>
      </c>
      <c r="J30" s="425">
        <f t="shared" si="6"/>
        <v>4.3346270000000011</v>
      </c>
      <c r="K30" s="425">
        <f t="shared" si="6"/>
        <v>6.6780379999999981</v>
      </c>
      <c r="L30" s="425">
        <f t="shared" si="6"/>
        <v>7.867953</v>
      </c>
      <c r="M30" s="425">
        <f t="shared" si="6"/>
        <v>7.4042520000000014</v>
      </c>
      <c r="N30" s="425">
        <f t="shared" si="6"/>
        <v>7.4843362200000003</v>
      </c>
      <c r="O30" s="425">
        <f t="shared" si="6"/>
        <v>10.056351620000008</v>
      </c>
      <c r="P30" s="425">
        <f t="shared" si="6"/>
        <v>7.7548017200000059</v>
      </c>
      <c r="Q30" s="425">
        <f t="shared" si="6"/>
        <v>8.3176786300000032</v>
      </c>
      <c r="R30" s="425">
        <f t="shared" si="6"/>
        <v>7.9066279800000023</v>
      </c>
      <c r="S30" s="425">
        <f t="shared" si="6"/>
        <v>4.9646759200000004</v>
      </c>
      <c r="T30" s="425">
        <f t="shared" si="6"/>
        <v>6.4789124899999999</v>
      </c>
      <c r="U30" s="425">
        <f t="shared" si="6"/>
        <v>5.0395469600000045</v>
      </c>
      <c r="V30" s="425">
        <f t="shared" si="6"/>
        <v>7.3167090899999971</v>
      </c>
      <c r="W30" s="425">
        <f t="shared" si="6"/>
        <v>4.8426685000000003</v>
      </c>
      <c r="X30" s="425">
        <f t="shared" si="6"/>
        <v>8.3455558900000053</v>
      </c>
      <c r="Y30" s="425">
        <f t="shared" si="6"/>
        <v>8.2172769999999993</v>
      </c>
      <c r="Z30" s="425">
        <f t="shared" si="6"/>
        <v>8.0498080000000005</v>
      </c>
      <c r="AA30" s="425">
        <f t="shared" si="6"/>
        <v>5.3755999999999995</v>
      </c>
    </row>
    <row r="31" spans="1:28" ht="18">
      <c r="A31" s="216" t="s">
        <v>431</v>
      </c>
      <c r="B31" s="425">
        <v>50.357046999999994</v>
      </c>
      <c r="C31" s="425">
        <v>76.12854339430794</v>
      </c>
      <c r="D31" s="425">
        <v>45.017175923919673</v>
      </c>
      <c r="E31" s="425">
        <v>99.04470299999997</v>
      </c>
      <c r="F31" s="425">
        <v>79.306898000000203</v>
      </c>
      <c r="G31" s="425">
        <v>111.75559899999989</v>
      </c>
      <c r="H31" s="425">
        <v>107.28843899999997</v>
      </c>
      <c r="I31" s="425">
        <v>88.750116000000006</v>
      </c>
      <c r="J31" s="425">
        <v>83.324024000000037</v>
      </c>
      <c r="K31" s="425">
        <v>101.26519099999979</v>
      </c>
      <c r="L31" s="425">
        <v>111.956447</v>
      </c>
      <c r="M31" s="425">
        <v>103.24762300000006</v>
      </c>
      <c r="N31" s="425">
        <v>101.93405878000002</v>
      </c>
      <c r="O31" s="425">
        <v>112.86008738000085</v>
      </c>
      <c r="P31" s="425">
        <v>139.77737728000056</v>
      </c>
      <c r="Q31" s="425">
        <v>109.73463037000016</v>
      </c>
      <c r="R31" s="488">
        <v>120.59634002000014</v>
      </c>
      <c r="S31" s="425">
        <v>103.58150007999993</v>
      </c>
      <c r="T31" s="425">
        <v>93.453219509999926</v>
      </c>
      <c r="U31" s="425">
        <v>91.671254040000463</v>
      </c>
      <c r="V31" s="488">
        <v>129.57101090999976</v>
      </c>
      <c r="W31" s="425">
        <v>138.17535549999994</v>
      </c>
      <c r="X31" s="425">
        <v>202.84203511000038</v>
      </c>
      <c r="Y31" s="425">
        <v>187.90550299999992</v>
      </c>
      <c r="Z31" s="488">
        <v>139.9277110000001</v>
      </c>
      <c r="AA31" s="425">
        <v>30</v>
      </c>
    </row>
    <row r="32" spans="1:28" ht="18">
      <c r="A32" s="426" t="s">
        <v>1041</v>
      </c>
      <c r="B32" s="326">
        <f t="shared" ref="B32:D32" si="7">SUM(B28:B31)</f>
        <v>360.03140000000008</v>
      </c>
      <c r="C32" s="326">
        <f t="shared" si="7"/>
        <v>380.90405099999992</v>
      </c>
      <c r="D32" s="326">
        <f t="shared" si="7"/>
        <v>262.45348000000001</v>
      </c>
      <c r="E32" s="326">
        <f>SUM(E28:E31)</f>
        <v>500.79589699999997</v>
      </c>
      <c r="F32" s="326">
        <f t="shared" ref="F32:X32" si="8">SUM(F28:F31)</f>
        <v>447.51367400000009</v>
      </c>
      <c r="G32" s="326">
        <f t="shared" si="8"/>
        <v>641.63083099999983</v>
      </c>
      <c r="H32" s="326">
        <f t="shared" si="8"/>
        <v>665.21149999999989</v>
      </c>
      <c r="I32" s="326">
        <f t="shared" si="8"/>
        <v>572.57309999999995</v>
      </c>
      <c r="J32" s="326">
        <f t="shared" si="8"/>
        <v>406.13430000000005</v>
      </c>
      <c r="K32" s="326">
        <f t="shared" si="8"/>
        <v>640.80409999999983</v>
      </c>
      <c r="L32" s="326">
        <f t="shared" si="8"/>
        <v>754.69119999999998</v>
      </c>
      <c r="M32" s="326">
        <f t="shared" si="8"/>
        <v>677.97663300000011</v>
      </c>
      <c r="N32" s="326">
        <f t="shared" si="8"/>
        <v>720.39223500000003</v>
      </c>
      <c r="O32" s="326">
        <f t="shared" si="8"/>
        <v>880.29447000000084</v>
      </c>
      <c r="P32" s="326">
        <f t="shared" si="8"/>
        <v>769.2038380000007</v>
      </c>
      <c r="Q32" s="326">
        <f t="shared" si="8"/>
        <v>768.6103320000002</v>
      </c>
      <c r="R32" s="326">
        <f t="shared" si="8"/>
        <v>745.5557110000002</v>
      </c>
      <c r="S32" s="326">
        <f t="shared" si="8"/>
        <v>503.36588899999992</v>
      </c>
      <c r="T32" s="326">
        <f t="shared" si="8"/>
        <v>568.32200599999999</v>
      </c>
      <c r="U32" s="326">
        <f t="shared" si="8"/>
        <v>481.42224500000043</v>
      </c>
      <c r="V32" s="326">
        <f t="shared" si="8"/>
        <v>628.48558399999979</v>
      </c>
      <c r="W32" s="326">
        <f t="shared" si="8"/>
        <v>543.45001000000002</v>
      </c>
      <c r="X32" s="326">
        <f t="shared" si="8"/>
        <v>684.81098500000053</v>
      </c>
      <c r="Y32" s="326">
        <f>SUM(Y28:Y31)</f>
        <v>751.45947200000001</v>
      </c>
      <c r="Z32" s="326">
        <f>SUM(Z28:Z31)</f>
        <v>681.10102400000005</v>
      </c>
      <c r="AA32" s="326">
        <f>SUM(AA28:AA31)</f>
        <v>568.87559999999996</v>
      </c>
    </row>
    <row r="33" spans="1:28" ht="18">
      <c r="A33" s="413" t="s">
        <v>1042</v>
      </c>
      <c r="B33" s="368"/>
      <c r="C33" s="368"/>
      <c r="D33" s="368"/>
      <c r="E33" s="368"/>
      <c r="F33" s="368"/>
      <c r="G33" s="368"/>
      <c r="H33" s="368"/>
      <c r="I33" s="368"/>
      <c r="J33" s="368"/>
      <c r="K33" s="368"/>
      <c r="L33" s="368"/>
      <c r="M33" s="368"/>
      <c r="N33" s="368"/>
      <c r="O33" s="368"/>
      <c r="P33" s="368"/>
      <c r="Q33" s="368"/>
      <c r="R33" s="368"/>
      <c r="S33" s="368"/>
      <c r="T33" s="368"/>
      <c r="U33" s="368"/>
      <c r="V33" s="427"/>
      <c r="W33" s="427"/>
      <c r="X33" s="427"/>
      <c r="Y33" s="427"/>
      <c r="Z33" s="427"/>
      <c r="AA33" s="427"/>
      <c r="AB33" s="428"/>
    </row>
    <row r="34" spans="1:28" ht="18">
      <c r="A34" s="429" t="s">
        <v>1065</v>
      </c>
      <c r="B34" s="430">
        <v>6</v>
      </c>
      <c r="C34" s="430">
        <v>7.0907410000000004</v>
      </c>
      <c r="D34" s="430">
        <v>5.5163280000000006</v>
      </c>
      <c r="E34" s="430">
        <v>12.995837999999999</v>
      </c>
      <c r="F34" s="430">
        <v>16.904830999999998</v>
      </c>
      <c r="G34" s="430">
        <v>34.361512000000005</v>
      </c>
      <c r="H34" s="430">
        <v>38.980800000000002</v>
      </c>
      <c r="I34" s="430">
        <v>29.576499999999996</v>
      </c>
      <c r="J34" s="430">
        <v>18.988999999999997</v>
      </c>
      <c r="K34" s="430">
        <v>16.151300000000003</v>
      </c>
      <c r="L34" s="430">
        <v>41.677300000000002</v>
      </c>
      <c r="M34" s="430">
        <v>36.957699999999996</v>
      </c>
      <c r="N34" s="430">
        <v>42.154499999999999</v>
      </c>
      <c r="O34" s="430">
        <v>60.214800000000004</v>
      </c>
      <c r="P34" s="430">
        <v>52.921899999999994</v>
      </c>
      <c r="Q34" s="430">
        <v>71.19</v>
      </c>
      <c r="R34" s="430">
        <v>58.960200000000015</v>
      </c>
      <c r="S34" s="430">
        <v>32.636399999999995</v>
      </c>
      <c r="T34" s="430">
        <v>72.136200000000002</v>
      </c>
      <c r="U34" s="430">
        <v>44.3249</v>
      </c>
      <c r="V34" s="430">
        <v>67.926500000000004</v>
      </c>
      <c r="W34" s="430">
        <v>38.503200000000007</v>
      </c>
      <c r="X34" s="430">
        <v>100.85599999999999</v>
      </c>
      <c r="Y34" s="430">
        <v>118.11070000000001</v>
      </c>
      <c r="Z34" s="430">
        <v>91.184900000000013</v>
      </c>
      <c r="AA34" s="430">
        <v>27</v>
      </c>
    </row>
    <row r="35" spans="1:28" ht="18">
      <c r="A35" s="171" t="s">
        <v>1044</v>
      </c>
      <c r="B35" s="430">
        <v>0</v>
      </c>
      <c r="C35" s="430">
        <v>0</v>
      </c>
      <c r="D35" s="430">
        <v>9.4020000000000006E-2</v>
      </c>
      <c r="E35" s="430">
        <v>0.2077</v>
      </c>
      <c r="F35" s="430">
        <v>0.120015</v>
      </c>
      <c r="G35" s="430">
        <v>8.0000000000000002E-3</v>
      </c>
      <c r="H35" s="430">
        <v>0</v>
      </c>
      <c r="I35" s="430">
        <v>2.3E-3</v>
      </c>
      <c r="J35" s="430">
        <v>3.5099999999999999E-2</v>
      </c>
      <c r="K35" s="430">
        <v>8.2599999999999993E-2</v>
      </c>
      <c r="L35" s="430">
        <v>0.46079999999999999</v>
      </c>
      <c r="M35" s="430">
        <v>8.0099999999999991E-2</v>
      </c>
      <c r="N35" s="430">
        <v>0.3201</v>
      </c>
      <c r="O35" s="430">
        <v>0.41910000000000003</v>
      </c>
      <c r="P35" s="430">
        <v>0.2331</v>
      </c>
      <c r="Q35" s="430">
        <v>6.1999999999999998E-3</v>
      </c>
      <c r="R35" s="430">
        <v>0.20430000000000001</v>
      </c>
      <c r="S35" s="430">
        <v>0.109</v>
      </c>
      <c r="T35" s="430">
        <v>0.22639999999999999</v>
      </c>
      <c r="U35" s="430">
        <v>0.14269999999999999</v>
      </c>
      <c r="V35" s="430">
        <v>0.2117</v>
      </c>
      <c r="W35" s="430">
        <v>0.15749999999999983</v>
      </c>
      <c r="X35" s="430">
        <v>0.36619999999999847</v>
      </c>
      <c r="Y35" s="430">
        <v>0.10610000000000036</v>
      </c>
      <c r="Z35" s="430">
        <v>0.79250000000000087</v>
      </c>
      <c r="AA35" s="430">
        <v>0.4</v>
      </c>
    </row>
    <row r="36" spans="1:28" ht="18">
      <c r="A36" s="426" t="s">
        <v>1051</v>
      </c>
      <c r="B36" s="326">
        <f>B35+B34</f>
        <v>6</v>
      </c>
      <c r="C36" s="326">
        <f t="shared" ref="C36:AA36" si="9">C35+C34</f>
        <v>7.0907410000000004</v>
      </c>
      <c r="D36" s="326">
        <f t="shared" si="9"/>
        <v>5.610348000000001</v>
      </c>
      <c r="E36" s="326">
        <f t="shared" si="9"/>
        <v>13.203537999999998</v>
      </c>
      <c r="F36" s="326">
        <f t="shared" si="9"/>
        <v>17.024845999999997</v>
      </c>
      <c r="G36" s="326">
        <f t="shared" si="9"/>
        <v>34.369512000000007</v>
      </c>
      <c r="H36" s="326">
        <f t="shared" si="9"/>
        <v>38.980800000000002</v>
      </c>
      <c r="I36" s="326">
        <f t="shared" si="9"/>
        <v>29.578799999999998</v>
      </c>
      <c r="J36" s="326">
        <f t="shared" si="9"/>
        <v>19.024099999999997</v>
      </c>
      <c r="K36" s="326">
        <f t="shared" si="9"/>
        <v>16.233900000000002</v>
      </c>
      <c r="L36" s="326">
        <f t="shared" si="9"/>
        <v>42.138100000000001</v>
      </c>
      <c r="M36" s="326">
        <f t="shared" si="9"/>
        <v>37.037799999999997</v>
      </c>
      <c r="N36" s="326">
        <f t="shared" si="9"/>
        <v>42.474599999999995</v>
      </c>
      <c r="O36" s="326">
        <f t="shared" si="9"/>
        <v>60.633900000000004</v>
      </c>
      <c r="P36" s="326">
        <f t="shared" si="9"/>
        <v>53.154999999999994</v>
      </c>
      <c r="Q36" s="326">
        <f t="shared" si="9"/>
        <v>71.196200000000005</v>
      </c>
      <c r="R36" s="505">
        <f t="shared" si="9"/>
        <v>59.164500000000018</v>
      </c>
      <c r="S36" s="326">
        <f t="shared" si="9"/>
        <v>32.745399999999997</v>
      </c>
      <c r="T36" s="326">
        <f t="shared" si="9"/>
        <v>72.3626</v>
      </c>
      <c r="U36" s="326">
        <f t="shared" si="9"/>
        <v>44.467599999999997</v>
      </c>
      <c r="V36" s="505">
        <f t="shared" si="9"/>
        <v>68.138199999999998</v>
      </c>
      <c r="W36" s="326">
        <f t="shared" si="9"/>
        <v>38.660700000000006</v>
      </c>
      <c r="X36" s="326">
        <f t="shared" si="9"/>
        <v>101.22219999999999</v>
      </c>
      <c r="Y36" s="326">
        <f t="shared" si="9"/>
        <v>118.21680000000001</v>
      </c>
      <c r="Z36" s="505">
        <f t="shared" si="9"/>
        <v>91.977400000000017</v>
      </c>
      <c r="AA36" s="326">
        <f t="shared" si="9"/>
        <v>27.4</v>
      </c>
    </row>
    <row r="37" spans="1:28" thickBot="1">
      <c r="A37" s="434" t="s">
        <v>1052</v>
      </c>
      <c r="B37" s="335">
        <f t="shared" ref="B37:AA37" si="10">B36+B32</f>
        <v>366.03140000000008</v>
      </c>
      <c r="C37" s="335">
        <f t="shared" si="10"/>
        <v>387.9947919999999</v>
      </c>
      <c r="D37" s="335">
        <f t="shared" si="10"/>
        <v>268.063828</v>
      </c>
      <c r="E37" s="335">
        <f t="shared" si="10"/>
        <v>513.99943499999995</v>
      </c>
      <c r="F37" s="335">
        <f t="shared" si="10"/>
        <v>464.53852000000006</v>
      </c>
      <c r="G37" s="335">
        <f t="shared" si="10"/>
        <v>676.00034299999982</v>
      </c>
      <c r="H37" s="335">
        <f t="shared" si="10"/>
        <v>704.19229999999993</v>
      </c>
      <c r="I37" s="335">
        <f t="shared" si="10"/>
        <v>602.15189999999996</v>
      </c>
      <c r="J37" s="335">
        <f t="shared" si="10"/>
        <v>425.15840000000003</v>
      </c>
      <c r="K37" s="335">
        <f t="shared" si="10"/>
        <v>657.03799999999978</v>
      </c>
      <c r="L37" s="335">
        <f t="shared" si="10"/>
        <v>796.82929999999999</v>
      </c>
      <c r="M37" s="335">
        <f t="shared" si="10"/>
        <v>715.01443300000005</v>
      </c>
      <c r="N37" s="335">
        <f t="shared" si="10"/>
        <v>762.86683500000004</v>
      </c>
      <c r="O37" s="335">
        <f t="shared" si="10"/>
        <v>940.92837000000088</v>
      </c>
      <c r="P37" s="335">
        <f t="shared" si="10"/>
        <v>822.35883800000067</v>
      </c>
      <c r="Q37" s="335">
        <f t="shared" si="10"/>
        <v>839.80653200000017</v>
      </c>
      <c r="R37" s="335">
        <f t="shared" si="10"/>
        <v>804.72021100000018</v>
      </c>
      <c r="S37" s="335">
        <f t="shared" si="10"/>
        <v>536.11128899999994</v>
      </c>
      <c r="T37" s="335">
        <f t="shared" si="10"/>
        <v>640.68460600000003</v>
      </c>
      <c r="U37" s="335">
        <f t="shared" si="10"/>
        <v>525.88984500000038</v>
      </c>
      <c r="V37" s="335">
        <f t="shared" si="10"/>
        <v>696.62378399999977</v>
      </c>
      <c r="W37" s="335">
        <f t="shared" si="10"/>
        <v>582.11071000000004</v>
      </c>
      <c r="X37" s="335">
        <f t="shared" si="10"/>
        <v>786.03318500000046</v>
      </c>
      <c r="Y37" s="335">
        <f t="shared" si="10"/>
        <v>869.67627200000004</v>
      </c>
      <c r="Z37" s="335">
        <f t="shared" si="10"/>
        <v>773.07842400000004</v>
      </c>
      <c r="AA37" s="335">
        <f t="shared" si="10"/>
        <v>596.27559999999994</v>
      </c>
    </row>
    <row r="38" spans="1:28" thickTop="1">
      <c r="A38" s="435"/>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row>
    <row r="39" spans="1:28">
      <c r="A39" s="436" t="s">
        <v>1053</v>
      </c>
      <c r="B39" s="437">
        <f>SUM(B40:B41)</f>
        <v>8.9314999999999998</v>
      </c>
      <c r="C39" s="437">
        <f t="shared" ref="C39:Z39" si="11">SUM(C40:C41)</f>
        <v>13.2409</v>
      </c>
      <c r="D39" s="437">
        <f t="shared" si="11"/>
        <v>11.2189</v>
      </c>
      <c r="E39" s="437">
        <f t="shared" si="11"/>
        <v>34.077800000000003</v>
      </c>
      <c r="F39" s="437">
        <f t="shared" si="11"/>
        <v>16.964600000000001</v>
      </c>
      <c r="G39" s="437">
        <f t="shared" si="11"/>
        <v>36.428600000000003</v>
      </c>
      <c r="H39" s="437">
        <f t="shared" si="11"/>
        <v>29.738299999999999</v>
      </c>
      <c r="I39" s="437">
        <f t="shared" si="11"/>
        <v>24.666599999999999</v>
      </c>
      <c r="J39" s="437">
        <f t="shared" si="11"/>
        <v>34.159399999999998</v>
      </c>
      <c r="K39" s="437">
        <f t="shared" si="11"/>
        <v>47.508199999999995</v>
      </c>
      <c r="L39" s="437">
        <f t="shared" si="11"/>
        <v>38.844300000000004</v>
      </c>
      <c r="M39" s="437">
        <f t="shared" si="11"/>
        <v>66.884266999999994</v>
      </c>
      <c r="N39" s="437">
        <f t="shared" si="11"/>
        <v>53.039254</v>
      </c>
      <c r="O39" s="437">
        <f t="shared" si="11"/>
        <v>118.35534600000001</v>
      </c>
      <c r="P39" s="437">
        <f t="shared" si="11"/>
        <v>74.83708</v>
      </c>
      <c r="Q39" s="437">
        <f t="shared" si="11"/>
        <v>73.707910999999996</v>
      </c>
      <c r="R39" s="437">
        <f t="shared" si="11"/>
        <v>65.819698000000002</v>
      </c>
      <c r="S39" s="437">
        <f t="shared" si="11"/>
        <v>46.373201000000002</v>
      </c>
      <c r="T39" s="437">
        <f t="shared" si="11"/>
        <v>69.269344000000004</v>
      </c>
      <c r="U39" s="437">
        <f t="shared" si="11"/>
        <v>60.296894999999999</v>
      </c>
      <c r="V39" s="437">
        <f t="shared" si="11"/>
        <v>112.70981999999998</v>
      </c>
      <c r="W39" s="437">
        <f t="shared" si="11"/>
        <v>48.789459999999998</v>
      </c>
      <c r="X39" s="437">
        <f t="shared" si="11"/>
        <v>114.35226399999999</v>
      </c>
      <c r="Y39" s="437">
        <f t="shared" si="11"/>
        <v>67.726067</v>
      </c>
      <c r="Z39" s="437">
        <f t="shared" si="11"/>
        <v>102.16094299999999</v>
      </c>
      <c r="AA39" s="340">
        <f>AA24-AA37</f>
        <v>46.745342999999934</v>
      </c>
    </row>
    <row r="40" spans="1:28" ht="18">
      <c r="A40" s="271" t="s">
        <v>1054</v>
      </c>
      <c r="B40" s="438">
        <v>6.8171999999999997</v>
      </c>
      <c r="C40" s="438">
        <v>9.8116000000000003</v>
      </c>
      <c r="D40" s="438">
        <v>9.8116000000000003</v>
      </c>
      <c r="E40" s="438">
        <v>28.336400000000001</v>
      </c>
      <c r="F40" s="438">
        <v>13.1701</v>
      </c>
      <c r="G40" s="438">
        <v>29.892700000000001</v>
      </c>
      <c r="H40" s="438">
        <v>24.6921</v>
      </c>
      <c r="I40" s="438">
        <v>19.187999999999999</v>
      </c>
      <c r="J40" s="438">
        <v>27.829799999999999</v>
      </c>
      <c r="K40" s="438">
        <v>35.974599999999995</v>
      </c>
      <c r="L40" s="438">
        <v>28.627700000000001</v>
      </c>
      <c r="M40" s="438">
        <v>54.366199999999999</v>
      </c>
      <c r="N40" s="438">
        <v>41.772599999999997</v>
      </c>
      <c r="O40" s="438">
        <v>102.17830000000001</v>
      </c>
      <c r="P40" s="438">
        <v>61.834099999999999</v>
      </c>
      <c r="Q40" s="490">
        <v>55.837000000000003</v>
      </c>
      <c r="R40" s="490">
        <v>48.278700000000008</v>
      </c>
      <c r="S40" s="438">
        <v>33.913200000000003</v>
      </c>
      <c r="T40" s="438">
        <v>56.088999999999999</v>
      </c>
      <c r="U40" s="490">
        <v>48.426499999999997</v>
      </c>
      <c r="V40" s="490">
        <v>93.672699999999978</v>
      </c>
      <c r="W40" s="438">
        <v>37.017899999999997</v>
      </c>
      <c r="X40" s="438">
        <v>95.829599999999999</v>
      </c>
      <c r="Y40" s="490">
        <v>52.422699999999999</v>
      </c>
      <c r="Z40" s="490">
        <v>81.069199999999995</v>
      </c>
      <c r="AA40" s="438"/>
    </row>
    <row r="41" spans="1:28" ht="18">
      <c r="A41" s="271" t="s">
        <v>1055</v>
      </c>
      <c r="B41" s="438">
        <v>2.1143000000000001</v>
      </c>
      <c r="C41" s="438">
        <v>3.4293</v>
      </c>
      <c r="D41" s="438">
        <v>1.4073</v>
      </c>
      <c r="E41" s="438">
        <v>5.7413999999999996</v>
      </c>
      <c r="F41" s="438">
        <v>3.7945000000000002</v>
      </c>
      <c r="G41" s="438">
        <v>6.5358999999999998</v>
      </c>
      <c r="H41" s="438">
        <v>5.0461999999999998</v>
      </c>
      <c r="I41" s="438">
        <v>5.4786000000000001</v>
      </c>
      <c r="J41" s="438">
        <v>6.3296000000000001</v>
      </c>
      <c r="K41" s="438">
        <v>11.5336</v>
      </c>
      <c r="L41" s="438">
        <v>10.2166</v>
      </c>
      <c r="M41" s="438">
        <v>12.518066999999999</v>
      </c>
      <c r="N41" s="438">
        <v>11.266654000000001</v>
      </c>
      <c r="O41" s="438">
        <v>16.177046000000001</v>
      </c>
      <c r="P41" s="438">
        <v>13.002979999999999</v>
      </c>
      <c r="Q41" s="438">
        <v>17.870911</v>
      </c>
      <c r="R41" s="438">
        <v>17.540997999999998</v>
      </c>
      <c r="S41" s="438">
        <v>12.460001</v>
      </c>
      <c r="T41" s="438">
        <v>13.180344</v>
      </c>
      <c r="U41" s="438">
        <v>11.870395</v>
      </c>
      <c r="V41" s="438">
        <v>19.037119999999998</v>
      </c>
      <c r="W41" s="438">
        <v>11.771559999999999</v>
      </c>
      <c r="X41" s="438">
        <v>18.522663999999999</v>
      </c>
      <c r="Y41" s="438">
        <v>15.303367</v>
      </c>
      <c r="Z41" s="438">
        <v>21.091742999999997</v>
      </c>
      <c r="AA41" s="438"/>
    </row>
    <row r="42" spans="1:28">
      <c r="U42" s="443"/>
      <c r="V42" s="443"/>
      <c r="W42" s="443"/>
      <c r="X42" s="442"/>
      <c r="Y42" s="442"/>
      <c r="Z42" s="442"/>
      <c r="AA42" s="442"/>
    </row>
    <row r="44" spans="1:28">
      <c r="V44" s="443"/>
    </row>
    <row r="47" spans="1:28">
      <c r="X47" s="491"/>
    </row>
  </sheetData>
  <mergeCells count="2">
    <mergeCell ref="B1:Y1"/>
    <mergeCell ref="B15:Z1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5247-4330-4BDB-A42B-73D002C6E4C6}">
  <sheetPr>
    <tabColor rgb="FFFFC000"/>
  </sheetPr>
  <dimension ref="A1:AB46"/>
  <sheetViews>
    <sheetView zoomScale="70" zoomScaleNormal="70" workbookViewId="0">
      <pane xSplit="1" ySplit="3" topLeftCell="K23" activePane="bottomRight" state="frozen"/>
      <selection activeCell="X47" sqref="X47"/>
      <selection pane="topRight" activeCell="X47" sqref="X47"/>
      <selection pane="bottomLeft" activeCell="X47" sqref="X47"/>
      <selection pane="bottomRight" activeCell="Z36" sqref="A1:AB46"/>
    </sheetView>
  </sheetViews>
  <sheetFormatPr baseColWidth="10" defaultRowHeight="18.600000000000001"/>
  <cols>
    <col min="1" max="1" width="57.109375" style="281" customWidth="1"/>
    <col min="2" max="13" width="11.109375" style="279" customWidth="1"/>
    <col min="14" max="17" width="9.88671875" style="279" customWidth="1"/>
    <col min="18" max="18" width="11.109375" style="279" customWidth="1"/>
    <col min="19" max="19" width="12.5546875" style="279" customWidth="1"/>
    <col min="20" max="21" width="13" style="279" customWidth="1"/>
    <col min="22" max="22" width="15" style="149" customWidth="1"/>
    <col min="23" max="23" width="13.109375" style="149" customWidth="1"/>
    <col min="24" max="24" width="15.109375" style="149" customWidth="1"/>
    <col min="25" max="27" width="15" style="149" customWidth="1"/>
    <col min="28" max="16384" width="11.5546875" style="149"/>
  </cols>
  <sheetData>
    <row r="1" spans="1:27" ht="93" customHeight="1">
      <c r="A1" s="149"/>
      <c r="B1" s="695" t="s">
        <v>1100</v>
      </c>
      <c r="C1" s="695"/>
      <c r="D1" s="695"/>
      <c r="E1" s="695"/>
      <c r="F1" s="695"/>
      <c r="G1" s="695"/>
      <c r="H1" s="695"/>
      <c r="I1" s="695"/>
      <c r="J1" s="695"/>
      <c r="K1" s="695"/>
      <c r="L1" s="695"/>
      <c r="M1" s="695"/>
      <c r="N1" s="695"/>
      <c r="O1" s="695"/>
      <c r="P1" s="695"/>
      <c r="Q1" s="695"/>
      <c r="R1" s="695"/>
      <c r="S1" s="695"/>
      <c r="T1" s="695"/>
      <c r="U1" s="695"/>
      <c r="V1" s="695"/>
      <c r="W1" s="695"/>
      <c r="X1" s="695"/>
      <c r="Y1" s="695"/>
      <c r="Z1" s="695"/>
      <c r="AA1" s="147"/>
    </row>
    <row r="2" spans="1:27" ht="18">
      <c r="A2" s="378"/>
      <c r="B2" s="379" t="s">
        <v>1008</v>
      </c>
      <c r="C2" s="379" t="s">
        <v>105</v>
      </c>
      <c r="D2" s="379" t="s">
        <v>108</v>
      </c>
      <c r="E2" s="379" t="s">
        <v>109</v>
      </c>
      <c r="F2" s="379" t="s">
        <v>106</v>
      </c>
      <c r="G2" s="379" t="s">
        <v>110</v>
      </c>
      <c r="H2" s="379" t="s">
        <v>111</v>
      </c>
      <c r="I2" s="379" t="s">
        <v>112</v>
      </c>
      <c r="J2" s="379" t="s">
        <v>113</v>
      </c>
      <c r="K2" s="379" t="s">
        <v>107</v>
      </c>
      <c r="L2" s="379" t="s">
        <v>114</v>
      </c>
      <c r="M2" s="379" t="s">
        <v>115</v>
      </c>
      <c r="N2" s="379" t="s">
        <v>116</v>
      </c>
      <c r="O2" s="379" t="s">
        <v>117</v>
      </c>
      <c r="P2" s="379" t="s">
        <v>118</v>
      </c>
      <c r="Q2" s="379" t="s">
        <v>119</v>
      </c>
      <c r="R2" s="379" t="s">
        <v>120</v>
      </c>
      <c r="S2" s="379" t="s">
        <v>121</v>
      </c>
      <c r="T2" s="379" t="s">
        <v>122</v>
      </c>
      <c r="U2" s="379" t="s">
        <v>123</v>
      </c>
      <c r="V2" s="379" t="s">
        <v>124</v>
      </c>
      <c r="W2" s="379" t="s">
        <v>125</v>
      </c>
      <c r="X2" s="379" t="s">
        <v>126</v>
      </c>
      <c r="Y2" s="379" t="s">
        <v>127</v>
      </c>
      <c r="Z2" s="379" t="s">
        <v>128</v>
      </c>
      <c r="AA2" s="379" t="s">
        <v>129</v>
      </c>
    </row>
    <row r="3" spans="1:27" ht="18">
      <c r="A3" s="380" t="s">
        <v>1009</v>
      </c>
      <c r="B3" s="381"/>
      <c r="C3" s="381"/>
      <c r="D3" s="381"/>
      <c r="E3" s="381"/>
      <c r="F3" s="381"/>
      <c r="G3" s="381"/>
      <c r="H3" s="381"/>
      <c r="I3" s="381"/>
      <c r="J3" s="381"/>
      <c r="K3" s="381"/>
      <c r="L3" s="381"/>
      <c r="M3" s="381"/>
      <c r="N3" s="381"/>
      <c r="O3" s="382"/>
      <c r="P3" s="382"/>
      <c r="Q3" s="381"/>
      <c r="R3" s="381"/>
      <c r="S3" s="284"/>
      <c r="T3" s="284"/>
      <c r="U3" s="284"/>
      <c r="V3" s="284"/>
      <c r="W3" s="284"/>
      <c r="X3" s="349"/>
      <c r="Y3" s="349"/>
      <c r="Z3" s="349" t="str">
        <f>'Bilans Blé tendre - FAM'!AC3</f>
        <v>Prov. Mars 25</v>
      </c>
      <c r="AA3" s="349" t="str">
        <f>'Bilans Blé tendre - FAM'!AD3</f>
        <v>Prév. Mars 25</v>
      </c>
    </row>
    <row r="4" spans="1:27" ht="18">
      <c r="A4" s="285"/>
      <c r="B4" s="161"/>
      <c r="C4" s="161"/>
      <c r="D4" s="161"/>
      <c r="E4" s="161"/>
      <c r="F4" s="161"/>
      <c r="G4" s="161"/>
      <c r="H4" s="161"/>
      <c r="I4" s="161"/>
      <c r="J4" s="161"/>
      <c r="K4" s="161"/>
      <c r="L4" s="161"/>
      <c r="M4" s="161"/>
      <c r="N4" s="161"/>
      <c r="O4" s="161"/>
      <c r="P4" s="161"/>
      <c r="Q4" s="161"/>
      <c r="R4" s="161"/>
      <c r="S4" s="161"/>
      <c r="T4" s="161"/>
      <c r="U4" s="161"/>
      <c r="V4" s="162"/>
      <c r="W4" s="162"/>
      <c r="X4" s="162"/>
      <c r="Y4" s="162"/>
      <c r="Z4" s="162"/>
      <c r="AA4" s="162"/>
    </row>
    <row r="5" spans="1:27">
      <c r="A5" s="164" t="s">
        <v>1013</v>
      </c>
      <c r="B5" s="350">
        <f t="shared" ref="B5:AA5" si="0">B21/B9</f>
        <v>0.8066243524977823</v>
      </c>
      <c r="C5" s="350">
        <f t="shared" si="0"/>
        <v>0.85975768791632157</v>
      </c>
      <c r="D5" s="350">
        <f t="shared" si="0"/>
        <v>0.82175609793266513</v>
      </c>
      <c r="E5" s="350">
        <f t="shared" si="0"/>
        <v>0.79583467539242392</v>
      </c>
      <c r="F5" s="350">
        <f t="shared" si="0"/>
        <v>0.72544100672043943</v>
      </c>
      <c r="G5" s="350">
        <f t="shared" si="0"/>
        <v>0.68792223879587266</v>
      </c>
      <c r="H5" s="350">
        <f t="shared" si="0"/>
        <v>0.7191524773409983</v>
      </c>
      <c r="I5" s="350">
        <f t="shared" si="0"/>
        <v>0.73320586425560252</v>
      </c>
      <c r="J5" s="350">
        <f t="shared" si="0"/>
        <v>0.64248753758872346</v>
      </c>
      <c r="K5" s="350">
        <f t="shared" si="0"/>
        <v>0.59909582424941665</v>
      </c>
      <c r="L5" s="350">
        <f t="shared" si="0"/>
        <v>0.63433256770905189</v>
      </c>
      <c r="M5" s="350">
        <f t="shared" si="0"/>
        <v>0.5839282171610608</v>
      </c>
      <c r="N5" s="350">
        <f t="shared" si="0"/>
        <v>0.48662960982745962</v>
      </c>
      <c r="O5" s="350">
        <f t="shared" si="0"/>
        <v>0.50880939201187159</v>
      </c>
      <c r="P5" s="350">
        <f t="shared" si="0"/>
        <v>0.52671780650965805</v>
      </c>
      <c r="Q5" s="350">
        <f t="shared" si="0"/>
        <v>0.71338598481981697</v>
      </c>
      <c r="R5" s="350">
        <f t="shared" si="0"/>
        <v>0.59041275442302277</v>
      </c>
      <c r="S5" s="350">
        <f t="shared" si="0"/>
        <v>0.56386245734769402</v>
      </c>
      <c r="T5" s="350">
        <f t="shared" si="0"/>
        <v>0.65061480581339726</v>
      </c>
      <c r="U5" s="350">
        <f t="shared" si="0"/>
        <v>0.59433316581502893</v>
      </c>
      <c r="V5" s="350">
        <f t="shared" si="0"/>
        <v>0.52606561859704626</v>
      </c>
      <c r="W5" s="350">
        <f t="shared" si="0"/>
        <v>0.69168384609079769</v>
      </c>
      <c r="X5" s="350">
        <f t="shared" si="0"/>
        <v>0.72394004898882114</v>
      </c>
      <c r="Y5" s="350">
        <f t="shared" si="0"/>
        <v>0.59610834810409163</v>
      </c>
      <c r="Z5" s="350">
        <f t="shared" si="0"/>
        <v>0.76728720618905955</v>
      </c>
      <c r="AA5" s="350">
        <f t="shared" si="0"/>
        <v>0.73444885054882925</v>
      </c>
    </row>
    <row r="6" spans="1:27">
      <c r="A6" s="288"/>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row>
    <row r="7" spans="1:27" ht="18">
      <c r="A7" s="292" t="s">
        <v>1014</v>
      </c>
      <c r="B7" s="383">
        <v>51.497</v>
      </c>
      <c r="C7" s="383">
        <v>59.342000000000006</v>
      </c>
      <c r="D7" s="383">
        <v>66.956999999999994</v>
      </c>
      <c r="E7" s="383">
        <v>70.199000000000012</v>
      </c>
      <c r="F7" s="383">
        <v>59.743000000000002</v>
      </c>
      <c r="G7" s="383">
        <v>46.505999999999993</v>
      </c>
      <c r="H7" s="383">
        <v>49.35499999999999</v>
      </c>
      <c r="I7" s="383">
        <v>53.492999999999995</v>
      </c>
      <c r="J7" s="383">
        <v>47.006</v>
      </c>
      <c r="K7" s="383">
        <v>35.378</v>
      </c>
      <c r="L7" s="383">
        <v>54.908999999999999</v>
      </c>
      <c r="M7" s="383">
        <v>47.654000000000003</v>
      </c>
      <c r="N7" s="383">
        <v>43.440000000000005</v>
      </c>
      <c r="O7" s="383">
        <v>42.192000000000007</v>
      </c>
      <c r="P7" s="383">
        <v>51.253999999999991</v>
      </c>
      <c r="Q7" s="383">
        <v>62.863</v>
      </c>
      <c r="R7" s="383">
        <v>53.79</v>
      </c>
      <c r="S7" s="383">
        <v>47.792000000000002</v>
      </c>
      <c r="T7" s="383">
        <v>56.238999999999997</v>
      </c>
      <c r="U7" s="383">
        <v>60.765000000000001</v>
      </c>
      <c r="V7" s="383">
        <v>83.085000000000008</v>
      </c>
      <c r="W7" s="383">
        <v>93.580999999999989</v>
      </c>
      <c r="X7" s="383">
        <v>68.10499999999999</v>
      </c>
      <c r="Y7" s="383">
        <v>48.169000000000011</v>
      </c>
      <c r="Z7" s="383">
        <v>53.523000000000003</v>
      </c>
      <c r="AA7" s="383">
        <v>100.74599999999998</v>
      </c>
    </row>
    <row r="8" spans="1:27" ht="18">
      <c r="A8" s="292" t="s">
        <v>1015</v>
      </c>
      <c r="B8" s="293">
        <f>B9/B7*10</f>
        <v>62.060605472163431</v>
      </c>
      <c r="C8" s="293">
        <f t="shared" ref="C8:AA8" si="1">C9/C7*10</f>
        <v>62.284048397425096</v>
      </c>
      <c r="D8" s="293">
        <f t="shared" si="1"/>
        <v>58.801842973848892</v>
      </c>
      <c r="E8" s="293">
        <f t="shared" si="1"/>
        <v>64.527001809142575</v>
      </c>
      <c r="F8" s="293">
        <f t="shared" si="1"/>
        <v>37.818254858309757</v>
      </c>
      <c r="G8" s="293">
        <f t="shared" si="1"/>
        <v>53.395088805745495</v>
      </c>
      <c r="H8" s="293">
        <f t="shared" si="1"/>
        <v>51.592320940127657</v>
      </c>
      <c r="I8" s="293">
        <f t="shared" si="1"/>
        <v>55.142448544669406</v>
      </c>
      <c r="J8" s="293">
        <f t="shared" si="1"/>
        <v>58.598540611836789</v>
      </c>
      <c r="K8" s="293">
        <f t="shared" si="1"/>
        <v>62.129685115043252</v>
      </c>
      <c r="L8" s="293">
        <f t="shared" si="1"/>
        <v>53.853903731628705</v>
      </c>
      <c r="M8" s="293">
        <f t="shared" si="1"/>
        <v>55.108553321861748</v>
      </c>
      <c r="N8" s="293">
        <f t="shared" si="1"/>
        <v>64.627048802946575</v>
      </c>
      <c r="O8" s="293">
        <f t="shared" si="1"/>
        <v>56.860542282897214</v>
      </c>
      <c r="P8" s="293">
        <f t="shared" si="1"/>
        <v>54.344421898778641</v>
      </c>
      <c r="Q8" s="293">
        <f t="shared" si="1"/>
        <v>63.267088748548439</v>
      </c>
      <c r="R8" s="293">
        <f t="shared" si="1"/>
        <v>51.768618702361039</v>
      </c>
      <c r="S8" s="293">
        <f t="shared" si="1"/>
        <v>50.958110143957143</v>
      </c>
      <c r="T8" s="293">
        <f t="shared" si="1"/>
        <v>57.92995963655116</v>
      </c>
      <c r="U8" s="293">
        <f t="shared" si="1"/>
        <v>52.721632518719652</v>
      </c>
      <c r="V8" s="293">
        <f t="shared" si="1"/>
        <v>51.49891075404706</v>
      </c>
      <c r="W8" s="293">
        <f t="shared" si="1"/>
        <v>46.67423942894392</v>
      </c>
      <c r="X8" s="293">
        <f t="shared" si="1"/>
        <v>57.349519124880715</v>
      </c>
      <c r="Y8" s="293">
        <f t="shared" si="1"/>
        <v>42.961323672901656</v>
      </c>
      <c r="Z8" s="293">
        <f t="shared" si="1"/>
        <v>56.195635521177813</v>
      </c>
      <c r="AA8" s="293">
        <f t="shared" si="1"/>
        <v>48.70745240505827</v>
      </c>
    </row>
    <row r="9" spans="1:27" ht="18">
      <c r="A9" s="292" t="s">
        <v>1016</v>
      </c>
      <c r="B9" s="383">
        <v>319.59350000000001</v>
      </c>
      <c r="C9" s="383">
        <v>369.60600000000005</v>
      </c>
      <c r="D9" s="383">
        <v>393.71949999999998</v>
      </c>
      <c r="E9" s="383">
        <v>452.97309999999999</v>
      </c>
      <c r="F9" s="383">
        <v>225.9376</v>
      </c>
      <c r="G9" s="383">
        <v>248.31919999999997</v>
      </c>
      <c r="H9" s="383">
        <v>254.63390000000001</v>
      </c>
      <c r="I9" s="383">
        <v>294.9735</v>
      </c>
      <c r="J9" s="383">
        <v>275.44830000000002</v>
      </c>
      <c r="K9" s="383">
        <v>219.80240000000001</v>
      </c>
      <c r="L9" s="383">
        <v>295.70640000000003</v>
      </c>
      <c r="M9" s="383">
        <v>262.61430000000001</v>
      </c>
      <c r="N9" s="383">
        <v>280.73989999999998</v>
      </c>
      <c r="O9" s="383">
        <v>239.90599999999998</v>
      </c>
      <c r="P9" s="383">
        <v>278.5369</v>
      </c>
      <c r="Q9" s="383">
        <v>397.71590000000003</v>
      </c>
      <c r="R9" s="486">
        <v>278.46340000000004</v>
      </c>
      <c r="S9" s="383">
        <v>243.53899999999999</v>
      </c>
      <c r="T9" s="383">
        <v>325.79230000000007</v>
      </c>
      <c r="U9" s="383">
        <v>320.36299999999994</v>
      </c>
      <c r="V9" s="486">
        <v>427.87870000000004</v>
      </c>
      <c r="W9" s="383">
        <v>436.7822000000001</v>
      </c>
      <c r="X9" s="383">
        <v>390.57890000000003</v>
      </c>
      <c r="Y9" s="383">
        <v>206.94040000000004</v>
      </c>
      <c r="Z9" s="486">
        <v>300.77590000000004</v>
      </c>
      <c r="AA9" s="383">
        <v>490.7081</v>
      </c>
    </row>
    <row r="10" spans="1:27" ht="18">
      <c r="A10" s="294"/>
      <c r="B10" s="183"/>
      <c r="C10" s="183"/>
      <c r="D10" s="183"/>
      <c r="E10" s="183"/>
      <c r="F10" s="183"/>
      <c r="G10" s="183"/>
      <c r="H10" s="183"/>
      <c r="I10" s="183"/>
      <c r="J10" s="183"/>
      <c r="K10" s="183"/>
      <c r="L10" s="183"/>
      <c r="M10" s="183"/>
      <c r="N10" s="182"/>
      <c r="O10" s="182"/>
      <c r="P10" s="182"/>
      <c r="Q10" s="182"/>
      <c r="R10" s="183"/>
      <c r="S10" s="183"/>
      <c r="T10" s="183"/>
      <c r="U10" s="183"/>
      <c r="V10" s="184"/>
      <c r="W10" s="184"/>
      <c r="X10" s="184"/>
      <c r="Y10" s="184"/>
      <c r="Z10" s="184"/>
      <c r="AA10" s="184"/>
    </row>
    <row r="11" spans="1:27" ht="36">
      <c r="A11" s="297" t="s">
        <v>1073</v>
      </c>
      <c r="B11" s="186">
        <f>B9-B21</f>
        <v>61.801600000000008</v>
      </c>
      <c r="C11" s="186">
        <f t="shared" ref="C11:AA11" si="2">C9-C21</f>
        <v>51.834400000000073</v>
      </c>
      <c r="D11" s="186">
        <f t="shared" si="2"/>
        <v>70.178100000000029</v>
      </c>
      <c r="E11" s="186">
        <f t="shared" si="2"/>
        <v>92.481400000000008</v>
      </c>
      <c r="F11" s="186">
        <f t="shared" si="2"/>
        <v>62.033200000000051</v>
      </c>
      <c r="G11" s="186">
        <f t="shared" si="2"/>
        <v>77.494899999999916</v>
      </c>
      <c r="H11" s="186">
        <f t="shared" si="2"/>
        <v>71.513299999999987</v>
      </c>
      <c r="I11" s="186">
        <f t="shared" si="2"/>
        <v>78.697200000000038</v>
      </c>
      <c r="J11" s="186">
        <f t="shared" si="2"/>
        <v>98.476200000000034</v>
      </c>
      <c r="K11" s="186">
        <f t="shared" si="2"/>
        <v>88.119700000000023</v>
      </c>
      <c r="L11" s="186">
        <f t="shared" si="2"/>
        <v>108.13020000000003</v>
      </c>
      <c r="M11" s="186">
        <f t="shared" si="2"/>
        <v>109.26640000000003</v>
      </c>
      <c r="N11" s="186">
        <f t="shared" si="2"/>
        <v>144.12355199999996</v>
      </c>
      <c r="O11" s="186">
        <f t="shared" si="2"/>
        <v>117.83957399999993</v>
      </c>
      <c r="P11" s="186">
        <f t="shared" si="2"/>
        <v>131.82655500000004</v>
      </c>
      <c r="Q11" s="186">
        <f t="shared" si="2"/>
        <v>113.99095100000017</v>
      </c>
      <c r="R11" s="492">
        <f t="shared" si="2"/>
        <v>114.05505700000006</v>
      </c>
      <c r="S11" s="186">
        <f t="shared" si="2"/>
        <v>106.21650099999994</v>
      </c>
      <c r="T11" s="186">
        <f t="shared" si="2"/>
        <v>113.82700599999995</v>
      </c>
      <c r="U11" s="186">
        <f t="shared" si="2"/>
        <v>129.96064399999986</v>
      </c>
      <c r="V11" s="492">
        <f t="shared" si="2"/>
        <v>202.78642700000003</v>
      </c>
      <c r="W11" s="186">
        <f t="shared" si="2"/>
        <v>134.66700800000001</v>
      </c>
      <c r="X11" s="186">
        <f t="shared" si="2"/>
        <v>107.82319200000012</v>
      </c>
      <c r="Y11" s="186">
        <f t="shared" si="2"/>
        <v>83.581500000000048</v>
      </c>
      <c r="Z11" s="492">
        <f t="shared" si="2"/>
        <v>69.994400000000041</v>
      </c>
      <c r="AA11" s="186">
        <f t="shared" si="2"/>
        <v>130.30810000000002</v>
      </c>
    </row>
    <row r="12" spans="1:27" ht="18">
      <c r="A12" s="292"/>
      <c r="B12" s="186"/>
      <c r="C12" s="186"/>
      <c r="D12" s="186"/>
      <c r="E12" s="186"/>
      <c r="F12" s="186"/>
      <c r="G12" s="186"/>
      <c r="H12" s="186"/>
      <c r="I12" s="186"/>
      <c r="J12" s="186"/>
      <c r="K12" s="186"/>
      <c r="L12" s="186"/>
      <c r="M12" s="186"/>
      <c r="N12" s="186"/>
      <c r="O12" s="186"/>
      <c r="P12" s="186"/>
      <c r="Q12" s="186"/>
      <c r="R12" s="186"/>
      <c r="S12" s="186"/>
      <c r="T12" s="186"/>
      <c r="U12" s="186"/>
      <c r="V12" s="385"/>
      <c r="W12" s="385"/>
      <c r="X12" s="186"/>
      <c r="Y12" s="186"/>
      <c r="Z12" s="186"/>
      <c r="AA12" s="186"/>
    </row>
    <row r="13" spans="1:27" ht="18">
      <c r="A13" s="292"/>
      <c r="B13" s="173"/>
      <c r="C13" s="173"/>
      <c r="D13" s="173"/>
      <c r="E13" s="173"/>
      <c r="F13" s="173"/>
      <c r="G13" s="173"/>
      <c r="H13" s="173"/>
      <c r="I13" s="173"/>
      <c r="J13" s="173"/>
      <c r="K13" s="173"/>
      <c r="L13" s="173"/>
      <c r="M13" s="173"/>
      <c r="N13" s="173"/>
      <c r="O13" s="370"/>
      <c r="P13" s="370"/>
      <c r="Q13" s="173"/>
      <c r="R13" s="173"/>
      <c r="S13" s="173"/>
      <c r="T13" s="386"/>
      <c r="U13" s="386"/>
      <c r="V13" s="386"/>
      <c r="W13" s="386"/>
      <c r="X13" s="386"/>
      <c r="Y13" s="386"/>
      <c r="Z13" s="386"/>
      <c r="AA13" s="386"/>
    </row>
    <row r="14" spans="1:27" ht="18">
      <c r="A14" s="300"/>
      <c r="B14" s="387"/>
      <c r="C14" s="387"/>
      <c r="D14" s="387"/>
      <c r="E14" s="387"/>
      <c r="F14" s="387"/>
      <c r="G14" s="387"/>
      <c r="H14" s="387"/>
      <c r="I14" s="387"/>
      <c r="J14" s="387"/>
      <c r="K14" s="387"/>
      <c r="L14" s="387"/>
      <c r="M14" s="387"/>
      <c r="N14" s="387"/>
      <c r="O14" s="387"/>
      <c r="P14" s="387"/>
      <c r="Q14" s="387"/>
      <c r="R14" s="387"/>
      <c r="S14" s="387"/>
      <c r="T14" s="388"/>
      <c r="U14" s="388"/>
      <c r="V14" s="388"/>
      <c r="W14" s="388"/>
      <c r="X14" s="388"/>
      <c r="Y14" s="388"/>
      <c r="Z14" s="388"/>
      <c r="AA14" s="388"/>
    </row>
    <row r="15" spans="1:27" ht="37.5" customHeight="1">
      <c r="A15" s="190" t="s">
        <v>1020</v>
      </c>
      <c r="B15" s="696" t="s">
        <v>1101</v>
      </c>
      <c r="C15" s="696"/>
      <c r="D15" s="696"/>
      <c r="E15" s="696"/>
      <c r="F15" s="696"/>
      <c r="G15" s="696"/>
      <c r="H15" s="696"/>
      <c r="I15" s="696"/>
      <c r="J15" s="696"/>
      <c r="K15" s="696"/>
      <c r="L15" s="696"/>
      <c r="M15" s="696"/>
      <c r="N15" s="696"/>
      <c r="O15" s="696"/>
      <c r="P15" s="696"/>
      <c r="Q15" s="696"/>
      <c r="R15" s="696"/>
      <c r="S15" s="696"/>
      <c r="T15" s="696"/>
      <c r="U15" s="696"/>
      <c r="V15" s="696"/>
      <c r="W15" s="696"/>
      <c r="X15" s="696"/>
      <c r="Y15" s="696"/>
      <c r="Z15" s="696"/>
      <c r="AA15" s="191"/>
    </row>
    <row r="16" spans="1:27">
      <c r="A16" s="389" t="s">
        <v>1009</v>
      </c>
      <c r="B16" s="390" t="str">
        <f t="shared" ref="B16:M16" si="3">B2</f>
        <v>1999/00</v>
      </c>
      <c r="C16" s="390" t="str">
        <f t="shared" si="3"/>
        <v>2000/01</v>
      </c>
      <c r="D16" s="390" t="str">
        <f t="shared" si="3"/>
        <v>2001/02</v>
      </c>
      <c r="E16" s="390" t="str">
        <f t="shared" si="3"/>
        <v>2002/03</v>
      </c>
      <c r="F16" s="390" t="str">
        <f t="shared" si="3"/>
        <v>2003/04</v>
      </c>
      <c r="G16" s="390" t="str">
        <f t="shared" si="3"/>
        <v>2004/05</v>
      </c>
      <c r="H16" s="390" t="str">
        <f t="shared" si="3"/>
        <v>2005/06</v>
      </c>
      <c r="I16" s="390" t="str">
        <f t="shared" si="3"/>
        <v>2006/07</v>
      </c>
      <c r="J16" s="390" t="str">
        <f t="shared" si="3"/>
        <v>2007/08</v>
      </c>
      <c r="K16" s="390" t="str">
        <f t="shared" si="3"/>
        <v>2008/09</v>
      </c>
      <c r="L16" s="390" t="str">
        <f t="shared" si="3"/>
        <v>2009/10</v>
      </c>
      <c r="M16" s="390" t="str">
        <f t="shared" si="3"/>
        <v>2010/11</v>
      </c>
      <c r="N16" s="390" t="s">
        <v>116</v>
      </c>
      <c r="O16" s="390" t="s">
        <v>117</v>
      </c>
      <c r="P16" s="390" t="s">
        <v>118</v>
      </c>
      <c r="Q16" s="390" t="s">
        <v>119</v>
      </c>
      <c r="R16" s="390" t="s">
        <v>120</v>
      </c>
      <c r="S16" s="390" t="s">
        <v>121</v>
      </c>
      <c r="T16" s="390" t="s">
        <v>122</v>
      </c>
      <c r="U16" s="390" t="s">
        <v>123</v>
      </c>
      <c r="V16" s="390" t="s">
        <v>124</v>
      </c>
      <c r="W16" s="390" t="s">
        <v>125</v>
      </c>
      <c r="X16" s="390" t="str">
        <f>X2</f>
        <v>2021/22</v>
      </c>
      <c r="Y16" s="390" t="str">
        <f>Y2</f>
        <v>2022/23</v>
      </c>
      <c r="Z16" s="390" t="str">
        <f>Z2</f>
        <v>2023/24</v>
      </c>
      <c r="AA16" s="390" t="str">
        <f>AA2</f>
        <v>2024/25</v>
      </c>
    </row>
    <row r="17" spans="1:28" ht="18">
      <c r="A17" s="391"/>
      <c r="B17" s="392"/>
      <c r="C17" s="392"/>
      <c r="D17" s="392"/>
      <c r="E17" s="392"/>
      <c r="F17" s="392"/>
      <c r="G17" s="392"/>
      <c r="H17" s="392"/>
      <c r="I17" s="392"/>
      <c r="J17" s="392"/>
      <c r="K17" s="392"/>
      <c r="L17" s="392"/>
      <c r="M17" s="392"/>
      <c r="N17" s="393"/>
      <c r="O17" s="394"/>
      <c r="P17" s="394"/>
      <c r="Q17" s="393"/>
      <c r="R17" s="392"/>
      <c r="S17" s="392"/>
      <c r="T17" s="395"/>
      <c r="U17" s="395"/>
      <c r="V17" s="395"/>
      <c r="W17" s="395"/>
      <c r="X17" s="395"/>
      <c r="Y17" s="395"/>
      <c r="Z17" s="395" t="str">
        <f>Z3</f>
        <v>Prov. Mars 25</v>
      </c>
      <c r="AA17" s="395" t="str">
        <f>AA3</f>
        <v>Prév. Mars 25</v>
      </c>
    </row>
    <row r="18" spans="1:28" ht="18">
      <c r="A18" s="396"/>
      <c r="B18" s="397"/>
      <c r="C18" s="397"/>
      <c r="D18" s="397"/>
      <c r="E18" s="397"/>
      <c r="F18" s="397"/>
      <c r="G18" s="397"/>
      <c r="H18" s="397"/>
      <c r="I18" s="397"/>
      <c r="J18" s="397"/>
      <c r="K18" s="397"/>
      <c r="L18" s="397"/>
      <c r="M18" s="397"/>
      <c r="N18" s="397"/>
      <c r="O18" s="398"/>
      <c r="P18" s="398"/>
      <c r="Q18" s="397"/>
      <c r="R18" s="397"/>
      <c r="S18" s="397"/>
      <c r="T18" s="397"/>
      <c r="U18" s="397"/>
      <c r="V18" s="399"/>
      <c r="W18" s="399"/>
      <c r="X18" s="399"/>
      <c r="Y18" s="399"/>
      <c r="Z18" s="399"/>
      <c r="AA18" s="399"/>
      <c r="AB18" s="400"/>
    </row>
    <row r="19" spans="1:28">
      <c r="A19" s="206" t="s">
        <v>1022</v>
      </c>
      <c r="B19" s="309"/>
      <c r="C19" s="309"/>
      <c r="D19" s="309"/>
      <c r="E19" s="309"/>
      <c r="F19" s="309"/>
      <c r="G19" s="309"/>
      <c r="H19" s="309"/>
      <c r="I19" s="309"/>
      <c r="J19" s="309"/>
      <c r="K19" s="309"/>
      <c r="L19" s="309"/>
      <c r="M19" s="309"/>
      <c r="N19" s="209"/>
      <c r="O19" s="209"/>
      <c r="P19" s="209"/>
      <c r="Q19" s="209"/>
      <c r="R19" s="309"/>
      <c r="S19" s="309"/>
      <c r="T19" s="309"/>
      <c r="U19" s="309"/>
      <c r="V19" s="401"/>
      <c r="W19" s="401"/>
      <c r="X19" s="401"/>
      <c r="Y19" s="401"/>
      <c r="Z19" s="401"/>
      <c r="AA19" s="401"/>
    </row>
    <row r="20" spans="1:28" ht="18">
      <c r="A20" s="402" t="s">
        <v>1023</v>
      </c>
      <c r="B20" s="403">
        <v>64</v>
      </c>
      <c r="C20" s="403">
        <f>B39</f>
        <v>20.208599999999997</v>
      </c>
      <c r="D20" s="403">
        <f t="shared" ref="D20:AA20" si="4">C39</f>
        <v>23.333299999999998</v>
      </c>
      <c r="E20" s="403">
        <f t="shared" si="4"/>
        <v>23.154899999999998</v>
      </c>
      <c r="F20" s="403">
        <f t="shared" si="4"/>
        <v>56.845180000000006</v>
      </c>
      <c r="G20" s="403">
        <f t="shared" si="4"/>
        <v>19.826400000000003</v>
      </c>
      <c r="H20" s="403">
        <f t="shared" si="4"/>
        <v>17.072299999999998</v>
      </c>
      <c r="I20" s="403">
        <f t="shared" si="4"/>
        <v>33.836399999999998</v>
      </c>
      <c r="J20" s="403">
        <f t="shared" si="4"/>
        <v>18.567</v>
      </c>
      <c r="K20" s="403">
        <f t="shared" si="4"/>
        <v>43.832700000000003</v>
      </c>
      <c r="L20" s="403">
        <f t="shared" si="4"/>
        <v>17.731399999999997</v>
      </c>
      <c r="M20" s="403">
        <f t="shared" si="4"/>
        <v>17.2559</v>
      </c>
      <c r="N20" s="403">
        <f t="shared" si="4"/>
        <v>26.593864</v>
      </c>
      <c r="O20" s="403">
        <f t="shared" si="4"/>
        <v>16.764150000000001</v>
      </c>
      <c r="P20" s="403">
        <f t="shared" si="4"/>
        <v>17.647707</v>
      </c>
      <c r="Q20" s="403">
        <f t="shared" si="4"/>
        <v>24.447482000000001</v>
      </c>
      <c r="R20" s="403">
        <f t="shared" si="4"/>
        <v>29.221085000000002</v>
      </c>
      <c r="S20" s="403">
        <f t="shared" si="4"/>
        <v>28.949965999999996</v>
      </c>
      <c r="T20" s="403">
        <f t="shared" si="4"/>
        <v>22.044713999999999</v>
      </c>
      <c r="U20" s="403">
        <f t="shared" si="4"/>
        <v>28.551716999999996</v>
      </c>
      <c r="V20" s="403">
        <f t="shared" si="4"/>
        <v>36.96763</v>
      </c>
      <c r="W20" s="403">
        <f t="shared" si="4"/>
        <v>34.597420000000007</v>
      </c>
      <c r="X20" s="403">
        <f t="shared" si="4"/>
        <v>25.538935000000002</v>
      </c>
      <c r="Y20" s="403">
        <f t="shared" si="4"/>
        <v>38.399842</v>
      </c>
      <c r="Z20" s="403">
        <f t="shared" si="4"/>
        <v>18.035079</v>
      </c>
      <c r="AA20" s="403">
        <f t="shared" si="4"/>
        <v>31.753818999999996</v>
      </c>
    </row>
    <row r="21" spans="1:28" ht="18">
      <c r="A21" s="404" t="s">
        <v>1024</v>
      </c>
      <c r="B21" s="405">
        <v>257.7919</v>
      </c>
      <c r="C21" s="405">
        <v>317.77159999999998</v>
      </c>
      <c r="D21" s="405">
        <v>323.54139999999995</v>
      </c>
      <c r="E21" s="405">
        <v>360.49169999999998</v>
      </c>
      <c r="F21" s="405">
        <v>163.90439999999995</v>
      </c>
      <c r="G21" s="405">
        <v>170.82430000000005</v>
      </c>
      <c r="H21" s="405">
        <v>183.12060000000002</v>
      </c>
      <c r="I21" s="405">
        <v>216.27629999999996</v>
      </c>
      <c r="J21" s="405">
        <v>176.97209999999998</v>
      </c>
      <c r="K21" s="405">
        <v>131.68269999999998</v>
      </c>
      <c r="L21" s="405">
        <v>187.5762</v>
      </c>
      <c r="M21" s="405">
        <v>153.34789999999998</v>
      </c>
      <c r="N21" s="405">
        <v>136.61634800000002</v>
      </c>
      <c r="O21" s="405">
        <v>122.06642600000005</v>
      </c>
      <c r="P21" s="405">
        <v>146.71034499999996</v>
      </c>
      <c r="Q21" s="405">
        <v>283.72494899999987</v>
      </c>
      <c r="R21" s="487">
        <v>164.40834299999997</v>
      </c>
      <c r="S21" s="405">
        <v>137.32249900000005</v>
      </c>
      <c r="T21" s="405">
        <v>211.96529400000011</v>
      </c>
      <c r="U21" s="405">
        <v>190.40235600000008</v>
      </c>
      <c r="V21" s="487">
        <v>225.09227300000001</v>
      </c>
      <c r="W21" s="405">
        <v>302.11519200000009</v>
      </c>
      <c r="X21" s="405">
        <v>282.75570799999991</v>
      </c>
      <c r="Y21" s="405">
        <v>123.35889999999999</v>
      </c>
      <c r="Z21" s="487">
        <v>230.78149999999999</v>
      </c>
      <c r="AA21" s="405">
        <v>360.4</v>
      </c>
    </row>
    <row r="22" spans="1:28" ht="18">
      <c r="A22" s="404" t="s">
        <v>1025</v>
      </c>
      <c r="B22" s="405">
        <v>1</v>
      </c>
      <c r="C22" s="405">
        <v>1.9094940000000005</v>
      </c>
      <c r="D22" s="405">
        <v>1.0944050000000001</v>
      </c>
      <c r="E22" s="405">
        <v>0.95629300000000017</v>
      </c>
      <c r="F22" s="405">
        <v>27.298258999999998</v>
      </c>
      <c r="G22" s="405">
        <v>1.0689500000000001</v>
      </c>
      <c r="H22" s="405">
        <v>1.0655999999999999</v>
      </c>
      <c r="I22" s="405">
        <v>1.7450000000000001</v>
      </c>
      <c r="J22" s="405">
        <v>619.15959999999995</v>
      </c>
      <c r="K22" s="405">
        <v>6.2881999999999998</v>
      </c>
      <c r="L22" s="405">
        <v>2.1057000000000001</v>
      </c>
      <c r="M22" s="405">
        <v>73.009099999999975</v>
      </c>
      <c r="N22" s="405">
        <v>3.9406000000000003</v>
      </c>
      <c r="O22" s="405">
        <v>9.6687999999999992</v>
      </c>
      <c r="P22" s="405">
        <v>3.3597999999999999</v>
      </c>
      <c r="Q22" s="405">
        <v>2.6214999999999997</v>
      </c>
      <c r="R22" s="487">
        <v>1.8913000000000002</v>
      </c>
      <c r="S22" s="405">
        <v>1.5478999999999998</v>
      </c>
      <c r="T22" s="405">
        <v>1.6565999999999999</v>
      </c>
      <c r="U22" s="405">
        <v>1.5796000000000001</v>
      </c>
      <c r="V22" s="487">
        <v>2.2260999999999993</v>
      </c>
      <c r="W22" s="405">
        <v>0</v>
      </c>
      <c r="X22" s="405">
        <v>4.0640000000000001</v>
      </c>
      <c r="Y22" s="405">
        <v>3.6871999999999998</v>
      </c>
      <c r="Z22" s="487">
        <v>2.8814000000000002</v>
      </c>
      <c r="AA22" s="405">
        <v>2.4</v>
      </c>
    </row>
    <row r="23" spans="1:28" ht="18">
      <c r="A23" s="216" t="s">
        <v>1026</v>
      </c>
      <c r="B23" s="405" t="s">
        <v>89</v>
      </c>
      <c r="C23" s="405" t="s">
        <v>89</v>
      </c>
      <c r="D23" s="405" t="s">
        <v>89</v>
      </c>
      <c r="E23" s="405" t="s">
        <v>89</v>
      </c>
      <c r="F23" s="405" t="s">
        <v>89</v>
      </c>
      <c r="G23" s="405" t="s">
        <v>89</v>
      </c>
      <c r="H23" s="405" t="s">
        <v>89</v>
      </c>
      <c r="I23" s="405" t="s">
        <v>89</v>
      </c>
      <c r="J23" s="405" t="s">
        <v>89</v>
      </c>
      <c r="K23" s="405" t="s">
        <v>89</v>
      </c>
      <c r="L23" s="405" t="s">
        <v>89</v>
      </c>
      <c r="M23" s="405" t="s">
        <v>89</v>
      </c>
      <c r="N23" s="405" t="s">
        <v>89</v>
      </c>
      <c r="O23" s="405" t="s">
        <v>89</v>
      </c>
      <c r="P23" s="405" t="s">
        <v>89</v>
      </c>
      <c r="Q23" s="405" t="s">
        <v>89</v>
      </c>
      <c r="R23" s="405" t="s">
        <v>89</v>
      </c>
      <c r="S23" s="405" t="s">
        <v>89</v>
      </c>
      <c r="T23" s="405" t="s">
        <v>89</v>
      </c>
      <c r="U23" s="405" t="s">
        <v>89</v>
      </c>
      <c r="V23" s="405" t="s">
        <v>89</v>
      </c>
      <c r="W23" s="405" t="s">
        <v>89</v>
      </c>
      <c r="X23" s="405" t="s">
        <v>89</v>
      </c>
      <c r="Y23" s="405" t="s">
        <v>89</v>
      </c>
      <c r="Z23" s="405"/>
      <c r="AA23" s="405"/>
    </row>
    <row r="24" spans="1:28" thickBot="1">
      <c r="A24" s="406" t="s">
        <v>1027</v>
      </c>
      <c r="B24" s="315">
        <f>SUM(B20:B23)</f>
        <v>322.7919</v>
      </c>
      <c r="C24" s="315">
        <f t="shared" ref="C24:AA24" si="5">SUM(C20:C23)</f>
        <v>339.88969399999996</v>
      </c>
      <c r="D24" s="315">
        <f t="shared" si="5"/>
        <v>347.96910499999996</v>
      </c>
      <c r="E24" s="315">
        <f t="shared" si="5"/>
        <v>384.60289299999999</v>
      </c>
      <c r="F24" s="315">
        <f t="shared" si="5"/>
        <v>248.04783899999995</v>
      </c>
      <c r="G24" s="315">
        <f t="shared" si="5"/>
        <v>191.71965000000006</v>
      </c>
      <c r="H24" s="315">
        <f t="shared" si="5"/>
        <v>201.2585</v>
      </c>
      <c r="I24" s="315">
        <f t="shared" si="5"/>
        <v>251.85769999999997</v>
      </c>
      <c r="J24" s="315">
        <f t="shared" si="5"/>
        <v>814.69869999999992</v>
      </c>
      <c r="K24" s="315">
        <f t="shared" si="5"/>
        <v>181.80359999999999</v>
      </c>
      <c r="L24" s="315">
        <f t="shared" si="5"/>
        <v>207.41330000000002</v>
      </c>
      <c r="M24" s="315">
        <f t="shared" si="5"/>
        <v>243.61289999999997</v>
      </c>
      <c r="N24" s="315">
        <f t="shared" si="5"/>
        <v>167.150812</v>
      </c>
      <c r="O24" s="315">
        <f t="shared" si="5"/>
        <v>148.49937600000007</v>
      </c>
      <c r="P24" s="315">
        <f t="shared" si="5"/>
        <v>167.71785199999997</v>
      </c>
      <c r="Q24" s="315">
        <f t="shared" si="5"/>
        <v>310.79393099999987</v>
      </c>
      <c r="R24" s="315">
        <f t="shared" si="5"/>
        <v>195.52072799999996</v>
      </c>
      <c r="S24" s="315">
        <f t="shared" si="5"/>
        <v>167.82036500000004</v>
      </c>
      <c r="T24" s="315">
        <f t="shared" si="5"/>
        <v>235.66660800000011</v>
      </c>
      <c r="U24" s="315">
        <f t="shared" si="5"/>
        <v>220.53367300000008</v>
      </c>
      <c r="V24" s="315">
        <f t="shared" si="5"/>
        <v>264.28600299999999</v>
      </c>
      <c r="W24" s="315">
        <f t="shared" si="5"/>
        <v>336.71261200000009</v>
      </c>
      <c r="X24" s="315">
        <f t="shared" si="5"/>
        <v>312.35864299999992</v>
      </c>
      <c r="Y24" s="315">
        <f t="shared" si="5"/>
        <v>165.44594199999997</v>
      </c>
      <c r="Z24" s="315">
        <f t="shared" si="5"/>
        <v>251.697979</v>
      </c>
      <c r="AA24" s="315">
        <f t="shared" si="5"/>
        <v>394.55381899999998</v>
      </c>
    </row>
    <row r="25" spans="1:28" ht="19.2" thickTop="1">
      <c r="A25" s="220"/>
      <c r="B25" s="407"/>
      <c r="C25" s="407"/>
      <c r="D25" s="407"/>
      <c r="E25" s="407"/>
      <c r="F25" s="407"/>
      <c r="G25" s="407"/>
      <c r="H25" s="407"/>
      <c r="I25" s="407"/>
      <c r="J25" s="407"/>
      <c r="K25" s="407"/>
      <c r="L25" s="407"/>
      <c r="M25" s="407"/>
      <c r="N25" s="407"/>
      <c r="O25" s="408"/>
      <c r="P25" s="407"/>
      <c r="Q25" s="407"/>
      <c r="R25" s="407"/>
      <c r="S25" s="407"/>
      <c r="T25" s="407"/>
      <c r="U25" s="407"/>
      <c r="V25" s="407"/>
      <c r="W25" s="409"/>
      <c r="X25" s="409"/>
      <c r="Y25" s="409"/>
      <c r="Z25" s="409"/>
      <c r="AA25" s="409"/>
    </row>
    <row r="26" spans="1:28">
      <c r="A26" s="410" t="s">
        <v>1028</v>
      </c>
      <c r="B26" s="411"/>
      <c r="C26" s="411"/>
      <c r="D26" s="411"/>
      <c r="E26" s="411"/>
      <c r="F26" s="411"/>
      <c r="G26" s="411"/>
      <c r="H26" s="411"/>
      <c r="I26" s="411"/>
      <c r="J26" s="411"/>
      <c r="K26" s="411"/>
      <c r="L26" s="411"/>
      <c r="M26" s="411"/>
      <c r="N26" s="411"/>
      <c r="O26" s="362"/>
      <c r="P26" s="362"/>
      <c r="Q26" s="411"/>
      <c r="R26" s="411"/>
      <c r="S26" s="412"/>
      <c r="T26" s="412"/>
      <c r="U26" s="412"/>
      <c r="V26" s="319"/>
      <c r="W26" s="319"/>
      <c r="X26" s="319"/>
      <c r="Y26" s="319"/>
      <c r="Z26" s="320"/>
      <c r="AA26" s="320"/>
    </row>
    <row r="27" spans="1:28" ht="18">
      <c r="A27" s="413" t="s">
        <v>1094</v>
      </c>
      <c r="B27" s="414"/>
      <c r="C27" s="414"/>
      <c r="D27" s="414"/>
      <c r="E27" s="414"/>
      <c r="F27" s="414"/>
      <c r="G27" s="414"/>
      <c r="H27" s="414"/>
      <c r="I27" s="414"/>
      <c r="J27" s="414"/>
      <c r="K27" s="414"/>
      <c r="L27" s="414"/>
      <c r="M27" s="414"/>
      <c r="N27" s="414"/>
      <c r="O27" s="415"/>
      <c r="P27" s="415"/>
      <c r="Q27" s="414"/>
      <c r="R27" s="414"/>
      <c r="S27" s="414"/>
      <c r="T27" s="414"/>
      <c r="U27" s="414"/>
      <c r="V27" s="416"/>
      <c r="W27" s="416"/>
      <c r="X27" s="416"/>
      <c r="Y27" s="416"/>
      <c r="Z27" s="416"/>
      <c r="AA27" s="416"/>
      <c r="AB27" s="417"/>
    </row>
    <row r="28" spans="1:28" ht="18">
      <c r="A28" s="424" t="s">
        <v>1037</v>
      </c>
      <c r="B28" s="419">
        <v>49.125299999999996</v>
      </c>
      <c r="C28" s="419">
        <v>71.273700048461563</v>
      </c>
      <c r="D28" s="419">
        <v>74.627799851782626</v>
      </c>
      <c r="E28" s="419">
        <v>87.809400000000011</v>
      </c>
      <c r="F28" s="419">
        <v>76.556399999999996</v>
      </c>
      <c r="G28" s="419">
        <v>44.606699999999996</v>
      </c>
      <c r="H28" s="419">
        <v>40.442000000000007</v>
      </c>
      <c r="I28" s="419">
        <v>88.778599999999983</v>
      </c>
      <c r="J28" s="419">
        <v>580.15519999999992</v>
      </c>
      <c r="K28" s="419">
        <v>82.739800000000031</v>
      </c>
      <c r="L28" s="419">
        <v>58.159300000000002</v>
      </c>
      <c r="M28" s="419">
        <v>117.89413800000001</v>
      </c>
      <c r="N28" s="419">
        <v>49.353924000000006</v>
      </c>
      <c r="O28" s="419">
        <v>33.582741999999996</v>
      </c>
      <c r="P28" s="419">
        <v>27.173718999999998</v>
      </c>
      <c r="Q28" s="419">
        <v>63.750554999999999</v>
      </c>
      <c r="R28" s="488">
        <v>32.403645999999995</v>
      </c>
      <c r="S28" s="419">
        <v>20.117925</v>
      </c>
      <c r="T28" s="419">
        <v>35.754224000000001</v>
      </c>
      <c r="U28" s="419">
        <v>35.133175999999999</v>
      </c>
      <c r="V28" s="488">
        <v>43.805887999999996</v>
      </c>
      <c r="W28" s="419">
        <v>57.989944000000001</v>
      </c>
      <c r="X28" s="419">
        <v>48.859187000000006</v>
      </c>
      <c r="Y28" s="419">
        <v>34.004811000000004</v>
      </c>
      <c r="Z28" s="488">
        <v>37.006300000000003</v>
      </c>
      <c r="AA28" s="419">
        <v>40</v>
      </c>
    </row>
    <row r="29" spans="1:28" ht="18">
      <c r="A29" s="424" t="s">
        <v>1038</v>
      </c>
      <c r="B29" s="419">
        <v>1.2559449999999999</v>
      </c>
      <c r="C29" s="419">
        <v>1.1283910000000001</v>
      </c>
      <c r="D29" s="419">
        <v>1.3028060000000001</v>
      </c>
      <c r="E29" s="419">
        <v>1.3018510000000001</v>
      </c>
      <c r="F29" s="419">
        <v>1.3103120000000001</v>
      </c>
      <c r="G29" s="419">
        <v>1.3230840000000001</v>
      </c>
      <c r="H29" s="419">
        <v>1.2513699999999999</v>
      </c>
      <c r="I29" s="419">
        <v>1.4250620000000001</v>
      </c>
      <c r="J29" s="419">
        <v>1.4091389999999999</v>
      </c>
      <c r="K29" s="419">
        <v>0.99784400000000006</v>
      </c>
      <c r="L29" s="419">
        <v>1.1890000000000001</v>
      </c>
      <c r="M29" s="419">
        <v>1.1710999999999998</v>
      </c>
      <c r="N29" s="419">
        <v>1.1599999999999999</v>
      </c>
      <c r="O29" s="419">
        <v>1.72</v>
      </c>
      <c r="P29" s="419">
        <v>1.456</v>
      </c>
      <c r="Q29" s="419">
        <v>1.2013</v>
      </c>
      <c r="R29" s="488">
        <v>0.43619999999999998</v>
      </c>
      <c r="S29" s="419">
        <v>0.73270000000000002</v>
      </c>
      <c r="T29" s="419">
        <v>1.2447999999999999</v>
      </c>
      <c r="U29" s="419">
        <v>1.3192000000000002</v>
      </c>
      <c r="V29" s="488">
        <v>1.2053</v>
      </c>
      <c r="W29" s="419">
        <v>1.288</v>
      </c>
      <c r="X29" s="419">
        <v>1.5270999999999999</v>
      </c>
      <c r="Y29" s="419">
        <v>0.74660000000000004</v>
      </c>
      <c r="Z29" s="488">
        <v>1.8331</v>
      </c>
      <c r="AA29" s="419">
        <v>1.2</v>
      </c>
    </row>
    <row r="30" spans="1:28" ht="18">
      <c r="A30" s="424" t="s">
        <v>1077</v>
      </c>
      <c r="B30" s="425">
        <f t="shared" ref="B30:AA30" si="6">0.01*B21</f>
        <v>2.5779190000000001</v>
      </c>
      <c r="C30" s="425">
        <f t="shared" si="6"/>
        <v>3.1777159999999998</v>
      </c>
      <c r="D30" s="425">
        <f t="shared" si="6"/>
        <v>3.2354139999999996</v>
      </c>
      <c r="E30" s="425">
        <f t="shared" si="6"/>
        <v>3.6049169999999999</v>
      </c>
      <c r="F30" s="425">
        <f t="shared" si="6"/>
        <v>1.6390439999999995</v>
      </c>
      <c r="G30" s="425">
        <f t="shared" si="6"/>
        <v>1.7082430000000006</v>
      </c>
      <c r="H30" s="425">
        <f t="shared" si="6"/>
        <v>1.8312060000000003</v>
      </c>
      <c r="I30" s="425">
        <f t="shared" si="6"/>
        <v>2.1627629999999995</v>
      </c>
      <c r="J30" s="425">
        <f t="shared" si="6"/>
        <v>1.7697209999999999</v>
      </c>
      <c r="K30" s="425">
        <f t="shared" si="6"/>
        <v>1.3168269999999997</v>
      </c>
      <c r="L30" s="425">
        <f t="shared" si="6"/>
        <v>1.8757619999999999</v>
      </c>
      <c r="M30" s="425">
        <f t="shared" si="6"/>
        <v>1.5334789999999998</v>
      </c>
      <c r="N30" s="425">
        <f t="shared" si="6"/>
        <v>1.3661634800000002</v>
      </c>
      <c r="O30" s="425">
        <f t="shared" si="6"/>
        <v>1.2206642600000006</v>
      </c>
      <c r="P30" s="425">
        <f t="shared" si="6"/>
        <v>1.4671034499999995</v>
      </c>
      <c r="Q30" s="425">
        <f t="shared" si="6"/>
        <v>2.8372494899999987</v>
      </c>
      <c r="R30" s="425">
        <f t="shared" si="6"/>
        <v>1.6440834299999998</v>
      </c>
      <c r="S30" s="425">
        <f t="shared" si="6"/>
        <v>1.3732249900000004</v>
      </c>
      <c r="T30" s="425">
        <f t="shared" si="6"/>
        <v>2.1196529400000013</v>
      </c>
      <c r="U30" s="425">
        <f t="shared" si="6"/>
        <v>1.9040235600000008</v>
      </c>
      <c r="V30" s="425">
        <f t="shared" si="6"/>
        <v>2.2509227300000001</v>
      </c>
      <c r="W30" s="425">
        <f t="shared" si="6"/>
        <v>3.0211519200000012</v>
      </c>
      <c r="X30" s="425">
        <f t="shared" si="6"/>
        <v>2.8275570799999992</v>
      </c>
      <c r="Y30" s="425">
        <f t="shared" si="6"/>
        <v>1.233589</v>
      </c>
      <c r="Z30" s="425">
        <f t="shared" si="6"/>
        <v>2.3078150000000002</v>
      </c>
      <c r="AA30" s="425">
        <f t="shared" si="6"/>
        <v>3.6039999999999996</v>
      </c>
    </row>
    <row r="31" spans="1:28" ht="18">
      <c r="A31" s="216" t="s">
        <v>431</v>
      </c>
      <c r="B31" s="313">
        <v>7.6241360000000142</v>
      </c>
      <c r="C31" s="313">
        <v>26.530459951538358</v>
      </c>
      <c r="D31" s="313">
        <v>12.239811148217314</v>
      </c>
      <c r="E31" s="313">
        <v>20.156196999999956</v>
      </c>
      <c r="F31" s="313">
        <v>36.393272999999951</v>
      </c>
      <c r="G31" s="313">
        <v>16.761024000000063</v>
      </c>
      <c r="H31" s="313">
        <v>16.32822400000002</v>
      </c>
      <c r="I31" s="313">
        <v>19.036375</v>
      </c>
      <c r="J31" s="313">
        <v>123.28583999999999</v>
      </c>
      <c r="K31" s="313">
        <v>0.84952899999995779</v>
      </c>
      <c r="L31" s="313">
        <v>21.41543800000002</v>
      </c>
      <c r="M31" s="313">
        <v>14.064918999999971</v>
      </c>
      <c r="N31" s="313">
        <v>14.784774519999985</v>
      </c>
      <c r="O31" s="313">
        <v>16.670162740000077</v>
      </c>
      <c r="P31" s="313">
        <v>13.389247549999972</v>
      </c>
      <c r="Q31" s="313">
        <v>9.0712415099998935</v>
      </c>
      <c r="R31" s="489">
        <v>11.505632569999968</v>
      </c>
      <c r="S31" s="313">
        <v>16.890401010000048</v>
      </c>
      <c r="T31" s="313">
        <v>22.473414060000124</v>
      </c>
      <c r="U31" s="313">
        <v>27.535943440000082</v>
      </c>
      <c r="V31" s="489">
        <v>26.76407226999995</v>
      </c>
      <c r="W31" s="313">
        <v>63.143381080000104</v>
      </c>
      <c r="X31" s="313">
        <v>48.784656919999897</v>
      </c>
      <c r="Y31" s="313">
        <v>33.717062999999968</v>
      </c>
      <c r="Z31" s="489">
        <v>25.48424500000004</v>
      </c>
      <c r="AA31" s="313">
        <v>70</v>
      </c>
    </row>
    <row r="32" spans="1:28" ht="18">
      <c r="A32" s="426" t="s">
        <v>1041</v>
      </c>
      <c r="B32" s="326">
        <f>SUM(B28:B31)</f>
        <v>60.583300000000008</v>
      </c>
      <c r="C32" s="326">
        <f t="shared" ref="C32:AA32" si="7">SUM(C28:C31)</f>
        <v>102.11026699999992</v>
      </c>
      <c r="D32" s="326">
        <f t="shared" si="7"/>
        <v>91.405830999999949</v>
      </c>
      <c r="E32" s="326">
        <f t="shared" si="7"/>
        <v>112.87236499999997</v>
      </c>
      <c r="F32" s="326">
        <f t="shared" si="7"/>
        <v>115.89902899999994</v>
      </c>
      <c r="G32" s="326">
        <f t="shared" si="7"/>
        <v>64.399051000000071</v>
      </c>
      <c r="H32" s="326">
        <f t="shared" si="7"/>
        <v>59.85280000000003</v>
      </c>
      <c r="I32" s="326">
        <f t="shared" si="7"/>
        <v>111.40279999999998</v>
      </c>
      <c r="J32" s="326">
        <f t="shared" si="7"/>
        <v>706.61989999999992</v>
      </c>
      <c r="K32" s="326">
        <f t="shared" si="7"/>
        <v>85.903999999999996</v>
      </c>
      <c r="L32" s="326">
        <f t="shared" si="7"/>
        <v>82.639500000000027</v>
      </c>
      <c r="M32" s="326">
        <f t="shared" si="7"/>
        <v>134.66363599999997</v>
      </c>
      <c r="N32" s="326">
        <f t="shared" si="7"/>
        <v>66.664861999999985</v>
      </c>
      <c r="O32" s="326">
        <f t="shared" si="7"/>
        <v>53.193569000000068</v>
      </c>
      <c r="P32" s="326">
        <f t="shared" si="7"/>
        <v>43.48606999999997</v>
      </c>
      <c r="Q32" s="326">
        <f t="shared" si="7"/>
        <v>76.860345999999893</v>
      </c>
      <c r="R32" s="326">
        <f t="shared" si="7"/>
        <v>45.989561999999964</v>
      </c>
      <c r="S32" s="326">
        <f t="shared" si="7"/>
        <v>39.114251000000053</v>
      </c>
      <c r="T32" s="326">
        <f t="shared" si="7"/>
        <v>61.592091000000124</v>
      </c>
      <c r="U32" s="326">
        <f t="shared" si="7"/>
        <v>65.892343000000082</v>
      </c>
      <c r="V32" s="326">
        <f t="shared" si="7"/>
        <v>74.026182999999946</v>
      </c>
      <c r="W32" s="326">
        <f t="shared" si="7"/>
        <v>125.44247700000011</v>
      </c>
      <c r="X32" s="326">
        <f t="shared" si="7"/>
        <v>101.99850099999989</v>
      </c>
      <c r="Y32" s="326">
        <f t="shared" si="7"/>
        <v>69.702062999999981</v>
      </c>
      <c r="Z32" s="326">
        <f t="shared" si="7"/>
        <v>66.631460000000047</v>
      </c>
      <c r="AA32" s="326">
        <f t="shared" si="7"/>
        <v>114.804</v>
      </c>
    </row>
    <row r="33" spans="1:28" ht="18">
      <c r="A33" s="413" t="s">
        <v>1042</v>
      </c>
      <c r="B33" s="368"/>
      <c r="C33" s="368"/>
      <c r="D33" s="368"/>
      <c r="E33" s="368"/>
      <c r="F33" s="368"/>
      <c r="G33" s="368"/>
      <c r="H33" s="368"/>
      <c r="I33" s="368"/>
      <c r="J33" s="368"/>
      <c r="K33" s="368"/>
      <c r="L33" s="368"/>
      <c r="M33" s="368"/>
      <c r="N33" s="368"/>
      <c r="O33" s="368"/>
      <c r="P33" s="368"/>
      <c r="Q33" s="368"/>
      <c r="R33" s="368"/>
      <c r="S33" s="368"/>
      <c r="T33" s="368"/>
      <c r="U33" s="368"/>
      <c r="V33" s="427"/>
      <c r="W33" s="427"/>
      <c r="X33" s="427"/>
      <c r="Y33" s="427"/>
      <c r="Z33" s="427"/>
      <c r="AA33" s="427"/>
      <c r="AB33" s="428"/>
    </row>
    <row r="34" spans="1:28" ht="18">
      <c r="A34" s="429" t="s">
        <v>1065</v>
      </c>
      <c r="B34" s="430">
        <v>189</v>
      </c>
      <c r="C34" s="430">
        <v>202.63870400000002</v>
      </c>
      <c r="D34" s="430">
        <v>231.26171999999997</v>
      </c>
      <c r="E34" s="430">
        <v>202.12014600000001</v>
      </c>
      <c r="F34" s="430">
        <v>105.98800900000001</v>
      </c>
      <c r="G34" s="430">
        <v>108.258369</v>
      </c>
      <c r="H34" s="430">
        <v>106.97629999999998</v>
      </c>
      <c r="I34" s="430">
        <v>121.67989999999998</v>
      </c>
      <c r="J34" s="430">
        <v>64.001999999999995</v>
      </c>
      <c r="K34" s="430">
        <v>77.963200000000001</v>
      </c>
      <c r="L34" s="430">
        <v>107.2122</v>
      </c>
      <c r="M34" s="430">
        <v>81.879899999999992</v>
      </c>
      <c r="N34" s="430">
        <v>83.354300000000009</v>
      </c>
      <c r="O34" s="430">
        <v>77.41109999999999</v>
      </c>
      <c r="P34" s="430">
        <v>99.047600000000003</v>
      </c>
      <c r="Q34" s="430">
        <v>204.50219999999999</v>
      </c>
      <c r="R34" s="430">
        <v>120.0275</v>
      </c>
      <c r="S34" s="430">
        <v>106.3934</v>
      </c>
      <c r="T34" s="430">
        <v>145.36509999999998</v>
      </c>
      <c r="U34" s="430">
        <v>117.26389999999999</v>
      </c>
      <c r="V34" s="430">
        <v>155.26020000000005</v>
      </c>
      <c r="W34" s="430">
        <v>175.29119999999998</v>
      </c>
      <c r="X34" s="430">
        <v>158.47340000000003</v>
      </c>
      <c r="Y34" s="430">
        <v>64.857799999999997</v>
      </c>
      <c r="Z34" s="430">
        <v>141.6163</v>
      </c>
      <c r="AA34" s="430">
        <v>170</v>
      </c>
    </row>
    <row r="35" spans="1:28" ht="18">
      <c r="A35" s="171" t="s">
        <v>1044</v>
      </c>
      <c r="B35" s="430">
        <v>53</v>
      </c>
      <c r="C35" s="430">
        <v>11.807422999999998</v>
      </c>
      <c r="D35" s="430">
        <v>2.1466539999999998</v>
      </c>
      <c r="E35" s="430">
        <v>12.765202</v>
      </c>
      <c r="F35" s="430">
        <v>6.3344009999999997</v>
      </c>
      <c r="G35" s="430">
        <v>1.9899299999999998</v>
      </c>
      <c r="H35" s="430">
        <v>0.59299999999999997</v>
      </c>
      <c r="I35" s="430">
        <v>0.20800000000000002</v>
      </c>
      <c r="J35" s="430">
        <v>0.24409999999999996</v>
      </c>
      <c r="K35" s="430">
        <v>0.20499999999999999</v>
      </c>
      <c r="L35" s="430">
        <v>0.30569999999999997</v>
      </c>
      <c r="M35" s="430">
        <v>0.47549999999999992</v>
      </c>
      <c r="N35" s="430">
        <v>0.36749999999999999</v>
      </c>
      <c r="O35" s="430">
        <v>0.247</v>
      </c>
      <c r="P35" s="430">
        <v>0.73670000000000013</v>
      </c>
      <c r="Q35" s="430">
        <v>0.21030000000000001</v>
      </c>
      <c r="R35" s="430">
        <v>0.55370000000000008</v>
      </c>
      <c r="S35" s="430">
        <v>0.26800000000000002</v>
      </c>
      <c r="T35" s="430">
        <v>0.15769999999999998</v>
      </c>
      <c r="U35" s="430">
        <v>0.4098</v>
      </c>
      <c r="V35" s="430">
        <v>0.4022</v>
      </c>
      <c r="W35" s="430">
        <v>10.439999999999989</v>
      </c>
      <c r="X35" s="430">
        <v>13.48689999999999</v>
      </c>
      <c r="Y35" s="430">
        <v>12.851000000000001</v>
      </c>
      <c r="Z35" s="430">
        <v>11.69639999999999</v>
      </c>
      <c r="AA35" s="430">
        <v>12</v>
      </c>
    </row>
    <row r="36" spans="1:28" ht="18">
      <c r="A36" s="426" t="s">
        <v>1051</v>
      </c>
      <c r="B36" s="326">
        <f>SUM(B34:B35)</f>
        <v>242</v>
      </c>
      <c r="C36" s="326">
        <f t="shared" ref="C36:AA36" si="8">SUM(C34:C35)</f>
        <v>214.44612700000002</v>
      </c>
      <c r="D36" s="326">
        <f t="shared" si="8"/>
        <v>233.40837399999998</v>
      </c>
      <c r="E36" s="326">
        <f t="shared" si="8"/>
        <v>214.88534799999999</v>
      </c>
      <c r="F36" s="326">
        <f t="shared" si="8"/>
        <v>112.32241</v>
      </c>
      <c r="G36" s="326">
        <f t="shared" si="8"/>
        <v>110.248299</v>
      </c>
      <c r="H36" s="326">
        <f t="shared" si="8"/>
        <v>107.56929999999998</v>
      </c>
      <c r="I36" s="326">
        <f t="shared" si="8"/>
        <v>121.88789999999997</v>
      </c>
      <c r="J36" s="326">
        <f t="shared" si="8"/>
        <v>64.246099999999998</v>
      </c>
      <c r="K36" s="326">
        <f t="shared" si="8"/>
        <v>78.168199999999999</v>
      </c>
      <c r="L36" s="326">
        <f t="shared" si="8"/>
        <v>107.5179</v>
      </c>
      <c r="M36" s="326">
        <f t="shared" si="8"/>
        <v>82.355399999999989</v>
      </c>
      <c r="N36" s="326">
        <f t="shared" si="8"/>
        <v>83.721800000000016</v>
      </c>
      <c r="O36" s="326">
        <f t="shared" si="8"/>
        <v>77.65809999999999</v>
      </c>
      <c r="P36" s="326">
        <f t="shared" si="8"/>
        <v>99.784300000000002</v>
      </c>
      <c r="Q36" s="326">
        <f t="shared" si="8"/>
        <v>204.71249999999998</v>
      </c>
      <c r="R36" s="505">
        <f t="shared" si="8"/>
        <v>120.58120000000001</v>
      </c>
      <c r="S36" s="326">
        <f t="shared" si="8"/>
        <v>106.6614</v>
      </c>
      <c r="T36" s="326">
        <f t="shared" si="8"/>
        <v>145.52279999999999</v>
      </c>
      <c r="U36" s="326">
        <f t="shared" si="8"/>
        <v>117.6737</v>
      </c>
      <c r="V36" s="505">
        <f t="shared" si="8"/>
        <v>155.66240000000005</v>
      </c>
      <c r="W36" s="326">
        <f t="shared" si="8"/>
        <v>185.73119999999997</v>
      </c>
      <c r="X36" s="326">
        <f t="shared" si="8"/>
        <v>171.96030000000002</v>
      </c>
      <c r="Y36" s="326">
        <f t="shared" si="8"/>
        <v>77.708799999999997</v>
      </c>
      <c r="Z36" s="505">
        <f t="shared" si="8"/>
        <v>153.31269999999998</v>
      </c>
      <c r="AA36" s="326">
        <f t="shared" si="8"/>
        <v>182</v>
      </c>
    </row>
    <row r="37" spans="1:28" thickBot="1">
      <c r="A37" s="434" t="s">
        <v>1052</v>
      </c>
      <c r="B37" s="335">
        <f t="shared" ref="B37:AA37" si="9">B36+B32</f>
        <v>302.58330000000001</v>
      </c>
      <c r="C37" s="335">
        <f t="shared" si="9"/>
        <v>316.55639399999995</v>
      </c>
      <c r="D37" s="335">
        <f t="shared" si="9"/>
        <v>324.8142049999999</v>
      </c>
      <c r="E37" s="335">
        <f t="shared" si="9"/>
        <v>327.75771299999997</v>
      </c>
      <c r="F37" s="335">
        <f t="shared" si="9"/>
        <v>228.22143899999995</v>
      </c>
      <c r="G37" s="335">
        <f t="shared" si="9"/>
        <v>174.64735000000007</v>
      </c>
      <c r="H37" s="335">
        <f t="shared" si="9"/>
        <v>167.4221</v>
      </c>
      <c r="I37" s="335">
        <f t="shared" si="9"/>
        <v>233.29069999999996</v>
      </c>
      <c r="J37" s="335">
        <f t="shared" si="9"/>
        <v>770.86599999999987</v>
      </c>
      <c r="K37" s="335">
        <f t="shared" si="9"/>
        <v>164.07220000000001</v>
      </c>
      <c r="L37" s="335">
        <f t="shared" si="9"/>
        <v>190.15740000000002</v>
      </c>
      <c r="M37" s="335">
        <f t="shared" si="9"/>
        <v>217.01903599999997</v>
      </c>
      <c r="N37" s="335">
        <f t="shared" si="9"/>
        <v>150.386662</v>
      </c>
      <c r="O37" s="335">
        <f t="shared" si="9"/>
        <v>130.85166900000007</v>
      </c>
      <c r="P37" s="335">
        <f t="shared" si="9"/>
        <v>143.27036999999996</v>
      </c>
      <c r="Q37" s="335">
        <f t="shared" si="9"/>
        <v>281.57284599999986</v>
      </c>
      <c r="R37" s="335">
        <f t="shared" si="9"/>
        <v>166.57076199999997</v>
      </c>
      <c r="S37" s="335">
        <f t="shared" si="9"/>
        <v>145.77565100000004</v>
      </c>
      <c r="T37" s="335">
        <f t="shared" si="9"/>
        <v>207.11489100000011</v>
      </c>
      <c r="U37" s="335">
        <f t="shared" si="9"/>
        <v>183.56604300000009</v>
      </c>
      <c r="V37" s="335">
        <f t="shared" si="9"/>
        <v>229.68858299999999</v>
      </c>
      <c r="W37" s="335">
        <f t="shared" si="9"/>
        <v>311.17367700000011</v>
      </c>
      <c r="X37" s="335">
        <f t="shared" si="9"/>
        <v>273.95880099999988</v>
      </c>
      <c r="Y37" s="335">
        <f t="shared" si="9"/>
        <v>147.41086299999998</v>
      </c>
      <c r="Z37" s="335">
        <f t="shared" si="9"/>
        <v>219.94416000000001</v>
      </c>
      <c r="AA37" s="335">
        <f t="shared" si="9"/>
        <v>296.80399999999997</v>
      </c>
    </row>
    <row r="38" spans="1:28" thickTop="1">
      <c r="A38" s="435"/>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row>
    <row r="39" spans="1:28">
      <c r="A39" s="436" t="s">
        <v>1053</v>
      </c>
      <c r="B39" s="437">
        <f>SUM(B40:B42)</f>
        <v>20.208599999999997</v>
      </c>
      <c r="C39" s="437">
        <f t="shared" ref="C39:Z39" si="10">SUM(C40:C42)</f>
        <v>23.333299999999998</v>
      </c>
      <c r="D39" s="437">
        <f t="shared" si="10"/>
        <v>23.154899999999998</v>
      </c>
      <c r="E39" s="437">
        <f t="shared" si="10"/>
        <v>56.845180000000006</v>
      </c>
      <c r="F39" s="437">
        <f t="shared" si="10"/>
        <v>19.826400000000003</v>
      </c>
      <c r="G39" s="437">
        <f t="shared" si="10"/>
        <v>17.072299999999998</v>
      </c>
      <c r="H39" s="437">
        <f t="shared" si="10"/>
        <v>33.836399999999998</v>
      </c>
      <c r="I39" s="437">
        <f t="shared" si="10"/>
        <v>18.567</v>
      </c>
      <c r="J39" s="437">
        <f t="shared" si="10"/>
        <v>43.832700000000003</v>
      </c>
      <c r="K39" s="437">
        <f t="shared" si="10"/>
        <v>17.731399999999997</v>
      </c>
      <c r="L39" s="437">
        <f t="shared" si="10"/>
        <v>17.2559</v>
      </c>
      <c r="M39" s="437">
        <f t="shared" si="10"/>
        <v>26.593864</v>
      </c>
      <c r="N39" s="437">
        <f t="shared" si="10"/>
        <v>16.764150000000001</v>
      </c>
      <c r="O39" s="437">
        <f t="shared" si="10"/>
        <v>17.647707</v>
      </c>
      <c r="P39" s="437">
        <f t="shared" si="10"/>
        <v>24.447482000000001</v>
      </c>
      <c r="Q39" s="437">
        <f t="shared" si="10"/>
        <v>29.221085000000002</v>
      </c>
      <c r="R39" s="437">
        <f t="shared" si="10"/>
        <v>28.949965999999996</v>
      </c>
      <c r="S39" s="437">
        <f t="shared" si="10"/>
        <v>22.044713999999999</v>
      </c>
      <c r="T39" s="437">
        <f t="shared" si="10"/>
        <v>28.551716999999996</v>
      </c>
      <c r="U39" s="437">
        <f t="shared" si="10"/>
        <v>36.96763</v>
      </c>
      <c r="V39" s="437">
        <f t="shared" si="10"/>
        <v>34.597420000000007</v>
      </c>
      <c r="W39" s="437">
        <f t="shared" si="10"/>
        <v>25.538935000000002</v>
      </c>
      <c r="X39" s="437">
        <f t="shared" si="10"/>
        <v>38.399842</v>
      </c>
      <c r="Y39" s="437">
        <f t="shared" si="10"/>
        <v>18.035079</v>
      </c>
      <c r="Z39" s="437">
        <f t="shared" si="10"/>
        <v>31.753818999999996</v>
      </c>
      <c r="AA39" s="437">
        <f>AA24-AA37</f>
        <v>97.749819000000002</v>
      </c>
    </row>
    <row r="40" spans="1:28" ht="18">
      <c r="A40" s="271" t="s">
        <v>1054</v>
      </c>
      <c r="B40" s="438">
        <v>15.128</v>
      </c>
      <c r="C40" s="438">
        <v>16.386299999999999</v>
      </c>
      <c r="D40" s="438">
        <v>16.386299999999999</v>
      </c>
      <c r="E40" s="438">
        <v>48.381800000000005</v>
      </c>
      <c r="F40" s="438">
        <v>18.319400000000002</v>
      </c>
      <c r="G40" s="438">
        <v>16.523199999999999</v>
      </c>
      <c r="H40" s="438">
        <v>32.249099999999999</v>
      </c>
      <c r="I40" s="438">
        <v>17.135300000000001</v>
      </c>
      <c r="J40" s="438">
        <v>18.849700000000002</v>
      </c>
      <c r="K40" s="438">
        <v>16.508299999999998</v>
      </c>
      <c r="L40" s="438">
        <v>16.192399999999999</v>
      </c>
      <c r="M40" s="438">
        <v>20.9575</v>
      </c>
      <c r="N40" s="438">
        <v>15.6835</v>
      </c>
      <c r="O40" s="438">
        <v>16.8659</v>
      </c>
      <c r="P40" s="438">
        <v>23.688400000000001</v>
      </c>
      <c r="Q40" s="490">
        <v>27.213000000000001</v>
      </c>
      <c r="R40" s="490">
        <v>28.222199999999997</v>
      </c>
      <c r="S40" s="438">
        <v>21.4435</v>
      </c>
      <c r="T40" s="438">
        <v>27.401999999999997</v>
      </c>
      <c r="U40" s="490">
        <v>35.331600000000002</v>
      </c>
      <c r="V40" s="490">
        <v>33.088500000000003</v>
      </c>
      <c r="W40" s="438">
        <v>23.8459</v>
      </c>
      <c r="X40" s="438">
        <v>36.910199999999996</v>
      </c>
      <c r="Y40" s="490">
        <v>17.452099999999998</v>
      </c>
      <c r="Z40" s="490">
        <v>30.900299999999998</v>
      </c>
      <c r="AA40" s="438"/>
    </row>
    <row r="41" spans="1:28" ht="18">
      <c r="A41" s="271" t="s">
        <v>1055</v>
      </c>
      <c r="B41" s="438">
        <v>0.98060000000000003</v>
      </c>
      <c r="C41" s="438">
        <v>1.4482000000000002</v>
      </c>
      <c r="D41" s="438">
        <v>1.3212999999999999</v>
      </c>
      <c r="E41" s="438">
        <v>1.8892</v>
      </c>
      <c r="F41" s="438">
        <v>1.5069999999999999</v>
      </c>
      <c r="G41" s="438">
        <v>0.54910000000000003</v>
      </c>
      <c r="H41" s="438">
        <v>1.5872999999999999</v>
      </c>
      <c r="I41" s="438">
        <v>1.4317</v>
      </c>
      <c r="J41" s="438">
        <v>24.983000000000001</v>
      </c>
      <c r="K41" s="438">
        <v>1.2230999999999999</v>
      </c>
      <c r="L41" s="438">
        <v>1.0634999999999999</v>
      </c>
      <c r="M41" s="438">
        <v>5.6363639999999995</v>
      </c>
      <c r="N41" s="438">
        <v>1.0806500000000001</v>
      </c>
      <c r="O41" s="438">
        <v>0.78180700000000003</v>
      </c>
      <c r="P41" s="438">
        <v>0.75908200000000003</v>
      </c>
      <c r="Q41" s="438">
        <v>2.0080849999999999</v>
      </c>
      <c r="R41" s="438">
        <v>0.72776599999999991</v>
      </c>
      <c r="S41" s="438">
        <v>0.60121400000000003</v>
      </c>
      <c r="T41" s="438">
        <v>1.1497170000000001</v>
      </c>
      <c r="U41" s="438">
        <v>1.6360299999999999</v>
      </c>
      <c r="V41" s="438">
        <v>1.50892</v>
      </c>
      <c r="W41" s="438">
        <v>1.6930350000000001</v>
      </c>
      <c r="X41" s="438">
        <v>1.4896420000000001</v>
      </c>
      <c r="Y41" s="438">
        <v>0.58297900000000002</v>
      </c>
      <c r="Z41" s="438">
        <v>0.85351900000000003</v>
      </c>
      <c r="AA41" s="438"/>
    </row>
    <row r="42" spans="1:28" ht="18">
      <c r="A42" s="271" t="s">
        <v>1059</v>
      </c>
      <c r="B42" s="438">
        <v>4.0999999999999996</v>
      </c>
      <c r="C42" s="438">
        <v>5.4988000000000001</v>
      </c>
      <c r="D42" s="438">
        <v>5.4473000000000003</v>
      </c>
      <c r="E42" s="438">
        <v>6.5741800000000001</v>
      </c>
      <c r="F42" s="438"/>
      <c r="G42" s="438"/>
      <c r="H42" s="438"/>
      <c r="I42" s="438"/>
      <c r="J42" s="438"/>
      <c r="K42" s="438"/>
      <c r="L42" s="438"/>
      <c r="M42" s="438"/>
      <c r="N42" s="438"/>
      <c r="O42" s="438"/>
      <c r="P42" s="438"/>
      <c r="Q42" s="438"/>
      <c r="R42" s="438"/>
      <c r="S42" s="438"/>
      <c r="T42" s="438"/>
      <c r="U42" s="438"/>
      <c r="V42" s="438"/>
      <c r="W42" s="438"/>
      <c r="X42" s="438"/>
      <c r="Y42" s="438"/>
      <c r="Z42" s="438"/>
      <c r="AA42" s="438"/>
    </row>
    <row r="43" spans="1:28">
      <c r="U43" s="443"/>
      <c r="V43" s="443"/>
      <c r="W43" s="443"/>
      <c r="X43" s="442"/>
      <c r="Y43" s="442"/>
      <c r="Z43" s="442"/>
      <c r="AA43" s="442"/>
    </row>
    <row r="45" spans="1:28">
      <c r="V45" s="443"/>
    </row>
    <row r="46" spans="1:28">
      <c r="G46" s="277"/>
      <c r="P46" s="277"/>
    </row>
  </sheetData>
  <mergeCells count="2">
    <mergeCell ref="B1:Z1"/>
    <mergeCell ref="B15:Z1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FC81-F26B-42EC-B08C-8DCFDE4A2794}">
  <sheetPr>
    <tabColor rgb="FFFFC000"/>
  </sheetPr>
  <dimension ref="A1:AB47"/>
  <sheetViews>
    <sheetView zoomScale="70" zoomScaleNormal="70" workbookViewId="0">
      <pane xSplit="1" ySplit="3" topLeftCell="L20" activePane="bottomRight" state="frozen"/>
      <selection activeCell="X47" sqref="X47"/>
      <selection pane="topRight" activeCell="X47" sqref="X47"/>
      <selection pane="bottomLeft" activeCell="X47" sqref="X47"/>
      <selection pane="bottomRight" activeCell="Z37" sqref="A1:AB47"/>
    </sheetView>
  </sheetViews>
  <sheetFormatPr baseColWidth="10" defaultRowHeight="18.600000000000001"/>
  <cols>
    <col min="1" max="1" width="57.5546875" style="281" customWidth="1"/>
    <col min="2" max="13" width="11.109375" style="279" customWidth="1"/>
    <col min="14" max="17" width="9.88671875" style="279" customWidth="1"/>
    <col min="18" max="18" width="11.109375" style="279" customWidth="1"/>
    <col min="19" max="19" width="12.5546875" style="279" customWidth="1"/>
    <col min="20" max="21" width="13" style="279" customWidth="1"/>
    <col min="22" max="22" width="15" style="149" customWidth="1"/>
    <col min="23" max="23" width="13.109375" style="149" customWidth="1"/>
    <col min="24" max="24" width="15.109375" style="149" customWidth="1"/>
    <col min="25" max="27" width="15" style="149" customWidth="1"/>
    <col min="28" max="16384" width="11.5546875" style="149"/>
  </cols>
  <sheetData>
    <row r="1" spans="1:27" ht="89.25" customHeight="1">
      <c r="A1" s="146"/>
      <c r="B1" s="697" t="s">
        <v>1095</v>
      </c>
      <c r="C1" s="697"/>
      <c r="D1" s="697"/>
      <c r="E1" s="697"/>
      <c r="F1" s="697"/>
      <c r="G1" s="697"/>
      <c r="H1" s="697"/>
      <c r="I1" s="697"/>
      <c r="J1" s="697"/>
      <c r="K1" s="697"/>
      <c r="L1" s="697"/>
      <c r="M1" s="697"/>
      <c r="N1" s="697"/>
      <c r="O1" s="697"/>
      <c r="P1" s="697"/>
      <c r="Q1" s="697"/>
      <c r="R1" s="697"/>
      <c r="S1" s="697"/>
      <c r="T1" s="697"/>
      <c r="U1" s="697"/>
      <c r="V1" s="697"/>
      <c r="W1" s="697"/>
      <c r="X1" s="697"/>
      <c r="Y1" s="697"/>
      <c r="Z1" s="147"/>
      <c r="AA1" s="147"/>
    </row>
    <row r="2" spans="1:27" ht="18">
      <c r="A2" s="378"/>
      <c r="B2" s="379" t="s">
        <v>1008</v>
      </c>
      <c r="C2" s="379" t="s">
        <v>105</v>
      </c>
      <c r="D2" s="379" t="s">
        <v>108</v>
      </c>
      <c r="E2" s="379" t="s">
        <v>109</v>
      </c>
      <c r="F2" s="379" t="s">
        <v>106</v>
      </c>
      <c r="G2" s="379" t="s">
        <v>110</v>
      </c>
      <c r="H2" s="379" t="s">
        <v>111</v>
      </c>
      <c r="I2" s="379" t="s">
        <v>112</v>
      </c>
      <c r="J2" s="379" t="s">
        <v>113</v>
      </c>
      <c r="K2" s="379" t="s">
        <v>107</v>
      </c>
      <c r="L2" s="379" t="s">
        <v>114</v>
      </c>
      <c r="M2" s="379" t="s">
        <v>115</v>
      </c>
      <c r="N2" s="379" t="s">
        <v>116</v>
      </c>
      <c r="O2" s="379" t="s">
        <v>117</v>
      </c>
      <c r="P2" s="379" t="s">
        <v>118</v>
      </c>
      <c r="Q2" s="379" t="s">
        <v>119</v>
      </c>
      <c r="R2" s="379" t="s">
        <v>120</v>
      </c>
      <c r="S2" s="379" t="s">
        <v>121</v>
      </c>
      <c r="T2" s="379" t="s">
        <v>122</v>
      </c>
      <c r="U2" s="379" t="s">
        <v>123</v>
      </c>
      <c r="V2" s="379" t="s">
        <v>124</v>
      </c>
      <c r="W2" s="379" t="s">
        <v>125</v>
      </c>
      <c r="X2" s="379" t="s">
        <v>126</v>
      </c>
      <c r="Y2" s="379" t="s">
        <v>127</v>
      </c>
      <c r="Z2" s="379" t="s">
        <v>128</v>
      </c>
      <c r="AA2" s="379" t="s">
        <v>129</v>
      </c>
    </row>
    <row r="3" spans="1:27" ht="18">
      <c r="A3" s="380" t="s">
        <v>1009</v>
      </c>
      <c r="B3" s="381"/>
      <c r="C3" s="381"/>
      <c r="D3" s="381"/>
      <c r="E3" s="381"/>
      <c r="F3" s="381"/>
      <c r="G3" s="381"/>
      <c r="H3" s="381"/>
      <c r="I3" s="381"/>
      <c r="J3" s="381"/>
      <c r="K3" s="381"/>
      <c r="L3" s="381"/>
      <c r="M3" s="381"/>
      <c r="N3" s="381"/>
      <c r="O3" s="382"/>
      <c r="P3" s="382"/>
      <c r="Q3" s="381"/>
      <c r="R3" s="381"/>
      <c r="S3" s="284"/>
      <c r="T3" s="284"/>
      <c r="U3" s="284"/>
      <c r="V3" s="284"/>
      <c r="W3" s="284"/>
      <c r="X3" s="349"/>
      <c r="Y3" s="349"/>
      <c r="Z3" s="349" t="str">
        <f>'Bilans Blé tendre - FAM'!AC3</f>
        <v>Prov. Mars 25</v>
      </c>
      <c r="AA3" s="349" t="str">
        <f>'Bilans Blé tendre - FAM'!AD3</f>
        <v>Prév. Mars 25</v>
      </c>
    </row>
    <row r="4" spans="1:27" ht="18">
      <c r="A4" s="285"/>
      <c r="B4" s="161"/>
      <c r="C4" s="161"/>
      <c r="D4" s="161"/>
      <c r="E4" s="161"/>
      <c r="F4" s="161"/>
      <c r="G4" s="161"/>
      <c r="H4" s="161"/>
      <c r="I4" s="161"/>
      <c r="J4" s="161"/>
      <c r="K4" s="161"/>
      <c r="L4" s="161"/>
      <c r="M4" s="161"/>
      <c r="N4" s="161"/>
      <c r="O4" s="161"/>
      <c r="P4" s="161"/>
      <c r="Q4" s="161"/>
      <c r="R4" s="161"/>
      <c r="S4" s="161"/>
      <c r="T4" s="161"/>
      <c r="U4" s="161"/>
      <c r="V4" s="162"/>
      <c r="W4" s="162"/>
      <c r="X4" s="162"/>
      <c r="Y4" s="162"/>
      <c r="Z4" s="162"/>
      <c r="AA4" s="162"/>
    </row>
    <row r="5" spans="1:27">
      <c r="A5" s="164" t="s">
        <v>1013</v>
      </c>
      <c r="B5" s="350">
        <f t="shared" ref="B5:AA5" si="0">B21/B9</f>
        <v>0.44621016652021939</v>
      </c>
      <c r="C5" s="350">
        <f t="shared" si="0"/>
        <v>0.34899192221456804</v>
      </c>
      <c r="D5" s="350">
        <f t="shared" si="0"/>
        <v>0.37752328803997137</v>
      </c>
      <c r="E5" s="350">
        <f t="shared" si="0"/>
        <v>0.48781410442825746</v>
      </c>
      <c r="F5" s="350">
        <f t="shared" si="0"/>
        <v>0.50156797457710001</v>
      </c>
      <c r="G5" s="350">
        <f t="shared" si="0"/>
        <v>0.44908998934120181</v>
      </c>
      <c r="H5" s="350">
        <f t="shared" si="0"/>
        <v>0.43939770247687304</v>
      </c>
      <c r="I5" s="350">
        <f t="shared" si="0"/>
        <v>0.46216496719302463</v>
      </c>
      <c r="J5" s="350">
        <f t="shared" si="0"/>
        <v>0.41479073804556504</v>
      </c>
      <c r="K5" s="350">
        <f t="shared" si="0"/>
        <v>0.53585203466614795</v>
      </c>
      <c r="L5" s="350">
        <f t="shared" si="0"/>
        <v>0.57184894918045215</v>
      </c>
      <c r="M5" s="350">
        <f t="shared" si="0"/>
        <v>0.55012137618863499</v>
      </c>
      <c r="N5" s="350">
        <f t="shared" si="0"/>
        <v>0.44452391349458292</v>
      </c>
      <c r="O5" s="350">
        <f t="shared" si="0"/>
        <v>0.51364290937742552</v>
      </c>
      <c r="P5" s="350">
        <f t="shared" si="0"/>
        <v>0.57951118625673514</v>
      </c>
      <c r="Q5" s="350">
        <f t="shared" si="0"/>
        <v>0.54176115442726636</v>
      </c>
      <c r="R5" s="350">
        <f t="shared" si="0"/>
        <v>0.5391661749184149</v>
      </c>
      <c r="S5" s="350">
        <f t="shared" si="0"/>
        <v>0.51422656153911794</v>
      </c>
      <c r="T5" s="350">
        <f t="shared" si="0"/>
        <v>0.60230696135747042</v>
      </c>
      <c r="U5" s="350">
        <f t="shared" si="0"/>
        <v>0.60049462089386341</v>
      </c>
      <c r="V5" s="350">
        <f t="shared" si="0"/>
        <v>0.59982345967460871</v>
      </c>
      <c r="W5" s="350">
        <f t="shared" si="0"/>
        <v>0.50522846937026877</v>
      </c>
      <c r="X5" s="350">
        <f t="shared" si="0"/>
        <v>0.66079067219431631</v>
      </c>
      <c r="Y5" s="350">
        <f t="shared" si="0"/>
        <v>0.68328695289797536</v>
      </c>
      <c r="Z5" s="350">
        <f t="shared" si="0"/>
        <v>0.67306018860616246</v>
      </c>
      <c r="AA5" s="350">
        <f t="shared" si="0"/>
        <v>0.64923068371135639</v>
      </c>
    </row>
    <row r="6" spans="1:27">
      <c r="A6" s="288"/>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row>
    <row r="7" spans="1:27" ht="18">
      <c r="A7" s="292" t="s">
        <v>1014</v>
      </c>
      <c r="B7" s="383">
        <v>113.66800000000002</v>
      </c>
      <c r="C7" s="383">
        <v>103.129</v>
      </c>
      <c r="D7" s="383">
        <v>116.03999999999998</v>
      </c>
      <c r="E7" s="383">
        <v>146.28199999999998</v>
      </c>
      <c r="F7" s="383">
        <v>130.50299999999999</v>
      </c>
      <c r="G7" s="383">
        <v>120.19799999999996</v>
      </c>
      <c r="H7" s="383">
        <v>104.46700000000001</v>
      </c>
      <c r="I7" s="383">
        <v>99.98599999999999</v>
      </c>
      <c r="J7" s="383">
        <v>98.103000000000009</v>
      </c>
      <c r="K7" s="383">
        <v>91.619000000000014</v>
      </c>
      <c r="L7" s="383">
        <v>105.31599999999999</v>
      </c>
      <c r="M7" s="383">
        <v>86.453000000000003</v>
      </c>
      <c r="N7" s="383">
        <v>77.373999999999981</v>
      </c>
      <c r="O7" s="383">
        <v>82.793999999999997</v>
      </c>
      <c r="P7" s="383">
        <v>93.015999999999991</v>
      </c>
      <c r="Q7" s="383">
        <v>99.133999999999972</v>
      </c>
      <c r="R7" s="383">
        <v>85.888999999999982</v>
      </c>
      <c r="S7" s="383">
        <v>85.320999999999984</v>
      </c>
      <c r="T7" s="383">
        <v>113.28999999999999</v>
      </c>
      <c r="U7" s="383">
        <v>91.831000000000017</v>
      </c>
      <c r="V7" s="383">
        <v>87.470999999999989</v>
      </c>
      <c r="W7" s="383">
        <v>98.405999999999992</v>
      </c>
      <c r="X7" s="383">
        <v>107.16200000000001</v>
      </c>
      <c r="Y7" s="383">
        <v>96.802999999999997</v>
      </c>
      <c r="Z7" s="383">
        <v>78.900000000000006</v>
      </c>
      <c r="AA7" s="383">
        <v>78.492000000000004</v>
      </c>
    </row>
    <row r="8" spans="1:27" ht="18">
      <c r="A8" s="292" t="s">
        <v>1015</v>
      </c>
      <c r="B8" s="293">
        <f>B9/B7*10</f>
        <v>45.044858711334754</v>
      </c>
      <c r="C8" s="293">
        <f t="shared" ref="C8:AA8" si="1">C9/C7*10</f>
        <v>44.198818954901142</v>
      </c>
      <c r="D8" s="293">
        <f t="shared" si="1"/>
        <v>40.466718372974839</v>
      </c>
      <c r="E8" s="293">
        <f t="shared" si="1"/>
        <v>50.329097223171708</v>
      </c>
      <c r="F8" s="293">
        <f t="shared" si="1"/>
        <v>40.586361999341008</v>
      </c>
      <c r="G8" s="293">
        <f t="shared" si="1"/>
        <v>46.855746351852787</v>
      </c>
      <c r="H8" s="293">
        <f t="shared" si="1"/>
        <v>44.59298151569395</v>
      </c>
      <c r="I8" s="293">
        <f t="shared" si="1"/>
        <v>42.641719840777725</v>
      </c>
      <c r="J8" s="293">
        <f t="shared" si="1"/>
        <v>38.002894916567278</v>
      </c>
      <c r="K8" s="293">
        <f t="shared" si="1"/>
        <v>46.622283587465468</v>
      </c>
      <c r="L8" s="293">
        <f t="shared" si="1"/>
        <v>48.898457974097013</v>
      </c>
      <c r="M8" s="293">
        <f t="shared" si="1"/>
        <v>45.343065017986632</v>
      </c>
      <c r="N8" s="293">
        <f t="shared" si="1"/>
        <v>41.169113655749996</v>
      </c>
      <c r="O8" s="293">
        <f t="shared" si="1"/>
        <v>48.409534507331458</v>
      </c>
      <c r="P8" s="293">
        <f t="shared" si="1"/>
        <v>46.162864453427368</v>
      </c>
      <c r="Q8" s="293">
        <f t="shared" si="1"/>
        <v>44.685304739040099</v>
      </c>
      <c r="R8" s="293">
        <f t="shared" si="1"/>
        <v>46.583741806284863</v>
      </c>
      <c r="S8" s="293">
        <f t="shared" si="1"/>
        <v>40.499818333118469</v>
      </c>
      <c r="T8" s="293">
        <f t="shared" si="1"/>
        <v>47.430541089240009</v>
      </c>
      <c r="U8" s="293">
        <f t="shared" si="1"/>
        <v>46.63250971894022</v>
      </c>
      <c r="V8" s="293">
        <f t="shared" si="1"/>
        <v>46.547895874061133</v>
      </c>
      <c r="W8" s="293">
        <f t="shared" si="1"/>
        <v>39.791161108062532</v>
      </c>
      <c r="X8" s="293">
        <f t="shared" si="1"/>
        <v>45.310744480319514</v>
      </c>
      <c r="Y8" s="293">
        <f t="shared" si="1"/>
        <v>39.612315734016505</v>
      </c>
      <c r="Z8" s="293">
        <f t="shared" si="1"/>
        <v>43.257769328263635</v>
      </c>
      <c r="AA8" s="293">
        <f t="shared" si="1"/>
        <v>38.962378331549715</v>
      </c>
    </row>
    <row r="9" spans="1:27" ht="18">
      <c r="A9" s="292" t="s">
        <v>1016</v>
      </c>
      <c r="B9" s="383">
        <v>512.01589999999999</v>
      </c>
      <c r="C9" s="383">
        <v>455.81800000000004</v>
      </c>
      <c r="D9" s="383">
        <v>469.5757999999999</v>
      </c>
      <c r="E9" s="383">
        <v>736.22410000000025</v>
      </c>
      <c r="F9" s="383">
        <v>529.66419999999994</v>
      </c>
      <c r="G9" s="383">
        <v>563.19669999999996</v>
      </c>
      <c r="H9" s="383">
        <v>465.84949999999998</v>
      </c>
      <c r="I9" s="383">
        <v>426.35750000000007</v>
      </c>
      <c r="J9" s="383">
        <v>372.81980000000004</v>
      </c>
      <c r="K9" s="383">
        <v>427.14869999999996</v>
      </c>
      <c r="L9" s="383">
        <v>514.97900000000004</v>
      </c>
      <c r="M9" s="383">
        <v>392.00439999999986</v>
      </c>
      <c r="N9" s="383">
        <v>318.54189999999994</v>
      </c>
      <c r="O9" s="383">
        <v>400.80190000000005</v>
      </c>
      <c r="P9" s="383">
        <v>429.38849999999991</v>
      </c>
      <c r="Q9" s="383">
        <v>442.98329999999993</v>
      </c>
      <c r="R9" s="486">
        <v>400.10309999999998</v>
      </c>
      <c r="S9" s="383">
        <v>345.54850000000005</v>
      </c>
      <c r="T9" s="383">
        <v>537.34060000000011</v>
      </c>
      <c r="U9" s="383">
        <v>428.23099999999999</v>
      </c>
      <c r="V9" s="486">
        <v>407.15910000000008</v>
      </c>
      <c r="W9" s="383">
        <v>391.5689000000001</v>
      </c>
      <c r="X9" s="383">
        <v>485.55900000000003</v>
      </c>
      <c r="Y9" s="383">
        <v>383.45909999999998</v>
      </c>
      <c r="Z9" s="486">
        <v>341.30380000000008</v>
      </c>
      <c r="AA9" s="383">
        <v>305.82350000000002</v>
      </c>
    </row>
    <row r="10" spans="1:27" ht="18">
      <c r="A10" s="294"/>
      <c r="B10" s="183"/>
      <c r="C10" s="183"/>
      <c r="D10" s="183"/>
      <c r="E10" s="183"/>
      <c r="F10" s="183"/>
      <c r="G10" s="183"/>
      <c r="H10" s="183"/>
      <c r="I10" s="183"/>
      <c r="J10" s="183"/>
      <c r="K10" s="183"/>
      <c r="L10" s="183"/>
      <c r="M10" s="183"/>
      <c r="N10" s="182"/>
      <c r="O10" s="182"/>
      <c r="P10" s="182"/>
      <c r="Q10" s="182"/>
      <c r="R10" s="183"/>
      <c r="S10" s="183"/>
      <c r="T10" s="183"/>
      <c r="U10" s="183"/>
      <c r="V10" s="184"/>
      <c r="W10" s="184"/>
      <c r="X10" s="184"/>
      <c r="Y10" s="184"/>
      <c r="Z10" s="184"/>
      <c r="AA10" s="184"/>
    </row>
    <row r="11" spans="1:27" ht="36">
      <c r="A11" s="297" t="s">
        <v>1073</v>
      </c>
      <c r="B11" s="186">
        <f t="shared" ref="B11:AA11" si="2">B9-B21</f>
        <v>283.54919999999998</v>
      </c>
      <c r="C11" s="186">
        <f t="shared" si="2"/>
        <v>296.74120000000005</v>
      </c>
      <c r="D11" s="186">
        <f t="shared" si="2"/>
        <v>292.29999999999995</v>
      </c>
      <c r="E11" s="186">
        <f t="shared" si="2"/>
        <v>377.08360000000027</v>
      </c>
      <c r="F11" s="186">
        <f t="shared" si="2"/>
        <v>264.00159999999994</v>
      </c>
      <c r="G11" s="186">
        <f t="shared" si="2"/>
        <v>310.27069999999992</v>
      </c>
      <c r="H11" s="186">
        <f t="shared" si="2"/>
        <v>261.15629999999993</v>
      </c>
      <c r="I11" s="186">
        <f t="shared" si="2"/>
        <v>229.31000000000003</v>
      </c>
      <c r="J11" s="186">
        <f t="shared" si="2"/>
        <v>218.17760000000007</v>
      </c>
      <c r="K11" s="186">
        <f t="shared" si="2"/>
        <v>198.26019999999997</v>
      </c>
      <c r="L11" s="186">
        <f t="shared" si="2"/>
        <v>220.48879999999997</v>
      </c>
      <c r="M11" s="186">
        <f t="shared" si="2"/>
        <v>176.3543999999998</v>
      </c>
      <c r="N11" s="186">
        <f t="shared" si="2"/>
        <v>176.94240799999989</v>
      </c>
      <c r="O11" s="186">
        <f t="shared" si="2"/>
        <v>194.93284600000007</v>
      </c>
      <c r="P11" s="186">
        <f t="shared" si="2"/>
        <v>180.55306099999984</v>
      </c>
      <c r="Q11" s="186">
        <f t="shared" si="2"/>
        <v>202.99215599999991</v>
      </c>
      <c r="R11" s="492">
        <f t="shared" si="2"/>
        <v>184.38104199999992</v>
      </c>
      <c r="S11" s="186">
        <f t="shared" si="2"/>
        <v>167.85828300000014</v>
      </c>
      <c r="T11" s="186">
        <f t="shared" si="2"/>
        <v>213.69661600000006</v>
      </c>
      <c r="U11" s="186">
        <f t="shared" si="2"/>
        <v>171.08058799999998</v>
      </c>
      <c r="V11" s="492">
        <f t="shared" si="2"/>
        <v>162.93552000000005</v>
      </c>
      <c r="W11" s="186">
        <f t="shared" si="2"/>
        <v>193.7371440000002</v>
      </c>
      <c r="X11" s="186">
        <f t="shared" si="2"/>
        <v>164.706142</v>
      </c>
      <c r="Y11" s="186">
        <f t="shared" si="2"/>
        <v>121.44649999999996</v>
      </c>
      <c r="Z11" s="492">
        <f t="shared" si="2"/>
        <v>111.58580000000006</v>
      </c>
      <c r="AA11" s="186">
        <f t="shared" si="2"/>
        <v>107.27350000000001</v>
      </c>
    </row>
    <row r="12" spans="1:27" ht="18">
      <c r="A12" s="292"/>
      <c r="B12" s="186"/>
      <c r="C12" s="186"/>
      <c r="D12" s="186"/>
      <c r="E12" s="186"/>
      <c r="F12" s="186"/>
      <c r="G12" s="186"/>
      <c r="H12" s="186"/>
      <c r="I12" s="186"/>
      <c r="J12" s="186"/>
      <c r="K12" s="186"/>
      <c r="L12" s="186"/>
      <c r="M12" s="186"/>
      <c r="N12" s="186"/>
      <c r="O12" s="186"/>
      <c r="P12" s="186"/>
      <c r="Q12" s="186"/>
      <c r="R12" s="186"/>
      <c r="S12" s="186"/>
      <c r="T12" s="186"/>
      <c r="U12" s="186"/>
      <c r="V12" s="385"/>
      <c r="W12" s="385"/>
      <c r="X12" s="186"/>
      <c r="Y12" s="186"/>
      <c r="Z12" s="186"/>
      <c r="AA12" s="186"/>
    </row>
    <row r="13" spans="1:27" ht="18">
      <c r="A13" s="292"/>
      <c r="B13" s="173"/>
      <c r="C13" s="173"/>
      <c r="D13" s="173"/>
      <c r="E13" s="173"/>
      <c r="F13" s="173"/>
      <c r="G13" s="173"/>
      <c r="H13" s="173"/>
      <c r="I13" s="173"/>
      <c r="J13" s="173"/>
      <c r="K13" s="173"/>
      <c r="L13" s="173"/>
      <c r="M13" s="173"/>
      <c r="N13" s="173"/>
      <c r="O13" s="370"/>
      <c r="P13" s="370"/>
      <c r="Q13" s="173"/>
      <c r="R13" s="173"/>
      <c r="S13" s="173"/>
      <c r="T13" s="386"/>
      <c r="U13" s="386"/>
      <c r="V13" s="386"/>
      <c r="W13" s="386"/>
      <c r="X13" s="386"/>
      <c r="Y13" s="386"/>
      <c r="Z13" s="386"/>
      <c r="AA13" s="386"/>
    </row>
    <row r="14" spans="1:27" ht="18">
      <c r="A14" s="300"/>
      <c r="B14" s="387"/>
      <c r="C14" s="387"/>
      <c r="D14" s="387"/>
      <c r="E14" s="387"/>
      <c r="F14" s="387"/>
      <c r="G14" s="387"/>
      <c r="H14" s="387"/>
      <c r="I14" s="387"/>
      <c r="J14" s="387"/>
      <c r="K14" s="387"/>
      <c r="L14" s="387"/>
      <c r="M14" s="387"/>
      <c r="N14" s="387"/>
      <c r="O14" s="387"/>
      <c r="P14" s="387"/>
      <c r="Q14" s="387"/>
      <c r="R14" s="387"/>
      <c r="S14" s="387"/>
      <c r="T14" s="388"/>
      <c r="U14" s="388"/>
      <c r="V14" s="388"/>
      <c r="W14" s="388"/>
      <c r="X14" s="388"/>
      <c r="Y14" s="388"/>
      <c r="Z14" s="388"/>
      <c r="AA14" s="388"/>
    </row>
    <row r="15" spans="1:27" ht="37.5" customHeight="1">
      <c r="A15" s="190" t="s">
        <v>1020</v>
      </c>
      <c r="B15" s="698" t="s">
        <v>1096</v>
      </c>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191"/>
    </row>
    <row r="16" spans="1:27">
      <c r="A16" s="389" t="s">
        <v>1009</v>
      </c>
      <c r="B16" s="390" t="str">
        <f t="shared" ref="B16:M16" si="3">B2</f>
        <v>1999/00</v>
      </c>
      <c r="C16" s="390" t="str">
        <f t="shared" si="3"/>
        <v>2000/01</v>
      </c>
      <c r="D16" s="390" t="str">
        <f t="shared" si="3"/>
        <v>2001/02</v>
      </c>
      <c r="E16" s="390" t="str">
        <f t="shared" si="3"/>
        <v>2002/03</v>
      </c>
      <c r="F16" s="390" t="str">
        <f t="shared" si="3"/>
        <v>2003/04</v>
      </c>
      <c r="G16" s="390" t="str">
        <f t="shared" si="3"/>
        <v>2004/05</v>
      </c>
      <c r="H16" s="390" t="str">
        <f t="shared" si="3"/>
        <v>2005/06</v>
      </c>
      <c r="I16" s="390" t="str">
        <f t="shared" si="3"/>
        <v>2006/07</v>
      </c>
      <c r="J16" s="390" t="str">
        <f t="shared" si="3"/>
        <v>2007/08</v>
      </c>
      <c r="K16" s="390" t="str">
        <f t="shared" si="3"/>
        <v>2008/09</v>
      </c>
      <c r="L16" s="390" t="str">
        <f t="shared" si="3"/>
        <v>2009/10</v>
      </c>
      <c r="M16" s="390" t="str">
        <f t="shared" si="3"/>
        <v>2010/11</v>
      </c>
      <c r="N16" s="390" t="s">
        <v>116</v>
      </c>
      <c r="O16" s="390" t="s">
        <v>117</v>
      </c>
      <c r="P16" s="390" t="s">
        <v>118</v>
      </c>
      <c r="Q16" s="390" t="s">
        <v>119</v>
      </c>
      <c r="R16" s="390" t="s">
        <v>120</v>
      </c>
      <c r="S16" s="390" t="s">
        <v>121</v>
      </c>
      <c r="T16" s="390" t="s">
        <v>122</v>
      </c>
      <c r="U16" s="390" t="s">
        <v>123</v>
      </c>
      <c r="V16" s="390" t="s">
        <v>124</v>
      </c>
      <c r="W16" s="390" t="s">
        <v>125</v>
      </c>
      <c r="X16" s="390" t="str">
        <f>X2</f>
        <v>2021/22</v>
      </c>
      <c r="Y16" s="390" t="str">
        <f>Y2</f>
        <v>2022/23</v>
      </c>
      <c r="Z16" s="390" t="str">
        <f>Z2</f>
        <v>2023/24</v>
      </c>
      <c r="AA16" s="390" t="str">
        <f>AA2</f>
        <v>2024/25</v>
      </c>
    </row>
    <row r="17" spans="1:28" ht="18">
      <c r="A17" s="391"/>
      <c r="B17" s="392"/>
      <c r="C17" s="392"/>
      <c r="D17" s="392"/>
      <c r="E17" s="392"/>
      <c r="F17" s="392"/>
      <c r="G17" s="392"/>
      <c r="H17" s="392"/>
      <c r="I17" s="392"/>
      <c r="J17" s="392"/>
      <c r="K17" s="392"/>
      <c r="L17" s="392"/>
      <c r="M17" s="392"/>
      <c r="N17" s="393"/>
      <c r="O17" s="394"/>
      <c r="P17" s="394"/>
      <c r="Q17" s="393"/>
      <c r="R17" s="392"/>
      <c r="S17" s="392"/>
      <c r="T17" s="395"/>
      <c r="U17" s="395"/>
      <c r="V17" s="395"/>
      <c r="W17" s="395"/>
      <c r="X17" s="395"/>
      <c r="Y17" s="395"/>
      <c r="Z17" s="395" t="str">
        <f>Z3</f>
        <v>Prov. Mars 25</v>
      </c>
      <c r="AA17" s="395" t="str">
        <f>AA3</f>
        <v>Prév. Mars 25</v>
      </c>
    </row>
    <row r="18" spans="1:28" ht="18">
      <c r="A18" s="396"/>
      <c r="B18" s="397"/>
      <c r="C18" s="397"/>
      <c r="D18" s="397"/>
      <c r="E18" s="397"/>
      <c r="F18" s="397"/>
      <c r="G18" s="397"/>
      <c r="H18" s="397"/>
      <c r="I18" s="397"/>
      <c r="J18" s="397"/>
      <c r="K18" s="397"/>
      <c r="L18" s="397"/>
      <c r="M18" s="397"/>
      <c r="N18" s="397"/>
      <c r="O18" s="398"/>
      <c r="P18" s="398"/>
      <c r="Q18" s="397"/>
      <c r="R18" s="397"/>
      <c r="S18" s="397"/>
      <c r="T18" s="397"/>
      <c r="U18" s="397"/>
      <c r="V18" s="399"/>
      <c r="W18" s="399"/>
      <c r="X18" s="399"/>
      <c r="Y18" s="399"/>
      <c r="Z18" s="399"/>
      <c r="AA18" s="399"/>
      <c r="AB18" s="400"/>
    </row>
    <row r="19" spans="1:28">
      <c r="A19" s="206" t="s">
        <v>1022</v>
      </c>
      <c r="B19" s="309"/>
      <c r="C19" s="309"/>
      <c r="D19" s="309"/>
      <c r="E19" s="309"/>
      <c r="F19" s="309"/>
      <c r="G19" s="309"/>
      <c r="H19" s="309"/>
      <c r="I19" s="309"/>
      <c r="J19" s="309"/>
      <c r="K19" s="309"/>
      <c r="L19" s="309"/>
      <c r="M19" s="309"/>
      <c r="N19" s="209"/>
      <c r="O19" s="209"/>
      <c r="P19" s="209"/>
      <c r="Q19" s="209"/>
      <c r="R19" s="309"/>
      <c r="S19" s="309"/>
      <c r="T19" s="309"/>
      <c r="U19" s="309"/>
      <c r="V19" s="401"/>
      <c r="W19" s="401"/>
      <c r="X19" s="401"/>
      <c r="Y19" s="401"/>
      <c r="Z19" s="444"/>
      <c r="AA19" s="444"/>
    </row>
    <row r="20" spans="1:28" ht="18">
      <c r="A20" s="402" t="s">
        <v>1023</v>
      </c>
      <c r="B20" s="403">
        <v>117.5</v>
      </c>
      <c r="C20" s="403">
        <f>B40</f>
        <v>41.5396</v>
      </c>
      <c r="D20" s="403">
        <f t="shared" ref="D20:AA20" si="4">C40</f>
        <v>39.183300000000003</v>
      </c>
      <c r="E20" s="403">
        <f t="shared" si="4"/>
        <v>38.6126</v>
      </c>
      <c r="F20" s="403">
        <f t="shared" si="4"/>
        <v>156.92779999999999</v>
      </c>
      <c r="G20" s="403">
        <f t="shared" si="4"/>
        <v>94.666399999999982</v>
      </c>
      <c r="H20" s="403">
        <f t="shared" si="4"/>
        <v>58.231500000000004</v>
      </c>
      <c r="I20" s="403">
        <f t="shared" si="4"/>
        <v>25.748699999999999</v>
      </c>
      <c r="J20" s="403">
        <f t="shared" si="4"/>
        <v>29.715399999999999</v>
      </c>
      <c r="K20" s="403">
        <f t="shared" si="4"/>
        <v>36.431699999999999</v>
      </c>
      <c r="L20" s="403">
        <f t="shared" si="4"/>
        <v>87.525000000000006</v>
      </c>
      <c r="M20" s="403">
        <f t="shared" si="4"/>
        <v>129.37400000000002</v>
      </c>
      <c r="N20" s="403">
        <f t="shared" si="4"/>
        <v>38.402015999999996</v>
      </c>
      <c r="O20" s="403">
        <f t="shared" si="4"/>
        <v>24.904092000000002</v>
      </c>
      <c r="P20" s="403">
        <f t="shared" si="4"/>
        <v>73.327629000000002</v>
      </c>
      <c r="Q20" s="403">
        <f t="shared" si="4"/>
        <v>70.180578000000011</v>
      </c>
      <c r="R20" s="403">
        <f t="shared" si="4"/>
        <v>41.516294000000002</v>
      </c>
      <c r="S20" s="403">
        <f t="shared" si="4"/>
        <v>33.110034999999996</v>
      </c>
      <c r="T20" s="403">
        <f t="shared" si="4"/>
        <v>48.658065000000001</v>
      </c>
      <c r="U20" s="403">
        <f t="shared" si="4"/>
        <v>92.339939000000001</v>
      </c>
      <c r="V20" s="403">
        <f t="shared" si="4"/>
        <v>55.431232999999999</v>
      </c>
      <c r="W20" s="403">
        <f t="shared" si="4"/>
        <v>35.543659000000005</v>
      </c>
      <c r="X20" s="403">
        <f t="shared" si="4"/>
        <v>36.711537000000007</v>
      </c>
      <c r="Y20" s="403">
        <f t="shared" si="4"/>
        <v>48.126005999999997</v>
      </c>
      <c r="Z20" s="403">
        <f t="shared" si="4"/>
        <v>53.439966000000005</v>
      </c>
      <c r="AA20" s="403">
        <f t="shared" si="4"/>
        <v>29.843880000000002</v>
      </c>
    </row>
    <row r="21" spans="1:28" ht="18">
      <c r="A21" s="404" t="s">
        <v>1024</v>
      </c>
      <c r="B21" s="405">
        <v>228.4667</v>
      </c>
      <c r="C21" s="405">
        <v>159.07679999999999</v>
      </c>
      <c r="D21" s="405">
        <v>177.27579999999995</v>
      </c>
      <c r="E21" s="405">
        <v>359.14049999999997</v>
      </c>
      <c r="F21" s="405">
        <v>265.6626</v>
      </c>
      <c r="G21" s="405">
        <v>252.92600000000002</v>
      </c>
      <c r="H21" s="405">
        <v>204.69320000000005</v>
      </c>
      <c r="I21" s="405">
        <v>197.04750000000004</v>
      </c>
      <c r="J21" s="405">
        <v>154.64219999999997</v>
      </c>
      <c r="K21" s="405">
        <v>228.88849999999999</v>
      </c>
      <c r="L21" s="405">
        <v>294.49020000000007</v>
      </c>
      <c r="M21" s="405">
        <v>215.65000000000006</v>
      </c>
      <c r="N21" s="405">
        <v>141.59949200000005</v>
      </c>
      <c r="O21" s="405">
        <v>205.86905399999998</v>
      </c>
      <c r="P21" s="405">
        <v>248.83543900000006</v>
      </c>
      <c r="Q21" s="405">
        <v>239.99114400000002</v>
      </c>
      <c r="R21" s="487">
        <v>215.72205800000006</v>
      </c>
      <c r="S21" s="405">
        <v>177.6902169999999</v>
      </c>
      <c r="T21" s="405">
        <v>323.64398400000005</v>
      </c>
      <c r="U21" s="405">
        <v>257.15041200000002</v>
      </c>
      <c r="V21" s="487">
        <v>244.22358000000003</v>
      </c>
      <c r="W21" s="405">
        <v>197.8317559999999</v>
      </c>
      <c r="X21" s="405">
        <v>320.85285800000003</v>
      </c>
      <c r="Y21" s="405">
        <v>262.01260000000002</v>
      </c>
      <c r="Z21" s="487">
        <v>229.71800000000002</v>
      </c>
      <c r="AA21" s="405">
        <v>198.55</v>
      </c>
    </row>
    <row r="22" spans="1:28" ht="18">
      <c r="A22" s="404" t="s">
        <v>1025</v>
      </c>
      <c r="B22" s="405">
        <v>2</v>
      </c>
      <c r="C22" s="405">
        <v>14.750859999999999</v>
      </c>
      <c r="D22" s="405">
        <v>8.1240120000000005</v>
      </c>
      <c r="E22" s="405">
        <v>1.2302819999999999</v>
      </c>
      <c r="F22" s="405">
        <v>1.6995759999999998</v>
      </c>
      <c r="G22" s="405">
        <v>1.6365319999999999</v>
      </c>
      <c r="H22" s="405">
        <v>3.7566999999999999</v>
      </c>
      <c r="I22" s="405">
        <v>1.2125999999999999</v>
      </c>
      <c r="J22" s="405">
        <v>19.415500000000005</v>
      </c>
      <c r="K22" s="405">
        <v>4.8087</v>
      </c>
      <c r="L22" s="405">
        <v>4.1798000000000002</v>
      </c>
      <c r="M22" s="405">
        <v>2.2641999999999998</v>
      </c>
      <c r="N22" s="405">
        <v>14.3263</v>
      </c>
      <c r="O22" s="405">
        <v>11.0099</v>
      </c>
      <c r="P22" s="405">
        <v>13.2433</v>
      </c>
      <c r="Q22" s="405">
        <v>8.5503</v>
      </c>
      <c r="R22" s="487">
        <v>9.8019000000000016</v>
      </c>
      <c r="S22" s="405">
        <v>18.977899999999998</v>
      </c>
      <c r="T22" s="405">
        <v>11.533900000000001</v>
      </c>
      <c r="U22" s="405">
        <v>11.944900000000001</v>
      </c>
      <c r="V22" s="487">
        <v>14.1943</v>
      </c>
      <c r="W22" s="405">
        <v>15.345400000000001</v>
      </c>
      <c r="X22" s="405">
        <v>15.606999999999998</v>
      </c>
      <c r="Y22" s="405">
        <v>8.8328000000000007</v>
      </c>
      <c r="Z22" s="487">
        <v>9</v>
      </c>
      <c r="AA22" s="405">
        <v>9</v>
      </c>
    </row>
    <row r="23" spans="1:28" ht="18">
      <c r="A23" s="216" t="s">
        <v>1026</v>
      </c>
      <c r="B23" s="405" t="s">
        <v>89</v>
      </c>
      <c r="C23" s="405" t="s">
        <v>89</v>
      </c>
      <c r="D23" s="405" t="s">
        <v>89</v>
      </c>
      <c r="E23" s="405" t="s">
        <v>89</v>
      </c>
      <c r="F23" s="405" t="s">
        <v>89</v>
      </c>
      <c r="G23" s="405" t="s">
        <v>89</v>
      </c>
      <c r="H23" s="405" t="s">
        <v>89</v>
      </c>
      <c r="I23" s="405" t="s">
        <v>89</v>
      </c>
      <c r="J23" s="405" t="s">
        <v>89</v>
      </c>
      <c r="K23" s="405" t="s">
        <v>89</v>
      </c>
      <c r="L23" s="405" t="s">
        <v>89</v>
      </c>
      <c r="M23" s="405" t="s">
        <v>89</v>
      </c>
      <c r="N23" s="405" t="s">
        <v>89</v>
      </c>
      <c r="O23" s="405" t="s">
        <v>89</v>
      </c>
      <c r="P23" s="405" t="s">
        <v>89</v>
      </c>
      <c r="Q23" s="405" t="s">
        <v>89</v>
      </c>
      <c r="R23" s="405" t="s">
        <v>89</v>
      </c>
      <c r="S23" s="405" t="s">
        <v>89</v>
      </c>
      <c r="T23" s="405" t="s">
        <v>89</v>
      </c>
      <c r="U23" s="405" t="s">
        <v>89</v>
      </c>
      <c r="V23" s="405" t="s">
        <v>89</v>
      </c>
      <c r="W23" s="405" t="s">
        <v>89</v>
      </c>
      <c r="X23" s="405" t="s">
        <v>89</v>
      </c>
      <c r="Y23" s="405" t="s">
        <v>89</v>
      </c>
      <c r="Z23" s="405">
        <v>0</v>
      </c>
      <c r="AA23" s="405">
        <v>0</v>
      </c>
    </row>
    <row r="24" spans="1:28" thickBot="1">
      <c r="A24" s="406" t="s">
        <v>1027</v>
      </c>
      <c r="B24" s="315">
        <f>SUM(B20:B23)</f>
        <v>347.9667</v>
      </c>
      <c r="C24" s="315">
        <f t="shared" ref="C24:AA24" si="5">SUM(C20:C23)</f>
        <v>215.36725999999999</v>
      </c>
      <c r="D24" s="315">
        <f t="shared" si="5"/>
        <v>224.58311199999994</v>
      </c>
      <c r="E24" s="315">
        <f t="shared" si="5"/>
        <v>398.98338199999995</v>
      </c>
      <c r="F24" s="315">
        <f t="shared" si="5"/>
        <v>424.28997599999997</v>
      </c>
      <c r="G24" s="315">
        <f t="shared" si="5"/>
        <v>349.22893199999999</v>
      </c>
      <c r="H24" s="315">
        <f t="shared" si="5"/>
        <v>266.68140000000005</v>
      </c>
      <c r="I24" s="315">
        <f t="shared" si="5"/>
        <v>224.00880000000006</v>
      </c>
      <c r="J24" s="315">
        <f t="shared" si="5"/>
        <v>203.77309999999997</v>
      </c>
      <c r="K24" s="315">
        <f t="shared" si="5"/>
        <v>270.12889999999999</v>
      </c>
      <c r="L24" s="315">
        <f t="shared" si="5"/>
        <v>386.19500000000005</v>
      </c>
      <c r="M24" s="315">
        <f t="shared" si="5"/>
        <v>347.28820000000013</v>
      </c>
      <c r="N24" s="315">
        <f t="shared" si="5"/>
        <v>194.32780800000006</v>
      </c>
      <c r="O24" s="315">
        <f t="shared" si="5"/>
        <v>241.78304599999996</v>
      </c>
      <c r="P24" s="315">
        <f t="shared" si="5"/>
        <v>335.40636800000004</v>
      </c>
      <c r="Q24" s="315">
        <f t="shared" si="5"/>
        <v>318.72202200000004</v>
      </c>
      <c r="R24" s="315">
        <f t="shared" si="5"/>
        <v>267.04025200000007</v>
      </c>
      <c r="S24" s="315">
        <f t="shared" si="5"/>
        <v>229.77815199999989</v>
      </c>
      <c r="T24" s="315">
        <f t="shared" si="5"/>
        <v>383.83594900000008</v>
      </c>
      <c r="U24" s="315">
        <f t="shared" si="5"/>
        <v>361.43525100000005</v>
      </c>
      <c r="V24" s="315">
        <f t="shared" si="5"/>
        <v>313.84911300000005</v>
      </c>
      <c r="W24" s="315">
        <f t="shared" si="5"/>
        <v>248.72081499999993</v>
      </c>
      <c r="X24" s="315">
        <f t="shared" si="5"/>
        <v>373.17139500000002</v>
      </c>
      <c r="Y24" s="315">
        <f t="shared" si="5"/>
        <v>318.97140600000006</v>
      </c>
      <c r="Z24" s="315">
        <f t="shared" si="5"/>
        <v>292.15796600000004</v>
      </c>
      <c r="AA24" s="315">
        <f t="shared" si="5"/>
        <v>237.39388000000002</v>
      </c>
    </row>
    <row r="25" spans="1:28" ht="19.2" thickTop="1">
      <c r="A25" s="220"/>
      <c r="B25" s="407"/>
      <c r="C25" s="407"/>
      <c r="D25" s="407"/>
      <c r="E25" s="407"/>
      <c r="F25" s="407"/>
      <c r="G25" s="407"/>
      <c r="H25" s="407"/>
      <c r="I25" s="407"/>
      <c r="J25" s="407"/>
      <c r="K25" s="407"/>
      <c r="L25" s="407"/>
      <c r="M25" s="407"/>
      <c r="N25" s="407"/>
      <c r="O25" s="408"/>
      <c r="P25" s="407"/>
      <c r="Q25" s="407"/>
      <c r="R25" s="407"/>
      <c r="S25" s="407"/>
      <c r="T25" s="407"/>
      <c r="U25" s="407"/>
      <c r="V25" s="407"/>
      <c r="W25" s="409"/>
      <c r="X25" s="409"/>
      <c r="Y25" s="409"/>
      <c r="Z25" s="409"/>
      <c r="AA25" s="409"/>
    </row>
    <row r="26" spans="1:28">
      <c r="A26" s="410" t="s">
        <v>1028</v>
      </c>
      <c r="B26" s="411"/>
      <c r="C26" s="411"/>
      <c r="D26" s="411"/>
      <c r="E26" s="411"/>
      <c r="F26" s="411"/>
      <c r="G26" s="411"/>
      <c r="H26" s="411"/>
      <c r="I26" s="411"/>
      <c r="J26" s="411"/>
      <c r="K26" s="411"/>
      <c r="L26" s="411"/>
      <c r="M26" s="411"/>
      <c r="N26" s="411"/>
      <c r="O26" s="362"/>
      <c r="P26" s="362"/>
      <c r="Q26" s="411"/>
      <c r="R26" s="411"/>
      <c r="S26" s="412"/>
      <c r="T26" s="412"/>
      <c r="U26" s="412"/>
      <c r="V26" s="319"/>
      <c r="W26" s="319"/>
      <c r="X26" s="319"/>
      <c r="Y26" s="319"/>
      <c r="Z26" s="320"/>
      <c r="AA26" s="320"/>
    </row>
    <row r="27" spans="1:28" ht="18">
      <c r="A27" s="413" t="s">
        <v>1094</v>
      </c>
      <c r="B27" s="414"/>
      <c r="C27" s="414"/>
      <c r="D27" s="414"/>
      <c r="E27" s="414"/>
      <c r="F27" s="414"/>
      <c r="G27" s="414"/>
      <c r="H27" s="414"/>
      <c r="I27" s="414"/>
      <c r="J27" s="414"/>
      <c r="K27" s="414"/>
      <c r="L27" s="414"/>
      <c r="M27" s="414"/>
      <c r="N27" s="414"/>
      <c r="O27" s="415"/>
      <c r="P27" s="415"/>
      <c r="Q27" s="414"/>
      <c r="R27" s="414"/>
      <c r="S27" s="414"/>
      <c r="T27" s="414"/>
      <c r="U27" s="414"/>
      <c r="V27" s="416"/>
      <c r="W27" s="416"/>
      <c r="X27" s="416"/>
      <c r="Y27" s="416"/>
      <c r="Z27" s="416"/>
      <c r="AA27" s="416"/>
      <c r="AB27" s="417"/>
    </row>
    <row r="28" spans="1:28" ht="18">
      <c r="A28" s="418" t="s">
        <v>1064</v>
      </c>
      <c r="B28" s="419">
        <v>10</v>
      </c>
      <c r="C28" s="419">
        <v>10</v>
      </c>
      <c r="D28" s="419">
        <v>10</v>
      </c>
      <c r="E28" s="419">
        <v>10</v>
      </c>
      <c r="F28" s="419">
        <v>10</v>
      </c>
      <c r="G28" s="419">
        <v>10</v>
      </c>
      <c r="H28" s="419">
        <v>10</v>
      </c>
      <c r="I28" s="419">
        <v>10</v>
      </c>
      <c r="J28" s="419">
        <v>10</v>
      </c>
      <c r="K28" s="419">
        <v>10</v>
      </c>
      <c r="L28" s="419">
        <v>10</v>
      </c>
      <c r="M28" s="419">
        <v>10</v>
      </c>
      <c r="N28" s="419">
        <v>10</v>
      </c>
      <c r="O28" s="419">
        <v>10</v>
      </c>
      <c r="P28" s="419">
        <v>10</v>
      </c>
      <c r="Q28" s="419">
        <v>10</v>
      </c>
      <c r="R28" s="488">
        <v>10</v>
      </c>
      <c r="S28" s="419">
        <v>10</v>
      </c>
      <c r="T28" s="419">
        <v>10</v>
      </c>
      <c r="U28" s="419">
        <v>10</v>
      </c>
      <c r="V28" s="488">
        <v>10</v>
      </c>
      <c r="W28" s="419">
        <v>10</v>
      </c>
      <c r="X28" s="419">
        <v>10</v>
      </c>
      <c r="Y28" s="419">
        <v>10</v>
      </c>
      <c r="Z28" s="488">
        <v>10</v>
      </c>
      <c r="AA28" s="419">
        <v>10</v>
      </c>
    </row>
    <row r="29" spans="1:28" ht="18">
      <c r="A29" s="424" t="s">
        <v>1037</v>
      </c>
      <c r="B29" s="419">
        <v>86.684399999999997</v>
      </c>
      <c r="C29" s="419">
        <v>44.870199958436189</v>
      </c>
      <c r="D29" s="419">
        <v>38.708600076280533</v>
      </c>
      <c r="E29" s="419">
        <v>67.705700000000007</v>
      </c>
      <c r="F29" s="419">
        <v>132.26609999999997</v>
      </c>
      <c r="G29" s="419">
        <v>99.515000000000001</v>
      </c>
      <c r="H29" s="419">
        <v>59.920499999999997</v>
      </c>
      <c r="I29" s="419">
        <v>45.731099999999998</v>
      </c>
      <c r="J29" s="419">
        <v>47.412000000000006</v>
      </c>
      <c r="K29" s="419">
        <v>50.482599999999998</v>
      </c>
      <c r="L29" s="419">
        <v>89.9148</v>
      </c>
      <c r="M29" s="419">
        <v>128.15978000000001</v>
      </c>
      <c r="N29" s="419">
        <v>61.323727999999988</v>
      </c>
      <c r="O29" s="419">
        <v>62.170805000000001</v>
      </c>
      <c r="P29" s="419">
        <v>97.159811999999988</v>
      </c>
      <c r="Q29" s="419">
        <v>99.850067999999993</v>
      </c>
      <c r="R29" s="488">
        <v>85.776518999999979</v>
      </c>
      <c r="S29" s="419">
        <v>60.065132999999996</v>
      </c>
      <c r="T29" s="419">
        <v>101.90701399999999</v>
      </c>
      <c r="U29" s="419">
        <v>113.29662999999999</v>
      </c>
      <c r="V29" s="488">
        <v>93.56348100000001</v>
      </c>
      <c r="W29" s="419">
        <v>76.109302999999997</v>
      </c>
      <c r="X29" s="419">
        <v>103.54181800000001</v>
      </c>
      <c r="Y29" s="419">
        <v>89.108818999999983</v>
      </c>
      <c r="Z29" s="488">
        <v>67.351899000000003</v>
      </c>
      <c r="AA29" s="419">
        <v>65</v>
      </c>
    </row>
    <row r="30" spans="1:28" ht="18">
      <c r="A30" s="424" t="s">
        <v>1038</v>
      </c>
      <c r="B30" s="419">
        <v>7.1123320000000003</v>
      </c>
      <c r="C30" s="419">
        <v>9.5233489999999996</v>
      </c>
      <c r="D30" s="419">
        <v>9.1279430000000001</v>
      </c>
      <c r="E30" s="419">
        <v>11.982849</v>
      </c>
      <c r="F30" s="419">
        <v>8.5272829999999988</v>
      </c>
      <c r="G30" s="419">
        <v>7.1003670000000003</v>
      </c>
      <c r="H30" s="419">
        <v>6.7172529999999995</v>
      </c>
      <c r="I30" s="419">
        <v>7.0568259999999992</v>
      </c>
      <c r="J30" s="419">
        <v>7.0081059999999997</v>
      </c>
      <c r="K30" s="419">
        <v>8.1253460000000004</v>
      </c>
      <c r="L30" s="419">
        <v>7.0350000000000001</v>
      </c>
      <c r="M30" s="419">
        <v>5.7919</v>
      </c>
      <c r="N30" s="419">
        <v>6.9969999999999999</v>
      </c>
      <c r="O30" s="419">
        <v>7.4276999999999997</v>
      </c>
      <c r="P30" s="419">
        <v>7.7806000000000006</v>
      </c>
      <c r="Q30" s="419">
        <v>6.4977</v>
      </c>
      <c r="R30" s="488">
        <v>6.4820000000000002</v>
      </c>
      <c r="S30" s="419">
        <v>7.4807999999999995</v>
      </c>
      <c r="T30" s="419">
        <v>7.2157</v>
      </c>
      <c r="U30" s="419">
        <v>6.4898999999999996</v>
      </c>
      <c r="V30" s="488">
        <v>7.7626999999999997</v>
      </c>
      <c r="W30" s="419">
        <v>6.6989000000000001</v>
      </c>
      <c r="X30" s="419">
        <v>7.3781000000000008</v>
      </c>
      <c r="Y30" s="419">
        <v>6.3176000000000005</v>
      </c>
      <c r="Z30" s="488">
        <v>6.3176000000000005</v>
      </c>
      <c r="AA30" s="419">
        <v>6.3176000000000005</v>
      </c>
    </row>
    <row r="31" spans="1:28" ht="18">
      <c r="A31" s="424" t="s">
        <v>1077</v>
      </c>
      <c r="B31" s="425">
        <f t="shared" ref="B31:AA31" si="6">0.01*B21</f>
        <v>2.2846670000000002</v>
      </c>
      <c r="C31" s="425">
        <f t="shared" si="6"/>
        <v>1.590768</v>
      </c>
      <c r="D31" s="425">
        <f t="shared" si="6"/>
        <v>1.7727579999999996</v>
      </c>
      <c r="E31" s="425">
        <f t="shared" si="6"/>
        <v>3.591405</v>
      </c>
      <c r="F31" s="425">
        <f t="shared" si="6"/>
        <v>2.6566260000000002</v>
      </c>
      <c r="G31" s="425">
        <f t="shared" si="6"/>
        <v>2.5292600000000003</v>
      </c>
      <c r="H31" s="425">
        <f t="shared" si="6"/>
        <v>2.0469320000000004</v>
      </c>
      <c r="I31" s="425">
        <f t="shared" si="6"/>
        <v>1.9704750000000004</v>
      </c>
      <c r="J31" s="425">
        <f t="shared" si="6"/>
        <v>1.5464219999999997</v>
      </c>
      <c r="K31" s="425">
        <f t="shared" si="6"/>
        <v>2.2888850000000001</v>
      </c>
      <c r="L31" s="425">
        <f t="shared" si="6"/>
        <v>2.9449020000000008</v>
      </c>
      <c r="M31" s="425">
        <f t="shared" si="6"/>
        <v>2.1565000000000007</v>
      </c>
      <c r="N31" s="425">
        <f t="shared" si="6"/>
        <v>1.4159949200000006</v>
      </c>
      <c r="O31" s="425">
        <f t="shared" si="6"/>
        <v>2.0586905399999997</v>
      </c>
      <c r="P31" s="425">
        <f t="shared" si="6"/>
        <v>2.4883543900000009</v>
      </c>
      <c r="Q31" s="425">
        <f t="shared" si="6"/>
        <v>2.3999114400000003</v>
      </c>
      <c r="R31" s="425">
        <f t="shared" si="6"/>
        <v>2.1572205800000006</v>
      </c>
      <c r="S31" s="425">
        <f t="shared" si="6"/>
        <v>1.7769021699999992</v>
      </c>
      <c r="T31" s="425">
        <f t="shared" si="6"/>
        <v>3.2364398400000005</v>
      </c>
      <c r="U31" s="425">
        <f t="shared" si="6"/>
        <v>2.5715041200000002</v>
      </c>
      <c r="V31" s="425">
        <f t="shared" si="6"/>
        <v>2.4422358000000002</v>
      </c>
      <c r="W31" s="425">
        <f t="shared" si="6"/>
        <v>1.9783175599999991</v>
      </c>
      <c r="X31" s="425">
        <f t="shared" si="6"/>
        <v>3.2085285800000003</v>
      </c>
      <c r="Y31" s="425">
        <f t="shared" si="6"/>
        <v>2.6201260000000004</v>
      </c>
      <c r="Z31" s="425">
        <f t="shared" si="6"/>
        <v>2.2971800000000004</v>
      </c>
      <c r="AA31" s="425">
        <f t="shared" si="6"/>
        <v>1.9855000000000003</v>
      </c>
    </row>
    <row r="32" spans="1:28" ht="18">
      <c r="A32" s="216" t="s">
        <v>431</v>
      </c>
      <c r="B32" s="313">
        <v>104.50880100000001</v>
      </c>
      <c r="C32" s="313">
        <v>110.1996430415638</v>
      </c>
      <c r="D32" s="313">
        <v>96.708123923719413</v>
      </c>
      <c r="E32" s="313">
        <v>81.153051999999946</v>
      </c>
      <c r="F32" s="313">
        <v>103.04001200000002</v>
      </c>
      <c r="G32" s="313">
        <v>92.772564999999958</v>
      </c>
      <c r="H32" s="313">
        <v>89.685615000000055</v>
      </c>
      <c r="I32" s="313">
        <v>78.534799000000078</v>
      </c>
      <c r="J32" s="313">
        <v>70.385171999999955</v>
      </c>
      <c r="K32" s="313">
        <v>63.193069000000008</v>
      </c>
      <c r="L32" s="313">
        <v>80.666498000000047</v>
      </c>
      <c r="M32" s="313">
        <v>68.879904000000124</v>
      </c>
      <c r="N32" s="313">
        <v>57.803293080000074</v>
      </c>
      <c r="O32" s="313">
        <v>55.262121459999946</v>
      </c>
      <c r="P32" s="313">
        <v>69.888623610000039</v>
      </c>
      <c r="Q32" s="313">
        <v>66.103748560000057</v>
      </c>
      <c r="R32" s="489">
        <v>58.688477420000098</v>
      </c>
      <c r="S32" s="313">
        <v>61.5797518299999</v>
      </c>
      <c r="T32" s="313">
        <v>82.738556160000101</v>
      </c>
      <c r="U32" s="313">
        <v>73.235283880000054</v>
      </c>
      <c r="V32" s="489">
        <v>68.888637200000034</v>
      </c>
      <c r="W32" s="313">
        <v>53.619657439999926</v>
      </c>
      <c r="X32" s="313">
        <v>77.265342419999996</v>
      </c>
      <c r="Y32" s="313">
        <v>58.461694999999999</v>
      </c>
      <c r="Z32" s="489">
        <v>73.935407000000012</v>
      </c>
      <c r="AA32" s="313">
        <v>60</v>
      </c>
    </row>
    <row r="33" spans="1:28" ht="18">
      <c r="A33" s="426" t="s">
        <v>1041</v>
      </c>
      <c r="B33" s="326">
        <f t="shared" ref="B33:D33" si="7">SUM(B28:B32)</f>
        <v>210.59019999999998</v>
      </c>
      <c r="C33" s="326">
        <f t="shared" si="7"/>
        <v>176.18395999999998</v>
      </c>
      <c r="D33" s="326">
        <f t="shared" si="7"/>
        <v>156.31742499999996</v>
      </c>
      <c r="E33" s="326">
        <f>SUM(E28:E32)</f>
        <v>174.43300599999995</v>
      </c>
      <c r="F33" s="326">
        <f t="shared" ref="F33:AA33" si="8">SUM(F28:F32)</f>
        <v>256.49002099999996</v>
      </c>
      <c r="G33" s="326">
        <f t="shared" si="8"/>
        <v>211.91719199999994</v>
      </c>
      <c r="H33" s="326">
        <f t="shared" si="8"/>
        <v>168.37030000000004</v>
      </c>
      <c r="I33" s="326">
        <f t="shared" si="8"/>
        <v>143.29320000000007</v>
      </c>
      <c r="J33" s="326">
        <f t="shared" si="8"/>
        <v>136.35169999999997</v>
      </c>
      <c r="K33" s="326">
        <f t="shared" si="8"/>
        <v>134.0899</v>
      </c>
      <c r="L33" s="326">
        <f t="shared" si="8"/>
        <v>190.56120000000004</v>
      </c>
      <c r="M33" s="326">
        <f t="shared" si="8"/>
        <v>214.98808400000013</v>
      </c>
      <c r="N33" s="326">
        <f t="shared" si="8"/>
        <v>137.54001600000007</v>
      </c>
      <c r="O33" s="326">
        <f t="shared" si="8"/>
        <v>136.91931699999995</v>
      </c>
      <c r="P33" s="326">
        <f t="shared" si="8"/>
        <v>187.31739000000005</v>
      </c>
      <c r="Q33" s="326">
        <f t="shared" si="8"/>
        <v>184.85142800000006</v>
      </c>
      <c r="R33" s="326">
        <f t="shared" si="8"/>
        <v>163.10421700000006</v>
      </c>
      <c r="S33" s="326">
        <f t="shared" si="8"/>
        <v>140.9025869999999</v>
      </c>
      <c r="T33" s="326">
        <f t="shared" si="8"/>
        <v>205.09771000000009</v>
      </c>
      <c r="U33" s="326">
        <f t="shared" si="8"/>
        <v>205.59331800000007</v>
      </c>
      <c r="V33" s="326">
        <f t="shared" si="8"/>
        <v>182.65705400000004</v>
      </c>
      <c r="W33" s="326">
        <f t="shared" si="8"/>
        <v>148.4061779999999</v>
      </c>
      <c r="X33" s="326">
        <f t="shared" si="8"/>
        <v>201.39378900000003</v>
      </c>
      <c r="Y33" s="326">
        <f t="shared" si="8"/>
        <v>166.50823999999997</v>
      </c>
      <c r="Z33" s="326">
        <f t="shared" si="8"/>
        <v>159.902086</v>
      </c>
      <c r="AA33" s="326">
        <f t="shared" si="8"/>
        <v>143.3031</v>
      </c>
    </row>
    <row r="34" spans="1:28" ht="18">
      <c r="A34" s="413" t="s">
        <v>1042</v>
      </c>
      <c r="B34" s="368"/>
      <c r="C34" s="368"/>
      <c r="D34" s="368"/>
      <c r="E34" s="368"/>
      <c r="F34" s="368"/>
      <c r="G34" s="368"/>
      <c r="H34" s="368"/>
      <c r="I34" s="368"/>
      <c r="J34" s="368"/>
      <c r="K34" s="368"/>
      <c r="L34" s="368"/>
      <c r="M34" s="368"/>
      <c r="N34" s="368"/>
      <c r="O34" s="368"/>
      <c r="P34" s="368"/>
      <c r="Q34" s="368"/>
      <c r="R34" s="368"/>
      <c r="S34" s="368"/>
      <c r="T34" s="368"/>
      <c r="U34" s="368"/>
      <c r="V34" s="427"/>
      <c r="W34" s="427"/>
      <c r="X34" s="427"/>
      <c r="Y34" s="427"/>
      <c r="Z34" s="427"/>
      <c r="AA34" s="427"/>
      <c r="AB34" s="428"/>
    </row>
    <row r="35" spans="1:28" ht="18">
      <c r="A35" s="429" t="s">
        <v>1065</v>
      </c>
      <c r="B35" s="430">
        <v>94.956000000000003</v>
      </c>
      <c r="C35" s="445"/>
      <c r="D35" s="430">
        <v>28.881207</v>
      </c>
      <c r="E35" s="430">
        <v>65.749752999999998</v>
      </c>
      <c r="F35" s="430">
        <v>71.516590999999991</v>
      </c>
      <c r="G35" s="430">
        <v>78.210939999999994</v>
      </c>
      <c r="H35" s="430">
        <v>69.040999999999997</v>
      </c>
      <c r="I35" s="430">
        <v>48.289899999999996</v>
      </c>
      <c r="J35" s="430">
        <v>30.291699999999999</v>
      </c>
      <c r="K35" s="430">
        <v>45.891299999999994</v>
      </c>
      <c r="L35" s="430">
        <v>61.418099999999995</v>
      </c>
      <c r="M35" s="430">
        <v>87.010900000000007</v>
      </c>
      <c r="N35" s="430">
        <v>30.015299999999996</v>
      </c>
      <c r="O35" s="430">
        <v>30.406599999999994</v>
      </c>
      <c r="P35" s="430">
        <v>69.638499999999993</v>
      </c>
      <c r="Q35" s="430">
        <v>86.241500000000002</v>
      </c>
      <c r="R35" s="430">
        <v>66.770099999999999</v>
      </c>
      <c r="S35" s="430">
        <v>40.217500000000001</v>
      </c>
      <c r="T35" s="430">
        <v>71.878199999999993</v>
      </c>
      <c r="U35" s="430">
        <v>84.273799999999994</v>
      </c>
      <c r="V35" s="430">
        <v>81.691699999999997</v>
      </c>
      <c r="W35" s="430">
        <v>47.627300000000005</v>
      </c>
      <c r="X35" s="430">
        <v>109.56170000000002</v>
      </c>
      <c r="Y35" s="430">
        <v>89.281100000000023</v>
      </c>
      <c r="Z35" s="430">
        <v>93.008200000000002</v>
      </c>
      <c r="AA35" s="430">
        <v>45</v>
      </c>
    </row>
    <row r="36" spans="1:28" ht="18">
      <c r="A36" s="171" t="s">
        <v>1044</v>
      </c>
      <c r="B36" s="430">
        <v>0.88090000000000002</v>
      </c>
      <c r="C36" s="445"/>
      <c r="D36" s="430">
        <v>0.77188000000000001</v>
      </c>
      <c r="E36" s="430">
        <v>1.8728230000000001</v>
      </c>
      <c r="F36" s="430">
        <v>1.6169640000000001</v>
      </c>
      <c r="G36" s="430">
        <v>0.86930000000000007</v>
      </c>
      <c r="H36" s="430">
        <v>3.5214000000000003</v>
      </c>
      <c r="I36" s="430">
        <v>2.7103000000000002</v>
      </c>
      <c r="J36" s="430">
        <v>0.69799999999999995</v>
      </c>
      <c r="K36" s="430">
        <v>2.6227</v>
      </c>
      <c r="L36" s="430">
        <v>4.8416999999999994</v>
      </c>
      <c r="M36" s="430">
        <v>6.8872000000000009</v>
      </c>
      <c r="N36" s="430">
        <v>1.8684000000000001</v>
      </c>
      <c r="O36" s="430">
        <v>1.1294999999999999</v>
      </c>
      <c r="P36" s="430">
        <v>8.2698999999999998</v>
      </c>
      <c r="Q36" s="430">
        <v>6.1128</v>
      </c>
      <c r="R36" s="430">
        <v>4.0559000000000003</v>
      </c>
      <c r="S36" s="430">
        <v>0</v>
      </c>
      <c r="T36" s="430">
        <v>14.520100000000001</v>
      </c>
      <c r="U36" s="430">
        <v>16.136899999999997</v>
      </c>
      <c r="V36" s="430">
        <v>13.9567</v>
      </c>
      <c r="W36" s="430">
        <v>15.9758</v>
      </c>
      <c r="X36" s="430">
        <v>14.089900000000002</v>
      </c>
      <c r="Y36" s="430">
        <v>9.8886999999999983</v>
      </c>
      <c r="Z36" s="430">
        <v>8.8332999999999995</v>
      </c>
      <c r="AA36" s="430">
        <v>6</v>
      </c>
    </row>
    <row r="37" spans="1:28" ht="18">
      <c r="A37" s="426" t="s">
        <v>1051</v>
      </c>
      <c r="B37" s="326">
        <f t="shared" ref="B37:D37" si="9">SUM(B35:B36)</f>
        <v>95.8369</v>
      </c>
      <c r="C37" s="326">
        <f t="shared" si="9"/>
        <v>0</v>
      </c>
      <c r="D37" s="326">
        <f t="shared" si="9"/>
        <v>29.653086999999999</v>
      </c>
      <c r="E37" s="326">
        <f>SUM(E35:E36)</f>
        <v>67.622575999999995</v>
      </c>
      <c r="F37" s="326">
        <f t="shared" ref="F37:AA37" si="10">SUM(F35:F36)</f>
        <v>73.133554999999987</v>
      </c>
      <c r="G37" s="326">
        <f t="shared" si="10"/>
        <v>79.080239999999989</v>
      </c>
      <c r="H37" s="326">
        <f t="shared" si="10"/>
        <v>72.562399999999997</v>
      </c>
      <c r="I37" s="326">
        <f t="shared" si="10"/>
        <v>51.000199999999992</v>
      </c>
      <c r="J37" s="326">
        <f t="shared" si="10"/>
        <v>30.989699999999999</v>
      </c>
      <c r="K37" s="326">
        <f t="shared" si="10"/>
        <v>48.513999999999996</v>
      </c>
      <c r="L37" s="326">
        <f t="shared" si="10"/>
        <v>66.259799999999998</v>
      </c>
      <c r="M37" s="326">
        <f t="shared" si="10"/>
        <v>93.898100000000014</v>
      </c>
      <c r="N37" s="326">
        <f t="shared" si="10"/>
        <v>31.883699999999997</v>
      </c>
      <c r="O37" s="326">
        <f t="shared" si="10"/>
        <v>31.536099999999994</v>
      </c>
      <c r="P37" s="326">
        <f t="shared" si="10"/>
        <v>77.9084</v>
      </c>
      <c r="Q37" s="326">
        <f t="shared" si="10"/>
        <v>92.354299999999995</v>
      </c>
      <c r="R37" s="505">
        <f t="shared" si="10"/>
        <v>70.825999999999993</v>
      </c>
      <c r="S37" s="326">
        <f t="shared" si="10"/>
        <v>40.217500000000001</v>
      </c>
      <c r="T37" s="326">
        <f t="shared" si="10"/>
        <v>86.398299999999992</v>
      </c>
      <c r="U37" s="326">
        <f t="shared" si="10"/>
        <v>100.41069999999999</v>
      </c>
      <c r="V37" s="505">
        <f t="shared" si="10"/>
        <v>95.648399999999995</v>
      </c>
      <c r="W37" s="326">
        <f t="shared" si="10"/>
        <v>63.603100000000005</v>
      </c>
      <c r="X37" s="326">
        <f t="shared" si="10"/>
        <v>123.65160000000002</v>
      </c>
      <c r="Y37" s="326">
        <f t="shared" si="10"/>
        <v>99.169800000000023</v>
      </c>
      <c r="Z37" s="505">
        <f t="shared" si="10"/>
        <v>101.8415</v>
      </c>
      <c r="AA37" s="326">
        <f t="shared" si="10"/>
        <v>51</v>
      </c>
    </row>
    <row r="38" spans="1:28" thickBot="1">
      <c r="A38" s="434" t="s">
        <v>1052</v>
      </c>
      <c r="B38" s="335">
        <f t="shared" ref="B38:AA38" si="11">B37+B33</f>
        <v>306.4271</v>
      </c>
      <c r="C38" s="335">
        <f t="shared" si="11"/>
        <v>176.18395999999998</v>
      </c>
      <c r="D38" s="335">
        <f t="shared" si="11"/>
        <v>185.97051199999996</v>
      </c>
      <c r="E38" s="335">
        <f t="shared" si="11"/>
        <v>242.05558199999996</v>
      </c>
      <c r="F38" s="335">
        <f t="shared" si="11"/>
        <v>329.62357599999996</v>
      </c>
      <c r="G38" s="335">
        <f t="shared" si="11"/>
        <v>290.99743199999995</v>
      </c>
      <c r="H38" s="335">
        <f t="shared" si="11"/>
        <v>240.93270000000004</v>
      </c>
      <c r="I38" s="335">
        <f t="shared" si="11"/>
        <v>194.29340000000008</v>
      </c>
      <c r="J38" s="335">
        <f t="shared" si="11"/>
        <v>167.34139999999996</v>
      </c>
      <c r="K38" s="335">
        <f t="shared" si="11"/>
        <v>182.60390000000001</v>
      </c>
      <c r="L38" s="335">
        <f t="shared" si="11"/>
        <v>256.82100000000003</v>
      </c>
      <c r="M38" s="335">
        <f t="shared" si="11"/>
        <v>308.88618400000013</v>
      </c>
      <c r="N38" s="335">
        <f t="shared" si="11"/>
        <v>169.42371600000007</v>
      </c>
      <c r="O38" s="335">
        <f t="shared" si="11"/>
        <v>168.45541699999995</v>
      </c>
      <c r="P38" s="335">
        <f t="shared" si="11"/>
        <v>265.22579000000007</v>
      </c>
      <c r="Q38" s="335">
        <f t="shared" si="11"/>
        <v>277.20572800000002</v>
      </c>
      <c r="R38" s="335">
        <f t="shared" si="11"/>
        <v>233.93021700000006</v>
      </c>
      <c r="S38" s="335">
        <f t="shared" si="11"/>
        <v>181.1200869999999</v>
      </c>
      <c r="T38" s="335">
        <f t="shared" si="11"/>
        <v>291.49601000000007</v>
      </c>
      <c r="U38" s="335">
        <f t="shared" si="11"/>
        <v>306.00401800000009</v>
      </c>
      <c r="V38" s="335">
        <f t="shared" si="11"/>
        <v>278.30545400000005</v>
      </c>
      <c r="W38" s="335">
        <f t="shared" si="11"/>
        <v>212.00927799999991</v>
      </c>
      <c r="X38" s="335">
        <f t="shared" si="11"/>
        <v>325.04538900000006</v>
      </c>
      <c r="Y38" s="335">
        <f t="shared" si="11"/>
        <v>265.67804000000001</v>
      </c>
      <c r="Z38" s="335">
        <f t="shared" si="11"/>
        <v>261.74358599999999</v>
      </c>
      <c r="AA38" s="335">
        <f t="shared" si="11"/>
        <v>194.3031</v>
      </c>
    </row>
    <row r="39" spans="1:28" thickTop="1">
      <c r="A39" s="435"/>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row>
    <row r="40" spans="1:28">
      <c r="A40" s="436" t="s">
        <v>1053</v>
      </c>
      <c r="B40" s="437">
        <f>SUM(B41:B42)</f>
        <v>41.5396</v>
      </c>
      <c r="C40" s="437">
        <f t="shared" ref="C40:Z40" si="12">SUM(C41:C42)</f>
        <v>39.183300000000003</v>
      </c>
      <c r="D40" s="437">
        <f t="shared" si="12"/>
        <v>38.6126</v>
      </c>
      <c r="E40" s="437">
        <f t="shared" si="12"/>
        <v>156.92779999999999</v>
      </c>
      <c r="F40" s="437">
        <f t="shared" si="12"/>
        <v>94.666399999999982</v>
      </c>
      <c r="G40" s="437">
        <f t="shared" si="12"/>
        <v>58.231500000000004</v>
      </c>
      <c r="H40" s="437">
        <f t="shared" si="12"/>
        <v>25.748699999999999</v>
      </c>
      <c r="I40" s="437">
        <f t="shared" si="12"/>
        <v>29.715399999999999</v>
      </c>
      <c r="J40" s="437">
        <f t="shared" si="12"/>
        <v>36.431699999999999</v>
      </c>
      <c r="K40" s="437">
        <f t="shared" si="12"/>
        <v>87.525000000000006</v>
      </c>
      <c r="L40" s="437">
        <f t="shared" si="12"/>
        <v>129.37400000000002</v>
      </c>
      <c r="M40" s="437">
        <f t="shared" si="12"/>
        <v>38.402015999999996</v>
      </c>
      <c r="N40" s="437">
        <f t="shared" si="12"/>
        <v>24.904092000000002</v>
      </c>
      <c r="O40" s="437">
        <f t="shared" si="12"/>
        <v>73.327629000000002</v>
      </c>
      <c r="P40" s="437">
        <f t="shared" si="12"/>
        <v>70.180578000000011</v>
      </c>
      <c r="Q40" s="437">
        <f t="shared" si="12"/>
        <v>41.516294000000002</v>
      </c>
      <c r="R40" s="437">
        <f t="shared" si="12"/>
        <v>33.110034999999996</v>
      </c>
      <c r="S40" s="437">
        <f t="shared" si="12"/>
        <v>48.658065000000001</v>
      </c>
      <c r="T40" s="437">
        <f t="shared" si="12"/>
        <v>92.339939000000001</v>
      </c>
      <c r="U40" s="437">
        <f t="shared" si="12"/>
        <v>55.431232999999999</v>
      </c>
      <c r="V40" s="437">
        <f t="shared" si="12"/>
        <v>35.543659000000005</v>
      </c>
      <c r="W40" s="437">
        <f t="shared" si="12"/>
        <v>36.711537000000007</v>
      </c>
      <c r="X40" s="437">
        <f t="shared" si="12"/>
        <v>48.126005999999997</v>
      </c>
      <c r="Y40" s="437">
        <f t="shared" si="12"/>
        <v>53.439966000000005</v>
      </c>
      <c r="Z40" s="437">
        <f t="shared" si="12"/>
        <v>29.843880000000002</v>
      </c>
      <c r="AA40" s="340">
        <f>AA24-AA38</f>
        <v>43.090780000000024</v>
      </c>
    </row>
    <row r="41" spans="1:28" ht="18">
      <c r="A41" s="271" t="s">
        <v>1054</v>
      </c>
      <c r="B41" s="438">
        <v>35.3279</v>
      </c>
      <c r="C41" s="438">
        <v>32.096299999999999</v>
      </c>
      <c r="D41" s="438">
        <v>32.096299999999999</v>
      </c>
      <c r="E41" s="438">
        <v>150.8433</v>
      </c>
      <c r="F41" s="438">
        <v>86.170899999999989</v>
      </c>
      <c r="G41" s="438">
        <v>51.825400000000002</v>
      </c>
      <c r="H41" s="438">
        <v>21.446300000000001</v>
      </c>
      <c r="I41" s="438">
        <v>25.600099999999998</v>
      </c>
      <c r="J41" s="438">
        <v>30.333200000000001</v>
      </c>
      <c r="K41" s="438">
        <v>83.847100000000012</v>
      </c>
      <c r="L41" s="438">
        <v>123.33510000000001</v>
      </c>
      <c r="M41" s="438">
        <v>32.617899999999999</v>
      </c>
      <c r="N41" s="438">
        <v>21.676500000000001</v>
      </c>
      <c r="O41" s="438">
        <v>68.239800000000002</v>
      </c>
      <c r="P41" s="438">
        <v>66.129900000000006</v>
      </c>
      <c r="Q41" s="490">
        <v>36.9039</v>
      </c>
      <c r="R41" s="490">
        <v>29.430199999999999</v>
      </c>
      <c r="S41" s="438">
        <v>45.186799999999998</v>
      </c>
      <c r="T41" s="438">
        <v>86.845399999999998</v>
      </c>
      <c r="U41" s="490">
        <v>50.994900000000001</v>
      </c>
      <c r="V41" s="490">
        <v>31.059600000000003</v>
      </c>
      <c r="W41" s="438">
        <v>32.296600000000005</v>
      </c>
      <c r="X41" s="438">
        <v>42.856699999999996</v>
      </c>
      <c r="Y41" s="490">
        <v>49.138800000000003</v>
      </c>
      <c r="Z41" s="490">
        <v>26.225200000000001</v>
      </c>
      <c r="AA41" s="438"/>
    </row>
    <row r="42" spans="1:28" ht="18">
      <c r="A42" s="271" t="s">
        <v>1055</v>
      </c>
      <c r="B42" s="438">
        <v>6.2116999999999996</v>
      </c>
      <c r="C42" s="438">
        <v>7.0869999999999997</v>
      </c>
      <c r="D42" s="438">
        <v>6.5163000000000002</v>
      </c>
      <c r="E42" s="438">
        <v>6.0845000000000002</v>
      </c>
      <c r="F42" s="438">
        <v>8.4954999999999998</v>
      </c>
      <c r="G42" s="438">
        <v>6.4061000000000003</v>
      </c>
      <c r="H42" s="438">
        <v>4.3023999999999996</v>
      </c>
      <c r="I42" s="438">
        <v>4.1153000000000004</v>
      </c>
      <c r="J42" s="438">
        <v>6.0984999999999996</v>
      </c>
      <c r="K42" s="438">
        <v>3.6779000000000002</v>
      </c>
      <c r="L42" s="438">
        <v>6.0388999999999999</v>
      </c>
      <c r="M42" s="438">
        <v>5.784116</v>
      </c>
      <c r="N42" s="438">
        <v>3.227592</v>
      </c>
      <c r="O42" s="438">
        <v>5.0878290000000002</v>
      </c>
      <c r="P42" s="438">
        <v>4.0506779999999996</v>
      </c>
      <c r="Q42" s="438">
        <v>4.6123940000000001</v>
      </c>
      <c r="R42" s="438">
        <v>3.6798350000000002</v>
      </c>
      <c r="S42" s="438">
        <v>3.4712649999999998</v>
      </c>
      <c r="T42" s="438">
        <v>5.4945389999999996</v>
      </c>
      <c r="U42" s="438">
        <v>4.4363329999999994</v>
      </c>
      <c r="V42" s="438">
        <v>4.4840590000000002</v>
      </c>
      <c r="W42" s="438">
        <v>4.4149370000000001</v>
      </c>
      <c r="X42" s="438">
        <v>5.2693059999999994</v>
      </c>
      <c r="Y42" s="438">
        <v>4.3011660000000003</v>
      </c>
      <c r="Z42" s="438">
        <v>3.6186799999999999</v>
      </c>
      <c r="AA42" s="438"/>
    </row>
    <row r="43" spans="1:28">
      <c r="U43" s="443"/>
      <c r="V43" s="443"/>
      <c r="W43" s="443"/>
      <c r="X43" s="442"/>
      <c r="Y43" s="442"/>
      <c r="Z43" s="442"/>
      <c r="AA43" s="442"/>
    </row>
    <row r="44" spans="1:28">
      <c r="B44" s="274"/>
      <c r="C44" s="275" t="s">
        <v>1060</v>
      </c>
    </row>
    <row r="45" spans="1:28">
      <c r="V45" s="443"/>
    </row>
    <row r="47" spans="1:28">
      <c r="X47" s="491"/>
    </row>
  </sheetData>
  <mergeCells count="2">
    <mergeCell ref="B1:Y1"/>
    <mergeCell ref="B15:Z1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DBD5-0005-40EF-9C86-8C5B0BD832CE}">
  <sheetPr>
    <tabColor rgb="FFFFC000"/>
  </sheetPr>
  <dimension ref="A1:AA47"/>
  <sheetViews>
    <sheetView zoomScale="70" zoomScaleNormal="70" workbookViewId="0">
      <pane xSplit="1" ySplit="3" topLeftCell="M20" activePane="bottomRight" state="frozen"/>
      <selection activeCell="X47" sqref="X47"/>
      <selection pane="topRight" activeCell="X47" sqref="X47"/>
      <selection pane="bottomLeft" activeCell="X47" sqref="X47"/>
      <selection pane="bottomRight" activeCell="Y43" sqref="A1:AA47"/>
    </sheetView>
  </sheetViews>
  <sheetFormatPr baseColWidth="10" defaultRowHeight="18.600000000000001"/>
  <cols>
    <col min="1" max="1" width="63.109375" style="281" customWidth="1"/>
    <col min="2" max="2" width="12.5546875" style="279" customWidth="1"/>
    <col min="3" max="3" width="12" style="279" customWidth="1"/>
    <col min="4" max="4" width="11.6640625" style="279" customWidth="1"/>
    <col min="5" max="6" width="12" style="279" customWidth="1"/>
    <col min="7" max="7" width="11.5546875" style="279" customWidth="1"/>
    <col min="8" max="8" width="12" style="279" customWidth="1"/>
    <col min="9" max="9" width="12.109375" style="279" customWidth="1"/>
    <col min="10" max="10" width="12" style="279" customWidth="1"/>
    <col min="11" max="11" width="12.5546875" style="279" customWidth="1"/>
    <col min="12" max="12" width="11.5546875" style="279" customWidth="1"/>
    <col min="13" max="13" width="11.109375" style="279" customWidth="1"/>
    <col min="14" max="14" width="10.6640625" style="279" customWidth="1"/>
    <col min="15" max="15" width="12.5546875" style="279" customWidth="1"/>
    <col min="16" max="16" width="11.44140625" style="279" customWidth="1"/>
    <col min="17" max="18" width="11.109375" style="279" customWidth="1"/>
    <col min="19" max="19" width="12.5546875" style="279" customWidth="1"/>
    <col min="20" max="21" width="13" style="279" customWidth="1"/>
    <col min="22" max="22" width="15" style="149" customWidth="1"/>
    <col min="23" max="23" width="13.109375" style="149" customWidth="1"/>
    <col min="24" max="24" width="15.109375" style="149" customWidth="1"/>
    <col min="25" max="27" width="15" style="149" customWidth="1"/>
    <col min="28" max="16384" width="11.5546875" style="149"/>
  </cols>
  <sheetData>
    <row r="1" spans="1:27" ht="87" customHeight="1">
      <c r="A1" s="146"/>
      <c r="B1" s="697" t="s">
        <v>1097</v>
      </c>
      <c r="C1" s="697"/>
      <c r="D1" s="697"/>
      <c r="E1" s="697"/>
      <c r="F1" s="697"/>
      <c r="G1" s="697"/>
      <c r="H1" s="697"/>
      <c r="I1" s="697"/>
      <c r="J1" s="697"/>
      <c r="K1" s="697"/>
      <c r="L1" s="697"/>
      <c r="M1" s="697"/>
      <c r="N1" s="697"/>
      <c r="O1" s="697"/>
      <c r="P1" s="697"/>
      <c r="Q1" s="697"/>
      <c r="R1" s="697"/>
      <c r="S1" s="697"/>
      <c r="T1" s="697"/>
      <c r="U1" s="697"/>
      <c r="V1" s="697"/>
      <c r="W1" s="697"/>
      <c r="X1" s="697"/>
      <c r="Y1" s="697"/>
      <c r="Z1" s="697"/>
      <c r="AA1" s="147"/>
    </row>
    <row r="2" spans="1:27" ht="18">
      <c r="A2" s="378"/>
      <c r="B2" s="379" t="s">
        <v>1008</v>
      </c>
      <c r="C2" s="379" t="s">
        <v>105</v>
      </c>
      <c r="D2" s="379" t="s">
        <v>108</v>
      </c>
      <c r="E2" s="379" t="s">
        <v>109</v>
      </c>
      <c r="F2" s="379" t="s">
        <v>106</v>
      </c>
      <c r="G2" s="379" t="s">
        <v>110</v>
      </c>
      <c r="H2" s="379" t="s">
        <v>111</v>
      </c>
      <c r="I2" s="379" t="s">
        <v>112</v>
      </c>
      <c r="J2" s="379" t="s">
        <v>113</v>
      </c>
      <c r="K2" s="379" t="s">
        <v>107</v>
      </c>
      <c r="L2" s="379" t="s">
        <v>114</v>
      </c>
      <c r="M2" s="379" t="s">
        <v>115</v>
      </c>
      <c r="N2" s="379" t="s">
        <v>116</v>
      </c>
      <c r="O2" s="379" t="s">
        <v>117</v>
      </c>
      <c r="P2" s="379" t="s">
        <v>118</v>
      </c>
      <c r="Q2" s="379" t="s">
        <v>119</v>
      </c>
      <c r="R2" s="379" t="s">
        <v>120</v>
      </c>
      <c r="S2" s="379" t="s">
        <v>121</v>
      </c>
      <c r="T2" s="379" t="s">
        <v>122</v>
      </c>
      <c r="U2" s="379" t="s">
        <v>123</v>
      </c>
      <c r="V2" s="379" t="s">
        <v>124</v>
      </c>
      <c r="W2" s="379" t="s">
        <v>125</v>
      </c>
      <c r="X2" s="379" t="s">
        <v>126</v>
      </c>
      <c r="Y2" s="379" t="s">
        <v>127</v>
      </c>
      <c r="Z2" s="379" t="s">
        <v>128</v>
      </c>
      <c r="AA2" s="379" t="s">
        <v>129</v>
      </c>
    </row>
    <row r="3" spans="1:27" ht="18">
      <c r="A3" s="380" t="s">
        <v>1009</v>
      </c>
      <c r="B3" s="381"/>
      <c r="C3" s="381"/>
      <c r="D3" s="381"/>
      <c r="E3" s="381"/>
      <c r="F3" s="381"/>
      <c r="G3" s="381"/>
      <c r="H3" s="381"/>
      <c r="I3" s="381"/>
      <c r="J3" s="381"/>
      <c r="K3" s="381"/>
      <c r="L3" s="381"/>
      <c r="M3" s="381"/>
      <c r="N3" s="381"/>
      <c r="O3" s="382"/>
      <c r="P3" s="382"/>
      <c r="Q3" s="381"/>
      <c r="R3" s="381"/>
      <c r="S3" s="284"/>
      <c r="T3" s="284"/>
      <c r="U3" s="284"/>
      <c r="V3" s="284"/>
      <c r="W3" s="284"/>
      <c r="X3" s="349"/>
      <c r="Y3" s="349"/>
      <c r="Z3" s="349" t="str">
        <f>'Bilans Blé tendre - FAM'!AC3</f>
        <v>Prov. Mars 25</v>
      </c>
      <c r="AA3" s="349" t="str">
        <f>'Bilans Blé tendre - FAM'!AD3</f>
        <v>Prév. Mars 25</v>
      </c>
    </row>
    <row r="4" spans="1:27" ht="18">
      <c r="A4" s="285"/>
      <c r="B4" s="161"/>
      <c r="C4" s="161"/>
      <c r="D4" s="161"/>
      <c r="E4" s="161"/>
      <c r="F4" s="161"/>
      <c r="G4" s="161"/>
      <c r="H4" s="161"/>
      <c r="I4" s="161"/>
      <c r="J4" s="161"/>
      <c r="K4" s="161"/>
      <c r="L4" s="161"/>
      <c r="M4" s="161"/>
      <c r="N4" s="161"/>
      <c r="O4" s="161"/>
      <c r="P4" s="161"/>
      <c r="Q4" s="161"/>
      <c r="R4" s="161"/>
      <c r="S4" s="161"/>
      <c r="T4" s="161"/>
      <c r="U4" s="161"/>
      <c r="V4" s="162"/>
      <c r="W4" s="162"/>
      <c r="X4" s="162"/>
      <c r="Y4" s="162"/>
      <c r="Z4" s="162"/>
      <c r="AA4" s="162"/>
    </row>
    <row r="5" spans="1:27">
      <c r="A5" s="164" t="s">
        <v>1013</v>
      </c>
      <c r="B5" s="350">
        <f t="shared" ref="B5:AA5" si="0">B21/B9</f>
        <v>0.42574858605819305</v>
      </c>
      <c r="C5" s="350">
        <f t="shared" si="0"/>
        <v>0.4158394568936819</v>
      </c>
      <c r="D5" s="350">
        <f t="shared" si="0"/>
        <v>0.32683610041758682</v>
      </c>
      <c r="E5" s="350">
        <f t="shared" si="0"/>
        <v>0.43679967649782819</v>
      </c>
      <c r="F5" s="350">
        <f t="shared" si="0"/>
        <v>0.46811335173605784</v>
      </c>
      <c r="G5" s="350">
        <f t="shared" si="0"/>
        <v>0.54715032906232652</v>
      </c>
      <c r="H5" s="350">
        <f t="shared" si="0"/>
        <v>0.55417629697386939</v>
      </c>
      <c r="I5" s="350">
        <f t="shared" si="0"/>
        <v>0.4748529663302764</v>
      </c>
      <c r="J5" s="350">
        <f t="shared" si="0"/>
        <v>0.3835075933826898</v>
      </c>
      <c r="K5" s="350">
        <f t="shared" si="0"/>
        <v>0.43917465652744059</v>
      </c>
      <c r="L5" s="350">
        <f t="shared" si="0"/>
        <v>0.49404842066601373</v>
      </c>
      <c r="M5" s="350">
        <f t="shared" si="0"/>
        <v>0.58848334877178987</v>
      </c>
      <c r="N5" s="350">
        <f t="shared" si="0"/>
        <v>0.5396666588974145</v>
      </c>
      <c r="O5" s="350">
        <f t="shared" si="0"/>
        <v>0.4962077294685992</v>
      </c>
      <c r="P5" s="350">
        <f t="shared" si="0"/>
        <v>0.42972561531767967</v>
      </c>
      <c r="Q5" s="350">
        <f t="shared" si="0"/>
        <v>0.44119151717773852</v>
      </c>
      <c r="R5" s="350">
        <f t="shared" si="0"/>
        <v>0.44412989423619181</v>
      </c>
      <c r="S5" s="350">
        <f t="shared" si="0"/>
        <v>0.34355364318967124</v>
      </c>
      <c r="T5" s="350">
        <f t="shared" si="0"/>
        <v>0.35421451273165772</v>
      </c>
      <c r="U5" s="350">
        <f t="shared" si="0"/>
        <v>0.35561978293551511</v>
      </c>
      <c r="V5" s="350">
        <f t="shared" si="0"/>
        <v>0.40264817490746951</v>
      </c>
      <c r="W5" s="350">
        <f t="shared" si="0"/>
        <v>0.37902759419052395</v>
      </c>
      <c r="X5" s="350">
        <f t="shared" si="0"/>
        <v>0.4586767969543149</v>
      </c>
      <c r="Y5" s="350">
        <f t="shared" si="0"/>
        <v>0.46008951133349257</v>
      </c>
      <c r="Z5" s="350">
        <f t="shared" si="0"/>
        <v>0.43037524223383639</v>
      </c>
      <c r="AA5" s="350">
        <f t="shared" si="0"/>
        <v>0.40762080803707057</v>
      </c>
    </row>
    <row r="6" spans="1:27">
      <c r="A6" s="288"/>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row>
    <row r="7" spans="1:27" ht="18">
      <c r="A7" s="292" t="s">
        <v>1014</v>
      </c>
      <c r="B7" s="383">
        <v>36.043999999999997</v>
      </c>
      <c r="C7" s="383">
        <v>31.591999999999995</v>
      </c>
      <c r="D7" s="383">
        <v>28.374000000000002</v>
      </c>
      <c r="E7" s="383">
        <v>28.409000000000002</v>
      </c>
      <c r="F7" s="383">
        <v>27.840999999999998</v>
      </c>
      <c r="G7" s="383">
        <v>33.653999999999996</v>
      </c>
      <c r="H7" s="383">
        <v>30.986999999999995</v>
      </c>
      <c r="I7" s="383">
        <v>26.613999999999997</v>
      </c>
      <c r="J7" s="383">
        <v>27.553000000000001</v>
      </c>
      <c r="K7" s="383">
        <v>26.048999999999999</v>
      </c>
      <c r="L7" s="383">
        <v>25.169999999999998</v>
      </c>
      <c r="M7" s="383">
        <v>29.641999999999996</v>
      </c>
      <c r="N7" s="383">
        <v>27.669000000000008</v>
      </c>
      <c r="O7" s="383">
        <v>31.546000000000003</v>
      </c>
      <c r="P7" s="383">
        <v>29.096</v>
      </c>
      <c r="Q7" s="383">
        <v>26.171000000000006</v>
      </c>
      <c r="R7" s="383">
        <v>26.228999999999999</v>
      </c>
      <c r="S7" s="383">
        <v>24.839999999999996</v>
      </c>
      <c r="T7" s="383">
        <v>24.187000000000001</v>
      </c>
      <c r="U7" s="383">
        <v>24.448999999999998</v>
      </c>
      <c r="V7" s="383">
        <v>28.725000000000001</v>
      </c>
      <c r="W7" s="383">
        <v>31.961000000000002</v>
      </c>
      <c r="X7" s="383">
        <v>43</v>
      </c>
      <c r="Y7" s="383">
        <v>41.402999999999999</v>
      </c>
      <c r="Z7" s="383">
        <v>38.824000000000005</v>
      </c>
      <c r="AA7" s="383">
        <v>28.914000000000001</v>
      </c>
    </row>
    <row r="8" spans="1:27" ht="18">
      <c r="A8" s="292" t="s">
        <v>1015</v>
      </c>
      <c r="B8" s="293">
        <f>B9/B7*10</f>
        <v>45.600710243036289</v>
      </c>
      <c r="C8" s="293">
        <f t="shared" ref="C8:AA8" si="1">C9/C7*10</f>
        <v>46.11309825272221</v>
      </c>
      <c r="D8" s="293">
        <f t="shared" si="1"/>
        <v>40.840241065764431</v>
      </c>
      <c r="E8" s="293">
        <f t="shared" si="1"/>
        <v>48.57256503220809</v>
      </c>
      <c r="F8" s="293">
        <f t="shared" si="1"/>
        <v>40.232893933407567</v>
      </c>
      <c r="G8" s="293">
        <f t="shared" si="1"/>
        <v>50.590271587329894</v>
      </c>
      <c r="H8" s="293">
        <f t="shared" si="1"/>
        <v>47.487107496692161</v>
      </c>
      <c r="I8" s="293">
        <f t="shared" si="1"/>
        <v>45.692041782520491</v>
      </c>
      <c r="J8" s="293">
        <f t="shared" si="1"/>
        <v>43.664464849562648</v>
      </c>
      <c r="K8" s="293">
        <f t="shared" si="1"/>
        <v>47.923260009981192</v>
      </c>
      <c r="L8" s="293">
        <f t="shared" si="1"/>
        <v>51.922129519268971</v>
      </c>
      <c r="M8" s="293">
        <f t="shared" si="1"/>
        <v>51.424735173065258</v>
      </c>
      <c r="N8" s="293">
        <f t="shared" si="1"/>
        <v>44.968050887274551</v>
      </c>
      <c r="O8" s="293">
        <f t="shared" si="1"/>
        <v>50.814936917517258</v>
      </c>
      <c r="P8" s="293">
        <f t="shared" si="1"/>
        <v>49.173941435248835</v>
      </c>
      <c r="Q8" s="293">
        <f t="shared" si="1"/>
        <v>48.984715906919874</v>
      </c>
      <c r="R8" s="293">
        <f t="shared" si="1"/>
        <v>47.118342292881934</v>
      </c>
      <c r="S8" s="293">
        <f t="shared" si="1"/>
        <v>39.45000000000001</v>
      </c>
      <c r="T8" s="293">
        <f t="shared" si="1"/>
        <v>45.361020382850292</v>
      </c>
      <c r="U8" s="293">
        <f t="shared" si="1"/>
        <v>44.91795165446441</v>
      </c>
      <c r="V8" s="293">
        <f t="shared" si="1"/>
        <v>47.677876414273285</v>
      </c>
      <c r="W8" s="293">
        <f t="shared" si="1"/>
        <v>41.920183974218574</v>
      </c>
      <c r="X8" s="293">
        <f t="shared" si="1"/>
        <v>45.813953488372093</v>
      </c>
      <c r="Y8" s="293">
        <f t="shared" si="1"/>
        <v>38.423785716010912</v>
      </c>
      <c r="Z8" s="293">
        <f t="shared" si="1"/>
        <v>43.862044096435191</v>
      </c>
      <c r="AA8" s="293">
        <f t="shared" si="1"/>
        <v>38.019851974821897</v>
      </c>
    </row>
    <row r="9" spans="1:27" ht="18">
      <c r="A9" s="292" t="s">
        <v>1016</v>
      </c>
      <c r="B9" s="383">
        <v>164.36319999999998</v>
      </c>
      <c r="C9" s="383">
        <v>145.68049999999997</v>
      </c>
      <c r="D9" s="383">
        <v>115.8801</v>
      </c>
      <c r="E9" s="383">
        <v>137.98979999999997</v>
      </c>
      <c r="F9" s="383">
        <v>112.01239999999999</v>
      </c>
      <c r="G9" s="383">
        <v>170.25650000000002</v>
      </c>
      <c r="H9" s="383">
        <v>147.14829999999998</v>
      </c>
      <c r="I9" s="383">
        <v>121.60480000000001</v>
      </c>
      <c r="J9" s="383">
        <v>120.30869999999999</v>
      </c>
      <c r="K9" s="383">
        <v>124.8353</v>
      </c>
      <c r="L9" s="383">
        <v>130.68799999999999</v>
      </c>
      <c r="M9" s="383">
        <v>152.4332</v>
      </c>
      <c r="N9" s="383">
        <v>124.42209999999999</v>
      </c>
      <c r="O9" s="383">
        <v>160.30079999999998</v>
      </c>
      <c r="P9" s="383">
        <v>143.07650000000001</v>
      </c>
      <c r="Q9" s="383">
        <v>128.19790000000003</v>
      </c>
      <c r="R9" s="486">
        <v>123.58670000000002</v>
      </c>
      <c r="S9" s="383">
        <v>97.993800000000007</v>
      </c>
      <c r="T9" s="383">
        <v>109.71469999999999</v>
      </c>
      <c r="U9" s="383">
        <v>109.81990000000003</v>
      </c>
      <c r="V9" s="486">
        <v>136.9547</v>
      </c>
      <c r="W9" s="383">
        <v>133.9811</v>
      </c>
      <c r="X9" s="383">
        <v>197</v>
      </c>
      <c r="Y9" s="383">
        <v>159.08599999999998</v>
      </c>
      <c r="Z9" s="486">
        <v>170.29000000000002</v>
      </c>
      <c r="AA9" s="383">
        <v>109.93060000000003</v>
      </c>
    </row>
    <row r="10" spans="1:27" ht="18">
      <c r="A10" s="294"/>
      <c r="B10" s="183"/>
      <c r="C10" s="183"/>
      <c r="D10" s="183"/>
      <c r="E10" s="183"/>
      <c r="F10" s="183"/>
      <c r="G10" s="183"/>
      <c r="H10" s="183"/>
      <c r="I10" s="183"/>
      <c r="J10" s="183"/>
      <c r="K10" s="183"/>
      <c r="L10" s="183"/>
      <c r="M10" s="183"/>
      <c r="N10" s="182"/>
      <c r="O10" s="182"/>
      <c r="P10" s="182"/>
      <c r="Q10" s="182"/>
      <c r="R10" s="183"/>
      <c r="S10" s="183"/>
      <c r="T10" s="183"/>
      <c r="U10" s="183"/>
      <c r="V10" s="184"/>
      <c r="W10" s="184"/>
      <c r="X10" s="184"/>
      <c r="Y10" s="184"/>
      <c r="Z10" s="184"/>
      <c r="AA10" s="184"/>
    </row>
    <row r="11" spans="1:27" ht="36">
      <c r="A11" s="297" t="s">
        <v>1073</v>
      </c>
      <c r="B11" s="186">
        <f t="shared" ref="B11:Z11" si="2">B9-B21</f>
        <v>94.385799999999989</v>
      </c>
      <c r="C11" s="186">
        <f t="shared" si="2"/>
        <v>85.100799999999964</v>
      </c>
      <c r="D11" s="186">
        <f t="shared" si="2"/>
        <v>78.006299999999996</v>
      </c>
      <c r="E11" s="186">
        <f t="shared" si="2"/>
        <v>77.715899999999976</v>
      </c>
      <c r="F11" s="186">
        <f t="shared" si="2"/>
        <v>59.577899999999985</v>
      </c>
      <c r="G11" s="186">
        <f t="shared" si="2"/>
        <v>77.100600000000014</v>
      </c>
      <c r="H11" s="186">
        <f t="shared" si="2"/>
        <v>65.602199999999968</v>
      </c>
      <c r="I11" s="186">
        <f t="shared" si="2"/>
        <v>63.860400000000013</v>
      </c>
      <c r="J11" s="186">
        <f t="shared" si="2"/>
        <v>74.169399999999982</v>
      </c>
      <c r="K11" s="186">
        <f t="shared" si="2"/>
        <v>70.010799999999989</v>
      </c>
      <c r="L11" s="186">
        <f t="shared" si="2"/>
        <v>66.121799999999993</v>
      </c>
      <c r="M11" s="186">
        <f t="shared" si="2"/>
        <v>62.728800000000007</v>
      </c>
      <c r="N11" s="186">
        <f t="shared" si="2"/>
        <v>57.275640999999993</v>
      </c>
      <c r="O11" s="186">
        <f t="shared" si="2"/>
        <v>80.758303999999967</v>
      </c>
      <c r="P11" s="186">
        <f t="shared" si="2"/>
        <v>81.592863000000008</v>
      </c>
      <c r="Q11" s="186">
        <f t="shared" si="2"/>
        <v>71.638074000000017</v>
      </c>
      <c r="R11" s="492">
        <f t="shared" si="2"/>
        <v>68.69815200000005</v>
      </c>
      <c r="S11" s="186">
        <f t="shared" si="2"/>
        <v>64.327673000000004</v>
      </c>
      <c r="T11" s="186">
        <f t="shared" si="2"/>
        <v>70.852160999999995</v>
      </c>
      <c r="U11" s="186">
        <f t="shared" si="2"/>
        <v>70.765771000000044</v>
      </c>
      <c r="V11" s="492">
        <f t="shared" si="2"/>
        <v>81.81013999999999</v>
      </c>
      <c r="W11" s="186">
        <f t="shared" si="2"/>
        <v>83.198566</v>
      </c>
      <c r="X11" s="186">
        <f t="shared" si="2"/>
        <v>106.64067099999997</v>
      </c>
      <c r="Y11" s="186">
        <f t="shared" si="2"/>
        <v>85.892199999999988</v>
      </c>
      <c r="Z11" s="492">
        <f t="shared" si="2"/>
        <v>97.001400000000018</v>
      </c>
      <c r="AA11" s="186">
        <f>AA9-AA21</f>
        <v>65.120600000000024</v>
      </c>
    </row>
    <row r="12" spans="1:27" ht="18">
      <c r="A12" s="292"/>
      <c r="B12" s="186"/>
      <c r="C12" s="186"/>
      <c r="D12" s="186"/>
      <c r="E12" s="186"/>
      <c r="F12" s="186"/>
      <c r="G12" s="186"/>
      <c r="H12" s="186"/>
      <c r="I12" s="186"/>
      <c r="J12" s="186"/>
      <c r="K12" s="186"/>
      <c r="L12" s="186"/>
      <c r="M12" s="186"/>
      <c r="N12" s="186"/>
      <c r="O12" s="186"/>
      <c r="P12" s="186"/>
      <c r="Q12" s="186"/>
      <c r="R12" s="186"/>
      <c r="S12" s="186"/>
      <c r="T12" s="186"/>
      <c r="U12" s="186"/>
      <c r="V12" s="385"/>
      <c r="W12" s="385"/>
      <c r="X12" s="186"/>
      <c r="Y12" s="186"/>
      <c r="Z12" s="186"/>
      <c r="AA12" s="186"/>
    </row>
    <row r="13" spans="1:27" ht="18">
      <c r="A13" s="292"/>
      <c r="B13" s="173"/>
      <c r="C13" s="173"/>
      <c r="D13" s="173"/>
      <c r="E13" s="173"/>
      <c r="F13" s="173"/>
      <c r="G13" s="173"/>
      <c r="H13" s="173"/>
      <c r="I13" s="173"/>
      <c r="J13" s="173"/>
      <c r="K13" s="173"/>
      <c r="L13" s="173"/>
      <c r="M13" s="173"/>
      <c r="N13" s="173"/>
      <c r="O13" s="370"/>
      <c r="P13" s="370"/>
      <c r="Q13" s="173"/>
      <c r="R13" s="173"/>
      <c r="S13" s="173"/>
      <c r="T13" s="386"/>
      <c r="U13" s="386"/>
      <c r="V13" s="386"/>
      <c r="W13" s="386"/>
      <c r="X13" s="386"/>
      <c r="Y13" s="386"/>
      <c r="Z13" s="386"/>
      <c r="AA13" s="386"/>
    </row>
    <row r="14" spans="1:27" ht="18">
      <c r="A14" s="300"/>
      <c r="B14" s="387"/>
      <c r="C14" s="387"/>
      <c r="D14" s="387"/>
      <c r="E14" s="387"/>
      <c r="F14" s="387"/>
      <c r="G14" s="387"/>
      <c r="H14" s="387"/>
      <c r="I14" s="387"/>
      <c r="J14" s="387"/>
      <c r="K14" s="387"/>
      <c r="L14" s="387"/>
      <c r="M14" s="387"/>
      <c r="N14" s="387"/>
      <c r="O14" s="387"/>
      <c r="P14" s="387"/>
      <c r="Q14" s="387"/>
      <c r="R14" s="387"/>
      <c r="S14" s="387"/>
      <c r="T14" s="388"/>
      <c r="U14" s="388"/>
      <c r="V14" s="388"/>
      <c r="W14" s="388"/>
      <c r="X14" s="388"/>
      <c r="Y14" s="388"/>
      <c r="Z14" s="388"/>
      <c r="AA14" s="388"/>
    </row>
    <row r="15" spans="1:27" ht="37.5" customHeight="1">
      <c r="A15" s="190" t="s">
        <v>1020</v>
      </c>
      <c r="B15" s="698" t="s">
        <v>1098</v>
      </c>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191"/>
    </row>
    <row r="16" spans="1:27">
      <c r="A16" s="389" t="s">
        <v>1009</v>
      </c>
      <c r="B16" s="390" t="str">
        <f t="shared" ref="B16:M16" si="3">B2</f>
        <v>1999/00</v>
      </c>
      <c r="C16" s="390" t="str">
        <f t="shared" si="3"/>
        <v>2000/01</v>
      </c>
      <c r="D16" s="390" t="str">
        <f t="shared" si="3"/>
        <v>2001/02</v>
      </c>
      <c r="E16" s="390" t="str">
        <f t="shared" si="3"/>
        <v>2002/03</v>
      </c>
      <c r="F16" s="390" t="str">
        <f t="shared" si="3"/>
        <v>2003/04</v>
      </c>
      <c r="G16" s="390" t="str">
        <f t="shared" si="3"/>
        <v>2004/05</v>
      </c>
      <c r="H16" s="390" t="str">
        <f t="shared" si="3"/>
        <v>2005/06</v>
      </c>
      <c r="I16" s="390" t="str">
        <f t="shared" si="3"/>
        <v>2006/07</v>
      </c>
      <c r="J16" s="390" t="str">
        <f t="shared" si="3"/>
        <v>2007/08</v>
      </c>
      <c r="K16" s="390" t="str">
        <f t="shared" si="3"/>
        <v>2008/09</v>
      </c>
      <c r="L16" s="390" t="str">
        <f t="shared" si="3"/>
        <v>2009/10</v>
      </c>
      <c r="M16" s="390" t="str">
        <f t="shared" si="3"/>
        <v>2010/11</v>
      </c>
      <c r="N16" s="390" t="s">
        <v>116</v>
      </c>
      <c r="O16" s="390" t="s">
        <v>117</v>
      </c>
      <c r="P16" s="390" t="s">
        <v>118</v>
      </c>
      <c r="Q16" s="390" t="s">
        <v>119</v>
      </c>
      <c r="R16" s="390" t="s">
        <v>120</v>
      </c>
      <c r="S16" s="390" t="s">
        <v>121</v>
      </c>
      <c r="T16" s="390" t="s">
        <v>122</v>
      </c>
      <c r="U16" s="390" t="s">
        <v>123</v>
      </c>
      <c r="V16" s="390" t="s">
        <v>124</v>
      </c>
      <c r="W16" s="390" t="s">
        <v>125</v>
      </c>
      <c r="X16" s="390" t="str">
        <f>X2</f>
        <v>2021/22</v>
      </c>
      <c r="Y16" s="390" t="str">
        <f>Y2</f>
        <v>2022/23</v>
      </c>
      <c r="Z16" s="390" t="str">
        <f>Z2</f>
        <v>2023/24</v>
      </c>
      <c r="AA16" s="390" t="str">
        <f>AA2</f>
        <v>2024/25</v>
      </c>
    </row>
    <row r="17" spans="1:27" ht="18">
      <c r="A17" s="391"/>
      <c r="B17" s="392"/>
      <c r="C17" s="392"/>
      <c r="D17" s="392"/>
      <c r="E17" s="392"/>
      <c r="F17" s="392"/>
      <c r="G17" s="392"/>
      <c r="H17" s="392"/>
      <c r="I17" s="392"/>
      <c r="J17" s="392"/>
      <c r="K17" s="392"/>
      <c r="L17" s="392"/>
      <c r="M17" s="392"/>
      <c r="N17" s="393"/>
      <c r="O17" s="394"/>
      <c r="P17" s="394"/>
      <c r="Q17" s="393"/>
      <c r="R17" s="392"/>
      <c r="S17" s="392"/>
      <c r="T17" s="395"/>
      <c r="U17" s="395"/>
      <c r="V17" s="395"/>
      <c r="W17" s="395"/>
      <c r="X17" s="395"/>
      <c r="Y17" s="395"/>
      <c r="Z17" s="395" t="str">
        <f>Z3</f>
        <v>Prov. Mars 25</v>
      </c>
      <c r="AA17" s="395" t="str">
        <f>AA3</f>
        <v>Prév. Mars 25</v>
      </c>
    </row>
    <row r="18" spans="1:27" ht="18">
      <c r="A18" s="396"/>
      <c r="B18" s="397"/>
      <c r="C18" s="397"/>
      <c r="D18" s="397"/>
      <c r="E18" s="397"/>
      <c r="F18" s="397"/>
      <c r="G18" s="397"/>
      <c r="H18" s="397"/>
      <c r="I18" s="397"/>
      <c r="J18" s="397"/>
      <c r="K18" s="397"/>
      <c r="L18" s="397"/>
      <c r="M18" s="397"/>
      <c r="N18" s="397"/>
      <c r="O18" s="398"/>
      <c r="P18" s="398"/>
      <c r="Q18" s="397"/>
      <c r="R18" s="397"/>
      <c r="S18" s="397"/>
      <c r="T18" s="397"/>
      <c r="U18" s="397"/>
      <c r="V18" s="399"/>
      <c r="W18" s="399"/>
      <c r="X18" s="399"/>
      <c r="Y18" s="399"/>
      <c r="Z18" s="399"/>
      <c r="AA18" s="399"/>
    </row>
    <row r="19" spans="1:27">
      <c r="A19" s="206" t="s">
        <v>1022</v>
      </c>
      <c r="B19" s="309"/>
      <c r="C19" s="309"/>
      <c r="D19" s="309"/>
      <c r="E19" s="309"/>
      <c r="F19" s="309"/>
      <c r="G19" s="309"/>
      <c r="H19" s="309"/>
      <c r="I19" s="309"/>
      <c r="J19" s="309"/>
      <c r="K19" s="309"/>
      <c r="L19" s="309"/>
      <c r="M19" s="309"/>
      <c r="N19" s="209"/>
      <c r="O19" s="209"/>
      <c r="P19" s="209"/>
      <c r="Q19" s="209"/>
      <c r="R19" s="309"/>
      <c r="S19" s="309"/>
      <c r="T19" s="309"/>
      <c r="U19" s="309"/>
      <c r="V19" s="401"/>
      <c r="W19" s="401"/>
      <c r="X19" s="401"/>
      <c r="Y19" s="401"/>
      <c r="Z19" s="444"/>
      <c r="AA19" s="444"/>
    </row>
    <row r="20" spans="1:27" ht="18">
      <c r="A20" s="402" t="s">
        <v>1023</v>
      </c>
      <c r="B20" s="403">
        <v>25</v>
      </c>
      <c r="C20" s="403">
        <f>B40</f>
        <v>16.048000000000002</v>
      </c>
      <c r="D20" s="403">
        <f t="shared" ref="D20:AA20" si="4">C40</f>
        <v>6.3529</v>
      </c>
      <c r="E20" s="403">
        <f t="shared" si="4"/>
        <v>6.4986000000000006</v>
      </c>
      <c r="F20" s="403">
        <f t="shared" si="4"/>
        <v>12.5228</v>
      </c>
      <c r="G20" s="403">
        <f t="shared" si="4"/>
        <v>10.661799999999999</v>
      </c>
      <c r="H20" s="403">
        <f t="shared" si="4"/>
        <v>41.453499999999998</v>
      </c>
      <c r="I20" s="403">
        <f t="shared" si="4"/>
        <v>30.531900000000004</v>
      </c>
      <c r="J20" s="403">
        <f t="shared" si="4"/>
        <v>11.096</v>
      </c>
      <c r="K20" s="403">
        <f t="shared" si="4"/>
        <v>7.6922999999999995</v>
      </c>
      <c r="L20" s="403">
        <f t="shared" si="4"/>
        <v>15.436400000000001</v>
      </c>
      <c r="M20" s="403">
        <f t="shared" si="4"/>
        <v>31.050800000000002</v>
      </c>
      <c r="N20" s="403">
        <f t="shared" si="4"/>
        <v>21.889790000000001</v>
      </c>
      <c r="O20" s="403">
        <f t="shared" si="4"/>
        <v>14.598208000000001</v>
      </c>
      <c r="P20" s="403">
        <f t="shared" si="4"/>
        <v>32.853391000000002</v>
      </c>
      <c r="Q20" s="403">
        <f t="shared" si="4"/>
        <v>20.242929999999998</v>
      </c>
      <c r="R20" s="403">
        <f t="shared" si="4"/>
        <v>20.441659000000001</v>
      </c>
      <c r="S20" s="403">
        <f t="shared" si="4"/>
        <v>18.765134</v>
      </c>
      <c r="T20" s="403">
        <f t="shared" si="4"/>
        <v>11.577110999999999</v>
      </c>
      <c r="U20" s="403">
        <f t="shared" si="4"/>
        <v>10.298708999999999</v>
      </c>
      <c r="V20" s="403">
        <f t="shared" si="4"/>
        <v>10.707918000000001</v>
      </c>
      <c r="W20" s="403">
        <f t="shared" si="4"/>
        <v>18.949932</v>
      </c>
      <c r="X20" s="403">
        <f t="shared" si="4"/>
        <v>13.850599000000003</v>
      </c>
      <c r="Y20" s="403">
        <f t="shared" si="4"/>
        <v>30.765934000000001</v>
      </c>
      <c r="Z20" s="403">
        <f t="shared" si="4"/>
        <v>20.993933999999999</v>
      </c>
      <c r="AA20" s="403">
        <f t="shared" si="4"/>
        <v>30.788581000000001</v>
      </c>
    </row>
    <row r="21" spans="1:27" ht="18">
      <c r="A21" s="404" t="s">
        <v>1024</v>
      </c>
      <c r="B21" s="405">
        <v>69.977399999999989</v>
      </c>
      <c r="C21" s="405">
        <v>60.57970000000001</v>
      </c>
      <c r="D21" s="405">
        <v>37.873800000000003</v>
      </c>
      <c r="E21" s="405">
        <v>60.273900000000005</v>
      </c>
      <c r="F21" s="405">
        <v>52.4345</v>
      </c>
      <c r="G21" s="405">
        <v>93.155900000000003</v>
      </c>
      <c r="H21" s="405">
        <v>81.54610000000001</v>
      </c>
      <c r="I21" s="405">
        <v>57.744399999999999</v>
      </c>
      <c r="J21" s="405">
        <v>46.139300000000006</v>
      </c>
      <c r="K21" s="405">
        <v>54.824500000000008</v>
      </c>
      <c r="L21" s="405">
        <v>64.566199999999995</v>
      </c>
      <c r="M21" s="405">
        <v>89.704399999999993</v>
      </c>
      <c r="N21" s="405">
        <v>67.146458999999993</v>
      </c>
      <c r="O21" s="405">
        <v>79.542496000000014</v>
      </c>
      <c r="P21" s="405">
        <v>61.483637000000002</v>
      </c>
      <c r="Q21" s="405">
        <v>56.559826000000022</v>
      </c>
      <c r="R21" s="487">
        <v>54.888547999999979</v>
      </c>
      <c r="S21" s="405">
        <v>33.66612700000001</v>
      </c>
      <c r="T21" s="405">
        <v>38.862539000000005</v>
      </c>
      <c r="U21" s="405">
        <v>39.054128999999989</v>
      </c>
      <c r="V21" s="487">
        <v>55.144560000000013</v>
      </c>
      <c r="W21" s="405">
        <v>50.782534000000005</v>
      </c>
      <c r="X21" s="405">
        <v>90.359329000000031</v>
      </c>
      <c r="Y21" s="405">
        <v>73.193799999999996</v>
      </c>
      <c r="Z21" s="487">
        <v>73.288600000000002</v>
      </c>
      <c r="AA21" s="405">
        <v>44.81</v>
      </c>
    </row>
    <row r="22" spans="1:27" ht="18">
      <c r="A22" s="404" t="s">
        <v>1025</v>
      </c>
      <c r="B22" s="405">
        <v>1</v>
      </c>
      <c r="C22" s="405">
        <v>2.850133</v>
      </c>
      <c r="D22" s="405">
        <v>5.249301</v>
      </c>
      <c r="E22" s="405">
        <v>2.8688979999999997</v>
      </c>
      <c r="F22" s="405">
        <v>46.920240000000014</v>
      </c>
      <c r="G22" s="405">
        <v>0.85635200000000022</v>
      </c>
      <c r="H22" s="405">
        <v>5.1221000000000005</v>
      </c>
      <c r="I22" s="405">
        <v>3.9032000000000004</v>
      </c>
      <c r="J22" s="405">
        <v>7.3235999999999999</v>
      </c>
      <c r="K22" s="405">
        <v>3.3605</v>
      </c>
      <c r="L22" s="405">
        <v>3.0985999999999998</v>
      </c>
      <c r="M22" s="405">
        <v>1.1567000000000001</v>
      </c>
      <c r="N22" s="405">
        <v>1.6951999999999998</v>
      </c>
      <c r="O22" s="405">
        <v>0.82769999999999999</v>
      </c>
      <c r="P22" s="405">
        <v>1.2808000000000002</v>
      </c>
      <c r="Q22" s="405">
        <v>0.9476</v>
      </c>
      <c r="R22" s="487">
        <v>0.81810000000000005</v>
      </c>
      <c r="S22" s="405">
        <v>1.2400999999999998</v>
      </c>
      <c r="T22" s="405">
        <v>1.9813000000000003</v>
      </c>
      <c r="U22" s="405">
        <v>3.5246</v>
      </c>
      <c r="V22" s="487">
        <v>3.0727999999999995</v>
      </c>
      <c r="W22" s="405">
        <v>3.0471999999999997</v>
      </c>
      <c r="X22" s="405">
        <v>3.5614000000000003</v>
      </c>
      <c r="Y22" s="405">
        <v>2.3519999999999999</v>
      </c>
      <c r="Z22" s="487">
        <v>3.1160000000000001</v>
      </c>
      <c r="AA22" s="405">
        <v>5</v>
      </c>
    </row>
    <row r="23" spans="1:27" ht="18">
      <c r="A23" s="216" t="s">
        <v>1026</v>
      </c>
      <c r="B23" s="405" t="s">
        <v>89</v>
      </c>
      <c r="C23" s="405" t="s">
        <v>89</v>
      </c>
      <c r="D23" s="405">
        <v>3.038984001902878</v>
      </c>
      <c r="E23" s="405" t="s">
        <v>89</v>
      </c>
      <c r="F23" s="405" t="s">
        <v>89</v>
      </c>
      <c r="G23" s="405" t="s">
        <v>89</v>
      </c>
      <c r="H23" s="405" t="s">
        <v>89</v>
      </c>
      <c r="I23" s="405" t="s">
        <v>89</v>
      </c>
      <c r="J23" s="405" t="s">
        <v>89</v>
      </c>
      <c r="K23" s="405">
        <v>0.57661099999999799</v>
      </c>
      <c r="L23" s="405" t="s">
        <v>89</v>
      </c>
      <c r="M23" s="405" t="s">
        <v>89</v>
      </c>
      <c r="N23" s="405" t="s">
        <v>89</v>
      </c>
      <c r="O23" s="405" t="s">
        <v>89</v>
      </c>
      <c r="P23" s="405">
        <v>12.245166369999989</v>
      </c>
      <c r="Q23" s="405">
        <v>22.038218259999987</v>
      </c>
      <c r="R23" s="405">
        <v>16.371761480000028</v>
      </c>
      <c r="S23" s="405" t="s">
        <v>89</v>
      </c>
      <c r="T23" s="405">
        <v>4.3194723900000014</v>
      </c>
      <c r="U23" s="405">
        <v>1.3190032900000119</v>
      </c>
      <c r="V23" s="405">
        <v>9.5978875999999751</v>
      </c>
      <c r="W23" s="405">
        <v>2.1844493399999898</v>
      </c>
      <c r="X23" s="405" t="s">
        <v>89</v>
      </c>
      <c r="Y23" s="405" t="s">
        <v>89</v>
      </c>
      <c r="Z23" s="405">
        <v>0</v>
      </c>
      <c r="AA23" s="405">
        <v>0</v>
      </c>
    </row>
    <row r="24" spans="1:27" thickBot="1">
      <c r="A24" s="406" t="s">
        <v>1027</v>
      </c>
      <c r="B24" s="315">
        <f>SUM(B20:B23)</f>
        <v>95.977399999999989</v>
      </c>
      <c r="C24" s="315">
        <f t="shared" ref="C24:AA24" si="5">SUM(C20:C23)</f>
        <v>79.477833000000004</v>
      </c>
      <c r="D24" s="315">
        <f t="shared" si="5"/>
        <v>52.514985001902879</v>
      </c>
      <c r="E24" s="315">
        <f t="shared" si="5"/>
        <v>69.641398000000009</v>
      </c>
      <c r="F24" s="315">
        <f t="shared" si="5"/>
        <v>111.87754000000001</v>
      </c>
      <c r="G24" s="315">
        <f t="shared" si="5"/>
        <v>104.674052</v>
      </c>
      <c r="H24" s="315">
        <f t="shared" si="5"/>
        <v>128.1217</v>
      </c>
      <c r="I24" s="315">
        <f t="shared" si="5"/>
        <v>92.179500000000004</v>
      </c>
      <c r="J24" s="315">
        <f t="shared" si="5"/>
        <v>64.558900000000008</v>
      </c>
      <c r="K24" s="315">
        <f t="shared" si="5"/>
        <v>66.453911000000005</v>
      </c>
      <c r="L24" s="315">
        <f t="shared" si="5"/>
        <v>83.101200000000006</v>
      </c>
      <c r="M24" s="315">
        <f t="shared" si="5"/>
        <v>121.9119</v>
      </c>
      <c r="N24" s="315">
        <f t="shared" si="5"/>
        <v>90.731448999999998</v>
      </c>
      <c r="O24" s="315">
        <f t="shared" si="5"/>
        <v>94.968404000000007</v>
      </c>
      <c r="P24" s="315">
        <f t="shared" si="5"/>
        <v>107.86299437</v>
      </c>
      <c r="Q24" s="315">
        <f t="shared" si="5"/>
        <v>99.78857425999999</v>
      </c>
      <c r="R24" s="315">
        <f t="shared" si="5"/>
        <v>92.520068480000006</v>
      </c>
      <c r="S24" s="315">
        <f t="shared" si="5"/>
        <v>53.671361000000005</v>
      </c>
      <c r="T24" s="315">
        <f t="shared" si="5"/>
        <v>56.740422389999999</v>
      </c>
      <c r="U24" s="315">
        <f t="shared" si="5"/>
        <v>54.196441290000003</v>
      </c>
      <c r="V24" s="315">
        <f t="shared" si="5"/>
        <v>78.523165599999999</v>
      </c>
      <c r="W24" s="315">
        <f t="shared" si="5"/>
        <v>74.964115339999992</v>
      </c>
      <c r="X24" s="315">
        <f t="shared" si="5"/>
        <v>107.77132800000004</v>
      </c>
      <c r="Y24" s="315">
        <f t="shared" si="5"/>
        <v>106.311734</v>
      </c>
      <c r="Z24" s="315">
        <f t="shared" si="5"/>
        <v>97.398533999999998</v>
      </c>
      <c r="AA24" s="315">
        <f t="shared" si="5"/>
        <v>80.598580999999996</v>
      </c>
    </row>
    <row r="25" spans="1:27" ht="19.2" thickTop="1">
      <c r="A25" s="220"/>
      <c r="B25" s="407"/>
      <c r="C25" s="407"/>
      <c r="D25" s="407"/>
      <c r="E25" s="407"/>
      <c r="F25" s="407"/>
      <c r="G25" s="407"/>
      <c r="H25" s="407"/>
      <c r="I25" s="407"/>
      <c r="J25" s="407"/>
      <c r="K25" s="407"/>
      <c r="L25" s="407"/>
      <c r="M25" s="407"/>
      <c r="N25" s="407"/>
      <c r="O25" s="408"/>
      <c r="P25" s="407"/>
      <c r="Q25" s="407"/>
      <c r="R25" s="407"/>
      <c r="S25" s="407"/>
      <c r="T25" s="407"/>
      <c r="U25" s="407"/>
      <c r="V25" s="407"/>
      <c r="W25" s="409"/>
      <c r="X25" s="409"/>
      <c r="Y25" s="409"/>
      <c r="Z25" s="409"/>
      <c r="AA25" s="409"/>
    </row>
    <row r="26" spans="1:27">
      <c r="A26" s="410" t="s">
        <v>1028</v>
      </c>
      <c r="B26" s="411"/>
      <c r="C26" s="411"/>
      <c r="D26" s="411"/>
      <c r="E26" s="411"/>
      <c r="F26" s="411"/>
      <c r="G26" s="411"/>
      <c r="H26" s="411"/>
      <c r="I26" s="411"/>
      <c r="J26" s="411"/>
      <c r="K26" s="411"/>
      <c r="L26" s="411"/>
      <c r="M26" s="411"/>
      <c r="N26" s="411"/>
      <c r="O26" s="362"/>
      <c r="P26" s="362"/>
      <c r="Q26" s="411"/>
      <c r="R26" s="411"/>
      <c r="S26" s="412"/>
      <c r="T26" s="412"/>
      <c r="U26" s="412"/>
      <c r="V26" s="319"/>
      <c r="W26" s="319"/>
      <c r="X26" s="319"/>
      <c r="Y26" s="319"/>
      <c r="Z26" s="319"/>
      <c r="AA26" s="319"/>
    </row>
    <row r="27" spans="1:27" ht="18">
      <c r="A27" s="413" t="s">
        <v>1029</v>
      </c>
      <c r="B27" s="414"/>
      <c r="C27" s="414"/>
      <c r="D27" s="414"/>
      <c r="E27" s="414"/>
      <c r="F27" s="414"/>
      <c r="G27" s="414"/>
      <c r="H27" s="414"/>
      <c r="I27" s="414"/>
      <c r="J27" s="414"/>
      <c r="K27" s="414"/>
      <c r="L27" s="414"/>
      <c r="M27" s="414"/>
      <c r="N27" s="414"/>
      <c r="O27" s="415"/>
      <c r="P27" s="415"/>
      <c r="Q27" s="414"/>
      <c r="R27" s="414"/>
      <c r="S27" s="414"/>
      <c r="T27" s="414"/>
      <c r="U27" s="414"/>
      <c r="V27" s="416"/>
      <c r="W27" s="416"/>
      <c r="X27" s="416"/>
      <c r="Y27" s="416"/>
      <c r="Z27" s="416"/>
      <c r="AA27" s="416"/>
    </row>
    <row r="28" spans="1:27" ht="18">
      <c r="A28" s="418" t="s">
        <v>1099</v>
      </c>
      <c r="B28" s="419">
        <v>29</v>
      </c>
      <c r="C28" s="419">
        <v>29</v>
      </c>
      <c r="D28" s="419">
        <v>29.6</v>
      </c>
      <c r="E28" s="419">
        <v>28</v>
      </c>
      <c r="F28" s="419">
        <v>26.38</v>
      </c>
      <c r="G28" s="419">
        <v>26.803000000000001</v>
      </c>
      <c r="H28" s="419">
        <v>27.561399999999999</v>
      </c>
      <c r="I28" s="419">
        <v>27.015000000000001</v>
      </c>
      <c r="J28" s="419">
        <v>26.3324</v>
      </c>
      <c r="K28" s="419">
        <v>23.6629</v>
      </c>
      <c r="L28" s="419">
        <v>21.416499999999999</v>
      </c>
      <c r="M28" s="419">
        <v>20.012177000000001</v>
      </c>
      <c r="N28" s="419">
        <v>19.938351999999998</v>
      </c>
      <c r="O28" s="419">
        <v>18.689727999999999</v>
      </c>
      <c r="P28" s="419">
        <v>19.375520000000002</v>
      </c>
      <c r="Q28" s="419">
        <v>17.083398000000003</v>
      </c>
      <c r="R28" s="488">
        <v>14.736798</v>
      </c>
      <c r="S28" s="419">
        <v>15.385352999999999</v>
      </c>
      <c r="T28" s="419">
        <v>14.35721</v>
      </c>
      <c r="U28" s="419">
        <v>15.980523999999999</v>
      </c>
      <c r="V28" s="488">
        <v>16.45411</v>
      </c>
      <c r="W28" s="419">
        <v>17.416188999999999</v>
      </c>
      <c r="X28" s="419">
        <v>18.005299000000001</v>
      </c>
      <c r="Y28" s="419">
        <v>17.686681</v>
      </c>
      <c r="Z28" s="488">
        <v>18.006798999999997</v>
      </c>
      <c r="AA28" s="419">
        <v>17.513815600000001</v>
      </c>
    </row>
    <row r="29" spans="1:27" ht="18">
      <c r="A29" s="424" t="s">
        <v>1037</v>
      </c>
      <c r="B29" s="419">
        <v>6.0774999999999997</v>
      </c>
      <c r="C29" s="419">
        <v>3.2122000188454987</v>
      </c>
      <c r="D29" s="419">
        <v>1.5717000019028782</v>
      </c>
      <c r="E29" s="419">
        <v>2.3675000000000002</v>
      </c>
      <c r="F29" s="419">
        <v>47.828900000000004</v>
      </c>
      <c r="G29" s="419">
        <v>6.7857000000000003</v>
      </c>
      <c r="H29" s="419">
        <v>19.277999999999999</v>
      </c>
      <c r="I29" s="419">
        <v>11.265499999999999</v>
      </c>
      <c r="J29" s="419">
        <v>3.7391000000000001</v>
      </c>
      <c r="K29" s="419">
        <v>3.7183000000000006</v>
      </c>
      <c r="L29" s="419">
        <v>5.3514000000000008</v>
      </c>
      <c r="M29" s="419">
        <v>38.644036999999997</v>
      </c>
      <c r="N29" s="419">
        <v>8.2311440000000005</v>
      </c>
      <c r="O29" s="419">
        <v>12.332234</v>
      </c>
      <c r="P29" s="419">
        <v>12.410808000000001</v>
      </c>
      <c r="Q29" s="419">
        <v>9.2326189999999979</v>
      </c>
      <c r="R29" s="488">
        <v>9.598450999999999</v>
      </c>
      <c r="S29" s="419">
        <v>4.1861160000000002</v>
      </c>
      <c r="T29" s="419">
        <v>3.6177779999999999</v>
      </c>
      <c r="U29" s="419">
        <v>4.0959579999999995</v>
      </c>
      <c r="V29" s="488">
        <v>4.752478</v>
      </c>
      <c r="W29" s="419">
        <v>9.3681020000000004</v>
      </c>
      <c r="X29" s="419">
        <v>7.8675510000000006</v>
      </c>
      <c r="Y29" s="419">
        <v>6.560887000000001</v>
      </c>
      <c r="Z29" s="488">
        <v>7.230111</v>
      </c>
      <c r="AA29" s="419">
        <v>8.3000000000000007</v>
      </c>
    </row>
    <row r="30" spans="1:27" ht="18">
      <c r="A30" s="424" t="s">
        <v>1038</v>
      </c>
      <c r="B30" s="419">
        <v>2.1648969999999998</v>
      </c>
      <c r="C30" s="419">
        <v>1.3912800000000001</v>
      </c>
      <c r="D30" s="419">
        <v>2.211338</v>
      </c>
      <c r="E30" s="419">
        <v>1.9892669999999999</v>
      </c>
      <c r="F30" s="419">
        <v>2.1199470000000002</v>
      </c>
      <c r="G30" s="419">
        <v>1.3021990000000001</v>
      </c>
      <c r="H30" s="419">
        <v>1.475471</v>
      </c>
      <c r="I30" s="419">
        <v>1.437889</v>
      </c>
      <c r="J30" s="419">
        <v>1.3903690000000002</v>
      </c>
      <c r="K30" s="419">
        <v>2.8287659999999999</v>
      </c>
      <c r="L30" s="419">
        <v>2.484</v>
      </c>
      <c r="M30" s="419">
        <v>1.9518</v>
      </c>
      <c r="N30" s="419">
        <v>2.0739999999999998</v>
      </c>
      <c r="O30" s="419">
        <v>1.5535000000000001</v>
      </c>
      <c r="P30" s="419">
        <v>15.6639</v>
      </c>
      <c r="Q30" s="419">
        <v>13.8796</v>
      </c>
      <c r="R30" s="488">
        <v>14.268700000000001</v>
      </c>
      <c r="S30" s="419">
        <v>6.2223000000000006</v>
      </c>
      <c r="T30" s="419">
        <v>9.4827999999999992</v>
      </c>
      <c r="U30" s="419">
        <v>8.5752999999999986</v>
      </c>
      <c r="V30" s="488">
        <v>12.4222</v>
      </c>
      <c r="W30" s="419">
        <v>12.2234</v>
      </c>
      <c r="X30" s="419">
        <v>12.173999999999999</v>
      </c>
      <c r="Y30" s="419">
        <v>8.5670000000000002</v>
      </c>
      <c r="Z30" s="488">
        <v>8.5670000000000002</v>
      </c>
      <c r="AA30" s="419">
        <v>8.5670000000000002</v>
      </c>
    </row>
    <row r="31" spans="1:27" ht="18">
      <c r="A31" s="424" t="s">
        <v>1077</v>
      </c>
      <c r="B31" s="425">
        <f t="shared" ref="B31:AA31" si="6">0.01*B21</f>
        <v>0.6997739999999999</v>
      </c>
      <c r="C31" s="425">
        <f t="shared" si="6"/>
        <v>0.60579700000000014</v>
      </c>
      <c r="D31" s="425">
        <f t="shared" si="6"/>
        <v>0.37873800000000002</v>
      </c>
      <c r="E31" s="425">
        <f t="shared" si="6"/>
        <v>0.60273900000000002</v>
      </c>
      <c r="F31" s="425">
        <f t="shared" si="6"/>
        <v>0.52434500000000006</v>
      </c>
      <c r="G31" s="425">
        <f t="shared" si="6"/>
        <v>0.93155900000000003</v>
      </c>
      <c r="H31" s="425">
        <f t="shared" si="6"/>
        <v>0.8154610000000001</v>
      </c>
      <c r="I31" s="425">
        <f t="shared" si="6"/>
        <v>0.57744399999999996</v>
      </c>
      <c r="J31" s="425">
        <f t="shared" si="6"/>
        <v>0.46139300000000005</v>
      </c>
      <c r="K31" s="425">
        <f t="shared" si="6"/>
        <v>0.54824500000000009</v>
      </c>
      <c r="L31" s="425">
        <f t="shared" si="6"/>
        <v>0.64566199999999996</v>
      </c>
      <c r="M31" s="425">
        <f t="shared" si="6"/>
        <v>0.89704399999999995</v>
      </c>
      <c r="N31" s="425">
        <f t="shared" si="6"/>
        <v>0.67146458999999992</v>
      </c>
      <c r="O31" s="425">
        <f t="shared" si="6"/>
        <v>0.79542496000000018</v>
      </c>
      <c r="P31" s="425">
        <f t="shared" si="6"/>
        <v>0.61483637000000002</v>
      </c>
      <c r="Q31" s="425">
        <f t="shared" si="6"/>
        <v>0.56559826000000024</v>
      </c>
      <c r="R31" s="425">
        <f t="shared" si="6"/>
        <v>0.54888547999999981</v>
      </c>
      <c r="S31" s="425">
        <f t="shared" si="6"/>
        <v>0.33666127000000012</v>
      </c>
      <c r="T31" s="425">
        <f t="shared" si="6"/>
        <v>0.38862539000000007</v>
      </c>
      <c r="U31" s="425">
        <f t="shared" si="6"/>
        <v>0.39054128999999987</v>
      </c>
      <c r="V31" s="425">
        <f t="shared" si="6"/>
        <v>0.55144560000000009</v>
      </c>
      <c r="W31" s="425">
        <f t="shared" si="6"/>
        <v>0.50782534000000001</v>
      </c>
      <c r="X31" s="425">
        <f t="shared" si="6"/>
        <v>0.90359329000000033</v>
      </c>
      <c r="Y31" s="425">
        <f t="shared" si="6"/>
        <v>0.73193799999999998</v>
      </c>
      <c r="Z31" s="425">
        <f t="shared" si="6"/>
        <v>0.73288600000000004</v>
      </c>
      <c r="AA31" s="425">
        <f t="shared" si="6"/>
        <v>0.44810000000000005</v>
      </c>
    </row>
    <row r="32" spans="1:27" ht="18">
      <c r="A32" s="216" t="s">
        <v>431</v>
      </c>
      <c r="B32" s="313">
        <v>10.987228999999992</v>
      </c>
      <c r="C32" s="313">
        <v>17.903683981154497</v>
      </c>
      <c r="D32" s="313" t="s">
        <v>89</v>
      </c>
      <c r="E32" s="313">
        <v>8.4214040000000132</v>
      </c>
      <c r="F32" s="313">
        <v>9.4701640000000182</v>
      </c>
      <c r="G32" s="313">
        <v>8.2703480000000056</v>
      </c>
      <c r="H32" s="313">
        <v>12.392567999999994</v>
      </c>
      <c r="I32" s="313">
        <v>10.134366999999997</v>
      </c>
      <c r="J32" s="313">
        <v>6.3026380000000053</v>
      </c>
      <c r="K32" s="313" t="s">
        <v>89</v>
      </c>
      <c r="L32" s="313">
        <v>5.0737999999999062E-2</v>
      </c>
      <c r="M32" s="313">
        <v>9.3871520000000039</v>
      </c>
      <c r="N32" s="313">
        <v>8.0577804099999835</v>
      </c>
      <c r="O32" s="313">
        <v>0.65912604000000385</v>
      </c>
      <c r="P32" s="313" t="s">
        <v>89</v>
      </c>
      <c r="Q32" s="313" t="s">
        <v>89</v>
      </c>
      <c r="R32" s="313" t="s">
        <v>89</v>
      </c>
      <c r="S32" s="313">
        <v>0.81151973000000588</v>
      </c>
      <c r="T32" s="313" t="s">
        <v>89</v>
      </c>
      <c r="U32" s="313" t="s">
        <v>89</v>
      </c>
      <c r="V32" s="313" t="s">
        <v>89</v>
      </c>
      <c r="W32" s="313" t="s">
        <v>89</v>
      </c>
      <c r="X32" s="313">
        <v>8.0808507100000355</v>
      </c>
      <c r="Y32" s="313">
        <v>19.503343000000001</v>
      </c>
      <c r="Z32" s="313">
        <v>5.1535080000000093</v>
      </c>
      <c r="AA32" s="313">
        <v>2</v>
      </c>
    </row>
    <row r="33" spans="1:27" ht="18">
      <c r="A33" s="426" t="s">
        <v>1041</v>
      </c>
      <c r="B33" s="326">
        <f>SUM(B28:B32)</f>
        <v>48.929399999999987</v>
      </c>
      <c r="C33" s="326">
        <f t="shared" ref="C33:AA33" si="7">SUM(C28:C32)</f>
        <v>52.112960999999999</v>
      </c>
      <c r="D33" s="326">
        <f t="shared" si="7"/>
        <v>33.761776001902881</v>
      </c>
      <c r="E33" s="326">
        <f t="shared" si="7"/>
        <v>41.380910000000014</v>
      </c>
      <c r="F33" s="326">
        <f t="shared" si="7"/>
        <v>86.323356000000018</v>
      </c>
      <c r="G33" s="326">
        <f t="shared" si="7"/>
        <v>44.09280600000001</v>
      </c>
      <c r="H33" s="326">
        <f t="shared" si="7"/>
        <v>61.522899999999993</v>
      </c>
      <c r="I33" s="326">
        <f t="shared" si="7"/>
        <v>50.430199999999999</v>
      </c>
      <c r="J33" s="326">
        <f t="shared" si="7"/>
        <v>38.22590000000001</v>
      </c>
      <c r="K33" s="326">
        <f t="shared" si="7"/>
        <v>30.758211000000003</v>
      </c>
      <c r="L33" s="326">
        <f t="shared" si="7"/>
        <v>29.9483</v>
      </c>
      <c r="M33" s="326">
        <f t="shared" si="7"/>
        <v>70.892210000000006</v>
      </c>
      <c r="N33" s="326">
        <f t="shared" si="7"/>
        <v>38.972740999999985</v>
      </c>
      <c r="O33" s="326">
        <f t="shared" si="7"/>
        <v>34.030013000000004</v>
      </c>
      <c r="P33" s="326">
        <f t="shared" si="7"/>
        <v>48.065064370000002</v>
      </c>
      <c r="Q33" s="326">
        <f t="shared" si="7"/>
        <v>40.76121526</v>
      </c>
      <c r="R33" s="326">
        <f t="shared" si="7"/>
        <v>39.152834480000003</v>
      </c>
      <c r="S33" s="326">
        <f t="shared" si="7"/>
        <v>26.941950000000006</v>
      </c>
      <c r="T33" s="326">
        <f t="shared" si="7"/>
        <v>27.846413390000002</v>
      </c>
      <c r="U33" s="326">
        <f t="shared" si="7"/>
        <v>29.042323289999999</v>
      </c>
      <c r="V33" s="326">
        <f t="shared" si="7"/>
        <v>34.180233600000001</v>
      </c>
      <c r="W33" s="326">
        <f t="shared" si="7"/>
        <v>39.515516339999998</v>
      </c>
      <c r="X33" s="326">
        <f t="shared" si="7"/>
        <v>47.031294000000038</v>
      </c>
      <c r="Y33" s="326">
        <f t="shared" si="7"/>
        <v>53.049849000000002</v>
      </c>
      <c r="Z33" s="326">
        <f t="shared" si="7"/>
        <v>39.690304000000012</v>
      </c>
      <c r="AA33" s="326">
        <f t="shared" si="7"/>
        <v>36.828915600000002</v>
      </c>
    </row>
    <row r="34" spans="1:27" ht="18">
      <c r="A34" s="413" t="s">
        <v>1042</v>
      </c>
      <c r="B34" s="368"/>
      <c r="C34" s="368"/>
      <c r="D34" s="368"/>
      <c r="E34" s="368"/>
      <c r="F34" s="368"/>
      <c r="G34" s="368"/>
      <c r="H34" s="368"/>
      <c r="I34" s="368"/>
      <c r="J34" s="368"/>
      <c r="K34" s="368"/>
      <c r="L34" s="368"/>
      <c r="M34" s="368"/>
      <c r="N34" s="368"/>
      <c r="O34" s="368"/>
      <c r="P34" s="368"/>
      <c r="Q34" s="368"/>
      <c r="R34" s="368"/>
      <c r="S34" s="368"/>
      <c r="T34" s="368"/>
      <c r="U34" s="368"/>
      <c r="V34" s="427"/>
      <c r="W34" s="427"/>
      <c r="X34" s="427"/>
      <c r="Y34" s="427"/>
      <c r="Z34" s="427"/>
      <c r="AA34" s="427"/>
    </row>
    <row r="35" spans="1:27" ht="18">
      <c r="A35" s="429" t="s">
        <v>1065</v>
      </c>
      <c r="B35" s="430">
        <v>31</v>
      </c>
      <c r="C35" s="430">
        <v>20.814461000000001</v>
      </c>
      <c r="D35" s="430">
        <v>12.297708999999999</v>
      </c>
      <c r="E35" s="430">
        <v>15.737688</v>
      </c>
      <c r="F35" s="430">
        <v>14.892384</v>
      </c>
      <c r="G35" s="430">
        <v>19.127745999999998</v>
      </c>
      <c r="H35" s="430">
        <v>36.046900000000008</v>
      </c>
      <c r="I35" s="430">
        <v>30.651300000000006</v>
      </c>
      <c r="J35" s="430">
        <v>18.534900000000004</v>
      </c>
      <c r="K35" s="430">
        <v>20.233499999999999</v>
      </c>
      <c r="L35" s="430">
        <v>21.940200000000004</v>
      </c>
      <c r="M35" s="430">
        <v>28.9605</v>
      </c>
      <c r="N35" s="430">
        <v>37.135400000000011</v>
      </c>
      <c r="O35" s="430">
        <v>26.032900000000001</v>
      </c>
      <c r="P35" s="430">
        <v>38.683099999999996</v>
      </c>
      <c r="Q35" s="430">
        <v>38.585699999999996</v>
      </c>
      <c r="R35" s="430">
        <v>34.552</v>
      </c>
      <c r="S35" s="430">
        <v>15.136499999999998</v>
      </c>
      <c r="T35" s="430">
        <v>18.5947</v>
      </c>
      <c r="U35" s="430">
        <v>14.425000000000002</v>
      </c>
      <c r="V35" s="430">
        <v>25.269399999999994</v>
      </c>
      <c r="W35" s="430">
        <v>21.595999999999997</v>
      </c>
      <c r="X35" s="430">
        <v>29.942799999999995</v>
      </c>
      <c r="Y35" s="430">
        <v>32.238200000000006</v>
      </c>
      <c r="Z35" s="430">
        <v>26.961299999999998</v>
      </c>
      <c r="AA35" s="430">
        <v>9.8000000000000007</v>
      </c>
    </row>
    <row r="36" spans="1:27" ht="18">
      <c r="A36" s="171" t="s">
        <v>1044</v>
      </c>
      <c r="B36" s="430">
        <v>0</v>
      </c>
      <c r="C36" s="430">
        <v>4.7510999999999998E-2</v>
      </c>
      <c r="D36" s="430">
        <v>0.10690000000000001</v>
      </c>
      <c r="E36" s="430">
        <v>0</v>
      </c>
      <c r="F36" s="430">
        <v>0</v>
      </c>
      <c r="G36" s="430">
        <v>0</v>
      </c>
      <c r="H36" s="430">
        <v>0.02</v>
      </c>
      <c r="I36" s="430">
        <v>2E-3</v>
      </c>
      <c r="J36" s="430">
        <v>0.10579999999999999</v>
      </c>
      <c r="K36" s="430">
        <v>2.58E-2</v>
      </c>
      <c r="L36" s="430">
        <v>0.16190000000000002</v>
      </c>
      <c r="M36" s="430">
        <v>0.1694</v>
      </c>
      <c r="N36" s="430">
        <v>2.5100000000000001E-2</v>
      </c>
      <c r="O36" s="430">
        <v>2.0520999999999998</v>
      </c>
      <c r="P36" s="430">
        <v>0.87190000000000012</v>
      </c>
      <c r="Q36" s="430">
        <v>0</v>
      </c>
      <c r="R36" s="430">
        <v>5.0099999999999999E-2</v>
      </c>
      <c r="S36" s="430">
        <v>1.5800000000000002E-2</v>
      </c>
      <c r="T36" s="430">
        <v>5.9999999999999995E-4</v>
      </c>
      <c r="U36" s="430">
        <v>2.12E-2</v>
      </c>
      <c r="V36" s="430">
        <v>0.12359999999999999</v>
      </c>
      <c r="W36" s="430">
        <v>2E-3</v>
      </c>
      <c r="X36" s="430">
        <v>3.1300000000000071E-2</v>
      </c>
      <c r="Y36" s="430">
        <v>2.809999999999991E-2</v>
      </c>
      <c r="Z36" s="430">
        <v>0.69430000000000003</v>
      </c>
      <c r="AA36" s="430">
        <v>1.5</v>
      </c>
    </row>
    <row r="37" spans="1:27" ht="18">
      <c r="A37" s="426" t="s">
        <v>1051</v>
      </c>
      <c r="B37" s="326">
        <f>SUM(B35:B36)</f>
        <v>31</v>
      </c>
      <c r="C37" s="326">
        <f t="shared" ref="C37:AA37" si="8">SUM(C35:C36)</f>
        <v>20.861972000000002</v>
      </c>
      <c r="D37" s="326">
        <f t="shared" si="8"/>
        <v>12.404608999999999</v>
      </c>
      <c r="E37" s="326">
        <f t="shared" si="8"/>
        <v>15.737688</v>
      </c>
      <c r="F37" s="326">
        <f t="shared" si="8"/>
        <v>14.892384</v>
      </c>
      <c r="G37" s="326">
        <f t="shared" si="8"/>
        <v>19.127745999999998</v>
      </c>
      <c r="H37" s="326">
        <f t="shared" si="8"/>
        <v>36.066900000000011</v>
      </c>
      <c r="I37" s="326">
        <f t="shared" si="8"/>
        <v>30.653300000000005</v>
      </c>
      <c r="J37" s="326">
        <f t="shared" si="8"/>
        <v>18.640700000000002</v>
      </c>
      <c r="K37" s="326">
        <f t="shared" si="8"/>
        <v>20.2593</v>
      </c>
      <c r="L37" s="326">
        <f t="shared" si="8"/>
        <v>22.102100000000004</v>
      </c>
      <c r="M37" s="326">
        <f t="shared" si="8"/>
        <v>29.129899999999999</v>
      </c>
      <c r="N37" s="326">
        <f t="shared" si="8"/>
        <v>37.160500000000013</v>
      </c>
      <c r="O37" s="326">
        <f t="shared" si="8"/>
        <v>28.085000000000001</v>
      </c>
      <c r="P37" s="326">
        <f t="shared" si="8"/>
        <v>39.554999999999993</v>
      </c>
      <c r="Q37" s="326">
        <f t="shared" si="8"/>
        <v>38.585699999999996</v>
      </c>
      <c r="R37" s="505">
        <f t="shared" si="8"/>
        <v>34.6021</v>
      </c>
      <c r="S37" s="326">
        <f t="shared" si="8"/>
        <v>15.152299999999999</v>
      </c>
      <c r="T37" s="326">
        <f t="shared" si="8"/>
        <v>18.595299999999998</v>
      </c>
      <c r="U37" s="326">
        <f t="shared" si="8"/>
        <v>14.446200000000003</v>
      </c>
      <c r="V37" s="505">
        <f t="shared" si="8"/>
        <v>25.392999999999994</v>
      </c>
      <c r="W37" s="326">
        <f t="shared" si="8"/>
        <v>21.597999999999995</v>
      </c>
      <c r="X37" s="326">
        <f t="shared" si="8"/>
        <v>29.974099999999996</v>
      </c>
      <c r="Y37" s="326">
        <f t="shared" si="8"/>
        <v>32.266300000000008</v>
      </c>
      <c r="Z37" s="505">
        <f t="shared" si="8"/>
        <v>27.655599999999996</v>
      </c>
      <c r="AA37" s="326">
        <f t="shared" si="8"/>
        <v>11.3</v>
      </c>
    </row>
    <row r="38" spans="1:27" thickBot="1">
      <c r="A38" s="434" t="s">
        <v>1052</v>
      </c>
      <c r="B38" s="335">
        <f t="shared" ref="B38:AA38" si="9">B37+B33</f>
        <v>79.929399999999987</v>
      </c>
      <c r="C38" s="335">
        <f t="shared" si="9"/>
        <v>72.974932999999993</v>
      </c>
      <c r="D38" s="335">
        <f t="shared" si="9"/>
        <v>46.166385001902881</v>
      </c>
      <c r="E38" s="335">
        <f t="shared" si="9"/>
        <v>57.118598000000013</v>
      </c>
      <c r="F38" s="335">
        <f t="shared" si="9"/>
        <v>101.21574000000001</v>
      </c>
      <c r="G38" s="335">
        <f t="shared" si="9"/>
        <v>63.220552000000012</v>
      </c>
      <c r="H38" s="335">
        <f t="shared" si="9"/>
        <v>97.589799999999997</v>
      </c>
      <c r="I38" s="335">
        <f t="shared" si="9"/>
        <v>81.083500000000001</v>
      </c>
      <c r="J38" s="335">
        <f t="shared" si="9"/>
        <v>56.866600000000012</v>
      </c>
      <c r="K38" s="335">
        <f t="shared" si="9"/>
        <v>51.017510999999999</v>
      </c>
      <c r="L38" s="335">
        <f t="shared" si="9"/>
        <v>52.050400000000003</v>
      </c>
      <c r="M38" s="335">
        <f t="shared" si="9"/>
        <v>100.02211</v>
      </c>
      <c r="N38" s="335">
        <f t="shared" si="9"/>
        <v>76.133240999999998</v>
      </c>
      <c r="O38" s="335">
        <f t="shared" si="9"/>
        <v>62.115013000000005</v>
      </c>
      <c r="P38" s="335">
        <f t="shared" si="9"/>
        <v>87.620064369999994</v>
      </c>
      <c r="Q38" s="335">
        <f t="shared" si="9"/>
        <v>79.346915260000003</v>
      </c>
      <c r="R38" s="335">
        <f t="shared" si="9"/>
        <v>73.754934480000003</v>
      </c>
      <c r="S38" s="335">
        <f t="shared" si="9"/>
        <v>42.094250000000002</v>
      </c>
      <c r="T38" s="335">
        <f t="shared" si="9"/>
        <v>46.441713390000004</v>
      </c>
      <c r="U38" s="335">
        <f t="shared" si="9"/>
        <v>43.488523290000003</v>
      </c>
      <c r="V38" s="335">
        <f t="shared" si="9"/>
        <v>59.573233599999995</v>
      </c>
      <c r="W38" s="335">
        <f t="shared" si="9"/>
        <v>61.11351633999999</v>
      </c>
      <c r="X38" s="335">
        <f t="shared" si="9"/>
        <v>77.005394000000038</v>
      </c>
      <c r="Y38" s="335">
        <f t="shared" si="9"/>
        <v>85.31614900000001</v>
      </c>
      <c r="Z38" s="335">
        <f t="shared" si="9"/>
        <v>67.345904000000004</v>
      </c>
      <c r="AA38" s="335">
        <f t="shared" si="9"/>
        <v>48.128915599999999</v>
      </c>
    </row>
    <row r="39" spans="1:27" thickTop="1">
      <c r="A39" s="435"/>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row>
    <row r="40" spans="1:27">
      <c r="A40" s="436" t="s">
        <v>1053</v>
      </c>
      <c r="B40" s="437">
        <f>SUM(B41:B44)</f>
        <v>16.048000000000002</v>
      </c>
      <c r="C40" s="437">
        <f t="shared" ref="C40:Z40" si="10">SUM(C41:C44)</f>
        <v>6.3529</v>
      </c>
      <c r="D40" s="437">
        <f t="shared" si="10"/>
        <v>6.4986000000000006</v>
      </c>
      <c r="E40" s="437">
        <f t="shared" si="10"/>
        <v>12.5228</v>
      </c>
      <c r="F40" s="437">
        <f t="shared" si="10"/>
        <v>10.661799999999999</v>
      </c>
      <c r="G40" s="437">
        <f t="shared" si="10"/>
        <v>41.453499999999998</v>
      </c>
      <c r="H40" s="437">
        <f t="shared" si="10"/>
        <v>30.531900000000004</v>
      </c>
      <c r="I40" s="437">
        <f t="shared" si="10"/>
        <v>11.096</v>
      </c>
      <c r="J40" s="437">
        <f t="shared" si="10"/>
        <v>7.6922999999999995</v>
      </c>
      <c r="K40" s="437">
        <f t="shared" si="10"/>
        <v>15.436400000000001</v>
      </c>
      <c r="L40" s="437">
        <f t="shared" si="10"/>
        <v>31.050800000000002</v>
      </c>
      <c r="M40" s="437">
        <f t="shared" si="10"/>
        <v>21.889790000000001</v>
      </c>
      <c r="N40" s="437">
        <f t="shared" si="10"/>
        <v>14.598208000000001</v>
      </c>
      <c r="O40" s="437">
        <f t="shared" si="10"/>
        <v>32.853391000000002</v>
      </c>
      <c r="P40" s="437">
        <f t="shared" si="10"/>
        <v>20.242929999999998</v>
      </c>
      <c r="Q40" s="437">
        <f t="shared" si="10"/>
        <v>20.441659000000001</v>
      </c>
      <c r="R40" s="437">
        <f t="shared" si="10"/>
        <v>18.765134</v>
      </c>
      <c r="S40" s="437">
        <f t="shared" si="10"/>
        <v>11.577110999999999</v>
      </c>
      <c r="T40" s="437">
        <f t="shared" si="10"/>
        <v>10.298708999999999</v>
      </c>
      <c r="U40" s="437">
        <f t="shared" si="10"/>
        <v>10.707918000000001</v>
      </c>
      <c r="V40" s="437">
        <f t="shared" si="10"/>
        <v>18.949932</v>
      </c>
      <c r="W40" s="437">
        <f t="shared" si="10"/>
        <v>13.850599000000003</v>
      </c>
      <c r="X40" s="437">
        <f t="shared" si="10"/>
        <v>30.765934000000001</v>
      </c>
      <c r="Y40" s="437">
        <f t="shared" si="10"/>
        <v>20.993933999999999</v>
      </c>
      <c r="Z40" s="437">
        <f t="shared" si="10"/>
        <v>30.788581000000001</v>
      </c>
      <c r="AA40" s="340">
        <f>AA24-AA38</f>
        <v>32.469665399999997</v>
      </c>
    </row>
    <row r="41" spans="1:27" ht="18">
      <c r="A41" s="271" t="s">
        <v>1054</v>
      </c>
      <c r="B41" s="438">
        <v>11.995100000000001</v>
      </c>
      <c r="C41" s="438">
        <v>6.2560000000000002</v>
      </c>
      <c r="D41" s="438">
        <v>6.2560000000000002</v>
      </c>
      <c r="E41" s="438">
        <v>12.271100000000001</v>
      </c>
      <c r="F41" s="438">
        <v>10.5571</v>
      </c>
      <c r="G41" s="438">
        <v>40.216699999999996</v>
      </c>
      <c r="H41" s="438">
        <v>28.483700000000002</v>
      </c>
      <c r="I41" s="438">
        <v>10.9084</v>
      </c>
      <c r="J41" s="438">
        <v>7.4969999999999999</v>
      </c>
      <c r="K41" s="438">
        <v>15.2491</v>
      </c>
      <c r="L41" s="438">
        <v>28.133200000000002</v>
      </c>
      <c r="M41" s="438">
        <v>18.536300000000001</v>
      </c>
      <c r="N41" s="438">
        <v>11.502700000000001</v>
      </c>
      <c r="O41" s="438">
        <v>28.810500000000001</v>
      </c>
      <c r="P41" s="438">
        <v>17.276299999999999</v>
      </c>
      <c r="Q41" s="490">
        <v>17.817900000000002</v>
      </c>
      <c r="R41" s="490">
        <v>16.2011</v>
      </c>
      <c r="S41" s="438">
        <v>9.6409999999999982</v>
      </c>
      <c r="T41" s="438">
        <v>8.4489999999999998</v>
      </c>
      <c r="U41" s="490">
        <v>8.9812000000000012</v>
      </c>
      <c r="V41" s="490">
        <v>17.017600000000002</v>
      </c>
      <c r="W41" s="438">
        <v>12.026200000000001</v>
      </c>
      <c r="X41" s="438">
        <v>29.085900000000002</v>
      </c>
      <c r="Y41" s="490">
        <v>19.127299999999998</v>
      </c>
      <c r="Z41" s="490">
        <v>28.5928</v>
      </c>
      <c r="AA41" s="438"/>
    </row>
    <row r="42" spans="1:27" ht="18">
      <c r="A42" s="271" t="s">
        <v>1055</v>
      </c>
      <c r="B42" s="438">
        <v>0.10490000000000001</v>
      </c>
      <c r="C42" s="438">
        <v>9.69E-2</v>
      </c>
      <c r="D42" s="438">
        <v>0.24259999999999998</v>
      </c>
      <c r="E42" s="438">
        <v>0.25169999999999998</v>
      </c>
      <c r="F42" s="438">
        <v>0.1047</v>
      </c>
      <c r="G42" s="438">
        <v>1.2367999999999999</v>
      </c>
      <c r="H42" s="438">
        <v>2.0482</v>
      </c>
      <c r="I42" s="438">
        <v>0.18759999999999999</v>
      </c>
      <c r="J42" s="438">
        <v>0.1953</v>
      </c>
      <c r="K42" s="438">
        <v>0.18730000000000002</v>
      </c>
      <c r="L42" s="438">
        <v>0.45280000000000004</v>
      </c>
      <c r="M42" s="438">
        <v>0.45722699999999999</v>
      </c>
      <c r="N42" s="438">
        <v>9.1596999999999998E-2</v>
      </c>
      <c r="O42" s="438">
        <v>0.51054599999999994</v>
      </c>
      <c r="P42" s="438">
        <v>0.30222100000000002</v>
      </c>
      <c r="Q42" s="438">
        <v>0.51806700000000006</v>
      </c>
      <c r="R42" s="438">
        <v>0.53961300000000001</v>
      </c>
      <c r="S42" s="438">
        <v>6.1468000000000002E-2</v>
      </c>
      <c r="T42" s="438">
        <v>0.29595199999999999</v>
      </c>
      <c r="U42" s="438">
        <v>0.18906100000000001</v>
      </c>
      <c r="V42" s="438">
        <v>0.31451799999999996</v>
      </c>
      <c r="W42" s="438">
        <v>0.25382499999999997</v>
      </c>
      <c r="X42" s="438">
        <v>0.17104800000000001</v>
      </c>
      <c r="Y42" s="438">
        <v>0.26888400000000001</v>
      </c>
      <c r="Z42" s="438">
        <v>0.30135800000000001</v>
      </c>
      <c r="AA42" s="438"/>
    </row>
    <row r="43" spans="1:27" ht="18">
      <c r="A43" s="271" t="s">
        <v>1056</v>
      </c>
      <c r="B43" s="440"/>
      <c r="C43" s="440"/>
      <c r="D43" s="440"/>
      <c r="E43" s="440"/>
      <c r="F43" s="440"/>
      <c r="G43" s="440"/>
      <c r="H43" s="440"/>
      <c r="I43" s="440"/>
      <c r="J43" s="440"/>
      <c r="K43" s="440"/>
      <c r="L43" s="438">
        <v>2.4648000000000003</v>
      </c>
      <c r="M43" s="438">
        <v>2.8962629999999998</v>
      </c>
      <c r="N43" s="438">
        <v>3.003911</v>
      </c>
      <c r="O43" s="438">
        <v>3.5323449999999998</v>
      </c>
      <c r="P43" s="438">
        <v>2.664409</v>
      </c>
      <c r="Q43" s="490">
        <v>2.1056919999999999</v>
      </c>
      <c r="R43" s="490">
        <v>2.0244210000000002</v>
      </c>
      <c r="S43" s="438">
        <v>1.8746430000000001</v>
      </c>
      <c r="T43" s="438">
        <v>1.5537570000000001</v>
      </c>
      <c r="U43" s="490">
        <v>1.5376569999999998</v>
      </c>
      <c r="V43" s="490">
        <v>1.6178140000000001</v>
      </c>
      <c r="W43" s="438">
        <v>1.5705740000000001</v>
      </c>
      <c r="X43" s="438">
        <v>1.5089860000000002</v>
      </c>
      <c r="Y43" s="490">
        <v>1.59775</v>
      </c>
      <c r="Z43" s="490">
        <v>1.894423</v>
      </c>
      <c r="AA43" s="438"/>
    </row>
    <row r="44" spans="1:27" ht="18">
      <c r="A44" s="271" t="s">
        <v>1059</v>
      </c>
      <c r="B44" s="438">
        <v>3.948</v>
      </c>
      <c r="C44" s="438"/>
      <c r="D44" s="438"/>
      <c r="E44" s="438"/>
      <c r="F44" s="438"/>
      <c r="G44" s="438"/>
      <c r="H44" s="438"/>
      <c r="I44" s="438"/>
      <c r="J44" s="438"/>
      <c r="K44" s="438"/>
      <c r="L44" s="438"/>
      <c r="M44" s="438"/>
      <c r="N44" s="438"/>
      <c r="O44" s="438"/>
      <c r="P44" s="438"/>
      <c r="Q44" s="438"/>
      <c r="R44" s="438"/>
      <c r="S44" s="438"/>
      <c r="T44" s="438"/>
      <c r="U44" s="438"/>
      <c r="V44" s="438"/>
      <c r="W44" s="438"/>
      <c r="X44" s="438"/>
      <c r="Y44" s="438"/>
      <c r="Z44" s="438"/>
      <c r="AA44" s="438"/>
    </row>
    <row r="46" spans="1:27">
      <c r="B46" s="274"/>
      <c r="C46" s="275" t="s">
        <v>1060</v>
      </c>
      <c r="V46" s="443"/>
    </row>
    <row r="47" spans="1:27">
      <c r="G47" s="277"/>
      <c r="P47" s="277"/>
      <c r="X47" s="491"/>
    </row>
  </sheetData>
  <mergeCells count="2">
    <mergeCell ref="B1:Z1"/>
    <mergeCell ref="B15:Z1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FD12-2E13-4676-B172-921BD8624D83}">
  <sheetPr>
    <tabColor rgb="FFFFC000"/>
  </sheetPr>
  <dimension ref="A1:AA47"/>
  <sheetViews>
    <sheetView zoomScale="70" zoomScaleNormal="70" workbookViewId="0">
      <pane xSplit="1" ySplit="3" topLeftCell="I27" activePane="bottomRight" state="frozen"/>
      <selection activeCell="A26" sqref="A26"/>
      <selection pane="topRight" activeCell="A26" sqref="A26"/>
      <selection pane="bottomLeft" activeCell="A26" sqref="A26"/>
      <selection pane="bottomRight" activeCell="K48" sqref="K48"/>
    </sheetView>
  </sheetViews>
  <sheetFormatPr baseColWidth="10" defaultRowHeight="18.600000000000001"/>
  <cols>
    <col min="1" max="1" width="57.109375" style="281" customWidth="1"/>
    <col min="2" max="2" width="11.109375" style="279" hidden="1" customWidth="1"/>
    <col min="3" max="10" width="11.109375" style="279" customWidth="1"/>
    <col min="11" max="14" width="9.88671875" style="279" customWidth="1"/>
    <col min="15" max="15" width="11.109375" style="279" customWidth="1"/>
    <col min="16" max="16" width="12.5546875" style="279" customWidth="1"/>
    <col min="17" max="18" width="13" style="279" customWidth="1"/>
    <col min="19" max="19" width="15" style="149" customWidth="1"/>
    <col min="20" max="20" width="13.109375" style="149" customWidth="1"/>
    <col min="21" max="21" width="15.109375" style="149" customWidth="1"/>
    <col min="22" max="24" width="15" style="149" customWidth="1"/>
    <col min="25" max="16384" width="11.5546875" style="149"/>
  </cols>
  <sheetData>
    <row r="1" spans="1:27" ht="93" customHeight="1">
      <c r="A1" s="149"/>
      <c r="B1" s="697" t="s">
        <v>1102</v>
      </c>
      <c r="C1" s="697"/>
      <c r="D1" s="697"/>
      <c r="E1" s="697"/>
      <c r="F1" s="697"/>
      <c r="G1" s="697"/>
      <c r="H1" s="697"/>
      <c r="I1" s="697"/>
      <c r="J1" s="697"/>
      <c r="K1" s="697"/>
      <c r="L1" s="697"/>
      <c r="M1" s="697"/>
      <c r="N1" s="697"/>
      <c r="O1" s="697"/>
      <c r="P1" s="697"/>
      <c r="Q1" s="697"/>
      <c r="R1" s="697"/>
      <c r="S1" s="697"/>
      <c r="T1" s="697"/>
      <c r="U1" s="697"/>
      <c r="V1" s="697"/>
      <c r="W1" s="697"/>
      <c r="X1" s="147"/>
    </row>
    <row r="2" spans="1:27" ht="18">
      <c r="A2" s="378"/>
      <c r="B2" s="379" t="s">
        <v>109</v>
      </c>
      <c r="C2" s="379" t="s">
        <v>106</v>
      </c>
      <c r="D2" s="379" t="s">
        <v>110</v>
      </c>
      <c r="E2" s="379" t="s">
        <v>111</v>
      </c>
      <c r="F2" s="379" t="s">
        <v>112</v>
      </c>
      <c r="G2" s="379" t="s">
        <v>113</v>
      </c>
      <c r="H2" s="379" t="s">
        <v>107</v>
      </c>
      <c r="I2" s="379" t="s">
        <v>114</v>
      </c>
      <c r="J2" s="379" t="s">
        <v>115</v>
      </c>
      <c r="K2" s="379" t="s">
        <v>116</v>
      </c>
      <c r="L2" s="379" t="s">
        <v>117</v>
      </c>
      <c r="M2" s="379" t="s">
        <v>118</v>
      </c>
      <c r="N2" s="379" t="s">
        <v>119</v>
      </c>
      <c r="O2" s="379" t="s">
        <v>120</v>
      </c>
      <c r="P2" s="379" t="s">
        <v>121</v>
      </c>
      <c r="Q2" s="379" t="s">
        <v>122</v>
      </c>
      <c r="R2" s="379" t="s">
        <v>123</v>
      </c>
      <c r="S2" s="379" t="s">
        <v>124</v>
      </c>
      <c r="T2" s="379" t="s">
        <v>125</v>
      </c>
      <c r="U2" s="379" t="s">
        <v>126</v>
      </c>
      <c r="V2" s="379" t="s">
        <v>127</v>
      </c>
      <c r="W2" s="379" t="s">
        <v>128</v>
      </c>
      <c r="X2" s="379" t="s">
        <v>129</v>
      </c>
    </row>
    <row r="3" spans="1:27" ht="18">
      <c r="A3" s="380" t="s">
        <v>1009</v>
      </c>
      <c r="B3" s="381"/>
      <c r="C3" s="381"/>
      <c r="D3" s="381"/>
      <c r="E3" s="381"/>
      <c r="F3" s="381"/>
      <c r="G3" s="381"/>
      <c r="H3" s="381"/>
      <c r="I3" s="381"/>
      <c r="J3" s="381"/>
      <c r="K3" s="381"/>
      <c r="L3" s="382"/>
      <c r="M3" s="382"/>
      <c r="N3" s="381"/>
      <c r="O3" s="381"/>
      <c r="P3" s="284"/>
      <c r="Q3" s="284"/>
      <c r="R3" s="284"/>
      <c r="S3" s="284"/>
      <c r="T3" s="284"/>
      <c r="U3" s="349"/>
      <c r="V3" s="349"/>
      <c r="W3" s="349" t="str">
        <f>'Bilans Blé tendre - FAM'!AC3</f>
        <v>Prov. Mars 25</v>
      </c>
      <c r="X3" s="349" t="str">
        <f>'Bilans Blé tendre - FAM'!AD3</f>
        <v>Prév. Mars 25</v>
      </c>
    </row>
    <row r="4" spans="1:27" ht="18">
      <c r="A4" s="285"/>
      <c r="B4" s="161"/>
      <c r="C4" s="161"/>
      <c r="D4" s="161"/>
      <c r="E4" s="161"/>
      <c r="F4" s="161"/>
      <c r="G4" s="161"/>
      <c r="H4" s="161"/>
      <c r="I4" s="161"/>
      <c r="J4" s="161"/>
      <c r="K4" s="161"/>
      <c r="L4" s="161"/>
      <c r="M4" s="161"/>
      <c r="N4" s="161"/>
      <c r="O4" s="161"/>
      <c r="P4" s="161"/>
      <c r="Q4" s="161"/>
      <c r="R4" s="161"/>
      <c r="S4" s="162"/>
      <c r="T4" s="162"/>
      <c r="U4" s="162"/>
      <c r="V4" s="162"/>
      <c r="W4" s="162"/>
      <c r="X4" s="162"/>
    </row>
    <row r="5" spans="1:27" hidden="1">
      <c r="A5" s="164" t="s">
        <v>1013</v>
      </c>
      <c r="B5" s="350"/>
      <c r="C5" s="350"/>
      <c r="D5" s="350"/>
      <c r="E5" s="350"/>
      <c r="F5" s="350"/>
      <c r="G5" s="350"/>
      <c r="H5" s="350"/>
      <c r="I5" s="350"/>
      <c r="J5" s="350"/>
      <c r="K5" s="350"/>
      <c r="L5" s="350"/>
      <c r="M5" s="350"/>
      <c r="N5" s="350"/>
      <c r="O5" s="350"/>
      <c r="P5" s="350"/>
      <c r="Q5" s="350"/>
      <c r="R5" s="350"/>
      <c r="S5" s="350"/>
      <c r="T5" s="350"/>
      <c r="U5" s="350"/>
      <c r="V5" s="350"/>
      <c r="W5" s="350"/>
      <c r="X5" s="350"/>
    </row>
    <row r="6" spans="1:27">
      <c r="A6" s="288"/>
      <c r="B6" s="169"/>
      <c r="C6" s="169"/>
      <c r="D6" s="169"/>
      <c r="E6" s="169"/>
      <c r="F6" s="169"/>
      <c r="G6" s="169"/>
      <c r="H6" s="169"/>
      <c r="I6" s="169"/>
      <c r="J6" s="169"/>
      <c r="K6" s="169"/>
      <c r="L6" s="169"/>
      <c r="M6" s="169"/>
      <c r="N6" s="169"/>
      <c r="O6" s="169"/>
      <c r="P6" s="169"/>
      <c r="Q6" s="169"/>
      <c r="R6" s="169"/>
      <c r="S6" s="169"/>
      <c r="T6" s="169"/>
      <c r="U6" s="169"/>
      <c r="V6" s="169"/>
      <c r="W6" s="169"/>
      <c r="X6" s="169"/>
    </row>
    <row r="7" spans="1:27" ht="18">
      <c r="A7" s="292" t="s">
        <v>1014</v>
      </c>
      <c r="B7" s="383">
        <v>7.3027400000000098</v>
      </c>
      <c r="C7" s="383">
        <v>9.0202399999999994</v>
      </c>
      <c r="D7" s="383">
        <v>7.9566599999999896</v>
      </c>
      <c r="E7" s="383">
        <v>9.2835999999999999</v>
      </c>
      <c r="F7" s="383">
        <v>10.426500000000001</v>
      </c>
      <c r="G7" s="383">
        <v>8.5907100000000103</v>
      </c>
      <c r="H7" s="383">
        <v>9.1816600000000115</v>
      </c>
      <c r="I7" s="383">
        <v>13.127319999999999</v>
      </c>
      <c r="J7" s="383">
        <v>16.475360000000002</v>
      </c>
      <c r="K7" s="383">
        <v>12.452959999999999</v>
      </c>
      <c r="L7" s="383">
        <v>14.44308</v>
      </c>
      <c r="M7" s="383">
        <v>17.808430000000001</v>
      </c>
      <c r="N7" s="383">
        <v>16.305600000000002</v>
      </c>
      <c r="O7" s="486">
        <v>23.447089999999999</v>
      </c>
      <c r="P7" s="383">
        <v>31.1213200000001</v>
      </c>
      <c r="Q7" s="383">
        <v>41.235849999999999</v>
      </c>
      <c r="R7" s="383">
        <v>36.418260000000004</v>
      </c>
      <c r="S7" s="486">
        <v>30.964779999999998</v>
      </c>
      <c r="T7" s="383">
        <v>44.980120000000198</v>
      </c>
      <c r="U7" s="383">
        <v>37.076559999999901</v>
      </c>
      <c r="V7" s="383">
        <v>44.337730000000001</v>
      </c>
      <c r="W7" s="486">
        <v>45.808520000000001</v>
      </c>
      <c r="X7" s="383">
        <v>60.09225</v>
      </c>
    </row>
    <row r="8" spans="1:27" ht="18" hidden="1">
      <c r="A8" s="292" t="s">
        <v>1015</v>
      </c>
      <c r="B8" s="293"/>
      <c r="C8" s="293"/>
      <c r="D8" s="293"/>
      <c r="E8" s="293"/>
      <c r="F8" s="293"/>
      <c r="G8" s="293"/>
      <c r="H8" s="293"/>
      <c r="I8" s="293"/>
      <c r="J8" s="293"/>
      <c r="K8" s="293"/>
      <c r="L8" s="293"/>
      <c r="M8" s="293"/>
      <c r="N8" s="293"/>
      <c r="O8" s="293"/>
      <c r="P8" s="293"/>
      <c r="Q8" s="293"/>
      <c r="R8" s="293"/>
      <c r="S8" s="293"/>
      <c r="T8" s="293"/>
      <c r="U8" s="293"/>
      <c r="V8" s="293"/>
      <c r="W8" s="293"/>
      <c r="X8" s="293"/>
    </row>
    <row r="9" spans="1:27" ht="18" hidden="1">
      <c r="A9" s="292" t="s">
        <v>1016</v>
      </c>
      <c r="B9" s="383"/>
      <c r="C9" s="383"/>
      <c r="D9" s="383"/>
      <c r="E9" s="383"/>
      <c r="F9" s="383"/>
      <c r="G9" s="383"/>
      <c r="H9" s="383"/>
      <c r="I9" s="383"/>
      <c r="J9" s="383"/>
      <c r="K9" s="383"/>
      <c r="L9" s="383"/>
      <c r="M9" s="383"/>
      <c r="N9" s="383"/>
      <c r="O9" s="383"/>
      <c r="P9" s="383"/>
      <c r="Q9" s="383"/>
      <c r="R9" s="383"/>
      <c r="S9" s="383"/>
      <c r="T9" s="383"/>
      <c r="U9" s="383"/>
      <c r="V9" s="383"/>
      <c r="W9" s="383"/>
      <c r="X9" s="383"/>
    </row>
    <row r="10" spans="1:27" ht="18" hidden="1">
      <c r="A10" s="294"/>
      <c r="B10" s="183"/>
      <c r="C10" s="183"/>
      <c r="D10" s="183"/>
      <c r="E10" s="183"/>
      <c r="F10" s="183"/>
      <c r="G10" s="183"/>
      <c r="H10" s="183"/>
      <c r="I10" s="183"/>
      <c r="J10" s="183"/>
      <c r="K10" s="182"/>
      <c r="L10" s="182"/>
      <c r="M10" s="182"/>
      <c r="N10" s="182"/>
      <c r="O10" s="183"/>
      <c r="P10" s="183"/>
      <c r="Q10" s="183"/>
      <c r="R10" s="183"/>
      <c r="S10" s="184"/>
      <c r="T10" s="184"/>
      <c r="U10" s="184"/>
      <c r="V10" s="184"/>
      <c r="W10" s="184"/>
      <c r="X10" s="184"/>
    </row>
    <row r="11" spans="1:27" ht="36" hidden="1">
      <c r="A11" s="297" t="s">
        <v>1073</v>
      </c>
      <c r="B11" s="186"/>
      <c r="C11" s="186"/>
      <c r="D11" s="186"/>
      <c r="E11" s="186"/>
      <c r="F11" s="186"/>
      <c r="G11" s="186"/>
      <c r="H11" s="186"/>
      <c r="I11" s="186"/>
      <c r="J11" s="186"/>
      <c r="K11" s="186"/>
      <c r="L11" s="186"/>
      <c r="M11" s="186"/>
      <c r="N11" s="186"/>
      <c r="O11" s="186"/>
      <c r="P11" s="186"/>
      <c r="Q11" s="186"/>
      <c r="R11" s="186"/>
      <c r="S11" s="186"/>
      <c r="T11" s="186"/>
      <c r="U11" s="186"/>
      <c r="V11" s="186"/>
      <c r="W11" s="186"/>
      <c r="X11" s="186"/>
    </row>
    <row r="12" spans="1:27" ht="18" hidden="1">
      <c r="A12" s="292"/>
      <c r="B12" s="186"/>
      <c r="C12" s="186"/>
      <c r="D12" s="186"/>
      <c r="E12" s="186"/>
      <c r="F12" s="186"/>
      <c r="G12" s="186"/>
      <c r="H12" s="186"/>
      <c r="I12" s="186"/>
      <c r="J12" s="186"/>
      <c r="K12" s="186"/>
      <c r="L12" s="186"/>
      <c r="M12" s="186"/>
      <c r="N12" s="186"/>
      <c r="O12" s="186"/>
      <c r="P12" s="186"/>
      <c r="Q12" s="186"/>
      <c r="R12" s="186"/>
      <c r="S12" s="385"/>
      <c r="T12" s="385"/>
      <c r="U12" s="186"/>
      <c r="V12" s="186"/>
      <c r="W12" s="186"/>
      <c r="X12" s="186"/>
    </row>
    <row r="13" spans="1:27" ht="18">
      <c r="A13" s="292"/>
      <c r="B13" s="173"/>
      <c r="C13" s="173"/>
      <c r="D13" s="173"/>
      <c r="E13" s="173"/>
      <c r="F13" s="173"/>
      <c r="G13" s="173"/>
      <c r="H13" s="173"/>
      <c r="I13" s="173"/>
      <c r="J13" s="173"/>
      <c r="K13" s="173"/>
      <c r="L13" s="370"/>
      <c r="M13" s="370"/>
      <c r="N13" s="173"/>
      <c r="O13" s="173"/>
      <c r="P13" s="173"/>
      <c r="Q13" s="386"/>
      <c r="R13" s="386"/>
      <c r="S13" s="386"/>
      <c r="T13" s="386"/>
      <c r="U13" s="386"/>
      <c r="V13" s="386"/>
      <c r="W13" s="386"/>
      <c r="X13" s="386"/>
    </row>
    <row r="14" spans="1:27" ht="18">
      <c r="A14" s="300"/>
      <c r="B14" s="387"/>
      <c r="C14" s="387"/>
      <c r="D14" s="387"/>
      <c r="E14" s="387"/>
      <c r="F14" s="387"/>
      <c r="G14" s="387"/>
      <c r="H14" s="387"/>
      <c r="I14" s="387"/>
      <c r="J14" s="387"/>
      <c r="K14" s="387"/>
      <c r="L14" s="387"/>
      <c r="M14" s="387"/>
      <c r="N14" s="387"/>
      <c r="O14" s="387"/>
      <c r="P14" s="387"/>
      <c r="Q14" s="388"/>
      <c r="R14" s="388"/>
      <c r="S14" s="388"/>
      <c r="T14" s="388"/>
      <c r="U14" s="388"/>
      <c r="V14" s="388"/>
      <c r="W14" s="388"/>
      <c r="X14" s="388"/>
    </row>
    <row r="15" spans="1:27" ht="37.5" customHeight="1">
      <c r="A15" s="190" t="s">
        <v>1020</v>
      </c>
      <c r="B15" s="698" t="s">
        <v>1103</v>
      </c>
      <c r="C15" s="698"/>
      <c r="D15" s="698"/>
      <c r="E15" s="698"/>
      <c r="F15" s="698"/>
      <c r="G15" s="698"/>
      <c r="H15" s="698"/>
      <c r="I15" s="698"/>
      <c r="J15" s="698"/>
      <c r="K15" s="698"/>
      <c r="L15" s="698"/>
      <c r="M15" s="698"/>
      <c r="N15" s="698"/>
      <c r="O15" s="698"/>
      <c r="P15" s="698"/>
      <c r="Q15" s="698"/>
      <c r="R15" s="698"/>
      <c r="S15" s="698"/>
      <c r="T15" s="698"/>
      <c r="U15" s="698"/>
      <c r="V15" s="698"/>
      <c r="W15" s="698"/>
      <c r="X15" s="191"/>
      <c r="Y15" s="446"/>
      <c r="Z15" s="446"/>
      <c r="AA15" s="446"/>
    </row>
    <row r="16" spans="1:27">
      <c r="A16" s="389" t="s">
        <v>1009</v>
      </c>
      <c r="B16" s="390" t="str">
        <f t="shared" ref="B16:J16" si="0">B2</f>
        <v>2002/03</v>
      </c>
      <c r="C16" s="390" t="str">
        <f t="shared" si="0"/>
        <v>2003/04</v>
      </c>
      <c r="D16" s="390" t="str">
        <f t="shared" si="0"/>
        <v>2004/05</v>
      </c>
      <c r="E16" s="390" t="str">
        <f t="shared" si="0"/>
        <v>2005/06</v>
      </c>
      <c r="F16" s="390" t="str">
        <f t="shared" si="0"/>
        <v>2006/07</v>
      </c>
      <c r="G16" s="390" t="str">
        <f t="shared" si="0"/>
        <v>2007/08</v>
      </c>
      <c r="H16" s="390" t="str">
        <f t="shared" si="0"/>
        <v>2008/09</v>
      </c>
      <c r="I16" s="390" t="str">
        <f t="shared" si="0"/>
        <v>2009/10</v>
      </c>
      <c r="J16" s="390" t="str">
        <f t="shared" si="0"/>
        <v>2010/11</v>
      </c>
      <c r="K16" s="390" t="s">
        <v>116</v>
      </c>
      <c r="L16" s="390" t="s">
        <v>117</v>
      </c>
      <c r="M16" s="390" t="s">
        <v>118</v>
      </c>
      <c r="N16" s="390" t="s">
        <v>119</v>
      </c>
      <c r="O16" s="390" t="s">
        <v>120</v>
      </c>
      <c r="P16" s="390" t="s">
        <v>121</v>
      </c>
      <c r="Q16" s="390" t="s">
        <v>122</v>
      </c>
      <c r="R16" s="390" t="s">
        <v>123</v>
      </c>
      <c r="S16" s="390" t="s">
        <v>124</v>
      </c>
      <c r="T16" s="390" t="s">
        <v>125</v>
      </c>
      <c r="U16" s="390" t="str">
        <f>U2</f>
        <v>2021/22</v>
      </c>
      <c r="V16" s="390" t="str">
        <f>V2</f>
        <v>2022/23</v>
      </c>
      <c r="W16" s="390" t="str">
        <f>W2</f>
        <v>2023/24</v>
      </c>
      <c r="X16" s="390" t="str">
        <f>X2</f>
        <v>2024/25</v>
      </c>
    </row>
    <row r="17" spans="1:25" ht="18">
      <c r="A17" s="391"/>
      <c r="B17" s="392"/>
      <c r="C17" s="392"/>
      <c r="D17" s="392"/>
      <c r="E17" s="392"/>
      <c r="F17" s="392"/>
      <c r="G17" s="392"/>
      <c r="H17" s="392"/>
      <c r="I17" s="392"/>
      <c r="J17" s="392"/>
      <c r="K17" s="393"/>
      <c r="L17" s="394"/>
      <c r="M17" s="394"/>
      <c r="N17" s="393"/>
      <c r="O17" s="392"/>
      <c r="P17" s="392"/>
      <c r="Q17" s="395"/>
      <c r="R17" s="395"/>
      <c r="S17" s="395"/>
      <c r="T17" s="395"/>
      <c r="U17" s="395"/>
      <c r="V17" s="395"/>
      <c r="W17" s="395" t="str">
        <f>W3</f>
        <v>Prov. Mars 25</v>
      </c>
      <c r="X17" s="395" t="str">
        <f>X3</f>
        <v>Prév. Mars 25</v>
      </c>
    </row>
    <row r="18" spans="1:25" ht="18">
      <c r="A18" s="396"/>
      <c r="B18" s="397"/>
      <c r="C18" s="397"/>
      <c r="D18" s="397"/>
      <c r="E18" s="397"/>
      <c r="F18" s="397"/>
      <c r="G18" s="397"/>
      <c r="H18" s="397"/>
      <c r="I18" s="397"/>
      <c r="J18" s="397"/>
      <c r="K18" s="397"/>
      <c r="L18" s="398"/>
      <c r="M18" s="398"/>
      <c r="N18" s="397"/>
      <c r="O18" s="397"/>
      <c r="P18" s="397"/>
      <c r="Q18" s="397"/>
      <c r="R18" s="397"/>
      <c r="S18" s="399"/>
      <c r="T18" s="399"/>
      <c r="U18" s="399"/>
      <c r="V18" s="399"/>
      <c r="W18" s="399"/>
      <c r="X18" s="399"/>
      <c r="Y18" s="400"/>
    </row>
    <row r="19" spans="1:25">
      <c r="A19" s="206" t="s">
        <v>1022</v>
      </c>
      <c r="B19" s="309"/>
      <c r="C19" s="309"/>
      <c r="D19" s="309"/>
      <c r="E19" s="309"/>
      <c r="F19" s="309"/>
      <c r="G19" s="309"/>
      <c r="H19" s="309"/>
      <c r="I19" s="309"/>
      <c r="J19" s="309"/>
      <c r="K19" s="209"/>
      <c r="L19" s="209"/>
      <c r="M19" s="209"/>
      <c r="N19" s="209"/>
      <c r="O19" s="309"/>
      <c r="P19" s="309"/>
      <c r="Q19" s="309"/>
      <c r="R19" s="309"/>
      <c r="S19" s="401"/>
      <c r="T19" s="401"/>
      <c r="U19" s="401"/>
      <c r="V19" s="401"/>
      <c r="W19" s="401"/>
      <c r="X19" s="401"/>
    </row>
    <row r="20" spans="1:25" ht="18">
      <c r="A20" s="402" t="s">
        <v>1023</v>
      </c>
      <c r="B20" s="403" t="e">
        <f>#REF!</f>
        <v>#REF!</v>
      </c>
      <c r="C20" s="403">
        <f t="shared" ref="C20:X20" si="1">B40</f>
        <v>2.9558</v>
      </c>
      <c r="D20" s="403">
        <f t="shared" si="1"/>
        <v>2.5261999999999998</v>
      </c>
      <c r="E20" s="403">
        <f t="shared" si="1"/>
        <v>2.5680999999999998</v>
      </c>
      <c r="F20" s="403">
        <f t="shared" si="1"/>
        <v>2.3525999999999998</v>
      </c>
      <c r="G20" s="403">
        <f t="shared" si="1"/>
        <v>0.97539999999999993</v>
      </c>
      <c r="H20" s="403">
        <f t="shared" si="1"/>
        <v>1.7034</v>
      </c>
      <c r="I20" s="403">
        <f t="shared" si="1"/>
        <v>0.81659999999999999</v>
      </c>
      <c r="J20" s="403">
        <f t="shared" si="1"/>
        <v>2.6781000000000001</v>
      </c>
      <c r="K20" s="403">
        <f t="shared" si="1"/>
        <v>2.4437980000000001</v>
      </c>
      <c r="L20" s="403">
        <f t="shared" si="1"/>
        <v>5.0742060000000002</v>
      </c>
      <c r="M20" s="403">
        <f t="shared" si="1"/>
        <v>2.7554040000000004</v>
      </c>
      <c r="N20" s="403">
        <f t="shared" si="1"/>
        <v>3.2154530000000001</v>
      </c>
      <c r="O20" s="403">
        <f t="shared" si="1"/>
        <v>4.5574949999999994</v>
      </c>
      <c r="P20" s="403">
        <f t="shared" si="1"/>
        <v>7.1402319999999992</v>
      </c>
      <c r="Q20" s="403">
        <f t="shared" si="1"/>
        <v>8.8033399999999986</v>
      </c>
      <c r="R20" s="403">
        <f t="shared" si="1"/>
        <v>22.085349999999998</v>
      </c>
      <c r="S20" s="403">
        <f t="shared" si="1"/>
        <v>17.225090999999999</v>
      </c>
      <c r="T20" s="403">
        <f t="shared" si="1"/>
        <v>8.2004780000000004</v>
      </c>
      <c r="U20" s="403">
        <f t="shared" si="1"/>
        <v>8.8172120000000014</v>
      </c>
      <c r="V20" s="403">
        <f t="shared" si="1"/>
        <v>10.952557000000002</v>
      </c>
      <c r="W20" s="403">
        <f t="shared" si="1"/>
        <v>15.267031000000001</v>
      </c>
      <c r="X20" s="403">
        <f t="shared" si="1"/>
        <v>21.407108000000001</v>
      </c>
    </row>
    <row r="21" spans="1:25" ht="18">
      <c r="A21" s="404" t="s">
        <v>1024</v>
      </c>
      <c r="B21" s="405">
        <v>5.1609000000000007</v>
      </c>
      <c r="C21" s="405">
        <v>5.9597000000000007</v>
      </c>
      <c r="D21" s="405">
        <v>5.4065999999999992</v>
      </c>
      <c r="E21" s="405">
        <v>6.1646000000000001</v>
      </c>
      <c r="F21" s="405">
        <v>4.2323999999999993</v>
      </c>
      <c r="G21" s="405">
        <v>4.9281999999999986</v>
      </c>
      <c r="H21" s="405">
        <v>4.3797000000000006</v>
      </c>
      <c r="I21" s="405">
        <v>7.5633999999999988</v>
      </c>
      <c r="J21" s="405">
        <v>8.2863000000000007</v>
      </c>
      <c r="K21" s="405">
        <v>15.644662000000002</v>
      </c>
      <c r="L21" s="405">
        <v>5.7156549999999999</v>
      </c>
      <c r="M21" s="405">
        <v>6.2308180000000002</v>
      </c>
      <c r="N21" s="405">
        <v>10.939532000000009</v>
      </c>
      <c r="O21" s="487">
        <v>13.847295000000003</v>
      </c>
      <c r="P21" s="405">
        <v>14.374847000000001</v>
      </c>
      <c r="Q21" s="405">
        <v>30.492534000000013</v>
      </c>
      <c r="R21" s="405">
        <v>16.743293999999999</v>
      </c>
      <c r="S21" s="487">
        <v>11.676317999999997</v>
      </c>
      <c r="T21" s="405">
        <v>20.304964999999996</v>
      </c>
      <c r="U21" s="405">
        <v>27.665530000000008</v>
      </c>
      <c r="V21" s="405">
        <v>27.440900000000003</v>
      </c>
      <c r="W21" s="487">
        <v>35.331900000000005</v>
      </c>
      <c r="X21" s="405">
        <v>45</v>
      </c>
    </row>
    <row r="22" spans="1:25" ht="18">
      <c r="A22" s="404" t="s">
        <v>1025</v>
      </c>
      <c r="B22" s="405">
        <v>0</v>
      </c>
      <c r="C22" s="405">
        <v>0</v>
      </c>
      <c r="D22" s="405">
        <v>0</v>
      </c>
      <c r="E22" s="405">
        <v>0</v>
      </c>
      <c r="F22" s="405">
        <v>0</v>
      </c>
      <c r="G22" s="405">
        <v>0</v>
      </c>
      <c r="H22" s="405">
        <v>0</v>
      </c>
      <c r="I22" s="405">
        <v>6.1133000000000006</v>
      </c>
      <c r="J22" s="405">
        <v>11.212800000000003</v>
      </c>
      <c r="K22" s="405">
        <v>11.680800000000001</v>
      </c>
      <c r="L22" s="405">
        <v>7.3088999999999986</v>
      </c>
      <c r="M22" s="405">
        <v>8.6730999999999998</v>
      </c>
      <c r="N22" s="405">
        <v>12.6516</v>
      </c>
      <c r="O22" s="487">
        <v>12.1448</v>
      </c>
      <c r="P22" s="405">
        <v>12.374600000000003</v>
      </c>
      <c r="Q22" s="405">
        <v>9.9504000000000001</v>
      </c>
      <c r="R22" s="405">
        <v>7.8839999999999986</v>
      </c>
      <c r="S22" s="487">
        <v>4.9154000000000009</v>
      </c>
      <c r="T22" s="405">
        <v>7.2410999999999994</v>
      </c>
      <c r="U22" s="405">
        <v>10.314500000000002</v>
      </c>
      <c r="V22" s="405">
        <v>10.0138</v>
      </c>
      <c r="W22" s="487">
        <v>4.4203999999999999</v>
      </c>
      <c r="X22" s="405">
        <v>5</v>
      </c>
    </row>
    <row r="23" spans="1:25" ht="18">
      <c r="A23" s="216" t="s">
        <v>1026</v>
      </c>
      <c r="B23" s="405" t="s">
        <v>89</v>
      </c>
      <c r="C23" s="405" t="s">
        <v>89</v>
      </c>
      <c r="D23" s="405" t="s">
        <v>89</v>
      </c>
      <c r="E23" s="405" t="s">
        <v>89</v>
      </c>
      <c r="F23" s="405" t="s">
        <v>89</v>
      </c>
      <c r="G23" s="405" t="s">
        <v>89</v>
      </c>
      <c r="H23" s="405" t="s">
        <v>89</v>
      </c>
      <c r="I23" s="405" t="s">
        <v>89</v>
      </c>
      <c r="J23" s="405" t="s">
        <v>89</v>
      </c>
      <c r="K23" s="405" t="s">
        <v>89</v>
      </c>
      <c r="L23" s="405" t="s">
        <v>89</v>
      </c>
      <c r="M23" s="405" t="s">
        <v>89</v>
      </c>
      <c r="N23" s="405" t="s">
        <v>89</v>
      </c>
      <c r="O23" s="405" t="s">
        <v>89</v>
      </c>
      <c r="P23" s="405" t="s">
        <v>89</v>
      </c>
      <c r="Q23" s="405" t="s">
        <v>89</v>
      </c>
      <c r="R23" s="405" t="s">
        <v>89</v>
      </c>
      <c r="S23" s="405" t="s">
        <v>89</v>
      </c>
      <c r="T23" s="405" t="s">
        <v>89</v>
      </c>
      <c r="U23" s="405" t="s">
        <v>89</v>
      </c>
      <c r="V23" s="405" t="s">
        <v>89</v>
      </c>
      <c r="W23" s="405">
        <v>0</v>
      </c>
      <c r="X23" s="405">
        <v>0</v>
      </c>
    </row>
    <row r="24" spans="1:25" thickBot="1">
      <c r="A24" s="406" t="s">
        <v>1027</v>
      </c>
      <c r="B24" s="315" t="e">
        <f t="shared" ref="B24:X24" si="2">SUM(B20:B23)</f>
        <v>#REF!</v>
      </c>
      <c r="C24" s="315">
        <f t="shared" si="2"/>
        <v>8.9155000000000015</v>
      </c>
      <c r="D24" s="315">
        <f t="shared" si="2"/>
        <v>7.9327999999999985</v>
      </c>
      <c r="E24" s="315">
        <f t="shared" si="2"/>
        <v>8.7326999999999995</v>
      </c>
      <c r="F24" s="315">
        <f t="shared" si="2"/>
        <v>6.5849999999999991</v>
      </c>
      <c r="G24" s="315">
        <f t="shared" si="2"/>
        <v>5.9035999999999982</v>
      </c>
      <c r="H24" s="315">
        <f t="shared" si="2"/>
        <v>6.0831000000000008</v>
      </c>
      <c r="I24" s="315">
        <f t="shared" si="2"/>
        <v>14.4933</v>
      </c>
      <c r="J24" s="315">
        <f t="shared" si="2"/>
        <v>22.177200000000006</v>
      </c>
      <c r="K24" s="315">
        <f t="shared" si="2"/>
        <v>29.769260000000003</v>
      </c>
      <c r="L24" s="315">
        <f t="shared" si="2"/>
        <v>18.098761</v>
      </c>
      <c r="M24" s="315">
        <f t="shared" si="2"/>
        <v>17.659322000000003</v>
      </c>
      <c r="N24" s="315">
        <f t="shared" si="2"/>
        <v>26.806585000000009</v>
      </c>
      <c r="O24" s="315">
        <f t="shared" si="2"/>
        <v>30.549590000000002</v>
      </c>
      <c r="P24" s="315">
        <f t="shared" si="2"/>
        <v>33.889679000000001</v>
      </c>
      <c r="Q24" s="315">
        <f t="shared" si="2"/>
        <v>49.246274000000014</v>
      </c>
      <c r="R24" s="315">
        <f t="shared" si="2"/>
        <v>46.712643999999997</v>
      </c>
      <c r="S24" s="315">
        <f t="shared" si="2"/>
        <v>33.816808999999992</v>
      </c>
      <c r="T24" s="315">
        <f t="shared" si="2"/>
        <v>35.746542999999996</v>
      </c>
      <c r="U24" s="315">
        <f t="shared" si="2"/>
        <v>46.797242000000011</v>
      </c>
      <c r="V24" s="315">
        <f t="shared" si="2"/>
        <v>48.407257000000001</v>
      </c>
      <c r="W24" s="315">
        <f t="shared" si="2"/>
        <v>55.019331000000008</v>
      </c>
      <c r="X24" s="315">
        <f t="shared" si="2"/>
        <v>71.407107999999994</v>
      </c>
    </row>
    <row r="25" spans="1:25" ht="19.2" thickTop="1">
      <c r="A25" s="220"/>
      <c r="B25" s="407"/>
      <c r="C25" s="407"/>
      <c r="D25" s="407"/>
      <c r="E25" s="407"/>
      <c r="F25" s="407"/>
      <c r="G25" s="407"/>
      <c r="H25" s="407"/>
      <c r="I25" s="407"/>
      <c r="J25" s="407"/>
      <c r="K25" s="407"/>
      <c r="L25" s="408"/>
      <c r="M25" s="407"/>
      <c r="N25" s="407"/>
      <c r="O25" s="407"/>
      <c r="P25" s="407"/>
      <c r="Q25" s="407"/>
      <c r="R25" s="407"/>
      <c r="S25" s="407"/>
      <c r="T25" s="409"/>
      <c r="U25" s="409"/>
      <c r="V25" s="409"/>
      <c r="W25" s="409"/>
      <c r="X25" s="409"/>
    </row>
    <row r="26" spans="1:25">
      <c r="A26" s="410" t="s">
        <v>1028</v>
      </c>
      <c r="B26" s="411"/>
      <c r="C26" s="411"/>
      <c r="D26" s="411"/>
      <c r="E26" s="411"/>
      <c r="F26" s="411"/>
      <c r="G26" s="411"/>
      <c r="H26" s="411"/>
      <c r="I26" s="411"/>
      <c r="J26" s="411"/>
      <c r="K26" s="411"/>
      <c r="L26" s="362"/>
      <c r="M26" s="362"/>
      <c r="N26" s="411"/>
      <c r="O26" s="411"/>
      <c r="P26" s="412"/>
      <c r="Q26" s="412"/>
      <c r="R26" s="412"/>
      <c r="S26" s="319"/>
      <c r="T26" s="319"/>
      <c r="U26" s="319"/>
      <c r="V26" s="319"/>
      <c r="W26" s="320"/>
      <c r="X26" s="320"/>
    </row>
    <row r="27" spans="1:25" ht="18">
      <c r="A27" s="413" t="s">
        <v>1094</v>
      </c>
      <c r="B27" s="414"/>
      <c r="C27" s="414"/>
      <c r="D27" s="414"/>
      <c r="E27" s="414"/>
      <c r="F27" s="414"/>
      <c r="G27" s="414"/>
      <c r="H27" s="414"/>
      <c r="I27" s="414"/>
      <c r="J27" s="414"/>
      <c r="K27" s="414"/>
      <c r="L27" s="415"/>
      <c r="M27" s="415"/>
      <c r="N27" s="414"/>
      <c r="O27" s="414"/>
      <c r="P27" s="414"/>
      <c r="Q27" s="414"/>
      <c r="R27" s="414"/>
      <c r="S27" s="416"/>
      <c r="T27" s="416"/>
      <c r="U27" s="416"/>
      <c r="V27" s="416"/>
      <c r="W27" s="416"/>
      <c r="X27" s="416"/>
      <c r="Y27" s="417"/>
    </row>
    <row r="28" spans="1:25" ht="18">
      <c r="A28" s="424" t="s">
        <v>1099</v>
      </c>
      <c r="B28" s="447"/>
      <c r="C28" s="447"/>
      <c r="D28" s="447"/>
      <c r="E28" s="447"/>
      <c r="F28" s="447"/>
      <c r="G28" s="447"/>
      <c r="H28" s="447"/>
      <c r="I28" s="447"/>
      <c r="J28" s="419">
        <v>6.7094480000000001</v>
      </c>
      <c r="K28" s="419">
        <v>5.8028590000000007</v>
      </c>
      <c r="L28" s="419">
        <v>5.9617430000000002</v>
      </c>
      <c r="M28" s="419">
        <v>9.4369639999999997</v>
      </c>
      <c r="N28" s="419">
        <v>11.090498</v>
      </c>
      <c r="O28" s="488">
        <v>12.560772999999999</v>
      </c>
      <c r="P28" s="419">
        <v>12.141483000000001</v>
      </c>
      <c r="Q28" s="419">
        <v>13.668610000000001</v>
      </c>
      <c r="R28" s="419">
        <v>13.681823</v>
      </c>
      <c r="S28" s="488">
        <v>13.417603</v>
      </c>
      <c r="T28" s="419">
        <v>14.443013000000001</v>
      </c>
      <c r="U28" s="419">
        <v>16.180737000000001</v>
      </c>
      <c r="V28" s="419">
        <v>23.016459999999995</v>
      </c>
      <c r="W28" s="488">
        <v>23.381306000000002</v>
      </c>
      <c r="X28" s="419">
        <v>24</v>
      </c>
      <c r="Y28" s="448"/>
    </row>
    <row r="29" spans="1:25" ht="18">
      <c r="A29" s="424" t="s">
        <v>1037</v>
      </c>
      <c r="B29" s="447"/>
      <c r="C29" s="447"/>
      <c r="D29" s="447"/>
      <c r="E29" s="447"/>
      <c r="F29" s="447"/>
      <c r="G29" s="447"/>
      <c r="H29" s="447"/>
      <c r="I29" s="447"/>
      <c r="J29" s="419">
        <v>2.9999999999999997E-4</v>
      </c>
      <c r="K29" s="419">
        <v>1.61E-2</v>
      </c>
      <c r="L29" s="419">
        <v>2.0000000000000002E-5</v>
      </c>
      <c r="M29" s="419">
        <v>5.9999999999999995E-5</v>
      </c>
      <c r="N29" s="419">
        <v>0.15687999999999999</v>
      </c>
      <c r="O29" s="488">
        <v>2.8799999999999999E-2</v>
      </c>
      <c r="P29" s="419">
        <v>0</v>
      </c>
      <c r="Q29" s="419">
        <v>6.3E-3</v>
      </c>
      <c r="R29" s="419">
        <v>0</v>
      </c>
      <c r="S29" s="488">
        <v>7.1399999999999996E-3</v>
      </c>
      <c r="T29" s="419">
        <v>7.4800000000000005E-3</v>
      </c>
      <c r="U29" s="419">
        <v>8.8299999999999993E-3</v>
      </c>
      <c r="V29" s="419">
        <v>3.104E-3</v>
      </c>
      <c r="W29" s="488">
        <v>0</v>
      </c>
      <c r="X29" s="419">
        <v>0</v>
      </c>
    </row>
    <row r="30" spans="1:25" ht="18">
      <c r="A30" s="424" t="s">
        <v>1038</v>
      </c>
      <c r="B30" s="447"/>
      <c r="C30" s="447"/>
      <c r="D30" s="447"/>
      <c r="E30" s="447"/>
      <c r="F30" s="447"/>
      <c r="G30" s="447"/>
      <c r="H30" s="447"/>
      <c r="I30" s="419">
        <v>0.51800000000000002</v>
      </c>
      <c r="J30" s="419">
        <v>0.63249999999999995</v>
      </c>
      <c r="K30" s="419">
        <v>0.71699999999999997</v>
      </c>
      <c r="L30" s="419">
        <v>0.67779999999999996</v>
      </c>
      <c r="M30" s="419">
        <v>0.45619999999999999</v>
      </c>
      <c r="N30" s="419">
        <v>0.73539999999999994</v>
      </c>
      <c r="O30" s="488">
        <v>0.91239999999999999</v>
      </c>
      <c r="P30" s="419">
        <v>0.86020000000000008</v>
      </c>
      <c r="Q30" s="419">
        <v>0.63029999999999997</v>
      </c>
      <c r="R30" s="419">
        <v>0.70010000000000006</v>
      </c>
      <c r="S30" s="488">
        <v>0.62450000000000006</v>
      </c>
      <c r="T30" s="419">
        <v>0.83299999999999996</v>
      </c>
      <c r="U30" s="419">
        <v>1.0172999999999999</v>
      </c>
      <c r="V30" s="419">
        <v>0.27440900000000001</v>
      </c>
      <c r="W30" s="488">
        <v>0.35331900000000005</v>
      </c>
      <c r="X30" s="419">
        <v>0.45</v>
      </c>
    </row>
    <row r="31" spans="1:25" ht="18">
      <c r="A31" s="424" t="s">
        <v>1077</v>
      </c>
      <c r="B31" s="425">
        <f t="shared" ref="B31:X31" si="3">0.01*B21</f>
        <v>5.1609000000000009E-2</v>
      </c>
      <c r="C31" s="425">
        <f t="shared" si="3"/>
        <v>5.9597000000000011E-2</v>
      </c>
      <c r="D31" s="425">
        <f t="shared" si="3"/>
        <v>5.4065999999999996E-2</v>
      </c>
      <c r="E31" s="425">
        <f t="shared" si="3"/>
        <v>6.1645999999999999E-2</v>
      </c>
      <c r="F31" s="425">
        <f t="shared" si="3"/>
        <v>4.2323999999999994E-2</v>
      </c>
      <c r="G31" s="425">
        <f t="shared" si="3"/>
        <v>4.9281999999999986E-2</v>
      </c>
      <c r="H31" s="425">
        <f t="shared" si="3"/>
        <v>4.379700000000001E-2</v>
      </c>
      <c r="I31" s="425">
        <f t="shared" si="3"/>
        <v>7.5633999999999993E-2</v>
      </c>
      <c r="J31" s="425">
        <f t="shared" si="3"/>
        <v>8.2863000000000006E-2</v>
      </c>
      <c r="K31" s="425">
        <f t="shared" si="3"/>
        <v>0.15644662000000004</v>
      </c>
      <c r="L31" s="425">
        <f t="shared" si="3"/>
        <v>5.715655E-2</v>
      </c>
      <c r="M31" s="425">
        <f t="shared" si="3"/>
        <v>6.2308180000000005E-2</v>
      </c>
      <c r="N31" s="425">
        <f t="shared" si="3"/>
        <v>0.10939532000000009</v>
      </c>
      <c r="O31" s="425">
        <f t="shared" si="3"/>
        <v>0.13847295000000004</v>
      </c>
      <c r="P31" s="425">
        <f t="shared" si="3"/>
        <v>0.14374847000000002</v>
      </c>
      <c r="Q31" s="425">
        <f t="shared" si="3"/>
        <v>0.30492534000000016</v>
      </c>
      <c r="R31" s="425">
        <f t="shared" si="3"/>
        <v>0.16743294</v>
      </c>
      <c r="S31" s="425">
        <f t="shared" si="3"/>
        <v>0.11676317999999997</v>
      </c>
      <c r="T31" s="425">
        <f t="shared" si="3"/>
        <v>0.20304964999999997</v>
      </c>
      <c r="U31" s="425">
        <f t="shared" si="3"/>
        <v>0.2766553000000001</v>
      </c>
      <c r="V31" s="425">
        <f t="shared" si="3"/>
        <v>0.27440900000000001</v>
      </c>
      <c r="W31" s="425">
        <f t="shared" si="3"/>
        <v>0.35331900000000005</v>
      </c>
      <c r="X31" s="425">
        <f t="shared" si="3"/>
        <v>0.45</v>
      </c>
    </row>
    <row r="32" spans="1:25" ht="18">
      <c r="A32" s="216" t="s">
        <v>431</v>
      </c>
      <c r="B32" s="313">
        <v>2.1534910000000007</v>
      </c>
      <c r="C32" s="313">
        <v>6.3297030000000021</v>
      </c>
      <c r="D32" s="313">
        <v>5.3106339999999985</v>
      </c>
      <c r="E32" s="313">
        <v>6.318454</v>
      </c>
      <c r="F32" s="313">
        <v>5.5672759999999997</v>
      </c>
      <c r="G32" s="313">
        <v>4.146017999999998</v>
      </c>
      <c r="H32" s="313">
        <v>5.0260030000000011</v>
      </c>
      <c r="I32" s="313">
        <v>9.7907659999999996</v>
      </c>
      <c r="J32" s="313">
        <v>11.898391000000004</v>
      </c>
      <c r="K32" s="313">
        <v>17.785348380000002</v>
      </c>
      <c r="L32" s="313">
        <v>8.5730374499999975</v>
      </c>
      <c r="M32" s="313">
        <v>4.4658368200000025</v>
      </c>
      <c r="N32" s="313">
        <v>9.9334166800000094</v>
      </c>
      <c r="O32" s="489">
        <v>8.8760120500000017</v>
      </c>
      <c r="P32" s="313">
        <v>11.25960753</v>
      </c>
      <c r="Q32" s="313">
        <v>11.746588660000015</v>
      </c>
      <c r="R32" s="313">
        <v>13.641697059999998</v>
      </c>
      <c r="S32" s="489">
        <v>10.965524819999995</v>
      </c>
      <c r="T32" s="313">
        <v>10.267988349999992</v>
      </c>
      <c r="U32" s="313">
        <v>18.023262700000007</v>
      </c>
      <c r="V32" s="313">
        <v>10</v>
      </c>
      <c r="W32" s="489">
        <v>9</v>
      </c>
      <c r="X32" s="313">
        <v>9.5485745666666713</v>
      </c>
    </row>
    <row r="33" spans="1:25" ht="18">
      <c r="A33" s="426" t="s">
        <v>1041</v>
      </c>
      <c r="B33" s="326">
        <f t="shared" ref="B33:F33" si="4">SUM(B29:B32)</f>
        <v>2.2051000000000007</v>
      </c>
      <c r="C33" s="326">
        <f t="shared" si="4"/>
        <v>6.3893000000000022</v>
      </c>
      <c r="D33" s="326">
        <f t="shared" si="4"/>
        <v>5.3646999999999982</v>
      </c>
      <c r="E33" s="326">
        <f t="shared" si="4"/>
        <v>6.3800999999999997</v>
      </c>
      <c r="F33" s="326">
        <f t="shared" si="4"/>
        <v>5.6095999999999995</v>
      </c>
      <c r="G33" s="326">
        <f>SUM(G29:G32)</f>
        <v>4.1952999999999978</v>
      </c>
      <c r="H33" s="326">
        <f t="shared" ref="H33:U33" si="5">SUM(H28:H32)</f>
        <v>5.0698000000000008</v>
      </c>
      <c r="I33" s="326">
        <f t="shared" si="5"/>
        <v>10.384399999999999</v>
      </c>
      <c r="J33" s="326">
        <f t="shared" si="5"/>
        <v>19.323502000000005</v>
      </c>
      <c r="K33" s="326">
        <f t="shared" si="5"/>
        <v>24.477754000000001</v>
      </c>
      <c r="L33" s="326">
        <f t="shared" si="5"/>
        <v>15.269756999999998</v>
      </c>
      <c r="M33" s="326">
        <f t="shared" si="5"/>
        <v>14.421369000000002</v>
      </c>
      <c r="N33" s="326">
        <f t="shared" si="5"/>
        <v>22.025590000000008</v>
      </c>
      <c r="O33" s="326">
        <f t="shared" si="5"/>
        <v>22.516458</v>
      </c>
      <c r="P33" s="326">
        <f t="shared" si="5"/>
        <v>24.405039000000002</v>
      </c>
      <c r="Q33" s="326">
        <f t="shared" si="5"/>
        <v>26.356724000000014</v>
      </c>
      <c r="R33" s="326">
        <f t="shared" si="5"/>
        <v>28.191052999999997</v>
      </c>
      <c r="S33" s="326">
        <f t="shared" si="5"/>
        <v>25.131530999999995</v>
      </c>
      <c r="T33" s="326">
        <f t="shared" si="5"/>
        <v>25.754530999999993</v>
      </c>
      <c r="U33" s="326">
        <f t="shared" si="5"/>
        <v>35.506785000000008</v>
      </c>
      <c r="V33" s="326">
        <f>SUM(V28:V32)</f>
        <v>33.568381999999993</v>
      </c>
      <c r="W33" s="326">
        <f t="shared" ref="W33:X33" si="6">SUM(W28:W32)</f>
        <v>33.087944</v>
      </c>
      <c r="X33" s="326">
        <f t="shared" si="6"/>
        <v>34.448574566666672</v>
      </c>
    </row>
    <row r="34" spans="1:25" ht="18">
      <c r="A34" s="413" t="s">
        <v>1042</v>
      </c>
      <c r="B34" s="368"/>
      <c r="C34" s="368"/>
      <c r="D34" s="368"/>
      <c r="E34" s="368"/>
      <c r="F34" s="368"/>
      <c r="G34" s="368"/>
      <c r="H34" s="368"/>
      <c r="I34" s="368"/>
      <c r="J34" s="368"/>
      <c r="K34" s="368"/>
      <c r="L34" s="368"/>
      <c r="M34" s="368"/>
      <c r="N34" s="368"/>
      <c r="O34" s="368"/>
      <c r="P34" s="368"/>
      <c r="Q34" s="368"/>
      <c r="R34" s="368"/>
      <c r="S34" s="427"/>
      <c r="T34" s="427"/>
      <c r="U34" s="427"/>
      <c r="V34" s="427"/>
      <c r="W34" s="427"/>
      <c r="X34" s="427"/>
      <c r="Y34" s="428"/>
    </row>
    <row r="35" spans="1:25" ht="18">
      <c r="A35" s="429" t="s">
        <v>1065</v>
      </c>
      <c r="B35" s="430">
        <v>0</v>
      </c>
      <c r="C35" s="430">
        <v>0</v>
      </c>
      <c r="D35" s="430">
        <v>0</v>
      </c>
      <c r="E35" s="430">
        <v>0</v>
      </c>
      <c r="F35" s="430">
        <v>0</v>
      </c>
      <c r="G35" s="430">
        <v>4.9000000000000007E-3</v>
      </c>
      <c r="H35" s="430">
        <v>0.17169999999999999</v>
      </c>
      <c r="I35" s="430">
        <v>1.3665999999999998</v>
      </c>
      <c r="J35" s="430">
        <v>0.40799999999999997</v>
      </c>
      <c r="K35" s="430">
        <v>0.21209999999999998</v>
      </c>
      <c r="L35" s="430">
        <v>7.1300000000000016E-2</v>
      </c>
      <c r="M35" s="430">
        <v>2.2499999999999999E-2</v>
      </c>
      <c r="N35" s="430">
        <v>0.20540000000000003</v>
      </c>
      <c r="O35" s="430">
        <v>0.88639999999999997</v>
      </c>
      <c r="P35" s="430">
        <v>0.66209999999999991</v>
      </c>
      <c r="Q35" s="430">
        <v>0.77489999999999992</v>
      </c>
      <c r="R35" s="430">
        <v>1.258</v>
      </c>
      <c r="S35" s="430">
        <v>0.37579999999999997</v>
      </c>
      <c r="T35" s="430">
        <v>0.98109999999999975</v>
      </c>
      <c r="U35" s="430">
        <v>0.22970000000000002</v>
      </c>
      <c r="V35" s="430">
        <v>0.22969999999999999</v>
      </c>
      <c r="W35" s="430">
        <v>1.123</v>
      </c>
      <c r="X35" s="430">
        <v>1</v>
      </c>
    </row>
    <row r="36" spans="1:25" ht="18">
      <c r="A36" s="171" t="s">
        <v>1044</v>
      </c>
      <c r="B36" s="430">
        <v>0</v>
      </c>
      <c r="C36" s="430">
        <v>0</v>
      </c>
      <c r="D36" s="430">
        <v>0</v>
      </c>
      <c r="E36" s="430">
        <v>0</v>
      </c>
      <c r="F36" s="430">
        <v>0</v>
      </c>
      <c r="G36" s="430">
        <v>0</v>
      </c>
      <c r="H36" s="430">
        <v>2.5000000000000001E-2</v>
      </c>
      <c r="I36" s="430">
        <v>6.4200000000000007E-2</v>
      </c>
      <c r="J36" s="430">
        <v>1.9000000000000002E-3</v>
      </c>
      <c r="K36" s="430">
        <v>5.1999999999999998E-3</v>
      </c>
      <c r="L36" s="430">
        <v>2.3E-3</v>
      </c>
      <c r="M36" s="430">
        <v>0</v>
      </c>
      <c r="N36" s="430">
        <v>1.8100000000000002E-2</v>
      </c>
      <c r="O36" s="430">
        <v>6.4999999999999997E-3</v>
      </c>
      <c r="P36" s="430">
        <v>1.9199999999999998E-2</v>
      </c>
      <c r="Q36" s="430">
        <v>2.9299999999999996E-2</v>
      </c>
      <c r="R36" s="430">
        <v>3.85E-2</v>
      </c>
      <c r="S36" s="430">
        <v>0.109</v>
      </c>
      <c r="T36" s="430">
        <v>0.19370000000000004</v>
      </c>
      <c r="U36" s="430">
        <v>0.1082</v>
      </c>
      <c r="V36" s="430">
        <v>0.1082</v>
      </c>
      <c r="W36" s="430">
        <v>0.22319999999999998</v>
      </c>
      <c r="X36" s="430">
        <v>0.15</v>
      </c>
    </row>
    <row r="37" spans="1:25" ht="18">
      <c r="A37" s="426" t="s">
        <v>1051</v>
      </c>
      <c r="B37" s="326">
        <f t="shared" ref="B37:X37" si="7">SUM(B35:B36)</f>
        <v>0</v>
      </c>
      <c r="C37" s="326">
        <f t="shared" si="7"/>
        <v>0</v>
      </c>
      <c r="D37" s="326">
        <f t="shared" si="7"/>
        <v>0</v>
      </c>
      <c r="E37" s="326">
        <f t="shared" si="7"/>
        <v>0</v>
      </c>
      <c r="F37" s="326">
        <f t="shared" si="7"/>
        <v>0</v>
      </c>
      <c r="G37" s="326">
        <f t="shared" si="7"/>
        <v>4.9000000000000007E-3</v>
      </c>
      <c r="H37" s="326">
        <f t="shared" si="7"/>
        <v>0.19669999999999999</v>
      </c>
      <c r="I37" s="326">
        <f t="shared" si="7"/>
        <v>1.4307999999999998</v>
      </c>
      <c r="J37" s="326">
        <f t="shared" si="7"/>
        <v>0.40989999999999999</v>
      </c>
      <c r="K37" s="326">
        <f t="shared" si="7"/>
        <v>0.21729999999999999</v>
      </c>
      <c r="L37" s="326">
        <f t="shared" si="7"/>
        <v>7.3600000000000013E-2</v>
      </c>
      <c r="M37" s="326">
        <f t="shared" si="7"/>
        <v>2.2499999999999999E-2</v>
      </c>
      <c r="N37" s="326">
        <f t="shared" si="7"/>
        <v>0.22350000000000003</v>
      </c>
      <c r="O37" s="505">
        <f t="shared" si="7"/>
        <v>0.89289999999999992</v>
      </c>
      <c r="P37" s="326">
        <f t="shared" si="7"/>
        <v>0.68129999999999991</v>
      </c>
      <c r="Q37" s="326">
        <f t="shared" si="7"/>
        <v>0.80419999999999991</v>
      </c>
      <c r="R37" s="326">
        <f t="shared" si="7"/>
        <v>1.2965</v>
      </c>
      <c r="S37" s="505">
        <f t="shared" si="7"/>
        <v>0.48479999999999995</v>
      </c>
      <c r="T37" s="326">
        <f t="shared" si="7"/>
        <v>1.1747999999999998</v>
      </c>
      <c r="U37" s="326">
        <f t="shared" si="7"/>
        <v>0.33790000000000003</v>
      </c>
      <c r="V37" s="326">
        <f t="shared" si="7"/>
        <v>0.33789999999999998</v>
      </c>
      <c r="W37" s="505">
        <f t="shared" si="7"/>
        <v>1.3462000000000001</v>
      </c>
      <c r="X37" s="326">
        <f t="shared" si="7"/>
        <v>1.1499999999999999</v>
      </c>
    </row>
    <row r="38" spans="1:25" thickBot="1">
      <c r="A38" s="434" t="s">
        <v>1052</v>
      </c>
      <c r="B38" s="335">
        <f t="shared" ref="B38:X38" si="8">B37+B33</f>
        <v>2.2051000000000007</v>
      </c>
      <c r="C38" s="335">
        <f t="shared" si="8"/>
        <v>6.3893000000000022</v>
      </c>
      <c r="D38" s="335">
        <f t="shared" si="8"/>
        <v>5.3646999999999982</v>
      </c>
      <c r="E38" s="335">
        <f t="shared" si="8"/>
        <v>6.3800999999999997</v>
      </c>
      <c r="F38" s="335">
        <f t="shared" si="8"/>
        <v>5.6095999999999995</v>
      </c>
      <c r="G38" s="335">
        <f t="shared" si="8"/>
        <v>4.2001999999999979</v>
      </c>
      <c r="H38" s="335">
        <f t="shared" si="8"/>
        <v>5.2665000000000006</v>
      </c>
      <c r="I38" s="335">
        <f t="shared" si="8"/>
        <v>11.815199999999999</v>
      </c>
      <c r="J38" s="335">
        <f t="shared" si="8"/>
        <v>19.733402000000005</v>
      </c>
      <c r="K38" s="335">
        <f t="shared" si="8"/>
        <v>24.695054000000003</v>
      </c>
      <c r="L38" s="335">
        <f t="shared" si="8"/>
        <v>15.343356999999999</v>
      </c>
      <c r="M38" s="335">
        <f t="shared" si="8"/>
        <v>14.443869000000003</v>
      </c>
      <c r="N38" s="335">
        <f t="shared" si="8"/>
        <v>22.24909000000001</v>
      </c>
      <c r="O38" s="335">
        <f t="shared" si="8"/>
        <v>23.409358000000001</v>
      </c>
      <c r="P38" s="335">
        <f t="shared" si="8"/>
        <v>25.086339000000002</v>
      </c>
      <c r="Q38" s="335">
        <f t="shared" si="8"/>
        <v>27.160924000000016</v>
      </c>
      <c r="R38" s="335">
        <f t="shared" si="8"/>
        <v>29.487552999999998</v>
      </c>
      <c r="S38" s="335">
        <f t="shared" si="8"/>
        <v>25.616330999999995</v>
      </c>
      <c r="T38" s="335">
        <f t="shared" si="8"/>
        <v>26.929330999999994</v>
      </c>
      <c r="U38" s="335">
        <f t="shared" si="8"/>
        <v>35.844685000000005</v>
      </c>
      <c r="V38" s="335">
        <f t="shared" si="8"/>
        <v>33.90628199999999</v>
      </c>
      <c r="W38" s="335">
        <f t="shared" si="8"/>
        <v>34.434144000000003</v>
      </c>
      <c r="X38" s="335">
        <f t="shared" si="8"/>
        <v>35.59857456666667</v>
      </c>
    </row>
    <row r="39" spans="1:25" thickTop="1">
      <c r="A39" s="435"/>
      <c r="B39" s="258"/>
      <c r="C39" s="258"/>
      <c r="D39" s="258"/>
      <c r="E39" s="258"/>
      <c r="F39" s="258"/>
      <c r="G39" s="258"/>
      <c r="H39" s="258"/>
      <c r="I39" s="258"/>
      <c r="J39" s="258"/>
      <c r="K39" s="258"/>
      <c r="L39" s="258"/>
      <c r="M39" s="258"/>
      <c r="N39" s="258"/>
      <c r="O39" s="258"/>
      <c r="P39" s="258"/>
      <c r="Q39" s="258"/>
      <c r="R39" s="258"/>
      <c r="S39" s="258"/>
      <c r="T39" s="258"/>
      <c r="U39" s="258"/>
      <c r="V39" s="258"/>
      <c r="W39" s="258"/>
      <c r="X39" s="258"/>
    </row>
    <row r="40" spans="1:25">
      <c r="A40" s="436" t="s">
        <v>1053</v>
      </c>
      <c r="B40" s="437">
        <f t="shared" ref="B40:W40" si="9">SUM(B41:B43)</f>
        <v>2.9558</v>
      </c>
      <c r="C40" s="437">
        <f t="shared" si="9"/>
        <v>2.5261999999999998</v>
      </c>
      <c r="D40" s="437">
        <f t="shared" si="9"/>
        <v>2.5680999999999998</v>
      </c>
      <c r="E40" s="437">
        <f t="shared" si="9"/>
        <v>2.3525999999999998</v>
      </c>
      <c r="F40" s="437">
        <f t="shared" si="9"/>
        <v>0.97539999999999993</v>
      </c>
      <c r="G40" s="437">
        <f t="shared" si="9"/>
        <v>1.7034</v>
      </c>
      <c r="H40" s="437">
        <f t="shared" si="9"/>
        <v>0.81659999999999999</v>
      </c>
      <c r="I40" s="437">
        <f t="shared" si="9"/>
        <v>2.6781000000000001</v>
      </c>
      <c r="J40" s="437">
        <f t="shared" si="9"/>
        <v>2.4437980000000001</v>
      </c>
      <c r="K40" s="437">
        <f t="shared" si="9"/>
        <v>5.0742060000000002</v>
      </c>
      <c r="L40" s="437">
        <f t="shared" si="9"/>
        <v>2.7554040000000004</v>
      </c>
      <c r="M40" s="437">
        <f t="shared" si="9"/>
        <v>3.2154530000000001</v>
      </c>
      <c r="N40" s="437">
        <f t="shared" si="9"/>
        <v>4.5574949999999994</v>
      </c>
      <c r="O40" s="437">
        <f t="shared" si="9"/>
        <v>7.1402319999999992</v>
      </c>
      <c r="P40" s="437">
        <f t="shared" si="9"/>
        <v>8.8033399999999986</v>
      </c>
      <c r="Q40" s="437">
        <f t="shared" si="9"/>
        <v>22.085349999999998</v>
      </c>
      <c r="R40" s="437">
        <f t="shared" si="9"/>
        <v>17.225090999999999</v>
      </c>
      <c r="S40" s="437">
        <f t="shared" si="9"/>
        <v>8.2004780000000004</v>
      </c>
      <c r="T40" s="437">
        <f t="shared" si="9"/>
        <v>8.8172120000000014</v>
      </c>
      <c r="U40" s="437">
        <f t="shared" si="9"/>
        <v>10.952557000000002</v>
      </c>
      <c r="V40" s="437">
        <f t="shared" si="9"/>
        <v>15.267031000000001</v>
      </c>
      <c r="W40" s="437">
        <f t="shared" si="9"/>
        <v>21.407108000000001</v>
      </c>
      <c r="X40" s="437">
        <f>X24-X38</f>
        <v>35.808533433333324</v>
      </c>
    </row>
    <row r="41" spans="1:25" ht="18">
      <c r="A41" s="271" t="s">
        <v>1054</v>
      </c>
      <c r="B41" s="438">
        <v>2.9558</v>
      </c>
      <c r="C41" s="438">
        <v>2.5261999999999998</v>
      </c>
      <c r="D41" s="438">
        <v>2.5680999999999998</v>
      </c>
      <c r="E41" s="438">
        <v>2.3525999999999998</v>
      </c>
      <c r="F41" s="438">
        <v>0.97539999999999993</v>
      </c>
      <c r="G41" s="438">
        <v>1.7034</v>
      </c>
      <c r="H41" s="438">
        <v>0.81659999999999999</v>
      </c>
      <c r="I41" s="438">
        <v>2.1074999999999999</v>
      </c>
      <c r="J41" s="438">
        <v>1.6825000000000001</v>
      </c>
      <c r="K41" s="438">
        <v>4.0842999999999998</v>
      </c>
      <c r="L41" s="438">
        <v>2.1865000000000001</v>
      </c>
      <c r="M41" s="438">
        <v>1.8192999999999999</v>
      </c>
      <c r="N41" s="490">
        <v>3.3209</v>
      </c>
      <c r="O41" s="490">
        <v>6.0173999999999994</v>
      </c>
      <c r="P41" s="438">
        <v>7.7471999999999994</v>
      </c>
      <c r="Q41" s="438">
        <v>20.614699999999999</v>
      </c>
      <c r="R41" s="490">
        <v>16.119799999999998</v>
      </c>
      <c r="S41" s="490">
        <v>7.0183</v>
      </c>
      <c r="T41" s="438">
        <v>7.8458000000000006</v>
      </c>
      <c r="U41" s="438">
        <v>9.2771000000000008</v>
      </c>
      <c r="V41" s="490">
        <v>12.622200000000001</v>
      </c>
      <c r="W41" s="490">
        <v>19.4175</v>
      </c>
      <c r="X41" s="438"/>
    </row>
    <row r="42" spans="1:25" ht="18">
      <c r="A42" s="271" t="s">
        <v>1055</v>
      </c>
      <c r="B42" s="449"/>
      <c r="C42" s="449"/>
      <c r="D42" s="449"/>
      <c r="E42" s="449"/>
      <c r="F42" s="449"/>
      <c r="G42" s="449"/>
      <c r="H42" s="449"/>
      <c r="I42" s="438">
        <v>1.9400000000000001E-2</v>
      </c>
      <c r="J42" s="438">
        <v>2.12E-2</v>
      </c>
      <c r="K42" s="438">
        <v>2.1600000000000001E-2</v>
      </c>
      <c r="L42" s="438">
        <v>2.1420000000000002E-2</v>
      </c>
      <c r="M42" s="438">
        <v>1.2279999999999999E-2</v>
      </c>
      <c r="N42" s="438">
        <v>0.10199999999999999</v>
      </c>
      <c r="O42" s="438">
        <v>0</v>
      </c>
      <c r="P42" s="438">
        <v>1.54E-2</v>
      </c>
      <c r="Q42" s="438">
        <v>0</v>
      </c>
      <c r="R42" s="438">
        <v>3.3599999999999997E-3</v>
      </c>
      <c r="S42" s="438">
        <v>3.3599999999999997E-3</v>
      </c>
      <c r="T42" s="438">
        <v>3.49E-3</v>
      </c>
      <c r="U42" s="438">
        <v>5.0000000000000001E-4</v>
      </c>
      <c r="V42" s="438">
        <v>0</v>
      </c>
      <c r="W42" s="438">
        <v>0</v>
      </c>
      <c r="X42" s="438"/>
    </row>
    <row r="43" spans="1:25" ht="18">
      <c r="A43" s="271" t="s">
        <v>1104</v>
      </c>
      <c r="B43" s="449"/>
      <c r="C43" s="449"/>
      <c r="D43" s="449"/>
      <c r="E43" s="449"/>
      <c r="F43" s="449"/>
      <c r="G43" s="449"/>
      <c r="H43" s="449"/>
      <c r="I43" s="438">
        <v>0.55120000000000002</v>
      </c>
      <c r="J43" s="438">
        <v>0.74009800000000014</v>
      </c>
      <c r="K43" s="438">
        <v>0.96830599999999989</v>
      </c>
      <c r="L43" s="438">
        <v>0.54748400000000008</v>
      </c>
      <c r="M43" s="438">
        <v>1.3838729999999999</v>
      </c>
      <c r="N43" s="490">
        <v>1.134595</v>
      </c>
      <c r="O43" s="490">
        <v>1.1228320000000003</v>
      </c>
      <c r="P43" s="438">
        <v>1.0407399999999998</v>
      </c>
      <c r="Q43" s="438">
        <v>1.4706499999999998</v>
      </c>
      <c r="R43" s="490">
        <v>1.1019310000000002</v>
      </c>
      <c r="S43" s="490">
        <v>1.1788180000000004</v>
      </c>
      <c r="T43" s="438">
        <v>0.96792200000000006</v>
      </c>
      <c r="U43" s="438">
        <v>1.674957</v>
      </c>
      <c r="V43" s="490">
        <v>2.6448309999999999</v>
      </c>
      <c r="W43" s="490">
        <v>1.989608</v>
      </c>
      <c r="X43" s="438"/>
    </row>
    <row r="44" spans="1:25">
      <c r="R44" s="450"/>
      <c r="S44" s="450"/>
      <c r="T44" s="450"/>
      <c r="U44" s="450"/>
      <c r="V44" s="450"/>
      <c r="W44" s="450"/>
      <c r="X44" s="442"/>
    </row>
    <row r="46" spans="1:25">
      <c r="S46" s="443"/>
    </row>
    <row r="47" spans="1:25">
      <c r="D47" s="277"/>
      <c r="M47" s="277"/>
    </row>
  </sheetData>
  <mergeCells count="2">
    <mergeCell ref="B1:W1"/>
    <mergeCell ref="B15:W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ADA16-6E88-4C4E-A569-FBCA21ADB133}">
  <sheetPr>
    <tabColor rgb="FFD7D200"/>
  </sheetPr>
  <dimension ref="A1:E70"/>
  <sheetViews>
    <sheetView topLeftCell="A48" workbookViewId="0">
      <selection activeCell="B11" sqref="B11"/>
    </sheetView>
  </sheetViews>
  <sheetFormatPr baseColWidth="10" defaultColWidth="11.44140625" defaultRowHeight="14.4"/>
  <cols>
    <col min="1" max="1" width="36.33203125" style="648" bestFit="1" customWidth="1"/>
    <col min="2" max="2" width="11.44140625" style="656"/>
    <col min="3" max="16384" width="11.44140625" style="648"/>
  </cols>
  <sheetData>
    <row r="1" spans="1:5" ht="23.4">
      <c r="A1" s="655" t="s">
        <v>1832</v>
      </c>
    </row>
    <row r="2" spans="1:5">
      <c r="B2" s="657" t="s">
        <v>1833</v>
      </c>
    </row>
    <row r="3" spans="1:5">
      <c r="A3" s="658" t="s">
        <v>1834</v>
      </c>
    </row>
    <row r="4" spans="1:5">
      <c r="A4" s="659" t="s">
        <v>1822</v>
      </c>
      <c r="B4" s="660"/>
      <c r="E4" s="654"/>
    </row>
    <row r="5" spans="1:5">
      <c r="A5" s="659" t="s">
        <v>1832</v>
      </c>
    </row>
    <row r="6" spans="1:5">
      <c r="A6" s="659" t="s">
        <v>1835</v>
      </c>
    </row>
    <row r="7" spans="1:5">
      <c r="A7" s="661"/>
    </row>
    <row r="8" spans="1:5">
      <c r="A8" s="658" t="s">
        <v>1836</v>
      </c>
    </row>
    <row r="9" spans="1:5">
      <c r="A9" s="659" t="s">
        <v>1837</v>
      </c>
      <c r="B9" s="656" t="s">
        <v>1838</v>
      </c>
    </row>
    <row r="10" spans="1:5">
      <c r="A10" s="659" t="s">
        <v>1839</v>
      </c>
      <c r="B10" s="656" t="str">
        <f>Produits!B1</f>
        <v>Liste des produits</v>
      </c>
      <c r="D10" s="659"/>
    </row>
    <row r="11" spans="1:5">
      <c r="A11" s="659" t="s">
        <v>1840</v>
      </c>
      <c r="B11" s="656" t="str">
        <f>Secteurs!B1</f>
        <v>Liste des secteurs</v>
      </c>
    </row>
    <row r="12" spans="1:5">
      <c r="A12" s="662" t="s">
        <v>1905</v>
      </c>
      <c r="B12" s="656" t="s">
        <v>1978</v>
      </c>
    </row>
    <row r="13" spans="1:5">
      <c r="A13" s="662" t="s">
        <v>1980</v>
      </c>
    </row>
    <row r="14" spans="1:5">
      <c r="A14" s="659" t="s">
        <v>150</v>
      </c>
    </row>
    <row r="15" spans="1:5">
      <c r="A15" s="659" t="s">
        <v>1841</v>
      </c>
    </row>
    <row r="16" spans="1:5" s="656" customFormat="1">
      <c r="A16" s="659" t="s">
        <v>1846</v>
      </c>
      <c r="C16" s="648"/>
      <c r="D16" s="648"/>
      <c r="E16" s="648"/>
    </row>
    <row r="17" spans="1:5" s="656" customFormat="1">
      <c r="A17" s="659" t="s">
        <v>1847</v>
      </c>
      <c r="C17" s="648"/>
      <c r="D17" s="648"/>
      <c r="E17" s="648"/>
    </row>
    <row r="18" spans="1:5" s="656" customFormat="1">
      <c r="A18" s="659" t="s">
        <v>1848</v>
      </c>
      <c r="C18" s="648"/>
      <c r="D18" s="648"/>
      <c r="E18" s="648"/>
    </row>
    <row r="19" spans="1:5">
      <c r="A19" s="659" t="s">
        <v>1842</v>
      </c>
    </row>
    <row r="20" spans="1:5">
      <c r="A20" s="659" t="s">
        <v>1843</v>
      </c>
    </row>
    <row r="21" spans="1:5" s="656" customFormat="1">
      <c r="A21" s="663" t="s">
        <v>1851</v>
      </c>
      <c r="C21" s="648"/>
      <c r="D21" s="648"/>
      <c r="E21" s="648"/>
    </row>
    <row r="22" spans="1:5" s="656" customFormat="1">
      <c r="A22" s="659" t="s">
        <v>1852</v>
      </c>
      <c r="C22" s="648"/>
      <c r="D22" s="648"/>
      <c r="E22" s="648"/>
    </row>
    <row r="23" spans="1:5" s="656" customFormat="1">
      <c r="A23" s="662" t="s">
        <v>1854</v>
      </c>
      <c r="C23" s="648"/>
      <c r="D23" s="648"/>
      <c r="E23" s="648"/>
    </row>
    <row r="24" spans="1:5" s="656" customFormat="1">
      <c r="A24" s="662" t="s">
        <v>1855</v>
      </c>
      <c r="C24" s="648"/>
      <c r="D24" s="648"/>
      <c r="E24" s="648"/>
    </row>
    <row r="25" spans="1:5">
      <c r="A25" s="662" t="s">
        <v>1856</v>
      </c>
    </row>
    <row r="26" spans="1:5">
      <c r="A26" s="662" t="s">
        <v>1857</v>
      </c>
    </row>
    <row r="27" spans="1:5">
      <c r="A27" s="662" t="s">
        <v>1858</v>
      </c>
    </row>
    <row r="28" spans="1:5">
      <c r="A28" s="662" t="s">
        <v>1859</v>
      </c>
    </row>
    <row r="29" spans="1:5" s="656" customFormat="1">
      <c r="A29" s="659" t="s">
        <v>1844</v>
      </c>
      <c r="C29" s="648"/>
      <c r="D29" s="648"/>
      <c r="E29" s="648"/>
    </row>
    <row r="30" spans="1:5" s="656" customFormat="1">
      <c r="A30" s="662" t="s">
        <v>1981</v>
      </c>
      <c r="C30" s="648"/>
      <c r="D30" s="648"/>
      <c r="E30" s="648"/>
    </row>
    <row r="31" spans="1:5" s="656" customFormat="1">
      <c r="A31" s="662" t="s">
        <v>1982</v>
      </c>
      <c r="C31" s="648"/>
      <c r="D31" s="648"/>
      <c r="E31" s="648"/>
    </row>
    <row r="32" spans="1:5" s="656" customFormat="1">
      <c r="A32" s="659" t="s">
        <v>1845</v>
      </c>
      <c r="C32" s="648"/>
      <c r="D32" s="648"/>
      <c r="E32" s="648"/>
    </row>
    <row r="33" spans="1:5" s="656" customFormat="1">
      <c r="A33" s="659" t="s">
        <v>1849</v>
      </c>
      <c r="C33" s="648"/>
      <c r="D33" s="648"/>
      <c r="E33" s="648"/>
    </row>
    <row r="34" spans="1:5" s="656" customFormat="1">
      <c r="A34" s="659" t="s">
        <v>1850</v>
      </c>
      <c r="C34" s="648"/>
      <c r="D34" s="648"/>
      <c r="E34" s="648"/>
    </row>
    <row r="35" spans="1:5" s="656" customFormat="1">
      <c r="A35" s="662" t="s">
        <v>1979</v>
      </c>
      <c r="C35" s="648"/>
      <c r="D35" s="648"/>
      <c r="E35" s="648"/>
    </row>
    <row r="36" spans="1:5" s="656" customFormat="1">
      <c r="A36" s="663" t="s">
        <v>1853</v>
      </c>
      <c r="C36" s="648"/>
      <c r="D36" s="648"/>
      <c r="E36" s="648"/>
    </row>
    <row r="37" spans="1:5" s="656" customFormat="1">
      <c r="A37" s="662"/>
      <c r="C37" s="648"/>
      <c r="D37" s="648"/>
      <c r="E37" s="648"/>
    </row>
    <row r="38" spans="1:5">
      <c r="A38" s="658" t="s">
        <v>1983</v>
      </c>
    </row>
    <row r="39" spans="1:5">
      <c r="A39" s="662" t="s">
        <v>1984</v>
      </c>
      <c r="B39" s="664" t="str">
        <f>'Bilans Blé tendre - FAM'!B1</f>
        <v>Blé tendre - Campagne du 1er juillet au 30 juin</v>
      </c>
    </row>
    <row r="40" spans="1:5">
      <c r="A40" s="662" t="s">
        <v>1985</v>
      </c>
      <c r="B40" s="664" t="str">
        <f>'Bilans Maïs - FAM'!B1</f>
        <v>Maïs grain - Campagne du 1er juillet au 30 juin</v>
      </c>
    </row>
    <row r="41" spans="1:5">
      <c r="A41" s="662" t="s">
        <v>1986</v>
      </c>
      <c r="B41" s="664" t="str">
        <f>'Bilans Orge - FAM'!B1</f>
        <v>Orges - Campagne du 1er juillet au 30 juin</v>
      </c>
    </row>
    <row r="42" spans="1:5">
      <c r="A42" s="662" t="s">
        <v>1987</v>
      </c>
      <c r="B42" s="664" t="str">
        <f>'Bilans Blé dur - FAM'!B1</f>
        <v>Blé dur - Campagne du 1er juillet au 30 juin</v>
      </c>
    </row>
    <row r="43" spans="1:5">
      <c r="A43" s="662" t="s">
        <v>1988</v>
      </c>
      <c r="B43" s="664" t="str">
        <f>'Bilans Triticale - FAM'!B1</f>
        <v>Triticale - Campagne du 1er juillet au 30 juin</v>
      </c>
    </row>
    <row r="44" spans="1:5">
      <c r="A44" s="662" t="s">
        <v>1989</v>
      </c>
      <c r="B44" s="664" t="str">
        <f>'Bilans Sorgho - FAM'!B1</f>
        <v>Sorgho - Campagne du 1er juillet au 30 juin</v>
      </c>
    </row>
    <row r="45" spans="1:5">
      <c r="A45" s="662" t="s">
        <v>1990</v>
      </c>
      <c r="B45" s="656" t="str">
        <f>'Bilans Avoine - FAM'!B1</f>
        <v>Avoine - Campagne du 1er juillet au 30 juin</v>
      </c>
    </row>
    <row r="46" spans="1:5">
      <c r="A46" s="662" t="s">
        <v>1991</v>
      </c>
      <c r="B46" s="656" t="str">
        <f>'Bilans Seigle - FAM'!B1</f>
        <v>Seigle - Campagne du 1er juillet au 30 juin</v>
      </c>
    </row>
    <row r="47" spans="1:5">
      <c r="A47" s="662" t="s">
        <v>1992</v>
      </c>
      <c r="B47" s="656" t="str">
        <f>'Bilans Sarrasin - FAM'!B1</f>
        <v>Sarrasin - Campagne du 1er juillet au 30 juin</v>
      </c>
    </row>
    <row r="48" spans="1:5">
      <c r="A48" s="662" t="s">
        <v>1993</v>
      </c>
      <c r="B48" s="656" t="str">
        <f>'Epeautre et Millet - Ceresco'!A9</f>
        <v>Source : Monographie des céréales secondaires, Septembre 2024, Ceresco pour Intercéréales</v>
      </c>
    </row>
    <row r="49" spans="1:5">
      <c r="A49" s="662" t="s">
        <v>1994</v>
      </c>
      <c r="B49" s="656" t="str">
        <f>'Issues céréales - ONRB'!B2</f>
        <v>Ratios d'issues des céréales (hors maïs et riz) et ventilation de leurs débouchés</v>
      </c>
    </row>
    <row r="50" spans="1:5">
      <c r="A50" s="662" t="s">
        <v>1995</v>
      </c>
      <c r="B50" s="656" t="str">
        <f>'Issues maïs - ONRB'!B2</f>
        <v>Ratios d'issues de maïs et ventilation de leurs débouchés</v>
      </c>
    </row>
    <row r="51" spans="1:5">
      <c r="A51" s="662" t="s">
        <v>1996</v>
      </c>
      <c r="B51" s="656" t="str">
        <f>'Issues riz - ONRB'!B2</f>
        <v>Ratios d'issues de riz et ventilation de leurs débouchés</v>
      </c>
    </row>
    <row r="52" spans="1:5">
      <c r="A52" s="662" t="s">
        <v>1154</v>
      </c>
      <c r="B52" s="656" t="str">
        <f>'Pertes à la ferme'!B6</f>
        <v>Pertes à la ferme</v>
      </c>
    </row>
    <row r="53" spans="1:5">
      <c r="A53" s="662" t="s">
        <v>1860</v>
      </c>
      <c r="B53" s="656" t="str">
        <f>'Semences fermières - AGRESTE'!B2</f>
        <v>Part de surface utilisant des semences certifiées, fermières ou les 2</v>
      </c>
    </row>
    <row r="54" spans="1:5">
      <c r="A54" s="662" t="s">
        <v>1997</v>
      </c>
      <c r="B54" s="656" t="str">
        <f>'Fabrication de farine - FAM'!A1</f>
        <v>Historique mensuel de l'activité nationale des meuniers et des négociants de farine à fin janvier 2025</v>
      </c>
    </row>
    <row r="55" spans="1:5">
      <c r="A55" s="662" t="s">
        <v>1998</v>
      </c>
      <c r="B55" s="656" t="str">
        <f>'Débouchés farine de blé - FAM'!A1</f>
        <v>Historique de l'activité nationale des meuniers et des négociants de farine en blé tendre par campagne à fin janvier 2025</v>
      </c>
    </row>
    <row r="56" spans="1:5">
      <c r="A56" s="662" t="s">
        <v>1999</v>
      </c>
      <c r="B56" s="656" t="str">
        <f>'Coproduits meunerie - Réséda'!B2</f>
        <v>Ventilation des issues de meunerie</v>
      </c>
    </row>
    <row r="57" spans="1:5">
      <c r="A57" s="662" t="s">
        <v>2000</v>
      </c>
      <c r="B57" s="656" t="str">
        <f>'Coproduits meunerie - ONRB'!B2</f>
        <v>Meunerie (hors blé tendre) : mises en œuvre, rendement et ventilation des débouchés des issues</v>
      </c>
    </row>
    <row r="58" spans="1:5">
      <c r="A58" s="662" t="s">
        <v>2001</v>
      </c>
    </row>
    <row r="59" spans="1:5">
      <c r="A59" s="662" t="s">
        <v>2002</v>
      </c>
    </row>
    <row r="60" spans="1:5">
      <c r="A60" s="662" t="s">
        <v>2003</v>
      </c>
      <c r="B60" s="656" t="str">
        <f>'Semoulerie blé dur - CFSI'!B2</f>
        <v>CFSI, Chiffres clés</v>
      </c>
    </row>
    <row r="61" spans="1:5">
      <c r="A61" s="662" t="s">
        <v>2004</v>
      </c>
    </row>
    <row r="62" spans="1:5">
      <c r="A62" s="662" t="s">
        <v>2005</v>
      </c>
      <c r="B62" s="656" t="str">
        <f>'Indus. pâtes - SIFPAF'!B2</f>
        <v>SIFPAF, Chiffres clés</v>
      </c>
    </row>
    <row r="63" spans="1:5" s="656" customFormat="1">
      <c r="A63" s="662" t="s">
        <v>2006</v>
      </c>
      <c r="C63" s="648"/>
      <c r="D63" s="648"/>
      <c r="E63" s="648"/>
    </row>
    <row r="64" spans="1:5">
      <c r="A64" s="662" t="s">
        <v>2007</v>
      </c>
      <c r="B64" s="656" t="str">
        <f>'Distillerie - Agreste'!B2</f>
        <v>Distillerie : rendement</v>
      </c>
    </row>
    <row r="65" spans="1:2">
      <c r="A65" s="662" t="s">
        <v>2008</v>
      </c>
      <c r="B65" s="656" t="str">
        <f>'Malterie - ONRB'!B2</f>
        <v>Malterie : mises en œuvre, rendement et ventilation des débouchés des co-produits</v>
      </c>
    </row>
    <row r="66" spans="1:2">
      <c r="A66" s="662" t="s">
        <v>2009</v>
      </c>
      <c r="B66" s="656" t="str">
        <f>'Brasserie - Diverses'!B2</f>
        <v>Brasserie : production des co-produits et leurs débouchés</v>
      </c>
    </row>
    <row r="67" spans="1:2">
      <c r="A67" s="662" t="s">
        <v>2010</v>
      </c>
    </row>
    <row r="68" spans="1:2">
      <c r="A68" s="662" t="s">
        <v>1862</v>
      </c>
      <c r="B68" s="656" t="str">
        <f>'Comext mensuel - EUROSTAT'!B2</f>
        <v>Commerce UE depuis 1988 par SH2,4,6 et NC8 [ds-045409__custom_16079663]</v>
      </c>
    </row>
    <row r="69" spans="1:2">
      <c r="A69" s="662" t="s">
        <v>1861</v>
      </c>
      <c r="B69" s="656" t="str">
        <f>'Comext mensuel - EUROSTAT'!B2</f>
        <v>Commerce UE depuis 1988 par SH2,4,6 et NC8 [ds-045409__custom_16079663]</v>
      </c>
    </row>
    <row r="70" spans="1:2">
      <c r="A70" s="662" t="s">
        <v>2011</v>
      </c>
      <c r="B70" s="656" t="str">
        <f>'Riz - Diverses'!B2</f>
        <v>Usinage du riz : rendement, qualification des co-produits et leurs débouchés</v>
      </c>
    </row>
  </sheetData>
  <hyperlinks>
    <hyperlink ref="A4" location="'Informations générales'!A1" display="Informations générales" xr:uid="{EED6F9A9-128B-4003-AF9B-9D2284D53A12}"/>
    <hyperlink ref="A5" location="SOMMAIRE!A1" display="SOMMAIRE" xr:uid="{03F747AC-D09C-4644-9541-1DD08EB9CF79}"/>
    <hyperlink ref="A6" location="'Lecture du fichier'!A1" display="Lecture du fichier" xr:uid="{4250D07B-1173-4F2A-BC01-F2B1845DDC7C}"/>
    <hyperlink ref="A9" location="Etiquettes!A1" display="Etiquettes" xr:uid="{09B9B547-0E4C-4F42-97B0-4175BFDBD6A0}"/>
    <hyperlink ref="A10" location="Produits!A1" display="Produits" xr:uid="{34978779-8FCF-41F8-92D6-F4CD644DF393}"/>
    <hyperlink ref="A11" location="Secteurs!A1" display="Secteurs" xr:uid="{95B77242-34E1-46A5-AC37-B6F39F2B44DB}"/>
    <hyperlink ref="A14" location="Données!A1" display="Données" xr:uid="{1E5177AF-7D6C-4755-B8B3-AD9102D452C2}"/>
    <hyperlink ref="A15" location="'Données '!A1" display="Données " xr:uid="{11E31507-783C-4846-98A3-0C361CFC6EDD}"/>
    <hyperlink ref="A19" location="'Données  '!A1" display="Données  " xr:uid="{9E1371C8-693D-4248-95BB-4E907E70F20C}"/>
    <hyperlink ref="A20" location="'Données   '!A1" display="Données   " xr:uid="{33C33569-CD8C-4D04-9317-F91A0E749E27}"/>
    <hyperlink ref="A29" location="'Données    '!A1" display="Données    " xr:uid="{2A92BEC8-05E2-4060-B87A-C5855B9E75B7}"/>
    <hyperlink ref="A16" location="Contraintes!A1" display="Contraintes" xr:uid="{02840029-65A4-4515-BE52-172071BECC7A}"/>
    <hyperlink ref="A17" location="'Contraintes '!A1" display="Contraintes       " xr:uid="{00554EC2-453A-4EC9-B947-970818E173CD}"/>
    <hyperlink ref="A32" location="'Données     '!A1" display="Données     " xr:uid="{4CB99A9D-D8A8-4294-B24E-6A7A717DF382}"/>
    <hyperlink ref="A18" location="'Contraintes  '!A1" display="Contraintes  " xr:uid="{E16C0E29-E8C3-4420-AAF1-FE2CED5F48C2}"/>
    <hyperlink ref="A33" location="'Données      '!A1" display="Données      " xr:uid="{3C52584B-54D3-42AB-BD98-92650546B9EC}"/>
    <hyperlink ref="A21" location="'Contraintes   '!A1" display="Contraintes   " xr:uid="{522814B1-0B2D-493E-A8EC-6D7CF047A82E}"/>
    <hyperlink ref="A34" location="'Données        '!A1" display="Données        " xr:uid="{A5322D41-A9AC-4141-A6E1-2814D4CBA5D7}"/>
    <hyperlink ref="A22" location="'Contraintes    '!A1" display="Contraintes    " xr:uid="{035C63FF-D686-4899-824A-30A33E8D0A48}"/>
    <hyperlink ref="A36" location="'Données         '!A1" display="Données         " xr:uid="{A3DE4AA3-8AC6-4292-8F11-7566671E9C6E}"/>
    <hyperlink ref="A23" location="'Contraintes     '!A1" display="'Contraintes     '!A1" xr:uid="{D215CFB2-C2DC-42AA-84B1-DF586E0C0370}"/>
    <hyperlink ref="A24" location="'Contraintes      '!A1" display="'Contraintes      '!A1" xr:uid="{F6499B58-9651-4321-9B0B-9A65231598C4}"/>
    <hyperlink ref="A25" location="'Contraintes       '!A1" display="'Contraintes       '!A1" xr:uid="{63E1A884-C810-4239-876F-FA4370701205}"/>
    <hyperlink ref="A26" location="'Contraintes        '!A1" display="'Contraintes        '!A1" xr:uid="{8BCEC2E2-EDBC-42BD-9C79-E54CBB8D5B58}"/>
    <hyperlink ref="A27" location="'Contraintes         '!A1" display="'Contraintes         '!A1" xr:uid="{5FE866BA-3ECE-43F5-9C65-FED2EFC58941}"/>
    <hyperlink ref="A28" location="'Contraintes          '!A1" display="'Contraintes          '!A1" xr:uid="{1C434101-8849-4415-955E-5D34A29D3C8F}"/>
    <hyperlink ref="A12" location="'Structure des flux'!A1" display="'Structure des flux'!A1" xr:uid="{E2430310-7EF0-4C4B-8BE9-E68348684D9E}"/>
    <hyperlink ref="A13" location="' Données '!A1" display="' Données '!A1" xr:uid="{79732217-A589-4778-A85D-FA38B9DD69EC}"/>
    <hyperlink ref="A30" location="'Contraintes           '!A1" display="'Contraintes           '!A1" xr:uid="{FD4EBF5D-4746-48E5-BDE9-31DDD5A5CC1D}"/>
    <hyperlink ref="A31" location="'Contraintes            '!A1" display="'Contraintes            '!A1" xr:uid="{6C2240A6-EF53-45D9-A695-6C3F12218B47}"/>
    <hyperlink ref="A35" location="'Contraintes             '!A1" display="'Contraintes             '!A1" xr:uid="{20AF9C5A-EA86-43D6-B1D9-B52371070929}"/>
    <hyperlink ref="A39" location="'Bilans Blé tendre - FAM'!A1" display="'Bilans Blé tendre - FAM'!A1" xr:uid="{F8C69364-85C4-4E60-8CE5-36E4C07DBE72}"/>
    <hyperlink ref="A40" location="'Bilans Maïs - FAM'!A1" display="'Bilans Maïs - FAM'!A1" xr:uid="{F223C6D4-5AF4-4E0A-A464-25CA29BB5EA0}"/>
    <hyperlink ref="A41" location="'Bilans Orge - FAM'!A1" display="'Bilans Orge - FAM'!A1" xr:uid="{5AAC0C46-3DF1-48A8-AFF2-6937ABD2FE85}"/>
    <hyperlink ref="A42" location="'Bilans Blé dur - FAM'!A1" display="'Bilans Blé dur - FAM'!A1" xr:uid="{3F25E555-5189-46C4-8BFA-69FAE8354428}"/>
    <hyperlink ref="A43" location="'Bilans Triticale - FAM'!A1" display="'Bilans Triticale - FAM'!A1" xr:uid="{EBADDFA1-6E0D-4101-9BCC-DC9FF7943D6B}"/>
    <hyperlink ref="A44" location="'Bilans Sorgho - FAM'!A1" display="'Bilans Sorgho - FAM'!A1" xr:uid="{1EBAEA57-614A-4A23-89DC-E89D5FE53929}"/>
    <hyperlink ref="A45" location="'Bilans Avoine - FAM'!A1" display="'Bilans Avoine - FAM'!A1" xr:uid="{B389B2A9-BA93-48C8-B0AD-39B361A1A258}"/>
    <hyperlink ref="A46" location="'Bilans Seigle - FAM'!A1" display="'Bilans Seigle - FAM'!A1" xr:uid="{BA55D45C-0EED-4179-AE39-0802FAC9C6B3}"/>
    <hyperlink ref="A47" location="'Bilans Sarrasin - FAM'!A1" display="'Bilans Sarrasin - FAM'!A1" xr:uid="{EE08E5EE-2AFB-47E2-A741-EDA9A73F1EF6}"/>
    <hyperlink ref="A48" location="'Epeautre et Millet - Ceresco'!A1" display="'Epeautre et Millet - Ceresco'!A1" xr:uid="{B7D01BB3-0E29-4417-BEFB-49F6CBB5AA21}"/>
    <hyperlink ref="A49" location="'Issues céréales - ONRB'!A1" display="'Issues céréales - ONRB'!A1" xr:uid="{16E72917-76D0-4767-B88D-5CE9569F6915}"/>
    <hyperlink ref="A50" location="'Issues maïs - ONRB'!A1" display="'Issues maïs - ONRB'!A1" xr:uid="{6F0F6E43-1D0C-43B2-8BA9-0234191BEA74}"/>
    <hyperlink ref="A51" location="'Issues riz - ONRB'!A1" display="'Issues riz - ONRB'!A1" xr:uid="{9C270F21-AD24-46A3-ABDF-6D0B14F41025}"/>
    <hyperlink ref="A52" location="'Pertes à la ferme'!A1" display="'Pertes à la ferme'!A1" xr:uid="{345E3C15-EE08-4D3D-8A1A-819DE5710D7D}"/>
    <hyperlink ref="A53" location="'Semences fermières - AGRESTE'!A1" display="'Semences fermières - AGRESTE'!A1" xr:uid="{66893978-9323-4578-AF31-87CBF55AE703}"/>
    <hyperlink ref="A54" location="'Fabrication de farine - FAM'!A1" display="'Fabrication de farine - FAM'!A1" xr:uid="{5FCDD6A6-E412-411B-827C-788F3131A922}"/>
    <hyperlink ref="A55" location="'Débouchés farine de blé - FAM'!A1" display="'Débouchés farine de blé - FAM'!A1" xr:uid="{93E39629-F0C9-4ECC-9CD8-AD00131E13F4}"/>
    <hyperlink ref="A56" location="'Coproduits meunerie - Réséda'!A1" display="'Coproduits meunerie - Réséda'!A1" xr:uid="{925B22FD-4185-423F-A08B-C8DC3E76707C}"/>
    <hyperlink ref="A57" location="'Coproduits meunerie - ONRB'!A1" display="'Coproduits meunerie - ONRB'!A1" xr:uid="{AC0559E4-0A31-464F-924C-D6307781171B}"/>
    <hyperlink ref="A58" location="'Amidonnerie - Diverses'!A1" display="'Amidonnerie - Diverses'!A1" xr:uid="{464F0B7A-CF58-4F29-9EFB-C2907A5C31BD}"/>
    <hyperlink ref="A59" location="'Semoulerie maïs- Diverses'!A1" display="'Semoulerie maïs- Diverses'!A1" xr:uid="{09074F7C-229D-4AB8-A0A5-F8B429957B3D}"/>
    <hyperlink ref="A60" location="'Semoulerie blé dur - CFSI'!A1" display="'Semoulerie blé dur - CFSI'!A1" xr:uid="{0E62BF02-1848-4980-AD7B-904DA4FFA516}"/>
    <hyperlink ref="A61" location="'Coproduits Semoulerie blé -ONRB'!A1" display="'Coproduits Semoulerie blé -ONRB'!A1" xr:uid="{EEA0D12A-D5E6-49AC-ACFF-137C3305B4C2}"/>
    <hyperlink ref="A62" location="'Indus. pâtes - SIFPAF'!A1" display="'Indus. pâtes - SIFPAF'!A1" xr:uid="{489FA19D-041D-421F-AEE7-4E02C9D89A51}"/>
    <hyperlink ref="A63" location="'Coproduits Indus. - Réséda'!A1" display="'Coproduits Indus. - Réséda'!A1" xr:uid="{412762EC-B57F-4407-ADC5-A171094DD44F}"/>
    <hyperlink ref="A64" location="'Distillerie - Agreste'!A1" display="'Distillerie - Agreste'!A1" xr:uid="{F7164253-30E9-4F5D-B78C-4AE8DCBAEF7C}"/>
    <hyperlink ref="A65" location="'Malterie - ONRB'!A1" display="'Malterie - ONRB'!A1" xr:uid="{FDFB829C-9E1C-4C63-B621-6F4069B12273}"/>
    <hyperlink ref="A66" location="'Brasserie - Diverses'!A1" display="'Brasserie - Diverses'!A1" xr:uid="{8C5E7C14-86BF-4AA2-8B4E-F1AD7DC32CA5}"/>
    <hyperlink ref="A67" location="'Popcorn - Intercéréales'!A1" display="'Popcorn - Intercéréales'!A1" xr:uid="{25F08CF3-4307-47D5-B8AB-925012FA5E2A}"/>
    <hyperlink ref="A68" location="'Comext annuel - EUROSTAT'!A1" display="'Comext annuel - EUROSTAT'!A1" xr:uid="{899800D4-9FAB-4933-83CC-AD1F9E40D350}"/>
    <hyperlink ref="A69" location="'Comext mensuel - EUROSTAT'!A1" display="'Comext mensuel - EUROSTAT'!A1" xr:uid="{4DEB0659-033A-436B-9F83-C92909AE1667}"/>
    <hyperlink ref="A70" location="'Riz - Diverses'!A1" display="'Riz - Diverses'!A1" xr:uid="{F9462055-CA73-4666-8AC3-CB8787A70AF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999B-31F0-4B6E-AE23-C6829BF93346}">
  <sheetPr>
    <tabColor rgb="FFFFC000"/>
    <pageSetUpPr fitToPage="1"/>
  </sheetPr>
  <dimension ref="A1:O43"/>
  <sheetViews>
    <sheetView workbookViewId="0">
      <selection activeCell="P35" sqref="P35"/>
    </sheetView>
  </sheetViews>
  <sheetFormatPr baseColWidth="10" defaultRowHeight="14.4"/>
  <cols>
    <col min="1" max="1" width="21.5546875" style="611" customWidth="1"/>
    <col min="2" max="2" width="9.88671875" style="621" bestFit="1" customWidth="1"/>
    <col min="3" max="3" width="7.33203125" style="621" bestFit="1" customWidth="1"/>
    <col min="4" max="4" width="10.109375" style="621" bestFit="1" customWidth="1"/>
    <col min="5" max="5" width="11.21875" style="621" bestFit="1" customWidth="1"/>
    <col min="6" max="6" width="9.6640625" style="621" bestFit="1" customWidth="1"/>
    <col min="7" max="7" width="11.44140625" style="621" bestFit="1" customWidth="1"/>
    <col min="8" max="8" width="12" style="621" bestFit="1" customWidth="1"/>
    <col min="9" max="9" width="9.109375" style="621" bestFit="1" customWidth="1"/>
    <col min="10" max="10" width="8.88671875" style="621" bestFit="1" customWidth="1"/>
    <col min="11" max="11" width="8.77734375" style="621" bestFit="1" customWidth="1"/>
    <col min="12" max="12" width="4.21875" style="621" bestFit="1" customWidth="1"/>
    <col min="13" max="13" width="9.6640625" style="621" bestFit="1" customWidth="1"/>
    <col min="14" max="14" width="5.77734375" style="621" bestFit="1" customWidth="1"/>
    <col min="15" max="15" width="9.88671875" style="621" bestFit="1" customWidth="1"/>
    <col min="16" max="16" width="20" style="621" bestFit="1" customWidth="1"/>
    <col min="17" max="16384" width="11.5546875" style="621"/>
  </cols>
  <sheetData>
    <row r="1" spans="1:15" s="611" customFormat="1">
      <c r="A1" s="607"/>
      <c r="B1" s="608" t="s">
        <v>1120</v>
      </c>
      <c r="C1" s="608" t="s">
        <v>1717</v>
      </c>
      <c r="D1" s="608" t="s">
        <v>1140</v>
      </c>
      <c r="E1" s="608" t="s">
        <v>1718</v>
      </c>
      <c r="F1" s="608" t="s">
        <v>1719</v>
      </c>
      <c r="G1" s="608" t="s">
        <v>1720</v>
      </c>
      <c r="H1" s="609" t="s">
        <v>1721</v>
      </c>
      <c r="I1" s="699" t="s">
        <v>1722</v>
      </c>
      <c r="J1" s="699"/>
      <c r="K1" s="699"/>
      <c r="L1" s="699"/>
      <c r="M1" s="699"/>
      <c r="N1" s="699"/>
      <c r="O1" s="699"/>
    </row>
    <row r="2" spans="1:15" s="615" customFormat="1">
      <c r="A2" s="612"/>
      <c r="B2" s="613" t="s">
        <v>1723</v>
      </c>
      <c r="C2" s="613" t="s">
        <v>1724</v>
      </c>
      <c r="D2" s="613" t="s">
        <v>1725</v>
      </c>
      <c r="E2" s="613" t="s">
        <v>1725</v>
      </c>
      <c r="F2" s="613" t="s">
        <v>1725</v>
      </c>
      <c r="G2" s="613"/>
      <c r="H2" s="614" t="s">
        <v>1725</v>
      </c>
      <c r="I2" s="610" t="s">
        <v>1726</v>
      </c>
      <c r="J2" s="610" t="s">
        <v>943</v>
      </c>
      <c r="K2" s="610" t="s">
        <v>1129</v>
      </c>
      <c r="L2" s="610" t="s">
        <v>1125</v>
      </c>
      <c r="M2" s="610" t="s">
        <v>1038</v>
      </c>
      <c r="N2" s="610" t="s">
        <v>1727</v>
      </c>
      <c r="O2" s="610" t="s">
        <v>431</v>
      </c>
    </row>
    <row r="3" spans="1:15">
      <c r="A3" s="608" t="s">
        <v>300</v>
      </c>
      <c r="B3" s="616">
        <v>2023</v>
      </c>
      <c r="C3" s="617">
        <v>27352</v>
      </c>
      <c r="D3" s="617">
        <v>110000</v>
      </c>
      <c r="E3" s="616">
        <v>0</v>
      </c>
      <c r="F3" s="617">
        <v>80000</v>
      </c>
      <c r="G3" s="617">
        <v>11000</v>
      </c>
      <c r="H3" s="618">
        <v>42000</v>
      </c>
      <c r="I3" s="619" t="s">
        <v>1426</v>
      </c>
      <c r="J3" s="619" t="s">
        <v>1426</v>
      </c>
      <c r="K3" s="620">
        <v>20.930232558139537</v>
      </c>
      <c r="L3" s="620">
        <v>0.46511627906976744</v>
      </c>
      <c r="M3" s="620">
        <v>1.8604651162790697</v>
      </c>
      <c r="N3" s="620">
        <v>39.534883720930232</v>
      </c>
      <c r="O3" s="620">
        <v>37.209302325581397</v>
      </c>
    </row>
    <row r="4" spans="1:15">
      <c r="A4" s="608" t="s">
        <v>315</v>
      </c>
      <c r="B4" s="616">
        <v>2023</v>
      </c>
      <c r="C4" s="617">
        <v>22800</v>
      </c>
      <c r="D4" s="617">
        <v>68388</v>
      </c>
      <c r="E4" s="617">
        <v>3000</v>
      </c>
      <c r="F4" s="617">
        <v>44000</v>
      </c>
      <c r="G4" s="617">
        <v>19000</v>
      </c>
      <c r="H4" s="618">
        <v>45000</v>
      </c>
      <c r="I4" s="619" t="s">
        <v>1426</v>
      </c>
      <c r="J4" s="620">
        <v>46.460176991150441</v>
      </c>
      <c r="K4" s="622">
        <v>37.610619469026545</v>
      </c>
      <c r="L4" s="619">
        <v>0.44247787610619471</v>
      </c>
      <c r="M4" s="619" t="s">
        <v>1426</v>
      </c>
      <c r="N4" s="620">
        <v>15.486725663716815</v>
      </c>
      <c r="O4" s="619" t="s">
        <v>1426</v>
      </c>
    </row>
    <row r="5" spans="1:15">
      <c r="A5" s="608" t="s">
        <v>1728</v>
      </c>
      <c r="B5" s="619"/>
      <c r="C5" s="619">
        <v>600</v>
      </c>
      <c r="D5" s="619">
        <v>1500</v>
      </c>
      <c r="E5" s="619"/>
      <c r="F5" s="619"/>
      <c r="G5" s="619"/>
      <c r="H5" s="619"/>
      <c r="I5" s="619"/>
      <c r="J5" s="619"/>
      <c r="K5" s="619"/>
      <c r="L5" s="619"/>
      <c r="M5" s="619"/>
      <c r="N5" s="619"/>
      <c r="O5" s="619"/>
    </row>
    <row r="7" spans="1:15">
      <c r="K7" s="623" t="s">
        <v>1729</v>
      </c>
      <c r="M7" s="624"/>
      <c r="N7" s="624"/>
      <c r="O7" s="624"/>
    </row>
    <row r="9" spans="1:15">
      <c r="A9" s="611" t="s">
        <v>1730</v>
      </c>
    </row>
    <row r="13" spans="1:15">
      <c r="A13" s="611" t="s">
        <v>1731</v>
      </c>
      <c r="J13" s="611" t="s">
        <v>1732</v>
      </c>
    </row>
    <row r="32" spans="2:14">
      <c r="B32" s="621" t="s">
        <v>300</v>
      </c>
      <c r="C32" s="621" t="s">
        <v>1733</v>
      </c>
      <c r="M32" s="621" t="s">
        <v>315</v>
      </c>
      <c r="N32" s="621" t="s">
        <v>1733</v>
      </c>
    </row>
    <row r="33" spans="2:14">
      <c r="B33" s="621" t="s">
        <v>1106</v>
      </c>
      <c r="C33" s="625">
        <v>110</v>
      </c>
      <c r="M33" s="621" t="s">
        <v>1106</v>
      </c>
      <c r="N33" s="625">
        <v>68.337999999999994</v>
      </c>
    </row>
    <row r="34" spans="2:14">
      <c r="B34" s="621" t="s">
        <v>1735</v>
      </c>
      <c r="C34" s="621" t="s">
        <v>1736</v>
      </c>
      <c r="M34" s="621" t="s">
        <v>1735</v>
      </c>
      <c r="N34" s="621" t="s">
        <v>1736</v>
      </c>
    </row>
    <row r="35" spans="2:14">
      <c r="B35" s="621" t="s">
        <v>317</v>
      </c>
      <c r="C35" s="625">
        <v>31</v>
      </c>
      <c r="M35" s="621" t="s">
        <v>317</v>
      </c>
      <c r="N35" s="625">
        <v>25</v>
      </c>
    </row>
    <row r="36" spans="2:14">
      <c r="B36" s="621" t="s">
        <v>942</v>
      </c>
      <c r="C36" s="625">
        <v>0</v>
      </c>
      <c r="M36" s="621" t="s">
        <v>942</v>
      </c>
      <c r="N36" s="625">
        <v>3</v>
      </c>
    </row>
    <row r="37" spans="2:14">
      <c r="B37" s="621" t="s">
        <v>1118</v>
      </c>
      <c r="C37" s="625">
        <v>11</v>
      </c>
      <c r="M37" s="621" t="s">
        <v>1118</v>
      </c>
      <c r="N37" s="625">
        <v>19</v>
      </c>
    </row>
    <row r="38" spans="2:14">
      <c r="B38" s="621" t="s">
        <v>1129</v>
      </c>
      <c r="C38" s="621">
        <v>9</v>
      </c>
      <c r="D38" s="621" t="s">
        <v>1734</v>
      </c>
      <c r="M38" s="621" t="s">
        <v>1737</v>
      </c>
      <c r="N38" s="625">
        <v>17</v>
      </c>
    </row>
    <row r="39" spans="2:14">
      <c r="B39" s="621" t="s">
        <v>1125</v>
      </c>
      <c r="C39" s="625">
        <v>0.2</v>
      </c>
      <c r="M39" s="621" t="s">
        <v>1125</v>
      </c>
      <c r="N39" s="625">
        <v>0.2</v>
      </c>
    </row>
    <row r="40" spans="2:14">
      <c r="B40" s="621" t="s">
        <v>1117</v>
      </c>
      <c r="C40" s="621" t="s">
        <v>1736</v>
      </c>
      <c r="M40" s="621" t="s">
        <v>1117</v>
      </c>
      <c r="N40" s="621" t="s">
        <v>1736</v>
      </c>
    </row>
    <row r="41" spans="2:14">
      <c r="B41" s="621" t="s">
        <v>431</v>
      </c>
      <c r="C41" s="625">
        <v>16</v>
      </c>
      <c r="M41" s="621" t="s">
        <v>943</v>
      </c>
      <c r="N41" s="625">
        <v>21</v>
      </c>
    </row>
    <row r="42" spans="2:14">
      <c r="B42" s="621" t="s">
        <v>1038</v>
      </c>
      <c r="C42" s="625">
        <v>0.8</v>
      </c>
    </row>
    <row r="43" spans="2:14">
      <c r="B43" s="621" t="s">
        <v>943</v>
      </c>
      <c r="C43" s="625">
        <v>0</v>
      </c>
    </row>
  </sheetData>
  <mergeCells count="1">
    <mergeCell ref="I1:O1"/>
  </mergeCells>
  <pageMargins left="0.7" right="0.7" top="0.75" bottom="0.75" header="0.3" footer="0.3"/>
  <pageSetup paperSize="9" scale="45"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9419B-FF84-4A5D-B54A-2B8181FF7B22}">
  <sheetPr>
    <tabColor rgb="FF92D050"/>
  </sheetPr>
  <dimension ref="A1:U53"/>
  <sheetViews>
    <sheetView tabSelected="1" workbookViewId="0">
      <pane xSplit="3" ySplit="1" topLeftCell="I2" activePane="bottomRight" state="frozen"/>
      <selection activeCell="B15" sqref="B15"/>
      <selection pane="topRight" activeCell="B15" sqref="B15"/>
      <selection pane="bottomLeft" activeCell="B15" sqref="B15"/>
      <selection pane="bottomRight" activeCell="M5" sqref="M5"/>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7" width="20" customWidth="1"/>
    <col min="18" max="19" width="14.44140625" style="26" customWidth="1"/>
    <col min="20" max="20" width="11.6640625" bestFit="1" customWidth="1"/>
    <col min="21" max="21" width="13.109375" customWidth="1"/>
  </cols>
  <sheetData>
    <row r="1" spans="1:21" ht="63.6"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c r="A2" s="10">
        <v>1</v>
      </c>
      <c r="B2" t="str">
        <f>Produits!$B$2</f>
        <v>Grains récoltés</v>
      </c>
      <c r="C2" t="str">
        <f>Secteurs!$B$4</f>
        <v>OS</v>
      </c>
      <c r="D2" s="29">
        <f>'Prétraitement issues'!D3</f>
        <v>3.5000000000000001E-3</v>
      </c>
      <c r="G2" s="10" t="str">
        <f>Etiquettes!$C$3</f>
        <v>kt</v>
      </c>
      <c r="H2" s="10" t="s">
        <v>1149</v>
      </c>
      <c r="I2" s="10" t="s">
        <v>1204</v>
      </c>
      <c r="J2" s="10" t="str">
        <f>Etiquettes!$C$4</f>
        <v>France entière</v>
      </c>
      <c r="U2" s="692" t="s">
        <v>1153</v>
      </c>
    </row>
    <row r="3" spans="1:21">
      <c r="A3" s="10">
        <v>1</v>
      </c>
      <c r="B3" t="str">
        <f>Secteurs!$B$4</f>
        <v>OS</v>
      </c>
      <c r="C3" t="str">
        <f>Produits!$B$5</f>
        <v>Issues de silo</v>
      </c>
      <c r="D3">
        <v>-1</v>
      </c>
      <c r="G3" s="10" t="str">
        <f>Etiquettes!$C$3</f>
        <v>kt</v>
      </c>
      <c r="H3" s="10" t="s">
        <v>1149</v>
      </c>
      <c r="I3" s="10" t="s">
        <v>1204</v>
      </c>
      <c r="J3" s="10" t="str">
        <f>Etiquettes!$C$4</f>
        <v>France entière</v>
      </c>
      <c r="K3" s="10" t="s">
        <v>1570</v>
      </c>
      <c r="M3" s="10" t="s">
        <v>1603</v>
      </c>
      <c r="N3" t="str" cm="1">
        <f t="array" aca="1" ref="N3" ca="1">[1]!NOM_FEUILLE('Issues céréales - ONRB'!$A$1:$B$1)</f>
        <v>Issues céréales - ONRB</v>
      </c>
      <c r="O3" t="str">
        <f>Etiquettes!$I$11</f>
        <v>Rendement</v>
      </c>
      <c r="P3" t="str">
        <f>_xlfn.CONCAT(K3," = ",MROUND(D2*100,0.01)," % (",M3,")")</f>
        <v>Ratio d'issues de silo = 0,35 % (ONRB - FranceAgriMer)</v>
      </c>
      <c r="Q3" t="str">
        <f>Etiquettes!$K$15</f>
        <v>Approximative</v>
      </c>
      <c r="R3" s="642" t="s">
        <v>1813</v>
      </c>
      <c r="S3" s="603" t="str">
        <f>Etiquettes!$H$17</f>
        <v>Donnée collectée (valeur du flux ou coefficient)</v>
      </c>
      <c r="U3" s="693"/>
    </row>
    <row r="4" spans="1:21">
      <c r="A4" s="10">
        <f>A2+1</f>
        <v>2</v>
      </c>
      <c r="B4" t="str">
        <f>Produits!$B$2</f>
        <v>Grains récoltés</v>
      </c>
      <c r="C4" t="str">
        <f>Secteurs!$B$4</f>
        <v>OS</v>
      </c>
      <c r="D4" s="29">
        <f>'Prétraitement issues'!D4</f>
        <v>1.0999999999999999E-2</v>
      </c>
      <c r="G4" s="10" t="str">
        <f>Etiquettes!$C$3</f>
        <v>kt</v>
      </c>
      <c r="H4" s="10" t="str">
        <f>Etiquettes!$J$6</f>
        <v>Orge</v>
      </c>
      <c r="I4" s="10" t="s">
        <v>1204</v>
      </c>
      <c r="J4" s="10" t="str">
        <f>Etiquettes!$C$4</f>
        <v>France entière</v>
      </c>
      <c r="U4" s="693"/>
    </row>
    <row r="5" spans="1:21">
      <c r="A5" s="10">
        <f t="shared" ref="A5:A53" si="0">A3+1</f>
        <v>2</v>
      </c>
      <c r="B5" t="str">
        <f>Secteurs!$B$4</f>
        <v>OS</v>
      </c>
      <c r="C5" t="str">
        <f>Produits!$B$5</f>
        <v>Issues de silo</v>
      </c>
      <c r="D5">
        <v>-1</v>
      </c>
      <c r="G5" s="10" t="str">
        <f>Etiquettes!$C$3</f>
        <v>kt</v>
      </c>
      <c r="H5" s="10" t="str">
        <f>Etiquettes!$J$6</f>
        <v>Orge</v>
      </c>
      <c r="I5" s="10" t="s">
        <v>1204</v>
      </c>
      <c r="J5" s="10" t="str">
        <f>Etiquettes!$C$4</f>
        <v>France entière</v>
      </c>
      <c r="K5" s="10" t="s">
        <v>1570</v>
      </c>
      <c r="M5" s="10" t="s">
        <v>1603</v>
      </c>
      <c r="N5" t="str" cm="1">
        <f t="array" aca="1" ref="N5" ca="1">[1]!NOM_FEUILLE('Issues céréales - ONRB'!$A$1:$B$1)</f>
        <v>Issues céréales - ONRB</v>
      </c>
      <c r="O5" t="str">
        <f>Etiquettes!$I$11</f>
        <v>Rendement</v>
      </c>
      <c r="P5" t="str">
        <f t="shared" ref="P5" si="1">_xlfn.CONCAT(K5," = ",MROUND(D4*100,0.01)," % (",M5,")")</f>
        <v>Ratio d'issues de silo = 1,1 % (ONRB - FranceAgriMer)</v>
      </c>
      <c r="Q5" t="str">
        <f>Etiquettes!$K$15</f>
        <v>Approximative</v>
      </c>
      <c r="R5" s="642" t="s">
        <v>1813</v>
      </c>
      <c r="S5" s="603" t="str">
        <f>Etiquettes!$H$17</f>
        <v>Donnée collectée (valeur du flux ou coefficient)</v>
      </c>
      <c r="U5" s="693"/>
    </row>
    <row r="6" spans="1:21">
      <c r="A6" s="10">
        <f t="shared" si="0"/>
        <v>3</v>
      </c>
      <c r="B6" t="str">
        <f>Produits!$B$2</f>
        <v>Grains récoltés</v>
      </c>
      <c r="C6" t="str">
        <f>Secteurs!$B$4</f>
        <v>OS</v>
      </c>
      <c r="D6" s="29">
        <f>'Prétraitement issues'!D5</f>
        <v>5.0000000000000001E-3</v>
      </c>
      <c r="F6" s="29"/>
      <c r="G6" s="10" t="str">
        <f>Etiquettes!$C$3</f>
        <v>kt</v>
      </c>
      <c r="H6" s="10" t="s">
        <v>1703</v>
      </c>
      <c r="I6" s="10" t="s">
        <v>1204</v>
      </c>
      <c r="J6" s="10" t="str">
        <f>Etiquettes!$C$4</f>
        <v>France entière</v>
      </c>
      <c r="U6" s="693"/>
    </row>
    <row r="7" spans="1:21">
      <c r="A7" s="10">
        <f t="shared" si="0"/>
        <v>3</v>
      </c>
      <c r="B7" t="str">
        <f>Secteurs!$B$4</f>
        <v>OS</v>
      </c>
      <c r="C7" t="str">
        <f>Produits!$B$5</f>
        <v>Issues de silo</v>
      </c>
      <c r="D7">
        <v>-1</v>
      </c>
      <c r="G7" s="10" t="str">
        <f>Etiquettes!$C$3</f>
        <v>kt</v>
      </c>
      <c r="H7" s="10" t="s">
        <v>1703</v>
      </c>
      <c r="I7" s="10" t="s">
        <v>1204</v>
      </c>
      <c r="J7" s="10" t="str">
        <f>Etiquettes!$C$4</f>
        <v>France entière</v>
      </c>
      <c r="K7" s="10" t="s">
        <v>1570</v>
      </c>
      <c r="M7" s="10" t="s">
        <v>1603</v>
      </c>
      <c r="N7" t="str" cm="1">
        <f t="array" aca="1" ref="N7" ca="1">[1]!NOM_FEUILLE('Issues céréales - ONRB'!$A$1:$B$1)</f>
        <v>Issues céréales - ONRB</v>
      </c>
      <c r="O7" t="str">
        <f>Etiquettes!$I$11</f>
        <v>Rendement</v>
      </c>
      <c r="P7" t="str">
        <f t="shared" ref="P7" si="2">_xlfn.CONCAT(K7," = ",MROUND(D6*100,0.01)," % (",M7,")")</f>
        <v>Ratio d'issues de silo = 0,5 % (ONRB - FranceAgriMer)</v>
      </c>
      <c r="Q7" t="str">
        <f>Etiquettes!$K$15</f>
        <v>Approximative</v>
      </c>
      <c r="R7" s="642" t="s">
        <v>1813</v>
      </c>
      <c r="S7" s="603" t="str">
        <f>Etiquettes!$H$17</f>
        <v>Donnée collectée (valeur du flux ou coefficient)</v>
      </c>
      <c r="U7" s="693"/>
    </row>
    <row r="8" spans="1:21">
      <c r="A8" s="10">
        <f t="shared" si="0"/>
        <v>4</v>
      </c>
      <c r="B8" t="str">
        <f>Produits!$B$2</f>
        <v>Grains récoltés</v>
      </c>
      <c r="C8" t="str">
        <f>Secteurs!$B$4</f>
        <v>OS</v>
      </c>
      <c r="D8" s="29">
        <f>'Prétraitement issues'!D6</f>
        <v>8.0000000000000002E-3</v>
      </c>
      <c r="G8" s="10" t="str">
        <f>Etiquettes!$C$3</f>
        <v>kt</v>
      </c>
      <c r="H8" s="10" t="s">
        <v>307</v>
      </c>
      <c r="I8" s="10" t="s">
        <v>1204</v>
      </c>
      <c r="J8" s="10" t="str">
        <f>Etiquettes!$C$4</f>
        <v>France entière</v>
      </c>
      <c r="U8" s="693"/>
    </row>
    <row r="9" spans="1:21">
      <c r="A9" s="10">
        <f t="shared" si="0"/>
        <v>4</v>
      </c>
      <c r="B9" t="str">
        <f>Secteurs!$B$4</f>
        <v>OS</v>
      </c>
      <c r="C9" t="str">
        <f>Produits!$B$5</f>
        <v>Issues de silo</v>
      </c>
      <c r="D9">
        <v>-1</v>
      </c>
      <c r="G9" s="10" t="str">
        <f>Etiquettes!$C$3</f>
        <v>kt</v>
      </c>
      <c r="H9" s="10" t="s">
        <v>307</v>
      </c>
      <c r="I9" s="10" t="s">
        <v>1204</v>
      </c>
      <c r="J9" s="10" t="str">
        <f>Etiquettes!$C$4</f>
        <v>France entière</v>
      </c>
      <c r="K9" s="10" t="s">
        <v>1570</v>
      </c>
      <c r="M9" s="10" t="s">
        <v>1603</v>
      </c>
      <c r="N9" t="str" cm="1">
        <f t="array" aca="1" ref="N9" ca="1">[1]!NOM_FEUILLE('Issues maïs - ONRB'!$A$1:$B$1)</f>
        <v>Issues maïs - ONRB</v>
      </c>
      <c r="O9" t="str">
        <f>Etiquettes!$I$11</f>
        <v>Rendement</v>
      </c>
      <c r="P9" t="str">
        <f t="shared" ref="P9" si="3">_xlfn.CONCAT(K9," = ",MROUND(D8*100,0.01)," % (",M9,")")</f>
        <v>Ratio d'issues de silo = 0,8 % (ONRB - FranceAgriMer)</v>
      </c>
      <c r="Q9" t="str">
        <f>Etiquettes!$K$15</f>
        <v>Approximative</v>
      </c>
      <c r="R9" s="642" t="s">
        <v>1813</v>
      </c>
      <c r="S9" s="603" t="str">
        <f>Etiquettes!$H$17</f>
        <v>Donnée collectée (valeur du flux ou coefficient)</v>
      </c>
      <c r="U9" s="693"/>
    </row>
    <row r="10" spans="1:21">
      <c r="A10" s="10">
        <f t="shared" si="0"/>
        <v>5</v>
      </c>
      <c r="B10" t="str">
        <f>Produits!$B$2</f>
        <v>Grains récoltés</v>
      </c>
      <c r="C10" t="str">
        <f>Secteurs!$B$4</f>
        <v>OS</v>
      </c>
      <c r="D10" s="29">
        <f>'Prétraitement issues'!D7</f>
        <v>5.0000000000000001E-3</v>
      </c>
      <c r="G10" s="10" t="str">
        <f>Etiquettes!$C$3</f>
        <v>kt</v>
      </c>
      <c r="H10" s="10" t="s">
        <v>309</v>
      </c>
      <c r="I10" s="10" t="s">
        <v>1204</v>
      </c>
      <c r="J10" s="10" t="str">
        <f>Etiquettes!$C$4</f>
        <v>France entière</v>
      </c>
      <c r="U10" s="693"/>
    </row>
    <row r="11" spans="1:21">
      <c r="A11" s="10">
        <f t="shared" si="0"/>
        <v>5</v>
      </c>
      <c r="B11" t="str">
        <f>Secteurs!$B$4</f>
        <v>OS</v>
      </c>
      <c r="C11" t="str">
        <f>Produits!$B$5</f>
        <v>Issues de silo</v>
      </c>
      <c r="D11">
        <v>-1</v>
      </c>
      <c r="G11" s="10" t="str">
        <f>Etiquettes!$C$3</f>
        <v>kt</v>
      </c>
      <c r="H11" s="10" t="s">
        <v>309</v>
      </c>
      <c r="I11" s="10" t="s">
        <v>1204</v>
      </c>
      <c r="J11" s="10" t="str">
        <f>Etiquettes!$C$4</f>
        <v>France entière</v>
      </c>
      <c r="K11" s="10" t="s">
        <v>1570</v>
      </c>
      <c r="M11" s="10" t="s">
        <v>1603</v>
      </c>
      <c r="N11" t="str" cm="1">
        <f t="array" aca="1" ref="N11" ca="1">[1]!NOM_FEUILLE('Issues riz - ONRB'!$A$1:$B$1)</f>
        <v>Issues riz - ONRB</v>
      </c>
      <c r="O11" t="str">
        <f>Etiquettes!$I$11</f>
        <v>Rendement</v>
      </c>
      <c r="P11" t="str">
        <f t="shared" ref="P11" si="4">_xlfn.CONCAT(K11," = ",MROUND(D10*100,0.01)," % (",M11,")")</f>
        <v>Ratio d'issues de silo = 0,5 % (ONRB - FranceAgriMer)</v>
      </c>
      <c r="Q11" t="str">
        <f>Etiquettes!$K$15</f>
        <v>Approximative</v>
      </c>
      <c r="R11" s="642" t="s">
        <v>1813</v>
      </c>
      <c r="S11" s="603" t="str">
        <f>Etiquettes!$H$17</f>
        <v>Donnée collectée (valeur du flux ou coefficient)</v>
      </c>
      <c r="U11" s="693"/>
    </row>
    <row r="12" spans="1:21">
      <c r="A12" s="10">
        <f t="shared" si="0"/>
        <v>6</v>
      </c>
      <c r="B12" t="str">
        <f>Secteurs!$B$4</f>
        <v>OS</v>
      </c>
      <c r="C12" t="str">
        <f>Produits!$B$5</f>
        <v>Issues de silo</v>
      </c>
      <c r="D12" s="29">
        <f>'Prétraitement issues'!D10</f>
        <v>0.56330000000000002</v>
      </c>
      <c r="G12" s="10" t="str">
        <f>Etiquettes!$C$3</f>
        <v>kt</v>
      </c>
      <c r="H12" s="10" t="s">
        <v>1704</v>
      </c>
      <c r="I12" s="10" t="s">
        <v>1204</v>
      </c>
      <c r="J12" s="10" t="str">
        <f>Etiquettes!$C$4</f>
        <v>France entière</v>
      </c>
      <c r="U12" s="693" t="s">
        <v>1562</v>
      </c>
    </row>
    <row r="13" spans="1:21">
      <c r="A13" s="10">
        <f t="shared" si="0"/>
        <v>6</v>
      </c>
      <c r="B13" t="str">
        <f>Produits!$B$5</f>
        <v>Issues de silo</v>
      </c>
      <c r="C13" t="str">
        <f>Secteurs!$B$35</f>
        <v>FAF</v>
      </c>
      <c r="D13">
        <v>-1</v>
      </c>
      <c r="G13" s="10" t="str">
        <f>Etiquettes!$C$3</f>
        <v>kt</v>
      </c>
      <c r="H13" s="10" t="s">
        <v>1704</v>
      </c>
      <c r="I13" s="10" t="s">
        <v>1204</v>
      </c>
      <c r="J13" s="10" t="str">
        <f>Etiquettes!$C$4</f>
        <v>France entière</v>
      </c>
      <c r="K13" s="10" t="s">
        <v>1571</v>
      </c>
      <c r="M13" s="10" t="s">
        <v>1603</v>
      </c>
      <c r="N13" t="str" cm="1">
        <f t="array" aca="1" ref="N13" ca="1">[1]!NOM_FEUILLE('Issues céréales - ONRB'!$A$1:$B$1)</f>
        <v>Issues céréales - ONRB</v>
      </c>
      <c r="O13" t="str">
        <f>Etiquettes!$J$11</f>
        <v>Répartition</v>
      </c>
      <c r="P13" t="str">
        <f t="shared" ref="P13" si="5">_xlfn.CONCAT(K13," = ",MROUND(D12*100,0.01)," % (",M13,")")</f>
        <v>Part d'issues de silo consommées par les FAF = 56,33 % (ONRB - FranceAgriMer)</v>
      </c>
      <c r="Q13" t="str">
        <f>Etiquettes!$K$15</f>
        <v>Approximative</v>
      </c>
      <c r="R13" s="642" t="s">
        <v>1813</v>
      </c>
      <c r="S13" s="603" t="str">
        <f>Etiquettes!$H$17</f>
        <v>Donnée collectée (valeur du flux ou coefficient)</v>
      </c>
      <c r="U13" s="693"/>
    </row>
    <row r="14" spans="1:21">
      <c r="A14" s="10">
        <f t="shared" si="0"/>
        <v>7</v>
      </c>
      <c r="B14" t="str">
        <f>Secteurs!$B$4</f>
        <v>OS</v>
      </c>
      <c r="C14" t="str">
        <f>Produits!$B$5</f>
        <v>Issues de silo</v>
      </c>
      <c r="D14" s="29">
        <f>'Prétraitement issues'!D11</f>
        <v>0.49530000000000002</v>
      </c>
      <c r="G14" s="10" t="str">
        <f>Etiquettes!$C$3</f>
        <v>kt</v>
      </c>
      <c r="H14" s="10" t="s">
        <v>307</v>
      </c>
      <c r="I14" s="10" t="s">
        <v>1204</v>
      </c>
      <c r="J14" s="10" t="str">
        <f>Etiquettes!$C$4</f>
        <v>France entière</v>
      </c>
      <c r="U14" s="693"/>
    </row>
    <row r="15" spans="1:21">
      <c r="A15" s="10">
        <f t="shared" si="0"/>
        <v>7</v>
      </c>
      <c r="B15" t="str">
        <f>Produits!$B$5</f>
        <v>Issues de silo</v>
      </c>
      <c r="C15" t="str">
        <f>Secteurs!$B$35</f>
        <v>FAF</v>
      </c>
      <c r="D15">
        <v>-1</v>
      </c>
      <c r="G15" s="10" t="str">
        <f>Etiquettes!$C$3</f>
        <v>kt</v>
      </c>
      <c r="H15" s="10" t="s">
        <v>307</v>
      </c>
      <c r="I15" s="10" t="s">
        <v>1204</v>
      </c>
      <c r="J15" s="10" t="str">
        <f>Etiquettes!$C$4</f>
        <v>France entière</v>
      </c>
      <c r="K15" s="10" t="s">
        <v>1571</v>
      </c>
      <c r="M15" s="10" t="s">
        <v>1603</v>
      </c>
      <c r="N15" t="str" cm="1">
        <f t="array" aca="1" ref="N15" ca="1">[1]!NOM_FEUILLE('Issues maïs - ONRB'!$A$1:$B$1)</f>
        <v>Issues maïs - ONRB</v>
      </c>
      <c r="O15" t="str">
        <f>Etiquettes!$J$11</f>
        <v>Répartition</v>
      </c>
      <c r="P15" t="str">
        <f t="shared" ref="P15" si="6">_xlfn.CONCAT(K15," = ",MROUND(D14*100,0.01)," % (",M15,")")</f>
        <v>Part d'issues de silo consommées par les FAF = 49,53 % (ONRB - FranceAgriMer)</v>
      </c>
      <c r="Q15" t="str">
        <f>Etiquettes!$K$15</f>
        <v>Approximative</v>
      </c>
      <c r="R15" s="642" t="s">
        <v>1813</v>
      </c>
      <c r="S15" s="603" t="str">
        <f>Etiquettes!$H$17</f>
        <v>Donnée collectée (valeur du flux ou coefficient)</v>
      </c>
      <c r="U15" s="693"/>
    </row>
    <row r="16" spans="1:21">
      <c r="A16" s="10">
        <f t="shared" si="0"/>
        <v>8</v>
      </c>
      <c r="B16" t="str">
        <f>Secteurs!$B$4</f>
        <v>OS</v>
      </c>
      <c r="C16" t="str">
        <f>Produits!$B$5</f>
        <v>Issues de silo</v>
      </c>
      <c r="D16" s="29">
        <f>'Prétraitement issues'!D12</f>
        <v>0.56399999999999995</v>
      </c>
      <c r="G16" s="10" t="str">
        <f>Etiquettes!$C$3</f>
        <v>kt</v>
      </c>
      <c r="H16" s="10" t="s">
        <v>309</v>
      </c>
      <c r="I16" s="10" t="s">
        <v>1204</v>
      </c>
      <c r="J16" s="10" t="str">
        <f>Etiquettes!$C$4</f>
        <v>France entière</v>
      </c>
      <c r="U16" s="693"/>
    </row>
    <row r="17" spans="1:21">
      <c r="A17" s="10">
        <f t="shared" si="0"/>
        <v>8</v>
      </c>
      <c r="B17" t="str">
        <f>Produits!$B$5</f>
        <v>Issues de silo</v>
      </c>
      <c r="C17" t="str">
        <f>Secteurs!$B$35</f>
        <v>FAF</v>
      </c>
      <c r="D17">
        <v>-1</v>
      </c>
      <c r="G17" s="10" t="str">
        <f>Etiquettes!$C$3</f>
        <v>kt</v>
      </c>
      <c r="H17" s="10" t="s">
        <v>309</v>
      </c>
      <c r="I17" s="10" t="s">
        <v>1204</v>
      </c>
      <c r="J17" s="10" t="str">
        <f>Etiquettes!$C$4</f>
        <v>France entière</v>
      </c>
      <c r="K17" s="10" t="s">
        <v>1571</v>
      </c>
      <c r="M17" s="10" t="s">
        <v>1603</v>
      </c>
      <c r="N17" t="str" cm="1">
        <f t="array" aca="1" ref="N17" ca="1">[1]!NOM_FEUILLE('Issues riz - ONRB'!$A$1:$B$1)</f>
        <v>Issues riz - ONRB</v>
      </c>
      <c r="O17" t="str">
        <f>Etiquettes!$J$11</f>
        <v>Répartition</v>
      </c>
      <c r="P17" t="str">
        <f t="shared" ref="P17" si="7">_xlfn.CONCAT(K17," = ",MROUND(D16*100,0.01)," % (",M17,")")</f>
        <v>Part d'issues de silo consommées par les FAF = 56,4 % (ONRB - FranceAgriMer)</v>
      </c>
      <c r="Q17" t="str">
        <f>Etiquettes!$K$15</f>
        <v>Approximative</v>
      </c>
      <c r="R17" s="642" t="s">
        <v>1813</v>
      </c>
      <c r="S17" s="603" t="str">
        <f>Etiquettes!$H$17</f>
        <v>Donnée collectée (valeur du flux ou coefficient)</v>
      </c>
      <c r="U17" s="693"/>
    </row>
    <row r="18" spans="1:21">
      <c r="A18" s="10">
        <f t="shared" si="0"/>
        <v>9</v>
      </c>
      <c r="B18" t="str">
        <f>Secteurs!$B$4</f>
        <v>OS</v>
      </c>
      <c r="C18" t="str">
        <f>Produits!$B$5</f>
        <v>Issues de silo</v>
      </c>
      <c r="D18" s="29">
        <f>'Prétraitement issues'!E10</f>
        <v>7.7000000000000002E-3</v>
      </c>
      <c r="G18" s="10" t="str">
        <f>Etiquettes!$C$3</f>
        <v>kt</v>
      </c>
      <c r="H18" s="10" t="s">
        <v>1704</v>
      </c>
      <c r="I18" s="10" t="s">
        <v>1204</v>
      </c>
      <c r="J18" s="10" t="str">
        <f>Etiquettes!$C$4</f>
        <v>France entière</v>
      </c>
      <c r="U18" s="693"/>
    </row>
    <row r="19" spans="1:21">
      <c r="A19" s="10">
        <f t="shared" si="0"/>
        <v>9</v>
      </c>
      <c r="B19" t="str">
        <f>Produits!$B$5</f>
        <v>Issues de silo</v>
      </c>
      <c r="C19" t="str">
        <f>Secteurs!$B$41</f>
        <v>Litière</v>
      </c>
      <c r="D19">
        <v>-1</v>
      </c>
      <c r="G19" s="10" t="str">
        <f>Etiquettes!$C$3</f>
        <v>kt</v>
      </c>
      <c r="H19" s="10" t="s">
        <v>1704</v>
      </c>
      <c r="I19" s="10" t="s">
        <v>1204</v>
      </c>
      <c r="J19" s="10" t="str">
        <f>Etiquettes!$C$4</f>
        <v>France entière</v>
      </c>
      <c r="K19" s="10" t="s">
        <v>1573</v>
      </c>
      <c r="M19" s="10" t="s">
        <v>1603</v>
      </c>
      <c r="N19" t="str" cm="1">
        <f t="array" aca="1" ref="N19" ca="1">[1]!NOM_FEUILLE('Issues céréales - ONRB'!$A$1:$B$1)</f>
        <v>Issues céréales - ONRB</v>
      </c>
      <c r="O19" t="str">
        <f>Etiquettes!$J$11</f>
        <v>Répartition</v>
      </c>
      <c r="P19" t="str">
        <f t="shared" ref="P19" si="8">_xlfn.CONCAT(K19," = ",MROUND(D18*100,0.01)," % (",M19,")")</f>
        <v>Part d'issues de silo consommées comme litière = 0,77 % (ONRB - FranceAgriMer)</v>
      </c>
      <c r="Q19" t="str">
        <f>Etiquettes!$K$15</f>
        <v>Approximative</v>
      </c>
      <c r="R19" s="642" t="s">
        <v>1813</v>
      </c>
      <c r="S19" s="603" t="str">
        <f>Etiquettes!$H$17</f>
        <v>Donnée collectée (valeur du flux ou coefficient)</v>
      </c>
      <c r="U19" s="693"/>
    </row>
    <row r="20" spans="1:21">
      <c r="A20" s="10">
        <f t="shared" si="0"/>
        <v>10</v>
      </c>
      <c r="B20" t="str">
        <f>Secteurs!$B$4</f>
        <v>OS</v>
      </c>
      <c r="C20" t="str">
        <f>Produits!$B$5</f>
        <v>Issues de silo</v>
      </c>
      <c r="D20" s="29">
        <f>'Prétraitement issues'!E11</f>
        <v>6.7999999999999996E-3</v>
      </c>
      <c r="G20" s="10" t="str">
        <f>Etiquettes!$C$3</f>
        <v>kt</v>
      </c>
      <c r="H20" s="10" t="s">
        <v>307</v>
      </c>
      <c r="I20" s="10" t="s">
        <v>1204</v>
      </c>
      <c r="J20" s="10" t="str">
        <f>Etiquettes!$C$4</f>
        <v>France entière</v>
      </c>
      <c r="U20" s="693"/>
    </row>
    <row r="21" spans="1:21">
      <c r="A21" s="10">
        <f t="shared" si="0"/>
        <v>10</v>
      </c>
      <c r="B21" t="str">
        <f>Produits!$B$5</f>
        <v>Issues de silo</v>
      </c>
      <c r="C21" t="str">
        <f>Secteurs!$B$41</f>
        <v>Litière</v>
      </c>
      <c r="D21">
        <v>-1</v>
      </c>
      <c r="G21" s="10" t="str">
        <f>Etiquettes!$C$3</f>
        <v>kt</v>
      </c>
      <c r="H21" s="10" t="s">
        <v>307</v>
      </c>
      <c r="I21" s="10" t="s">
        <v>1204</v>
      </c>
      <c r="J21" s="10" t="str">
        <f>Etiquettes!$C$4</f>
        <v>France entière</v>
      </c>
      <c r="K21" s="10" t="s">
        <v>1573</v>
      </c>
      <c r="M21" s="10" t="s">
        <v>1603</v>
      </c>
      <c r="N21" t="str" cm="1">
        <f t="array" aca="1" ref="N21" ca="1">[1]!NOM_FEUILLE('Issues maïs - ONRB'!$A$1:$B$1)</f>
        <v>Issues maïs - ONRB</v>
      </c>
      <c r="O21" t="str">
        <f>Etiquettes!$J$11</f>
        <v>Répartition</v>
      </c>
      <c r="P21" t="str">
        <f t="shared" ref="P21" si="9">_xlfn.CONCAT(K21," = ",MROUND(D20*100,0.01)," % (",M21,")")</f>
        <v>Part d'issues de silo consommées comme litière = 0,68 % (ONRB - FranceAgriMer)</v>
      </c>
      <c r="Q21" t="str">
        <f>Etiquettes!$K$15</f>
        <v>Approximative</v>
      </c>
      <c r="R21" s="642" t="s">
        <v>1813</v>
      </c>
      <c r="S21" s="603" t="str">
        <f>Etiquettes!$H$17</f>
        <v>Donnée collectée (valeur du flux ou coefficient)</v>
      </c>
      <c r="U21" s="693"/>
    </row>
    <row r="22" spans="1:21">
      <c r="A22" s="10">
        <f t="shared" si="0"/>
        <v>11</v>
      </c>
      <c r="B22" t="str">
        <f>Secteurs!$B$4</f>
        <v>OS</v>
      </c>
      <c r="C22" t="str">
        <f>Produits!$B$5</f>
        <v>Issues de silo</v>
      </c>
      <c r="D22" s="29">
        <f>'Prétraitement issues'!E12</f>
        <v>5.8999999999999999E-3</v>
      </c>
      <c r="G22" s="10" t="str">
        <f>Etiquettes!$C$3</f>
        <v>kt</v>
      </c>
      <c r="H22" s="10" t="s">
        <v>309</v>
      </c>
      <c r="I22" s="10" t="s">
        <v>1204</v>
      </c>
      <c r="J22" s="10" t="str">
        <f>Etiquettes!$C$4</f>
        <v>France entière</v>
      </c>
      <c r="U22" s="693"/>
    </row>
    <row r="23" spans="1:21">
      <c r="A23" s="10">
        <f t="shared" si="0"/>
        <v>11</v>
      </c>
      <c r="B23" t="str">
        <f>Produits!$B$5</f>
        <v>Issues de silo</v>
      </c>
      <c r="C23" t="str">
        <f>Secteurs!$B$41</f>
        <v>Litière</v>
      </c>
      <c r="D23">
        <v>-1</v>
      </c>
      <c r="G23" s="10" t="str">
        <f>Etiquettes!$C$3</f>
        <v>kt</v>
      </c>
      <c r="H23" s="10" t="s">
        <v>309</v>
      </c>
      <c r="I23" s="10" t="s">
        <v>1204</v>
      </c>
      <c r="J23" s="10" t="str">
        <f>Etiquettes!$C$4</f>
        <v>France entière</v>
      </c>
      <c r="K23" s="10" t="s">
        <v>1573</v>
      </c>
      <c r="M23" s="10" t="s">
        <v>1603</v>
      </c>
      <c r="N23" t="str" cm="1">
        <f t="array" aca="1" ref="N23" ca="1">[1]!NOM_FEUILLE('Issues riz - ONRB'!$A$1:$B$1)</f>
        <v>Issues riz - ONRB</v>
      </c>
      <c r="O23" t="str">
        <f>Etiquettes!$J$11</f>
        <v>Répartition</v>
      </c>
      <c r="P23" t="str">
        <f t="shared" ref="P23" si="10">_xlfn.CONCAT(K23," = ",MROUND(D22*100,0.01)," % (",M23,")")</f>
        <v>Part d'issues de silo consommées comme litière = 0,59 % (ONRB - FranceAgriMer)</v>
      </c>
      <c r="Q23" t="str">
        <f>Etiquettes!$K$15</f>
        <v>Approximative</v>
      </c>
      <c r="R23" s="642" t="s">
        <v>1813</v>
      </c>
      <c r="S23" s="603" t="str">
        <f>Etiquettes!$H$17</f>
        <v>Donnée collectée (valeur du flux ou coefficient)</v>
      </c>
      <c r="U23" s="693"/>
    </row>
    <row r="24" spans="1:21">
      <c r="A24" s="10">
        <f>A22+1</f>
        <v>12</v>
      </c>
      <c r="B24" t="str">
        <f>Secteurs!$B$4</f>
        <v>OS</v>
      </c>
      <c r="C24" t="str">
        <f>Produits!$B$5</f>
        <v>Issues de silo</v>
      </c>
      <c r="D24" s="29">
        <f>'Prétraitement issues'!F10</f>
        <v>0</v>
      </c>
      <c r="G24" s="10" t="str">
        <f>Etiquettes!$C$3</f>
        <v>kt</v>
      </c>
      <c r="H24" s="10" t="s">
        <v>1704</v>
      </c>
      <c r="I24" s="10" t="s">
        <v>1204</v>
      </c>
      <c r="J24" s="10" t="str">
        <f>Etiquettes!$C$4</f>
        <v>France entière</v>
      </c>
      <c r="U24" s="693"/>
    </row>
    <row r="25" spans="1:21">
      <c r="A25" s="10">
        <f t="shared" si="0"/>
        <v>12</v>
      </c>
      <c r="B25" t="str">
        <f>Produits!$B$5</f>
        <v>Issues de silo</v>
      </c>
      <c r="C25" t="str">
        <f>Secteurs!$B$49</f>
        <v>Compostage</v>
      </c>
      <c r="D25">
        <v>-1</v>
      </c>
      <c r="G25" s="10" t="str">
        <f>Etiquettes!$C$3</f>
        <v>kt</v>
      </c>
      <c r="H25" s="10" t="s">
        <v>1704</v>
      </c>
      <c r="I25" s="10" t="s">
        <v>1204</v>
      </c>
      <c r="J25" s="10" t="str">
        <f>Etiquettes!$C$4</f>
        <v>France entière</v>
      </c>
      <c r="K25" s="10" t="s">
        <v>1575</v>
      </c>
      <c r="M25" s="10" t="s">
        <v>1603</v>
      </c>
      <c r="N25" t="str" cm="1">
        <f t="array" aca="1" ref="N25" ca="1">[1]!NOM_FEUILLE('Issues céréales - ONRB'!$A$1:$B$1)</f>
        <v>Issues céréales - ONRB</v>
      </c>
      <c r="O25" t="str">
        <f>Etiquettes!$J$11</f>
        <v>Répartition</v>
      </c>
      <c r="P25" t="str">
        <f t="shared" ref="P25" si="11">_xlfn.CONCAT(K25," = ",MROUND(D24*100,0.01)," % (",M25,")")</f>
        <v>Part d'issues de silo compostées = 0 % (ONRB - FranceAgriMer)</v>
      </c>
      <c r="Q25" t="str">
        <f>Etiquettes!$K$15</f>
        <v>Approximative</v>
      </c>
      <c r="R25" s="642" t="s">
        <v>1813</v>
      </c>
      <c r="S25" s="603" t="str">
        <f>Etiquettes!$H$17</f>
        <v>Donnée collectée (valeur du flux ou coefficient)</v>
      </c>
      <c r="U25" s="693"/>
    </row>
    <row r="26" spans="1:21">
      <c r="A26" s="10">
        <f t="shared" si="0"/>
        <v>13</v>
      </c>
      <c r="B26" t="str">
        <f>Secteurs!$B$4</f>
        <v>OS</v>
      </c>
      <c r="C26" t="str">
        <f>Produits!$B$5</f>
        <v>Issues de silo</v>
      </c>
      <c r="D26" s="29">
        <f>'Prétraitement issues'!F11</f>
        <v>0.1207</v>
      </c>
      <c r="G26" s="10" t="str">
        <f>Etiquettes!$C$3</f>
        <v>kt</v>
      </c>
      <c r="H26" s="10" t="s">
        <v>307</v>
      </c>
      <c r="I26" s="10" t="s">
        <v>1204</v>
      </c>
      <c r="J26" s="10" t="str">
        <f>Etiquettes!$C$4</f>
        <v>France entière</v>
      </c>
      <c r="U26" s="693"/>
    </row>
    <row r="27" spans="1:21">
      <c r="A27" s="10">
        <f t="shared" si="0"/>
        <v>13</v>
      </c>
      <c r="B27" t="str">
        <f>Produits!$B$5</f>
        <v>Issues de silo</v>
      </c>
      <c r="C27" t="str">
        <f>Secteurs!$B$49</f>
        <v>Compostage</v>
      </c>
      <c r="D27">
        <v>-1</v>
      </c>
      <c r="G27" s="10" t="str">
        <f>Etiquettes!$C$3</f>
        <v>kt</v>
      </c>
      <c r="H27" s="10" t="s">
        <v>307</v>
      </c>
      <c r="I27" s="10" t="s">
        <v>1204</v>
      </c>
      <c r="J27" s="10" t="str">
        <f>Etiquettes!$C$4</f>
        <v>France entière</v>
      </c>
      <c r="K27" s="10" t="s">
        <v>1575</v>
      </c>
      <c r="M27" s="10" t="s">
        <v>1603</v>
      </c>
      <c r="N27" t="str" cm="1">
        <f t="array" aca="1" ref="N27" ca="1">[1]!NOM_FEUILLE('Issues maïs - ONRB'!$A$1:$B$1)</f>
        <v>Issues maïs - ONRB</v>
      </c>
      <c r="O27" t="str">
        <f>Etiquettes!$J$11</f>
        <v>Répartition</v>
      </c>
      <c r="P27" t="str">
        <f t="shared" ref="P27" si="12">_xlfn.CONCAT(K27," = ",MROUND(D26*100,0.01)," % (",M27,")")</f>
        <v>Part d'issues de silo compostées = 12,07 % (ONRB - FranceAgriMer)</v>
      </c>
      <c r="Q27" t="str">
        <f>Etiquettes!$K$15</f>
        <v>Approximative</v>
      </c>
      <c r="R27" s="642" t="s">
        <v>1813</v>
      </c>
      <c r="S27" s="603" t="str">
        <f>Etiquettes!$H$17</f>
        <v>Donnée collectée (valeur du flux ou coefficient)</v>
      </c>
      <c r="U27" s="693"/>
    </row>
    <row r="28" spans="1:21">
      <c r="A28" s="10">
        <f t="shared" si="0"/>
        <v>14</v>
      </c>
      <c r="B28" t="str">
        <f>Secteurs!$B$4</f>
        <v>OS</v>
      </c>
      <c r="C28" t="str">
        <f>Produits!$B$5</f>
        <v>Issues de silo</v>
      </c>
      <c r="D28" s="29">
        <f>'Prétraitement issues'!F12</f>
        <v>0</v>
      </c>
      <c r="G28" s="10" t="str">
        <f>Etiquettes!$C$3</f>
        <v>kt</v>
      </c>
      <c r="H28" s="10" t="s">
        <v>309</v>
      </c>
      <c r="I28" s="10" t="s">
        <v>1204</v>
      </c>
      <c r="J28" s="10" t="str">
        <f>Etiquettes!$C$4</f>
        <v>France entière</v>
      </c>
      <c r="U28" s="693"/>
    </row>
    <row r="29" spans="1:21">
      <c r="A29" s="10">
        <f t="shared" si="0"/>
        <v>14</v>
      </c>
      <c r="B29" t="str">
        <f>Produits!$B$5</f>
        <v>Issues de silo</v>
      </c>
      <c r="C29" t="str">
        <f>Secteurs!$B$49</f>
        <v>Compostage</v>
      </c>
      <c r="D29">
        <v>-1</v>
      </c>
      <c r="G29" s="10" t="str">
        <f>Etiquettes!$C$3</f>
        <v>kt</v>
      </c>
      <c r="H29" s="10" t="s">
        <v>309</v>
      </c>
      <c r="I29" s="10" t="s">
        <v>1204</v>
      </c>
      <c r="J29" s="10" t="str">
        <f>Etiquettes!$C$4</f>
        <v>France entière</v>
      </c>
      <c r="K29" s="10" t="s">
        <v>1575</v>
      </c>
      <c r="M29" s="10" t="s">
        <v>1603</v>
      </c>
      <c r="N29" t="str" cm="1">
        <f t="array" aca="1" ref="N29" ca="1">[1]!NOM_FEUILLE('Issues riz - ONRB'!$A$1:$B$1)</f>
        <v>Issues riz - ONRB</v>
      </c>
      <c r="O29" t="str">
        <f>Etiquettes!$J$11</f>
        <v>Répartition</v>
      </c>
      <c r="P29" t="str">
        <f t="shared" ref="P29" si="13">_xlfn.CONCAT(K29," = ",MROUND(D28*100,0.01)," % (",M29,")")</f>
        <v>Part d'issues de silo compostées = 0 % (ONRB - FranceAgriMer)</v>
      </c>
      <c r="Q29" t="str">
        <f>Etiquettes!$K$15</f>
        <v>Approximative</v>
      </c>
      <c r="R29" s="642" t="s">
        <v>1813</v>
      </c>
      <c r="S29" s="603" t="str">
        <f>Etiquettes!$H$17</f>
        <v>Donnée collectée (valeur du flux ou coefficient)</v>
      </c>
      <c r="U29" s="693"/>
    </row>
    <row r="30" spans="1:21">
      <c r="A30" s="10">
        <f t="shared" si="0"/>
        <v>15</v>
      </c>
      <c r="B30" t="str">
        <f>Secteurs!$B$4</f>
        <v>OS</v>
      </c>
      <c r="C30" t="str">
        <f>Produits!$B$5</f>
        <v>Issues de silo</v>
      </c>
      <c r="D30" s="29">
        <f>'Prétraitement issues'!G10</f>
        <v>7.7000000000000002E-3</v>
      </c>
      <c r="G30" s="10" t="str">
        <f>Etiquettes!$C$3</f>
        <v>kt</v>
      </c>
      <c r="H30" s="10" t="s">
        <v>1704</v>
      </c>
      <c r="I30" s="10" t="s">
        <v>1204</v>
      </c>
      <c r="J30" s="10" t="str">
        <f>Etiquettes!$C$4</f>
        <v>France entière</v>
      </c>
      <c r="U30" s="693"/>
    </row>
    <row r="31" spans="1:21">
      <c r="A31" s="10">
        <f t="shared" si="0"/>
        <v>15</v>
      </c>
      <c r="B31" t="str">
        <f>Produits!$B$5</f>
        <v>Issues de silo</v>
      </c>
      <c r="C31" t="str">
        <f>Secteurs!$B$42</f>
        <v>Autres biomatériaux</v>
      </c>
      <c r="D31">
        <v>-1</v>
      </c>
      <c r="G31" s="10" t="str">
        <f>Etiquettes!$C$3</f>
        <v>kt</v>
      </c>
      <c r="H31" s="10" t="s">
        <v>1704</v>
      </c>
      <c r="I31" s="10" t="s">
        <v>1204</v>
      </c>
      <c r="J31" s="10" t="str">
        <f>Etiquettes!$C$4</f>
        <v>France entière</v>
      </c>
      <c r="K31" s="10" t="s">
        <v>1572</v>
      </c>
      <c r="M31" s="10" t="s">
        <v>1603</v>
      </c>
      <c r="N31" t="str" cm="1">
        <f t="array" aca="1" ref="N31" ca="1">[1]!NOM_FEUILLE('Issues céréales - ONRB'!$A$1:$B$1)</f>
        <v>Issues céréales - ONRB</v>
      </c>
      <c r="O31" t="str">
        <f>Etiquettes!$J$11</f>
        <v>Répartition</v>
      </c>
      <c r="P31" t="str">
        <f t="shared" ref="P31" si="14">_xlfn.CONCAT(K31," = ",MROUND(D30*100,0.01)," % (",M31,")")</f>
        <v>Part d'issues de silo consommées comme autres biomatériaux = 0,77 % (ONRB - FranceAgriMer)</v>
      </c>
      <c r="Q31" t="str">
        <f>Etiquettes!$K$15</f>
        <v>Approximative</v>
      </c>
      <c r="R31" s="642" t="s">
        <v>1813</v>
      </c>
      <c r="S31" s="603" t="str">
        <f>Etiquettes!$H$17</f>
        <v>Donnée collectée (valeur du flux ou coefficient)</v>
      </c>
      <c r="U31" s="693"/>
    </row>
    <row r="32" spans="1:21">
      <c r="A32" s="10">
        <f t="shared" si="0"/>
        <v>16</v>
      </c>
      <c r="B32" t="str">
        <f>Secteurs!$B$4</f>
        <v>OS</v>
      </c>
      <c r="C32" t="str">
        <f>Produits!$B$5</f>
        <v>Issues de silo</v>
      </c>
      <c r="D32" s="29">
        <f>'Prétraitement issues'!G11</f>
        <v>6.7999999999999996E-3</v>
      </c>
      <c r="G32" s="10" t="str">
        <f>Etiquettes!$C$3</f>
        <v>kt</v>
      </c>
      <c r="H32" s="10" t="s">
        <v>307</v>
      </c>
      <c r="I32" s="10" t="s">
        <v>1204</v>
      </c>
      <c r="J32" s="10" t="str">
        <f>Etiquettes!$C$4</f>
        <v>France entière</v>
      </c>
      <c r="U32" s="693"/>
    </row>
    <row r="33" spans="1:21">
      <c r="A33" s="10">
        <f t="shared" si="0"/>
        <v>16</v>
      </c>
      <c r="B33" t="str">
        <f>Produits!$B$5</f>
        <v>Issues de silo</v>
      </c>
      <c r="C33" t="str">
        <f>Secteurs!$B$42</f>
        <v>Autres biomatériaux</v>
      </c>
      <c r="D33">
        <v>-1</v>
      </c>
      <c r="G33" s="10" t="str">
        <f>Etiquettes!$C$3</f>
        <v>kt</v>
      </c>
      <c r="H33" s="10" t="s">
        <v>307</v>
      </c>
      <c r="I33" s="10" t="s">
        <v>1204</v>
      </c>
      <c r="J33" s="10" t="str">
        <f>Etiquettes!$C$4</f>
        <v>France entière</v>
      </c>
      <c r="K33" s="10" t="s">
        <v>1572</v>
      </c>
      <c r="M33" s="10" t="s">
        <v>1603</v>
      </c>
      <c r="N33" t="str" cm="1">
        <f t="array" aca="1" ref="N33" ca="1">[1]!NOM_FEUILLE('Issues maïs - ONRB'!$A$1:$B$1)</f>
        <v>Issues maïs - ONRB</v>
      </c>
      <c r="O33" t="str">
        <f>Etiquettes!$J$11</f>
        <v>Répartition</v>
      </c>
      <c r="P33" t="str">
        <f t="shared" ref="P33" si="15">_xlfn.CONCAT(K33," = ",MROUND(D32*100,0.01)," % (",M33,")")</f>
        <v>Part d'issues de silo consommées comme autres biomatériaux = 0,68 % (ONRB - FranceAgriMer)</v>
      </c>
      <c r="Q33" t="str">
        <f>Etiquettes!$K$15</f>
        <v>Approximative</v>
      </c>
      <c r="R33" s="642" t="s">
        <v>1813</v>
      </c>
      <c r="S33" s="603" t="str">
        <f>Etiquettes!$H$17</f>
        <v>Donnée collectée (valeur du flux ou coefficient)</v>
      </c>
      <c r="U33" s="693"/>
    </row>
    <row r="34" spans="1:21">
      <c r="A34" s="10">
        <f t="shared" si="0"/>
        <v>17</v>
      </c>
      <c r="B34" t="str">
        <f>Secteurs!$B$4</f>
        <v>OS</v>
      </c>
      <c r="C34" t="str">
        <f>Produits!$B$5</f>
        <v>Issues de silo</v>
      </c>
      <c r="D34" s="29">
        <f>'Prétraitement issues'!G12</f>
        <v>5.7999999999999996E-3</v>
      </c>
      <c r="G34" s="10" t="str">
        <f>Etiquettes!$C$3</f>
        <v>kt</v>
      </c>
      <c r="H34" s="10" t="s">
        <v>309</v>
      </c>
      <c r="I34" s="10" t="s">
        <v>1204</v>
      </c>
      <c r="J34" s="10" t="str">
        <f>Etiquettes!$C$4</f>
        <v>France entière</v>
      </c>
      <c r="U34" s="693"/>
    </row>
    <row r="35" spans="1:21">
      <c r="A35" s="10">
        <f t="shared" si="0"/>
        <v>17</v>
      </c>
      <c r="B35" t="str">
        <f>Produits!$B$5</f>
        <v>Issues de silo</v>
      </c>
      <c r="C35" t="str">
        <f>Secteurs!$B$42</f>
        <v>Autres biomatériaux</v>
      </c>
      <c r="D35">
        <v>-1</v>
      </c>
      <c r="G35" s="10" t="str">
        <f>Etiquettes!$C$3</f>
        <v>kt</v>
      </c>
      <c r="H35" s="10" t="s">
        <v>309</v>
      </c>
      <c r="I35" s="10" t="s">
        <v>1204</v>
      </c>
      <c r="J35" s="10" t="str">
        <f>Etiquettes!$C$4</f>
        <v>France entière</v>
      </c>
      <c r="K35" s="10" t="s">
        <v>1572</v>
      </c>
      <c r="M35" s="10" t="s">
        <v>1603</v>
      </c>
      <c r="N35" t="str" cm="1">
        <f t="array" aca="1" ref="N35" ca="1">[1]!NOM_FEUILLE('Issues riz - ONRB'!$A$1:$B$1)</f>
        <v>Issues riz - ONRB</v>
      </c>
      <c r="O35" t="str">
        <f>Etiquettes!$J$11</f>
        <v>Répartition</v>
      </c>
      <c r="P35" t="str">
        <f t="shared" ref="P35" si="16">_xlfn.CONCAT(K35," = ",MROUND(D34*100,0.01)," % (",M35,")")</f>
        <v>Part d'issues de silo consommées comme autres biomatériaux = 0,58 % (ONRB - FranceAgriMer)</v>
      </c>
      <c r="Q35" t="str">
        <f>Etiquettes!$K$15</f>
        <v>Approximative</v>
      </c>
      <c r="R35" s="642" t="s">
        <v>1813</v>
      </c>
      <c r="S35" s="603" t="str">
        <f>Etiquettes!$H$17</f>
        <v>Donnée collectée (valeur du flux ou coefficient)</v>
      </c>
      <c r="U35" s="693"/>
    </row>
    <row r="36" spans="1:21">
      <c r="A36" s="10">
        <f t="shared" si="0"/>
        <v>18</v>
      </c>
      <c r="B36" t="str">
        <f>Secteurs!$B$4</f>
        <v>OS</v>
      </c>
      <c r="C36" t="str">
        <f>Produits!$B$5</f>
        <v>Issues de silo</v>
      </c>
      <c r="D36" s="29">
        <f>'Prétraitement issues'!H10</f>
        <v>0.40720000000000001</v>
      </c>
      <c r="G36" s="10" t="str">
        <f>Etiquettes!$C$3</f>
        <v>kt</v>
      </c>
      <c r="H36" s="10" t="s">
        <v>1704</v>
      </c>
      <c r="I36" s="10" t="s">
        <v>1204</v>
      </c>
      <c r="J36" s="10" t="str">
        <f>Etiquettes!$C$4</f>
        <v>France entière</v>
      </c>
      <c r="U36" s="693"/>
    </row>
    <row r="37" spans="1:21">
      <c r="A37" s="10">
        <f t="shared" si="0"/>
        <v>18</v>
      </c>
      <c r="B37" t="str">
        <f>Produits!$B$5</f>
        <v>Issues de silo</v>
      </c>
      <c r="C37" t="str">
        <f>Secteurs!$B$45</f>
        <v>Méthanisation</v>
      </c>
      <c r="D37">
        <v>-1</v>
      </c>
      <c r="G37" s="10" t="str">
        <f>Etiquettes!$C$3</f>
        <v>kt</v>
      </c>
      <c r="H37" s="10" t="s">
        <v>1704</v>
      </c>
      <c r="I37" s="10" t="s">
        <v>1204</v>
      </c>
      <c r="J37" s="10" t="str">
        <f>Etiquettes!$C$4</f>
        <v>France entière</v>
      </c>
      <c r="K37" s="10" t="s">
        <v>1574</v>
      </c>
      <c r="M37" s="10" t="s">
        <v>1603</v>
      </c>
      <c r="N37" t="str" cm="1">
        <f t="array" aca="1" ref="N37" ca="1">[1]!NOM_FEUILLE('Issues céréales - ONRB'!$A$1:$B$1)</f>
        <v>Issues céréales - ONRB</v>
      </c>
      <c r="O37" t="str">
        <f>Etiquettes!$J$11</f>
        <v>Répartition</v>
      </c>
      <c r="P37" t="str">
        <f t="shared" ref="P37" si="17">_xlfn.CONCAT(K37," = ",MROUND(D36*100,0.01)," % (",M37,")")</f>
        <v>Part d'issues de silo consommées en méthanisation = 40,72 % (ONRB - FranceAgriMer)</v>
      </c>
      <c r="Q37" t="str">
        <f>Etiquettes!$K$15</f>
        <v>Approximative</v>
      </c>
      <c r="R37" s="642" t="s">
        <v>1813</v>
      </c>
      <c r="S37" s="603" t="str">
        <f>Etiquettes!$H$17</f>
        <v>Donnée collectée (valeur du flux ou coefficient)</v>
      </c>
      <c r="U37" s="693"/>
    </row>
    <row r="38" spans="1:21">
      <c r="A38" s="10">
        <f t="shared" si="0"/>
        <v>19</v>
      </c>
      <c r="B38" t="str">
        <f>Secteurs!$B$4</f>
        <v>OS</v>
      </c>
      <c r="C38" t="str">
        <f>Produits!$B$5</f>
        <v>Issues de silo</v>
      </c>
      <c r="D38" s="29">
        <f>'Prétraitement issues'!H11</f>
        <v>0.35809999999999997</v>
      </c>
      <c r="G38" s="10" t="str">
        <f>Etiquettes!$C$3</f>
        <v>kt</v>
      </c>
      <c r="H38" s="10" t="s">
        <v>307</v>
      </c>
      <c r="I38" s="10" t="s">
        <v>1204</v>
      </c>
      <c r="J38" s="10" t="str">
        <f>Etiquettes!$C$4</f>
        <v>France entière</v>
      </c>
      <c r="U38" s="693"/>
    </row>
    <row r="39" spans="1:21">
      <c r="A39" s="10">
        <f>A37+1</f>
        <v>19</v>
      </c>
      <c r="B39" t="str">
        <f>Produits!$B$5</f>
        <v>Issues de silo</v>
      </c>
      <c r="C39" t="str">
        <f>Secteurs!$B$45</f>
        <v>Méthanisation</v>
      </c>
      <c r="D39">
        <v>-1</v>
      </c>
      <c r="G39" s="10" t="str">
        <f>Etiquettes!$C$3</f>
        <v>kt</v>
      </c>
      <c r="H39" s="10" t="s">
        <v>307</v>
      </c>
      <c r="I39" s="10" t="s">
        <v>1204</v>
      </c>
      <c r="J39" s="10" t="str">
        <f>Etiquettes!$C$4</f>
        <v>France entière</v>
      </c>
      <c r="K39" s="10" t="s">
        <v>1574</v>
      </c>
      <c r="M39" s="10" t="s">
        <v>1603</v>
      </c>
      <c r="N39" t="str" cm="1">
        <f t="array" aca="1" ref="N39" ca="1">[1]!NOM_FEUILLE('Issues maïs - ONRB'!$A$1:$B$1)</f>
        <v>Issues maïs - ONRB</v>
      </c>
      <c r="O39" t="str">
        <f>Etiquettes!$J$11</f>
        <v>Répartition</v>
      </c>
      <c r="P39" t="str">
        <f t="shared" ref="P39" si="18">_xlfn.CONCAT(K39," = ",MROUND(D38*100,0.01)," % (",M39,")")</f>
        <v>Part d'issues de silo consommées en méthanisation = 35,81 % (ONRB - FranceAgriMer)</v>
      </c>
      <c r="Q39" t="str">
        <f>Etiquettes!$K$15</f>
        <v>Approximative</v>
      </c>
      <c r="R39" s="642" t="s">
        <v>1813</v>
      </c>
      <c r="S39" s="603" t="str">
        <f>Etiquettes!$H$17</f>
        <v>Donnée collectée (valeur du flux ou coefficient)</v>
      </c>
      <c r="U39" s="693"/>
    </row>
    <row r="40" spans="1:21">
      <c r="A40" s="10">
        <f t="shared" si="0"/>
        <v>20</v>
      </c>
      <c r="B40" t="str">
        <f>Secteurs!$B$4</f>
        <v>OS</v>
      </c>
      <c r="C40" t="str">
        <f>Produits!$B$5</f>
        <v>Issues de silo</v>
      </c>
      <c r="D40" s="29">
        <f>'Prétraitement issues'!H12</f>
        <v>0.4103</v>
      </c>
      <c r="G40" s="10" t="str">
        <f>Etiquettes!$C$3</f>
        <v>kt</v>
      </c>
      <c r="H40" s="10" t="s">
        <v>309</v>
      </c>
      <c r="I40" s="10" t="s">
        <v>1204</v>
      </c>
      <c r="J40" s="10" t="str">
        <f>Etiquettes!$C$4</f>
        <v>France entière</v>
      </c>
      <c r="U40" s="693"/>
    </row>
    <row r="41" spans="1:21">
      <c r="A41" s="10">
        <f t="shared" si="0"/>
        <v>20</v>
      </c>
      <c r="B41" t="str">
        <f>Produits!$B$5</f>
        <v>Issues de silo</v>
      </c>
      <c r="C41" t="str">
        <f>Secteurs!$B$45</f>
        <v>Méthanisation</v>
      </c>
      <c r="D41">
        <v>-1</v>
      </c>
      <c r="G41" s="10" t="str">
        <f>Etiquettes!$C$3</f>
        <v>kt</v>
      </c>
      <c r="H41" s="10" t="s">
        <v>309</v>
      </c>
      <c r="I41" s="10" t="s">
        <v>1204</v>
      </c>
      <c r="J41" s="10" t="str">
        <f>Etiquettes!$C$4</f>
        <v>France entière</v>
      </c>
      <c r="K41" s="10" t="s">
        <v>1574</v>
      </c>
      <c r="M41" s="10" t="s">
        <v>1603</v>
      </c>
      <c r="N41" t="str" cm="1">
        <f t="array" aca="1" ref="N41" ca="1">[1]!NOM_FEUILLE('Issues riz - ONRB'!$A$1:$B$1)</f>
        <v>Issues riz - ONRB</v>
      </c>
      <c r="O41" t="str">
        <f>Etiquettes!$J$11</f>
        <v>Répartition</v>
      </c>
      <c r="P41" t="str">
        <f t="shared" ref="P41" si="19">_xlfn.CONCAT(K41," = ",MROUND(D40*100,0.01)," % (",M41,")")</f>
        <v>Part d'issues de silo consommées en méthanisation = 41,03 % (ONRB - FranceAgriMer)</v>
      </c>
      <c r="Q41" t="str">
        <f>Etiquettes!$K$15</f>
        <v>Approximative</v>
      </c>
      <c r="R41" s="642" t="s">
        <v>1813</v>
      </c>
      <c r="S41" s="603" t="str">
        <f>Etiquettes!$H$17</f>
        <v>Donnée collectée (valeur du flux ou coefficient)</v>
      </c>
      <c r="U41" s="693"/>
    </row>
    <row r="42" spans="1:21">
      <c r="A42" s="10">
        <f t="shared" si="0"/>
        <v>21</v>
      </c>
      <c r="B42" t="str">
        <f>Secteurs!$B$4</f>
        <v>OS</v>
      </c>
      <c r="C42" t="str">
        <f>Produits!$B$5</f>
        <v>Issues de silo</v>
      </c>
      <c r="D42" s="29">
        <f>'Prétraitement issues'!I10</f>
        <v>1.03E-2</v>
      </c>
      <c r="G42" s="10" t="str">
        <f>Etiquettes!$C$3</f>
        <v>kt</v>
      </c>
      <c r="H42" s="10" t="s">
        <v>1704</v>
      </c>
      <c r="I42" s="10" t="s">
        <v>1204</v>
      </c>
      <c r="J42" s="10" t="str">
        <f>Etiquettes!$C$4</f>
        <v>France entière</v>
      </c>
      <c r="U42" s="693"/>
    </row>
    <row r="43" spans="1:21">
      <c r="A43" s="10">
        <f t="shared" si="0"/>
        <v>21</v>
      </c>
      <c r="B43" t="str">
        <f>Produits!$B$5</f>
        <v>Issues de silo</v>
      </c>
      <c r="C43" t="str">
        <f>Secteurs!$B$46</f>
        <v>Combustion</v>
      </c>
      <c r="D43">
        <v>-1</v>
      </c>
      <c r="G43" s="10" t="str">
        <f>Etiquettes!$C$3</f>
        <v>kt</v>
      </c>
      <c r="H43" s="10" t="s">
        <v>1704</v>
      </c>
      <c r="I43" s="10" t="s">
        <v>1204</v>
      </c>
      <c r="J43" s="10" t="str">
        <f>Etiquettes!$C$4</f>
        <v>France entière</v>
      </c>
      <c r="K43" s="10" t="s">
        <v>1576</v>
      </c>
      <c r="M43" s="10" t="s">
        <v>1603</v>
      </c>
      <c r="N43" t="str" cm="1">
        <f t="array" aca="1" ref="N43" ca="1">[1]!NOM_FEUILLE('Issues céréales - ONRB'!$A$1:$B$1)</f>
        <v>Issues céréales - ONRB</v>
      </c>
      <c r="O43" t="str">
        <f>Etiquettes!$J$11</f>
        <v>Répartition</v>
      </c>
      <c r="P43" t="str">
        <f t="shared" ref="P43" si="20">_xlfn.CONCAT(K43," = ",MROUND(D42*100,0.01)," % (",M43,")")</f>
        <v>Part d'issues de silo brûlées = 1,03 % (ONRB - FranceAgriMer)</v>
      </c>
      <c r="Q43" t="str">
        <f>Etiquettes!$K$15</f>
        <v>Approximative</v>
      </c>
      <c r="R43" s="642" t="s">
        <v>1813</v>
      </c>
      <c r="S43" s="603" t="str">
        <f>Etiquettes!$H$17</f>
        <v>Donnée collectée (valeur du flux ou coefficient)</v>
      </c>
      <c r="U43" s="693"/>
    </row>
    <row r="44" spans="1:21">
      <c r="A44" s="10">
        <f t="shared" si="0"/>
        <v>22</v>
      </c>
      <c r="B44" t="str">
        <f>Secteurs!$B$4</f>
        <v>OS</v>
      </c>
      <c r="C44" t="str">
        <f>Produits!$B$5</f>
        <v>Issues de silo</v>
      </c>
      <c r="D44" s="29">
        <f>'Prétraitement issues'!I11</f>
        <v>8.9999999999999993E-3</v>
      </c>
      <c r="G44" s="10" t="str">
        <f>Etiquettes!$C$3</f>
        <v>kt</v>
      </c>
      <c r="H44" s="10" t="s">
        <v>307</v>
      </c>
      <c r="I44" s="10" t="s">
        <v>1204</v>
      </c>
      <c r="J44" s="10" t="str">
        <f>Etiquettes!$C$4</f>
        <v>France entière</v>
      </c>
      <c r="U44" s="693"/>
    </row>
    <row r="45" spans="1:21">
      <c r="A45" s="10">
        <f t="shared" si="0"/>
        <v>22</v>
      </c>
      <c r="B45" t="str">
        <f>Produits!$B$5</f>
        <v>Issues de silo</v>
      </c>
      <c r="C45" t="str">
        <f>Secteurs!$B$46</f>
        <v>Combustion</v>
      </c>
      <c r="D45">
        <v>-1</v>
      </c>
      <c r="G45" s="10" t="str">
        <f>Etiquettes!$C$3</f>
        <v>kt</v>
      </c>
      <c r="H45" s="10" t="s">
        <v>307</v>
      </c>
      <c r="I45" s="10" t="s">
        <v>1204</v>
      </c>
      <c r="J45" s="10" t="str">
        <f>Etiquettes!$C$4</f>
        <v>France entière</v>
      </c>
      <c r="K45" s="10" t="s">
        <v>1576</v>
      </c>
      <c r="M45" s="10" t="s">
        <v>1603</v>
      </c>
      <c r="N45" t="str" cm="1">
        <f t="array" aca="1" ref="N45" ca="1">[1]!NOM_FEUILLE('Issues maïs - ONRB'!$A$1:$B$1)</f>
        <v>Issues maïs - ONRB</v>
      </c>
      <c r="O45" t="str">
        <f>Etiquettes!$J$11</f>
        <v>Répartition</v>
      </c>
      <c r="P45" t="str">
        <f t="shared" ref="P45" si="21">_xlfn.CONCAT(K45," = ",MROUND(D44*100,0.01)," % (",M45,")")</f>
        <v>Part d'issues de silo brûlées = 0,9 % (ONRB - FranceAgriMer)</v>
      </c>
      <c r="Q45" t="str">
        <f>Etiquettes!$K$15</f>
        <v>Approximative</v>
      </c>
      <c r="R45" s="642" t="s">
        <v>1813</v>
      </c>
      <c r="S45" s="603" t="str">
        <f>Etiquettes!$H$17</f>
        <v>Donnée collectée (valeur du flux ou coefficient)</v>
      </c>
      <c r="U45" s="693"/>
    </row>
    <row r="46" spans="1:21">
      <c r="A46" s="10">
        <f t="shared" si="0"/>
        <v>23</v>
      </c>
      <c r="B46" t="str">
        <f>Secteurs!$B$4</f>
        <v>OS</v>
      </c>
      <c r="C46" t="str">
        <f>Produits!$B$5</f>
        <v>Issues de silo</v>
      </c>
      <c r="D46" s="29">
        <f>'Prétraitement issues'!I12</f>
        <v>1.03E-2</v>
      </c>
      <c r="G46" s="10" t="str">
        <f>Etiquettes!$C$3</f>
        <v>kt</v>
      </c>
      <c r="H46" s="10" t="s">
        <v>309</v>
      </c>
      <c r="I46" s="10" t="s">
        <v>1204</v>
      </c>
      <c r="J46" s="10" t="str">
        <f>Etiquettes!$C$4</f>
        <v>France entière</v>
      </c>
      <c r="U46" s="693"/>
    </row>
    <row r="47" spans="1:21">
      <c r="A47" s="10">
        <f t="shared" si="0"/>
        <v>23</v>
      </c>
      <c r="B47" t="str">
        <f>Produits!$B$5</f>
        <v>Issues de silo</v>
      </c>
      <c r="C47" t="str">
        <f>Secteurs!$B$46</f>
        <v>Combustion</v>
      </c>
      <c r="D47">
        <v>-1</v>
      </c>
      <c r="G47" s="10" t="str">
        <f>Etiquettes!$C$3</f>
        <v>kt</v>
      </c>
      <c r="H47" s="10" t="s">
        <v>309</v>
      </c>
      <c r="I47" s="10" t="s">
        <v>1204</v>
      </c>
      <c r="J47" s="10" t="str">
        <f>Etiquettes!$C$4</f>
        <v>France entière</v>
      </c>
      <c r="K47" s="10" t="s">
        <v>1576</v>
      </c>
      <c r="M47" s="10" t="s">
        <v>1603</v>
      </c>
      <c r="N47" t="str" cm="1">
        <f t="array" aca="1" ref="N47" ca="1">[1]!NOM_FEUILLE('Issues riz - ONRB'!$A$1:$B$1)</f>
        <v>Issues riz - ONRB</v>
      </c>
      <c r="O47" t="str">
        <f>Etiquettes!$J$11</f>
        <v>Répartition</v>
      </c>
      <c r="P47" t="str">
        <f t="shared" ref="P47" si="22">_xlfn.CONCAT(K47," = ",MROUND(D46*100,0.01)," % (",M47,")")</f>
        <v>Part d'issues de silo brûlées = 1,03 % (ONRB - FranceAgriMer)</v>
      </c>
      <c r="Q47" t="str">
        <f>Etiquettes!$K$15</f>
        <v>Approximative</v>
      </c>
      <c r="R47" s="642" t="s">
        <v>1813</v>
      </c>
      <c r="S47" s="603" t="str">
        <f>Etiquettes!$H$17</f>
        <v>Donnée collectée (valeur du flux ou coefficient)</v>
      </c>
      <c r="U47" s="693"/>
    </row>
    <row r="48" spans="1:21">
      <c r="A48" s="10">
        <f t="shared" si="0"/>
        <v>24</v>
      </c>
      <c r="B48" t="str">
        <f>Secteurs!$B$4</f>
        <v>OS</v>
      </c>
      <c r="C48" t="str">
        <f>Produits!$B$5</f>
        <v>Issues de silo</v>
      </c>
      <c r="D48" s="29">
        <f>'Prétraitement issues'!J10</f>
        <v>3.8E-3</v>
      </c>
      <c r="G48" s="10" t="str">
        <f>Etiquettes!$C$3</f>
        <v>kt</v>
      </c>
      <c r="H48" s="10" t="s">
        <v>1704</v>
      </c>
      <c r="I48" s="10" t="s">
        <v>1204</v>
      </c>
      <c r="J48" s="10" t="str">
        <f>Etiquettes!$C$4</f>
        <v>France entière</v>
      </c>
      <c r="U48" s="693"/>
    </row>
    <row r="49" spans="1:21">
      <c r="A49" s="10">
        <f t="shared" si="0"/>
        <v>24</v>
      </c>
      <c r="B49" t="str">
        <f>Produits!$B$5</f>
        <v>Issues de silo</v>
      </c>
      <c r="C49" t="str">
        <f>Secteurs!$B$52</f>
        <v>Elimination/Pertes</v>
      </c>
      <c r="D49">
        <v>-1</v>
      </c>
      <c r="G49" s="10" t="str">
        <f>Etiquettes!$C$3</f>
        <v>kt</v>
      </c>
      <c r="H49" s="10" t="s">
        <v>1704</v>
      </c>
      <c r="I49" s="10" t="s">
        <v>1204</v>
      </c>
      <c r="J49" s="10" t="str">
        <f>Etiquettes!$C$4</f>
        <v>France entière</v>
      </c>
      <c r="K49" s="10" t="s">
        <v>1577</v>
      </c>
      <c r="M49" s="10" t="s">
        <v>1603</v>
      </c>
      <c r="N49" t="str" cm="1">
        <f t="array" aca="1" ref="N49" ca="1">[1]!NOM_FEUILLE('Issues céréales - ONRB'!$A$1:$B$1)</f>
        <v>Issues céréales - ONRB</v>
      </c>
      <c r="O49" t="str">
        <f>Etiquettes!$J$11</f>
        <v>Répartition</v>
      </c>
      <c r="P49" t="str">
        <f t="shared" ref="P49" si="23">_xlfn.CONCAT(K49," = ",MROUND(D48*100,0.01)," % (",M49,")")</f>
        <v>Part d'issues de silo éliminées = 0,38 % (ONRB - FranceAgriMer)</v>
      </c>
      <c r="Q49" t="str">
        <f>Etiquettes!$K$15</f>
        <v>Approximative</v>
      </c>
      <c r="R49" s="642" t="s">
        <v>1813</v>
      </c>
      <c r="S49" s="603" t="str">
        <f>Etiquettes!$H$17</f>
        <v>Donnée collectée (valeur du flux ou coefficient)</v>
      </c>
      <c r="U49" s="693"/>
    </row>
    <row r="50" spans="1:21">
      <c r="A50" s="10">
        <f t="shared" si="0"/>
        <v>25</v>
      </c>
      <c r="B50" t="str">
        <f>Secteurs!$B$4</f>
        <v>OS</v>
      </c>
      <c r="C50" t="str">
        <f>Produits!$B$5</f>
        <v>Issues de silo</v>
      </c>
      <c r="D50" s="29">
        <f>'Prétraitement issues'!J11</f>
        <v>3.3E-3</v>
      </c>
      <c r="G50" s="10" t="str">
        <f>Etiquettes!$C$3</f>
        <v>kt</v>
      </c>
      <c r="H50" s="10" t="s">
        <v>307</v>
      </c>
      <c r="I50" s="10" t="s">
        <v>1204</v>
      </c>
      <c r="J50" s="10" t="str">
        <f>Etiquettes!$C$4</f>
        <v>France entière</v>
      </c>
      <c r="U50" s="693"/>
    </row>
    <row r="51" spans="1:21">
      <c r="A51" s="10">
        <f t="shared" si="0"/>
        <v>25</v>
      </c>
      <c r="B51" t="str">
        <f>Produits!$B$5</f>
        <v>Issues de silo</v>
      </c>
      <c r="C51" t="str">
        <f>Secteurs!$B$52</f>
        <v>Elimination/Pertes</v>
      </c>
      <c r="D51">
        <v>-1</v>
      </c>
      <c r="G51" s="10" t="str">
        <f>Etiquettes!$C$3</f>
        <v>kt</v>
      </c>
      <c r="H51" s="10" t="s">
        <v>307</v>
      </c>
      <c r="I51" s="10" t="s">
        <v>1204</v>
      </c>
      <c r="J51" s="10" t="str">
        <f>Etiquettes!$C$4</f>
        <v>France entière</v>
      </c>
      <c r="K51" s="10" t="s">
        <v>1577</v>
      </c>
      <c r="M51" s="10" t="s">
        <v>1603</v>
      </c>
      <c r="N51" t="str" cm="1">
        <f t="array" aca="1" ref="N51" ca="1">[1]!NOM_FEUILLE('Issues maïs - ONRB'!$A$1:$B$1)</f>
        <v>Issues maïs - ONRB</v>
      </c>
      <c r="O51" t="str">
        <f>Etiquettes!$J$11</f>
        <v>Répartition</v>
      </c>
      <c r="P51" t="str">
        <f t="shared" ref="P51" si="24">_xlfn.CONCAT(K51," = ",MROUND(D50*100,0.01)," % (",M51,")")</f>
        <v>Part d'issues de silo éliminées = 0,33 % (ONRB - FranceAgriMer)</v>
      </c>
      <c r="Q51" t="str">
        <f>Etiquettes!$K$15</f>
        <v>Approximative</v>
      </c>
      <c r="R51" s="642" t="s">
        <v>1813</v>
      </c>
      <c r="S51" s="603" t="str">
        <f>Etiquettes!$H$17</f>
        <v>Donnée collectée (valeur du flux ou coefficient)</v>
      </c>
      <c r="U51" s="693"/>
    </row>
    <row r="52" spans="1:21">
      <c r="A52" s="10">
        <f t="shared" si="0"/>
        <v>26</v>
      </c>
      <c r="B52" t="str">
        <f>Secteurs!$B$4</f>
        <v>OS</v>
      </c>
      <c r="C52" t="str">
        <f>Produits!$B$5</f>
        <v>Issues de silo</v>
      </c>
      <c r="D52" s="29">
        <f>'Prétraitement issues'!J12</f>
        <v>3.7000000000000002E-3</v>
      </c>
      <c r="G52" s="10" t="str">
        <f>Etiquettes!$C$3</f>
        <v>kt</v>
      </c>
      <c r="H52" s="10" t="s">
        <v>309</v>
      </c>
      <c r="I52" s="10" t="s">
        <v>1204</v>
      </c>
      <c r="J52" s="10" t="str">
        <f>Etiquettes!$C$4</f>
        <v>France entière</v>
      </c>
      <c r="U52" s="693"/>
    </row>
    <row r="53" spans="1:21">
      <c r="A53" s="10">
        <f t="shared" si="0"/>
        <v>26</v>
      </c>
      <c r="B53" t="str">
        <f>Produits!$B$5</f>
        <v>Issues de silo</v>
      </c>
      <c r="C53" t="str">
        <f>Secteurs!$B$52</f>
        <v>Elimination/Pertes</v>
      </c>
      <c r="D53">
        <v>-1</v>
      </c>
      <c r="G53" s="10" t="str">
        <f>Etiquettes!$C$3</f>
        <v>kt</v>
      </c>
      <c r="H53" s="10" t="s">
        <v>309</v>
      </c>
      <c r="I53" s="10" t="s">
        <v>1204</v>
      </c>
      <c r="J53" s="10" t="str">
        <f>Etiquettes!$C$4</f>
        <v>France entière</v>
      </c>
      <c r="K53" s="10" t="s">
        <v>1577</v>
      </c>
      <c r="M53" s="10" t="s">
        <v>1603</v>
      </c>
      <c r="N53" t="str" cm="1">
        <f t="array" aca="1" ref="N53" ca="1">[1]!NOM_FEUILLE('Issues riz - ONRB'!$A$1:$B$1)</f>
        <v>Issues riz - ONRB</v>
      </c>
      <c r="O53" t="str">
        <f>Etiquettes!$J$11</f>
        <v>Répartition</v>
      </c>
      <c r="P53" t="str">
        <f t="shared" ref="P53" si="25">_xlfn.CONCAT(K53," = ",MROUND(D52*100,0.01)," % (",M53,")")</f>
        <v>Part d'issues de silo éliminées = 0,37 % (ONRB - FranceAgriMer)</v>
      </c>
      <c r="Q53" t="str">
        <f>Etiquettes!$K$15</f>
        <v>Approximative</v>
      </c>
      <c r="R53" s="642" t="s">
        <v>1813</v>
      </c>
      <c r="S53" s="603" t="str">
        <f>Etiquettes!$H$17</f>
        <v>Donnée collectée (valeur du flux ou coefficient)</v>
      </c>
      <c r="U53" s="693"/>
    </row>
  </sheetData>
  <mergeCells count="2">
    <mergeCell ref="U2:U11"/>
    <mergeCell ref="U12:U5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09B83-43E5-4888-9AAB-26BF686AC053}">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U34" sqref="U34"/>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6" customWidth="1"/>
    <col min="14" max="14" width="9.5546875" bestFit="1" customWidth="1"/>
  </cols>
  <sheetData>
    <row r="1" spans="1:17" ht="15" thickBot="1">
      <c r="A1" s="22" t="s">
        <v>14</v>
      </c>
      <c r="B1" s="23" t="s">
        <v>15</v>
      </c>
      <c r="C1" s="23" t="s">
        <v>16</v>
      </c>
      <c r="D1" s="23" t="s">
        <v>18</v>
      </c>
      <c r="E1" t="str" cm="1">
        <f t="array" aca="1" ref="E1:Q27" ca="1">_xlfn._xlws.FILTER(Contraintes!G1:S200,ISTEXT(Contraintes!O1:O200))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27">_xlfn._xlws.FILTER(Contraintes!B2:C200,ISTEXT(Contraintes!O2:O200))</f>
        <v>OS</v>
      </c>
      <c r="B2" t="str">
        <v>Issues de silo</v>
      </c>
      <c r="E2" t="str">
        <f ca="1"/>
        <v>kt</v>
      </c>
      <c r="F2" t="str">
        <f ca="1"/>
        <v>Blé tendre:Blé dur</v>
      </c>
      <c r="G2" t="str">
        <f ca="1"/>
        <v>2015-16:2019-20:2023-24</v>
      </c>
      <c r="H2" t="str">
        <f ca="1"/>
        <v>France entière</v>
      </c>
      <c r="I2" t="str">
        <f ca="1"/>
        <v>Ratio d'issues de silo</v>
      </c>
      <c r="J2">
        <f ca="1"/>
        <v>0</v>
      </c>
      <c r="K2" t="str">
        <f ca="1"/>
        <v>ONRB - FranceAgriMer</v>
      </c>
      <c r="L2" t="str">
        <f ca="1"/>
        <v>Issues céréales - ONRB</v>
      </c>
      <c r="M2" t="str">
        <f ca="1"/>
        <v>Rendement</v>
      </c>
      <c r="N2" t="str">
        <f ca="1"/>
        <v>Ratio d'issues de silo = 0,35 % (ONRB - FranceAgriMer)</v>
      </c>
      <c r="O2" t="str">
        <f ca="1"/>
        <v>Approximative</v>
      </c>
      <c r="P2" t="str">
        <f ca="1"/>
        <v>Données collectées:Données déterminées</v>
      </c>
      <c r="Q2" t="str">
        <f ca="1"/>
        <v>Donnée collectée (valeur du flux ou coefficient)</v>
      </c>
    </row>
    <row r="3" spans="1:17">
      <c r="A3" t="str">
        <v>OS</v>
      </c>
      <c r="B3" t="str">
        <v>Issues de silo</v>
      </c>
      <c r="E3" t="str">
        <f ca="1"/>
        <v>kt</v>
      </c>
      <c r="F3" t="str">
        <f ca="1"/>
        <v>Orge</v>
      </c>
      <c r="G3" t="str">
        <f ca="1"/>
        <v>2015-16:2019-20:2023-24</v>
      </c>
      <c r="H3" t="str">
        <f ca="1"/>
        <v>France entière</v>
      </c>
      <c r="I3" t="str">
        <f ca="1"/>
        <v>Ratio d'issues de silo</v>
      </c>
      <c r="J3">
        <f ca="1"/>
        <v>0</v>
      </c>
      <c r="K3" t="str">
        <f ca="1"/>
        <v>ONRB - FranceAgriMer</v>
      </c>
      <c r="L3" t="str">
        <f ca="1"/>
        <v>Issues céréales - ONRB</v>
      </c>
      <c r="M3" t="str">
        <f ca="1"/>
        <v>Rendement</v>
      </c>
      <c r="N3" t="str">
        <f ca="1"/>
        <v>Ratio d'issues de silo = 1,1 % (ONRB - FranceAgriMer)</v>
      </c>
      <c r="O3" t="str">
        <f ca="1"/>
        <v>Approximative</v>
      </c>
      <c r="P3" t="str">
        <f ca="1"/>
        <v>Données collectées:Données déterminées</v>
      </c>
      <c r="Q3" t="str">
        <f ca="1"/>
        <v>Donnée collectée (valeur du flux ou coefficient)</v>
      </c>
    </row>
    <row r="4" spans="1:17">
      <c r="A4" t="str">
        <v>OS</v>
      </c>
      <c r="B4" t="str">
        <v>Issues de silo</v>
      </c>
      <c r="E4" t="str">
        <f ca="1"/>
        <v>kt</v>
      </c>
      <c r="F4" t="str">
        <f ca="1"/>
        <v>Triticale:Sorgho:Avoine:Seigle:Sarrasin:Epeautre:Millet</v>
      </c>
      <c r="G4" t="str">
        <f ca="1"/>
        <v>2015-16:2019-20:2023-24</v>
      </c>
      <c r="H4" t="str">
        <f ca="1"/>
        <v>France entière</v>
      </c>
      <c r="I4" t="str">
        <f ca="1"/>
        <v>Ratio d'issues de silo</v>
      </c>
      <c r="J4">
        <f ca="1"/>
        <v>0</v>
      </c>
      <c r="K4" t="str">
        <f ca="1"/>
        <v>ONRB - FranceAgriMer</v>
      </c>
      <c r="L4" t="str">
        <f ca="1"/>
        <v>Issues céréales - ONRB</v>
      </c>
      <c r="M4" t="str">
        <f ca="1"/>
        <v>Rendement</v>
      </c>
      <c r="N4" t="str">
        <f ca="1"/>
        <v>Ratio d'issues de silo = 0,5 % (ONRB - FranceAgriMer)</v>
      </c>
      <c r="O4" t="str">
        <f ca="1"/>
        <v>Approximative</v>
      </c>
      <c r="P4" t="str">
        <f ca="1"/>
        <v>Données collectées:Données déterminées</v>
      </c>
      <c r="Q4" t="str">
        <f ca="1"/>
        <v>Donnée collectée (valeur du flux ou coefficient)</v>
      </c>
    </row>
    <row r="5" spans="1:17">
      <c r="A5" t="str">
        <v>OS</v>
      </c>
      <c r="B5" t="str">
        <v>Issues de silo</v>
      </c>
      <c r="E5" t="str">
        <f ca="1"/>
        <v>kt</v>
      </c>
      <c r="F5" t="str">
        <f ca="1"/>
        <v>Maïs</v>
      </c>
      <c r="G5" t="str">
        <f ca="1"/>
        <v>2015-16:2019-20:2023-24</v>
      </c>
      <c r="H5" t="str">
        <f ca="1"/>
        <v>France entière</v>
      </c>
      <c r="I5" t="str">
        <f ca="1"/>
        <v>Ratio d'issues de silo</v>
      </c>
      <c r="J5">
        <f ca="1"/>
        <v>0</v>
      </c>
      <c r="K5" t="str">
        <f ca="1"/>
        <v>ONRB - FranceAgriMer</v>
      </c>
      <c r="L5" t="str">
        <f ca="1"/>
        <v>Issues maïs - ONRB</v>
      </c>
      <c r="M5" t="str">
        <f ca="1"/>
        <v>Rendement</v>
      </c>
      <c r="N5" t="str">
        <f ca="1"/>
        <v>Ratio d'issues de silo = 0,8 % (ONRB - FranceAgriMer)</v>
      </c>
      <c r="O5" t="str">
        <f ca="1"/>
        <v>Approximative</v>
      </c>
      <c r="P5" t="str">
        <f ca="1"/>
        <v>Données collectées:Données déterminées</v>
      </c>
      <c r="Q5" t="str">
        <f ca="1"/>
        <v>Donnée collectée (valeur du flux ou coefficient)</v>
      </c>
    </row>
    <row r="6" spans="1:17">
      <c r="A6" t="str">
        <v>OS</v>
      </c>
      <c r="B6" t="str">
        <v>Issues de silo</v>
      </c>
      <c r="E6" t="str">
        <f ca="1"/>
        <v>kt</v>
      </c>
      <c r="F6" t="str">
        <f ca="1"/>
        <v>Riz</v>
      </c>
      <c r="G6" t="str">
        <f ca="1"/>
        <v>2015-16:2019-20:2023-24</v>
      </c>
      <c r="H6" t="str">
        <f ca="1"/>
        <v>France entière</v>
      </c>
      <c r="I6" t="str">
        <f ca="1"/>
        <v>Ratio d'issues de silo</v>
      </c>
      <c r="J6">
        <f ca="1"/>
        <v>0</v>
      </c>
      <c r="K6" t="str">
        <f ca="1"/>
        <v>ONRB - FranceAgriMer</v>
      </c>
      <c r="L6" t="str">
        <f ca="1"/>
        <v>Issues riz - ONRB</v>
      </c>
      <c r="M6" t="str">
        <f ca="1"/>
        <v>Rendement</v>
      </c>
      <c r="N6" t="str">
        <f ca="1"/>
        <v>Ratio d'issues de silo = 0,5 % (ONRB - FranceAgriMer)</v>
      </c>
      <c r="O6" t="str">
        <f ca="1"/>
        <v>Approximative</v>
      </c>
      <c r="P6" t="str">
        <f ca="1"/>
        <v>Données collectées:Données déterminées</v>
      </c>
      <c r="Q6" t="str">
        <f ca="1"/>
        <v>Donnée collectée (valeur du flux ou coefficient)</v>
      </c>
    </row>
    <row r="7" spans="1:17">
      <c r="A7" t="str">
        <v>Issues de silo</v>
      </c>
      <c r="B7" t="str">
        <v>FAF</v>
      </c>
      <c r="E7" t="str">
        <f ca="1"/>
        <v>kt</v>
      </c>
      <c r="F7" t="str">
        <f ca="1"/>
        <v>Blé tendre:Blé dur:Orge:Triticale:Sorgho:Avoine:Seigle:Sarrasin:Epeautre:Millet</v>
      </c>
      <c r="G7" t="str">
        <f ca="1"/>
        <v>2015-16:2019-20:2023-24</v>
      </c>
      <c r="H7" t="str">
        <f ca="1"/>
        <v>France entière</v>
      </c>
      <c r="I7" t="str">
        <f ca="1"/>
        <v>Part d'issues de silo consommées par les FAF</v>
      </c>
      <c r="J7">
        <f ca="1"/>
        <v>0</v>
      </c>
      <c r="K7" t="str">
        <f ca="1"/>
        <v>ONRB - FranceAgriMer</v>
      </c>
      <c r="L7" t="str">
        <f ca="1"/>
        <v>Issues céréales - ONRB</v>
      </c>
      <c r="M7" t="str">
        <f ca="1"/>
        <v>Répartition</v>
      </c>
      <c r="N7" t="str">
        <f ca="1"/>
        <v>Part d'issues de silo consommées par les FAF = 56,33 % (ONRB - FranceAgriMer)</v>
      </c>
      <c r="O7" t="str">
        <f ca="1"/>
        <v>Approximative</v>
      </c>
      <c r="P7" t="str">
        <f ca="1"/>
        <v>Données collectées:Données déterminées</v>
      </c>
      <c r="Q7" t="str">
        <f ca="1"/>
        <v>Donnée collectée (valeur du flux ou coefficient)</v>
      </c>
    </row>
    <row r="8" spans="1:17">
      <c r="A8" t="str">
        <v>Issues de silo</v>
      </c>
      <c r="B8" t="str">
        <v>FAF</v>
      </c>
      <c r="E8" t="str">
        <f ca="1"/>
        <v>kt</v>
      </c>
      <c r="F8" t="str">
        <f ca="1"/>
        <v>Maïs</v>
      </c>
      <c r="G8" t="str">
        <f ca="1"/>
        <v>2015-16:2019-20:2023-24</v>
      </c>
      <c r="H8" t="str">
        <f ca="1"/>
        <v>France entière</v>
      </c>
      <c r="I8" t="str">
        <f ca="1"/>
        <v>Part d'issues de silo consommées par les FAF</v>
      </c>
      <c r="J8">
        <f ca="1"/>
        <v>0</v>
      </c>
      <c r="K8" t="str">
        <f ca="1"/>
        <v>ONRB - FranceAgriMer</v>
      </c>
      <c r="L8" t="str">
        <f ca="1"/>
        <v>Issues maïs - ONRB</v>
      </c>
      <c r="M8" t="str">
        <f ca="1"/>
        <v>Répartition</v>
      </c>
      <c r="N8" t="str">
        <f ca="1"/>
        <v>Part d'issues de silo consommées par les FAF = 49,53 % (ONRB - FranceAgriMer)</v>
      </c>
      <c r="O8" t="str">
        <f ca="1"/>
        <v>Approximative</v>
      </c>
      <c r="P8" t="str">
        <f ca="1"/>
        <v>Données collectées:Données déterminées</v>
      </c>
      <c r="Q8" t="str">
        <f ca="1"/>
        <v>Donnée collectée (valeur du flux ou coefficient)</v>
      </c>
    </row>
    <row r="9" spans="1:17">
      <c r="A9" t="str">
        <v>Issues de silo</v>
      </c>
      <c r="B9" t="str">
        <v>FAF</v>
      </c>
      <c r="E9" t="str">
        <f ca="1"/>
        <v>kt</v>
      </c>
      <c r="F9" t="str">
        <f ca="1"/>
        <v>Riz</v>
      </c>
      <c r="G9" t="str">
        <f ca="1"/>
        <v>2015-16:2019-20:2023-24</v>
      </c>
      <c r="H9" t="str">
        <f ca="1"/>
        <v>France entière</v>
      </c>
      <c r="I9" t="str">
        <f ca="1"/>
        <v>Part d'issues de silo consommées par les FAF</v>
      </c>
      <c r="J9">
        <f ca="1"/>
        <v>0</v>
      </c>
      <c r="K9" t="str">
        <f ca="1"/>
        <v>ONRB - FranceAgriMer</v>
      </c>
      <c r="L9" t="str">
        <f ca="1"/>
        <v>Issues riz - ONRB</v>
      </c>
      <c r="M9" t="str">
        <f ca="1"/>
        <v>Répartition</v>
      </c>
      <c r="N9" t="str">
        <f ca="1"/>
        <v>Part d'issues de silo consommées par les FAF = 56,4 % (ONRB - FranceAgriMer)</v>
      </c>
      <c r="O9" t="str">
        <f ca="1"/>
        <v>Approximative</v>
      </c>
      <c r="P9" t="str">
        <f ca="1"/>
        <v>Données collectées:Données déterminées</v>
      </c>
      <c r="Q9" t="str">
        <f ca="1"/>
        <v>Donnée collectée (valeur du flux ou coefficient)</v>
      </c>
    </row>
    <row r="10" spans="1:17">
      <c r="A10" t="str">
        <v>Issues de silo</v>
      </c>
      <c r="B10" t="str">
        <v>Litière</v>
      </c>
      <c r="E10" t="str">
        <f ca="1"/>
        <v>kt</v>
      </c>
      <c r="F10" t="str">
        <f ca="1"/>
        <v>Blé tendre:Blé dur:Orge:Triticale:Sorgho:Avoine:Seigle:Sarrasin:Epeautre:Millet</v>
      </c>
      <c r="G10" t="str">
        <f ca="1"/>
        <v>2015-16:2019-20:2023-24</v>
      </c>
      <c r="H10" t="str">
        <f ca="1"/>
        <v>France entière</v>
      </c>
      <c r="I10" t="str">
        <f ca="1"/>
        <v>Part d'issues de silo consommées comme litière</v>
      </c>
      <c r="J10">
        <f ca="1"/>
        <v>0</v>
      </c>
      <c r="K10" t="str">
        <f ca="1"/>
        <v>ONRB - FranceAgriMer</v>
      </c>
      <c r="L10" t="str">
        <f ca="1"/>
        <v>Issues céréales - ONRB</v>
      </c>
      <c r="M10" t="str">
        <f ca="1"/>
        <v>Répartition</v>
      </c>
      <c r="N10" t="str">
        <f ca="1"/>
        <v>Part d'issues de silo consommées comme litière = 0,77 % (ONRB - FranceAgriMer)</v>
      </c>
      <c r="O10" t="str">
        <f ca="1"/>
        <v>Approximative</v>
      </c>
      <c r="P10" t="str">
        <f ca="1"/>
        <v>Données collectées:Données déterminées</v>
      </c>
      <c r="Q10" t="str">
        <f ca="1"/>
        <v>Donnée collectée (valeur du flux ou coefficient)</v>
      </c>
    </row>
    <row r="11" spans="1:17">
      <c r="A11" t="str">
        <v>Issues de silo</v>
      </c>
      <c r="B11" t="str">
        <v>Litière</v>
      </c>
      <c r="E11" t="str">
        <f ca="1"/>
        <v>kt</v>
      </c>
      <c r="F11" t="str">
        <f ca="1"/>
        <v>Maïs</v>
      </c>
      <c r="G11" t="str">
        <f ca="1"/>
        <v>2015-16:2019-20:2023-24</v>
      </c>
      <c r="H11" t="str">
        <f ca="1"/>
        <v>France entière</v>
      </c>
      <c r="I11" t="str">
        <f ca="1"/>
        <v>Part d'issues de silo consommées comme litière</v>
      </c>
      <c r="J11">
        <f ca="1"/>
        <v>0</v>
      </c>
      <c r="K11" t="str">
        <f ca="1"/>
        <v>ONRB - FranceAgriMer</v>
      </c>
      <c r="L11" t="str">
        <f ca="1"/>
        <v>Issues maïs - ONRB</v>
      </c>
      <c r="M11" t="str">
        <f ca="1"/>
        <v>Répartition</v>
      </c>
      <c r="N11" t="str">
        <f ca="1"/>
        <v>Part d'issues de silo consommées comme litière = 0,68 % (ONRB - FranceAgriMer)</v>
      </c>
      <c r="O11" t="str">
        <f ca="1"/>
        <v>Approximative</v>
      </c>
      <c r="P11" t="str">
        <f ca="1"/>
        <v>Données collectées:Données déterminées</v>
      </c>
      <c r="Q11" t="str">
        <f ca="1"/>
        <v>Donnée collectée (valeur du flux ou coefficient)</v>
      </c>
    </row>
    <row r="12" spans="1:17">
      <c r="A12" t="str">
        <v>Issues de silo</v>
      </c>
      <c r="B12" t="str">
        <v>Litière</v>
      </c>
      <c r="E12" t="str">
        <f ca="1"/>
        <v>kt</v>
      </c>
      <c r="F12" t="str">
        <f ca="1"/>
        <v>Riz</v>
      </c>
      <c r="G12" t="str">
        <f ca="1"/>
        <v>2015-16:2019-20:2023-24</v>
      </c>
      <c r="H12" t="str">
        <f ca="1"/>
        <v>France entière</v>
      </c>
      <c r="I12" t="str">
        <f ca="1"/>
        <v>Part d'issues de silo consommées comme litière</v>
      </c>
      <c r="J12">
        <f ca="1"/>
        <v>0</v>
      </c>
      <c r="K12" t="str">
        <f ca="1"/>
        <v>ONRB - FranceAgriMer</v>
      </c>
      <c r="L12" t="str">
        <f ca="1"/>
        <v>Issues riz - ONRB</v>
      </c>
      <c r="M12" t="str">
        <f ca="1"/>
        <v>Répartition</v>
      </c>
      <c r="N12" t="str">
        <f ca="1"/>
        <v>Part d'issues de silo consommées comme litière = 0,59 % (ONRB - FranceAgriMer)</v>
      </c>
      <c r="O12" t="str">
        <f ca="1"/>
        <v>Approximative</v>
      </c>
      <c r="P12" t="str">
        <f ca="1"/>
        <v>Données collectées:Données déterminées</v>
      </c>
      <c r="Q12" t="str">
        <f ca="1"/>
        <v>Donnée collectée (valeur du flux ou coefficient)</v>
      </c>
    </row>
    <row r="13" spans="1:17">
      <c r="A13" t="str">
        <v>Issues de silo</v>
      </c>
      <c r="B13" t="str">
        <v>Compostage</v>
      </c>
      <c r="E13" t="str">
        <f ca="1"/>
        <v>kt</v>
      </c>
      <c r="F13" t="str">
        <f ca="1"/>
        <v>Blé tendre:Blé dur:Orge:Triticale:Sorgho:Avoine:Seigle:Sarrasin:Epeautre:Millet</v>
      </c>
      <c r="G13" t="str">
        <f ca="1"/>
        <v>2015-16:2019-20:2023-24</v>
      </c>
      <c r="H13" t="str">
        <f ca="1"/>
        <v>France entière</v>
      </c>
      <c r="I13" t="str">
        <f ca="1"/>
        <v>Part d'issues de silo compostées</v>
      </c>
      <c r="J13">
        <f ca="1"/>
        <v>0</v>
      </c>
      <c r="K13" t="str">
        <f ca="1"/>
        <v>ONRB - FranceAgriMer</v>
      </c>
      <c r="L13" t="str">
        <f ca="1"/>
        <v>Issues céréales - ONRB</v>
      </c>
      <c r="M13" t="str">
        <f ca="1"/>
        <v>Répartition</v>
      </c>
      <c r="N13" t="str">
        <f ca="1"/>
        <v>Part d'issues de silo compostées = 0 % (ONRB - FranceAgriMer)</v>
      </c>
      <c r="O13" t="str">
        <f ca="1"/>
        <v>Approximative</v>
      </c>
      <c r="P13" t="str">
        <f ca="1"/>
        <v>Données collectées:Données déterminées</v>
      </c>
      <c r="Q13" t="str">
        <f ca="1"/>
        <v>Donnée collectée (valeur du flux ou coefficient)</v>
      </c>
    </row>
    <row r="14" spans="1:17">
      <c r="A14" t="str">
        <v>Issues de silo</v>
      </c>
      <c r="B14" t="str">
        <v>Compostage</v>
      </c>
      <c r="E14" t="str">
        <f ca="1"/>
        <v>kt</v>
      </c>
      <c r="F14" t="str">
        <f ca="1"/>
        <v>Maïs</v>
      </c>
      <c r="G14" t="str">
        <f ca="1"/>
        <v>2015-16:2019-20:2023-24</v>
      </c>
      <c r="H14" t="str">
        <f ca="1"/>
        <v>France entière</v>
      </c>
      <c r="I14" t="str">
        <f ca="1"/>
        <v>Part d'issues de silo compostées</v>
      </c>
      <c r="J14">
        <f ca="1"/>
        <v>0</v>
      </c>
      <c r="K14" t="str">
        <f ca="1"/>
        <v>ONRB - FranceAgriMer</v>
      </c>
      <c r="L14" t="str">
        <f ca="1"/>
        <v>Issues maïs - ONRB</v>
      </c>
      <c r="M14" t="str">
        <f ca="1"/>
        <v>Répartition</v>
      </c>
      <c r="N14" t="str">
        <f ca="1"/>
        <v>Part d'issues de silo compostées = 12,07 % (ONRB - FranceAgriMer)</v>
      </c>
      <c r="O14" t="str">
        <f ca="1"/>
        <v>Approximative</v>
      </c>
      <c r="P14" t="str">
        <f ca="1"/>
        <v>Données collectées:Données déterminées</v>
      </c>
      <c r="Q14" t="str">
        <f ca="1"/>
        <v>Donnée collectée (valeur du flux ou coefficient)</v>
      </c>
    </row>
    <row r="15" spans="1:17">
      <c r="A15" t="str">
        <v>Issues de silo</v>
      </c>
      <c r="B15" t="str">
        <v>Compostage</v>
      </c>
      <c r="E15" t="str">
        <f ca="1"/>
        <v>kt</v>
      </c>
      <c r="F15" t="str">
        <f ca="1"/>
        <v>Riz</v>
      </c>
      <c r="G15" t="str">
        <f ca="1"/>
        <v>2015-16:2019-20:2023-24</v>
      </c>
      <c r="H15" t="str">
        <f ca="1"/>
        <v>France entière</v>
      </c>
      <c r="I15" t="str">
        <f ca="1"/>
        <v>Part d'issues de silo compostées</v>
      </c>
      <c r="J15">
        <f ca="1"/>
        <v>0</v>
      </c>
      <c r="K15" t="str">
        <f ca="1"/>
        <v>ONRB - FranceAgriMer</v>
      </c>
      <c r="L15" t="str">
        <f ca="1"/>
        <v>Issues riz - ONRB</v>
      </c>
      <c r="M15" t="str">
        <f ca="1"/>
        <v>Répartition</v>
      </c>
      <c r="N15" t="str">
        <f ca="1"/>
        <v>Part d'issues de silo compostées = 0 % (ONRB - FranceAgriMer)</v>
      </c>
      <c r="O15" t="str">
        <f ca="1"/>
        <v>Approximative</v>
      </c>
      <c r="P15" t="str">
        <f ca="1"/>
        <v>Données collectées:Données déterminées</v>
      </c>
      <c r="Q15" t="str">
        <f ca="1"/>
        <v>Donnée collectée (valeur du flux ou coefficient)</v>
      </c>
    </row>
    <row r="16" spans="1:17">
      <c r="A16" t="str">
        <v>Issues de silo</v>
      </c>
      <c r="B16" t="str">
        <v>Autres biomatériaux</v>
      </c>
      <c r="E16" t="str">
        <f ca="1"/>
        <v>kt</v>
      </c>
      <c r="F16" t="str">
        <f ca="1"/>
        <v>Blé tendre:Blé dur:Orge:Triticale:Sorgho:Avoine:Seigle:Sarrasin:Epeautre:Millet</v>
      </c>
      <c r="G16" t="str">
        <f ca="1"/>
        <v>2015-16:2019-20:2023-24</v>
      </c>
      <c r="H16" t="str">
        <f ca="1"/>
        <v>France entière</v>
      </c>
      <c r="I16" t="str">
        <f ca="1"/>
        <v>Part d'issues de silo consommées comme autres biomatériaux</v>
      </c>
      <c r="J16">
        <f ca="1"/>
        <v>0</v>
      </c>
      <c r="K16" t="str">
        <f ca="1"/>
        <v>ONRB - FranceAgriMer</v>
      </c>
      <c r="L16" t="str">
        <f ca="1"/>
        <v>Issues céréales - ONRB</v>
      </c>
      <c r="M16" t="str">
        <f ca="1"/>
        <v>Répartition</v>
      </c>
      <c r="N16" t="str">
        <f ca="1"/>
        <v>Part d'issues de silo consommées comme autres biomatériaux = 0,77 % (ONRB - FranceAgriMer)</v>
      </c>
      <c r="O16" t="str">
        <f ca="1"/>
        <v>Approximative</v>
      </c>
      <c r="P16" t="str">
        <f ca="1"/>
        <v>Données collectées:Données déterminées</v>
      </c>
      <c r="Q16" t="str">
        <f ca="1"/>
        <v>Donnée collectée (valeur du flux ou coefficient)</v>
      </c>
    </row>
    <row r="17" spans="1:17">
      <c r="A17" t="str">
        <v>Issues de silo</v>
      </c>
      <c r="B17" t="str">
        <v>Autres biomatériaux</v>
      </c>
      <c r="E17" t="str">
        <f ca="1"/>
        <v>kt</v>
      </c>
      <c r="F17" t="str">
        <f ca="1"/>
        <v>Maïs</v>
      </c>
      <c r="G17" t="str">
        <f ca="1"/>
        <v>2015-16:2019-20:2023-24</v>
      </c>
      <c r="H17" t="str">
        <f ca="1"/>
        <v>France entière</v>
      </c>
      <c r="I17" t="str">
        <f ca="1"/>
        <v>Part d'issues de silo consommées comme autres biomatériaux</v>
      </c>
      <c r="J17">
        <f ca="1"/>
        <v>0</v>
      </c>
      <c r="K17" t="str">
        <f ca="1"/>
        <v>ONRB - FranceAgriMer</v>
      </c>
      <c r="L17" t="str">
        <f ca="1"/>
        <v>Issues maïs - ONRB</v>
      </c>
      <c r="M17" t="str">
        <f ca="1"/>
        <v>Répartition</v>
      </c>
      <c r="N17" t="str">
        <f ca="1"/>
        <v>Part d'issues de silo consommées comme autres biomatériaux = 0,68 % (ONRB - FranceAgriMer)</v>
      </c>
      <c r="O17" t="str">
        <f ca="1"/>
        <v>Approximative</v>
      </c>
      <c r="P17" t="str">
        <f ca="1"/>
        <v>Données collectées:Données déterminées</v>
      </c>
      <c r="Q17" t="str">
        <f ca="1"/>
        <v>Donnée collectée (valeur du flux ou coefficient)</v>
      </c>
    </row>
    <row r="18" spans="1:17">
      <c r="A18" t="str">
        <v>Issues de silo</v>
      </c>
      <c r="B18" t="str">
        <v>Autres biomatériaux</v>
      </c>
      <c r="E18" t="str">
        <f ca="1"/>
        <v>kt</v>
      </c>
      <c r="F18" t="str">
        <f ca="1"/>
        <v>Riz</v>
      </c>
      <c r="G18" t="str">
        <f ca="1"/>
        <v>2015-16:2019-20:2023-24</v>
      </c>
      <c r="H18" t="str">
        <f ca="1"/>
        <v>France entière</v>
      </c>
      <c r="I18" t="str">
        <f ca="1"/>
        <v>Part d'issues de silo consommées comme autres biomatériaux</v>
      </c>
      <c r="J18">
        <f ca="1"/>
        <v>0</v>
      </c>
      <c r="K18" t="str">
        <f ca="1"/>
        <v>ONRB - FranceAgriMer</v>
      </c>
      <c r="L18" t="str">
        <f ca="1"/>
        <v>Issues riz - ONRB</v>
      </c>
      <c r="M18" t="str">
        <f ca="1"/>
        <v>Répartition</v>
      </c>
      <c r="N18" t="str">
        <f ca="1"/>
        <v>Part d'issues de silo consommées comme autres biomatériaux = 0,58 % (ONRB - FranceAgriMer)</v>
      </c>
      <c r="O18" t="str">
        <f ca="1"/>
        <v>Approximative</v>
      </c>
      <c r="P18" t="str">
        <f ca="1"/>
        <v>Données collectées:Données déterminées</v>
      </c>
      <c r="Q18" t="str">
        <f ca="1"/>
        <v>Donnée collectée (valeur du flux ou coefficient)</v>
      </c>
    </row>
    <row r="19" spans="1:17">
      <c r="A19" t="str">
        <v>Issues de silo</v>
      </c>
      <c r="B19" t="str">
        <v>Méthanisation</v>
      </c>
      <c r="E19" t="str">
        <f ca="1"/>
        <v>kt</v>
      </c>
      <c r="F19" t="str">
        <f ca="1"/>
        <v>Blé tendre:Blé dur:Orge:Triticale:Sorgho:Avoine:Seigle:Sarrasin:Epeautre:Millet</v>
      </c>
      <c r="G19" t="str">
        <f ca="1"/>
        <v>2015-16:2019-20:2023-24</v>
      </c>
      <c r="H19" t="str">
        <f ca="1"/>
        <v>France entière</v>
      </c>
      <c r="I19" t="str">
        <f ca="1"/>
        <v>Part d'issues de silo consommées en méthanisation</v>
      </c>
      <c r="J19">
        <f ca="1"/>
        <v>0</v>
      </c>
      <c r="K19" t="str">
        <f ca="1"/>
        <v>ONRB - FranceAgriMer</v>
      </c>
      <c r="L19" t="str">
        <f ca="1"/>
        <v>Issues céréales - ONRB</v>
      </c>
      <c r="M19" t="str">
        <f ca="1"/>
        <v>Répartition</v>
      </c>
      <c r="N19" t="str">
        <f ca="1"/>
        <v>Part d'issues de silo consommées en méthanisation = 40,72 % (ONRB - FranceAgriMer)</v>
      </c>
      <c r="O19" t="str">
        <f ca="1"/>
        <v>Approximative</v>
      </c>
      <c r="P19" t="str">
        <f ca="1"/>
        <v>Données collectées:Données déterminées</v>
      </c>
      <c r="Q19" t="str">
        <f ca="1"/>
        <v>Donnée collectée (valeur du flux ou coefficient)</v>
      </c>
    </row>
    <row r="20" spans="1:17">
      <c r="A20" t="str">
        <v>Issues de silo</v>
      </c>
      <c r="B20" t="str">
        <v>Méthanisation</v>
      </c>
      <c r="E20" t="str">
        <f ca="1"/>
        <v>kt</v>
      </c>
      <c r="F20" t="str">
        <f ca="1"/>
        <v>Maïs</v>
      </c>
      <c r="G20" t="str">
        <f ca="1"/>
        <v>2015-16:2019-20:2023-24</v>
      </c>
      <c r="H20" t="str">
        <f ca="1"/>
        <v>France entière</v>
      </c>
      <c r="I20" t="str">
        <f ca="1"/>
        <v>Part d'issues de silo consommées en méthanisation</v>
      </c>
      <c r="J20">
        <f ca="1"/>
        <v>0</v>
      </c>
      <c r="K20" t="str">
        <f ca="1"/>
        <v>ONRB - FranceAgriMer</v>
      </c>
      <c r="L20" t="str">
        <f ca="1"/>
        <v>Issues maïs - ONRB</v>
      </c>
      <c r="M20" t="str">
        <f ca="1"/>
        <v>Répartition</v>
      </c>
      <c r="N20" t="str">
        <f ca="1"/>
        <v>Part d'issues de silo consommées en méthanisation = 35,81 % (ONRB - FranceAgriMer)</v>
      </c>
      <c r="O20" t="str">
        <f ca="1"/>
        <v>Approximative</v>
      </c>
      <c r="P20" t="str">
        <f ca="1"/>
        <v>Données collectées:Données déterminées</v>
      </c>
      <c r="Q20" t="str">
        <f ca="1"/>
        <v>Donnée collectée (valeur du flux ou coefficient)</v>
      </c>
    </row>
    <row r="21" spans="1:17">
      <c r="A21" t="str">
        <v>Issues de silo</v>
      </c>
      <c r="B21" t="str">
        <v>Méthanisation</v>
      </c>
      <c r="E21" t="str">
        <f ca="1"/>
        <v>kt</v>
      </c>
      <c r="F21" t="str">
        <f ca="1"/>
        <v>Riz</v>
      </c>
      <c r="G21" t="str">
        <f ca="1"/>
        <v>2015-16:2019-20:2023-24</v>
      </c>
      <c r="H21" t="str">
        <f ca="1"/>
        <v>France entière</v>
      </c>
      <c r="I21" t="str">
        <f ca="1"/>
        <v>Part d'issues de silo consommées en méthanisation</v>
      </c>
      <c r="J21">
        <f ca="1"/>
        <v>0</v>
      </c>
      <c r="K21" t="str">
        <f ca="1"/>
        <v>ONRB - FranceAgriMer</v>
      </c>
      <c r="L21" t="str">
        <f ca="1"/>
        <v>Issues riz - ONRB</v>
      </c>
      <c r="M21" t="str">
        <f ca="1"/>
        <v>Répartition</v>
      </c>
      <c r="N21" t="str">
        <f ca="1"/>
        <v>Part d'issues de silo consommées en méthanisation = 41,03 % (ONRB - FranceAgriMer)</v>
      </c>
      <c r="O21" t="str">
        <f ca="1"/>
        <v>Approximative</v>
      </c>
      <c r="P21" t="str">
        <f ca="1"/>
        <v>Données collectées:Données déterminées</v>
      </c>
      <c r="Q21" t="str">
        <f ca="1"/>
        <v>Donnée collectée (valeur du flux ou coefficient)</v>
      </c>
    </row>
    <row r="22" spans="1:17">
      <c r="A22" t="str">
        <v>Issues de silo</v>
      </c>
      <c r="B22" t="str">
        <v>Combustion</v>
      </c>
      <c r="E22" t="str">
        <f ca="1"/>
        <v>kt</v>
      </c>
      <c r="F22" t="str">
        <f ca="1"/>
        <v>Blé tendre:Blé dur:Orge:Triticale:Sorgho:Avoine:Seigle:Sarrasin:Epeautre:Millet</v>
      </c>
      <c r="G22" t="str">
        <f ca="1"/>
        <v>2015-16:2019-20:2023-24</v>
      </c>
      <c r="H22" t="str">
        <f ca="1"/>
        <v>France entière</v>
      </c>
      <c r="I22" t="str">
        <f ca="1"/>
        <v>Part d'issues de silo brûlées</v>
      </c>
      <c r="J22">
        <f ca="1"/>
        <v>0</v>
      </c>
      <c r="K22" t="str">
        <f ca="1"/>
        <v>ONRB - FranceAgriMer</v>
      </c>
      <c r="L22" t="str">
        <f ca="1"/>
        <v>Issues céréales - ONRB</v>
      </c>
      <c r="M22" t="str">
        <f ca="1"/>
        <v>Répartition</v>
      </c>
      <c r="N22" t="str">
        <f ca="1"/>
        <v>Part d'issues de silo brûlées = 1,03 % (ONRB - FranceAgriMer)</v>
      </c>
      <c r="O22" t="str">
        <f ca="1"/>
        <v>Approximative</v>
      </c>
      <c r="P22" t="str">
        <f ca="1"/>
        <v>Données collectées:Données déterminées</v>
      </c>
      <c r="Q22" t="str">
        <f ca="1"/>
        <v>Donnée collectée (valeur du flux ou coefficient)</v>
      </c>
    </row>
    <row r="23" spans="1:17">
      <c r="A23" t="str">
        <v>Issues de silo</v>
      </c>
      <c r="B23" t="str">
        <v>Combustion</v>
      </c>
      <c r="E23" t="str">
        <f ca="1"/>
        <v>kt</v>
      </c>
      <c r="F23" t="str">
        <f ca="1"/>
        <v>Maïs</v>
      </c>
      <c r="G23" t="str">
        <f ca="1"/>
        <v>2015-16:2019-20:2023-24</v>
      </c>
      <c r="H23" t="str">
        <f ca="1"/>
        <v>France entière</v>
      </c>
      <c r="I23" t="str">
        <f ca="1"/>
        <v>Part d'issues de silo brûlées</v>
      </c>
      <c r="J23">
        <f ca="1"/>
        <v>0</v>
      </c>
      <c r="K23" t="str">
        <f ca="1"/>
        <v>ONRB - FranceAgriMer</v>
      </c>
      <c r="L23" t="str">
        <f ca="1"/>
        <v>Issues maïs - ONRB</v>
      </c>
      <c r="M23" t="str">
        <f ca="1"/>
        <v>Répartition</v>
      </c>
      <c r="N23" t="str">
        <f ca="1"/>
        <v>Part d'issues de silo brûlées = 0,9 % (ONRB - FranceAgriMer)</v>
      </c>
      <c r="O23" t="str">
        <f ca="1"/>
        <v>Approximative</v>
      </c>
      <c r="P23" t="str">
        <f ca="1"/>
        <v>Données collectées:Données déterminées</v>
      </c>
      <c r="Q23" t="str">
        <f ca="1"/>
        <v>Donnée collectée (valeur du flux ou coefficient)</v>
      </c>
    </row>
    <row r="24" spans="1:17">
      <c r="A24" t="str">
        <v>Issues de silo</v>
      </c>
      <c r="B24" t="str">
        <v>Combustion</v>
      </c>
      <c r="E24" t="str">
        <f ca="1"/>
        <v>kt</v>
      </c>
      <c r="F24" t="str">
        <f ca="1"/>
        <v>Riz</v>
      </c>
      <c r="G24" t="str">
        <f ca="1"/>
        <v>2015-16:2019-20:2023-24</v>
      </c>
      <c r="H24" t="str">
        <f ca="1"/>
        <v>France entière</v>
      </c>
      <c r="I24" t="str">
        <f ca="1"/>
        <v>Part d'issues de silo brûlées</v>
      </c>
      <c r="J24">
        <f ca="1"/>
        <v>0</v>
      </c>
      <c r="K24" t="str">
        <f ca="1"/>
        <v>ONRB - FranceAgriMer</v>
      </c>
      <c r="L24" t="str">
        <f ca="1"/>
        <v>Issues riz - ONRB</v>
      </c>
      <c r="M24" t="str">
        <f ca="1"/>
        <v>Répartition</v>
      </c>
      <c r="N24" t="str">
        <f ca="1"/>
        <v>Part d'issues de silo brûlées = 1,03 % (ONRB - FranceAgriMer)</v>
      </c>
      <c r="O24" t="str">
        <f ca="1"/>
        <v>Approximative</v>
      </c>
      <c r="P24" t="str">
        <f ca="1"/>
        <v>Données collectées:Données déterminées</v>
      </c>
      <c r="Q24" t="str">
        <f ca="1"/>
        <v>Donnée collectée (valeur du flux ou coefficient)</v>
      </c>
    </row>
    <row r="25" spans="1:17">
      <c r="A25" t="str">
        <v>Issues de silo</v>
      </c>
      <c r="B25" t="str">
        <v>Elimination/Pertes</v>
      </c>
      <c r="E25" t="str">
        <f ca="1"/>
        <v>kt</v>
      </c>
      <c r="F25" t="str">
        <f ca="1"/>
        <v>Blé tendre:Blé dur:Orge:Triticale:Sorgho:Avoine:Seigle:Sarrasin:Epeautre:Millet</v>
      </c>
      <c r="G25" t="str">
        <f ca="1"/>
        <v>2015-16:2019-20:2023-24</v>
      </c>
      <c r="H25" t="str">
        <f ca="1"/>
        <v>France entière</v>
      </c>
      <c r="I25" t="str">
        <f ca="1"/>
        <v>Part d'issues de silo éliminées</v>
      </c>
      <c r="J25">
        <f ca="1"/>
        <v>0</v>
      </c>
      <c r="K25" t="str">
        <f ca="1"/>
        <v>ONRB - FranceAgriMer</v>
      </c>
      <c r="L25" t="str">
        <f ca="1"/>
        <v>Issues céréales - ONRB</v>
      </c>
      <c r="M25" t="str">
        <f ca="1"/>
        <v>Répartition</v>
      </c>
      <c r="N25" t="str">
        <f ca="1"/>
        <v>Part d'issues de silo éliminées = 0,38 % (ONRB - FranceAgriMer)</v>
      </c>
      <c r="O25" t="str">
        <f ca="1"/>
        <v>Approximative</v>
      </c>
      <c r="P25" t="str">
        <f ca="1"/>
        <v>Données collectées:Données déterminées</v>
      </c>
      <c r="Q25" t="str">
        <f ca="1"/>
        <v>Donnée collectée (valeur du flux ou coefficient)</v>
      </c>
    </row>
    <row r="26" spans="1:17">
      <c r="A26" t="str">
        <v>Issues de silo</v>
      </c>
      <c r="B26" t="str">
        <v>Elimination/Pertes</v>
      </c>
      <c r="E26" t="str">
        <f ca="1"/>
        <v>kt</v>
      </c>
      <c r="F26" t="str">
        <f ca="1"/>
        <v>Maïs</v>
      </c>
      <c r="G26" t="str">
        <f ca="1"/>
        <v>2015-16:2019-20:2023-24</v>
      </c>
      <c r="H26" t="str">
        <f ca="1"/>
        <v>France entière</v>
      </c>
      <c r="I26" t="str">
        <f ca="1"/>
        <v>Part d'issues de silo éliminées</v>
      </c>
      <c r="J26">
        <f ca="1"/>
        <v>0</v>
      </c>
      <c r="K26" t="str">
        <f ca="1"/>
        <v>ONRB - FranceAgriMer</v>
      </c>
      <c r="L26" t="str">
        <f ca="1"/>
        <v>Issues maïs - ONRB</v>
      </c>
      <c r="M26" t="str">
        <f ca="1"/>
        <v>Répartition</v>
      </c>
      <c r="N26" t="str">
        <f ca="1"/>
        <v>Part d'issues de silo éliminées = 0,33 % (ONRB - FranceAgriMer)</v>
      </c>
      <c r="O26" t="str">
        <f ca="1"/>
        <v>Approximative</v>
      </c>
      <c r="P26" t="str">
        <f ca="1"/>
        <v>Données collectées:Données déterminées</v>
      </c>
      <c r="Q26" t="str">
        <f ca="1"/>
        <v>Donnée collectée (valeur du flux ou coefficient)</v>
      </c>
    </row>
    <row r="27" spans="1:17">
      <c r="A27" t="str">
        <v>Issues de silo</v>
      </c>
      <c r="B27" t="str">
        <v>Elimination/Pertes</v>
      </c>
      <c r="E27" t="str">
        <f ca="1"/>
        <v>kt</v>
      </c>
      <c r="F27" t="str">
        <f ca="1"/>
        <v>Riz</v>
      </c>
      <c r="G27" t="str">
        <f ca="1"/>
        <v>2015-16:2019-20:2023-24</v>
      </c>
      <c r="H27" t="str">
        <f ca="1"/>
        <v>France entière</v>
      </c>
      <c r="I27" t="str">
        <f ca="1"/>
        <v>Part d'issues de silo éliminées</v>
      </c>
      <c r="J27">
        <f ca="1"/>
        <v>0</v>
      </c>
      <c r="K27" t="str">
        <f ca="1"/>
        <v>ONRB - FranceAgriMer</v>
      </c>
      <c r="L27" t="str">
        <f ca="1"/>
        <v>Issues riz - ONRB</v>
      </c>
      <c r="M27" t="str">
        <f ca="1"/>
        <v>Répartition</v>
      </c>
      <c r="N27" t="str">
        <f ca="1"/>
        <v>Part d'issues de silo éliminées = 0,37 % (ONRB - FranceAgriMer)</v>
      </c>
      <c r="O27" t="str">
        <f ca="1"/>
        <v>Approximative</v>
      </c>
      <c r="P27" t="str">
        <f ca="1"/>
        <v>Données collectées:Données déterminées</v>
      </c>
      <c r="Q27" t="str">
        <f ca="1"/>
        <v>Donnée collectée (valeur du flux ou coefficient)</v>
      </c>
    </row>
    <row r="28" spans="1:17">
      <c r="I28"/>
      <c r="J28"/>
      <c r="K28"/>
      <c r="L28"/>
      <c r="M28"/>
    </row>
    <row r="29" spans="1:17">
      <c r="I29"/>
      <c r="J29"/>
      <c r="K29"/>
      <c r="L29"/>
      <c r="M29"/>
    </row>
    <row r="30" spans="1:17">
      <c r="I30"/>
      <c r="J30"/>
      <c r="K30"/>
      <c r="L30"/>
      <c r="M30"/>
    </row>
    <row r="31" spans="1:17">
      <c r="I31"/>
      <c r="J31"/>
      <c r="K31"/>
      <c r="L31"/>
      <c r="M31"/>
    </row>
    <row r="32" spans="1:17">
      <c r="I32"/>
      <c r="J32"/>
      <c r="K32"/>
      <c r="L32"/>
      <c r="M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E3EFA-C6E3-4F75-9DA7-9F815F73D52A}">
  <dimension ref="C2:K12"/>
  <sheetViews>
    <sheetView workbookViewId="0">
      <selection activeCell="D37" sqref="D37"/>
    </sheetView>
  </sheetViews>
  <sheetFormatPr baseColWidth="10" defaultRowHeight="14.4"/>
  <sheetData>
    <row r="2" spans="3:11">
      <c r="C2" t="s">
        <v>1140</v>
      </c>
      <c r="D2" s="116" t="s">
        <v>1112</v>
      </c>
    </row>
    <row r="3" spans="3:11">
      <c r="C3" t="s">
        <v>1139</v>
      </c>
      <c r="D3" s="484">
        <f>'Issues céréales - ONRB'!I15</f>
        <v>3.5000000000000001E-3</v>
      </c>
    </row>
    <row r="4" spans="3:11">
      <c r="C4" t="s">
        <v>173</v>
      </c>
      <c r="D4" s="484">
        <f>'Issues céréales - ONRB'!N15</f>
        <v>1.0999999999999999E-2</v>
      </c>
    </row>
    <row r="5" spans="3:11">
      <c r="C5" t="s">
        <v>305</v>
      </c>
      <c r="D5" s="484">
        <f>'Issues céréales - ONRB'!S15</f>
        <v>5.0000000000000001E-3</v>
      </c>
    </row>
    <row r="6" spans="3:11">
      <c r="C6" t="s">
        <v>307</v>
      </c>
      <c r="D6" s="484">
        <f>'Issues maïs - ONRB'!G16</f>
        <v>8.0000000000000002E-3</v>
      </c>
    </row>
    <row r="7" spans="3:11">
      <c r="C7" t="s">
        <v>309</v>
      </c>
      <c r="D7" s="484">
        <f>'Issues riz - ONRB'!G16</f>
        <v>5.0000000000000001E-3</v>
      </c>
    </row>
    <row r="9" spans="3:11">
      <c r="C9" t="s">
        <v>7</v>
      </c>
      <c r="D9" s="116" t="s">
        <v>1142</v>
      </c>
      <c r="E9" s="116" t="s">
        <v>1143</v>
      </c>
      <c r="F9" s="116" t="s">
        <v>1144</v>
      </c>
      <c r="G9" s="116" t="s">
        <v>1145</v>
      </c>
      <c r="H9" s="116" t="s">
        <v>1146</v>
      </c>
      <c r="I9" s="116" t="s">
        <v>1147</v>
      </c>
      <c r="J9" s="116" t="s">
        <v>1148</v>
      </c>
    </row>
    <row r="10" spans="3:11">
      <c r="C10" t="s">
        <v>1141</v>
      </c>
      <c r="D10" s="484">
        <f>'Issues céréales - ONRB'!E25</f>
        <v>0.56330000000000002</v>
      </c>
      <c r="E10" s="484">
        <f>'Issues céréales - ONRB'!H25</f>
        <v>7.7000000000000002E-3</v>
      </c>
      <c r="F10" s="484">
        <f>'Issues céréales - ONRB'!K25</f>
        <v>0</v>
      </c>
      <c r="G10" s="484">
        <f>'Issues céréales - ONRB'!N25</f>
        <v>7.7000000000000002E-3</v>
      </c>
      <c r="H10" s="484">
        <f>'Issues céréales - ONRB'!Q25</f>
        <v>0.40720000000000001</v>
      </c>
      <c r="I10" s="484">
        <f>'Issues céréales - ONRB'!T25</f>
        <v>1.03E-2</v>
      </c>
      <c r="J10" s="484">
        <f>'Issues céréales - ONRB'!W25</f>
        <v>3.8E-3</v>
      </c>
      <c r="K10" s="110"/>
    </row>
    <row r="11" spans="3:11">
      <c r="C11" t="s">
        <v>307</v>
      </c>
      <c r="D11" s="484">
        <f>'Issues maïs - ONRB'!E26</f>
        <v>0.49530000000000002</v>
      </c>
      <c r="E11" s="484">
        <f>'Issues maïs - ONRB'!H26</f>
        <v>6.7999999999999996E-3</v>
      </c>
      <c r="F11" s="484">
        <f>'Issues maïs - ONRB'!K26</f>
        <v>0.1207</v>
      </c>
      <c r="G11" s="484">
        <f>'Issues maïs - ONRB'!N26</f>
        <v>6.7999999999999996E-3</v>
      </c>
      <c r="H11" s="484">
        <f>'Issues maïs - ONRB'!Q26</f>
        <v>0.35809999999999997</v>
      </c>
      <c r="I11" s="484">
        <f>'Issues maïs - ONRB'!T26</f>
        <v>8.9999999999999993E-3</v>
      </c>
      <c r="J11" s="484">
        <f>'Issues maïs - ONRB'!W26</f>
        <v>3.3E-3</v>
      </c>
    </row>
    <row r="12" spans="3:11">
      <c r="C12" t="s">
        <v>309</v>
      </c>
      <c r="D12" s="484">
        <f>'Issues riz - ONRB'!E26</f>
        <v>0.56399999999999995</v>
      </c>
      <c r="E12" s="484">
        <f>'Issues riz - ONRB'!H26</f>
        <v>5.8999999999999999E-3</v>
      </c>
      <c r="F12" s="485">
        <f>'Issues riz - ONRB'!K26</f>
        <v>0</v>
      </c>
      <c r="G12" s="484">
        <f>'Issues riz - ONRB'!N26</f>
        <v>5.7999999999999996E-3</v>
      </c>
      <c r="H12" s="484">
        <f>'Issues riz - ONRB'!Q26</f>
        <v>0.4103</v>
      </c>
      <c r="I12" s="484">
        <f>'Issues riz - ONRB'!T26</f>
        <v>1.03E-2</v>
      </c>
      <c r="J12" s="484">
        <f>'Issues riz - ONRB'!W26</f>
        <v>3.7000000000000002E-3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F94A-E937-400A-94F5-371BB19BE9F5}">
  <sheetPr>
    <tabColor rgb="FFFFC000"/>
  </sheetPr>
  <dimension ref="A1:X33"/>
  <sheetViews>
    <sheetView workbookViewId="0">
      <selection activeCell="D19" sqref="D19:T19"/>
    </sheetView>
  </sheetViews>
  <sheetFormatPr baseColWidth="10" defaultRowHeight="14.4"/>
  <cols>
    <col min="1" max="1" width="11.5546875" style="57"/>
    <col min="2" max="2" width="70" style="57" bestFit="1" customWidth="1"/>
  </cols>
  <sheetData>
    <row r="1" spans="1:20" s="57" customFormat="1" ht="15" thickBot="1">
      <c r="A1" s="703" t="s">
        <v>149</v>
      </c>
      <c r="B1" s="704"/>
    </row>
    <row r="2" spans="1:20" s="57" customFormat="1">
      <c r="A2" s="58" t="s">
        <v>150</v>
      </c>
      <c r="B2" s="59" t="s">
        <v>337</v>
      </c>
    </row>
    <row r="3" spans="1:20" s="57" customFormat="1">
      <c r="A3" s="60" t="s">
        <v>152</v>
      </c>
      <c r="B3" s="61"/>
    </row>
    <row r="4" spans="1:20" s="57" customFormat="1">
      <c r="A4" s="60" t="s">
        <v>153</v>
      </c>
      <c r="B4" s="61" t="s">
        <v>154</v>
      </c>
    </row>
    <row r="5" spans="1:20" s="57" customFormat="1">
      <c r="A5" s="60" t="s">
        <v>17</v>
      </c>
      <c r="B5" s="61"/>
    </row>
    <row r="6" spans="1:20" s="57" customFormat="1">
      <c r="A6" s="60" t="s">
        <v>19</v>
      </c>
      <c r="B6" s="61" t="s">
        <v>1198</v>
      </c>
    </row>
    <row r="7" spans="1:20" s="57" customFormat="1" ht="15" thickBot="1">
      <c r="A7" s="62" t="s">
        <v>156</v>
      </c>
      <c r="B7" s="63" t="s">
        <v>157</v>
      </c>
    </row>
    <row r="8" spans="1:20">
      <c r="C8" s="87" t="s">
        <v>19</v>
      </c>
      <c r="D8" s="87" t="s">
        <v>338</v>
      </c>
      <c r="E8" s="87" t="s">
        <v>339</v>
      </c>
    </row>
    <row r="9" spans="1:20">
      <c r="C9" s="87"/>
      <c r="D9" s="87" t="s">
        <v>340</v>
      </c>
      <c r="E9" s="87" t="s">
        <v>341</v>
      </c>
    </row>
    <row r="10" spans="1:20">
      <c r="C10" s="87"/>
      <c r="D10" s="87" t="s">
        <v>342</v>
      </c>
      <c r="E10" s="87" t="s">
        <v>343</v>
      </c>
    </row>
    <row r="11" spans="1:20">
      <c r="C11" s="87"/>
      <c r="D11" s="87" t="s">
        <v>344</v>
      </c>
      <c r="E11" s="87" t="s">
        <v>1133</v>
      </c>
    </row>
    <row r="13" spans="1:20" s="88" customFormat="1" ht="72" customHeight="1">
      <c r="A13" s="57"/>
      <c r="B13" s="57"/>
      <c r="D13" s="705"/>
      <c r="E13" s="89" t="s">
        <v>345</v>
      </c>
      <c r="F13" s="90"/>
      <c r="G13" s="89" t="s">
        <v>346</v>
      </c>
      <c r="H13" s="89" t="s">
        <v>347</v>
      </c>
      <c r="I13" s="89" t="s">
        <v>348</v>
      </c>
      <c r="J13" s="89" t="s">
        <v>349</v>
      </c>
      <c r="K13" s="90"/>
      <c r="L13" s="89" t="s">
        <v>350</v>
      </c>
      <c r="M13" s="89" t="s">
        <v>351</v>
      </c>
      <c r="N13" s="89" t="s">
        <v>348</v>
      </c>
      <c r="O13" s="89" t="s">
        <v>349</v>
      </c>
      <c r="P13" s="90"/>
      <c r="Q13" s="89" t="s">
        <v>352</v>
      </c>
      <c r="R13" s="89" t="s">
        <v>353</v>
      </c>
      <c r="S13" s="89" t="s">
        <v>348</v>
      </c>
      <c r="T13" s="89" t="s">
        <v>349</v>
      </c>
    </row>
    <row r="14" spans="1:20" s="92" customFormat="1" ht="18.75" customHeight="1">
      <c r="A14" s="91"/>
      <c r="B14" s="91"/>
      <c r="D14" s="705"/>
      <c r="E14" s="93" t="s">
        <v>354</v>
      </c>
      <c r="F14" s="94"/>
      <c r="G14" s="93" t="s">
        <v>354</v>
      </c>
      <c r="H14" s="95" t="s">
        <v>355</v>
      </c>
      <c r="I14" s="95" t="s">
        <v>356</v>
      </c>
      <c r="J14" s="95" t="s">
        <v>356</v>
      </c>
      <c r="K14" s="94"/>
      <c r="L14" s="93" t="s">
        <v>354</v>
      </c>
      <c r="M14" s="95" t="s">
        <v>355</v>
      </c>
      <c r="N14" s="95" t="s">
        <v>356</v>
      </c>
      <c r="O14" s="95" t="s">
        <v>356</v>
      </c>
      <c r="P14" s="94"/>
      <c r="Q14" s="93" t="s">
        <v>354</v>
      </c>
      <c r="R14" s="95" t="s">
        <v>355</v>
      </c>
      <c r="S14" s="95" t="s">
        <v>356</v>
      </c>
      <c r="T14" s="95" t="s">
        <v>356</v>
      </c>
    </row>
    <row r="15" spans="1:20" s="88" customFormat="1" ht="18" customHeight="1">
      <c r="A15" s="57"/>
      <c r="B15" s="57"/>
      <c r="D15" s="96" t="s">
        <v>154</v>
      </c>
      <c r="E15" s="97">
        <f>G15+L15+Q15</f>
        <v>0</v>
      </c>
      <c r="F15" s="98"/>
      <c r="G15" s="97"/>
      <c r="H15" s="99"/>
      <c r="I15" s="461">
        <v>3.5000000000000001E-3</v>
      </c>
      <c r="J15" s="100">
        <v>0.1</v>
      </c>
      <c r="K15" s="98"/>
      <c r="L15" s="97"/>
      <c r="M15" s="99"/>
      <c r="N15" s="461">
        <v>1.0999999999999999E-2</v>
      </c>
      <c r="O15" s="100">
        <v>0.1</v>
      </c>
      <c r="P15" s="98"/>
      <c r="Q15" s="97"/>
      <c r="R15" s="99"/>
      <c r="S15" s="461">
        <v>5.0000000000000001E-3</v>
      </c>
      <c r="T15" s="100">
        <v>0.1</v>
      </c>
    </row>
    <row r="16" spans="1:20" ht="15" thickBot="1"/>
    <row r="17" spans="1:24" ht="15" thickBot="1">
      <c r="D17" s="706" t="s">
        <v>357</v>
      </c>
      <c r="E17" s="707"/>
      <c r="F17" s="707"/>
      <c r="G17" s="707"/>
      <c r="H17" s="707"/>
      <c r="I17" s="707"/>
      <c r="J17" s="707"/>
      <c r="K17" s="706"/>
      <c r="L17" s="707"/>
      <c r="M17" s="707"/>
      <c r="N17" s="707"/>
      <c r="O17" s="707"/>
      <c r="P17" s="707"/>
      <c r="Q17" s="707"/>
      <c r="R17" s="706"/>
      <c r="S17" s="707"/>
      <c r="T17" s="707"/>
    </row>
    <row r="18" spans="1:24" ht="15" customHeight="1" thickBot="1">
      <c r="D18" s="700" t="s">
        <v>1138</v>
      </c>
      <c r="E18" s="701"/>
      <c r="F18" s="701"/>
      <c r="G18" s="701"/>
      <c r="H18" s="701"/>
      <c r="I18" s="701"/>
      <c r="J18" s="701"/>
      <c r="K18" s="701"/>
      <c r="L18" s="701"/>
      <c r="M18" s="701"/>
      <c r="N18" s="701"/>
      <c r="O18" s="701"/>
      <c r="P18" s="701"/>
      <c r="Q18" s="701"/>
      <c r="R18" s="701"/>
      <c r="S18" s="701"/>
      <c r="T18" s="702"/>
    </row>
    <row r="19" spans="1:24" ht="15" customHeight="1" thickBot="1">
      <c r="D19" s="700" t="s">
        <v>358</v>
      </c>
      <c r="E19" s="701"/>
      <c r="F19" s="701"/>
      <c r="G19" s="701"/>
      <c r="H19" s="701"/>
      <c r="I19" s="701"/>
      <c r="J19" s="701"/>
      <c r="K19" s="701"/>
      <c r="L19" s="701"/>
      <c r="M19" s="701"/>
      <c r="N19" s="701"/>
      <c r="O19" s="701"/>
      <c r="P19" s="701"/>
      <c r="Q19" s="701"/>
      <c r="R19" s="701"/>
      <c r="S19" s="701"/>
      <c r="T19" s="702"/>
    </row>
    <row r="21" spans="1:24" s="88" customFormat="1" ht="15" customHeight="1">
      <c r="A21" s="57"/>
      <c r="B21" s="57"/>
      <c r="D21" s="101"/>
      <c r="E21" s="709" t="s">
        <v>359</v>
      </c>
      <c r="F21" s="710"/>
      <c r="G21"/>
      <c r="H21" s="709" t="s">
        <v>360</v>
      </c>
      <c r="I21" s="710"/>
      <c r="J21"/>
      <c r="K21" s="709" t="s">
        <v>361</v>
      </c>
      <c r="L21" s="710"/>
      <c r="M21"/>
      <c r="N21" s="709" t="s">
        <v>362</v>
      </c>
      <c r="O21" s="710"/>
      <c r="P21"/>
      <c r="Q21" s="102" t="s">
        <v>363</v>
      </c>
      <c r="R21" s="103"/>
      <c r="S21"/>
      <c r="T21" s="102" t="s">
        <v>362</v>
      </c>
      <c r="U21" s="103"/>
    </row>
    <row r="22" spans="1:24" s="88" customFormat="1" ht="65.25" customHeight="1">
      <c r="A22" s="57"/>
      <c r="B22" s="57"/>
      <c r="D22" s="708"/>
      <c r="E22" s="709" t="s">
        <v>364</v>
      </c>
      <c r="F22" s="710"/>
      <c r="G22" s="708" t="s">
        <v>365</v>
      </c>
      <c r="H22" s="709" t="s">
        <v>366</v>
      </c>
      <c r="I22" s="710"/>
      <c r="J22" s="708" t="s">
        <v>365</v>
      </c>
      <c r="K22" s="709" t="s">
        <v>367</v>
      </c>
      <c r="L22" s="710"/>
      <c r="M22" s="708" t="s">
        <v>365</v>
      </c>
      <c r="N22" s="709" t="s">
        <v>368</v>
      </c>
      <c r="O22" s="710"/>
      <c r="P22" s="708" t="s">
        <v>365</v>
      </c>
      <c r="Q22" s="709" t="s">
        <v>369</v>
      </c>
      <c r="R22" s="710"/>
      <c r="S22" s="708" t="s">
        <v>365</v>
      </c>
      <c r="T22" s="709" t="s">
        <v>370</v>
      </c>
      <c r="U22" s="710"/>
      <c r="V22" s="713" t="s">
        <v>365</v>
      </c>
      <c r="W22" s="709" t="s">
        <v>1134</v>
      </c>
      <c r="X22" s="710"/>
    </row>
    <row r="23" spans="1:24" s="88" customFormat="1" ht="17.25" customHeight="1">
      <c r="A23" s="57"/>
      <c r="B23" s="57"/>
      <c r="D23" s="708"/>
      <c r="E23" s="711"/>
      <c r="F23" s="712"/>
      <c r="G23" s="708"/>
      <c r="H23" s="711"/>
      <c r="I23" s="712"/>
      <c r="J23" s="708"/>
      <c r="K23" s="711"/>
      <c r="L23" s="712"/>
      <c r="M23" s="708"/>
      <c r="N23" s="711"/>
      <c r="O23" s="712"/>
      <c r="P23" s="708"/>
      <c r="Q23" s="711"/>
      <c r="R23" s="712"/>
      <c r="S23" s="708"/>
      <c r="T23" s="711"/>
      <c r="U23" s="712"/>
      <c r="V23" s="714"/>
      <c r="W23" s="711"/>
      <c r="X23" s="712"/>
    </row>
    <row r="24" spans="1:24" s="88" customFormat="1" ht="18" customHeight="1" thickBot="1">
      <c r="A24" s="57"/>
      <c r="B24" s="57"/>
      <c r="D24" s="708"/>
      <c r="E24" s="105" t="s">
        <v>356</v>
      </c>
      <c r="F24" s="93" t="s">
        <v>354</v>
      </c>
      <c r="G24" s="708"/>
      <c r="H24" s="105" t="s">
        <v>356</v>
      </c>
      <c r="I24" s="93" t="s">
        <v>354</v>
      </c>
      <c r="J24" s="708"/>
      <c r="K24" s="105" t="s">
        <v>356</v>
      </c>
      <c r="L24" s="93" t="s">
        <v>354</v>
      </c>
      <c r="M24" s="708"/>
      <c r="N24" s="105" t="s">
        <v>356</v>
      </c>
      <c r="O24" s="93" t="s">
        <v>354</v>
      </c>
      <c r="P24" s="708"/>
      <c r="Q24" s="105" t="s">
        <v>356</v>
      </c>
      <c r="R24" s="93" t="s">
        <v>354</v>
      </c>
      <c r="S24" s="708"/>
      <c r="T24" s="105" t="s">
        <v>356</v>
      </c>
      <c r="U24" s="93" t="s">
        <v>354</v>
      </c>
      <c r="V24" s="715"/>
      <c r="W24" s="105" t="s">
        <v>356</v>
      </c>
      <c r="X24" s="93" t="s">
        <v>354</v>
      </c>
    </row>
    <row r="25" spans="1:24" s="88" customFormat="1" ht="18" customHeight="1" thickTop="1">
      <c r="A25" s="57"/>
      <c r="B25" s="57"/>
      <c r="D25" s="106" t="s">
        <v>154</v>
      </c>
      <c r="E25" s="460">
        <v>0.56330000000000002</v>
      </c>
      <c r="F25" s="107"/>
      <c r="G25" s="106" t="s">
        <v>154</v>
      </c>
      <c r="H25" s="460">
        <v>7.7000000000000002E-3</v>
      </c>
      <c r="I25" s="107"/>
      <c r="J25" s="106" t="s">
        <v>154</v>
      </c>
      <c r="K25" s="460">
        <v>0</v>
      </c>
      <c r="L25" s="107"/>
      <c r="M25" s="106" t="s">
        <v>154</v>
      </c>
      <c r="N25" s="460">
        <v>7.7000000000000002E-3</v>
      </c>
      <c r="O25" s="107"/>
      <c r="P25" s="106" t="s">
        <v>154</v>
      </c>
      <c r="Q25" s="460">
        <v>0.40720000000000001</v>
      </c>
      <c r="R25" s="107"/>
      <c r="S25" s="106" t="s">
        <v>154</v>
      </c>
      <c r="T25" s="460">
        <v>1.03E-2</v>
      </c>
      <c r="U25" s="107"/>
      <c r="V25" s="106" t="s">
        <v>154</v>
      </c>
      <c r="W25" s="460">
        <v>3.8E-3</v>
      </c>
      <c r="X25" s="107"/>
    </row>
    <row r="26" spans="1:24" s="88" customFormat="1" ht="18" customHeight="1">
      <c r="A26" s="57"/>
      <c r="B26" s="57"/>
      <c r="D26" s="716" t="s">
        <v>372</v>
      </c>
      <c r="E26" s="716"/>
      <c r="F26" s="716"/>
      <c r="G26" s="108"/>
      <c r="H26" s="108"/>
      <c r="I26" s="108"/>
      <c r="J26" s="108"/>
      <c r="K26" s="108"/>
      <c r="L26" s="108"/>
      <c r="M26" s="108"/>
      <c r="N26" s="108"/>
      <c r="O26" s="108"/>
      <c r="S26" s="108"/>
      <c r="T26" s="108"/>
      <c r="U26" s="108"/>
      <c r="V26" s="108"/>
      <c r="W26" s="108"/>
      <c r="X26" s="108"/>
    </row>
    <row r="27" spans="1:24" s="88" customFormat="1" ht="13.5" customHeight="1">
      <c r="A27" s="57"/>
      <c r="B27" s="57"/>
      <c r="G27" s="716" t="s">
        <v>373</v>
      </c>
      <c r="H27" s="716"/>
      <c r="I27" s="716"/>
      <c r="J27" s="716" t="s">
        <v>374</v>
      </c>
      <c r="K27" s="716"/>
      <c r="L27" s="716"/>
      <c r="M27" s="716" t="s">
        <v>373</v>
      </c>
      <c r="N27" s="716"/>
      <c r="O27" s="716"/>
      <c r="P27" s="716" t="s">
        <v>375</v>
      </c>
      <c r="Q27" s="716"/>
      <c r="R27" s="716"/>
      <c r="S27" s="716" t="s">
        <v>373</v>
      </c>
      <c r="T27" s="716"/>
      <c r="U27" s="716"/>
      <c r="V27" s="716" t="s">
        <v>373</v>
      </c>
      <c r="W27" s="716"/>
      <c r="X27" s="716"/>
    </row>
    <row r="28" spans="1:24" s="88" customFormat="1" ht="30" customHeight="1">
      <c r="A28" s="57"/>
      <c r="B28" s="57"/>
      <c r="D28" s="716" t="s">
        <v>373</v>
      </c>
      <c r="E28" s="716"/>
      <c r="F28" s="716"/>
      <c r="G28" s="716"/>
      <c r="H28" s="716"/>
      <c r="I28" s="716"/>
      <c r="J28" s="716"/>
      <c r="K28" s="716"/>
      <c r="L28" s="716"/>
      <c r="M28" s="716"/>
      <c r="N28" s="716"/>
      <c r="O28" s="716"/>
      <c r="P28" s="716"/>
      <c r="Q28" s="716"/>
      <c r="R28" s="716"/>
      <c r="S28" s="716"/>
      <c r="T28" s="716"/>
      <c r="U28" s="716"/>
      <c r="V28" s="716"/>
      <c r="W28" s="716"/>
      <c r="X28" s="716"/>
    </row>
    <row r="29" spans="1:24" s="88" customFormat="1" ht="11.25" customHeight="1">
      <c r="A29" s="57"/>
      <c r="B29" s="57"/>
      <c r="D29" s="716"/>
      <c r="E29" s="716"/>
      <c r="F29" s="716"/>
      <c r="G29" s="717" t="s">
        <v>376</v>
      </c>
      <c r="H29" s="718"/>
      <c r="I29" s="719"/>
      <c r="J29" s="720" t="s">
        <v>377</v>
      </c>
      <c r="K29" s="721"/>
      <c r="L29" s="722"/>
      <c r="M29" s="717" t="s">
        <v>376</v>
      </c>
      <c r="N29" s="718"/>
      <c r="O29" s="719"/>
      <c r="P29" s="723" t="s">
        <v>378</v>
      </c>
      <c r="Q29" s="724"/>
      <c r="R29" s="725"/>
      <c r="S29" s="717" t="s">
        <v>376</v>
      </c>
      <c r="T29" s="718"/>
      <c r="U29" s="719"/>
      <c r="V29" s="717" t="s">
        <v>379</v>
      </c>
      <c r="W29" s="718"/>
      <c r="X29" s="719"/>
    </row>
    <row r="30" spans="1:24" s="88" customFormat="1" ht="45" customHeight="1">
      <c r="A30" s="57"/>
      <c r="B30" s="57"/>
      <c r="D30" s="723" t="s">
        <v>380</v>
      </c>
      <c r="E30" s="724"/>
      <c r="F30" s="725"/>
      <c r="G30" s="726" t="s">
        <v>381</v>
      </c>
      <c r="H30" s="727"/>
      <c r="I30" s="728"/>
      <c r="J30"/>
      <c r="K30"/>
      <c r="L30"/>
      <c r="M30" s="726" t="s">
        <v>381</v>
      </c>
      <c r="N30" s="727"/>
      <c r="O30" s="728"/>
      <c r="P30" s="729" t="s">
        <v>382</v>
      </c>
      <c r="Q30" s="730"/>
      <c r="R30" s="731"/>
      <c r="S30" s="726" t="s">
        <v>381</v>
      </c>
      <c r="T30" s="727"/>
      <c r="U30" s="728"/>
      <c r="V30" s="726" t="s">
        <v>383</v>
      </c>
      <c r="W30" s="727"/>
      <c r="X30" s="728"/>
    </row>
    <row r="31" spans="1:24" s="88" customFormat="1" ht="43.5" customHeight="1">
      <c r="A31" s="57"/>
      <c r="B31" s="57"/>
      <c r="D31" s="729" t="s">
        <v>384</v>
      </c>
      <c r="E31" s="730"/>
      <c r="F31" s="731"/>
      <c r="G31" s="716" t="s">
        <v>385</v>
      </c>
      <c r="H31" s="716"/>
      <c r="I31" s="716"/>
      <c r="M31" s="716" t="s">
        <v>385</v>
      </c>
      <c r="N31" s="716"/>
      <c r="O31" s="716"/>
      <c r="P31" s="716" t="s">
        <v>385</v>
      </c>
      <c r="Q31" s="716"/>
      <c r="R31" s="716"/>
      <c r="S31" s="716" t="s">
        <v>385</v>
      </c>
      <c r="T31" s="716"/>
      <c r="U31" s="716"/>
      <c r="V31" s="716" t="s">
        <v>385</v>
      </c>
      <c r="W31" s="716"/>
      <c r="X31" s="716"/>
    </row>
    <row r="32" spans="1:24" s="88" customFormat="1" ht="15" customHeight="1">
      <c r="A32" s="57"/>
      <c r="B32" s="57"/>
      <c r="D32" s="716" t="s">
        <v>385</v>
      </c>
      <c r="E32" s="716"/>
      <c r="F32" s="716"/>
      <c r="G32" s="716"/>
      <c r="H32" s="716"/>
      <c r="I32" s="109"/>
    </row>
    <row r="33" spans="21:21">
      <c r="U33" s="110"/>
    </row>
  </sheetData>
  <mergeCells count="60">
    <mergeCell ref="D32:F32"/>
    <mergeCell ref="G32:H32"/>
    <mergeCell ref="D31:F31"/>
    <mergeCell ref="G31:I31"/>
    <mergeCell ref="M31:O31"/>
    <mergeCell ref="P31:R31"/>
    <mergeCell ref="S31:U31"/>
    <mergeCell ref="V31:X31"/>
    <mergeCell ref="D30:F30"/>
    <mergeCell ref="G30:I30"/>
    <mergeCell ref="M30:O30"/>
    <mergeCell ref="P30:R30"/>
    <mergeCell ref="S30:U30"/>
    <mergeCell ref="V30:X30"/>
    <mergeCell ref="V28:X28"/>
    <mergeCell ref="D29:F29"/>
    <mergeCell ref="G29:I29"/>
    <mergeCell ref="J29:L29"/>
    <mergeCell ref="M29:O29"/>
    <mergeCell ref="P29:R29"/>
    <mergeCell ref="S29:U29"/>
    <mergeCell ref="V29:X29"/>
    <mergeCell ref="D28:F28"/>
    <mergeCell ref="G28:I28"/>
    <mergeCell ref="J28:L28"/>
    <mergeCell ref="M28:O28"/>
    <mergeCell ref="P28:R28"/>
    <mergeCell ref="S28:U28"/>
    <mergeCell ref="T22:U23"/>
    <mergeCell ref="V22:V24"/>
    <mergeCell ref="W22:X23"/>
    <mergeCell ref="D26:F26"/>
    <mergeCell ref="G27:I27"/>
    <mergeCell ref="J27:L27"/>
    <mergeCell ref="M27:O27"/>
    <mergeCell ref="P27:R27"/>
    <mergeCell ref="S27:U27"/>
    <mergeCell ref="V27:X27"/>
    <mergeCell ref="K22:L23"/>
    <mergeCell ref="M22:M24"/>
    <mergeCell ref="N22:O23"/>
    <mergeCell ref="P22:P24"/>
    <mergeCell ref="Q22:R23"/>
    <mergeCell ref="S22:S24"/>
    <mergeCell ref="D19:T19"/>
    <mergeCell ref="E21:F21"/>
    <mergeCell ref="H21:I21"/>
    <mergeCell ref="K21:L21"/>
    <mergeCell ref="N21:O21"/>
    <mergeCell ref="D22:D24"/>
    <mergeCell ref="E22:F23"/>
    <mergeCell ref="G22:G24"/>
    <mergeCell ref="H22:I23"/>
    <mergeCell ref="J22:J24"/>
    <mergeCell ref="D18:T18"/>
    <mergeCell ref="A1:B1"/>
    <mergeCell ref="D13:D14"/>
    <mergeCell ref="D17:J17"/>
    <mergeCell ref="K17:Q17"/>
    <mergeCell ref="R17:T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1580-2218-4601-8F64-7F0723934A56}">
  <sheetPr>
    <tabColor rgb="FFFFC000"/>
  </sheetPr>
  <dimension ref="A1:X34"/>
  <sheetViews>
    <sheetView workbookViewId="0">
      <selection activeCell="B7" sqref="B7"/>
    </sheetView>
  </sheetViews>
  <sheetFormatPr baseColWidth="10" defaultRowHeight="14.4"/>
  <cols>
    <col min="1" max="1" width="11.5546875" style="57"/>
    <col min="2" max="2" width="50.77734375" style="57" bestFit="1" customWidth="1"/>
  </cols>
  <sheetData>
    <row r="1" spans="1:8" s="57" customFormat="1" ht="15" thickBot="1">
      <c r="A1" s="703" t="s">
        <v>149</v>
      </c>
      <c r="B1" s="704"/>
    </row>
    <row r="2" spans="1:8" s="57" customFormat="1">
      <c r="A2" s="58" t="s">
        <v>150</v>
      </c>
      <c r="B2" s="59" t="s">
        <v>386</v>
      </c>
    </row>
    <row r="3" spans="1:8" s="57" customFormat="1">
      <c r="A3" s="60" t="s">
        <v>152</v>
      </c>
      <c r="B3" s="61"/>
    </row>
    <row r="4" spans="1:8" s="57" customFormat="1">
      <c r="A4" s="60" t="s">
        <v>153</v>
      </c>
      <c r="B4" s="61" t="s">
        <v>154</v>
      </c>
    </row>
    <row r="5" spans="1:8" s="57" customFormat="1">
      <c r="A5" s="60" t="s">
        <v>17</v>
      </c>
      <c r="B5" s="61"/>
    </row>
    <row r="6" spans="1:8" s="57" customFormat="1">
      <c r="A6" s="60" t="s">
        <v>19</v>
      </c>
      <c r="B6" s="61" t="s">
        <v>1198</v>
      </c>
    </row>
    <row r="7" spans="1:8" s="57" customFormat="1" ht="15" thickBot="1">
      <c r="A7" s="62" t="s">
        <v>156</v>
      </c>
      <c r="B7" s="63" t="s">
        <v>157</v>
      </c>
    </row>
    <row r="8" spans="1:8">
      <c r="C8" s="87" t="s">
        <v>19</v>
      </c>
      <c r="D8" s="87" t="s">
        <v>338</v>
      </c>
      <c r="E8" s="87" t="s">
        <v>339</v>
      </c>
      <c r="F8" s="87"/>
    </row>
    <row r="9" spans="1:8">
      <c r="C9" s="87"/>
      <c r="D9" s="87" t="s">
        <v>340</v>
      </c>
      <c r="E9" s="87" t="s">
        <v>341</v>
      </c>
      <c r="F9" s="87"/>
    </row>
    <row r="10" spans="1:8">
      <c r="C10" s="87"/>
      <c r="D10" s="87" t="s">
        <v>342</v>
      </c>
      <c r="E10" s="87" t="s">
        <v>343</v>
      </c>
      <c r="F10" s="87"/>
    </row>
    <row r="11" spans="1:8">
      <c r="C11" s="87"/>
      <c r="D11" s="87" t="s">
        <v>344</v>
      </c>
      <c r="E11" s="87" t="s">
        <v>1136</v>
      </c>
      <c r="F11" s="87"/>
    </row>
    <row r="14" spans="1:8" s="88" customFormat="1" ht="25.2">
      <c r="A14" s="57"/>
      <c r="B14" s="57"/>
      <c r="D14" s="705" t="s">
        <v>387</v>
      </c>
      <c r="E14" s="89" t="s">
        <v>388</v>
      </c>
      <c r="F14" s="89" t="s">
        <v>317</v>
      </c>
      <c r="G14" s="89" t="s">
        <v>348</v>
      </c>
      <c r="H14" s="89" t="s">
        <v>349</v>
      </c>
    </row>
    <row r="15" spans="1:8" s="88" customFormat="1" ht="65.25" customHeight="1">
      <c r="A15" s="57"/>
      <c r="B15" s="57"/>
      <c r="D15" s="705"/>
      <c r="E15" s="93" t="s">
        <v>354</v>
      </c>
      <c r="F15" s="95" t="s">
        <v>355</v>
      </c>
      <c r="G15" s="95" t="s">
        <v>356</v>
      </c>
      <c r="H15" s="95" t="s">
        <v>356</v>
      </c>
    </row>
    <row r="16" spans="1:8" s="88" customFormat="1" ht="17.25" customHeight="1">
      <c r="A16" s="57"/>
      <c r="B16" s="57"/>
      <c r="D16" s="111" t="s">
        <v>154</v>
      </c>
      <c r="E16" s="97"/>
      <c r="F16" s="99"/>
      <c r="G16" s="461">
        <v>8.0000000000000002E-3</v>
      </c>
      <c r="H16" s="100">
        <v>0.1</v>
      </c>
    </row>
    <row r="17" spans="1:24" s="88" customFormat="1" ht="18" customHeight="1">
      <c r="A17" s="57"/>
      <c r="B17" s="57"/>
      <c r="D17" s="112"/>
      <c r="E17" s="113"/>
      <c r="F17" s="113"/>
    </row>
    <row r="18" spans="1:24" s="88" customFormat="1" ht="9" customHeight="1">
      <c r="A18" s="57"/>
      <c r="B18" s="57"/>
      <c r="D18" s="716" t="s">
        <v>389</v>
      </c>
      <c r="E18" s="716"/>
      <c r="F18" s="716"/>
      <c r="G18" s="716"/>
      <c r="H18" s="716"/>
    </row>
    <row r="19" spans="1:24" s="88" customFormat="1" ht="30" customHeight="1">
      <c r="A19" s="57"/>
      <c r="B19" s="57"/>
      <c r="D19" s="732" t="s">
        <v>1137</v>
      </c>
      <c r="E19" s="716"/>
      <c r="F19" s="716"/>
      <c r="G19" s="716"/>
      <c r="H19" s="716"/>
    </row>
    <row r="20" spans="1:24" s="88" customFormat="1" ht="11.25" customHeight="1">
      <c r="A20" s="57"/>
      <c r="B20" s="57"/>
      <c r="D20" s="716" t="s">
        <v>391</v>
      </c>
      <c r="E20" s="716"/>
      <c r="F20" s="716"/>
      <c r="G20" s="716"/>
      <c r="H20" s="716"/>
    </row>
    <row r="21" spans="1:24" s="88" customFormat="1" ht="42" customHeight="1">
      <c r="A21" s="57"/>
      <c r="B21" s="57"/>
    </row>
    <row r="22" spans="1:24">
      <c r="D22" s="101"/>
      <c r="E22" s="709" t="s">
        <v>359</v>
      </c>
      <c r="F22" s="710"/>
      <c r="H22" s="709" t="s">
        <v>360</v>
      </c>
      <c r="I22" s="710"/>
      <c r="K22" s="709" t="s">
        <v>361</v>
      </c>
      <c r="L22" s="710"/>
      <c r="N22" s="709" t="s">
        <v>362</v>
      </c>
      <c r="O22" s="710"/>
      <c r="Q22" s="709" t="s">
        <v>363</v>
      </c>
      <c r="R22" s="710"/>
      <c r="T22" s="709" t="s">
        <v>362</v>
      </c>
      <c r="U22" s="710"/>
    </row>
    <row r="23" spans="1:24" s="88" customFormat="1" ht="14.4" customHeight="1">
      <c r="A23" s="57"/>
      <c r="B23" s="57"/>
      <c r="D23" s="708" t="s">
        <v>365</v>
      </c>
      <c r="E23" s="709" t="s">
        <v>364</v>
      </c>
      <c r="F23" s="710"/>
      <c r="G23" s="708" t="s">
        <v>365</v>
      </c>
      <c r="H23" s="709" t="s">
        <v>366</v>
      </c>
      <c r="I23" s="710"/>
      <c r="J23" s="708" t="s">
        <v>365</v>
      </c>
      <c r="K23" s="709" t="s">
        <v>367</v>
      </c>
      <c r="L23" s="710"/>
      <c r="M23" s="708" t="s">
        <v>365</v>
      </c>
      <c r="N23" s="709" t="s">
        <v>368</v>
      </c>
      <c r="O23" s="710"/>
      <c r="P23" s="708" t="s">
        <v>365</v>
      </c>
      <c r="Q23" s="709" t="s">
        <v>369</v>
      </c>
      <c r="R23" s="710"/>
      <c r="S23" s="708" t="s">
        <v>365</v>
      </c>
      <c r="T23" s="709" t="s">
        <v>370</v>
      </c>
      <c r="U23" s="710"/>
      <c r="V23" s="708" t="s">
        <v>365</v>
      </c>
      <c r="W23" s="709" t="s">
        <v>1135</v>
      </c>
      <c r="X23" s="710"/>
    </row>
    <row r="24" spans="1:24" s="88" customFormat="1" ht="65.25" customHeight="1">
      <c r="A24" s="57"/>
      <c r="B24" s="57"/>
      <c r="D24" s="708"/>
      <c r="E24" s="711"/>
      <c r="F24" s="712"/>
      <c r="G24" s="708"/>
      <c r="H24" s="711"/>
      <c r="I24" s="712"/>
      <c r="J24" s="708"/>
      <c r="K24" s="711"/>
      <c r="L24" s="712"/>
      <c r="M24" s="708"/>
      <c r="N24" s="711"/>
      <c r="O24" s="712"/>
      <c r="P24" s="708"/>
      <c r="Q24" s="711"/>
      <c r="R24" s="712"/>
      <c r="S24" s="708"/>
      <c r="T24" s="711"/>
      <c r="U24" s="712"/>
      <c r="V24" s="708"/>
      <c r="W24" s="711"/>
      <c r="X24" s="712"/>
    </row>
    <row r="25" spans="1:24" s="88" customFormat="1" ht="17.25" customHeight="1" thickBot="1">
      <c r="A25" s="57"/>
      <c r="B25" s="57"/>
      <c r="D25" s="708"/>
      <c r="E25" s="105" t="s">
        <v>356</v>
      </c>
      <c r="F25" s="93" t="s">
        <v>354</v>
      </c>
      <c r="G25" s="708"/>
      <c r="H25" s="105" t="s">
        <v>356</v>
      </c>
      <c r="I25" s="93" t="s">
        <v>354</v>
      </c>
      <c r="J25" s="708"/>
      <c r="K25" s="105" t="s">
        <v>356</v>
      </c>
      <c r="L25" s="93" t="s">
        <v>354</v>
      </c>
      <c r="M25" s="708"/>
      <c r="N25" s="105" t="s">
        <v>356</v>
      </c>
      <c r="O25" s="93" t="s">
        <v>354</v>
      </c>
      <c r="P25" s="708"/>
      <c r="Q25" s="105" t="s">
        <v>356</v>
      </c>
      <c r="R25" s="93" t="s">
        <v>354</v>
      </c>
      <c r="S25" s="708"/>
      <c r="T25" s="105" t="s">
        <v>356</v>
      </c>
      <c r="U25" s="93" t="s">
        <v>354</v>
      </c>
      <c r="V25" s="708"/>
      <c r="W25" s="105" t="s">
        <v>356</v>
      </c>
      <c r="X25" s="93" t="s">
        <v>354</v>
      </c>
    </row>
    <row r="26" spans="1:24" s="88" customFormat="1" ht="18" customHeight="1" thickTop="1">
      <c r="A26" s="57"/>
      <c r="B26" s="57"/>
      <c r="D26" s="106" t="s">
        <v>154</v>
      </c>
      <c r="E26" s="460">
        <v>0.49530000000000002</v>
      </c>
      <c r="F26" s="107"/>
      <c r="G26" s="106" t="s">
        <v>154</v>
      </c>
      <c r="H26" s="460">
        <v>6.7999999999999996E-3</v>
      </c>
      <c r="I26" s="107"/>
      <c r="J26" s="106" t="s">
        <v>154</v>
      </c>
      <c r="K26" s="460">
        <v>0.1207</v>
      </c>
      <c r="L26" s="107"/>
      <c r="M26" s="106" t="s">
        <v>154</v>
      </c>
      <c r="N26" s="460">
        <v>6.7999999999999996E-3</v>
      </c>
      <c r="O26" s="107"/>
      <c r="P26" s="106" t="s">
        <v>154</v>
      </c>
      <c r="Q26" s="460">
        <v>0.35809999999999997</v>
      </c>
      <c r="R26" s="107"/>
      <c r="S26" s="106" t="s">
        <v>154</v>
      </c>
      <c r="T26" s="460">
        <v>8.9999999999999993E-3</v>
      </c>
      <c r="U26" s="107"/>
      <c r="V26" s="106" t="s">
        <v>154</v>
      </c>
      <c r="W26" s="460">
        <v>3.3E-3</v>
      </c>
      <c r="X26" s="107"/>
    </row>
    <row r="27" spans="1:24" s="88" customFormat="1" ht="9" customHeight="1">
      <c r="A27" s="57"/>
      <c r="B27" s="57"/>
      <c r="D27" s="716" t="s">
        <v>372</v>
      </c>
      <c r="E27" s="716"/>
      <c r="F27" s="716"/>
      <c r="G27" s="108"/>
      <c r="H27" s="108"/>
      <c r="I27" s="108"/>
      <c r="J27" s="108"/>
      <c r="K27" s="108"/>
      <c r="L27" s="108"/>
      <c r="M27" s="108"/>
      <c r="N27" s="108"/>
      <c r="O27" s="108"/>
      <c r="S27" s="108"/>
      <c r="T27" s="108"/>
      <c r="U27" s="108"/>
      <c r="V27" s="108"/>
      <c r="W27" s="108"/>
      <c r="X27" s="108"/>
    </row>
    <row r="28" spans="1:24" s="88" customFormat="1" ht="30" customHeight="1">
      <c r="A28" s="57"/>
      <c r="B28" s="57"/>
      <c r="G28" s="716" t="s">
        <v>373</v>
      </c>
      <c r="H28" s="716"/>
      <c r="I28" s="716"/>
      <c r="J28" s="716" t="s">
        <v>374</v>
      </c>
      <c r="K28" s="716"/>
      <c r="L28" s="716"/>
      <c r="M28" s="716" t="s">
        <v>373</v>
      </c>
      <c r="N28" s="716"/>
      <c r="O28" s="716"/>
      <c r="P28" s="716" t="s">
        <v>375</v>
      </c>
      <c r="Q28" s="716"/>
      <c r="R28" s="716"/>
      <c r="S28" s="716" t="s">
        <v>373</v>
      </c>
      <c r="T28" s="716"/>
      <c r="U28" s="716"/>
      <c r="V28" s="716" t="s">
        <v>373</v>
      </c>
      <c r="W28" s="716"/>
      <c r="X28" s="716"/>
    </row>
    <row r="29" spans="1:24" s="88" customFormat="1" ht="11.25" customHeight="1">
      <c r="A29" s="57"/>
      <c r="B29" s="57"/>
      <c r="D29" s="716" t="s">
        <v>373</v>
      </c>
      <c r="E29" s="716"/>
      <c r="F29" s="716"/>
      <c r="G29" s="716"/>
      <c r="H29" s="716"/>
      <c r="I29" s="716"/>
      <c r="J29" s="716"/>
      <c r="K29" s="716"/>
      <c r="L29" s="716"/>
      <c r="M29" s="716"/>
      <c r="N29" s="716"/>
      <c r="O29" s="716"/>
      <c r="P29" s="716"/>
      <c r="Q29" s="716"/>
      <c r="R29" s="716"/>
      <c r="S29" s="716"/>
      <c r="T29" s="716"/>
      <c r="U29" s="716"/>
      <c r="V29" s="716"/>
      <c r="W29" s="716"/>
      <c r="X29" s="716"/>
    </row>
    <row r="30" spans="1:24" s="88" customFormat="1" ht="51" customHeight="1">
      <c r="A30" s="57"/>
      <c r="B30" s="57"/>
      <c r="D30" s="716"/>
      <c r="E30" s="716"/>
      <c r="F30" s="716"/>
      <c r="G30" s="717" t="s">
        <v>376</v>
      </c>
      <c r="H30" s="718"/>
      <c r="I30" s="719"/>
      <c r="J30" s="716" t="s">
        <v>392</v>
      </c>
      <c r="K30" s="716"/>
      <c r="L30" s="716"/>
      <c r="M30" s="717" t="s">
        <v>376</v>
      </c>
      <c r="N30" s="718"/>
      <c r="O30" s="719"/>
      <c r="P30" s="723" t="s">
        <v>378</v>
      </c>
      <c r="Q30" s="724"/>
      <c r="R30" s="725"/>
      <c r="S30" s="717" t="s">
        <v>376</v>
      </c>
      <c r="T30" s="718"/>
      <c r="U30" s="719"/>
      <c r="V30" s="717" t="s">
        <v>379</v>
      </c>
      <c r="W30" s="718"/>
      <c r="X30" s="719"/>
    </row>
    <row r="31" spans="1:24" s="88" customFormat="1" ht="45.75" customHeight="1">
      <c r="A31" s="57"/>
      <c r="B31" s="57"/>
      <c r="D31" s="723" t="s">
        <v>380</v>
      </c>
      <c r="E31" s="724"/>
      <c r="F31" s="725"/>
      <c r="G31" s="726" t="s">
        <v>393</v>
      </c>
      <c r="H31" s="727"/>
      <c r="I31" s="728"/>
      <c r="J31" s="716" t="s">
        <v>394</v>
      </c>
      <c r="K31" s="716"/>
      <c r="L31" s="716"/>
      <c r="M31" s="726" t="s">
        <v>395</v>
      </c>
      <c r="N31" s="727"/>
      <c r="O31" s="728"/>
      <c r="P31" s="729" t="s">
        <v>396</v>
      </c>
      <c r="Q31" s="730"/>
      <c r="R31" s="731"/>
      <c r="S31" s="726" t="s">
        <v>381</v>
      </c>
      <c r="T31" s="727"/>
      <c r="U31" s="728"/>
      <c r="V31" s="726" t="s">
        <v>397</v>
      </c>
      <c r="W31" s="727"/>
      <c r="X31" s="728"/>
    </row>
    <row r="32" spans="1:24" s="88" customFormat="1" ht="20.25" customHeight="1">
      <c r="A32" s="57"/>
      <c r="B32" s="57"/>
      <c r="D32" s="729" t="s">
        <v>398</v>
      </c>
      <c r="E32" s="730"/>
      <c r="F32" s="731"/>
      <c r="G32" s="716" t="s">
        <v>399</v>
      </c>
      <c r="H32" s="716"/>
      <c r="I32" s="716"/>
      <c r="J32" s="716" t="s">
        <v>400</v>
      </c>
      <c r="K32" s="716"/>
      <c r="L32" s="716"/>
      <c r="M32" s="716" t="s">
        <v>399</v>
      </c>
      <c r="N32" s="716"/>
      <c r="O32" s="716"/>
      <c r="P32" s="716" t="s">
        <v>399</v>
      </c>
      <c r="Q32" s="716"/>
      <c r="R32" s="716"/>
      <c r="S32" s="716" t="s">
        <v>399</v>
      </c>
      <c r="T32" s="716"/>
      <c r="U32" s="716"/>
      <c r="V32" s="716" t="s">
        <v>399</v>
      </c>
      <c r="W32" s="716"/>
      <c r="X32" s="716"/>
    </row>
    <row r="33" spans="1:12">
      <c r="D33" s="716" t="s">
        <v>399</v>
      </c>
      <c r="E33" s="716"/>
      <c r="F33" s="716"/>
      <c r="J33" s="716" t="s">
        <v>401</v>
      </c>
      <c r="K33" s="716"/>
      <c r="L33" s="716"/>
    </row>
    <row r="34" spans="1:12" s="88" customFormat="1">
      <c r="A34" s="57"/>
      <c r="B34" s="57"/>
    </row>
  </sheetData>
  <mergeCells count="62">
    <mergeCell ref="D33:F33"/>
    <mergeCell ref="J33:L33"/>
    <mergeCell ref="V31:X31"/>
    <mergeCell ref="D32:F32"/>
    <mergeCell ref="G32:I32"/>
    <mergeCell ref="J32:L32"/>
    <mergeCell ref="M32:O32"/>
    <mergeCell ref="P32:R32"/>
    <mergeCell ref="S32:U32"/>
    <mergeCell ref="V32:X32"/>
    <mergeCell ref="D31:F31"/>
    <mergeCell ref="G31:I31"/>
    <mergeCell ref="J31:L31"/>
    <mergeCell ref="M31:O31"/>
    <mergeCell ref="P31:R31"/>
    <mergeCell ref="S31:U31"/>
    <mergeCell ref="V29:X29"/>
    <mergeCell ref="D30:F30"/>
    <mergeCell ref="G30:I30"/>
    <mergeCell ref="J30:L30"/>
    <mergeCell ref="M30:O30"/>
    <mergeCell ref="P30:R30"/>
    <mergeCell ref="S30:U30"/>
    <mergeCell ref="V30:X30"/>
    <mergeCell ref="D29:F29"/>
    <mergeCell ref="G29:I29"/>
    <mergeCell ref="J29:L29"/>
    <mergeCell ref="M29:O29"/>
    <mergeCell ref="P29:R29"/>
    <mergeCell ref="S29:U29"/>
    <mergeCell ref="V23:V25"/>
    <mergeCell ref="W23:X24"/>
    <mergeCell ref="D27:F27"/>
    <mergeCell ref="G28:I28"/>
    <mergeCell ref="J28:L28"/>
    <mergeCell ref="M28:O28"/>
    <mergeCell ref="P28:R28"/>
    <mergeCell ref="S28:U28"/>
    <mergeCell ref="V28:X28"/>
    <mergeCell ref="M23:M25"/>
    <mergeCell ref="N23:O24"/>
    <mergeCell ref="P23:P25"/>
    <mergeCell ref="Q23:R24"/>
    <mergeCell ref="S23:S25"/>
    <mergeCell ref="T23:U24"/>
    <mergeCell ref="K22:L22"/>
    <mergeCell ref="N22:O22"/>
    <mergeCell ref="Q22:R22"/>
    <mergeCell ref="T22:U22"/>
    <mergeCell ref="D23:D25"/>
    <mergeCell ref="E23:F24"/>
    <mergeCell ref="G23:G25"/>
    <mergeCell ref="H23:I24"/>
    <mergeCell ref="J23:J25"/>
    <mergeCell ref="K23:L24"/>
    <mergeCell ref="E22:F22"/>
    <mergeCell ref="H22:I22"/>
    <mergeCell ref="A1:B1"/>
    <mergeCell ref="D14:D15"/>
    <mergeCell ref="D18:H18"/>
    <mergeCell ref="D19:H19"/>
    <mergeCell ref="D20:H2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C96CB-787A-4D7B-B501-0267CEA33286}">
  <sheetPr>
    <tabColor rgb="FFFFC000"/>
  </sheetPr>
  <dimension ref="A1:X33"/>
  <sheetViews>
    <sheetView workbookViewId="0">
      <selection activeCell="G16" sqref="G16"/>
    </sheetView>
  </sheetViews>
  <sheetFormatPr baseColWidth="10" defaultRowHeight="14.4"/>
  <cols>
    <col min="1" max="1" width="11.5546875" style="57"/>
    <col min="2" max="2" width="48.88671875" style="57" bestFit="1" customWidth="1"/>
  </cols>
  <sheetData>
    <row r="1" spans="1:8" s="57" customFormat="1" ht="15" thickBot="1">
      <c r="A1" s="703" t="s">
        <v>149</v>
      </c>
      <c r="B1" s="704"/>
    </row>
    <row r="2" spans="1:8" s="57" customFormat="1">
      <c r="A2" s="58" t="s">
        <v>150</v>
      </c>
      <c r="B2" s="59" t="s">
        <v>402</v>
      </c>
    </row>
    <row r="3" spans="1:8" s="57" customFormat="1">
      <c r="A3" s="60" t="s">
        <v>152</v>
      </c>
      <c r="B3" s="61"/>
    </row>
    <row r="4" spans="1:8" s="57" customFormat="1">
      <c r="A4" s="60" t="s">
        <v>153</v>
      </c>
      <c r="B4" s="61" t="s">
        <v>154</v>
      </c>
    </row>
    <row r="5" spans="1:8" s="57" customFormat="1">
      <c r="A5" s="60" t="s">
        <v>17</v>
      </c>
      <c r="B5" s="61"/>
    </row>
    <row r="6" spans="1:8" s="57" customFormat="1">
      <c r="A6" s="60" t="s">
        <v>19</v>
      </c>
      <c r="B6" s="61" t="s">
        <v>1198</v>
      </c>
    </row>
    <row r="7" spans="1:8" s="57" customFormat="1" ht="15" thickBot="1">
      <c r="A7" s="62" t="s">
        <v>156</v>
      </c>
      <c r="B7" s="63" t="s">
        <v>157</v>
      </c>
    </row>
    <row r="8" spans="1:8">
      <c r="C8" s="87" t="s">
        <v>19</v>
      </c>
      <c r="D8" s="87" t="s">
        <v>338</v>
      </c>
      <c r="E8" s="87" t="s">
        <v>339</v>
      </c>
      <c r="F8" s="87"/>
    </row>
    <row r="9" spans="1:8">
      <c r="C9" s="87"/>
      <c r="D9" s="87" t="s">
        <v>340</v>
      </c>
      <c r="E9" s="87" t="s">
        <v>341</v>
      </c>
      <c r="F9" s="87"/>
    </row>
    <row r="10" spans="1:8">
      <c r="C10" s="87"/>
      <c r="D10" s="87" t="s">
        <v>342</v>
      </c>
      <c r="E10" s="87" t="s">
        <v>343</v>
      </c>
      <c r="F10" s="87"/>
    </row>
    <row r="11" spans="1:8">
      <c r="C11" s="87"/>
      <c r="D11" s="87" t="s">
        <v>344</v>
      </c>
      <c r="E11" s="87" t="s">
        <v>403</v>
      </c>
      <c r="F11" s="87"/>
    </row>
    <row r="14" spans="1:8" s="88" customFormat="1" ht="65.25" customHeight="1">
      <c r="A14" s="57"/>
      <c r="B14" s="57"/>
      <c r="D14" s="705" t="s">
        <v>387</v>
      </c>
      <c r="E14" s="89" t="s">
        <v>404</v>
      </c>
      <c r="F14" s="89" t="s">
        <v>317</v>
      </c>
      <c r="G14" s="89" t="s">
        <v>348</v>
      </c>
      <c r="H14" s="89" t="s">
        <v>349</v>
      </c>
    </row>
    <row r="15" spans="1:8" s="88" customFormat="1" ht="17.25" customHeight="1">
      <c r="A15" s="57"/>
      <c r="B15" s="57"/>
      <c r="D15" s="705"/>
      <c r="E15" s="93" t="s">
        <v>354</v>
      </c>
      <c r="F15" s="95" t="s">
        <v>355</v>
      </c>
      <c r="G15" s="95" t="s">
        <v>356</v>
      </c>
      <c r="H15" s="95" t="s">
        <v>356</v>
      </c>
    </row>
    <row r="16" spans="1:8" s="88" customFormat="1" ht="18" customHeight="1">
      <c r="A16" s="57"/>
      <c r="B16" s="57"/>
      <c r="D16" s="111" t="s">
        <v>154</v>
      </c>
      <c r="E16" s="97">
        <f>F16*G16*(1-H16)</f>
        <v>0</v>
      </c>
      <c r="F16" s="99">
        <v>0</v>
      </c>
      <c r="G16" s="461">
        <v>5.0000000000000001E-3</v>
      </c>
      <c r="H16" s="100">
        <v>0.1</v>
      </c>
    </row>
    <row r="17" spans="1:24" s="88" customFormat="1" ht="30" customHeight="1">
      <c r="A17" s="57"/>
      <c r="B17" s="57"/>
      <c r="D17" s="114"/>
      <c r="E17" s="115"/>
      <c r="F17" s="115"/>
      <c r="G17" s="108"/>
      <c r="H17" s="108"/>
    </row>
    <row r="18" spans="1:24" s="88" customFormat="1" ht="11.25" customHeight="1">
      <c r="A18" s="57"/>
      <c r="B18" s="57"/>
      <c r="D18" s="716" t="s">
        <v>389</v>
      </c>
      <c r="E18" s="716"/>
      <c r="F18" s="716"/>
      <c r="G18" s="716"/>
      <c r="H18" s="716"/>
    </row>
    <row r="19" spans="1:24" s="88" customFormat="1" ht="58.5" customHeight="1">
      <c r="A19" s="57"/>
      <c r="B19" s="57"/>
      <c r="D19" s="732" t="s">
        <v>390</v>
      </c>
      <c r="E19" s="716"/>
      <c r="F19" s="716"/>
      <c r="G19" s="716"/>
      <c r="H19" s="716"/>
    </row>
    <row r="20" spans="1:24" s="88" customFormat="1" ht="35.25" customHeight="1">
      <c r="A20" s="57"/>
      <c r="B20" s="57"/>
      <c r="D20" s="716" t="s">
        <v>391</v>
      </c>
      <c r="E20" s="716"/>
      <c r="F20" s="716"/>
      <c r="G20" s="716"/>
      <c r="H20" s="716"/>
      <c r="I20" s="109"/>
    </row>
    <row r="21" spans="1:24" s="88" customFormat="1">
      <c r="A21" s="57"/>
      <c r="B21" s="57"/>
    </row>
    <row r="22" spans="1:24" ht="14.4" customHeight="1">
      <c r="D22" s="101"/>
      <c r="E22" s="709" t="s">
        <v>359</v>
      </c>
      <c r="F22" s="710"/>
      <c r="H22" s="709" t="s">
        <v>360</v>
      </c>
      <c r="I22" s="710"/>
      <c r="K22" s="709" t="s">
        <v>361</v>
      </c>
      <c r="L22" s="710"/>
      <c r="N22" s="709" t="s">
        <v>362</v>
      </c>
      <c r="O22" s="710"/>
      <c r="Q22" s="709" t="s">
        <v>363</v>
      </c>
      <c r="R22" s="710"/>
      <c r="T22" s="709" t="s">
        <v>362</v>
      </c>
      <c r="U22" s="710"/>
    </row>
    <row r="23" spans="1:24">
      <c r="D23" s="708" t="s">
        <v>365</v>
      </c>
      <c r="E23" s="709" t="s">
        <v>364</v>
      </c>
      <c r="F23" s="710"/>
      <c r="G23" s="708" t="s">
        <v>365</v>
      </c>
      <c r="H23" s="709" t="s">
        <v>366</v>
      </c>
      <c r="I23" s="710"/>
      <c r="J23" s="708" t="s">
        <v>365</v>
      </c>
      <c r="K23" s="709" t="s">
        <v>367</v>
      </c>
      <c r="L23" s="710"/>
      <c r="M23" s="708" t="s">
        <v>365</v>
      </c>
      <c r="N23" s="709" t="s">
        <v>368</v>
      </c>
      <c r="O23" s="710"/>
      <c r="P23" s="708" t="s">
        <v>365</v>
      </c>
      <c r="Q23" s="709" t="s">
        <v>369</v>
      </c>
      <c r="R23" s="710"/>
      <c r="S23" s="708" t="s">
        <v>365</v>
      </c>
      <c r="T23" s="709" t="s">
        <v>370</v>
      </c>
      <c r="U23" s="710"/>
      <c r="V23" s="708" t="s">
        <v>365</v>
      </c>
      <c r="W23" s="709" t="s">
        <v>371</v>
      </c>
      <c r="X23" s="710"/>
    </row>
    <row r="24" spans="1:24">
      <c r="D24" s="708"/>
      <c r="E24" s="711"/>
      <c r="F24" s="712"/>
      <c r="G24" s="708"/>
      <c r="H24" s="711"/>
      <c r="I24" s="712"/>
      <c r="J24" s="708"/>
      <c r="K24" s="711"/>
      <c r="L24" s="712"/>
      <c r="M24" s="708"/>
      <c r="N24" s="711"/>
      <c r="O24" s="712"/>
      <c r="P24" s="708"/>
      <c r="Q24" s="711"/>
      <c r="R24" s="712"/>
      <c r="S24" s="708"/>
      <c r="T24" s="711"/>
      <c r="U24" s="712"/>
      <c r="V24" s="708"/>
      <c r="W24" s="711"/>
      <c r="X24" s="712"/>
    </row>
    <row r="25" spans="1:24" ht="15" thickBot="1">
      <c r="D25" s="708"/>
      <c r="E25" s="105" t="s">
        <v>356</v>
      </c>
      <c r="F25" s="93" t="s">
        <v>354</v>
      </c>
      <c r="G25" s="708"/>
      <c r="H25" s="105" t="s">
        <v>356</v>
      </c>
      <c r="I25" s="93" t="s">
        <v>354</v>
      </c>
      <c r="J25" s="708"/>
      <c r="K25" s="105" t="s">
        <v>356</v>
      </c>
      <c r="L25" s="93" t="s">
        <v>354</v>
      </c>
      <c r="M25" s="708"/>
      <c r="N25" s="105" t="s">
        <v>356</v>
      </c>
      <c r="O25" s="93" t="s">
        <v>354</v>
      </c>
      <c r="P25" s="708"/>
      <c r="Q25" s="105" t="s">
        <v>356</v>
      </c>
      <c r="R25" s="93" t="s">
        <v>354</v>
      </c>
      <c r="S25" s="708"/>
      <c r="T25" s="105" t="s">
        <v>356</v>
      </c>
      <c r="U25" s="93" t="s">
        <v>354</v>
      </c>
      <c r="V25" s="708"/>
      <c r="W25" s="105" t="s">
        <v>356</v>
      </c>
      <c r="X25" s="93" t="s">
        <v>354</v>
      </c>
    </row>
    <row r="26" spans="1:24" ht="15" thickTop="1">
      <c r="D26" s="106" t="s">
        <v>154</v>
      </c>
      <c r="E26" s="460">
        <v>0.56399999999999995</v>
      </c>
      <c r="F26" s="107"/>
      <c r="G26" s="106" t="s">
        <v>154</v>
      </c>
      <c r="H26" s="460">
        <v>5.8999999999999999E-3</v>
      </c>
      <c r="I26" s="107"/>
      <c r="J26" s="106" t="s">
        <v>154</v>
      </c>
      <c r="K26" s="460">
        <v>0</v>
      </c>
      <c r="L26" s="107"/>
      <c r="M26" s="106" t="s">
        <v>154</v>
      </c>
      <c r="N26" s="460">
        <v>5.7999999999999996E-3</v>
      </c>
      <c r="O26" s="107"/>
      <c r="P26" s="106" t="s">
        <v>154</v>
      </c>
      <c r="Q26" s="460">
        <v>0.4103</v>
      </c>
      <c r="R26" s="107"/>
      <c r="S26" s="106" t="s">
        <v>154</v>
      </c>
      <c r="T26" s="460">
        <v>1.03E-2</v>
      </c>
      <c r="U26" s="107"/>
      <c r="V26" s="106" t="s">
        <v>154</v>
      </c>
      <c r="W26" s="460">
        <v>3.7000000000000002E-3</v>
      </c>
      <c r="X26" s="107"/>
    </row>
    <row r="27" spans="1:24" ht="14.4" customHeight="1">
      <c r="D27" s="716" t="s">
        <v>372</v>
      </c>
      <c r="E27" s="716"/>
      <c r="F27" s="716"/>
      <c r="G27" s="108"/>
      <c r="H27" s="108"/>
      <c r="I27" s="108"/>
      <c r="J27" s="108"/>
      <c r="K27" s="108"/>
      <c r="L27" s="108"/>
      <c r="M27" s="108"/>
      <c r="N27" s="108"/>
      <c r="O27" s="108"/>
      <c r="P27" s="88"/>
      <c r="Q27" s="88"/>
      <c r="R27" s="88"/>
      <c r="S27" s="108"/>
      <c r="T27" s="108"/>
      <c r="U27" s="108"/>
      <c r="V27" s="108"/>
      <c r="W27" s="108"/>
      <c r="X27" s="108"/>
    </row>
    <row r="28" spans="1:24">
      <c r="D28" s="88"/>
      <c r="E28" s="88"/>
      <c r="F28" s="88"/>
      <c r="G28" s="716" t="s">
        <v>373</v>
      </c>
      <c r="H28" s="716"/>
      <c r="I28" s="716"/>
      <c r="J28" s="716" t="s">
        <v>374</v>
      </c>
      <c r="K28" s="716"/>
      <c r="L28" s="716"/>
      <c r="M28" s="716" t="s">
        <v>373</v>
      </c>
      <c r="N28" s="716"/>
      <c r="O28" s="716"/>
      <c r="P28" s="716" t="s">
        <v>375</v>
      </c>
      <c r="Q28" s="716"/>
      <c r="R28" s="716"/>
      <c r="S28" s="716" t="s">
        <v>373</v>
      </c>
      <c r="T28" s="716"/>
      <c r="U28" s="716"/>
      <c r="V28" s="716" t="s">
        <v>373</v>
      </c>
      <c r="W28" s="716"/>
      <c r="X28" s="716"/>
    </row>
    <row r="29" spans="1:24" ht="14.4" customHeight="1">
      <c r="D29" s="716" t="s">
        <v>373</v>
      </c>
      <c r="E29" s="716"/>
      <c r="F29" s="716"/>
      <c r="G29" s="716"/>
      <c r="H29" s="716"/>
      <c r="I29" s="716"/>
      <c r="J29" s="716"/>
      <c r="K29" s="716"/>
      <c r="L29" s="716"/>
      <c r="M29" s="716"/>
      <c r="N29" s="716"/>
      <c r="O29" s="716"/>
      <c r="P29" s="716"/>
      <c r="Q29" s="716"/>
      <c r="R29" s="716"/>
      <c r="S29" s="716"/>
      <c r="T29" s="716"/>
      <c r="U29" s="716"/>
      <c r="V29" s="716"/>
      <c r="W29" s="716"/>
      <c r="X29" s="716"/>
    </row>
    <row r="30" spans="1:24" ht="14.4" customHeight="1">
      <c r="D30" s="716"/>
      <c r="E30" s="716"/>
      <c r="F30" s="716"/>
      <c r="G30" s="717" t="s">
        <v>376</v>
      </c>
      <c r="H30" s="718"/>
      <c r="I30" s="719"/>
      <c r="J30" s="720" t="s">
        <v>377</v>
      </c>
      <c r="K30" s="721"/>
      <c r="L30" s="722"/>
      <c r="M30" s="717" t="s">
        <v>376</v>
      </c>
      <c r="N30" s="718"/>
      <c r="O30" s="719"/>
      <c r="P30" s="723" t="s">
        <v>378</v>
      </c>
      <c r="Q30" s="724"/>
      <c r="R30" s="725"/>
      <c r="S30" s="717" t="s">
        <v>376</v>
      </c>
      <c r="T30" s="718"/>
      <c r="U30" s="719"/>
      <c r="V30" s="717" t="s">
        <v>379</v>
      </c>
      <c r="W30" s="718"/>
      <c r="X30" s="719"/>
    </row>
    <row r="31" spans="1:24" ht="14.4" customHeight="1">
      <c r="D31" s="723" t="s">
        <v>380</v>
      </c>
      <c r="E31" s="724"/>
      <c r="F31" s="725"/>
      <c r="G31" s="726" t="s">
        <v>405</v>
      </c>
      <c r="H31" s="727"/>
      <c r="I31" s="728"/>
      <c r="M31" s="726" t="s">
        <v>406</v>
      </c>
      <c r="N31" s="727"/>
      <c r="O31" s="728"/>
      <c r="P31" s="729" t="s">
        <v>407</v>
      </c>
      <c r="Q31" s="730"/>
      <c r="R31" s="731"/>
      <c r="S31" s="726" t="s">
        <v>408</v>
      </c>
      <c r="T31" s="727"/>
      <c r="U31" s="728"/>
      <c r="V31" s="726" t="s">
        <v>409</v>
      </c>
      <c r="W31" s="727"/>
      <c r="X31" s="728"/>
    </row>
    <row r="32" spans="1:24">
      <c r="D32" s="729" t="s">
        <v>410</v>
      </c>
      <c r="E32" s="730"/>
      <c r="F32" s="731"/>
      <c r="G32" s="716" t="s">
        <v>399</v>
      </c>
      <c r="H32" s="716"/>
      <c r="I32" s="716"/>
      <c r="M32" s="716" t="s">
        <v>399</v>
      </c>
      <c r="N32" s="716"/>
      <c r="O32" s="716"/>
      <c r="P32" s="716" t="s">
        <v>399</v>
      </c>
      <c r="Q32" s="716"/>
      <c r="R32" s="716"/>
      <c r="S32" s="716" t="s">
        <v>399</v>
      </c>
      <c r="T32" s="716"/>
      <c r="U32" s="716"/>
      <c r="V32" s="716" t="s">
        <v>399</v>
      </c>
      <c r="W32" s="716"/>
      <c r="X32" s="716"/>
    </row>
    <row r="33" spans="4:6">
      <c r="D33" s="716" t="s">
        <v>399</v>
      </c>
      <c r="E33" s="716"/>
      <c r="F33" s="716"/>
    </row>
  </sheetData>
  <mergeCells count="59">
    <mergeCell ref="D33:F33"/>
    <mergeCell ref="D32:F32"/>
    <mergeCell ref="G32:I32"/>
    <mergeCell ref="M32:O32"/>
    <mergeCell ref="P32:R32"/>
    <mergeCell ref="S32:U32"/>
    <mergeCell ref="V32:X32"/>
    <mergeCell ref="D31:F31"/>
    <mergeCell ref="G31:I31"/>
    <mergeCell ref="M31:O31"/>
    <mergeCell ref="P31:R31"/>
    <mergeCell ref="S31:U31"/>
    <mergeCell ref="V31:X31"/>
    <mergeCell ref="V29:X29"/>
    <mergeCell ref="D30:F30"/>
    <mergeCell ref="G30:I30"/>
    <mergeCell ref="J30:L30"/>
    <mergeCell ref="M30:O30"/>
    <mergeCell ref="P30:R30"/>
    <mergeCell ref="S30:U30"/>
    <mergeCell ref="V30:X30"/>
    <mergeCell ref="D29:F29"/>
    <mergeCell ref="G29:I29"/>
    <mergeCell ref="J29:L29"/>
    <mergeCell ref="M29:O29"/>
    <mergeCell ref="P29:R29"/>
    <mergeCell ref="S29:U29"/>
    <mergeCell ref="V23:V25"/>
    <mergeCell ref="W23:X24"/>
    <mergeCell ref="D27:F27"/>
    <mergeCell ref="G28:I28"/>
    <mergeCell ref="J28:L28"/>
    <mergeCell ref="M28:O28"/>
    <mergeCell ref="P28:R28"/>
    <mergeCell ref="S28:U28"/>
    <mergeCell ref="V28:X28"/>
    <mergeCell ref="M23:M25"/>
    <mergeCell ref="N23:O24"/>
    <mergeCell ref="P23:P25"/>
    <mergeCell ref="Q23:R24"/>
    <mergeCell ref="S23:S25"/>
    <mergeCell ref="T23:U24"/>
    <mergeCell ref="K22:L22"/>
    <mergeCell ref="N22:O22"/>
    <mergeCell ref="Q22:R22"/>
    <mergeCell ref="T22:U22"/>
    <mergeCell ref="D23:D25"/>
    <mergeCell ref="E23:F24"/>
    <mergeCell ref="G23:G25"/>
    <mergeCell ref="H23:I24"/>
    <mergeCell ref="J23:J25"/>
    <mergeCell ref="K23:L24"/>
    <mergeCell ref="E22:F22"/>
    <mergeCell ref="H22:I22"/>
    <mergeCell ref="A1:B1"/>
    <mergeCell ref="D14:D15"/>
    <mergeCell ref="D18:H18"/>
    <mergeCell ref="D19:H19"/>
    <mergeCell ref="D20:H2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57F47-29F3-4F4B-9FEE-5D3B13937D1E}">
  <sheetPr>
    <tabColor rgb="FF92D050"/>
  </sheetPr>
  <dimension ref="A1:U3"/>
  <sheetViews>
    <sheetView workbookViewId="0">
      <pane xSplit="3" ySplit="1" topLeftCell="D2" activePane="bottomRight" state="frozen"/>
      <selection pane="topRight" activeCell="D1" sqref="D1"/>
      <selection pane="bottomLeft" activeCell="A2" sqref="A2"/>
      <selection pane="bottomRight" activeCell="Q3" sqref="Q3:S3"/>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5.6640625" style="10" bestFit="1" customWidth="1"/>
    <col min="12" max="12" width="15.6640625" style="10" customWidth="1"/>
    <col min="13" max="13" width="15.109375" style="10" bestFit="1" customWidth="1"/>
    <col min="14" max="15" width="12.44140625" style="10" customWidth="1"/>
    <col min="16" max="16" width="17.88671875" style="10" customWidth="1"/>
    <col min="17" max="17" width="12.44140625" style="10" customWidth="1"/>
    <col min="18" max="19" width="14.44140625" style="26" customWidth="1"/>
    <col min="20" max="20" width="11.6640625" bestFit="1" customWidth="1"/>
    <col min="21" max="21" width="13.109375" customWidth="1"/>
  </cols>
  <sheetData>
    <row r="1" spans="1:21" ht="63.6"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c r="A2" s="10">
        <f>Contraintes!A52+1</f>
        <v>27</v>
      </c>
      <c r="B2" t="str">
        <f>Produits!$B$2</f>
        <v>Grains récoltés</v>
      </c>
      <c r="C2" t="str">
        <f>Secteurs!$B$3</f>
        <v>Ferme</v>
      </c>
      <c r="D2" s="29">
        <f>'Pertes à la ferme'!C6</f>
        <v>0.03</v>
      </c>
      <c r="G2" s="10" t="str">
        <f>Etiquettes!$C$3</f>
        <v>kt</v>
      </c>
      <c r="H2" s="10" t="str">
        <f>Etiquettes!$C$6</f>
        <v>Blé tendre:Maïs:Orge:Blé dur:Triticale:Sorgho:Avoine:Seigle:Sarrasin:Riz:Epeautre:Millet</v>
      </c>
      <c r="I2" s="10" t="str">
        <f>Etiquettes!$C$5</f>
        <v>2015-16:2019-20:2023-24</v>
      </c>
      <c r="J2" s="10" t="str">
        <f>Etiquettes!$C$4</f>
        <v>France entière</v>
      </c>
      <c r="O2"/>
      <c r="U2" s="693" t="s">
        <v>1154</v>
      </c>
    </row>
    <row r="3" spans="1:21">
      <c r="A3" s="10">
        <f>Contraintes!A53+1</f>
        <v>27</v>
      </c>
      <c r="B3" t="str">
        <f>Produits!$B$3</f>
        <v>Grains autoconsommés</v>
      </c>
      <c r="C3" t="str">
        <f>Secteurs!$B$52</f>
        <v>Elimination/Pertes</v>
      </c>
      <c r="D3">
        <v>-1</v>
      </c>
      <c r="G3" s="10" t="str">
        <f>Etiquettes!$C$3</f>
        <v>kt</v>
      </c>
      <c r="H3" s="10" t="str">
        <f>Etiquettes!$C$6</f>
        <v>Blé tendre:Maïs:Orge:Blé dur:Triticale:Sorgho:Avoine:Seigle:Sarrasin:Riz:Epeautre:Millet</v>
      </c>
      <c r="I3" s="10" t="str">
        <f>Etiquettes!$C$5</f>
        <v>2015-16:2019-20:2023-24</v>
      </c>
      <c r="J3" s="10" t="str">
        <f>Etiquettes!$C$4</f>
        <v>France entière</v>
      </c>
      <c r="K3" s="10" t="s">
        <v>1154</v>
      </c>
      <c r="L3" s="10" t="s">
        <v>1619</v>
      </c>
      <c r="M3" s="10" t="s">
        <v>1155</v>
      </c>
      <c r="N3" s="10" t="str" cm="1">
        <f t="array" aca="1" ref="N3" ca="1">[1]!NOM_FEUILLE('Pertes à la ferme'!$A$1)</f>
        <v>Pertes à la ferme</v>
      </c>
      <c r="O3" t="str">
        <f>Etiquettes!$I$11</f>
        <v>Rendement</v>
      </c>
      <c r="P3" t="str">
        <f>_xlfn.CONCAT(K3," = ",MROUND(D2*100,0.01)," % (",M3,")")</f>
        <v>Pertes à la ferme = 3 % (Valeur arbitraire)</v>
      </c>
      <c r="Q3" s="10" t="str">
        <f>Etiquettes!$L$15</f>
        <v>Indicative</v>
      </c>
      <c r="R3" s="642" t="s">
        <v>1813</v>
      </c>
      <c r="S3" s="603" t="str">
        <f>Etiquettes!$H$17</f>
        <v>Donnée collectée (valeur du flux ou coefficient)</v>
      </c>
      <c r="U3" s="693"/>
    </row>
  </sheetData>
  <mergeCells count="1">
    <mergeCell ref="U2:U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F45E-AC77-4E63-997F-941B752EC049}">
  <sheetPr>
    <tabColor theme="1"/>
  </sheetPr>
  <dimension ref="A1:Q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6.6640625" bestFit="1" customWidth="1"/>
    <col min="6" max="8" width="9.5546875" customWidth="1"/>
    <col min="9" max="13" width="14.44140625" style="26" customWidth="1"/>
    <col min="14" max="14" width="9.5546875" bestFit="1" customWidth="1"/>
    <col min="15" max="16" width="12.33203125" customWidth="1"/>
    <col min="17" max="17" width="7.109375" bestFit="1" customWidth="1"/>
  </cols>
  <sheetData>
    <row r="1" spans="1:17" ht="15" thickBot="1">
      <c r="A1" s="27" t="s">
        <v>14</v>
      </c>
      <c r="B1" s="28" t="s">
        <v>15</v>
      </c>
      <c r="C1" s="23" t="s">
        <v>16</v>
      </c>
      <c r="D1" s="23" t="s">
        <v>18</v>
      </c>
      <c r="E1" t="str" cm="1">
        <f t="array" aca="1" ref="E1:Q2"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2">_xlfn._xlws.FILTER('Contraintes '!B2:C200,ISTEXT('Contraintes '!O2:O200))</f>
        <v>Grains autoconsommés</v>
      </c>
      <c r="B2" t="str">
        <v>Elimination/Pertes</v>
      </c>
      <c r="E2" t="str">
        <f ca="1"/>
        <v>kt</v>
      </c>
      <c r="F2" t="str">
        <f ca="1"/>
        <v>Blé tendre:Maïs:Orge:Blé dur:Triticale:Sorgho:Avoine:Seigle:Sarrasin:Riz:Epeautre:Millet</v>
      </c>
      <c r="G2" t="str">
        <f ca="1"/>
        <v>2015-16:2019-20:2023-24</v>
      </c>
      <c r="H2" t="str">
        <f ca="1"/>
        <v>France entière</v>
      </c>
      <c r="I2" t="str">
        <f ca="1"/>
        <v>Pertes à la ferme</v>
      </c>
      <c r="J2" t="str">
        <f ca="1"/>
        <v>Les pertes à la fermes sont de 3% (supérieures à celles des OS)</v>
      </c>
      <c r="K2" t="str">
        <f ca="1"/>
        <v>Valeur arbitraire</v>
      </c>
      <c r="L2" t="str">
        <f ca="1"/>
        <v>Pertes à la ferme</v>
      </c>
      <c r="M2" t="str">
        <f ca="1"/>
        <v>Rendement</v>
      </c>
      <c r="N2" t="str">
        <f ca="1"/>
        <v>Pertes à la ferme = 3 % (Valeur arbitraire)</v>
      </c>
      <c r="O2" t="str">
        <f ca="1"/>
        <v>Indicative</v>
      </c>
      <c r="P2" t="str">
        <f ca="1"/>
        <v>Données collectées:Données déterminées</v>
      </c>
      <c r="Q2" t="str">
        <f ca="1"/>
        <v>Donnée collectée (valeur du flux ou coefficient)</v>
      </c>
    </row>
    <row r="3" spans="1:17">
      <c r="I3"/>
      <c r="J3"/>
      <c r="K3"/>
      <c r="L3"/>
      <c r="M3"/>
    </row>
  </sheetData>
  <pageMargins left="0.75" right="0.75" top="1" bottom="1" header="0.5" footer="0.5"/>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5AFB-C710-428C-B98C-A19233A47209}">
  <sheetPr>
    <tabColor rgb="FFFFC000"/>
  </sheetPr>
  <dimension ref="A2:C6"/>
  <sheetViews>
    <sheetView workbookViewId="0">
      <selection activeCell="C6" sqref="C6"/>
    </sheetView>
  </sheetViews>
  <sheetFormatPr baseColWidth="10" defaultRowHeight="14.4"/>
  <cols>
    <col min="2" max="2" width="15.6640625" bestFit="1" customWidth="1"/>
  </cols>
  <sheetData>
    <row r="2" spans="1:3">
      <c r="A2" t="s">
        <v>19</v>
      </c>
      <c r="B2" t="s">
        <v>1157</v>
      </c>
      <c r="C2" t="s">
        <v>1156</v>
      </c>
    </row>
    <row r="3" spans="1:3">
      <c r="B3" t="s">
        <v>4</v>
      </c>
      <c r="C3" t="s">
        <v>1158</v>
      </c>
    </row>
    <row r="4" spans="1:3">
      <c r="B4" t="s">
        <v>1159</v>
      </c>
      <c r="C4" t="s">
        <v>1160</v>
      </c>
    </row>
    <row r="6" spans="1:3">
      <c r="B6" t="s">
        <v>1154</v>
      </c>
      <c r="C6" s="483">
        <v>0.03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43B88-C110-4E4A-891E-591986896498}">
  <sheetPr>
    <tabColor rgb="FFD7D200"/>
  </sheetPr>
  <dimension ref="A1:AMJ127"/>
  <sheetViews>
    <sheetView workbookViewId="0">
      <selection activeCell="B11" sqref="B11"/>
    </sheetView>
  </sheetViews>
  <sheetFormatPr baseColWidth="10" defaultColWidth="9.109375" defaultRowHeight="14.4"/>
  <cols>
    <col min="1" max="1" width="22.33203125" style="646" customWidth="1"/>
    <col min="2" max="2" width="16.5546875" style="646" customWidth="1"/>
    <col min="3" max="1024" width="9.109375" style="646"/>
    <col min="1025" max="16384" width="9.109375" style="648"/>
  </cols>
  <sheetData>
    <row r="1" spans="1:21" s="666" customFormat="1" ht="19.95" customHeight="1">
      <c r="A1" s="665" t="s">
        <v>1835</v>
      </c>
    </row>
    <row r="2" spans="1:21">
      <c r="B2" s="667"/>
      <c r="C2" s="667"/>
      <c r="D2" s="667"/>
      <c r="E2" s="667"/>
      <c r="F2" s="667"/>
      <c r="G2" s="667"/>
      <c r="H2" s="667"/>
      <c r="N2" s="668"/>
      <c r="P2" s="647"/>
      <c r="Q2" s="647"/>
      <c r="R2" s="647"/>
      <c r="S2" s="647"/>
      <c r="T2" s="647"/>
      <c r="U2" s="647"/>
    </row>
    <row r="3" spans="1:21" ht="14.85" customHeight="1">
      <c r="A3" s="667" t="s">
        <v>1863</v>
      </c>
      <c r="N3" s="668"/>
      <c r="P3" s="647"/>
      <c r="Q3" s="647"/>
      <c r="R3" s="647"/>
      <c r="S3" s="647"/>
      <c r="T3" s="647"/>
      <c r="U3" s="647"/>
    </row>
    <row r="4" spans="1:21" ht="13.95" customHeight="1">
      <c r="A4" s="667" t="s">
        <v>1864</v>
      </c>
      <c r="P4" s="647"/>
      <c r="Q4" s="647"/>
      <c r="R4" s="647"/>
      <c r="S4" s="647"/>
      <c r="T4" s="647"/>
      <c r="U4" s="647"/>
    </row>
    <row r="5" spans="1:21" ht="13.95" customHeight="1">
      <c r="A5" s="667"/>
      <c r="P5" s="647"/>
      <c r="Q5" s="647"/>
      <c r="R5" s="647"/>
      <c r="S5" s="647"/>
      <c r="T5" s="647"/>
      <c r="U5" s="647"/>
    </row>
    <row r="6" spans="1:21" ht="13.95" customHeight="1">
      <c r="A6" s="669" t="s">
        <v>1865</v>
      </c>
      <c r="B6" s="670"/>
      <c r="C6" s="670"/>
      <c r="D6" s="670"/>
      <c r="E6" s="670"/>
      <c r="F6" s="670"/>
      <c r="G6" s="670"/>
      <c r="H6" s="670"/>
      <c r="I6" s="670"/>
      <c r="J6" s="670"/>
      <c r="K6" s="670"/>
      <c r="L6" s="670"/>
      <c r="M6" s="670"/>
      <c r="N6" s="670"/>
      <c r="O6" s="670"/>
      <c r="P6" s="670"/>
      <c r="Q6" s="670"/>
      <c r="R6" s="670"/>
      <c r="S6" s="670"/>
      <c r="T6" s="647"/>
      <c r="U6" s="647"/>
    </row>
    <row r="7" spans="1:21" ht="13.95" customHeight="1">
      <c r="A7" s="671"/>
      <c r="B7" s="671"/>
      <c r="C7" s="671"/>
      <c r="D7" s="671"/>
      <c r="E7" s="671"/>
      <c r="F7" s="671"/>
      <c r="G7" s="671"/>
      <c r="H7" s="671"/>
      <c r="I7" s="671"/>
      <c r="J7" s="671"/>
      <c r="K7" s="671"/>
      <c r="L7" s="671"/>
      <c r="M7" s="671"/>
      <c r="N7" s="671"/>
      <c r="O7" s="671"/>
      <c r="P7" s="671"/>
      <c r="Q7" s="671"/>
      <c r="R7" s="671"/>
      <c r="S7" s="671"/>
      <c r="T7" s="647"/>
      <c r="U7" s="647"/>
    </row>
    <row r="8" spans="1:21" ht="13.95" customHeight="1">
      <c r="A8" s="672" t="s">
        <v>1866</v>
      </c>
      <c r="B8" s="671"/>
      <c r="C8" s="671"/>
      <c r="D8" s="671"/>
      <c r="E8" s="671"/>
      <c r="F8" s="671"/>
      <c r="G8" s="671"/>
      <c r="H8" s="671"/>
      <c r="I8" s="671"/>
      <c r="J8" s="671"/>
      <c r="K8" s="671"/>
      <c r="L8" s="671"/>
      <c r="M8" s="671"/>
      <c r="N8" s="671"/>
      <c r="O8" s="671"/>
      <c r="P8" s="671"/>
      <c r="Q8" s="671"/>
      <c r="R8" s="671"/>
      <c r="S8" s="671"/>
      <c r="T8" s="647"/>
      <c r="U8" s="647"/>
    </row>
    <row r="9" spans="1:21" ht="13.95" customHeight="1">
      <c r="A9" s="673" t="s">
        <v>1867</v>
      </c>
      <c r="B9" s="674" t="s">
        <v>1868</v>
      </c>
      <c r="C9" s="671"/>
      <c r="D9" s="671"/>
      <c r="E9" s="671"/>
      <c r="F9" s="671"/>
      <c r="G9" s="671"/>
      <c r="H9" s="671"/>
      <c r="I9" s="671"/>
      <c r="J9" s="671"/>
      <c r="K9" s="671"/>
      <c r="L9" s="671"/>
      <c r="M9" s="671"/>
      <c r="N9" s="671"/>
      <c r="O9" s="671"/>
      <c r="P9" s="671"/>
      <c r="Q9" s="671"/>
      <c r="R9" s="671"/>
      <c r="S9" s="671"/>
      <c r="T9" s="647"/>
      <c r="U9" s="647"/>
    </row>
    <row r="10" spans="1:21" ht="13.95" customHeight="1"/>
    <row r="11" spans="1:21" ht="13.95" customHeight="1">
      <c r="A11" s="675" t="s">
        <v>1869</v>
      </c>
      <c r="B11" s="676"/>
    </row>
    <row r="12" spans="1:21" ht="15.6" customHeight="1">
      <c r="A12" s="649" t="s">
        <v>1870</v>
      </c>
      <c r="B12" s="667"/>
      <c r="C12" s="667"/>
      <c r="D12" s="667"/>
      <c r="E12" s="667"/>
      <c r="F12" s="667"/>
    </row>
    <row r="13" spans="1:21" ht="15.6" customHeight="1">
      <c r="A13" s="673" t="s">
        <v>1839</v>
      </c>
      <c r="B13" s="668" t="s">
        <v>1871</v>
      </c>
      <c r="C13" s="667"/>
      <c r="D13" s="667"/>
      <c r="E13" s="667"/>
      <c r="F13" s="667"/>
    </row>
    <row r="14" spans="1:21" s="678" customFormat="1">
      <c r="A14" s="677" t="s">
        <v>1840</v>
      </c>
      <c r="B14" s="668" t="s">
        <v>1872</v>
      </c>
      <c r="C14" s="646"/>
      <c r="D14" s="646"/>
      <c r="E14" s="646"/>
      <c r="F14" s="646"/>
      <c r="G14" s="646"/>
      <c r="H14" s="646"/>
      <c r="I14" s="646"/>
      <c r="J14" s="646"/>
    </row>
    <row r="15" spans="1:21">
      <c r="A15" s="677" t="s">
        <v>1873</v>
      </c>
      <c r="B15" s="679" t="s">
        <v>1874</v>
      </c>
      <c r="C15" s="678"/>
      <c r="D15" s="678"/>
      <c r="E15" s="678"/>
      <c r="F15" s="678"/>
      <c r="G15" s="678"/>
      <c r="H15" s="678"/>
      <c r="I15" s="678"/>
      <c r="J15" s="678"/>
    </row>
    <row r="16" spans="1:21" ht="15.6" customHeight="1">
      <c r="A16" s="649" t="s">
        <v>1875</v>
      </c>
      <c r="B16" s="678"/>
      <c r="C16" s="678"/>
      <c r="D16" s="678"/>
      <c r="E16" s="678"/>
      <c r="F16" s="678"/>
      <c r="G16" s="678"/>
      <c r="H16" s="678"/>
      <c r="I16" s="678"/>
      <c r="J16" s="678"/>
    </row>
    <row r="17" spans="1:2" ht="13.95" customHeight="1">
      <c r="A17" s="677" t="s">
        <v>1876</v>
      </c>
      <c r="B17" s="668" t="s">
        <v>1877</v>
      </c>
    </row>
    <row r="18" spans="1:2" ht="13.95" customHeight="1">
      <c r="A18" s="668"/>
      <c r="B18" s="680"/>
    </row>
    <row r="19" spans="1:2" ht="15.6" customHeight="1">
      <c r="A19" s="681" t="s">
        <v>1878</v>
      </c>
    </row>
    <row r="20" spans="1:2" ht="15.6" customHeight="1">
      <c r="A20" s="682" t="s">
        <v>1879</v>
      </c>
    </row>
    <row r="21" spans="1:2" ht="13.95" customHeight="1">
      <c r="A21" s="677" t="s">
        <v>150</v>
      </c>
      <c r="B21" s="668" t="s">
        <v>1880</v>
      </c>
    </row>
    <row r="22" spans="1:2" ht="13.95" customHeight="1">
      <c r="A22" s="677" t="s">
        <v>1881</v>
      </c>
      <c r="B22" s="668" t="s">
        <v>1882</v>
      </c>
    </row>
    <row r="23" spans="1:2" ht="13.95" customHeight="1">
      <c r="A23" s="682" t="s">
        <v>1883</v>
      </c>
      <c r="B23" s="668"/>
    </row>
    <row r="24" spans="1:2" ht="13.95" customHeight="1">
      <c r="A24" s="677" t="s">
        <v>1846</v>
      </c>
      <c r="B24" s="668" t="s">
        <v>1884</v>
      </c>
    </row>
    <row r="25" spans="1:2" ht="15.6" customHeight="1">
      <c r="A25" s="645"/>
    </row>
    <row r="26" spans="1:2" ht="15.6" customHeight="1">
      <c r="A26" s="683" t="s">
        <v>1885</v>
      </c>
    </row>
    <row r="27" spans="1:2" ht="13.95" customHeight="1">
      <c r="A27" s="677" t="s">
        <v>1837</v>
      </c>
      <c r="B27" s="668" t="s">
        <v>1886</v>
      </c>
    </row>
    <row r="28" spans="1:2" s="666" customFormat="1" ht="13.95" customHeight="1"/>
    <row r="29" spans="1:2" ht="13.95" customHeight="1">
      <c r="A29" s="684" t="s">
        <v>1887</v>
      </c>
    </row>
    <row r="30" spans="1:2" ht="13.95" customHeight="1">
      <c r="A30" s="685" t="s">
        <v>1888</v>
      </c>
      <c r="B30" s="668" t="s">
        <v>1889</v>
      </c>
    </row>
    <row r="31" spans="1:2" ht="13.95" customHeight="1">
      <c r="A31" s="685" t="s">
        <v>1801</v>
      </c>
      <c r="B31" s="668" t="s">
        <v>1890</v>
      </c>
    </row>
    <row r="32" spans="1:2" ht="13.95" customHeight="1"/>
    <row r="33" spans="1:1024">
      <c r="A33" s="686" t="s">
        <v>1891</v>
      </c>
    </row>
    <row r="35" spans="1:1024" s="688" customFormat="1">
      <c r="A35" s="687"/>
      <c r="B35" s="687"/>
      <c r="C35" s="687"/>
      <c r="D35" s="687"/>
      <c r="E35" s="687"/>
      <c r="F35" s="687"/>
      <c r="G35" s="687"/>
      <c r="H35" s="687"/>
      <c r="I35" s="687"/>
      <c r="J35" s="687"/>
      <c r="K35" s="687"/>
      <c r="L35" s="687"/>
      <c r="M35" s="687"/>
      <c r="N35" s="687"/>
      <c r="O35" s="687"/>
      <c r="P35" s="687"/>
      <c r="Q35" s="687"/>
      <c r="R35" s="687"/>
      <c r="S35" s="687"/>
      <c r="T35" s="687"/>
      <c r="U35" s="687"/>
      <c r="V35" s="687"/>
      <c r="W35" s="687"/>
      <c r="X35" s="687"/>
      <c r="Y35" s="687"/>
      <c r="Z35" s="687"/>
      <c r="AA35" s="687"/>
      <c r="AB35" s="687"/>
      <c r="AC35" s="687"/>
      <c r="AD35" s="687"/>
      <c r="AE35" s="687"/>
      <c r="AF35" s="687"/>
      <c r="AG35" s="687"/>
      <c r="AH35" s="687"/>
      <c r="AI35" s="687"/>
      <c r="AJ35" s="687"/>
      <c r="AK35" s="687"/>
      <c r="AL35" s="687"/>
      <c r="AM35" s="687"/>
      <c r="AN35" s="687"/>
      <c r="AO35" s="687"/>
      <c r="AP35" s="687"/>
      <c r="AQ35" s="687"/>
      <c r="AR35" s="687"/>
      <c r="AS35" s="687"/>
      <c r="AT35" s="687"/>
      <c r="AU35" s="687"/>
      <c r="AV35" s="687"/>
      <c r="AW35" s="687"/>
      <c r="AX35" s="687"/>
      <c r="AY35" s="687"/>
      <c r="AZ35" s="687"/>
      <c r="BA35" s="687"/>
      <c r="BB35" s="687"/>
      <c r="BC35" s="687"/>
      <c r="BD35" s="687"/>
      <c r="BE35" s="687"/>
      <c r="BF35" s="687"/>
      <c r="BG35" s="687"/>
      <c r="BH35" s="687"/>
      <c r="BI35" s="687"/>
      <c r="BJ35" s="687"/>
      <c r="BK35" s="687"/>
      <c r="BL35" s="687"/>
      <c r="BM35" s="687"/>
      <c r="BN35" s="687"/>
      <c r="BO35" s="687"/>
      <c r="BP35" s="687"/>
      <c r="BQ35" s="687"/>
      <c r="BR35" s="687"/>
      <c r="BS35" s="687"/>
      <c r="BT35" s="687"/>
      <c r="BU35" s="687"/>
      <c r="BV35" s="687"/>
      <c r="BW35" s="687"/>
      <c r="BX35" s="687"/>
      <c r="BY35" s="687"/>
      <c r="BZ35" s="687"/>
      <c r="CA35" s="687"/>
      <c r="CB35" s="687"/>
      <c r="CC35" s="687"/>
      <c r="CD35" s="687"/>
      <c r="CE35" s="687"/>
      <c r="CF35" s="687"/>
      <c r="CG35" s="687"/>
      <c r="CH35" s="687"/>
      <c r="CI35" s="687"/>
      <c r="CJ35" s="687"/>
      <c r="CK35" s="687"/>
      <c r="CL35" s="687"/>
      <c r="CM35" s="687"/>
      <c r="CN35" s="687"/>
      <c r="CO35" s="687"/>
      <c r="CP35" s="687"/>
      <c r="CQ35" s="687"/>
      <c r="CR35" s="687"/>
      <c r="CS35" s="687"/>
      <c r="CT35" s="687"/>
      <c r="CU35" s="687"/>
      <c r="CV35" s="687"/>
      <c r="CW35" s="687"/>
      <c r="CX35" s="687"/>
      <c r="CY35" s="687"/>
      <c r="CZ35" s="687"/>
      <c r="DA35" s="687"/>
      <c r="DB35" s="687"/>
      <c r="DC35" s="687"/>
      <c r="DD35" s="687"/>
      <c r="DE35" s="687"/>
      <c r="DF35" s="687"/>
      <c r="DG35" s="687"/>
      <c r="DH35" s="687"/>
      <c r="DI35" s="687"/>
      <c r="DJ35" s="687"/>
      <c r="DK35" s="687"/>
      <c r="DL35" s="687"/>
      <c r="DM35" s="687"/>
      <c r="DN35" s="687"/>
      <c r="DO35" s="687"/>
      <c r="DP35" s="687"/>
      <c r="DQ35" s="687"/>
      <c r="DR35" s="687"/>
      <c r="DS35" s="687"/>
      <c r="DT35" s="687"/>
      <c r="DU35" s="687"/>
      <c r="DV35" s="687"/>
      <c r="DW35" s="687"/>
      <c r="DX35" s="687"/>
      <c r="DY35" s="687"/>
      <c r="DZ35" s="687"/>
      <c r="EA35" s="687"/>
      <c r="EB35" s="687"/>
      <c r="EC35" s="687"/>
      <c r="ED35" s="687"/>
      <c r="EE35" s="687"/>
      <c r="EF35" s="687"/>
      <c r="EG35" s="687"/>
      <c r="EH35" s="687"/>
      <c r="EI35" s="687"/>
      <c r="EJ35" s="687"/>
      <c r="EK35" s="687"/>
      <c r="EL35" s="687"/>
      <c r="EM35" s="687"/>
      <c r="EN35" s="687"/>
      <c r="EO35" s="687"/>
      <c r="EP35" s="687"/>
      <c r="EQ35" s="687"/>
      <c r="ER35" s="687"/>
      <c r="ES35" s="687"/>
      <c r="ET35" s="687"/>
      <c r="EU35" s="687"/>
      <c r="EV35" s="687"/>
      <c r="EW35" s="687"/>
      <c r="EX35" s="687"/>
      <c r="EY35" s="687"/>
      <c r="EZ35" s="687"/>
      <c r="FA35" s="687"/>
      <c r="FB35" s="687"/>
      <c r="FC35" s="687"/>
      <c r="FD35" s="687"/>
      <c r="FE35" s="687"/>
      <c r="FF35" s="687"/>
      <c r="FG35" s="687"/>
      <c r="FH35" s="687"/>
      <c r="FI35" s="687"/>
      <c r="FJ35" s="687"/>
      <c r="FK35" s="687"/>
      <c r="FL35" s="687"/>
      <c r="FM35" s="687"/>
      <c r="FN35" s="687"/>
      <c r="FO35" s="687"/>
      <c r="FP35" s="687"/>
      <c r="FQ35" s="687"/>
      <c r="FR35" s="687"/>
      <c r="FS35" s="687"/>
      <c r="FT35" s="687"/>
      <c r="FU35" s="687"/>
      <c r="FV35" s="687"/>
      <c r="FW35" s="687"/>
      <c r="FX35" s="687"/>
      <c r="FY35" s="687"/>
      <c r="FZ35" s="687"/>
      <c r="GA35" s="687"/>
      <c r="GB35" s="687"/>
      <c r="GC35" s="687"/>
      <c r="GD35" s="687"/>
      <c r="GE35" s="687"/>
      <c r="GF35" s="687"/>
      <c r="GG35" s="687"/>
      <c r="GH35" s="687"/>
      <c r="GI35" s="687"/>
      <c r="GJ35" s="687"/>
      <c r="GK35" s="687"/>
      <c r="GL35" s="687"/>
      <c r="GM35" s="687"/>
      <c r="GN35" s="687"/>
      <c r="GO35" s="687"/>
      <c r="GP35" s="687"/>
      <c r="GQ35" s="687"/>
      <c r="GR35" s="687"/>
      <c r="GS35" s="687"/>
      <c r="GT35" s="687"/>
      <c r="GU35" s="687"/>
      <c r="GV35" s="687"/>
      <c r="GW35" s="687"/>
      <c r="GX35" s="687"/>
      <c r="GY35" s="687"/>
      <c r="GZ35" s="687"/>
      <c r="HA35" s="687"/>
      <c r="HB35" s="687"/>
      <c r="HC35" s="687"/>
      <c r="HD35" s="687"/>
      <c r="HE35" s="687"/>
      <c r="HF35" s="687"/>
      <c r="HG35" s="687"/>
      <c r="HH35" s="687"/>
      <c r="HI35" s="687"/>
      <c r="HJ35" s="687"/>
      <c r="HK35" s="687"/>
      <c r="HL35" s="687"/>
      <c r="HM35" s="687"/>
      <c r="HN35" s="687"/>
      <c r="HO35" s="687"/>
      <c r="HP35" s="687"/>
      <c r="HQ35" s="687"/>
      <c r="HR35" s="687"/>
      <c r="HS35" s="687"/>
      <c r="HT35" s="687"/>
      <c r="HU35" s="687"/>
      <c r="HV35" s="687"/>
      <c r="HW35" s="687"/>
      <c r="HX35" s="687"/>
      <c r="HY35" s="687"/>
      <c r="HZ35" s="687"/>
      <c r="IA35" s="687"/>
      <c r="IB35" s="687"/>
      <c r="IC35" s="687"/>
      <c r="ID35" s="687"/>
      <c r="IE35" s="687"/>
      <c r="IF35" s="687"/>
      <c r="IG35" s="687"/>
      <c r="IH35" s="687"/>
      <c r="II35" s="687"/>
      <c r="IJ35" s="687"/>
      <c r="IK35" s="687"/>
      <c r="IL35" s="687"/>
      <c r="IM35" s="687"/>
      <c r="IN35" s="687"/>
      <c r="IO35" s="687"/>
      <c r="IP35" s="687"/>
      <c r="IQ35" s="687"/>
      <c r="IR35" s="687"/>
      <c r="IS35" s="687"/>
      <c r="IT35" s="687"/>
      <c r="IU35" s="687"/>
      <c r="IV35" s="687"/>
      <c r="IW35" s="687"/>
      <c r="IX35" s="687"/>
      <c r="IY35" s="687"/>
      <c r="IZ35" s="687"/>
      <c r="JA35" s="687"/>
      <c r="JB35" s="687"/>
      <c r="JC35" s="687"/>
      <c r="JD35" s="687"/>
      <c r="JE35" s="687"/>
      <c r="JF35" s="687"/>
      <c r="JG35" s="687"/>
      <c r="JH35" s="687"/>
      <c r="JI35" s="687"/>
      <c r="JJ35" s="687"/>
      <c r="JK35" s="687"/>
      <c r="JL35" s="687"/>
      <c r="JM35" s="687"/>
      <c r="JN35" s="687"/>
      <c r="JO35" s="687"/>
      <c r="JP35" s="687"/>
      <c r="JQ35" s="687"/>
      <c r="JR35" s="687"/>
      <c r="JS35" s="687"/>
      <c r="JT35" s="687"/>
      <c r="JU35" s="687"/>
      <c r="JV35" s="687"/>
      <c r="JW35" s="687"/>
      <c r="JX35" s="687"/>
      <c r="JY35" s="687"/>
      <c r="JZ35" s="687"/>
      <c r="KA35" s="687"/>
      <c r="KB35" s="687"/>
      <c r="KC35" s="687"/>
      <c r="KD35" s="687"/>
      <c r="KE35" s="687"/>
      <c r="KF35" s="687"/>
      <c r="KG35" s="687"/>
      <c r="KH35" s="687"/>
      <c r="KI35" s="687"/>
      <c r="KJ35" s="687"/>
      <c r="KK35" s="687"/>
      <c r="KL35" s="687"/>
      <c r="KM35" s="687"/>
      <c r="KN35" s="687"/>
      <c r="KO35" s="687"/>
      <c r="KP35" s="687"/>
      <c r="KQ35" s="687"/>
      <c r="KR35" s="687"/>
      <c r="KS35" s="687"/>
      <c r="KT35" s="687"/>
      <c r="KU35" s="687"/>
      <c r="KV35" s="687"/>
      <c r="KW35" s="687"/>
      <c r="KX35" s="687"/>
      <c r="KY35" s="687"/>
      <c r="KZ35" s="687"/>
      <c r="LA35" s="687"/>
      <c r="LB35" s="687"/>
      <c r="LC35" s="687"/>
      <c r="LD35" s="687"/>
      <c r="LE35" s="687"/>
      <c r="LF35" s="687"/>
      <c r="LG35" s="687"/>
      <c r="LH35" s="687"/>
      <c r="LI35" s="687"/>
      <c r="LJ35" s="687"/>
      <c r="LK35" s="687"/>
      <c r="LL35" s="687"/>
      <c r="LM35" s="687"/>
      <c r="LN35" s="687"/>
      <c r="LO35" s="687"/>
      <c r="LP35" s="687"/>
      <c r="LQ35" s="687"/>
      <c r="LR35" s="687"/>
      <c r="LS35" s="687"/>
      <c r="LT35" s="687"/>
      <c r="LU35" s="687"/>
      <c r="LV35" s="687"/>
      <c r="LW35" s="687"/>
      <c r="LX35" s="687"/>
      <c r="LY35" s="687"/>
      <c r="LZ35" s="687"/>
      <c r="MA35" s="687"/>
      <c r="MB35" s="687"/>
      <c r="MC35" s="687"/>
      <c r="MD35" s="687"/>
      <c r="ME35" s="687"/>
      <c r="MF35" s="687"/>
      <c r="MG35" s="687"/>
      <c r="MH35" s="687"/>
      <c r="MI35" s="687"/>
      <c r="MJ35" s="687"/>
      <c r="MK35" s="687"/>
      <c r="ML35" s="687"/>
      <c r="MM35" s="687"/>
      <c r="MN35" s="687"/>
      <c r="MO35" s="687"/>
      <c r="MP35" s="687"/>
      <c r="MQ35" s="687"/>
      <c r="MR35" s="687"/>
      <c r="MS35" s="687"/>
      <c r="MT35" s="687"/>
      <c r="MU35" s="687"/>
      <c r="MV35" s="687"/>
      <c r="MW35" s="687"/>
      <c r="MX35" s="687"/>
      <c r="MY35" s="687"/>
      <c r="MZ35" s="687"/>
      <c r="NA35" s="687"/>
      <c r="NB35" s="687"/>
      <c r="NC35" s="687"/>
      <c r="ND35" s="687"/>
      <c r="NE35" s="687"/>
      <c r="NF35" s="687"/>
      <c r="NG35" s="687"/>
      <c r="NH35" s="687"/>
      <c r="NI35" s="687"/>
      <c r="NJ35" s="687"/>
      <c r="NK35" s="687"/>
      <c r="NL35" s="687"/>
      <c r="NM35" s="687"/>
      <c r="NN35" s="687"/>
      <c r="NO35" s="687"/>
      <c r="NP35" s="687"/>
      <c r="NQ35" s="687"/>
      <c r="NR35" s="687"/>
      <c r="NS35" s="687"/>
      <c r="NT35" s="687"/>
      <c r="NU35" s="687"/>
      <c r="NV35" s="687"/>
      <c r="NW35" s="687"/>
      <c r="NX35" s="687"/>
      <c r="NY35" s="687"/>
      <c r="NZ35" s="687"/>
      <c r="OA35" s="687"/>
      <c r="OB35" s="687"/>
      <c r="OC35" s="687"/>
      <c r="OD35" s="687"/>
      <c r="OE35" s="687"/>
      <c r="OF35" s="687"/>
      <c r="OG35" s="687"/>
      <c r="OH35" s="687"/>
      <c r="OI35" s="687"/>
      <c r="OJ35" s="687"/>
      <c r="OK35" s="687"/>
      <c r="OL35" s="687"/>
      <c r="OM35" s="687"/>
      <c r="ON35" s="687"/>
      <c r="OO35" s="687"/>
      <c r="OP35" s="687"/>
      <c r="OQ35" s="687"/>
      <c r="OR35" s="687"/>
      <c r="OS35" s="687"/>
      <c r="OT35" s="687"/>
      <c r="OU35" s="687"/>
      <c r="OV35" s="687"/>
      <c r="OW35" s="687"/>
      <c r="OX35" s="687"/>
      <c r="OY35" s="687"/>
      <c r="OZ35" s="687"/>
      <c r="PA35" s="687"/>
      <c r="PB35" s="687"/>
      <c r="PC35" s="687"/>
      <c r="PD35" s="687"/>
      <c r="PE35" s="687"/>
      <c r="PF35" s="687"/>
      <c r="PG35" s="687"/>
      <c r="PH35" s="687"/>
      <c r="PI35" s="687"/>
      <c r="PJ35" s="687"/>
      <c r="PK35" s="687"/>
      <c r="PL35" s="687"/>
      <c r="PM35" s="687"/>
      <c r="PN35" s="687"/>
      <c r="PO35" s="687"/>
      <c r="PP35" s="687"/>
      <c r="PQ35" s="687"/>
      <c r="PR35" s="687"/>
      <c r="PS35" s="687"/>
      <c r="PT35" s="687"/>
      <c r="PU35" s="687"/>
      <c r="PV35" s="687"/>
      <c r="PW35" s="687"/>
      <c r="PX35" s="687"/>
      <c r="PY35" s="687"/>
      <c r="PZ35" s="687"/>
      <c r="QA35" s="687"/>
      <c r="QB35" s="687"/>
      <c r="QC35" s="687"/>
      <c r="QD35" s="687"/>
      <c r="QE35" s="687"/>
      <c r="QF35" s="687"/>
      <c r="QG35" s="687"/>
      <c r="QH35" s="687"/>
      <c r="QI35" s="687"/>
      <c r="QJ35" s="687"/>
      <c r="QK35" s="687"/>
      <c r="QL35" s="687"/>
      <c r="QM35" s="687"/>
      <c r="QN35" s="687"/>
      <c r="QO35" s="687"/>
      <c r="QP35" s="687"/>
      <c r="QQ35" s="687"/>
      <c r="QR35" s="687"/>
      <c r="QS35" s="687"/>
      <c r="QT35" s="687"/>
      <c r="QU35" s="687"/>
      <c r="QV35" s="687"/>
      <c r="QW35" s="687"/>
      <c r="QX35" s="687"/>
      <c r="QY35" s="687"/>
      <c r="QZ35" s="687"/>
      <c r="RA35" s="687"/>
      <c r="RB35" s="687"/>
      <c r="RC35" s="687"/>
      <c r="RD35" s="687"/>
      <c r="RE35" s="687"/>
      <c r="RF35" s="687"/>
      <c r="RG35" s="687"/>
      <c r="RH35" s="687"/>
      <c r="RI35" s="687"/>
      <c r="RJ35" s="687"/>
      <c r="RK35" s="687"/>
      <c r="RL35" s="687"/>
      <c r="RM35" s="687"/>
      <c r="RN35" s="687"/>
      <c r="RO35" s="687"/>
      <c r="RP35" s="687"/>
      <c r="RQ35" s="687"/>
      <c r="RR35" s="687"/>
      <c r="RS35" s="687"/>
      <c r="RT35" s="687"/>
      <c r="RU35" s="687"/>
      <c r="RV35" s="687"/>
      <c r="RW35" s="687"/>
      <c r="RX35" s="687"/>
      <c r="RY35" s="687"/>
      <c r="RZ35" s="687"/>
      <c r="SA35" s="687"/>
      <c r="SB35" s="687"/>
      <c r="SC35" s="687"/>
      <c r="SD35" s="687"/>
      <c r="SE35" s="687"/>
      <c r="SF35" s="687"/>
      <c r="SG35" s="687"/>
      <c r="SH35" s="687"/>
      <c r="SI35" s="687"/>
      <c r="SJ35" s="687"/>
      <c r="SK35" s="687"/>
      <c r="SL35" s="687"/>
      <c r="SM35" s="687"/>
      <c r="SN35" s="687"/>
      <c r="SO35" s="687"/>
      <c r="SP35" s="687"/>
      <c r="SQ35" s="687"/>
      <c r="SR35" s="687"/>
      <c r="SS35" s="687"/>
      <c r="ST35" s="687"/>
      <c r="SU35" s="687"/>
      <c r="SV35" s="687"/>
      <c r="SW35" s="687"/>
      <c r="SX35" s="687"/>
      <c r="SY35" s="687"/>
      <c r="SZ35" s="687"/>
      <c r="TA35" s="687"/>
      <c r="TB35" s="687"/>
      <c r="TC35" s="687"/>
      <c r="TD35" s="687"/>
      <c r="TE35" s="687"/>
      <c r="TF35" s="687"/>
      <c r="TG35" s="687"/>
      <c r="TH35" s="687"/>
      <c r="TI35" s="687"/>
      <c r="TJ35" s="687"/>
      <c r="TK35" s="687"/>
      <c r="TL35" s="687"/>
      <c r="TM35" s="687"/>
      <c r="TN35" s="687"/>
      <c r="TO35" s="687"/>
      <c r="TP35" s="687"/>
      <c r="TQ35" s="687"/>
      <c r="TR35" s="687"/>
      <c r="TS35" s="687"/>
      <c r="TT35" s="687"/>
      <c r="TU35" s="687"/>
      <c r="TV35" s="687"/>
      <c r="TW35" s="687"/>
      <c r="TX35" s="687"/>
      <c r="TY35" s="687"/>
      <c r="TZ35" s="687"/>
      <c r="UA35" s="687"/>
      <c r="UB35" s="687"/>
      <c r="UC35" s="687"/>
      <c r="UD35" s="687"/>
      <c r="UE35" s="687"/>
      <c r="UF35" s="687"/>
      <c r="UG35" s="687"/>
      <c r="UH35" s="687"/>
      <c r="UI35" s="687"/>
      <c r="UJ35" s="687"/>
      <c r="UK35" s="687"/>
      <c r="UL35" s="687"/>
      <c r="UM35" s="687"/>
      <c r="UN35" s="687"/>
      <c r="UO35" s="687"/>
      <c r="UP35" s="687"/>
      <c r="UQ35" s="687"/>
      <c r="UR35" s="687"/>
      <c r="US35" s="687"/>
      <c r="UT35" s="687"/>
      <c r="UU35" s="687"/>
      <c r="UV35" s="687"/>
      <c r="UW35" s="687"/>
      <c r="UX35" s="687"/>
      <c r="UY35" s="687"/>
      <c r="UZ35" s="687"/>
      <c r="VA35" s="687"/>
      <c r="VB35" s="687"/>
      <c r="VC35" s="687"/>
      <c r="VD35" s="687"/>
      <c r="VE35" s="687"/>
      <c r="VF35" s="687"/>
      <c r="VG35" s="687"/>
      <c r="VH35" s="687"/>
      <c r="VI35" s="687"/>
      <c r="VJ35" s="687"/>
      <c r="VK35" s="687"/>
      <c r="VL35" s="687"/>
      <c r="VM35" s="687"/>
      <c r="VN35" s="687"/>
      <c r="VO35" s="687"/>
      <c r="VP35" s="687"/>
      <c r="VQ35" s="687"/>
      <c r="VR35" s="687"/>
      <c r="VS35" s="687"/>
      <c r="VT35" s="687"/>
      <c r="VU35" s="687"/>
      <c r="VV35" s="687"/>
      <c r="VW35" s="687"/>
      <c r="VX35" s="687"/>
      <c r="VY35" s="687"/>
      <c r="VZ35" s="687"/>
      <c r="WA35" s="687"/>
      <c r="WB35" s="687"/>
      <c r="WC35" s="687"/>
      <c r="WD35" s="687"/>
      <c r="WE35" s="687"/>
      <c r="WF35" s="687"/>
      <c r="WG35" s="687"/>
      <c r="WH35" s="687"/>
      <c r="WI35" s="687"/>
      <c r="WJ35" s="687"/>
      <c r="WK35" s="687"/>
      <c r="WL35" s="687"/>
      <c r="WM35" s="687"/>
      <c r="WN35" s="687"/>
      <c r="WO35" s="687"/>
      <c r="WP35" s="687"/>
      <c r="WQ35" s="687"/>
      <c r="WR35" s="687"/>
      <c r="WS35" s="687"/>
      <c r="WT35" s="687"/>
      <c r="WU35" s="687"/>
      <c r="WV35" s="687"/>
      <c r="WW35" s="687"/>
      <c r="WX35" s="687"/>
      <c r="WY35" s="687"/>
      <c r="WZ35" s="687"/>
      <c r="XA35" s="687"/>
      <c r="XB35" s="687"/>
      <c r="XC35" s="687"/>
      <c r="XD35" s="687"/>
      <c r="XE35" s="687"/>
      <c r="XF35" s="687"/>
      <c r="XG35" s="687"/>
      <c r="XH35" s="687"/>
      <c r="XI35" s="687"/>
      <c r="XJ35" s="687"/>
      <c r="XK35" s="687"/>
      <c r="XL35" s="687"/>
      <c r="XM35" s="687"/>
      <c r="XN35" s="687"/>
      <c r="XO35" s="687"/>
      <c r="XP35" s="687"/>
      <c r="XQ35" s="687"/>
      <c r="XR35" s="687"/>
      <c r="XS35" s="687"/>
      <c r="XT35" s="687"/>
      <c r="XU35" s="687"/>
      <c r="XV35" s="687"/>
      <c r="XW35" s="687"/>
      <c r="XX35" s="687"/>
      <c r="XY35" s="687"/>
      <c r="XZ35" s="687"/>
      <c r="YA35" s="687"/>
      <c r="YB35" s="687"/>
      <c r="YC35" s="687"/>
      <c r="YD35" s="687"/>
      <c r="YE35" s="687"/>
      <c r="YF35" s="687"/>
      <c r="YG35" s="687"/>
      <c r="YH35" s="687"/>
      <c r="YI35" s="687"/>
      <c r="YJ35" s="687"/>
      <c r="YK35" s="687"/>
      <c r="YL35" s="687"/>
      <c r="YM35" s="687"/>
      <c r="YN35" s="687"/>
      <c r="YO35" s="687"/>
      <c r="YP35" s="687"/>
      <c r="YQ35" s="687"/>
      <c r="YR35" s="687"/>
      <c r="YS35" s="687"/>
      <c r="YT35" s="687"/>
      <c r="YU35" s="687"/>
      <c r="YV35" s="687"/>
      <c r="YW35" s="687"/>
      <c r="YX35" s="687"/>
      <c r="YY35" s="687"/>
      <c r="YZ35" s="687"/>
      <c r="ZA35" s="687"/>
      <c r="ZB35" s="687"/>
      <c r="ZC35" s="687"/>
      <c r="ZD35" s="687"/>
      <c r="ZE35" s="687"/>
      <c r="ZF35" s="687"/>
      <c r="ZG35" s="687"/>
      <c r="ZH35" s="687"/>
      <c r="ZI35" s="687"/>
      <c r="ZJ35" s="687"/>
      <c r="ZK35" s="687"/>
      <c r="ZL35" s="687"/>
      <c r="ZM35" s="687"/>
      <c r="ZN35" s="687"/>
      <c r="ZO35" s="687"/>
      <c r="ZP35" s="687"/>
      <c r="ZQ35" s="687"/>
      <c r="ZR35" s="687"/>
      <c r="ZS35" s="687"/>
      <c r="ZT35" s="687"/>
      <c r="ZU35" s="687"/>
      <c r="ZV35" s="687"/>
      <c r="ZW35" s="687"/>
      <c r="ZX35" s="687"/>
      <c r="ZY35" s="687"/>
      <c r="ZZ35" s="687"/>
      <c r="AAA35" s="687"/>
      <c r="AAB35" s="687"/>
      <c r="AAC35" s="687"/>
      <c r="AAD35" s="687"/>
      <c r="AAE35" s="687"/>
      <c r="AAF35" s="687"/>
      <c r="AAG35" s="687"/>
      <c r="AAH35" s="687"/>
      <c r="AAI35" s="687"/>
      <c r="AAJ35" s="687"/>
      <c r="AAK35" s="687"/>
      <c r="AAL35" s="687"/>
      <c r="AAM35" s="687"/>
      <c r="AAN35" s="687"/>
      <c r="AAO35" s="687"/>
      <c r="AAP35" s="687"/>
      <c r="AAQ35" s="687"/>
      <c r="AAR35" s="687"/>
      <c r="AAS35" s="687"/>
      <c r="AAT35" s="687"/>
      <c r="AAU35" s="687"/>
      <c r="AAV35" s="687"/>
      <c r="AAW35" s="687"/>
      <c r="AAX35" s="687"/>
      <c r="AAY35" s="687"/>
      <c r="AAZ35" s="687"/>
      <c r="ABA35" s="687"/>
      <c r="ABB35" s="687"/>
      <c r="ABC35" s="687"/>
      <c r="ABD35" s="687"/>
      <c r="ABE35" s="687"/>
      <c r="ABF35" s="687"/>
      <c r="ABG35" s="687"/>
      <c r="ABH35" s="687"/>
      <c r="ABI35" s="687"/>
      <c r="ABJ35" s="687"/>
      <c r="ABK35" s="687"/>
      <c r="ABL35" s="687"/>
      <c r="ABM35" s="687"/>
      <c r="ABN35" s="687"/>
      <c r="ABO35" s="687"/>
      <c r="ABP35" s="687"/>
      <c r="ABQ35" s="687"/>
      <c r="ABR35" s="687"/>
      <c r="ABS35" s="687"/>
      <c r="ABT35" s="687"/>
      <c r="ABU35" s="687"/>
      <c r="ABV35" s="687"/>
      <c r="ABW35" s="687"/>
      <c r="ABX35" s="687"/>
      <c r="ABY35" s="687"/>
      <c r="ABZ35" s="687"/>
      <c r="ACA35" s="687"/>
      <c r="ACB35" s="687"/>
      <c r="ACC35" s="687"/>
      <c r="ACD35" s="687"/>
      <c r="ACE35" s="687"/>
      <c r="ACF35" s="687"/>
      <c r="ACG35" s="687"/>
      <c r="ACH35" s="687"/>
      <c r="ACI35" s="687"/>
      <c r="ACJ35" s="687"/>
      <c r="ACK35" s="687"/>
      <c r="ACL35" s="687"/>
      <c r="ACM35" s="687"/>
      <c r="ACN35" s="687"/>
      <c r="ACO35" s="687"/>
      <c r="ACP35" s="687"/>
      <c r="ACQ35" s="687"/>
      <c r="ACR35" s="687"/>
      <c r="ACS35" s="687"/>
      <c r="ACT35" s="687"/>
      <c r="ACU35" s="687"/>
      <c r="ACV35" s="687"/>
      <c r="ACW35" s="687"/>
      <c r="ACX35" s="687"/>
      <c r="ACY35" s="687"/>
      <c r="ACZ35" s="687"/>
      <c r="ADA35" s="687"/>
      <c r="ADB35" s="687"/>
      <c r="ADC35" s="687"/>
      <c r="ADD35" s="687"/>
      <c r="ADE35" s="687"/>
      <c r="ADF35" s="687"/>
      <c r="ADG35" s="687"/>
      <c r="ADH35" s="687"/>
      <c r="ADI35" s="687"/>
      <c r="ADJ35" s="687"/>
      <c r="ADK35" s="687"/>
      <c r="ADL35" s="687"/>
      <c r="ADM35" s="687"/>
      <c r="ADN35" s="687"/>
      <c r="ADO35" s="687"/>
      <c r="ADP35" s="687"/>
      <c r="ADQ35" s="687"/>
      <c r="ADR35" s="687"/>
      <c r="ADS35" s="687"/>
      <c r="ADT35" s="687"/>
      <c r="ADU35" s="687"/>
      <c r="ADV35" s="687"/>
      <c r="ADW35" s="687"/>
      <c r="ADX35" s="687"/>
      <c r="ADY35" s="687"/>
      <c r="ADZ35" s="687"/>
      <c r="AEA35" s="687"/>
      <c r="AEB35" s="687"/>
      <c r="AEC35" s="687"/>
      <c r="AED35" s="687"/>
      <c r="AEE35" s="687"/>
      <c r="AEF35" s="687"/>
      <c r="AEG35" s="687"/>
      <c r="AEH35" s="687"/>
      <c r="AEI35" s="687"/>
      <c r="AEJ35" s="687"/>
      <c r="AEK35" s="687"/>
      <c r="AEL35" s="687"/>
      <c r="AEM35" s="687"/>
      <c r="AEN35" s="687"/>
      <c r="AEO35" s="687"/>
      <c r="AEP35" s="687"/>
      <c r="AEQ35" s="687"/>
      <c r="AER35" s="687"/>
      <c r="AES35" s="687"/>
      <c r="AET35" s="687"/>
      <c r="AEU35" s="687"/>
      <c r="AEV35" s="687"/>
      <c r="AEW35" s="687"/>
      <c r="AEX35" s="687"/>
      <c r="AEY35" s="687"/>
      <c r="AEZ35" s="687"/>
      <c r="AFA35" s="687"/>
      <c r="AFB35" s="687"/>
      <c r="AFC35" s="687"/>
      <c r="AFD35" s="687"/>
      <c r="AFE35" s="687"/>
      <c r="AFF35" s="687"/>
      <c r="AFG35" s="687"/>
      <c r="AFH35" s="687"/>
      <c r="AFI35" s="687"/>
      <c r="AFJ35" s="687"/>
      <c r="AFK35" s="687"/>
      <c r="AFL35" s="687"/>
      <c r="AFM35" s="687"/>
      <c r="AFN35" s="687"/>
      <c r="AFO35" s="687"/>
      <c r="AFP35" s="687"/>
      <c r="AFQ35" s="687"/>
      <c r="AFR35" s="687"/>
      <c r="AFS35" s="687"/>
      <c r="AFT35" s="687"/>
      <c r="AFU35" s="687"/>
      <c r="AFV35" s="687"/>
      <c r="AFW35" s="687"/>
      <c r="AFX35" s="687"/>
      <c r="AFY35" s="687"/>
      <c r="AFZ35" s="687"/>
      <c r="AGA35" s="687"/>
      <c r="AGB35" s="687"/>
      <c r="AGC35" s="687"/>
      <c r="AGD35" s="687"/>
      <c r="AGE35" s="687"/>
      <c r="AGF35" s="687"/>
      <c r="AGG35" s="687"/>
      <c r="AGH35" s="687"/>
      <c r="AGI35" s="687"/>
      <c r="AGJ35" s="687"/>
      <c r="AGK35" s="687"/>
      <c r="AGL35" s="687"/>
      <c r="AGM35" s="687"/>
      <c r="AGN35" s="687"/>
      <c r="AGO35" s="687"/>
      <c r="AGP35" s="687"/>
      <c r="AGQ35" s="687"/>
      <c r="AGR35" s="687"/>
      <c r="AGS35" s="687"/>
      <c r="AGT35" s="687"/>
      <c r="AGU35" s="687"/>
      <c r="AGV35" s="687"/>
      <c r="AGW35" s="687"/>
      <c r="AGX35" s="687"/>
      <c r="AGY35" s="687"/>
      <c r="AGZ35" s="687"/>
      <c r="AHA35" s="687"/>
      <c r="AHB35" s="687"/>
      <c r="AHC35" s="687"/>
      <c r="AHD35" s="687"/>
      <c r="AHE35" s="687"/>
      <c r="AHF35" s="687"/>
      <c r="AHG35" s="687"/>
      <c r="AHH35" s="687"/>
      <c r="AHI35" s="687"/>
      <c r="AHJ35" s="687"/>
      <c r="AHK35" s="687"/>
      <c r="AHL35" s="687"/>
      <c r="AHM35" s="687"/>
      <c r="AHN35" s="687"/>
      <c r="AHO35" s="687"/>
      <c r="AHP35" s="687"/>
      <c r="AHQ35" s="687"/>
      <c r="AHR35" s="687"/>
      <c r="AHS35" s="687"/>
      <c r="AHT35" s="687"/>
      <c r="AHU35" s="687"/>
      <c r="AHV35" s="687"/>
      <c r="AHW35" s="687"/>
      <c r="AHX35" s="687"/>
      <c r="AHY35" s="687"/>
      <c r="AHZ35" s="687"/>
      <c r="AIA35" s="687"/>
      <c r="AIB35" s="687"/>
      <c r="AIC35" s="687"/>
      <c r="AID35" s="687"/>
      <c r="AIE35" s="687"/>
      <c r="AIF35" s="687"/>
      <c r="AIG35" s="687"/>
      <c r="AIH35" s="687"/>
      <c r="AII35" s="687"/>
      <c r="AIJ35" s="687"/>
      <c r="AIK35" s="687"/>
      <c r="AIL35" s="687"/>
      <c r="AIM35" s="687"/>
      <c r="AIN35" s="687"/>
      <c r="AIO35" s="687"/>
      <c r="AIP35" s="687"/>
      <c r="AIQ35" s="687"/>
      <c r="AIR35" s="687"/>
      <c r="AIS35" s="687"/>
      <c r="AIT35" s="687"/>
      <c r="AIU35" s="687"/>
      <c r="AIV35" s="687"/>
      <c r="AIW35" s="687"/>
      <c r="AIX35" s="687"/>
      <c r="AIY35" s="687"/>
      <c r="AIZ35" s="687"/>
      <c r="AJA35" s="687"/>
      <c r="AJB35" s="687"/>
      <c r="AJC35" s="687"/>
      <c r="AJD35" s="687"/>
      <c r="AJE35" s="687"/>
      <c r="AJF35" s="687"/>
      <c r="AJG35" s="687"/>
      <c r="AJH35" s="687"/>
      <c r="AJI35" s="687"/>
      <c r="AJJ35" s="687"/>
      <c r="AJK35" s="687"/>
      <c r="AJL35" s="687"/>
      <c r="AJM35" s="687"/>
      <c r="AJN35" s="687"/>
      <c r="AJO35" s="687"/>
      <c r="AJP35" s="687"/>
      <c r="AJQ35" s="687"/>
      <c r="AJR35" s="687"/>
      <c r="AJS35" s="687"/>
      <c r="AJT35" s="687"/>
      <c r="AJU35" s="687"/>
      <c r="AJV35" s="687"/>
      <c r="AJW35" s="687"/>
      <c r="AJX35" s="687"/>
      <c r="AJY35" s="687"/>
      <c r="AJZ35" s="687"/>
      <c r="AKA35" s="687"/>
      <c r="AKB35" s="687"/>
      <c r="AKC35" s="687"/>
      <c r="AKD35" s="687"/>
      <c r="AKE35" s="687"/>
      <c r="AKF35" s="687"/>
      <c r="AKG35" s="687"/>
      <c r="AKH35" s="687"/>
      <c r="AKI35" s="687"/>
      <c r="AKJ35" s="687"/>
      <c r="AKK35" s="687"/>
      <c r="AKL35" s="687"/>
      <c r="AKM35" s="687"/>
      <c r="AKN35" s="687"/>
      <c r="AKO35" s="687"/>
      <c r="AKP35" s="687"/>
      <c r="AKQ35" s="687"/>
      <c r="AKR35" s="687"/>
      <c r="AKS35" s="687"/>
      <c r="AKT35" s="687"/>
      <c r="AKU35" s="687"/>
      <c r="AKV35" s="687"/>
      <c r="AKW35" s="687"/>
      <c r="AKX35" s="687"/>
      <c r="AKY35" s="687"/>
      <c r="AKZ35" s="687"/>
      <c r="ALA35" s="687"/>
      <c r="ALB35" s="687"/>
      <c r="ALC35" s="687"/>
      <c r="ALD35" s="687"/>
      <c r="ALE35" s="687"/>
      <c r="ALF35" s="687"/>
      <c r="ALG35" s="687"/>
      <c r="ALH35" s="687"/>
      <c r="ALI35" s="687"/>
      <c r="ALJ35" s="687"/>
      <c r="ALK35" s="687"/>
      <c r="ALL35" s="687"/>
      <c r="ALM35" s="687"/>
      <c r="ALN35" s="687"/>
      <c r="ALO35" s="687"/>
      <c r="ALP35" s="687"/>
      <c r="ALQ35" s="687"/>
      <c r="ALR35" s="687"/>
      <c r="ALS35" s="687"/>
      <c r="ALT35" s="687"/>
      <c r="ALU35" s="687"/>
      <c r="ALV35" s="687"/>
      <c r="ALW35" s="687"/>
      <c r="ALX35" s="687"/>
      <c r="ALY35" s="687"/>
      <c r="ALZ35" s="687"/>
      <c r="AMA35" s="687"/>
      <c r="AMB35" s="687"/>
      <c r="AMC35" s="687"/>
      <c r="AMD35" s="687"/>
      <c r="AME35" s="687"/>
      <c r="AMF35" s="687"/>
      <c r="AMG35" s="687"/>
      <c r="AMH35" s="687"/>
      <c r="AMI35" s="687"/>
      <c r="AMJ35" s="687"/>
    </row>
    <row r="36" spans="1:1024">
      <c r="A36" s="667" t="s">
        <v>1892</v>
      </c>
    </row>
    <row r="38" spans="1:1024">
      <c r="A38" s="673" t="s">
        <v>1867</v>
      </c>
    </row>
    <row r="40" spans="1:1024">
      <c r="A40" s="668" t="s">
        <v>1893</v>
      </c>
    </row>
    <row r="42" spans="1:1024">
      <c r="A42" s="673" t="s">
        <v>1839</v>
      </c>
      <c r="B42" s="677" t="s">
        <v>1840</v>
      </c>
      <c r="C42" s="677" t="s">
        <v>1873</v>
      </c>
    </row>
    <row r="44" spans="1:1024">
      <c r="A44" s="668" t="s">
        <v>1894</v>
      </c>
    </row>
    <row r="45" spans="1:1024">
      <c r="A45" s="689" t="s">
        <v>1895</v>
      </c>
      <c r="B45" s="668" t="s">
        <v>1896</v>
      </c>
    </row>
    <row r="46" spans="1:1024">
      <c r="A46" s="689" t="s">
        <v>1897</v>
      </c>
      <c r="B46" s="668" t="s">
        <v>1898</v>
      </c>
    </row>
    <row r="47" spans="1:1024">
      <c r="A47" s="689" t="s">
        <v>1899</v>
      </c>
      <c r="B47" s="668" t="s">
        <v>1900</v>
      </c>
    </row>
    <row r="48" spans="1:1024">
      <c r="A48" s="689" t="s">
        <v>1901</v>
      </c>
      <c r="B48" s="668" t="s">
        <v>1902</v>
      </c>
    </row>
    <row r="49" spans="1:2">
      <c r="A49" s="689" t="s">
        <v>1903</v>
      </c>
      <c r="B49" s="668" t="s">
        <v>1904</v>
      </c>
    </row>
    <row r="51" spans="1:2">
      <c r="A51" s="677" t="s">
        <v>1905</v>
      </c>
    </row>
    <row r="53" spans="1:2">
      <c r="A53" s="668" t="s">
        <v>1906</v>
      </c>
    </row>
    <row r="54" spans="1:2">
      <c r="A54" s="668" t="s">
        <v>1907</v>
      </c>
    </row>
    <row r="55" spans="1:2">
      <c r="A55" s="668" t="s">
        <v>1908</v>
      </c>
    </row>
    <row r="56" spans="1:2">
      <c r="A56" s="690" t="s">
        <v>1909</v>
      </c>
    </row>
    <row r="57" spans="1:2">
      <c r="A57" s="690" t="s">
        <v>1910</v>
      </c>
    </row>
    <row r="58" spans="1:2">
      <c r="A58" s="690" t="s">
        <v>1911</v>
      </c>
    </row>
    <row r="60" spans="1:2">
      <c r="A60" s="677" t="s">
        <v>150</v>
      </c>
      <c r="B60" s="677" t="s">
        <v>1881</v>
      </c>
    </row>
    <row r="62" spans="1:2">
      <c r="A62" s="668" t="s">
        <v>1912</v>
      </c>
    </row>
    <row r="63" spans="1:2">
      <c r="A63" s="689" t="s">
        <v>1913</v>
      </c>
      <c r="B63" s="668" t="s">
        <v>1914</v>
      </c>
    </row>
    <row r="64" spans="1:2">
      <c r="A64" s="689" t="s">
        <v>1915</v>
      </c>
      <c r="B64" s="668" t="s">
        <v>1916</v>
      </c>
    </row>
    <row r="65" spans="1:2">
      <c r="A65" s="651" t="s">
        <v>1917</v>
      </c>
      <c r="B65" s="668"/>
    </row>
    <row r="66" spans="1:2">
      <c r="A66" s="689" t="s">
        <v>1918</v>
      </c>
      <c r="B66" s="668" t="s">
        <v>1919</v>
      </c>
    </row>
    <row r="67" spans="1:2">
      <c r="A67" s="689" t="s">
        <v>1920</v>
      </c>
      <c r="B67" s="668" t="s">
        <v>1921</v>
      </c>
    </row>
    <row r="68" spans="1:2">
      <c r="A68" s="689" t="s">
        <v>1922</v>
      </c>
      <c r="B68" s="668" t="s">
        <v>1923</v>
      </c>
    </row>
    <row r="69" spans="1:2">
      <c r="A69" s="689" t="s">
        <v>1903</v>
      </c>
      <c r="B69" s="668" t="s">
        <v>1924</v>
      </c>
    </row>
    <row r="71" spans="1:2">
      <c r="A71" s="677" t="s">
        <v>1846</v>
      </c>
    </row>
    <row r="73" spans="1:2">
      <c r="A73" s="668" t="s">
        <v>1925</v>
      </c>
    </row>
    <row r="74" spans="1:2">
      <c r="A74" s="668" t="s">
        <v>1926</v>
      </c>
    </row>
    <row r="75" spans="1:2">
      <c r="A75" s="689" t="s">
        <v>1897</v>
      </c>
      <c r="B75" s="668" t="s">
        <v>1927</v>
      </c>
    </row>
    <row r="76" spans="1:2">
      <c r="A76" s="689" t="s">
        <v>1915</v>
      </c>
      <c r="B76" s="668" t="s">
        <v>1914</v>
      </c>
    </row>
    <row r="77" spans="1:2">
      <c r="A77" s="689" t="s">
        <v>1928</v>
      </c>
      <c r="B77" s="668" t="s">
        <v>1916</v>
      </c>
    </row>
    <row r="78" spans="1:2">
      <c r="A78" s="689" t="s">
        <v>1929</v>
      </c>
      <c r="B78" s="668" t="s">
        <v>1930</v>
      </c>
    </row>
    <row r="79" spans="1:2">
      <c r="A79" s="689" t="s">
        <v>1931</v>
      </c>
      <c r="B79" s="668" t="s">
        <v>1932</v>
      </c>
    </row>
    <row r="80" spans="1:2">
      <c r="A80" s="689" t="s">
        <v>1903</v>
      </c>
      <c r="B80" s="668" t="s">
        <v>1933</v>
      </c>
    </row>
    <row r="82" spans="1:2">
      <c r="A82" s="677" t="s">
        <v>1837</v>
      </c>
    </row>
    <row r="84" spans="1:2">
      <c r="A84" s="668" t="s">
        <v>1934</v>
      </c>
    </row>
    <row r="85" spans="1:2">
      <c r="A85" s="690" t="s">
        <v>1935</v>
      </c>
      <c r="B85" s="668" t="s">
        <v>1936</v>
      </c>
    </row>
    <row r="86" spans="1:2">
      <c r="A86" s="690" t="s">
        <v>1937</v>
      </c>
      <c r="B86" s="668" t="s">
        <v>1938</v>
      </c>
    </row>
    <row r="87" spans="1:2">
      <c r="A87" s="690" t="s">
        <v>1939</v>
      </c>
      <c r="B87" s="668" t="s">
        <v>1940</v>
      </c>
    </row>
    <row r="88" spans="1:2">
      <c r="A88" s="690" t="s">
        <v>1941</v>
      </c>
      <c r="B88" s="668" t="s">
        <v>1942</v>
      </c>
    </row>
    <row r="90" spans="1:2">
      <c r="A90" s="689" t="s">
        <v>1897</v>
      </c>
      <c r="B90" s="646" t="s">
        <v>1943</v>
      </c>
    </row>
    <row r="91" spans="1:2">
      <c r="A91" s="689" t="s">
        <v>1915</v>
      </c>
      <c r="B91" s="646" t="s">
        <v>1944</v>
      </c>
    </row>
    <row r="92" spans="1:2">
      <c r="A92" s="689" t="s">
        <v>1928</v>
      </c>
      <c r="B92" s="646" t="s">
        <v>1945</v>
      </c>
    </row>
    <row r="93" spans="1:2">
      <c r="A93" s="689" t="s">
        <v>1929</v>
      </c>
      <c r="B93" s="646" t="s">
        <v>1946</v>
      </c>
    </row>
    <row r="94" spans="1:2">
      <c r="A94" s="689" t="s">
        <v>1931</v>
      </c>
      <c r="B94" s="668" t="s">
        <v>1947</v>
      </c>
    </row>
    <row r="95" spans="1:2">
      <c r="A95" s="689" t="s">
        <v>1948</v>
      </c>
      <c r="B95" s="646" t="s">
        <v>1949</v>
      </c>
    </row>
    <row r="96" spans="1:2">
      <c r="A96" s="689" t="s">
        <v>1950</v>
      </c>
      <c r="B96" s="668" t="s">
        <v>1951</v>
      </c>
    </row>
    <row r="97" spans="1:2">
      <c r="A97" s="689"/>
    </row>
    <row r="98" spans="1:2" ht="15.6">
      <c r="A98" s="685" t="s">
        <v>1888</v>
      </c>
    </row>
    <row r="100" spans="1:2">
      <c r="A100" s="646" t="s">
        <v>1952</v>
      </c>
    </row>
    <row r="101" spans="1:2">
      <c r="A101" s="689" t="s">
        <v>1953</v>
      </c>
      <c r="B101" s="646" t="s">
        <v>1954</v>
      </c>
    </row>
    <row r="102" spans="1:2">
      <c r="A102" s="689" t="s">
        <v>1915</v>
      </c>
      <c r="B102" s="668" t="s">
        <v>1914</v>
      </c>
    </row>
    <row r="103" spans="1:2">
      <c r="A103" s="689" t="s">
        <v>1928</v>
      </c>
      <c r="B103" s="668" t="s">
        <v>1916</v>
      </c>
    </row>
    <row r="104" spans="1:2">
      <c r="A104" s="689" t="s">
        <v>1929</v>
      </c>
      <c r="B104" s="646" t="s">
        <v>1955</v>
      </c>
    </row>
    <row r="105" spans="1:2">
      <c r="A105" s="689" t="s">
        <v>1931</v>
      </c>
      <c r="B105" s="646" t="s">
        <v>1956</v>
      </c>
    </row>
    <row r="106" spans="1:2">
      <c r="A106" s="689" t="s">
        <v>1948</v>
      </c>
      <c r="B106" s="646" t="s">
        <v>1957</v>
      </c>
    </row>
    <row r="107" spans="1:2">
      <c r="A107" s="689" t="s">
        <v>1950</v>
      </c>
      <c r="B107" s="646" t="s">
        <v>1958</v>
      </c>
    </row>
    <row r="108" spans="1:2">
      <c r="A108" s="689" t="s">
        <v>1903</v>
      </c>
      <c r="B108" s="646" t="s">
        <v>1959</v>
      </c>
    </row>
    <row r="110" spans="1:2" ht="15.6">
      <c r="A110" s="685" t="s">
        <v>1801</v>
      </c>
    </row>
    <row r="112" spans="1:2">
      <c r="A112" s="668" t="s">
        <v>1960</v>
      </c>
    </row>
    <row r="113" spans="1:2">
      <c r="A113" s="689" t="s">
        <v>1953</v>
      </c>
      <c r="B113" s="646" t="s">
        <v>1961</v>
      </c>
    </row>
    <row r="114" spans="1:2">
      <c r="A114" s="689" t="s">
        <v>1915</v>
      </c>
      <c r="B114" s="668" t="s">
        <v>1914</v>
      </c>
    </row>
    <row r="115" spans="1:2">
      <c r="A115" s="689" t="s">
        <v>1928</v>
      </c>
      <c r="B115" s="668" t="s">
        <v>1916</v>
      </c>
    </row>
    <row r="116" spans="1:2">
      <c r="A116" s="689" t="s">
        <v>1929</v>
      </c>
      <c r="B116" s="646" t="s">
        <v>1955</v>
      </c>
    </row>
    <row r="117" spans="1:2">
      <c r="A117" s="689" t="s">
        <v>1931</v>
      </c>
      <c r="B117" s="668" t="s">
        <v>1962</v>
      </c>
    </row>
    <row r="118" spans="1:2">
      <c r="A118" s="689" t="s">
        <v>1948</v>
      </c>
      <c r="B118" s="668" t="s">
        <v>1963</v>
      </c>
    </row>
    <row r="119" spans="1:2">
      <c r="A119" s="689" t="s">
        <v>1950</v>
      </c>
      <c r="B119" s="668" t="s">
        <v>1964</v>
      </c>
    </row>
    <row r="120" spans="1:2">
      <c r="A120" s="689" t="s">
        <v>1965</v>
      </c>
      <c r="B120" s="668" t="s">
        <v>1966</v>
      </c>
    </row>
    <row r="121" spans="1:2">
      <c r="A121" s="689" t="s">
        <v>1967</v>
      </c>
      <c r="B121" s="668" t="s">
        <v>1968</v>
      </c>
    </row>
    <row r="122" spans="1:2">
      <c r="A122" s="689" t="s">
        <v>1969</v>
      </c>
      <c r="B122" s="668" t="s">
        <v>1970</v>
      </c>
    </row>
    <row r="123" spans="1:2">
      <c r="A123" s="689" t="s">
        <v>1971</v>
      </c>
      <c r="B123" s="668" t="s">
        <v>1972</v>
      </c>
    </row>
    <row r="124" spans="1:2">
      <c r="A124" s="689"/>
    </row>
    <row r="125" spans="1:2">
      <c r="A125" s="691" t="s">
        <v>1973</v>
      </c>
    </row>
    <row r="127" spans="1:2">
      <c r="A127" s="668" t="s">
        <v>1974</v>
      </c>
    </row>
  </sheetData>
  <hyperlinks>
    <hyperlink ref="A13" location="Produits!A1" display="Produits" xr:uid="{E853497F-8BDD-4629-9527-8ECB751F25D3}"/>
    <hyperlink ref="A14" location="Secteurs!A1" display="Secteurs" xr:uid="{10F5C2F8-A607-453B-932B-1C221AAB3432}"/>
    <hyperlink ref="A21" location="Données!A1" display="Données" xr:uid="{2D6161CF-AD81-4217-922B-868183EC6046}"/>
    <hyperlink ref="A22" location="'Min Max'!A1" display="Min Max" xr:uid="{1E011A58-A3B0-453B-A139-7438AD6876CF}"/>
    <hyperlink ref="A24" location="Contraintes!A1" display="Contraintes" xr:uid="{DFF203F7-4473-4288-A935-8CCC6DDEFDA2}"/>
    <hyperlink ref="A27" location="Etiquettes!A1" display="Etiquettes" xr:uid="{0E5C620D-9228-4E8A-9C3D-D008834A0BE5}"/>
    <hyperlink ref="A9" location="Méthodologie!A1" display="Méthodologie" xr:uid="{47AD32B6-452D-499B-8F7F-DE8327BA5D5C}"/>
    <hyperlink ref="A42" location="Produits!A1" display="Produits" xr:uid="{31C01D4E-BD0F-4AEB-8A42-F88811968797}"/>
    <hyperlink ref="B42" location="Secteurs!A1" display="Secteurs" xr:uid="{3C9AB0B5-6499-4E19-9A5D-69658C1BB7A6}"/>
    <hyperlink ref="A51" location="'Structure des flux'!A1" display="Structure des flux" xr:uid="{E0BE37D6-57C1-4750-BBE1-75D3E3E099C7}"/>
    <hyperlink ref="A60" location="Données!A1" display="Données" xr:uid="{2CAE3ED6-01D0-4C10-9337-B03AD303D223}"/>
    <hyperlink ref="B60" location="'Min Max'!A1" display="Min Max" xr:uid="{654BA407-03A0-4B25-830A-CF3DC4AA13E2}"/>
    <hyperlink ref="A71" location="Contraintes!A1" display="Contraintes" xr:uid="{40CF5AEB-0B04-4A9C-A517-4A992347B59E}"/>
    <hyperlink ref="A82" location="Etiquettes!A1" display="Etiquettes" xr:uid="{4D5EF850-0B6E-4C0F-A128-8325DD352A32}"/>
    <hyperlink ref="A38" location="Méthodologie!A1" display="Méthodologie" xr:uid="{7606F4CD-945D-41CF-9E00-B1CED057C36B}"/>
    <hyperlink ref="A15" location="'Echanges territoires'!A1" display="Echanges territoires" xr:uid="{057CD902-FF3E-4AF7-B97D-E0A9B31097BA}"/>
    <hyperlink ref="A17" location="'Table emplois ressources'!A1" display="Table emplois ressources" xr:uid="{105DE7BE-2A21-4731-B104-ABAEF94E02F7}"/>
    <hyperlink ref="C42" location="'Echanges territoires'!A1" display="Echanges territoires" xr:uid="{4A2F087B-0A36-4DCB-AD24-380295A4599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7A7A1-248A-4264-BCAE-50ACFA36BE6E}">
  <sheetPr>
    <tabColor rgb="FF92D050"/>
  </sheetPr>
  <dimension ref="A1:U43"/>
  <sheetViews>
    <sheetView workbookViewId="0">
      <pane xSplit="3" ySplit="1" topLeftCell="D17" activePane="bottomRight" state="frozen"/>
      <selection pane="topRight" activeCell="D1" sqref="D1"/>
      <selection pane="bottomLeft" activeCell="A2" sqref="A2"/>
      <selection pane="bottomRight" activeCell="H43" sqref="H43"/>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19.88671875" style="10" customWidth="1"/>
    <col min="17" max="17" width="12.109375" style="10" customWidth="1"/>
    <col min="18" max="19" width="14.44140625" style="26" customWidth="1"/>
    <col min="20" max="20" width="11.6640625" bestFit="1" customWidth="1"/>
    <col min="21" max="21" width="13.109375" customWidth="1"/>
  </cols>
  <sheetData>
    <row r="1" spans="1:21" ht="63.6"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c r="A2" s="10">
        <f>'Contraintes '!A2+1</f>
        <v>28</v>
      </c>
      <c r="B2" t="str">
        <f>Produits!$B$4</f>
        <v>Grains collectés</v>
      </c>
      <c r="C2" t="str">
        <f>Secteurs!$B$7</f>
        <v>Semences certifiées</v>
      </c>
      <c r="D2" s="29">
        <f>'Prétraitement semences fermière'!D10</f>
        <v>1.0832466181061395</v>
      </c>
      <c r="G2" s="10" t="str">
        <f>Etiquettes!$C$3</f>
        <v>kt</v>
      </c>
      <c r="H2" s="10" t="str">
        <f>Etiquettes!$H$6</f>
        <v>Blé tendre</v>
      </c>
      <c r="I2" s="10" t="str">
        <f>Etiquettes!$H$5</f>
        <v>2015-16</v>
      </c>
      <c r="J2" s="10" t="str">
        <f>Etiquettes!$C$4</f>
        <v>France entière</v>
      </c>
      <c r="N2" s="575"/>
      <c r="O2" s="575"/>
      <c r="Q2"/>
      <c r="U2" s="693" t="s">
        <v>1173</v>
      </c>
    </row>
    <row r="3" spans="1:21">
      <c r="A3" s="10">
        <f>'Contraintes '!A3+1</f>
        <v>28</v>
      </c>
      <c r="B3" t="str">
        <f>Produits!$B$3</f>
        <v>Grains autoconsommés</v>
      </c>
      <c r="C3" t="str">
        <f>Secteurs!$B$6</f>
        <v>Semences fermières</v>
      </c>
      <c r="D3">
        <v>-1</v>
      </c>
      <c r="G3" s="10" t="str">
        <f>Etiquettes!$C$3</f>
        <v>kt</v>
      </c>
      <c r="H3" s="10" t="str">
        <f>Etiquettes!$H$6</f>
        <v>Blé tendre</v>
      </c>
      <c r="I3" s="10" t="str">
        <f>Etiquettes!$H$5</f>
        <v>2015-16</v>
      </c>
      <c r="J3" s="10" t="str">
        <f>Etiquettes!$C$4</f>
        <v>France entière</v>
      </c>
      <c r="K3" s="10" t="s">
        <v>1597</v>
      </c>
      <c r="L3" s="10" t="s">
        <v>1624</v>
      </c>
      <c r="M3" s="10" t="s">
        <v>1596</v>
      </c>
      <c r="N3" s="575" t="str" cm="1">
        <f t="array" aca="1" ref="N3" ca="1">[1]!NOM_FEUILLE('Semences fermières - AGRESTE'!$A$1:$B$1)</f>
        <v>Semences fermières - AGRESTE</v>
      </c>
      <c r="O3" s="575" t="str">
        <f>Etiquettes!$J$11</f>
        <v>Répartition</v>
      </c>
      <c r="P3" t="str">
        <f>_xlfn.CONCAT(K3," = ",MROUND(D2*100,0.01)," % (",M3,")")</f>
        <v>Part de semences fermières (par rapport aux semences certifiées) = 108,32 % (Enquête Pratiques culturales en grandes cultures - SSP)</v>
      </c>
      <c r="Q3" t="str">
        <f>Etiquettes!$K$15</f>
        <v>Approximative</v>
      </c>
      <c r="R3" s="642" t="s">
        <v>1813</v>
      </c>
      <c r="S3" s="603" t="str">
        <f>Etiquettes!$H$17</f>
        <v>Donnée collectée (valeur du flux ou coefficient)</v>
      </c>
      <c r="U3" s="693"/>
    </row>
    <row r="4" spans="1:21">
      <c r="A4" s="10">
        <f>A2+1</f>
        <v>29</v>
      </c>
      <c r="B4" t="str">
        <f>Produits!$B$4</f>
        <v>Grains collectés</v>
      </c>
      <c r="C4" t="str">
        <f>Secteurs!$B$7</f>
        <v>Semences certifiées</v>
      </c>
      <c r="D4" s="29">
        <f>'Prétraitement semences fermière'!D11</f>
        <v>1.001001001001001E-3</v>
      </c>
      <c r="G4" s="10" t="str">
        <f>Etiquettes!$C$3</f>
        <v>kt</v>
      </c>
      <c r="H4" s="10" t="s">
        <v>1172</v>
      </c>
      <c r="I4" s="10" t="str">
        <f>Etiquettes!$H$5</f>
        <v>2015-16</v>
      </c>
      <c r="J4" s="10" t="str">
        <f>Etiquettes!$C$4</f>
        <v>France entière</v>
      </c>
      <c r="N4" s="575"/>
      <c r="O4" s="575"/>
      <c r="Q4"/>
      <c r="U4" s="693"/>
    </row>
    <row r="5" spans="1:21">
      <c r="A5" s="10">
        <f t="shared" ref="A5:A43" si="0">A3+1</f>
        <v>29</v>
      </c>
      <c r="B5" t="str">
        <f>Produits!$B$3</f>
        <v>Grains autoconsommés</v>
      </c>
      <c r="C5" t="str">
        <f>Secteurs!$B$6</f>
        <v>Semences fermières</v>
      </c>
      <c r="D5">
        <v>-1</v>
      </c>
      <c r="G5" s="10" t="str">
        <f>Etiquettes!$C$3</f>
        <v>kt</v>
      </c>
      <c r="H5" s="10" t="s">
        <v>1172</v>
      </c>
      <c r="I5" s="10" t="str">
        <f>Etiquettes!$H$5</f>
        <v>2015-16</v>
      </c>
      <c r="J5" s="10" t="str">
        <f>Etiquettes!$C$4</f>
        <v>France entière</v>
      </c>
      <c r="K5" s="10" t="s">
        <v>1597</v>
      </c>
      <c r="L5" s="10" t="s">
        <v>1621</v>
      </c>
      <c r="M5" s="10" t="s">
        <v>1596</v>
      </c>
      <c r="N5" s="575" t="str" cm="1">
        <f t="array" aca="1" ref="N5" ca="1">[1]!NOM_FEUILLE('Semences fermières - AGRESTE'!$A$1:$B$1)</f>
        <v>Semences fermières - AGRESTE</v>
      </c>
      <c r="O5" s="575" t="str">
        <f>Etiquettes!$J$11</f>
        <v>Répartition</v>
      </c>
      <c r="P5" t="str">
        <f t="shared" ref="P5" si="1">_xlfn.CONCAT(K5," = ",MROUND(D4*100,0.01)," % (",M5,")")</f>
        <v>Part de semences fermières (par rapport aux semences certifiées) = 0,1 % (Enquête Pratiques culturales en grandes cultures - SSP)</v>
      </c>
      <c r="Q5" t="str">
        <f>Etiquettes!$K$15</f>
        <v>Approximative</v>
      </c>
      <c r="R5" s="642" t="s">
        <v>1813</v>
      </c>
      <c r="S5" s="603" t="str">
        <f>Etiquettes!$H$17</f>
        <v>Donnée collectée (valeur du flux ou coefficient)</v>
      </c>
      <c r="U5" s="693"/>
    </row>
    <row r="6" spans="1:21">
      <c r="A6" s="10">
        <f t="shared" si="0"/>
        <v>30</v>
      </c>
      <c r="B6" t="str">
        <f>Produits!$B$4</f>
        <v>Grains collectés</v>
      </c>
      <c r="C6" t="str">
        <f>Secteurs!$B$7</f>
        <v>Semences certifiées</v>
      </c>
      <c r="D6" s="29">
        <f>'Prétraitement semences fermière'!D12</f>
        <v>0.75746924428822504</v>
      </c>
      <c r="G6" s="10" t="str">
        <f>Etiquettes!$C$3</f>
        <v>kt</v>
      </c>
      <c r="H6" s="10" t="str">
        <f>Etiquettes!$J$6</f>
        <v>Orge</v>
      </c>
      <c r="I6" s="10" t="str">
        <f>Etiquettes!$H$5</f>
        <v>2015-16</v>
      </c>
      <c r="J6" s="10" t="str">
        <f>Etiquettes!$C$4</f>
        <v>France entière</v>
      </c>
      <c r="N6" s="575"/>
      <c r="O6" s="575"/>
      <c r="Q6"/>
      <c r="U6" s="693"/>
    </row>
    <row r="7" spans="1:21">
      <c r="A7" s="10">
        <f t="shared" si="0"/>
        <v>30</v>
      </c>
      <c r="B7" t="str">
        <f>Produits!$B$3</f>
        <v>Grains autoconsommés</v>
      </c>
      <c r="C7" t="str">
        <f>Secteurs!$B$6</f>
        <v>Semences fermières</v>
      </c>
      <c r="D7">
        <v>-1</v>
      </c>
      <c r="G7" s="10" t="str">
        <f>Etiquettes!$C$3</f>
        <v>kt</v>
      </c>
      <c r="H7" s="10" t="str">
        <f>Etiquettes!$J$6</f>
        <v>Orge</v>
      </c>
      <c r="I7" s="10" t="str">
        <f>Etiquettes!$H$5</f>
        <v>2015-16</v>
      </c>
      <c r="J7" s="10" t="str">
        <f>Etiquettes!$C$4</f>
        <v>France entière</v>
      </c>
      <c r="K7" s="10" t="s">
        <v>1597</v>
      </c>
      <c r="L7" s="10" t="s">
        <v>1624</v>
      </c>
      <c r="M7" s="10" t="s">
        <v>1596</v>
      </c>
      <c r="N7" s="575" t="str" cm="1">
        <f t="array" aca="1" ref="N7" ca="1">[1]!NOM_FEUILLE('Semences fermières - AGRESTE'!$A$1:$B$1)</f>
        <v>Semences fermières - AGRESTE</v>
      </c>
      <c r="O7" s="575" t="str">
        <f>Etiquettes!$J$11</f>
        <v>Répartition</v>
      </c>
      <c r="P7" t="str">
        <f t="shared" ref="P7" si="2">_xlfn.CONCAT(K7," = ",MROUND(D6*100,0.01)," % (",M7,")")</f>
        <v>Part de semences fermières (par rapport aux semences certifiées) = 75,75 % (Enquête Pratiques culturales en grandes cultures - SSP)</v>
      </c>
      <c r="Q7" t="str">
        <f>Etiquettes!$K$15</f>
        <v>Approximative</v>
      </c>
      <c r="R7" s="642" t="s">
        <v>1813</v>
      </c>
      <c r="S7" s="603" t="str">
        <f>Etiquettes!$H$17</f>
        <v>Donnée collectée (valeur du flux ou coefficient)</v>
      </c>
      <c r="U7" s="693"/>
    </row>
    <row r="8" spans="1:21">
      <c r="A8" s="10">
        <f t="shared" si="0"/>
        <v>31</v>
      </c>
      <c r="B8" t="str">
        <f>Produits!$B$4</f>
        <v>Grains collectés</v>
      </c>
      <c r="C8" t="str">
        <f>Secteurs!$B$7</f>
        <v>Semences certifiées</v>
      </c>
      <c r="D8" s="29">
        <f>'Prétraitement semences fermière'!D13</f>
        <v>0.37835975189524468</v>
      </c>
      <c r="G8" s="10" t="str">
        <f>Etiquettes!$C$3</f>
        <v>kt</v>
      </c>
      <c r="H8" s="10" t="str">
        <f>Etiquettes!$K$6</f>
        <v>Blé dur</v>
      </c>
      <c r="I8" s="10" t="str">
        <f>Etiquettes!$H$5</f>
        <v>2015-16</v>
      </c>
      <c r="J8" s="10" t="str">
        <f>Etiquettes!$C$4</f>
        <v>France entière</v>
      </c>
      <c r="N8" s="575"/>
      <c r="O8" s="575"/>
      <c r="Q8"/>
      <c r="U8" s="693"/>
    </row>
    <row r="9" spans="1:21">
      <c r="A9" s="10">
        <f t="shared" si="0"/>
        <v>31</v>
      </c>
      <c r="B9" t="str">
        <f>Produits!$B$3</f>
        <v>Grains autoconsommés</v>
      </c>
      <c r="C9" t="str">
        <f>Secteurs!$B$6</f>
        <v>Semences fermières</v>
      </c>
      <c r="D9">
        <v>-1</v>
      </c>
      <c r="G9" s="10" t="str">
        <f>Etiquettes!$C$3</f>
        <v>kt</v>
      </c>
      <c r="H9" s="10" t="str">
        <f>Etiquettes!$K$6</f>
        <v>Blé dur</v>
      </c>
      <c r="I9" s="10" t="str">
        <f>Etiquettes!$H$5</f>
        <v>2015-16</v>
      </c>
      <c r="J9" s="10" t="str">
        <f>Etiquettes!$C$4</f>
        <v>France entière</v>
      </c>
      <c r="K9" s="10" t="s">
        <v>1597</v>
      </c>
      <c r="L9" s="10" t="s">
        <v>1624</v>
      </c>
      <c r="M9" s="10" t="s">
        <v>1596</v>
      </c>
      <c r="N9" s="575" t="str" cm="1">
        <f t="array" aca="1" ref="N9" ca="1">[1]!NOM_FEUILLE('Semences fermières - AGRESTE'!$A$1:$B$1)</f>
        <v>Semences fermières - AGRESTE</v>
      </c>
      <c r="O9" s="575" t="str">
        <f>Etiquettes!$J$11</f>
        <v>Répartition</v>
      </c>
      <c r="P9" t="str">
        <f t="shared" ref="P9" si="3">_xlfn.CONCAT(K9," = ",MROUND(D8*100,0.01)," % (",M9,")")</f>
        <v>Part de semences fermières (par rapport aux semences certifiées) = 37,84 % (Enquête Pratiques culturales en grandes cultures - SSP)</v>
      </c>
      <c r="Q9" t="str">
        <f>Etiquettes!$K$15</f>
        <v>Approximative</v>
      </c>
      <c r="R9" s="642" t="s">
        <v>1813</v>
      </c>
      <c r="S9" s="603" t="str">
        <f>Etiquettes!$H$17</f>
        <v>Donnée collectée (valeur du flux ou coefficient)</v>
      </c>
      <c r="U9" s="693"/>
    </row>
    <row r="10" spans="1:21">
      <c r="A10" s="10">
        <f t="shared" si="0"/>
        <v>32</v>
      </c>
      <c r="B10" t="str">
        <f>Produits!$B$4</f>
        <v>Grains collectés</v>
      </c>
      <c r="C10" t="str">
        <f>Secteurs!$B$7</f>
        <v>Semences certifiées</v>
      </c>
      <c r="D10" s="29">
        <f>'Prétraitement semences fermière'!D14</f>
        <v>1.1231422505307858</v>
      </c>
      <c r="G10" s="10" t="str">
        <f>Etiquettes!$C$3</f>
        <v>kt</v>
      </c>
      <c r="H10" s="10" t="str">
        <f>Etiquettes!$L$6</f>
        <v>Triticale</v>
      </c>
      <c r="I10" s="10" t="str">
        <f>Etiquettes!$H$5</f>
        <v>2015-16</v>
      </c>
      <c r="J10" s="10" t="str">
        <f>Etiquettes!$C$4</f>
        <v>France entière</v>
      </c>
      <c r="N10" s="575"/>
      <c r="O10" s="575"/>
      <c r="Q10"/>
      <c r="U10" s="693"/>
    </row>
    <row r="11" spans="1:21">
      <c r="A11" s="10">
        <f t="shared" si="0"/>
        <v>32</v>
      </c>
      <c r="B11" t="str">
        <f>Produits!$B$3</f>
        <v>Grains autoconsommés</v>
      </c>
      <c r="C11" t="str">
        <f>Secteurs!$B$6</f>
        <v>Semences fermières</v>
      </c>
      <c r="D11">
        <v>-1</v>
      </c>
      <c r="E11" s="29"/>
      <c r="G11" s="10" t="str">
        <f>Etiquettes!$C$3</f>
        <v>kt</v>
      </c>
      <c r="H11" s="10" t="str">
        <f>Etiquettes!$L$6</f>
        <v>Triticale</v>
      </c>
      <c r="I11" s="10" t="str">
        <f>Etiquettes!$H$5</f>
        <v>2015-16</v>
      </c>
      <c r="J11" s="10" t="str">
        <f>Etiquettes!$C$4</f>
        <v>France entière</v>
      </c>
      <c r="K11" s="10" t="s">
        <v>1597</v>
      </c>
      <c r="L11" s="10" t="s">
        <v>1624</v>
      </c>
      <c r="M11" s="10" t="s">
        <v>1596</v>
      </c>
      <c r="N11" s="575" t="str" cm="1">
        <f t="array" aca="1" ref="N11" ca="1">[1]!NOM_FEUILLE('Semences fermières - AGRESTE'!$A$1:$B$1)</f>
        <v>Semences fermières - AGRESTE</v>
      </c>
      <c r="O11" s="575" t="str">
        <f>Etiquettes!$J$11</f>
        <v>Répartition</v>
      </c>
      <c r="P11" t="str">
        <f t="shared" ref="P11" si="4">_xlfn.CONCAT(K11," = ",MROUND(D10*100,0.01)," % (",M11,")")</f>
        <v>Part de semences fermières (par rapport aux semences certifiées) = 112,31 % (Enquête Pratiques culturales en grandes cultures - SSP)</v>
      </c>
      <c r="Q11" t="str">
        <f>Etiquettes!$K$15</f>
        <v>Approximative</v>
      </c>
      <c r="R11" s="642" t="s">
        <v>1813</v>
      </c>
      <c r="S11" s="603" t="str">
        <f>Etiquettes!$H$17</f>
        <v>Donnée collectée (valeur du flux ou coefficient)</v>
      </c>
      <c r="U11" s="693"/>
    </row>
    <row r="12" spans="1:21">
      <c r="A12" s="10">
        <f t="shared" si="0"/>
        <v>33</v>
      </c>
      <c r="B12" t="str">
        <f>Produits!$B$4</f>
        <v>Grains collectés</v>
      </c>
      <c r="C12" t="str">
        <f>Secteurs!$B$7</f>
        <v>Semences certifiées</v>
      </c>
      <c r="D12" s="29">
        <f>'Prétraitement semences fermière'!D15</f>
        <v>1</v>
      </c>
      <c r="E12" s="29"/>
      <c r="G12" s="10" t="str">
        <f>Etiquettes!$C$3</f>
        <v>kt</v>
      </c>
      <c r="H12" s="10" t="str">
        <f>Etiquettes!$N$6</f>
        <v>Avoine</v>
      </c>
      <c r="I12" s="10" t="str">
        <f>Etiquettes!$H$5</f>
        <v>2015-16</v>
      </c>
      <c r="J12" s="10" t="str">
        <f>Etiquettes!$C$4</f>
        <v>France entière</v>
      </c>
      <c r="N12" s="575"/>
      <c r="O12" s="575"/>
      <c r="Q12"/>
      <c r="U12" s="693"/>
    </row>
    <row r="13" spans="1:21">
      <c r="A13" s="10">
        <f t="shared" si="0"/>
        <v>33</v>
      </c>
      <c r="B13" t="str">
        <f>Produits!$B$3</f>
        <v>Grains autoconsommés</v>
      </c>
      <c r="C13" t="str">
        <f>Secteurs!$B$6</f>
        <v>Semences fermières</v>
      </c>
      <c r="D13">
        <v>-1</v>
      </c>
      <c r="G13" s="10" t="str">
        <f>Etiquettes!$C$3</f>
        <v>kt</v>
      </c>
      <c r="H13" s="10" t="str">
        <f>Etiquettes!$N$6</f>
        <v>Avoine</v>
      </c>
      <c r="I13" s="10" t="str">
        <f>Etiquettes!$H$5</f>
        <v>2015-16</v>
      </c>
      <c r="J13" s="10" t="str">
        <f>Etiquettes!$C$4</f>
        <v>France entière</v>
      </c>
      <c r="K13" s="10" t="s">
        <v>1597</v>
      </c>
      <c r="L13" s="10" t="s">
        <v>1620</v>
      </c>
      <c r="M13" s="10" t="s">
        <v>1155</v>
      </c>
      <c r="N13" s="575"/>
      <c r="O13" s="575" t="str">
        <f>Etiquettes!$J$11</f>
        <v>Répartition</v>
      </c>
      <c r="P13" t="str">
        <f t="shared" ref="P13" si="5">_xlfn.CONCAT(K13," = ",MROUND(D12*100,0.01)," % (",M13,")")</f>
        <v>Part de semences fermières (par rapport aux semences certifiées) = 100 % (Valeur arbitraire)</v>
      </c>
      <c r="Q13" t="str">
        <f>Etiquettes!$K$15</f>
        <v>Approximative</v>
      </c>
      <c r="R13" s="642" t="s">
        <v>1813</v>
      </c>
      <c r="S13" s="603" t="str">
        <f>Etiquettes!$H$17</f>
        <v>Donnée collectée (valeur du flux ou coefficient)</v>
      </c>
      <c r="U13" s="693"/>
    </row>
    <row r="14" spans="1:21">
      <c r="A14" s="10">
        <f t="shared" si="0"/>
        <v>34</v>
      </c>
      <c r="B14" t="str">
        <f>Produits!$B$4</f>
        <v>Grains collectés</v>
      </c>
      <c r="C14" t="str">
        <f>Secteurs!$B$7</f>
        <v>Semences certifiées</v>
      </c>
      <c r="D14" s="29">
        <f>'Prétraitement semences fermière'!D16</f>
        <v>1</v>
      </c>
      <c r="G14" s="10" t="str">
        <f>Etiquettes!$C$3</f>
        <v>kt</v>
      </c>
      <c r="H14" s="10" t="s">
        <v>1705</v>
      </c>
      <c r="I14" s="10" t="str">
        <f>Etiquettes!$H$5</f>
        <v>2015-16</v>
      </c>
      <c r="J14" s="10" t="str">
        <f>Etiquettes!$C$4</f>
        <v>France entière</v>
      </c>
      <c r="N14" s="575"/>
      <c r="O14" s="575"/>
      <c r="Q14"/>
      <c r="U14" s="693"/>
    </row>
    <row r="15" spans="1:21">
      <c r="A15" s="10">
        <f t="shared" si="0"/>
        <v>34</v>
      </c>
      <c r="B15" t="str">
        <f>Produits!$B$3</f>
        <v>Grains autoconsommés</v>
      </c>
      <c r="C15" t="str">
        <f>Secteurs!$B$6</f>
        <v>Semences fermières</v>
      </c>
      <c r="D15">
        <v>-1</v>
      </c>
      <c r="G15" s="10" t="str">
        <f>Etiquettes!$C$3</f>
        <v>kt</v>
      </c>
      <c r="H15" s="10" t="s">
        <v>1705</v>
      </c>
      <c r="I15" s="10" t="str">
        <f>Etiquettes!$H$5</f>
        <v>2015-16</v>
      </c>
      <c r="J15" s="10" t="str">
        <f>Etiquettes!$C$4</f>
        <v>France entière</v>
      </c>
      <c r="K15" s="10" t="s">
        <v>1597</v>
      </c>
      <c r="L15" s="10" t="s">
        <v>1620</v>
      </c>
      <c r="M15" s="10" t="s">
        <v>1155</v>
      </c>
      <c r="N15" s="575"/>
      <c r="O15" s="575" t="str">
        <f>Etiquettes!$J$11</f>
        <v>Répartition</v>
      </c>
      <c r="P15" t="str">
        <f>_xlfn.CONCAT(K15," = ",MROUND(D14*100,0.01)," % (",M15,")")</f>
        <v>Part de semences fermières (par rapport aux semences certifiées) = 100 % (Valeur arbitraire)</v>
      </c>
      <c r="Q15" t="str">
        <f>Etiquettes!$K$15</f>
        <v>Approximative</v>
      </c>
      <c r="R15" s="642" t="s">
        <v>1813</v>
      </c>
      <c r="S15" s="603" t="str">
        <f>Etiquettes!$H$17</f>
        <v>Donnée collectée (valeur du flux ou coefficient)</v>
      </c>
      <c r="U15" s="693"/>
    </row>
    <row r="16" spans="1:21">
      <c r="A16" s="10">
        <f t="shared" si="0"/>
        <v>35</v>
      </c>
      <c r="B16" t="str">
        <f>Produits!$B$4</f>
        <v>Grains collectés</v>
      </c>
      <c r="C16" t="str">
        <f>Secteurs!$B$7</f>
        <v>Semences certifiées</v>
      </c>
      <c r="D16" s="29">
        <f>'Prétraitement semences fermière'!E10</f>
        <v>1.1168921262573708</v>
      </c>
      <c r="G16" s="10" t="str">
        <f>Etiquettes!$C$3</f>
        <v>kt</v>
      </c>
      <c r="H16" s="10" t="str">
        <f>Etiquettes!$H$6</f>
        <v>Blé tendre</v>
      </c>
      <c r="I16" s="10" t="str">
        <f>Etiquettes!$I$5</f>
        <v>2019-20</v>
      </c>
      <c r="J16" s="10" t="str">
        <f>Etiquettes!$C$4</f>
        <v>France entière</v>
      </c>
      <c r="N16" s="575"/>
      <c r="O16" s="575"/>
      <c r="Q16"/>
      <c r="U16" s="693"/>
    </row>
    <row r="17" spans="1:21">
      <c r="A17" s="10">
        <f t="shared" si="0"/>
        <v>35</v>
      </c>
      <c r="B17" t="str">
        <f>Produits!$B$3</f>
        <v>Grains autoconsommés</v>
      </c>
      <c r="C17" t="str">
        <f>Secteurs!$B$6</f>
        <v>Semences fermières</v>
      </c>
      <c r="D17">
        <v>-1</v>
      </c>
      <c r="G17" s="10" t="str">
        <f>Etiquettes!$C$3</f>
        <v>kt</v>
      </c>
      <c r="H17" s="10" t="str">
        <f>Etiquettes!$H$6</f>
        <v>Blé tendre</v>
      </c>
      <c r="I17" s="10" t="str">
        <f>Etiquettes!$I$5</f>
        <v>2019-20</v>
      </c>
      <c r="J17" s="10" t="str">
        <f>Etiquettes!$C$4</f>
        <v>France entière</v>
      </c>
      <c r="K17" s="10" t="s">
        <v>1597</v>
      </c>
      <c r="L17" s="10" t="s">
        <v>1625</v>
      </c>
      <c r="M17" s="10" t="s">
        <v>1596</v>
      </c>
      <c r="N17" s="575" t="str" cm="1">
        <f t="array" aca="1" ref="N17" ca="1">[1]!NOM_FEUILLE('Semences fermières - AGRESTE'!$A$1:$B$1)</f>
        <v>Semences fermières - AGRESTE</v>
      </c>
      <c r="O17" s="575" t="str">
        <f>Etiquettes!$J$11</f>
        <v>Répartition</v>
      </c>
      <c r="P17" t="str">
        <f t="shared" ref="P17" si="6">_xlfn.CONCAT(K17," = ",MROUND(D16*100,0.01)," % (",M17,")")</f>
        <v>Part de semences fermières (par rapport aux semences certifiées) = 111,69 % (Enquête Pratiques culturales en grandes cultures - SSP)</v>
      </c>
      <c r="Q17" t="str">
        <f>Etiquettes!$K$15</f>
        <v>Approximative</v>
      </c>
      <c r="R17" s="642" t="s">
        <v>1813</v>
      </c>
      <c r="S17" s="603" t="str">
        <f>Etiquettes!$H$17</f>
        <v>Donnée collectée (valeur du flux ou coefficient)</v>
      </c>
      <c r="U17" s="693"/>
    </row>
    <row r="18" spans="1:21">
      <c r="A18" s="10">
        <f t="shared" si="0"/>
        <v>36</v>
      </c>
      <c r="B18" t="str">
        <f>Produits!$B$4</f>
        <v>Grains collectés</v>
      </c>
      <c r="C18" t="str">
        <f>Secteurs!$B$7</f>
        <v>Semences certifiées</v>
      </c>
      <c r="D18" s="29">
        <f>'Prétraitement semences fermière'!E11</f>
        <v>5.5510055510055514E-3</v>
      </c>
      <c r="G18" s="10" t="str">
        <f>Etiquettes!$C$3</f>
        <v>kt</v>
      </c>
      <c r="H18" s="10" t="s">
        <v>1172</v>
      </c>
      <c r="I18" s="10" t="str">
        <f>Etiquettes!$I$5</f>
        <v>2019-20</v>
      </c>
      <c r="J18" s="10" t="str">
        <f>Etiquettes!$C$4</f>
        <v>France entière</v>
      </c>
      <c r="N18" s="575"/>
      <c r="O18" s="575"/>
      <c r="Q18"/>
      <c r="U18" s="693"/>
    </row>
    <row r="19" spans="1:21">
      <c r="A19" s="10">
        <f t="shared" si="0"/>
        <v>36</v>
      </c>
      <c r="B19" t="str">
        <f>Produits!$B$3</f>
        <v>Grains autoconsommés</v>
      </c>
      <c r="C19" t="str">
        <f>Secteurs!$B$6</f>
        <v>Semences fermières</v>
      </c>
      <c r="D19">
        <v>-1</v>
      </c>
      <c r="G19" s="10" t="str">
        <f>Etiquettes!$C$3</f>
        <v>kt</v>
      </c>
      <c r="H19" s="10" t="s">
        <v>1172</v>
      </c>
      <c r="I19" s="10" t="str">
        <f>Etiquettes!$I$5</f>
        <v>2019-20</v>
      </c>
      <c r="J19" s="10" t="str">
        <f>Etiquettes!$C$4</f>
        <v>France entière</v>
      </c>
      <c r="K19" s="10" t="s">
        <v>1597</v>
      </c>
      <c r="L19" s="10" t="s">
        <v>1622</v>
      </c>
      <c r="M19" s="10" t="s">
        <v>1596</v>
      </c>
      <c r="N19" s="575" t="str" cm="1">
        <f t="array" aca="1" ref="N19" ca="1">[1]!NOM_FEUILLE('Semences fermières - AGRESTE'!$A$1:$B$1)</f>
        <v>Semences fermières - AGRESTE</v>
      </c>
      <c r="O19" s="575" t="str">
        <f>Etiquettes!$J$11</f>
        <v>Répartition</v>
      </c>
      <c r="P19" t="str">
        <f t="shared" ref="P19" si="7">_xlfn.CONCAT(K19," = ",MROUND(D18*100,0.01)," % (",M19,")")</f>
        <v>Part de semences fermières (par rapport aux semences certifiées) = 0,56 % (Enquête Pratiques culturales en grandes cultures - SSP)</v>
      </c>
      <c r="Q19" t="str">
        <f>Etiquettes!$K$15</f>
        <v>Approximative</v>
      </c>
      <c r="R19" s="642" t="s">
        <v>1813</v>
      </c>
      <c r="S19" s="603" t="str">
        <f>Etiquettes!$H$17</f>
        <v>Donnée collectée (valeur du flux ou coefficient)</v>
      </c>
      <c r="U19" s="693"/>
    </row>
    <row r="20" spans="1:21">
      <c r="A20" s="10">
        <f t="shared" si="0"/>
        <v>37</v>
      </c>
      <c r="B20" t="str">
        <f>Produits!$B$4</f>
        <v>Grains collectés</v>
      </c>
      <c r="C20" t="str">
        <f>Secteurs!$B$7</f>
        <v>Semences certifiées</v>
      </c>
      <c r="D20" s="29">
        <f>'Prétraitement semences fermière'!E12</f>
        <v>0.80135366976316014</v>
      </c>
      <c r="G20" s="10" t="str">
        <f>Etiquettes!$C$3</f>
        <v>kt</v>
      </c>
      <c r="H20" s="10" t="str">
        <f>Etiquettes!$J$6</f>
        <v>Orge</v>
      </c>
      <c r="I20" s="10" t="str">
        <f>Etiquettes!$I$5</f>
        <v>2019-20</v>
      </c>
      <c r="J20" s="10" t="str">
        <f>Etiquettes!$C$4</f>
        <v>France entière</v>
      </c>
      <c r="N20" s="575"/>
      <c r="O20" s="575"/>
      <c r="Q20"/>
      <c r="U20" s="693"/>
    </row>
    <row r="21" spans="1:21">
      <c r="A21" s="10">
        <f>A19+1</f>
        <v>37</v>
      </c>
      <c r="B21" t="str">
        <f>Produits!$B$3</f>
        <v>Grains autoconsommés</v>
      </c>
      <c r="C21" t="str">
        <f>Secteurs!$B$6</f>
        <v>Semences fermières</v>
      </c>
      <c r="D21">
        <v>-1</v>
      </c>
      <c r="G21" s="10" t="str">
        <f>Etiquettes!$C$3</f>
        <v>kt</v>
      </c>
      <c r="H21" s="10" t="str">
        <f>Etiquettes!$J$6</f>
        <v>Orge</v>
      </c>
      <c r="I21" s="10" t="str">
        <f>Etiquettes!$I$5</f>
        <v>2019-20</v>
      </c>
      <c r="J21" s="10" t="str">
        <f>Etiquettes!$C$4</f>
        <v>France entière</v>
      </c>
      <c r="K21" s="10" t="s">
        <v>1597</v>
      </c>
      <c r="L21" s="10" t="s">
        <v>1625</v>
      </c>
      <c r="M21" s="10" t="s">
        <v>1596</v>
      </c>
      <c r="N21" s="575" t="str" cm="1">
        <f t="array" aca="1" ref="N21" ca="1">[1]!NOM_FEUILLE('Semences fermières - AGRESTE'!$A$1:$B$1)</f>
        <v>Semences fermières - AGRESTE</v>
      </c>
      <c r="O21" s="575" t="str">
        <f>Etiquettes!$J$11</f>
        <v>Répartition</v>
      </c>
      <c r="P21" t="str">
        <f t="shared" ref="P21" si="8">_xlfn.CONCAT(K21," = ",MROUND(D20*100,0.01)," % (",M21,")")</f>
        <v>Part de semences fermières (par rapport aux semences certifiées) = 80,14 % (Enquête Pratiques culturales en grandes cultures - SSP)</v>
      </c>
      <c r="Q21" t="str">
        <f>Etiquettes!$K$15</f>
        <v>Approximative</v>
      </c>
      <c r="R21" s="642" t="s">
        <v>1813</v>
      </c>
      <c r="S21" s="603" t="str">
        <f>Etiquettes!$H$17</f>
        <v>Donnée collectée (valeur du flux ou coefficient)</v>
      </c>
      <c r="U21" s="693"/>
    </row>
    <row r="22" spans="1:21">
      <c r="A22" s="10">
        <f t="shared" si="0"/>
        <v>38</v>
      </c>
      <c r="B22" t="str">
        <f>Produits!$B$4</f>
        <v>Grains collectés</v>
      </c>
      <c r="C22" t="str">
        <f>Secteurs!$B$7</f>
        <v>Semences certifiées</v>
      </c>
      <c r="D22" s="29">
        <f>'Prétraitement semences fermière'!E13</f>
        <v>0.59008077684852323</v>
      </c>
      <c r="G22" s="10" t="str">
        <f>Etiquettes!$C$3</f>
        <v>kt</v>
      </c>
      <c r="H22" s="10" t="str">
        <f>Etiquettes!$K$6</f>
        <v>Blé dur</v>
      </c>
      <c r="I22" s="10" t="str">
        <f>Etiquettes!$I$5</f>
        <v>2019-20</v>
      </c>
      <c r="J22" s="10" t="str">
        <f>Etiquettes!$C$4</f>
        <v>France entière</v>
      </c>
      <c r="N22" s="575"/>
      <c r="O22" s="575"/>
      <c r="Q22"/>
      <c r="U22" s="693"/>
    </row>
    <row r="23" spans="1:21">
      <c r="A23" s="10">
        <f t="shared" si="0"/>
        <v>38</v>
      </c>
      <c r="B23" t="str">
        <f>Produits!$B$3</f>
        <v>Grains autoconsommés</v>
      </c>
      <c r="C23" t="str">
        <f>Secteurs!$B$6</f>
        <v>Semences fermières</v>
      </c>
      <c r="D23">
        <v>-1</v>
      </c>
      <c r="E23" s="29"/>
      <c r="G23" s="10" t="str">
        <f>Etiquettes!$C$3</f>
        <v>kt</v>
      </c>
      <c r="H23" s="10" t="str">
        <f>Etiquettes!$K$6</f>
        <v>Blé dur</v>
      </c>
      <c r="I23" s="10" t="str">
        <f>Etiquettes!$I$5</f>
        <v>2019-20</v>
      </c>
      <c r="J23" s="10" t="str">
        <f>Etiquettes!$C$4</f>
        <v>France entière</v>
      </c>
      <c r="K23" s="10" t="s">
        <v>1597</v>
      </c>
      <c r="L23" s="10" t="s">
        <v>1625</v>
      </c>
      <c r="M23" s="10" t="s">
        <v>1596</v>
      </c>
      <c r="N23" s="575" t="str" cm="1">
        <f t="array" aca="1" ref="N23" ca="1">[1]!NOM_FEUILLE('Semences fermières - AGRESTE'!$A$1:$B$1)</f>
        <v>Semences fermières - AGRESTE</v>
      </c>
      <c r="O23" s="575" t="str">
        <f>Etiquettes!$J$11</f>
        <v>Répartition</v>
      </c>
      <c r="P23" t="str">
        <f t="shared" ref="P23" si="9">_xlfn.CONCAT(K23," = ",MROUND(D22*100,0.01)," % (",M23,")")</f>
        <v>Part de semences fermières (par rapport aux semences certifiées) = 59,01 % (Enquête Pratiques culturales en grandes cultures - SSP)</v>
      </c>
      <c r="Q23" t="str">
        <f>Etiquettes!$K$15</f>
        <v>Approximative</v>
      </c>
      <c r="R23" s="642" t="s">
        <v>1813</v>
      </c>
      <c r="S23" s="603" t="str">
        <f>Etiquettes!$H$17</f>
        <v>Donnée collectée (valeur du flux ou coefficient)</v>
      </c>
      <c r="U23" s="693"/>
    </row>
    <row r="24" spans="1:21">
      <c r="A24" s="10">
        <f t="shared" si="0"/>
        <v>39</v>
      </c>
      <c r="B24" t="str">
        <f>Produits!$B$4</f>
        <v>Grains collectés</v>
      </c>
      <c r="C24" t="str">
        <f>Secteurs!$B$7</f>
        <v>Semences certifiées</v>
      </c>
      <c r="D24" s="29">
        <f>'Prétraitement semences fermière'!E14</f>
        <v>1.2543422096027421</v>
      </c>
      <c r="G24" s="10" t="str">
        <f>Etiquettes!$C$3</f>
        <v>kt</v>
      </c>
      <c r="H24" s="10" t="str">
        <f>Etiquettes!$L$6</f>
        <v>Triticale</v>
      </c>
      <c r="I24" s="10" t="str">
        <f>Etiquettes!$I$5</f>
        <v>2019-20</v>
      </c>
      <c r="J24" s="10" t="str">
        <f>Etiquettes!$C$4</f>
        <v>France entière</v>
      </c>
      <c r="N24" s="575"/>
      <c r="O24" s="575"/>
      <c r="Q24"/>
      <c r="U24" s="693"/>
    </row>
    <row r="25" spans="1:21">
      <c r="A25" s="10">
        <f t="shared" si="0"/>
        <v>39</v>
      </c>
      <c r="B25" t="str">
        <f>Produits!$B$3</f>
        <v>Grains autoconsommés</v>
      </c>
      <c r="C25" t="str">
        <f>Secteurs!$B$6</f>
        <v>Semences fermières</v>
      </c>
      <c r="D25">
        <v>-1</v>
      </c>
      <c r="G25" s="10" t="str">
        <f>Etiquettes!$C$3</f>
        <v>kt</v>
      </c>
      <c r="H25" s="10" t="str">
        <f>Etiquettes!$L$6</f>
        <v>Triticale</v>
      </c>
      <c r="I25" s="10" t="str">
        <f>Etiquettes!$I$5</f>
        <v>2019-20</v>
      </c>
      <c r="J25" s="10" t="str">
        <f>Etiquettes!$C$4</f>
        <v>France entière</v>
      </c>
      <c r="K25" s="10" t="s">
        <v>1597</v>
      </c>
      <c r="L25" s="10" t="s">
        <v>1625</v>
      </c>
      <c r="M25" s="10" t="s">
        <v>1596</v>
      </c>
      <c r="N25" s="575" t="str" cm="1">
        <f t="array" aca="1" ref="N25" ca="1">[1]!NOM_FEUILLE('Semences fermières - AGRESTE'!$A$1:$B$1)</f>
        <v>Semences fermières - AGRESTE</v>
      </c>
      <c r="O25" s="575" t="str">
        <f>Etiquettes!$J$11</f>
        <v>Répartition</v>
      </c>
      <c r="P25" t="str">
        <f t="shared" ref="P25" si="10">_xlfn.CONCAT(K25," = ",MROUND(D24*100,0.01)," % (",M25,")")</f>
        <v>Part de semences fermières (par rapport aux semences certifiées) = 125,43 % (Enquête Pratiques culturales en grandes cultures - SSP)</v>
      </c>
      <c r="Q25" t="str">
        <f>Etiquettes!$K$15</f>
        <v>Approximative</v>
      </c>
      <c r="R25" s="642" t="s">
        <v>1813</v>
      </c>
      <c r="S25" s="603" t="str">
        <f>Etiquettes!$H$17</f>
        <v>Donnée collectée (valeur du flux ou coefficient)</v>
      </c>
      <c r="U25" s="693"/>
    </row>
    <row r="26" spans="1:21">
      <c r="A26" s="10">
        <f t="shared" si="0"/>
        <v>40</v>
      </c>
      <c r="B26" t="str">
        <f>Produits!$B$4</f>
        <v>Grains collectés</v>
      </c>
      <c r="C26" t="str">
        <f>Secteurs!$B$7</f>
        <v>Semences certifiées</v>
      </c>
      <c r="D26" s="29">
        <f>'Prétraitement semences fermière'!E15</f>
        <v>1.0966981132075473</v>
      </c>
      <c r="G26" s="10" t="str">
        <f>Etiquettes!$C$3</f>
        <v>kt</v>
      </c>
      <c r="H26" s="10" t="str">
        <f>Etiquettes!$N$6</f>
        <v>Avoine</v>
      </c>
      <c r="I26" s="10" t="str">
        <f>Etiquettes!$I$5</f>
        <v>2019-20</v>
      </c>
      <c r="J26" s="10" t="str">
        <f>Etiquettes!$C$4</f>
        <v>France entière</v>
      </c>
      <c r="N26" s="575"/>
      <c r="O26" s="575"/>
      <c r="Q26"/>
      <c r="U26" s="693"/>
    </row>
    <row r="27" spans="1:21">
      <c r="A27" s="10">
        <f t="shared" si="0"/>
        <v>40</v>
      </c>
      <c r="B27" t="str">
        <f>Produits!$B$3</f>
        <v>Grains autoconsommés</v>
      </c>
      <c r="C27" t="str">
        <f>Secteurs!$B$6</f>
        <v>Semences fermières</v>
      </c>
      <c r="D27">
        <v>-1</v>
      </c>
      <c r="G27" s="10" t="str">
        <f>Etiquettes!$C$3</f>
        <v>kt</v>
      </c>
      <c r="H27" s="10" t="str">
        <f>Etiquettes!$N$6</f>
        <v>Avoine</v>
      </c>
      <c r="I27" s="10" t="str">
        <f>Etiquettes!$I$5</f>
        <v>2019-20</v>
      </c>
      <c r="J27" s="10" t="str">
        <f>Etiquettes!$C$4</f>
        <v>France entière</v>
      </c>
      <c r="K27" s="10" t="s">
        <v>1597</v>
      </c>
      <c r="L27" s="10" t="s">
        <v>1625</v>
      </c>
      <c r="M27" s="10" t="s">
        <v>1596</v>
      </c>
      <c r="N27" s="575" t="str" cm="1">
        <f t="array" aca="1" ref="N27" ca="1">[1]!NOM_FEUILLE('Semences fermières - AGRESTE'!$A$1:$B$1)</f>
        <v>Semences fermières - AGRESTE</v>
      </c>
      <c r="O27" s="575" t="str">
        <f>Etiquettes!$J$11</f>
        <v>Répartition</v>
      </c>
      <c r="P27" t="str">
        <f t="shared" ref="P27" si="11">_xlfn.CONCAT(K27," = ",MROUND(D26*100,0.01)," % (",M27,")")</f>
        <v>Part de semences fermières (par rapport aux semences certifiées) = 109,67 % (Enquête Pratiques culturales en grandes cultures - SSP)</v>
      </c>
      <c r="Q27" t="str">
        <f>Etiquettes!$K$15</f>
        <v>Approximative</v>
      </c>
      <c r="R27" s="642" t="s">
        <v>1813</v>
      </c>
      <c r="S27" s="603" t="str">
        <f>Etiquettes!$H$17</f>
        <v>Donnée collectée (valeur du flux ou coefficient)</v>
      </c>
      <c r="U27" s="693"/>
    </row>
    <row r="28" spans="1:21">
      <c r="A28" s="10">
        <f t="shared" si="0"/>
        <v>41</v>
      </c>
      <c r="B28" t="str">
        <f>Produits!$B$4</f>
        <v>Grains collectés</v>
      </c>
      <c r="C28" t="str">
        <f>Secteurs!$B$7</f>
        <v>Semences certifiées</v>
      </c>
      <c r="D28" s="29">
        <f>'Prétraitement semences fermière'!E16</f>
        <v>1</v>
      </c>
      <c r="G28" s="10" t="str">
        <f>Etiquettes!$C$3</f>
        <v>kt</v>
      </c>
      <c r="H28" s="10" t="s">
        <v>1705</v>
      </c>
      <c r="I28" s="10" t="str">
        <f>Etiquettes!$I$5</f>
        <v>2019-20</v>
      </c>
      <c r="J28" s="10" t="str">
        <f>Etiquettes!$C$4</f>
        <v>France entière</v>
      </c>
      <c r="N28" s="575"/>
      <c r="O28" s="575"/>
      <c r="Q28"/>
      <c r="U28" s="693"/>
    </row>
    <row r="29" spans="1:21">
      <c r="A29" s="10">
        <f t="shared" si="0"/>
        <v>41</v>
      </c>
      <c r="B29" t="str">
        <f>Produits!$B$3</f>
        <v>Grains autoconsommés</v>
      </c>
      <c r="C29" t="str">
        <f>Secteurs!$B$6</f>
        <v>Semences fermières</v>
      </c>
      <c r="D29">
        <v>-1</v>
      </c>
      <c r="G29" s="10" t="str">
        <f>Etiquettes!$C$3</f>
        <v>kt</v>
      </c>
      <c r="H29" s="10" t="s">
        <v>1705</v>
      </c>
      <c r="I29" s="10" t="str">
        <f>Etiquettes!$I$5</f>
        <v>2019-20</v>
      </c>
      <c r="J29" s="10" t="str">
        <f>Etiquettes!$C$4</f>
        <v>France entière</v>
      </c>
      <c r="K29" s="10" t="s">
        <v>1597</v>
      </c>
      <c r="L29" s="10" t="s">
        <v>1620</v>
      </c>
      <c r="M29" s="10" t="s">
        <v>1155</v>
      </c>
      <c r="N29" s="575"/>
      <c r="O29" s="575" t="str">
        <f>Etiquettes!$J$11</f>
        <v>Répartition</v>
      </c>
      <c r="P29" t="str">
        <f t="shared" ref="P29" si="12">_xlfn.CONCAT(K29," = ",MROUND(D28*100,0.01)," % (",M29,")")</f>
        <v>Part de semences fermières (par rapport aux semences certifiées) = 100 % (Valeur arbitraire)</v>
      </c>
      <c r="Q29" t="str">
        <f>Etiquettes!$K$15</f>
        <v>Approximative</v>
      </c>
      <c r="R29" s="642" t="s">
        <v>1813</v>
      </c>
      <c r="S29" s="603" t="str">
        <f>Etiquettes!$H$17</f>
        <v>Donnée collectée (valeur du flux ou coefficient)</v>
      </c>
      <c r="U29" s="693"/>
    </row>
    <row r="30" spans="1:21">
      <c r="A30" s="10">
        <f t="shared" si="0"/>
        <v>42</v>
      </c>
      <c r="B30" t="str">
        <f>Produits!$B$4</f>
        <v>Grains collectés</v>
      </c>
      <c r="C30" t="str">
        <f>Secteurs!$B$7</f>
        <v>Semences certifiées</v>
      </c>
      <c r="D30" s="29">
        <f>'Prétraitement semences fermière'!F10</f>
        <v>1.1505376344086022</v>
      </c>
      <c r="G30" s="10" t="str">
        <f>Etiquettes!$C$3</f>
        <v>kt</v>
      </c>
      <c r="H30" s="10" t="str">
        <f>Etiquettes!$H$6</f>
        <v>Blé tendre</v>
      </c>
      <c r="I30" s="10" t="str">
        <f>Etiquettes!$J$5</f>
        <v>2023-24</v>
      </c>
      <c r="J30" s="10" t="str">
        <f>Etiquettes!$C$4</f>
        <v>France entière</v>
      </c>
      <c r="N30" s="575"/>
      <c r="O30" s="575"/>
      <c r="Q30"/>
      <c r="U30" s="693"/>
    </row>
    <row r="31" spans="1:21">
      <c r="A31" s="10">
        <f t="shared" si="0"/>
        <v>42</v>
      </c>
      <c r="B31" t="str">
        <f>Produits!$B$3</f>
        <v>Grains autoconsommés</v>
      </c>
      <c r="C31" t="str">
        <f>Secteurs!$B$6</f>
        <v>Semences fermières</v>
      </c>
      <c r="D31">
        <v>-1</v>
      </c>
      <c r="G31" s="10" t="str">
        <f>Etiquettes!$C$3</f>
        <v>kt</v>
      </c>
      <c r="H31" s="10" t="str">
        <f>Etiquettes!$H$6</f>
        <v>Blé tendre</v>
      </c>
      <c r="I31" s="10" t="str">
        <f>Etiquettes!$J$5</f>
        <v>2023-24</v>
      </c>
      <c r="J31" s="10" t="str">
        <f>Etiquettes!$C$4</f>
        <v>France entière</v>
      </c>
      <c r="K31" s="10" t="s">
        <v>1597</v>
      </c>
      <c r="L31" s="10" t="s">
        <v>1626</v>
      </c>
      <c r="M31" s="10" t="s">
        <v>1596</v>
      </c>
      <c r="N31" s="575" t="str" cm="1">
        <f t="array" aca="1" ref="N31" ca="1">[1]!NOM_FEUILLE('Semences fermières - AGRESTE'!$A$1:$B$1)</f>
        <v>Semences fermières - AGRESTE</v>
      </c>
      <c r="O31" s="575" t="str">
        <f>Etiquettes!$J$11</f>
        <v>Répartition</v>
      </c>
      <c r="P31" t="str">
        <f t="shared" ref="P31" si="13">_xlfn.CONCAT(K31," = ",MROUND(D30*100,0.01)," % (",M31,")")</f>
        <v>Part de semences fermières (par rapport aux semences certifiées) = 115,05 % (Enquête Pratiques culturales en grandes cultures - SSP)</v>
      </c>
      <c r="Q31" t="str">
        <f>Etiquettes!$K$15</f>
        <v>Approximative</v>
      </c>
      <c r="R31" s="642" t="s">
        <v>1813</v>
      </c>
      <c r="S31" s="603" t="str">
        <f>Etiquettes!$H$17</f>
        <v>Donnée collectée (valeur du flux ou coefficient)</v>
      </c>
      <c r="U31" s="693"/>
    </row>
    <row r="32" spans="1:21">
      <c r="A32" s="10">
        <f t="shared" si="0"/>
        <v>43</v>
      </c>
      <c r="B32" t="str">
        <f>Produits!$B$4</f>
        <v>Grains collectés</v>
      </c>
      <c r="C32" t="str">
        <f>Secteurs!$B$7</f>
        <v>Semences certifiées</v>
      </c>
      <c r="D32" s="29">
        <f>'Prétraitement semences fermière'!F11</f>
        <v>1.0101010101010102E-2</v>
      </c>
      <c r="G32" s="10" t="str">
        <f>Etiquettes!$C$3</f>
        <v>kt</v>
      </c>
      <c r="H32" s="10" t="s">
        <v>1172</v>
      </c>
      <c r="I32" s="10" t="str">
        <f>Etiquettes!$J$5</f>
        <v>2023-24</v>
      </c>
      <c r="J32" s="10" t="str">
        <f>Etiquettes!$C$4</f>
        <v>France entière</v>
      </c>
      <c r="N32" s="575"/>
      <c r="O32" s="575"/>
      <c r="Q32"/>
      <c r="U32" s="693"/>
    </row>
    <row r="33" spans="1:21">
      <c r="A33" s="10">
        <f t="shared" si="0"/>
        <v>43</v>
      </c>
      <c r="B33" t="str">
        <f>Produits!$B$3</f>
        <v>Grains autoconsommés</v>
      </c>
      <c r="C33" t="str">
        <f>Secteurs!$B$6</f>
        <v>Semences fermières</v>
      </c>
      <c r="D33">
        <v>-1</v>
      </c>
      <c r="G33" s="10" t="str">
        <f>Etiquettes!$C$3</f>
        <v>kt</v>
      </c>
      <c r="H33" s="10" t="s">
        <v>1172</v>
      </c>
      <c r="I33" s="10" t="str">
        <f>Etiquettes!$J$5</f>
        <v>2023-24</v>
      </c>
      <c r="J33" s="10" t="str">
        <f>Etiquettes!$C$4</f>
        <v>France entière</v>
      </c>
      <c r="K33" s="10" t="s">
        <v>1597</v>
      </c>
      <c r="L33" s="10" t="s">
        <v>1623</v>
      </c>
      <c r="M33" s="10" t="s">
        <v>1596</v>
      </c>
      <c r="N33" s="575" t="str" cm="1">
        <f t="array" aca="1" ref="N33" ca="1">[1]!NOM_FEUILLE('Semences fermières - AGRESTE'!$A$1:$B$1)</f>
        <v>Semences fermières - AGRESTE</v>
      </c>
      <c r="O33" s="575" t="str">
        <f>Etiquettes!$J$11</f>
        <v>Répartition</v>
      </c>
      <c r="P33" t="str">
        <f t="shared" ref="P33" si="14">_xlfn.CONCAT(K33," = ",MROUND(D32*100,0.01)," % (",M33,")")</f>
        <v>Part de semences fermières (par rapport aux semences certifiées) = 1,01 % (Enquête Pratiques culturales en grandes cultures - SSP)</v>
      </c>
      <c r="Q33" t="str">
        <f>Etiquettes!$K$15</f>
        <v>Approximative</v>
      </c>
      <c r="R33" s="642" t="s">
        <v>1813</v>
      </c>
      <c r="S33" s="603" t="str">
        <f>Etiquettes!$H$17</f>
        <v>Donnée collectée (valeur du flux ou coefficient)</v>
      </c>
      <c r="U33" s="693"/>
    </row>
    <row r="34" spans="1:21">
      <c r="A34" s="10">
        <f t="shared" si="0"/>
        <v>44</v>
      </c>
      <c r="B34" t="str">
        <f>Produits!$B$4</f>
        <v>Grains collectés</v>
      </c>
      <c r="C34" t="str">
        <f>Secteurs!$B$7</f>
        <v>Semences certifiées</v>
      </c>
      <c r="D34" s="29">
        <f>'Prétraitement semences fermière'!F12</f>
        <v>0.84523809523809523</v>
      </c>
      <c r="G34" s="10" t="str">
        <f>Etiquettes!$C$3</f>
        <v>kt</v>
      </c>
      <c r="H34" s="10" t="str">
        <f>Etiquettes!$J$6</f>
        <v>Orge</v>
      </c>
      <c r="I34" s="10" t="str">
        <f>Etiquettes!$J$5</f>
        <v>2023-24</v>
      </c>
      <c r="J34" s="10" t="str">
        <f>Etiquettes!$C$4</f>
        <v>France entière</v>
      </c>
      <c r="N34" s="575"/>
      <c r="O34" s="575"/>
      <c r="Q34"/>
      <c r="U34" s="693"/>
    </row>
    <row r="35" spans="1:21">
      <c r="A35" s="10">
        <f>A33+1</f>
        <v>44</v>
      </c>
      <c r="B35" t="str">
        <f>Produits!$B$3</f>
        <v>Grains autoconsommés</v>
      </c>
      <c r="C35" t="str">
        <f>Secteurs!$B$6</f>
        <v>Semences fermières</v>
      </c>
      <c r="D35">
        <v>-1</v>
      </c>
      <c r="G35" s="10" t="str">
        <f>Etiquettes!$C$3</f>
        <v>kt</v>
      </c>
      <c r="H35" s="10" t="str">
        <f>Etiquettes!$J$6</f>
        <v>Orge</v>
      </c>
      <c r="I35" s="10" t="str">
        <f>Etiquettes!$J$5</f>
        <v>2023-24</v>
      </c>
      <c r="J35" s="10" t="str">
        <f>Etiquettes!$C$4</f>
        <v>France entière</v>
      </c>
      <c r="K35" s="10" t="s">
        <v>1597</v>
      </c>
      <c r="L35" s="10" t="s">
        <v>1626</v>
      </c>
      <c r="M35" s="10" t="s">
        <v>1596</v>
      </c>
      <c r="N35" s="575" t="str" cm="1">
        <f t="array" aca="1" ref="N35" ca="1">[1]!NOM_FEUILLE('Semences fermières - AGRESTE'!$A$1:$B$1)</f>
        <v>Semences fermières - AGRESTE</v>
      </c>
      <c r="O35" s="575" t="str">
        <f>Etiquettes!$J$11</f>
        <v>Répartition</v>
      </c>
      <c r="P35" t="str">
        <f t="shared" ref="P35" si="15">_xlfn.CONCAT(K35," = ",MROUND(D34*100,0.01)," % (",M35,")")</f>
        <v>Part de semences fermières (par rapport aux semences certifiées) = 84,52 % (Enquête Pratiques culturales en grandes cultures - SSP)</v>
      </c>
      <c r="Q35" t="str">
        <f>Etiquettes!$K$15</f>
        <v>Approximative</v>
      </c>
      <c r="R35" s="642" t="s">
        <v>1813</v>
      </c>
      <c r="S35" s="603" t="str">
        <f>Etiquettes!$H$17</f>
        <v>Donnée collectée (valeur du flux ou coefficient)</v>
      </c>
      <c r="U35" s="693"/>
    </row>
    <row r="36" spans="1:21">
      <c r="A36" s="10">
        <f t="shared" si="0"/>
        <v>45</v>
      </c>
      <c r="B36" t="str">
        <f>Produits!$B$4</f>
        <v>Grains collectés</v>
      </c>
      <c r="C36" t="str">
        <f>Secteurs!$B$7</f>
        <v>Semences certifiées</v>
      </c>
      <c r="D36" s="29">
        <f>'Prétraitement semences fermière'!F13</f>
        <v>0.80180180180180183</v>
      </c>
      <c r="G36" s="10" t="str">
        <f>Etiquettes!$C$3</f>
        <v>kt</v>
      </c>
      <c r="H36" s="10" t="str">
        <f>Etiquettes!$K$6</f>
        <v>Blé dur</v>
      </c>
      <c r="I36" s="10" t="str">
        <f>Etiquettes!$J$5</f>
        <v>2023-24</v>
      </c>
      <c r="J36" s="10" t="str">
        <f>Etiquettes!$C$4</f>
        <v>France entière</v>
      </c>
      <c r="N36" s="575"/>
      <c r="O36" s="575"/>
      <c r="Q36"/>
      <c r="U36" s="693"/>
    </row>
    <row r="37" spans="1:21">
      <c r="A37" s="10">
        <f t="shared" si="0"/>
        <v>45</v>
      </c>
      <c r="B37" t="str">
        <f>Produits!$B$3</f>
        <v>Grains autoconsommés</v>
      </c>
      <c r="C37" t="str">
        <f>Secteurs!$B$6</f>
        <v>Semences fermières</v>
      </c>
      <c r="D37">
        <v>-1</v>
      </c>
      <c r="E37" s="29"/>
      <c r="G37" s="10" t="str">
        <f>Etiquettes!$C$3</f>
        <v>kt</v>
      </c>
      <c r="H37" s="10" t="str">
        <f>Etiquettes!$K$6</f>
        <v>Blé dur</v>
      </c>
      <c r="I37" s="10" t="str">
        <f>Etiquettes!$J$5</f>
        <v>2023-24</v>
      </c>
      <c r="J37" s="10" t="str">
        <f>Etiquettes!$C$4</f>
        <v>France entière</v>
      </c>
      <c r="K37" s="10" t="s">
        <v>1597</v>
      </c>
      <c r="L37" s="10" t="s">
        <v>1626</v>
      </c>
      <c r="M37" s="10" t="s">
        <v>1596</v>
      </c>
      <c r="N37" s="575" t="str" cm="1">
        <f t="array" aca="1" ref="N37" ca="1">[1]!NOM_FEUILLE('Semences fermières - AGRESTE'!$A$1:$B$1)</f>
        <v>Semences fermières - AGRESTE</v>
      </c>
      <c r="O37" s="575" t="str">
        <f>Etiquettes!$J$11</f>
        <v>Répartition</v>
      </c>
      <c r="P37" t="str">
        <f t="shared" ref="P37" si="16">_xlfn.CONCAT(K37," = ",MROUND(D36*100,0.01)," % (",M37,")")</f>
        <v>Part de semences fermières (par rapport aux semences certifiées) = 80,18 % (Enquête Pratiques culturales en grandes cultures - SSP)</v>
      </c>
      <c r="Q37" t="str">
        <f>Etiquettes!$K$15</f>
        <v>Approximative</v>
      </c>
      <c r="R37" s="642" t="s">
        <v>1813</v>
      </c>
      <c r="S37" s="603" t="str">
        <f>Etiquettes!$H$17</f>
        <v>Donnée collectée (valeur du flux ou coefficient)</v>
      </c>
      <c r="U37" s="693"/>
    </row>
    <row r="38" spans="1:21">
      <c r="A38" s="10">
        <f t="shared" si="0"/>
        <v>46</v>
      </c>
      <c r="B38" t="str">
        <f>Produits!$B$4</f>
        <v>Grains collectés</v>
      </c>
      <c r="C38" t="str">
        <f>Secteurs!$B$7</f>
        <v>Semences certifiées</v>
      </c>
      <c r="D38" s="29">
        <f>'Prétraitement semences fermière'!F14</f>
        <v>1.3855421686746987</v>
      </c>
      <c r="G38" s="10" t="str">
        <f>Etiquettes!$C$3</f>
        <v>kt</v>
      </c>
      <c r="H38" s="10" t="str">
        <f>Etiquettes!$L$6</f>
        <v>Triticale</v>
      </c>
      <c r="I38" s="10" t="str">
        <f>Etiquettes!$J$5</f>
        <v>2023-24</v>
      </c>
      <c r="J38" s="10" t="str">
        <f>Etiquettes!$C$4</f>
        <v>France entière</v>
      </c>
      <c r="N38" s="575"/>
      <c r="O38" s="575"/>
      <c r="Q38"/>
      <c r="U38" s="693"/>
    </row>
    <row r="39" spans="1:21">
      <c r="A39" s="10">
        <f t="shared" si="0"/>
        <v>46</v>
      </c>
      <c r="B39" t="str">
        <f>Produits!$B$3</f>
        <v>Grains autoconsommés</v>
      </c>
      <c r="C39" t="str">
        <f>Secteurs!$B$6</f>
        <v>Semences fermières</v>
      </c>
      <c r="D39">
        <v>-1</v>
      </c>
      <c r="G39" s="10" t="str">
        <f>Etiquettes!$C$3</f>
        <v>kt</v>
      </c>
      <c r="H39" s="10" t="str">
        <f>Etiquettes!$L$6</f>
        <v>Triticale</v>
      </c>
      <c r="I39" s="10" t="str">
        <f>Etiquettes!$J$5</f>
        <v>2023-24</v>
      </c>
      <c r="J39" s="10" t="str">
        <f>Etiquettes!$C$4</f>
        <v>France entière</v>
      </c>
      <c r="K39" s="10" t="s">
        <v>1597</v>
      </c>
      <c r="L39" s="10" t="s">
        <v>1626</v>
      </c>
      <c r="M39" s="10" t="s">
        <v>1596</v>
      </c>
      <c r="N39" s="575" t="str" cm="1">
        <f t="array" aca="1" ref="N39" ca="1">[1]!NOM_FEUILLE('Semences fermières - AGRESTE'!$A$1:$B$1)</f>
        <v>Semences fermières - AGRESTE</v>
      </c>
      <c r="O39" s="575" t="str">
        <f>Etiquettes!$J$11</f>
        <v>Répartition</v>
      </c>
      <c r="P39" t="str">
        <f t="shared" ref="P39" si="17">_xlfn.CONCAT(K39," = ",MROUND(D38*100,0.01)," % (",M39,")")</f>
        <v>Part de semences fermières (par rapport aux semences certifiées) = 138,55 % (Enquête Pratiques culturales en grandes cultures - SSP)</v>
      </c>
      <c r="Q39" t="str">
        <f>Etiquettes!$K$15</f>
        <v>Approximative</v>
      </c>
      <c r="R39" s="642" t="s">
        <v>1813</v>
      </c>
      <c r="S39" s="603" t="str">
        <f>Etiquettes!$H$17</f>
        <v>Donnée collectée (valeur du flux ou coefficient)</v>
      </c>
      <c r="U39" s="693"/>
    </row>
    <row r="40" spans="1:21">
      <c r="A40" s="10">
        <f t="shared" si="0"/>
        <v>47</v>
      </c>
      <c r="B40" t="str">
        <f>Produits!$B$4</f>
        <v>Grains collectés</v>
      </c>
      <c r="C40" t="str">
        <f>Secteurs!$B$7</f>
        <v>Semences certifiées</v>
      </c>
      <c r="D40" s="29">
        <f>'Prétraitement semences fermière'!F15</f>
        <v>1.1933962264150944</v>
      </c>
      <c r="G40" s="10" t="str">
        <f>Etiquettes!$C$3</f>
        <v>kt</v>
      </c>
      <c r="H40" s="10" t="str">
        <f>Etiquettes!$N$6</f>
        <v>Avoine</v>
      </c>
      <c r="I40" s="10" t="str">
        <f>Etiquettes!$J$5</f>
        <v>2023-24</v>
      </c>
      <c r="J40" s="10" t="str">
        <f>Etiquettes!$C$4</f>
        <v>France entière</v>
      </c>
      <c r="N40" s="575"/>
      <c r="O40" s="575"/>
      <c r="Q40"/>
      <c r="U40" s="693"/>
    </row>
    <row r="41" spans="1:21">
      <c r="A41" s="10">
        <f t="shared" si="0"/>
        <v>47</v>
      </c>
      <c r="B41" t="str">
        <f>Produits!$B$3</f>
        <v>Grains autoconsommés</v>
      </c>
      <c r="C41" t="str">
        <f>Secteurs!$B$6</f>
        <v>Semences fermières</v>
      </c>
      <c r="D41">
        <v>-1</v>
      </c>
      <c r="G41" s="10" t="str">
        <f>Etiquettes!$C$3</f>
        <v>kt</v>
      </c>
      <c r="H41" s="10" t="str">
        <f>Etiquettes!$N$6</f>
        <v>Avoine</v>
      </c>
      <c r="I41" s="10" t="str">
        <f>Etiquettes!$J$5</f>
        <v>2023-24</v>
      </c>
      <c r="J41" s="10" t="str">
        <f>Etiquettes!$C$4</f>
        <v>France entière</v>
      </c>
      <c r="K41" s="10" t="s">
        <v>1597</v>
      </c>
      <c r="L41" s="10" t="s">
        <v>1626</v>
      </c>
      <c r="M41" s="10" t="s">
        <v>1596</v>
      </c>
      <c r="N41" s="575" t="str" cm="1">
        <f t="array" aca="1" ref="N41" ca="1">[1]!NOM_FEUILLE('Semences fermières - AGRESTE'!$A$1:$B$1)</f>
        <v>Semences fermières - AGRESTE</v>
      </c>
      <c r="O41" s="575" t="str">
        <f>Etiquettes!$J$11</f>
        <v>Répartition</v>
      </c>
      <c r="P41" t="str">
        <f t="shared" ref="P41" si="18">_xlfn.CONCAT(K41," = ",MROUND(D40*100,0.01)," % (",M41,")")</f>
        <v>Part de semences fermières (par rapport aux semences certifiées) = 119,34 % (Enquête Pratiques culturales en grandes cultures - SSP)</v>
      </c>
      <c r="Q41" t="str">
        <f>Etiquettes!$K$15</f>
        <v>Approximative</v>
      </c>
      <c r="R41" s="642" t="s">
        <v>1813</v>
      </c>
      <c r="S41" s="603" t="str">
        <f>Etiquettes!$H$17</f>
        <v>Donnée collectée (valeur du flux ou coefficient)</v>
      </c>
      <c r="U41" s="693"/>
    </row>
    <row r="42" spans="1:21">
      <c r="A42" s="10">
        <f t="shared" si="0"/>
        <v>48</v>
      </c>
      <c r="B42" t="str">
        <f>Produits!$B$4</f>
        <v>Grains collectés</v>
      </c>
      <c r="C42" t="str">
        <f>Secteurs!$B$7</f>
        <v>Semences certifiées</v>
      </c>
      <c r="D42" s="29">
        <f>'Prétraitement semences fermière'!F16</f>
        <v>1</v>
      </c>
      <c r="G42" s="10" t="str">
        <f>Etiquettes!$C$3</f>
        <v>kt</v>
      </c>
      <c r="H42" s="10" t="s">
        <v>1706</v>
      </c>
      <c r="I42" s="10" t="str">
        <f>Etiquettes!$J$5</f>
        <v>2023-24</v>
      </c>
      <c r="J42" s="10" t="str">
        <f>Etiquettes!$C$4</f>
        <v>France entière</v>
      </c>
      <c r="N42" s="575"/>
      <c r="O42" s="575"/>
      <c r="Q42"/>
      <c r="T42" s="733" t="s">
        <v>1424</v>
      </c>
      <c r="U42" s="693"/>
    </row>
    <row r="43" spans="1:21">
      <c r="A43" s="10">
        <f t="shared" si="0"/>
        <v>48</v>
      </c>
      <c r="B43" t="str">
        <f>Produits!$B$3</f>
        <v>Grains autoconsommés</v>
      </c>
      <c r="C43" t="str">
        <f>Secteurs!$B$6</f>
        <v>Semences fermières</v>
      </c>
      <c r="D43">
        <v>-1</v>
      </c>
      <c r="G43" s="10" t="str">
        <f>Etiquettes!$C$3</f>
        <v>kt</v>
      </c>
      <c r="H43" s="10" t="s">
        <v>1706</v>
      </c>
      <c r="I43" s="10" t="str">
        <f>Etiquettes!$J$5</f>
        <v>2023-24</v>
      </c>
      <c r="J43" s="10" t="str">
        <f>Etiquettes!$C$4</f>
        <v>France entière</v>
      </c>
      <c r="K43" s="10" t="s">
        <v>1597</v>
      </c>
      <c r="L43" s="10" t="s">
        <v>1620</v>
      </c>
      <c r="M43" s="10" t="s">
        <v>1155</v>
      </c>
      <c r="N43" s="575"/>
      <c r="O43" s="575" t="str">
        <f>Etiquettes!$J$11</f>
        <v>Répartition</v>
      </c>
      <c r="P43" t="str">
        <f t="shared" ref="P43" si="19">_xlfn.CONCAT(K43," = ",MROUND(D42*100,0.01)," % (",M43,")")</f>
        <v>Part de semences fermières (par rapport aux semences certifiées) = 100 % (Valeur arbitraire)</v>
      </c>
      <c r="Q43" t="str">
        <f>Etiquettes!$L$15</f>
        <v>Indicative</v>
      </c>
      <c r="R43" s="642" t="s">
        <v>1813</v>
      </c>
      <c r="S43" s="603" t="str">
        <f>Etiquettes!$H$17</f>
        <v>Donnée collectée (valeur du flux ou coefficient)</v>
      </c>
      <c r="T43" s="733"/>
      <c r="U43" s="693"/>
    </row>
  </sheetData>
  <mergeCells count="2">
    <mergeCell ref="T42:T43"/>
    <mergeCell ref="U2:U4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2BFB4-7BA2-4FD5-87CB-E4FFF709D658}">
  <sheetPr>
    <tabColor theme="1"/>
  </sheetPr>
  <dimension ref="A1:Q4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6.6640625" bestFit="1" customWidth="1"/>
    <col min="6" max="8" width="9.5546875" customWidth="1"/>
    <col min="9" max="13" width="14.44140625" style="26" customWidth="1"/>
    <col min="14" max="14" width="9.5546875" bestFit="1" customWidth="1"/>
    <col min="15" max="16" width="12.33203125" customWidth="1"/>
    <col min="17" max="17" width="7.109375" bestFit="1" customWidth="1"/>
  </cols>
  <sheetData>
    <row r="1" spans="1:17" ht="15" thickBot="1">
      <c r="A1" s="27" t="s">
        <v>14</v>
      </c>
      <c r="B1" s="28" t="s">
        <v>15</v>
      </c>
      <c r="C1" s="23" t="s">
        <v>16</v>
      </c>
      <c r="D1" s="23" t="s">
        <v>18</v>
      </c>
      <c r="E1" t="str" cm="1">
        <f t="array" aca="1" ref="E1:Q22"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22">_xlfn._xlws.FILTER('Contraintes  '!B2:C200,ISTEXT('Contraintes  '!O2:O200))</f>
        <v>Grains autoconsommés</v>
      </c>
      <c r="B2" t="str">
        <v>Semences fermières</v>
      </c>
      <c r="E2" t="str">
        <f ca="1"/>
        <v>kt</v>
      </c>
      <c r="F2" t="str">
        <f ca="1"/>
        <v>Blé tendre</v>
      </c>
      <c r="G2" t="str">
        <f ca="1"/>
        <v>2015-16</v>
      </c>
      <c r="H2" t="str">
        <f ca="1"/>
        <v>France entière</v>
      </c>
      <c r="I2" t="str">
        <f ca="1"/>
        <v>Part de semences fermières (par rapport aux semences certifiées)</v>
      </c>
      <c r="J2" t="str">
        <f ca="1"/>
        <v>Le mélange de semences contient 50 % de certifiées et 50 % de fermières. Utilisation de la donnée 2017.</v>
      </c>
      <c r="K2" t="str">
        <f ca="1"/>
        <v>Enquête Pratiques culturales en grandes cultures - SSP</v>
      </c>
      <c r="L2" t="str">
        <f ca="1"/>
        <v>Semences fermières - AGRESTE</v>
      </c>
      <c r="M2" t="str">
        <f ca="1"/>
        <v>Répartition</v>
      </c>
      <c r="N2" t="str">
        <f ca="1"/>
        <v>Part de semences fermières (par rapport aux semences certifiées) = 108,32 % (Enquête Pratiques culturales en grandes cultures - SSP)</v>
      </c>
      <c r="O2" t="str">
        <f ca="1"/>
        <v>Approximative</v>
      </c>
      <c r="P2" t="str">
        <f ca="1"/>
        <v>Données collectées:Données déterminées</v>
      </c>
      <c r="Q2" t="str">
        <f ca="1"/>
        <v>Donnée collectée (valeur du flux ou coefficient)</v>
      </c>
    </row>
    <row r="3" spans="1:17">
      <c r="A3" t="str">
        <v>Grains autoconsommés</v>
      </c>
      <c r="B3" t="str">
        <v>Semences fermières</v>
      </c>
      <c r="E3" t="str">
        <f ca="1"/>
        <v>kt</v>
      </c>
      <c r="F3" t="str">
        <f ca="1"/>
        <v>Maïs:Sorgho</v>
      </c>
      <c r="G3" t="str">
        <f ca="1"/>
        <v>2015-16</v>
      </c>
      <c r="H3" t="str">
        <f ca="1"/>
        <v>France entière</v>
      </c>
      <c r="I3" t="str">
        <f ca="1"/>
        <v>Part de semences fermières (par rapport aux semences certifiées)</v>
      </c>
      <c r="J3" t="str">
        <f ca="1"/>
        <v>Le mélange de semences contient 50 % de certifiées et 50 % de fermières. Utilisation de la donnée 2017. Même répartition pour le sorgho que pour le maïs (ARVALIS).</v>
      </c>
      <c r="K3" t="str">
        <f ca="1"/>
        <v>Enquête Pratiques culturales en grandes cultures - SSP</v>
      </c>
      <c r="L3" t="str">
        <f ca="1"/>
        <v>Semences fermières - AGRESTE</v>
      </c>
      <c r="M3" t="str">
        <f ca="1"/>
        <v>Répartition</v>
      </c>
      <c r="N3" t="str">
        <f ca="1"/>
        <v>Part de semences fermières (par rapport aux semences certifiées) = 0,1 % (Enquête Pratiques culturales en grandes cultures - SSP)</v>
      </c>
      <c r="O3" t="str">
        <f ca="1"/>
        <v>Approximative</v>
      </c>
      <c r="P3" t="str">
        <f ca="1"/>
        <v>Données collectées:Données déterminées</v>
      </c>
      <c r="Q3" t="str">
        <f ca="1"/>
        <v>Donnée collectée (valeur du flux ou coefficient)</v>
      </c>
    </row>
    <row r="4" spans="1:17">
      <c r="A4" t="str">
        <v>Grains autoconsommés</v>
      </c>
      <c r="B4" t="str">
        <v>Semences fermières</v>
      </c>
      <c r="E4" t="str">
        <f ca="1"/>
        <v>kt</v>
      </c>
      <c r="F4" t="str">
        <f ca="1"/>
        <v>Orge</v>
      </c>
      <c r="G4" t="str">
        <f ca="1"/>
        <v>2015-16</v>
      </c>
      <c r="H4" t="str">
        <f ca="1"/>
        <v>France entière</v>
      </c>
      <c r="I4" t="str">
        <f ca="1"/>
        <v>Part de semences fermières (par rapport aux semences certifiées)</v>
      </c>
      <c r="J4" t="str">
        <f ca="1"/>
        <v>Le mélange de semences contient 50 % de certifiées et 50 % de fermières. Utilisation de la donnée 2017.</v>
      </c>
      <c r="K4" t="str">
        <f ca="1"/>
        <v>Enquête Pratiques culturales en grandes cultures - SSP</v>
      </c>
      <c r="L4" t="str">
        <f ca="1"/>
        <v>Semences fermières - AGRESTE</v>
      </c>
      <c r="M4" t="str">
        <f ca="1"/>
        <v>Répartition</v>
      </c>
      <c r="N4" t="str">
        <f ca="1"/>
        <v>Part de semences fermières (par rapport aux semences certifiées) = 75,75 % (Enquête Pratiques culturales en grandes cultures - SSP)</v>
      </c>
      <c r="O4" t="str">
        <f ca="1"/>
        <v>Approximative</v>
      </c>
      <c r="P4" t="str">
        <f ca="1"/>
        <v>Données collectées:Données déterminées</v>
      </c>
      <c r="Q4" t="str">
        <f ca="1"/>
        <v>Donnée collectée (valeur du flux ou coefficient)</v>
      </c>
    </row>
    <row r="5" spans="1:17">
      <c r="A5" t="str">
        <v>Grains autoconsommés</v>
      </c>
      <c r="B5" t="str">
        <v>Semences fermières</v>
      </c>
      <c r="E5" t="str">
        <f ca="1"/>
        <v>kt</v>
      </c>
      <c r="F5" t="str">
        <f ca="1"/>
        <v>Blé dur</v>
      </c>
      <c r="G5" t="str">
        <f ca="1"/>
        <v>2015-16</v>
      </c>
      <c r="H5" t="str">
        <f ca="1"/>
        <v>France entière</v>
      </c>
      <c r="I5" t="str">
        <f ca="1"/>
        <v>Part de semences fermières (par rapport aux semences certifiées)</v>
      </c>
      <c r="J5" t="str">
        <f ca="1"/>
        <v>Le mélange de semences contient 50 % de certifiées et 50 % de fermières. Utilisation de la donnée 2017.</v>
      </c>
      <c r="K5" t="str">
        <f ca="1"/>
        <v>Enquête Pratiques culturales en grandes cultures - SSP</v>
      </c>
      <c r="L5" t="str">
        <f ca="1"/>
        <v>Semences fermières - AGRESTE</v>
      </c>
      <c r="M5" t="str">
        <f ca="1"/>
        <v>Répartition</v>
      </c>
      <c r="N5" t="str">
        <f ca="1"/>
        <v>Part de semences fermières (par rapport aux semences certifiées) = 37,84 % (Enquête Pratiques culturales en grandes cultures - SSP)</v>
      </c>
      <c r="O5" t="str">
        <f ca="1"/>
        <v>Approximative</v>
      </c>
      <c r="P5" t="str">
        <f ca="1"/>
        <v>Données collectées:Données déterminées</v>
      </c>
      <c r="Q5" t="str">
        <f ca="1"/>
        <v>Donnée collectée (valeur du flux ou coefficient)</v>
      </c>
    </row>
    <row r="6" spans="1:17">
      <c r="A6" t="str">
        <v>Grains autoconsommés</v>
      </c>
      <c r="B6" t="str">
        <v>Semences fermières</v>
      </c>
      <c r="E6" t="str">
        <f ca="1"/>
        <v>kt</v>
      </c>
      <c r="F6" t="str">
        <f ca="1"/>
        <v>Triticale</v>
      </c>
      <c r="G6" t="str">
        <f ca="1"/>
        <v>2015-16</v>
      </c>
      <c r="H6" t="str">
        <f ca="1"/>
        <v>France entière</v>
      </c>
      <c r="I6" t="str">
        <f ca="1"/>
        <v>Part de semences fermières (par rapport aux semences certifiées)</v>
      </c>
      <c r="J6" t="str">
        <f ca="1"/>
        <v>Le mélange de semences contient 50 % de certifiées et 50 % de fermières. Utilisation de la donnée 2017.</v>
      </c>
      <c r="K6" t="str">
        <f ca="1"/>
        <v>Enquête Pratiques culturales en grandes cultures - SSP</v>
      </c>
      <c r="L6" t="str">
        <f ca="1"/>
        <v>Semences fermières - AGRESTE</v>
      </c>
      <c r="M6" t="str">
        <f ca="1"/>
        <v>Répartition</v>
      </c>
      <c r="N6" t="str">
        <f ca="1"/>
        <v>Part de semences fermières (par rapport aux semences certifiées) = 112,31 % (Enquête Pratiques culturales en grandes cultures - SSP)</v>
      </c>
      <c r="O6" t="str">
        <f ca="1"/>
        <v>Approximative</v>
      </c>
      <c r="P6" t="str">
        <f ca="1"/>
        <v>Données collectées:Données déterminées</v>
      </c>
      <c r="Q6" t="str">
        <f ca="1"/>
        <v>Donnée collectée (valeur du flux ou coefficient)</v>
      </c>
    </row>
    <row r="7" spans="1:17">
      <c r="A7" t="str">
        <v>Grains autoconsommés</v>
      </c>
      <c r="B7" t="str">
        <v>Semences fermières</v>
      </c>
      <c r="E7" t="str">
        <f ca="1"/>
        <v>kt</v>
      </c>
      <c r="F7" t="str">
        <f ca="1"/>
        <v>Avoine</v>
      </c>
      <c r="G7" t="str">
        <f ca="1"/>
        <v>2015-16</v>
      </c>
      <c r="H7" t="str">
        <f ca="1"/>
        <v>France entière</v>
      </c>
      <c r="I7" t="str">
        <f ca="1"/>
        <v>Part de semences fermières (par rapport aux semences certifiées)</v>
      </c>
      <c r="J7" t="str">
        <f ca="1"/>
        <v>Autant de semences certifiées que de semences fermières.</v>
      </c>
      <c r="K7" t="str">
        <f ca="1"/>
        <v>Valeur arbitraire</v>
      </c>
      <c r="L7">
        <f ca="1"/>
        <v>0</v>
      </c>
      <c r="M7" t="str">
        <f ca="1"/>
        <v>Répartition</v>
      </c>
      <c r="N7" t="str">
        <f ca="1"/>
        <v>Part de semences fermières (par rapport aux semences certifiées) = 100 % (Valeur arbitraire)</v>
      </c>
      <c r="O7" t="str">
        <f ca="1"/>
        <v>Approximative</v>
      </c>
      <c r="P7" t="str">
        <f ca="1"/>
        <v>Données collectées:Données déterminées</v>
      </c>
      <c r="Q7" t="str">
        <f ca="1"/>
        <v>Donnée collectée (valeur du flux ou coefficient)</v>
      </c>
    </row>
    <row r="8" spans="1:17">
      <c r="A8" t="str">
        <v>Grains autoconsommés</v>
      </c>
      <c r="B8" t="str">
        <v>Semences fermières</v>
      </c>
      <c r="E8" t="str">
        <f ca="1"/>
        <v>kt</v>
      </c>
      <c r="F8" t="str">
        <f ca="1"/>
        <v>Seigle:Sarrasin:Epeautre:Millet</v>
      </c>
      <c r="G8" t="str">
        <f ca="1"/>
        <v>2015-16</v>
      </c>
      <c r="H8" t="str">
        <f ca="1"/>
        <v>France entière</v>
      </c>
      <c r="I8" t="str">
        <f ca="1"/>
        <v>Part de semences fermières (par rapport aux semences certifiées)</v>
      </c>
      <c r="J8" t="str">
        <f ca="1"/>
        <v>Autant de semences certifiées que de semences fermières.</v>
      </c>
      <c r="K8" t="str">
        <f ca="1"/>
        <v>Valeur arbitraire</v>
      </c>
      <c r="L8">
        <f ca="1"/>
        <v>0</v>
      </c>
      <c r="M8" t="str">
        <f ca="1"/>
        <v>Répartition</v>
      </c>
      <c r="N8" t="str">
        <f ca="1"/>
        <v>Part de semences fermières (par rapport aux semences certifiées) = 100 % (Valeur arbitraire)</v>
      </c>
      <c r="O8" t="str">
        <f ca="1"/>
        <v>Approximative</v>
      </c>
      <c r="P8" t="str">
        <f ca="1"/>
        <v>Données collectées:Données déterminées</v>
      </c>
      <c r="Q8" t="str">
        <f ca="1"/>
        <v>Donnée collectée (valeur du flux ou coefficient)</v>
      </c>
    </row>
    <row r="9" spans="1:17">
      <c r="A9" t="str">
        <v>Grains autoconsommés</v>
      </c>
      <c r="B9" t="str">
        <v>Semences fermières</v>
      </c>
      <c r="E9" t="str">
        <f ca="1"/>
        <v>kt</v>
      </c>
      <c r="F9" t="str">
        <f ca="1"/>
        <v>Blé tendre</v>
      </c>
      <c r="G9" t="str">
        <f ca="1"/>
        <v>2019-20</v>
      </c>
      <c r="H9" t="str">
        <f ca="1"/>
        <v>France entière</v>
      </c>
      <c r="I9" t="str">
        <f ca="1"/>
        <v>Part de semences fermières (par rapport aux semences certifiées)</v>
      </c>
      <c r="J9" t="str">
        <f ca="1"/>
        <v>Le mélange de semences contient 50 % de certifiées et 50 % de fermières. Utilisation de la moyenne entre 2017 et 2021.</v>
      </c>
      <c r="K9" t="str">
        <f ca="1"/>
        <v>Enquête Pratiques culturales en grandes cultures - SSP</v>
      </c>
      <c r="L9" t="str">
        <f ca="1"/>
        <v>Semences fermières - AGRESTE</v>
      </c>
      <c r="M9" t="str">
        <f ca="1"/>
        <v>Répartition</v>
      </c>
      <c r="N9" t="str">
        <f ca="1"/>
        <v>Part de semences fermières (par rapport aux semences certifiées) = 111,69 % (Enquête Pratiques culturales en grandes cultures - SSP)</v>
      </c>
      <c r="O9" t="str">
        <f ca="1"/>
        <v>Approximative</v>
      </c>
      <c r="P9" t="str">
        <f ca="1"/>
        <v>Données collectées:Données déterminées</v>
      </c>
      <c r="Q9" t="str">
        <f ca="1"/>
        <v>Donnée collectée (valeur du flux ou coefficient)</v>
      </c>
    </row>
    <row r="10" spans="1:17">
      <c r="A10" t="str">
        <v>Grains autoconsommés</v>
      </c>
      <c r="B10" t="str">
        <v>Semences fermières</v>
      </c>
      <c r="E10" t="str">
        <f ca="1"/>
        <v>kt</v>
      </c>
      <c r="F10" t="str">
        <f ca="1"/>
        <v>Maïs:Sorgho</v>
      </c>
      <c r="G10" t="str">
        <f ca="1"/>
        <v>2019-20</v>
      </c>
      <c r="H10" t="str">
        <f ca="1"/>
        <v>France entière</v>
      </c>
      <c r="I10" t="str">
        <f ca="1"/>
        <v>Part de semences fermières (par rapport aux semences certifiées)</v>
      </c>
      <c r="J10" t="str">
        <f ca="1"/>
        <v>Le mélange de semences contient 50 % de certifiées et 50 % de fermières. Utilisation de la moyenne entre 2017 et 2021. Même répartition pour le sorgho que pour le maïs (ARVALIS).</v>
      </c>
      <c r="K10" t="str">
        <f ca="1"/>
        <v>Enquête Pratiques culturales en grandes cultures - SSP</v>
      </c>
      <c r="L10" t="str">
        <f ca="1"/>
        <v>Semences fermières - AGRESTE</v>
      </c>
      <c r="M10" t="str">
        <f ca="1"/>
        <v>Répartition</v>
      </c>
      <c r="N10" t="str">
        <f ca="1"/>
        <v>Part de semences fermières (par rapport aux semences certifiées) = 0,56 % (Enquête Pratiques culturales en grandes cultures - SSP)</v>
      </c>
      <c r="O10" t="str">
        <f ca="1"/>
        <v>Approximative</v>
      </c>
      <c r="P10" t="str">
        <f ca="1"/>
        <v>Données collectées:Données déterminées</v>
      </c>
      <c r="Q10" t="str">
        <f ca="1"/>
        <v>Donnée collectée (valeur du flux ou coefficient)</v>
      </c>
    </row>
    <row r="11" spans="1:17">
      <c r="A11" t="str">
        <v>Grains autoconsommés</v>
      </c>
      <c r="B11" t="str">
        <v>Semences fermières</v>
      </c>
      <c r="E11" t="str">
        <f ca="1"/>
        <v>kt</v>
      </c>
      <c r="F11" t="str">
        <f ca="1"/>
        <v>Orge</v>
      </c>
      <c r="G11" t="str">
        <f ca="1"/>
        <v>2019-20</v>
      </c>
      <c r="H11" t="str">
        <f ca="1"/>
        <v>France entière</v>
      </c>
      <c r="I11" t="str">
        <f ca="1"/>
        <v>Part de semences fermières (par rapport aux semences certifiées)</v>
      </c>
      <c r="J11" t="str">
        <f ca="1"/>
        <v>Le mélange de semences contient 50 % de certifiées et 50 % de fermières. Utilisation de la moyenne entre 2017 et 2021.</v>
      </c>
      <c r="K11" t="str">
        <f ca="1"/>
        <v>Enquête Pratiques culturales en grandes cultures - SSP</v>
      </c>
      <c r="L11" t="str">
        <f ca="1"/>
        <v>Semences fermières - AGRESTE</v>
      </c>
      <c r="M11" t="str">
        <f ca="1"/>
        <v>Répartition</v>
      </c>
      <c r="N11" t="str">
        <f ca="1"/>
        <v>Part de semences fermières (par rapport aux semences certifiées) = 80,14 % (Enquête Pratiques culturales en grandes cultures - SSP)</v>
      </c>
      <c r="O11" t="str">
        <f ca="1"/>
        <v>Approximative</v>
      </c>
      <c r="P11" t="str">
        <f ca="1"/>
        <v>Données collectées:Données déterminées</v>
      </c>
      <c r="Q11" t="str">
        <f ca="1"/>
        <v>Donnée collectée (valeur du flux ou coefficient)</v>
      </c>
    </row>
    <row r="12" spans="1:17">
      <c r="A12" t="str">
        <v>Grains autoconsommés</v>
      </c>
      <c r="B12" t="str">
        <v>Semences fermières</v>
      </c>
      <c r="E12" t="str">
        <f ca="1"/>
        <v>kt</v>
      </c>
      <c r="F12" t="str">
        <f ca="1"/>
        <v>Blé dur</v>
      </c>
      <c r="G12" t="str">
        <f ca="1"/>
        <v>2019-20</v>
      </c>
      <c r="H12" t="str">
        <f ca="1"/>
        <v>France entière</v>
      </c>
      <c r="I12" t="str">
        <f ca="1"/>
        <v>Part de semences fermières (par rapport aux semences certifiées)</v>
      </c>
      <c r="J12" t="str">
        <f ca="1"/>
        <v>Le mélange de semences contient 50 % de certifiées et 50 % de fermières. Utilisation de la moyenne entre 2017 et 2021.</v>
      </c>
      <c r="K12" t="str">
        <f ca="1"/>
        <v>Enquête Pratiques culturales en grandes cultures - SSP</v>
      </c>
      <c r="L12" t="str">
        <f ca="1"/>
        <v>Semences fermières - AGRESTE</v>
      </c>
      <c r="M12" t="str">
        <f ca="1"/>
        <v>Répartition</v>
      </c>
      <c r="N12" t="str">
        <f ca="1"/>
        <v>Part de semences fermières (par rapport aux semences certifiées) = 59,01 % (Enquête Pratiques culturales en grandes cultures - SSP)</v>
      </c>
      <c r="O12" t="str">
        <f ca="1"/>
        <v>Approximative</v>
      </c>
      <c r="P12" t="str">
        <f ca="1"/>
        <v>Données collectées:Données déterminées</v>
      </c>
      <c r="Q12" t="str">
        <f ca="1"/>
        <v>Donnée collectée (valeur du flux ou coefficient)</v>
      </c>
    </row>
    <row r="13" spans="1:17">
      <c r="A13" t="str">
        <v>Grains autoconsommés</v>
      </c>
      <c r="B13" t="str">
        <v>Semences fermières</v>
      </c>
      <c r="E13" t="str">
        <f ca="1"/>
        <v>kt</v>
      </c>
      <c r="F13" t="str">
        <f ca="1"/>
        <v>Triticale</v>
      </c>
      <c r="G13" t="str">
        <f ca="1"/>
        <v>2019-20</v>
      </c>
      <c r="H13" t="str">
        <f ca="1"/>
        <v>France entière</v>
      </c>
      <c r="I13" t="str">
        <f ca="1"/>
        <v>Part de semences fermières (par rapport aux semences certifiées)</v>
      </c>
      <c r="J13" t="str">
        <f ca="1"/>
        <v>Le mélange de semences contient 50 % de certifiées et 50 % de fermières. Utilisation de la moyenne entre 2017 et 2021.</v>
      </c>
      <c r="K13" t="str">
        <f ca="1"/>
        <v>Enquête Pratiques culturales en grandes cultures - SSP</v>
      </c>
      <c r="L13" t="str">
        <f ca="1"/>
        <v>Semences fermières - AGRESTE</v>
      </c>
      <c r="M13" t="str">
        <f ca="1"/>
        <v>Répartition</v>
      </c>
      <c r="N13" t="str">
        <f ca="1"/>
        <v>Part de semences fermières (par rapport aux semences certifiées) = 125,43 % (Enquête Pratiques culturales en grandes cultures - SSP)</v>
      </c>
      <c r="O13" t="str">
        <f ca="1"/>
        <v>Approximative</v>
      </c>
      <c r="P13" t="str">
        <f ca="1"/>
        <v>Données collectées:Données déterminées</v>
      </c>
      <c r="Q13" t="str">
        <f ca="1"/>
        <v>Donnée collectée (valeur du flux ou coefficient)</v>
      </c>
    </row>
    <row r="14" spans="1:17">
      <c r="A14" t="str">
        <v>Grains autoconsommés</v>
      </c>
      <c r="B14" t="str">
        <v>Semences fermières</v>
      </c>
      <c r="E14" t="str">
        <f ca="1"/>
        <v>kt</v>
      </c>
      <c r="F14" t="str">
        <f ca="1"/>
        <v>Avoine</v>
      </c>
      <c r="G14" t="str">
        <f ca="1"/>
        <v>2019-20</v>
      </c>
      <c r="H14" t="str">
        <f ca="1"/>
        <v>France entière</v>
      </c>
      <c r="I14" t="str">
        <f ca="1"/>
        <v>Part de semences fermières (par rapport aux semences certifiées)</v>
      </c>
      <c r="J14" t="str">
        <f ca="1"/>
        <v>Le mélange de semences contient 50 % de certifiées et 50 % de fermières. Utilisation de la moyenne entre 2017 et 2021.</v>
      </c>
      <c r="K14" t="str">
        <f ca="1"/>
        <v>Enquête Pratiques culturales en grandes cultures - SSP</v>
      </c>
      <c r="L14" t="str">
        <f ca="1"/>
        <v>Semences fermières - AGRESTE</v>
      </c>
      <c r="M14" t="str">
        <f ca="1"/>
        <v>Répartition</v>
      </c>
      <c r="N14" t="str">
        <f ca="1"/>
        <v>Part de semences fermières (par rapport aux semences certifiées) = 109,67 % (Enquête Pratiques culturales en grandes cultures - SSP)</v>
      </c>
      <c r="O14" t="str">
        <f ca="1"/>
        <v>Approximative</v>
      </c>
      <c r="P14" t="str">
        <f ca="1"/>
        <v>Données collectées:Données déterminées</v>
      </c>
      <c r="Q14" t="str">
        <f ca="1"/>
        <v>Donnée collectée (valeur du flux ou coefficient)</v>
      </c>
    </row>
    <row r="15" spans="1:17">
      <c r="A15" t="str">
        <v>Grains autoconsommés</v>
      </c>
      <c r="B15" t="str">
        <v>Semences fermières</v>
      </c>
      <c r="E15" t="str">
        <f ca="1"/>
        <v>kt</v>
      </c>
      <c r="F15" t="str">
        <f ca="1"/>
        <v>Seigle:Sarrasin:Epeautre:Millet</v>
      </c>
      <c r="G15" t="str">
        <f ca="1"/>
        <v>2019-20</v>
      </c>
      <c r="H15" t="str">
        <f ca="1"/>
        <v>France entière</v>
      </c>
      <c r="I15" t="str">
        <f ca="1"/>
        <v>Part de semences fermières (par rapport aux semences certifiées)</v>
      </c>
      <c r="J15" t="str">
        <f ca="1"/>
        <v>Autant de semences certifiées que de semences fermières.</v>
      </c>
      <c r="K15" t="str">
        <f ca="1"/>
        <v>Valeur arbitraire</v>
      </c>
      <c r="L15">
        <f ca="1"/>
        <v>0</v>
      </c>
      <c r="M15" t="str">
        <f ca="1"/>
        <v>Répartition</v>
      </c>
      <c r="N15" t="str">
        <f ca="1"/>
        <v>Part de semences fermières (par rapport aux semences certifiées) = 100 % (Valeur arbitraire)</v>
      </c>
      <c r="O15" t="str">
        <f ca="1"/>
        <v>Approximative</v>
      </c>
      <c r="P15" t="str">
        <f ca="1"/>
        <v>Données collectées:Données déterminées</v>
      </c>
      <c r="Q15" t="str">
        <f ca="1"/>
        <v>Donnée collectée (valeur du flux ou coefficient)</v>
      </c>
    </row>
    <row r="16" spans="1:17">
      <c r="A16" t="str">
        <v>Grains autoconsommés</v>
      </c>
      <c r="B16" t="str">
        <v>Semences fermières</v>
      </c>
      <c r="E16" t="str">
        <f ca="1"/>
        <v>kt</v>
      </c>
      <c r="F16" t="str">
        <f ca="1"/>
        <v>Blé tendre</v>
      </c>
      <c r="G16" t="str">
        <f ca="1"/>
        <v>2023-24</v>
      </c>
      <c r="H16" t="str">
        <f ca="1"/>
        <v>France entière</v>
      </c>
      <c r="I16" t="str">
        <f ca="1"/>
        <v>Part de semences fermières (par rapport aux semences certifiées)</v>
      </c>
      <c r="J16" t="str">
        <f ca="1"/>
        <v>Le mélange de semences contient 50 % de certifiées et 50 % de fermières. Utilisation de la donnée 2021.</v>
      </c>
      <c r="K16" t="str">
        <f ca="1"/>
        <v>Enquête Pratiques culturales en grandes cultures - SSP</v>
      </c>
      <c r="L16" t="str">
        <f ca="1"/>
        <v>Semences fermières - AGRESTE</v>
      </c>
      <c r="M16" t="str">
        <f ca="1"/>
        <v>Répartition</v>
      </c>
      <c r="N16" t="str">
        <f ca="1"/>
        <v>Part de semences fermières (par rapport aux semences certifiées) = 115,05 % (Enquête Pratiques culturales en grandes cultures - SSP)</v>
      </c>
      <c r="O16" t="str">
        <f ca="1"/>
        <v>Approximative</v>
      </c>
      <c r="P16" t="str">
        <f ca="1"/>
        <v>Données collectées:Données déterminées</v>
      </c>
      <c r="Q16" t="str">
        <f ca="1"/>
        <v>Donnée collectée (valeur du flux ou coefficient)</v>
      </c>
    </row>
    <row r="17" spans="1:17">
      <c r="A17" t="str">
        <v>Grains autoconsommés</v>
      </c>
      <c r="B17" t="str">
        <v>Semences fermières</v>
      </c>
      <c r="E17" t="str">
        <f ca="1"/>
        <v>kt</v>
      </c>
      <c r="F17" t="str">
        <f ca="1"/>
        <v>Maïs:Sorgho</v>
      </c>
      <c r="G17" t="str">
        <f ca="1"/>
        <v>2023-24</v>
      </c>
      <c r="H17" t="str">
        <f ca="1"/>
        <v>France entière</v>
      </c>
      <c r="I17" t="str">
        <f ca="1"/>
        <v>Part de semences fermières (par rapport aux semences certifiées)</v>
      </c>
      <c r="J17" t="str">
        <f ca="1"/>
        <v>Le mélange de semences contient 50 % de certifiées et 50 % de fermières. Utilisation de la donnée 2021. Même répartition pour le sorgho que pour le maïs (ARVALIS).</v>
      </c>
      <c r="K17" t="str">
        <f ca="1"/>
        <v>Enquête Pratiques culturales en grandes cultures - SSP</v>
      </c>
      <c r="L17" t="str">
        <f ca="1"/>
        <v>Semences fermières - AGRESTE</v>
      </c>
      <c r="M17" t="str">
        <f ca="1"/>
        <v>Répartition</v>
      </c>
      <c r="N17" t="str">
        <f ca="1"/>
        <v>Part de semences fermières (par rapport aux semences certifiées) = 1,01 % (Enquête Pratiques culturales en grandes cultures - SSP)</v>
      </c>
      <c r="O17" t="str">
        <f ca="1"/>
        <v>Approximative</v>
      </c>
      <c r="P17" t="str">
        <f ca="1"/>
        <v>Données collectées:Données déterminées</v>
      </c>
      <c r="Q17" t="str">
        <f ca="1"/>
        <v>Donnée collectée (valeur du flux ou coefficient)</v>
      </c>
    </row>
    <row r="18" spans="1:17">
      <c r="A18" t="str">
        <v>Grains autoconsommés</v>
      </c>
      <c r="B18" t="str">
        <v>Semences fermières</v>
      </c>
      <c r="E18" t="str">
        <f ca="1"/>
        <v>kt</v>
      </c>
      <c r="F18" t="str">
        <f ca="1"/>
        <v>Orge</v>
      </c>
      <c r="G18" t="str">
        <f ca="1"/>
        <v>2023-24</v>
      </c>
      <c r="H18" t="str">
        <f ca="1"/>
        <v>France entière</v>
      </c>
      <c r="I18" t="str">
        <f ca="1"/>
        <v>Part de semences fermières (par rapport aux semences certifiées)</v>
      </c>
      <c r="J18" t="str">
        <f ca="1"/>
        <v>Le mélange de semences contient 50 % de certifiées et 50 % de fermières. Utilisation de la donnée 2021.</v>
      </c>
      <c r="K18" t="str">
        <f ca="1"/>
        <v>Enquête Pratiques culturales en grandes cultures - SSP</v>
      </c>
      <c r="L18" t="str">
        <f ca="1"/>
        <v>Semences fermières - AGRESTE</v>
      </c>
      <c r="M18" t="str">
        <f ca="1"/>
        <v>Répartition</v>
      </c>
      <c r="N18" t="str">
        <f ca="1"/>
        <v>Part de semences fermières (par rapport aux semences certifiées) = 84,52 % (Enquête Pratiques culturales en grandes cultures - SSP)</v>
      </c>
      <c r="O18" t="str">
        <f ca="1"/>
        <v>Approximative</v>
      </c>
      <c r="P18" t="str">
        <f ca="1"/>
        <v>Données collectées:Données déterminées</v>
      </c>
      <c r="Q18" t="str">
        <f ca="1"/>
        <v>Donnée collectée (valeur du flux ou coefficient)</v>
      </c>
    </row>
    <row r="19" spans="1:17">
      <c r="A19" t="str">
        <v>Grains autoconsommés</v>
      </c>
      <c r="B19" t="str">
        <v>Semences fermières</v>
      </c>
      <c r="E19" t="str">
        <f ca="1"/>
        <v>kt</v>
      </c>
      <c r="F19" t="str">
        <f ca="1"/>
        <v>Blé dur</v>
      </c>
      <c r="G19" t="str">
        <f ca="1"/>
        <v>2023-24</v>
      </c>
      <c r="H19" t="str">
        <f ca="1"/>
        <v>France entière</v>
      </c>
      <c r="I19" t="str">
        <f ca="1"/>
        <v>Part de semences fermières (par rapport aux semences certifiées)</v>
      </c>
      <c r="J19" t="str">
        <f ca="1"/>
        <v>Le mélange de semences contient 50 % de certifiées et 50 % de fermières. Utilisation de la donnée 2021.</v>
      </c>
      <c r="K19" t="str">
        <f ca="1"/>
        <v>Enquête Pratiques culturales en grandes cultures - SSP</v>
      </c>
      <c r="L19" t="str">
        <f ca="1"/>
        <v>Semences fermières - AGRESTE</v>
      </c>
      <c r="M19" t="str">
        <f ca="1"/>
        <v>Répartition</v>
      </c>
      <c r="N19" t="str">
        <f ca="1"/>
        <v>Part de semences fermières (par rapport aux semences certifiées) = 80,18 % (Enquête Pratiques culturales en grandes cultures - SSP)</v>
      </c>
      <c r="O19" t="str">
        <f ca="1"/>
        <v>Approximative</v>
      </c>
      <c r="P19" t="str">
        <f ca="1"/>
        <v>Données collectées:Données déterminées</v>
      </c>
      <c r="Q19" t="str">
        <f ca="1"/>
        <v>Donnée collectée (valeur du flux ou coefficient)</v>
      </c>
    </row>
    <row r="20" spans="1:17">
      <c r="A20" t="str">
        <v>Grains autoconsommés</v>
      </c>
      <c r="B20" t="str">
        <v>Semences fermières</v>
      </c>
      <c r="E20" t="str">
        <f ca="1"/>
        <v>kt</v>
      </c>
      <c r="F20" t="str">
        <f ca="1"/>
        <v>Triticale</v>
      </c>
      <c r="G20" t="str">
        <f ca="1"/>
        <v>2023-24</v>
      </c>
      <c r="H20" t="str">
        <f ca="1"/>
        <v>France entière</v>
      </c>
      <c r="I20" t="str">
        <f ca="1"/>
        <v>Part de semences fermières (par rapport aux semences certifiées)</v>
      </c>
      <c r="J20" t="str">
        <f ca="1"/>
        <v>Le mélange de semences contient 50 % de certifiées et 50 % de fermières. Utilisation de la donnée 2021.</v>
      </c>
      <c r="K20" t="str">
        <f ca="1"/>
        <v>Enquête Pratiques culturales en grandes cultures - SSP</v>
      </c>
      <c r="L20" t="str">
        <f ca="1"/>
        <v>Semences fermières - AGRESTE</v>
      </c>
      <c r="M20" t="str">
        <f ca="1"/>
        <v>Répartition</v>
      </c>
      <c r="N20" t="str">
        <f ca="1"/>
        <v>Part de semences fermières (par rapport aux semences certifiées) = 138,55 % (Enquête Pratiques culturales en grandes cultures - SSP)</v>
      </c>
      <c r="O20" t="str">
        <f ca="1"/>
        <v>Approximative</v>
      </c>
      <c r="P20" t="str">
        <f ca="1"/>
        <v>Données collectées:Données déterminées</v>
      </c>
      <c r="Q20" t="str">
        <f ca="1"/>
        <v>Donnée collectée (valeur du flux ou coefficient)</v>
      </c>
    </row>
    <row r="21" spans="1:17">
      <c r="A21" t="str">
        <v>Grains autoconsommés</v>
      </c>
      <c r="B21" t="str">
        <v>Semences fermières</v>
      </c>
      <c r="E21" t="str">
        <f ca="1"/>
        <v>kt</v>
      </c>
      <c r="F21" t="str">
        <f ca="1"/>
        <v>Avoine</v>
      </c>
      <c r="G21" t="str">
        <f ca="1"/>
        <v>2023-24</v>
      </c>
      <c r="H21" t="str">
        <f ca="1"/>
        <v>France entière</v>
      </c>
      <c r="I21" t="str">
        <f ca="1"/>
        <v>Part de semences fermières (par rapport aux semences certifiées)</v>
      </c>
      <c r="J21" t="str">
        <f ca="1"/>
        <v>Le mélange de semences contient 50 % de certifiées et 50 % de fermières. Utilisation de la donnée 2021.</v>
      </c>
      <c r="K21" t="str">
        <f ca="1"/>
        <v>Enquête Pratiques culturales en grandes cultures - SSP</v>
      </c>
      <c r="L21" t="str">
        <f ca="1"/>
        <v>Semences fermières - AGRESTE</v>
      </c>
      <c r="M21" t="str">
        <f ca="1"/>
        <v>Répartition</v>
      </c>
      <c r="N21" t="str">
        <f ca="1"/>
        <v>Part de semences fermières (par rapport aux semences certifiées) = 119,34 % (Enquête Pratiques culturales en grandes cultures - SSP)</v>
      </c>
      <c r="O21" t="str">
        <f ca="1"/>
        <v>Approximative</v>
      </c>
      <c r="P21" t="str">
        <f ca="1"/>
        <v>Données collectées:Données déterminées</v>
      </c>
      <c r="Q21" t="str">
        <f ca="1"/>
        <v>Donnée collectée (valeur du flux ou coefficient)</v>
      </c>
    </row>
    <row r="22" spans="1:17">
      <c r="A22" t="str">
        <v>Grains autoconsommés</v>
      </c>
      <c r="B22" t="str">
        <v>Semences fermières</v>
      </c>
      <c r="E22" t="str">
        <f ca="1"/>
        <v>kt</v>
      </c>
      <c r="F22" t="str">
        <f ca="1"/>
        <v>Seigle:Epeautre:Millet</v>
      </c>
      <c r="G22" t="str">
        <f ca="1"/>
        <v>2023-24</v>
      </c>
      <c r="H22" t="str">
        <f ca="1"/>
        <v>France entière</v>
      </c>
      <c r="I22" t="str">
        <f ca="1"/>
        <v>Part de semences fermières (par rapport aux semences certifiées)</v>
      </c>
      <c r="J22" t="str">
        <f ca="1"/>
        <v>Autant de semences certifiées que de semences fermières.</v>
      </c>
      <c r="K22" t="str">
        <f ca="1"/>
        <v>Valeur arbitraire</v>
      </c>
      <c r="L22">
        <f ca="1"/>
        <v>0</v>
      </c>
      <c r="M22" t="str">
        <f ca="1"/>
        <v>Répartition</v>
      </c>
      <c r="N22" t="str">
        <f ca="1"/>
        <v>Part de semences fermières (par rapport aux semences certifiées) = 100 % (Valeur arbitraire)</v>
      </c>
      <c r="O22" t="str">
        <f ca="1"/>
        <v>Indicative</v>
      </c>
      <c r="P22" t="str">
        <f ca="1"/>
        <v>Données collectées:Données déterminées</v>
      </c>
      <c r="Q22" t="str">
        <f ca="1"/>
        <v>Donnée collectée (valeur du flux ou coefficient)</v>
      </c>
    </row>
    <row r="23" spans="1:17">
      <c r="I23"/>
      <c r="J23"/>
      <c r="K23"/>
      <c r="L23"/>
      <c r="M23"/>
    </row>
    <row r="24" spans="1:17">
      <c r="I24"/>
      <c r="J24"/>
      <c r="K24"/>
      <c r="L24"/>
      <c r="M24"/>
    </row>
    <row r="25" spans="1:17">
      <c r="I25"/>
      <c r="J25"/>
      <c r="K25"/>
      <c r="L25"/>
      <c r="M25"/>
    </row>
    <row r="26" spans="1:17">
      <c r="I26"/>
      <c r="J26"/>
      <c r="K26"/>
      <c r="L26"/>
      <c r="M26"/>
    </row>
    <row r="27" spans="1:17">
      <c r="I27"/>
      <c r="J27"/>
      <c r="K27"/>
      <c r="L27"/>
      <c r="M27"/>
    </row>
    <row r="28" spans="1:17">
      <c r="I28"/>
      <c r="J28"/>
      <c r="K28"/>
      <c r="L28"/>
      <c r="M28"/>
    </row>
    <row r="29" spans="1:17">
      <c r="I29"/>
      <c r="J29"/>
      <c r="K29"/>
      <c r="L29"/>
      <c r="M29"/>
    </row>
    <row r="30" spans="1:17">
      <c r="I30"/>
      <c r="J30"/>
      <c r="K30"/>
      <c r="L30"/>
      <c r="M30"/>
    </row>
    <row r="31" spans="1:17">
      <c r="I31"/>
      <c r="J31"/>
      <c r="K31"/>
      <c r="L31"/>
      <c r="M31"/>
    </row>
    <row r="32" spans="1:17">
      <c r="I32"/>
      <c r="J32"/>
      <c r="K32"/>
      <c r="L32"/>
      <c r="M32"/>
    </row>
    <row r="33" customFormat="1"/>
    <row r="34" customFormat="1"/>
    <row r="35" customFormat="1"/>
    <row r="36" customFormat="1"/>
    <row r="37" customFormat="1"/>
    <row r="38" customFormat="1"/>
    <row r="39" customFormat="1"/>
    <row r="40" customFormat="1"/>
    <row r="41" customFormat="1"/>
    <row r="42" customFormat="1"/>
    <row r="43" customFormat="1"/>
  </sheetData>
  <pageMargins left="0.75" right="0.75" top="1" bottom="1" header="0.5" footer="0.5"/>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912-ECF4-47BF-AFAA-8D3EB06213C9}">
  <dimension ref="A1:G18"/>
  <sheetViews>
    <sheetView workbookViewId="0">
      <selection activeCell="C16" sqref="C16"/>
    </sheetView>
  </sheetViews>
  <sheetFormatPr baseColWidth="10" defaultRowHeight="14.4"/>
  <cols>
    <col min="1" max="1" width="11.5546875" style="57"/>
    <col min="2" max="2" width="39.88671875" style="57" bestFit="1" customWidth="1"/>
  </cols>
  <sheetData>
    <row r="1" spans="1:7" s="57" customFormat="1" ht="15" thickBot="1">
      <c r="A1" s="703" t="s">
        <v>149</v>
      </c>
      <c r="B1" s="704"/>
    </row>
    <row r="2" spans="1:7" s="57" customFormat="1">
      <c r="A2" s="58" t="s">
        <v>150</v>
      </c>
      <c r="B2" s="59" t="s">
        <v>1161</v>
      </c>
    </row>
    <row r="3" spans="1:7" s="57" customFormat="1">
      <c r="A3" s="60" t="s">
        <v>152</v>
      </c>
      <c r="B3" s="65" t="s">
        <v>1164</v>
      </c>
    </row>
    <row r="4" spans="1:7" s="57" customFormat="1">
      <c r="A4" s="60" t="s">
        <v>153</v>
      </c>
      <c r="B4" s="61" t="s">
        <v>154</v>
      </c>
    </row>
    <row r="5" spans="1:7" s="57" customFormat="1">
      <c r="A5" s="60" t="s">
        <v>17</v>
      </c>
      <c r="B5" s="61"/>
    </row>
    <row r="6" spans="1:7" s="57" customFormat="1">
      <c r="A6" s="60" t="s">
        <v>19</v>
      </c>
      <c r="B6" s="61" t="s">
        <v>1165</v>
      </c>
    </row>
    <row r="7" spans="1:7" s="57" customFormat="1" ht="15" thickBot="1">
      <c r="A7" s="62" t="s">
        <v>156</v>
      </c>
      <c r="B7" s="63" t="s">
        <v>157</v>
      </c>
    </row>
    <row r="8" spans="1:7">
      <c r="D8" s="116" t="s">
        <v>1162</v>
      </c>
    </row>
    <row r="9" spans="1:7">
      <c r="D9" s="11" t="s">
        <v>1166</v>
      </c>
      <c r="E9" s="11" t="s">
        <v>1167</v>
      </c>
      <c r="F9" s="11" t="s">
        <v>1170</v>
      </c>
    </row>
    <row r="10" spans="1:7">
      <c r="C10" s="11" t="s">
        <v>171</v>
      </c>
      <c r="D10" s="477">
        <f>('Semences fermières - AGRESTE'!F11+('Semences fermières - AGRESTE'!E11/2))/('Semences fermières - AGRESTE'!D11+('Semences fermières - AGRESTE'!E11/2))</f>
        <v>1.0832466181061395</v>
      </c>
      <c r="E10" s="483">
        <f>AVERAGE(D10,F10)</f>
        <v>1.1168921262573708</v>
      </c>
      <c r="F10" s="477">
        <f>('Semences fermières - AGRESTE'!K11+('Semences fermières - AGRESTE'!J11/2))/('Semences fermières - AGRESTE'!I11+('Semences fermières - AGRESTE'!J11/2))</f>
        <v>1.1505376344086022</v>
      </c>
    </row>
    <row r="11" spans="1:7">
      <c r="C11" s="11" t="s">
        <v>307</v>
      </c>
      <c r="D11" s="477">
        <f>('Semences fermières - AGRESTE'!F19+('Semences fermières - AGRESTE'!E19/2))/('Semences fermières - AGRESTE'!D19+('Semences fermières - AGRESTE'!E19/2))</f>
        <v>1.001001001001001E-3</v>
      </c>
      <c r="E11" s="483">
        <f t="shared" ref="E11:E16" si="0">AVERAGE(D11,F11)</f>
        <v>5.5510055510055514E-3</v>
      </c>
      <c r="F11" s="477">
        <f>('Semences fermières - AGRESTE'!K18+('Semences fermières - AGRESTE'!J18/2))/('Semences fermières - AGRESTE'!I18+('Semences fermières - AGRESTE'!J18/2))</f>
        <v>1.0101010101010102E-2</v>
      </c>
      <c r="G11" s="11" t="s">
        <v>1171</v>
      </c>
    </row>
    <row r="12" spans="1:7">
      <c r="C12" s="11" t="s">
        <v>173</v>
      </c>
      <c r="D12" s="477">
        <f>('Semences fermières - AGRESTE'!F13+('Semences fermières - AGRESTE'!E13/2))/('Semences fermières - AGRESTE'!D13+('Semences fermières - AGRESTE'!E13/2))</f>
        <v>0.75746924428822504</v>
      </c>
      <c r="E12" s="483">
        <f t="shared" si="0"/>
        <v>0.80135366976316014</v>
      </c>
      <c r="F12" s="477">
        <f>AVERAGE(('Semences fermières - AGRESTE'!K23+('Semences fermières - AGRESTE'!J23/2))/('Semences fermières - AGRESTE'!I23+('Semences fermières - AGRESTE'!J23/2)),('Semences fermières - AGRESTE'!K24+('Semences fermières - AGRESTE'!J24/2))/('Semences fermières - AGRESTE'!I24+('Semences fermières - AGRESTE'!J24/2)))</f>
        <v>0.84523809523809523</v>
      </c>
    </row>
    <row r="13" spans="1:7">
      <c r="C13" s="11" t="s">
        <v>172</v>
      </c>
      <c r="D13" s="477">
        <f>('Semences fermières - AGRESTE'!F12+('Semences fermières - AGRESTE'!E12/2))/('Semences fermières - AGRESTE'!D12+('Semences fermières - AGRESTE'!E12/2))</f>
        <v>0.37835975189524468</v>
      </c>
      <c r="E13" s="483">
        <f t="shared" si="0"/>
        <v>0.59008077684852323</v>
      </c>
      <c r="F13" s="477">
        <f>('Semences fermières - AGRESTE'!K12+('Semences fermières - AGRESTE'!J12/2))/('Semences fermières - AGRESTE'!I12+('Semences fermières - AGRESTE'!J12/2))</f>
        <v>0.80180180180180183</v>
      </c>
    </row>
    <row r="14" spans="1:7">
      <c r="C14" s="11" t="s">
        <v>174</v>
      </c>
      <c r="D14" s="477">
        <f>('Semences fermières - AGRESTE'!F14+('Semences fermières - AGRESTE'!E14/2))/('Semences fermières - AGRESTE'!D14+('Semences fermières - AGRESTE'!E14/2))</f>
        <v>1.1231422505307858</v>
      </c>
      <c r="E14" s="483">
        <f t="shared" si="0"/>
        <v>1.2543422096027421</v>
      </c>
      <c r="F14" s="477">
        <f>('Semences fermières - AGRESTE'!K13+('Semences fermières - AGRESTE'!J13/2))/('Semences fermières - AGRESTE'!I13+('Semences fermières - AGRESTE'!J13/2))</f>
        <v>1.3855421686746987</v>
      </c>
    </row>
    <row r="15" spans="1:7">
      <c r="C15" s="11" t="s">
        <v>306</v>
      </c>
      <c r="D15" s="477">
        <v>1</v>
      </c>
      <c r="E15" s="483">
        <f t="shared" si="0"/>
        <v>1.0966981132075473</v>
      </c>
      <c r="F15" s="477">
        <f>AVERAGE(('Semences fermières - AGRESTE'!K25+('Semences fermières - AGRESTE'!J25/2))/('Semences fermières - AGRESTE'!I25+('Semences fermières - AGRESTE'!J25/2)),('Semences fermières - AGRESTE'!K26+('Semences fermières - AGRESTE'!J26/2))/('Semences fermières - AGRESTE'!I26+('Semences fermières - AGRESTE'!J26/2)))</f>
        <v>1.1933962264150944</v>
      </c>
      <c r="G15" s="11" t="s">
        <v>1169</v>
      </c>
    </row>
    <row r="16" spans="1:7">
      <c r="C16" t="s">
        <v>1497</v>
      </c>
      <c r="D16" s="477">
        <v>1</v>
      </c>
      <c r="E16" s="483">
        <f t="shared" si="0"/>
        <v>1</v>
      </c>
      <c r="F16" s="477">
        <v>1</v>
      </c>
      <c r="G16" s="11" t="s">
        <v>1163</v>
      </c>
    </row>
    <row r="18" spans="3:3">
      <c r="C18" t="s">
        <v>1168</v>
      </c>
    </row>
  </sheetData>
  <mergeCells count="1">
    <mergeCell ref="A1:B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0995-FE68-4FAC-8AE7-61362F96E1AB}">
  <sheetPr>
    <tabColor rgb="FFFFC000"/>
  </sheetPr>
  <dimension ref="A1:K29"/>
  <sheetViews>
    <sheetView workbookViewId="0">
      <selection activeCell="B4" sqref="B4"/>
    </sheetView>
  </sheetViews>
  <sheetFormatPr baseColWidth="10" defaultRowHeight="14.4"/>
  <cols>
    <col min="1" max="1" width="11.5546875" style="57"/>
    <col min="2" max="2" width="60" style="57" bestFit="1" customWidth="1"/>
    <col min="3" max="3" width="15.6640625" customWidth="1"/>
    <col min="8" max="8" width="18.77734375" customWidth="1"/>
  </cols>
  <sheetData>
    <row r="1" spans="1:11" s="57" customFormat="1" ht="15" thickBot="1">
      <c r="A1" s="734" t="s">
        <v>149</v>
      </c>
      <c r="B1" s="735"/>
    </row>
    <row r="2" spans="1:11" s="57" customFormat="1">
      <c r="A2" s="58" t="s">
        <v>150</v>
      </c>
      <c r="B2" s="59" t="s">
        <v>163</v>
      </c>
    </row>
    <row r="3" spans="1:11" s="57" customFormat="1">
      <c r="A3" s="60" t="s">
        <v>152</v>
      </c>
      <c r="B3" s="605" t="s">
        <v>1164</v>
      </c>
    </row>
    <row r="4" spans="1:11" s="57" customFormat="1">
      <c r="A4" s="60" t="s">
        <v>153</v>
      </c>
      <c r="B4" s="61" t="s">
        <v>154</v>
      </c>
    </row>
    <row r="5" spans="1:11" s="57" customFormat="1">
      <c r="A5" s="60" t="s">
        <v>17</v>
      </c>
      <c r="B5" s="61"/>
    </row>
    <row r="6" spans="1:11" s="57" customFormat="1">
      <c r="A6" s="60" t="s">
        <v>19</v>
      </c>
      <c r="B6" s="61" t="s">
        <v>164</v>
      </c>
    </row>
    <row r="7" spans="1:11" s="57" customFormat="1" ht="15" thickBot="1">
      <c r="A7" s="62" t="s">
        <v>156</v>
      </c>
      <c r="B7" s="63" t="s">
        <v>157</v>
      </c>
    </row>
    <row r="8" spans="1:11" ht="18">
      <c r="C8" s="66" t="s">
        <v>165</v>
      </c>
      <c r="D8" s="67"/>
      <c r="E8" s="67"/>
      <c r="F8" s="67"/>
      <c r="H8" s="135" t="s">
        <v>165</v>
      </c>
    </row>
    <row r="9" spans="1:11">
      <c r="C9" s="68" t="s">
        <v>166</v>
      </c>
      <c r="D9" s="67"/>
      <c r="E9" s="67"/>
      <c r="F9" s="67"/>
      <c r="H9" s="136" t="s">
        <v>166</v>
      </c>
    </row>
    <row r="10" spans="1:11" ht="86.4">
      <c r="C10" s="69" t="s">
        <v>167</v>
      </c>
      <c r="D10" s="69" t="s">
        <v>168</v>
      </c>
      <c r="E10" s="69" t="s">
        <v>169</v>
      </c>
      <c r="F10" s="69" t="s">
        <v>170</v>
      </c>
      <c r="H10" s="137" t="s">
        <v>167</v>
      </c>
      <c r="I10" s="138" t="s">
        <v>168</v>
      </c>
      <c r="J10" s="138" t="s">
        <v>169</v>
      </c>
      <c r="K10" s="138" t="s">
        <v>170</v>
      </c>
    </row>
    <row r="11" spans="1:11">
      <c r="C11" s="70" t="s">
        <v>171</v>
      </c>
      <c r="D11" s="141">
        <v>46.9</v>
      </c>
      <c r="E11" s="141">
        <v>2.2999999999999998</v>
      </c>
      <c r="F11" s="141">
        <v>50.9</v>
      </c>
      <c r="H11" s="139" t="s">
        <v>171</v>
      </c>
      <c r="I11" s="142">
        <v>45</v>
      </c>
      <c r="J11" s="142">
        <v>3</v>
      </c>
      <c r="K11" s="142">
        <v>52</v>
      </c>
    </row>
    <row r="12" spans="1:11">
      <c r="C12" s="70" t="s">
        <v>172</v>
      </c>
      <c r="D12" s="141">
        <v>71.599999999999994</v>
      </c>
      <c r="E12" s="141">
        <v>1.9</v>
      </c>
      <c r="F12" s="141">
        <v>26.5</v>
      </c>
      <c r="H12" s="139" t="s">
        <v>172</v>
      </c>
      <c r="I12" s="142">
        <v>54</v>
      </c>
      <c r="J12" s="142">
        <v>3</v>
      </c>
      <c r="K12" s="142">
        <v>43</v>
      </c>
    </row>
    <row r="13" spans="1:11">
      <c r="C13" s="70" t="s">
        <v>173</v>
      </c>
      <c r="D13" s="141">
        <v>55.5</v>
      </c>
      <c r="E13" s="141">
        <v>2.8</v>
      </c>
      <c r="F13" s="141">
        <v>41.7</v>
      </c>
      <c r="H13" s="139" t="s">
        <v>174</v>
      </c>
      <c r="I13" s="142">
        <v>40</v>
      </c>
      <c r="J13" s="142">
        <v>3</v>
      </c>
      <c r="K13" s="142">
        <v>56</v>
      </c>
    </row>
    <row r="14" spans="1:11">
      <c r="C14" s="70" t="s">
        <v>174</v>
      </c>
      <c r="D14" s="141">
        <v>44.9</v>
      </c>
      <c r="E14" s="141">
        <v>4.4000000000000004</v>
      </c>
      <c r="F14" s="141">
        <v>50.7</v>
      </c>
      <c r="H14" s="139" t="s">
        <v>84</v>
      </c>
      <c r="I14" s="464">
        <v>86</v>
      </c>
      <c r="J14" s="464">
        <v>4</v>
      </c>
      <c r="K14" s="464">
        <v>10</v>
      </c>
    </row>
    <row r="15" spans="1:11">
      <c r="C15" s="70" t="s">
        <v>84</v>
      </c>
      <c r="D15" s="71">
        <v>81.2</v>
      </c>
      <c r="E15" s="71">
        <v>3.4</v>
      </c>
      <c r="F15" s="71">
        <v>15.3</v>
      </c>
      <c r="H15" s="139" t="s">
        <v>85</v>
      </c>
      <c r="I15" s="464">
        <v>99</v>
      </c>
      <c r="J15" s="464" t="s">
        <v>937</v>
      </c>
      <c r="K15" s="464" t="s">
        <v>937</v>
      </c>
    </row>
    <row r="16" spans="1:11">
      <c r="C16" s="70" t="s">
        <v>85</v>
      </c>
      <c r="D16" s="71">
        <v>99.2</v>
      </c>
      <c r="E16" s="71">
        <v>0.2</v>
      </c>
      <c r="F16" s="71">
        <v>0.6</v>
      </c>
      <c r="H16" s="139" t="s">
        <v>175</v>
      </c>
      <c r="I16" s="140">
        <v>39</v>
      </c>
      <c r="J16" s="140">
        <v>7</v>
      </c>
      <c r="K16" s="140">
        <v>53</v>
      </c>
    </row>
    <row r="17" spans="3:11">
      <c r="C17" s="70" t="s">
        <v>175</v>
      </c>
      <c r="D17" s="71">
        <v>44</v>
      </c>
      <c r="E17" s="71">
        <v>4.8</v>
      </c>
      <c r="F17" s="71">
        <v>51.1</v>
      </c>
      <c r="H17" s="139" t="s">
        <v>176</v>
      </c>
      <c r="I17" s="140">
        <v>99</v>
      </c>
      <c r="J17" s="140">
        <v>0</v>
      </c>
      <c r="K17" s="140">
        <v>1</v>
      </c>
    </row>
    <row r="18" spans="3:11">
      <c r="C18" s="70" t="s">
        <v>176</v>
      </c>
      <c r="D18" s="71">
        <v>99.1</v>
      </c>
      <c r="E18" s="71">
        <v>0</v>
      </c>
      <c r="F18" s="71">
        <v>0.9</v>
      </c>
      <c r="H18" s="139" t="s">
        <v>177</v>
      </c>
      <c r="I18" s="142">
        <v>99</v>
      </c>
      <c r="J18" s="142">
        <v>0</v>
      </c>
      <c r="K18" s="142">
        <v>1</v>
      </c>
    </row>
    <row r="19" spans="3:11">
      <c r="C19" s="70" t="s">
        <v>177</v>
      </c>
      <c r="D19" s="141">
        <v>99.9</v>
      </c>
      <c r="E19" s="141">
        <v>0</v>
      </c>
      <c r="F19" s="141">
        <v>0.1</v>
      </c>
      <c r="H19" s="139" t="s">
        <v>178</v>
      </c>
      <c r="I19" s="140">
        <v>91</v>
      </c>
      <c r="J19" s="140">
        <v>5</v>
      </c>
      <c r="K19" s="140">
        <v>4</v>
      </c>
    </row>
    <row r="20" spans="3:11">
      <c r="C20" s="70" t="s">
        <v>178</v>
      </c>
      <c r="D20" s="71">
        <v>93.7</v>
      </c>
      <c r="E20" s="71">
        <v>2.7</v>
      </c>
      <c r="F20" s="71">
        <v>3.6</v>
      </c>
      <c r="H20" s="139" t="s">
        <v>87</v>
      </c>
      <c r="I20" s="140">
        <v>28</v>
      </c>
      <c r="J20" s="140">
        <v>3</v>
      </c>
      <c r="K20" s="140">
        <v>69</v>
      </c>
    </row>
    <row r="21" spans="3:11">
      <c r="C21" s="70" t="s">
        <v>87</v>
      </c>
      <c r="D21" s="71">
        <v>34.1</v>
      </c>
      <c r="E21" s="71">
        <v>3.2</v>
      </c>
      <c r="F21" s="71">
        <v>62.7</v>
      </c>
      <c r="H21" s="139" t="s">
        <v>86</v>
      </c>
      <c r="I21" s="140">
        <v>49</v>
      </c>
      <c r="J21" s="140">
        <v>3</v>
      </c>
      <c r="K21" s="140">
        <v>49</v>
      </c>
    </row>
    <row r="22" spans="3:11">
      <c r="C22" s="70" t="s">
        <v>86</v>
      </c>
      <c r="D22" s="71">
        <v>40.1</v>
      </c>
      <c r="E22" s="71">
        <v>2</v>
      </c>
      <c r="F22" s="71">
        <v>57.9</v>
      </c>
      <c r="H22" s="139" t="s">
        <v>179</v>
      </c>
      <c r="I22" s="140">
        <v>91</v>
      </c>
      <c r="J22" s="140">
        <v>1</v>
      </c>
      <c r="K22" s="140">
        <v>8</v>
      </c>
    </row>
    <row r="23" spans="3:11">
      <c r="C23" s="70" t="s">
        <v>179</v>
      </c>
      <c r="D23" s="71">
        <v>94.6</v>
      </c>
      <c r="E23" s="71">
        <v>0.3</v>
      </c>
      <c r="F23" s="71">
        <v>5.0999999999999996</v>
      </c>
      <c r="H23" s="139" t="s">
        <v>938</v>
      </c>
      <c r="I23" s="142">
        <v>54</v>
      </c>
      <c r="J23" s="142">
        <v>4</v>
      </c>
      <c r="K23" s="142">
        <v>42</v>
      </c>
    </row>
    <row r="24" spans="3:11">
      <c r="C24" s="68" t="s">
        <v>180</v>
      </c>
      <c r="D24" s="67"/>
      <c r="E24" s="67"/>
      <c r="F24" s="67"/>
      <c r="H24" s="139" t="s">
        <v>301</v>
      </c>
      <c r="I24" s="142">
        <v>51</v>
      </c>
      <c r="J24" s="142">
        <v>3</v>
      </c>
      <c r="K24" s="142">
        <v>46</v>
      </c>
    </row>
    <row r="25" spans="3:11">
      <c r="H25" s="139" t="s">
        <v>939</v>
      </c>
      <c r="I25" s="142">
        <v>52</v>
      </c>
      <c r="J25" s="142">
        <v>2</v>
      </c>
      <c r="K25" s="142">
        <v>46</v>
      </c>
    </row>
    <row r="26" spans="3:11">
      <c r="H26" s="139" t="s">
        <v>302</v>
      </c>
      <c r="I26" s="142">
        <v>38</v>
      </c>
      <c r="J26" s="142">
        <v>4</v>
      </c>
      <c r="K26" s="142">
        <v>58</v>
      </c>
    </row>
    <row r="27" spans="3:11">
      <c r="H27" s="139" t="s">
        <v>308</v>
      </c>
      <c r="I27" s="464">
        <v>98</v>
      </c>
      <c r="J27" s="464" t="s">
        <v>937</v>
      </c>
      <c r="K27" s="464" t="s">
        <v>937</v>
      </c>
    </row>
    <row r="28" spans="3:11">
      <c r="H28" s="139" t="s">
        <v>940</v>
      </c>
      <c r="I28" s="140">
        <v>16</v>
      </c>
      <c r="J28" s="140">
        <v>24</v>
      </c>
      <c r="K28" s="140">
        <v>60</v>
      </c>
    </row>
    <row r="29" spans="3:11">
      <c r="H29" s="136" t="s">
        <v>941</v>
      </c>
    </row>
  </sheetData>
  <mergeCells count="1">
    <mergeCell ref="A1:B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C1FA-B8D9-4D84-871A-F46C78DA5C8C}">
  <sheetPr>
    <tabColor rgb="FF92D050"/>
  </sheetPr>
  <dimension ref="A1:S28"/>
  <sheetViews>
    <sheetView workbookViewId="0">
      <pane xSplit="2" ySplit="1" topLeftCell="C2" activePane="bottomRight" state="frozen"/>
      <selection activeCell="F19" sqref="F19"/>
      <selection pane="topRight" activeCell="F19" sqref="F19"/>
      <selection pane="bottomLeft" activeCell="F19" sqref="F19"/>
      <selection pane="bottomRight"/>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8" width="12.109375" style="26" customWidth="1"/>
    <col min="9" max="9" width="29.33203125" style="26" customWidth="1"/>
    <col min="10" max="10" width="12.21875" style="26" bestFit="1" customWidth="1"/>
    <col min="11" max="11" width="12.109375" style="26" customWidth="1"/>
    <col min="12" max="17" width="14.44140625" style="26" customWidth="1"/>
    <col min="18" max="18" width="12.33203125" customWidth="1"/>
    <col min="19" max="19" width="17.44140625" customWidth="1"/>
  </cols>
  <sheetData>
    <row r="1" spans="1:19" ht="51"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Produits!$B$4</f>
        <v>Grains collectés</v>
      </c>
      <c r="B2" t="str">
        <f>Secteurs!$B$8</f>
        <v>Meunerie</v>
      </c>
      <c r="C2" s="569">
        <f>'Prétraitement prod farine'!D2</f>
        <v>5284.6948739999998</v>
      </c>
      <c r="E2" t="str">
        <f>Etiquettes!$C$3</f>
        <v>kt</v>
      </c>
      <c r="F2" s="26" t="str">
        <f>Etiquettes!$H$6</f>
        <v>Blé tendre</v>
      </c>
      <c r="G2" s="26" t="str">
        <f>Etiquettes!$H$5</f>
        <v>2015-16</v>
      </c>
      <c r="H2" t="str">
        <f>Etiquettes!$C$4</f>
        <v>France entière</v>
      </c>
      <c r="I2" t="s">
        <v>1579</v>
      </c>
      <c r="J2"/>
      <c r="K2" t="s">
        <v>1580</v>
      </c>
      <c r="L2" s="26" t="str" cm="1">
        <f t="array" aca="1" ref="L2" ca="1">[1]!NOM_FEUILLE('Fabrication de farine - FAM'!$A$1:$G$1)</f>
        <v>Fabrication de farine - FAM</v>
      </c>
      <c r="M2" s="26" t="str">
        <f>Etiquettes!$H$11</f>
        <v>Volume</v>
      </c>
      <c r="N2" t="str">
        <f>_xlfn.CONCAT(I2,IF(ISBLANK(C2),"",_xlfn.CONCAT(" = ",MROUND(C2,1)," ",E2))," (",K2,")")</f>
        <v>Consommation de grains par la Meunerie = 5285 kt (Etats 8 - FranceAgriMer)</v>
      </c>
      <c r="O2" s="26" t="str">
        <f>Etiquettes!$I$15</f>
        <v>Robuste</v>
      </c>
      <c r="P2" s="603" t="str">
        <f>Etiquettes!$H$16</f>
        <v>Données collectées</v>
      </c>
      <c r="Q2" s="603" t="str">
        <f>Etiquettes!$H$17</f>
        <v>Donnée collectée (valeur du flux ou coefficient)</v>
      </c>
      <c r="R2" s="589"/>
      <c r="S2" s="463"/>
    </row>
    <row r="3" spans="1:19">
      <c r="A3" t="str">
        <f>Produits!$B$4</f>
        <v>Grains collectés</v>
      </c>
      <c r="B3" t="str">
        <f>Secteurs!$B$8</f>
        <v>Meunerie</v>
      </c>
      <c r="C3" s="569">
        <f>'Prétraitement prod farine'!D3</f>
        <v>14.736798000000002</v>
      </c>
      <c r="E3" t="str">
        <f>Etiquettes!$C$3</f>
        <v>kt</v>
      </c>
      <c r="F3" s="26" t="str">
        <f>Etiquettes!$O$6</f>
        <v>Seigle</v>
      </c>
      <c r="G3" s="26" t="str">
        <f>Etiquettes!$H$5</f>
        <v>2015-16</v>
      </c>
      <c r="H3" t="str">
        <f>Etiquettes!$C$4</f>
        <v>France entière</v>
      </c>
      <c r="I3" t="s">
        <v>1579</v>
      </c>
      <c r="J3"/>
      <c r="K3" t="s">
        <v>1580</v>
      </c>
      <c r="L3" s="26" t="str" cm="1">
        <f t="array" aca="1" ref="L3" ca="1">[1]!NOM_FEUILLE('Fabrication de farine - FAM'!$A$1:$G$1)</f>
        <v>Fabrication de farine - FAM</v>
      </c>
      <c r="M3" s="26" t="str">
        <f>Etiquettes!$H$11</f>
        <v>Volume</v>
      </c>
      <c r="N3" t="str">
        <f t="shared" ref="N3:N24" si="0">_xlfn.CONCAT(I3,IF(ISBLANK(C3),"",_xlfn.CONCAT(" = ",MROUND(C3,1)," ",E3))," (",K3,")")</f>
        <v>Consommation de grains par la Meunerie = 15 kt (Etats 8 - FranceAgriMer)</v>
      </c>
      <c r="O3" s="26" t="str">
        <f>Etiquettes!$I$15</f>
        <v>Robuste</v>
      </c>
      <c r="P3" s="603" t="str">
        <f>Etiquettes!$H$16</f>
        <v>Données collectées</v>
      </c>
      <c r="Q3" s="603" t="str">
        <f>Etiquettes!$H$17</f>
        <v>Donnée collectée (valeur du flux ou coefficient)</v>
      </c>
      <c r="R3" s="589"/>
      <c r="S3" s="144"/>
    </row>
    <row r="4" spans="1:19">
      <c r="A4" t="str">
        <f>Produits!$B$4</f>
        <v>Grains collectés</v>
      </c>
      <c r="B4" t="str">
        <f>Secteurs!$B$8</f>
        <v>Meunerie</v>
      </c>
      <c r="C4" s="569">
        <f>'Prétraitement prod farine'!D4</f>
        <v>12.560773000000001</v>
      </c>
      <c r="E4" t="str">
        <f>Etiquettes!$C$3</f>
        <v>kt</v>
      </c>
      <c r="F4" s="26" t="str">
        <f>Etiquettes!$P$6</f>
        <v>Sarrasin</v>
      </c>
      <c r="G4" s="26" t="str">
        <f>Etiquettes!$H$5</f>
        <v>2015-16</v>
      </c>
      <c r="H4" t="str">
        <f>Etiquettes!$C$4</f>
        <v>France entière</v>
      </c>
      <c r="I4" t="s">
        <v>1579</v>
      </c>
      <c r="J4"/>
      <c r="K4" t="s">
        <v>1580</v>
      </c>
      <c r="L4" s="26" t="str" cm="1">
        <f t="array" aca="1" ref="L4" ca="1">[1]!NOM_FEUILLE('Fabrication de farine - FAM'!$A$1:$G$1)</f>
        <v>Fabrication de farine - FAM</v>
      </c>
      <c r="M4" s="26" t="str">
        <f>Etiquettes!$H$11</f>
        <v>Volume</v>
      </c>
      <c r="N4" t="str">
        <f t="shared" si="0"/>
        <v>Consommation de grains par la Meunerie = 13 kt (Etats 8 - FranceAgriMer)</v>
      </c>
      <c r="O4" s="26" t="str">
        <f>Etiquettes!$I$15</f>
        <v>Robuste</v>
      </c>
      <c r="P4" s="603" t="str">
        <f>Etiquettes!$H$16</f>
        <v>Données collectées</v>
      </c>
      <c r="Q4" s="603" t="str">
        <f>Etiquettes!$H$17</f>
        <v>Donnée collectée (valeur du flux ou coefficient)</v>
      </c>
      <c r="R4" s="589"/>
      <c r="S4" s="144"/>
    </row>
    <row r="5" spans="1:19">
      <c r="A5" t="str">
        <f>Produits!$B$4</f>
        <v>Grains collectés</v>
      </c>
      <c r="B5" t="str">
        <f>Secteurs!$B$8</f>
        <v>Meunerie</v>
      </c>
      <c r="C5" s="569">
        <v>0</v>
      </c>
      <c r="E5" t="str">
        <f>Etiquettes!$C$3</f>
        <v>kt</v>
      </c>
      <c r="F5" s="26" t="str">
        <f>Etiquettes!$R$6</f>
        <v>Epeautre</v>
      </c>
      <c r="G5" s="26" t="str">
        <f>Etiquettes!$H$5</f>
        <v>2015-16</v>
      </c>
      <c r="H5" t="str">
        <f>Etiquettes!$C$4</f>
        <v>France entière</v>
      </c>
      <c r="I5" t="s">
        <v>1579</v>
      </c>
      <c r="J5"/>
      <c r="K5" t="s">
        <v>1580</v>
      </c>
      <c r="L5" s="26" t="str" cm="1">
        <f t="array" aca="1" ref="L5" ca="1">[1]!NOM_FEUILLE('Fabrication de farine - FAM'!$A$1:$G$1)</f>
        <v>Fabrication de farine - FAM</v>
      </c>
      <c r="M5" s="26" t="str">
        <f>Etiquettes!$H$11</f>
        <v>Volume</v>
      </c>
      <c r="N5" t="str">
        <f t="shared" ref="N5" si="1">_xlfn.CONCAT(I5,IF(ISBLANK(C5),"",_xlfn.CONCAT(" = ",MROUND(C5,1)," ",E5))," (",K5,")")</f>
        <v>Consommation de grains par la Meunerie = 0 kt (Etats 8 - FranceAgriMer)</v>
      </c>
      <c r="O5" s="26" t="str">
        <f>Etiquettes!$I$15</f>
        <v>Robuste</v>
      </c>
      <c r="P5" s="603" t="str">
        <f>Etiquettes!$H$16</f>
        <v>Données collectées</v>
      </c>
      <c r="Q5" s="603" t="str">
        <f>Etiquettes!$H$17</f>
        <v>Donnée collectée (valeur du flux ou coefficient)</v>
      </c>
      <c r="R5" t="s">
        <v>1708</v>
      </c>
      <c r="S5" s="144"/>
    </row>
    <row r="6" spans="1:19">
      <c r="A6" t="str">
        <f>Secteurs!$B$8</f>
        <v>Meunerie</v>
      </c>
      <c r="B6" t="str">
        <f>Produits!$B$6</f>
        <v>Farine</v>
      </c>
      <c r="C6" s="569">
        <f>'Prétraitement prod farine'!D6</f>
        <v>4539.2987670000002</v>
      </c>
      <c r="E6" t="str">
        <f>Etiquettes!$C$3</f>
        <v>kt</v>
      </c>
      <c r="F6" s="26" t="str">
        <f>Etiquettes!$H$6</f>
        <v>Blé tendre</v>
      </c>
      <c r="G6" s="26" t="str">
        <f>Etiquettes!$H$5</f>
        <v>2015-16</v>
      </c>
      <c r="H6" t="str">
        <f>Etiquettes!$C$4</f>
        <v>France entière</v>
      </c>
      <c r="I6" t="s">
        <v>1550</v>
      </c>
      <c r="J6"/>
      <c r="K6" t="s">
        <v>1580</v>
      </c>
      <c r="L6" s="26" t="str" cm="1">
        <f t="array" aca="1" ref="L6" ca="1">[1]!NOM_FEUILLE('Fabrication de farine - FAM'!$A$1:$G$1)</f>
        <v>Fabrication de farine - FAM</v>
      </c>
      <c r="M6" s="26" t="str">
        <f>Etiquettes!$H$11</f>
        <v>Volume</v>
      </c>
      <c r="N6" t="str">
        <f t="shared" si="0"/>
        <v>Production de farine = 4539 kt (Etats 8 - FranceAgriMer)</v>
      </c>
      <c r="O6" s="26" t="str">
        <f>Etiquettes!$I$15</f>
        <v>Robuste</v>
      </c>
      <c r="P6" s="603" t="str">
        <f>Etiquettes!$H$16</f>
        <v>Données collectées</v>
      </c>
      <c r="Q6" s="603" t="str">
        <f>Etiquettes!$H$17</f>
        <v>Donnée collectée (valeur du flux ou coefficient)</v>
      </c>
      <c r="R6" s="589"/>
      <c r="S6" s="144"/>
    </row>
    <row r="7" spans="1:19">
      <c r="A7" t="str">
        <f>Secteurs!$B$8</f>
        <v>Meunerie</v>
      </c>
      <c r="B7" t="str">
        <f>Produits!$B$6</f>
        <v>Farine</v>
      </c>
      <c r="C7" s="569">
        <f>'Prétraitement prod farine'!D7</f>
        <v>12.030775999999999</v>
      </c>
      <c r="E7" t="str">
        <f>Etiquettes!$C$3</f>
        <v>kt</v>
      </c>
      <c r="F7" s="26" t="str">
        <f>Etiquettes!$O$6</f>
        <v>Seigle</v>
      </c>
      <c r="G7" s="26" t="str">
        <f>Etiquettes!$H$5</f>
        <v>2015-16</v>
      </c>
      <c r="H7" t="str">
        <f>Etiquettes!$C$4</f>
        <v>France entière</v>
      </c>
      <c r="I7" t="s">
        <v>1550</v>
      </c>
      <c r="J7"/>
      <c r="K7" t="s">
        <v>1580</v>
      </c>
      <c r="L7" s="26" t="str" cm="1">
        <f t="array" aca="1" ref="L7" ca="1">[1]!NOM_FEUILLE('Fabrication de farine - FAM'!$A$1:$G$1)</f>
        <v>Fabrication de farine - FAM</v>
      </c>
      <c r="M7" s="26" t="str">
        <f>Etiquettes!$H$11</f>
        <v>Volume</v>
      </c>
      <c r="N7" t="str">
        <f t="shared" si="0"/>
        <v>Production de farine = 12 kt (Etats 8 - FranceAgriMer)</v>
      </c>
      <c r="O7" s="26" t="str">
        <f>Etiquettes!$I$15</f>
        <v>Robuste</v>
      </c>
      <c r="P7" s="603" t="str">
        <f>Etiquettes!$H$16</f>
        <v>Données collectées</v>
      </c>
      <c r="Q7" s="603" t="str">
        <f>Etiquettes!$H$17</f>
        <v>Donnée collectée (valeur du flux ou coefficient)</v>
      </c>
      <c r="R7" s="589"/>
      <c r="S7" s="144"/>
    </row>
    <row r="8" spans="1:19">
      <c r="A8" t="str">
        <f>Secteurs!$B$8</f>
        <v>Meunerie</v>
      </c>
      <c r="B8" t="str">
        <f>Produits!$B$6</f>
        <v>Farine</v>
      </c>
      <c r="C8" s="569">
        <f>'Prétraitement prod farine'!D8</f>
        <v>9.0798359999999985</v>
      </c>
      <c r="E8" t="str">
        <f>Etiquettes!$C$3</f>
        <v>kt</v>
      </c>
      <c r="F8" s="26" t="str">
        <f>Etiquettes!$P$6</f>
        <v>Sarrasin</v>
      </c>
      <c r="G8" s="26" t="str">
        <f>Etiquettes!$H$5</f>
        <v>2015-16</v>
      </c>
      <c r="H8" t="str">
        <f>Etiquettes!$C$4</f>
        <v>France entière</v>
      </c>
      <c r="I8" t="s">
        <v>1550</v>
      </c>
      <c r="J8"/>
      <c r="K8" t="s">
        <v>1580</v>
      </c>
      <c r="L8" s="26" t="str" cm="1">
        <f t="array" aca="1" ref="L8" ca="1">[1]!NOM_FEUILLE('Fabrication de farine - FAM'!$A$1:$G$1)</f>
        <v>Fabrication de farine - FAM</v>
      </c>
      <c r="M8" s="26" t="str">
        <f>Etiquettes!$H$11</f>
        <v>Volume</v>
      </c>
      <c r="N8" t="str">
        <f t="shared" si="0"/>
        <v>Production de farine = 9 kt (Etats 8 - FranceAgriMer)</v>
      </c>
      <c r="O8" s="26" t="str">
        <f>Etiquettes!$I$15</f>
        <v>Robuste</v>
      </c>
      <c r="P8" s="603" t="str">
        <f>Etiquettes!$H$16</f>
        <v>Données collectées</v>
      </c>
      <c r="Q8" s="603" t="str">
        <f>Etiquettes!$H$17</f>
        <v>Donnée collectée (valeur du flux ou coefficient)</v>
      </c>
      <c r="R8" s="589"/>
      <c r="S8" s="144"/>
    </row>
    <row r="9" spans="1:19">
      <c r="A9" t="str">
        <f>Secteurs!$B$8</f>
        <v>Meunerie</v>
      </c>
      <c r="B9" t="str">
        <f>Produits!$B$6</f>
        <v>Farine</v>
      </c>
      <c r="C9" s="569">
        <v>0</v>
      </c>
      <c r="E9" t="str">
        <f>Etiquettes!$C$3</f>
        <v>kt</v>
      </c>
      <c r="F9" s="26" t="str">
        <f>Etiquettes!$R$6</f>
        <v>Epeautre</v>
      </c>
      <c r="G9" s="26" t="str">
        <f>Etiquettes!$H$5</f>
        <v>2015-16</v>
      </c>
      <c r="H9" t="str">
        <f>Etiquettes!$C$4</f>
        <v>France entière</v>
      </c>
      <c r="I9" t="s">
        <v>1550</v>
      </c>
      <c r="J9"/>
      <c r="K9" t="s">
        <v>1580</v>
      </c>
      <c r="L9" s="26" t="str" cm="1">
        <f t="array" aca="1" ref="L9" ca="1">[1]!NOM_FEUILLE('Fabrication de farine - FAM'!$A$1:$G$1)</f>
        <v>Fabrication de farine - FAM</v>
      </c>
      <c r="M9" s="26" t="str">
        <f>Etiquettes!$H$11</f>
        <v>Volume</v>
      </c>
      <c r="N9" t="str">
        <f t="shared" ref="N9" si="2">_xlfn.CONCAT(I9,IF(ISBLANK(C9),"",_xlfn.CONCAT(" = ",MROUND(C9,1)," ",E9))," (",K9,")")</f>
        <v>Production de farine = 0 kt (Etats 8 - FranceAgriMer)</v>
      </c>
      <c r="O9" s="26" t="str">
        <f>Etiquettes!$I$15</f>
        <v>Robuste</v>
      </c>
      <c r="P9" s="603" t="str">
        <f>Etiquettes!$H$16</f>
        <v>Données collectées</v>
      </c>
      <c r="Q9" s="603" t="str">
        <f>Etiquettes!$H$17</f>
        <v>Donnée collectée (valeur du flux ou coefficient)</v>
      </c>
      <c r="R9" t="s">
        <v>1708</v>
      </c>
      <c r="S9" s="144"/>
    </row>
    <row r="10" spans="1:19">
      <c r="A10" t="str">
        <f>Produits!$B$4</f>
        <v>Grains collectés</v>
      </c>
      <c r="B10" t="str">
        <f>Secteurs!$B$8</f>
        <v>Meunerie</v>
      </c>
      <c r="C10" s="569">
        <f>'Prétraitement prod farine'!E2</f>
        <v>4938.7796500000004</v>
      </c>
      <c r="E10" t="str">
        <f>Etiquettes!$C$3</f>
        <v>kt</v>
      </c>
      <c r="F10" s="26" t="str">
        <f>Etiquettes!$H$6</f>
        <v>Blé tendre</v>
      </c>
      <c r="G10" s="26" t="str">
        <f>Etiquettes!$I$5</f>
        <v>2019-20</v>
      </c>
      <c r="H10" t="str">
        <f>Etiquettes!$C$4</f>
        <v>France entière</v>
      </c>
      <c r="I10" t="s">
        <v>1579</v>
      </c>
      <c r="J10"/>
      <c r="K10" t="s">
        <v>1580</v>
      </c>
      <c r="L10" s="26" t="str" cm="1">
        <f t="array" aca="1" ref="L10" ca="1">[1]!NOM_FEUILLE('Fabrication de farine - FAM'!$A$1:$G$1)</f>
        <v>Fabrication de farine - FAM</v>
      </c>
      <c r="M10" s="26" t="str">
        <f>Etiquettes!$H$11</f>
        <v>Volume</v>
      </c>
      <c r="N10" t="str">
        <f t="shared" si="0"/>
        <v>Consommation de grains par la Meunerie = 4939 kt (Etats 8 - FranceAgriMer)</v>
      </c>
      <c r="O10" s="26" t="str">
        <f>Etiquettes!$I$15</f>
        <v>Robuste</v>
      </c>
      <c r="P10" s="603" t="str">
        <f>Etiquettes!$H$16</f>
        <v>Données collectées</v>
      </c>
      <c r="Q10" s="603" t="str">
        <f>Etiquettes!$H$17</f>
        <v>Donnée collectée (valeur du flux ou coefficient)</v>
      </c>
      <c r="R10" s="589"/>
      <c r="S10" s="144"/>
    </row>
    <row r="11" spans="1:19">
      <c r="A11" t="str">
        <f>Produits!$B$4</f>
        <v>Grains collectés</v>
      </c>
      <c r="B11" t="str">
        <f>Secteurs!$B$8</f>
        <v>Meunerie</v>
      </c>
      <c r="C11" s="569">
        <f>'Prétraitement prod farine'!E3</f>
        <v>16.45411</v>
      </c>
      <c r="E11" t="str">
        <f>Etiquettes!$C$3</f>
        <v>kt</v>
      </c>
      <c r="F11" s="26" t="str">
        <f>Etiquettes!$O$6</f>
        <v>Seigle</v>
      </c>
      <c r="G11" s="26" t="str">
        <f>Etiquettes!$I$5</f>
        <v>2019-20</v>
      </c>
      <c r="H11" t="str">
        <f>Etiquettes!$C$4</f>
        <v>France entière</v>
      </c>
      <c r="I11" t="s">
        <v>1579</v>
      </c>
      <c r="J11"/>
      <c r="K11" t="s">
        <v>1580</v>
      </c>
      <c r="L11" s="26" t="str" cm="1">
        <f t="array" aca="1" ref="L11" ca="1">[1]!NOM_FEUILLE('Fabrication de farine - FAM'!$A$1:$G$1)</f>
        <v>Fabrication de farine - FAM</v>
      </c>
      <c r="M11" s="26" t="str">
        <f>Etiquettes!$H$11</f>
        <v>Volume</v>
      </c>
      <c r="N11" t="str">
        <f t="shared" si="0"/>
        <v>Consommation de grains par la Meunerie = 16 kt (Etats 8 - FranceAgriMer)</v>
      </c>
      <c r="O11" s="26" t="str">
        <f>Etiquettes!$I$15</f>
        <v>Robuste</v>
      </c>
      <c r="P11" s="603" t="str">
        <f>Etiquettes!$H$16</f>
        <v>Données collectées</v>
      </c>
      <c r="Q11" s="603" t="str">
        <f>Etiquettes!$H$17</f>
        <v>Donnée collectée (valeur du flux ou coefficient)</v>
      </c>
      <c r="R11" s="589"/>
      <c r="S11" s="144"/>
    </row>
    <row r="12" spans="1:19">
      <c r="A12" t="str">
        <f>Produits!$B$4</f>
        <v>Grains collectés</v>
      </c>
      <c r="B12" t="str">
        <f>Secteurs!$B$8</f>
        <v>Meunerie</v>
      </c>
      <c r="C12" s="569">
        <f>'Prétraitement prod farine'!E4</f>
        <v>13.417602999999998</v>
      </c>
      <c r="E12" t="str">
        <f>Etiquettes!$C$3</f>
        <v>kt</v>
      </c>
      <c r="F12" s="26" t="str">
        <f>Etiquettes!$P$6</f>
        <v>Sarrasin</v>
      </c>
      <c r="G12" s="26" t="str">
        <f>Etiquettes!$I$5</f>
        <v>2019-20</v>
      </c>
      <c r="H12" t="str">
        <f>Etiquettes!$C$4</f>
        <v>France entière</v>
      </c>
      <c r="I12" t="s">
        <v>1579</v>
      </c>
      <c r="J12"/>
      <c r="K12" t="s">
        <v>1580</v>
      </c>
      <c r="L12" s="26" t="str" cm="1">
        <f t="array" aca="1" ref="L12" ca="1">[1]!NOM_FEUILLE('Fabrication de farine - FAM'!$A$1:$G$1)</f>
        <v>Fabrication de farine - FAM</v>
      </c>
      <c r="M12" s="26" t="str">
        <f>Etiquettes!$H$11</f>
        <v>Volume</v>
      </c>
      <c r="N12" t="str">
        <f t="shared" si="0"/>
        <v>Consommation de grains par la Meunerie = 13 kt (Etats 8 - FranceAgriMer)</v>
      </c>
      <c r="O12" s="26" t="str">
        <f>Etiquettes!$I$15</f>
        <v>Robuste</v>
      </c>
      <c r="P12" s="603" t="str">
        <f>Etiquettes!$H$16</f>
        <v>Données collectées</v>
      </c>
      <c r="Q12" s="603" t="str">
        <f>Etiquettes!$H$17</f>
        <v>Donnée collectée (valeur du flux ou coefficient)</v>
      </c>
      <c r="R12" s="589"/>
      <c r="S12" s="144"/>
    </row>
    <row r="13" spans="1:19">
      <c r="A13" t="str">
        <f>Produits!$B$4</f>
        <v>Grains collectés</v>
      </c>
      <c r="B13" t="str">
        <f>Secteurs!$B$8</f>
        <v>Meunerie</v>
      </c>
      <c r="C13" s="569">
        <v>0</v>
      </c>
      <c r="E13" t="str">
        <f>Etiquettes!$C$3</f>
        <v>kt</v>
      </c>
      <c r="F13" s="26" t="str">
        <f>Etiquettes!$R$6</f>
        <v>Epeautre</v>
      </c>
      <c r="G13" s="26" t="str">
        <f>Etiquettes!$I$5</f>
        <v>2019-20</v>
      </c>
      <c r="H13" t="str">
        <f>Etiquettes!$C$4</f>
        <v>France entière</v>
      </c>
      <c r="I13" t="s">
        <v>1579</v>
      </c>
      <c r="J13"/>
      <c r="K13" t="s">
        <v>1580</v>
      </c>
      <c r="L13" s="26" t="str" cm="1">
        <f t="array" aca="1" ref="L13" ca="1">[1]!NOM_FEUILLE('Fabrication de farine - FAM'!$A$1:$G$1)</f>
        <v>Fabrication de farine - FAM</v>
      </c>
      <c r="M13" s="26" t="str">
        <f>Etiquettes!$H$11</f>
        <v>Volume</v>
      </c>
      <c r="N13" t="str">
        <f t="shared" ref="N13" si="3">_xlfn.CONCAT(I13,IF(ISBLANK(C13),"",_xlfn.CONCAT(" = ",MROUND(C13,1)," ",E13))," (",K13,")")</f>
        <v>Consommation de grains par la Meunerie = 0 kt (Etats 8 - FranceAgriMer)</v>
      </c>
      <c r="O13" s="26" t="str">
        <f>Etiquettes!$I$15</f>
        <v>Robuste</v>
      </c>
      <c r="P13" s="603" t="str">
        <f>Etiquettes!$H$16</f>
        <v>Données collectées</v>
      </c>
      <c r="Q13" s="603" t="str">
        <f>Etiquettes!$H$17</f>
        <v>Donnée collectée (valeur du flux ou coefficient)</v>
      </c>
      <c r="R13" t="s">
        <v>1708</v>
      </c>
      <c r="S13" s="144"/>
    </row>
    <row r="14" spans="1:19">
      <c r="A14" t="str">
        <f>Secteurs!$B$8</f>
        <v>Meunerie</v>
      </c>
      <c r="B14" t="str">
        <f>Produits!$B$6</f>
        <v>Farine</v>
      </c>
      <c r="C14" s="569">
        <f>'Prétraitement prod farine'!E6</f>
        <v>4255.7676849999998</v>
      </c>
      <c r="E14" t="str">
        <f>Etiquettes!$C$3</f>
        <v>kt</v>
      </c>
      <c r="F14" s="26" t="str">
        <f>Etiquettes!$H$6</f>
        <v>Blé tendre</v>
      </c>
      <c r="G14" s="26" t="str">
        <f>Etiquettes!$I$5</f>
        <v>2019-20</v>
      </c>
      <c r="H14" t="str">
        <f>Etiquettes!$C$4</f>
        <v>France entière</v>
      </c>
      <c r="I14" t="s">
        <v>1550</v>
      </c>
      <c r="J14"/>
      <c r="K14" t="s">
        <v>1580</v>
      </c>
      <c r="L14" s="26" t="str" cm="1">
        <f t="array" aca="1" ref="L14" ca="1">[1]!NOM_FEUILLE('Fabrication de farine - FAM'!$A$1:$G$1)</f>
        <v>Fabrication de farine - FAM</v>
      </c>
      <c r="M14" s="26" t="str">
        <f>Etiquettes!$H$11</f>
        <v>Volume</v>
      </c>
      <c r="N14" t="str">
        <f t="shared" si="0"/>
        <v>Production de farine = 4256 kt (Etats 8 - FranceAgriMer)</v>
      </c>
      <c r="O14" s="26" t="str">
        <f>Etiquettes!$I$15</f>
        <v>Robuste</v>
      </c>
      <c r="P14" s="603" t="str">
        <f>Etiquettes!$H$16</f>
        <v>Données collectées</v>
      </c>
      <c r="Q14" s="603" t="str">
        <f>Etiquettes!$H$17</f>
        <v>Donnée collectée (valeur du flux ou coefficient)</v>
      </c>
      <c r="R14" s="589"/>
      <c r="S14" s="144"/>
    </row>
    <row r="15" spans="1:19">
      <c r="A15" t="str">
        <f>Secteurs!$B$8</f>
        <v>Meunerie</v>
      </c>
      <c r="B15" t="str">
        <f>Produits!$B$6</f>
        <v>Farine</v>
      </c>
      <c r="C15" s="569">
        <f>'Prétraitement prod farine'!E7</f>
        <v>14.050295999999998</v>
      </c>
      <c r="E15" t="str">
        <f>Etiquettes!$C$3</f>
        <v>kt</v>
      </c>
      <c r="F15" s="26" t="str">
        <f>Etiquettes!$O$6</f>
        <v>Seigle</v>
      </c>
      <c r="G15" s="26" t="str">
        <f>Etiquettes!$I$5</f>
        <v>2019-20</v>
      </c>
      <c r="H15" t="str">
        <f>Etiquettes!$C$4</f>
        <v>France entière</v>
      </c>
      <c r="I15" t="s">
        <v>1550</v>
      </c>
      <c r="J15"/>
      <c r="K15" t="s">
        <v>1580</v>
      </c>
      <c r="L15" s="26" t="str" cm="1">
        <f t="array" aca="1" ref="L15" ca="1">[1]!NOM_FEUILLE('Fabrication de farine - FAM'!$A$1:$G$1)</f>
        <v>Fabrication de farine - FAM</v>
      </c>
      <c r="M15" s="26" t="str">
        <f>Etiquettes!$H$11</f>
        <v>Volume</v>
      </c>
      <c r="N15" t="str">
        <f t="shared" si="0"/>
        <v>Production de farine = 14 kt (Etats 8 - FranceAgriMer)</v>
      </c>
      <c r="O15" s="26" t="str">
        <f>Etiquettes!$I$15</f>
        <v>Robuste</v>
      </c>
      <c r="P15" s="603" t="str">
        <f>Etiquettes!$H$16</f>
        <v>Données collectées</v>
      </c>
      <c r="Q15" s="603" t="str">
        <f>Etiquettes!$H$17</f>
        <v>Donnée collectée (valeur du flux ou coefficient)</v>
      </c>
      <c r="R15" s="589"/>
      <c r="S15" s="144"/>
    </row>
    <row r="16" spans="1:19">
      <c r="A16" t="str">
        <f>Secteurs!$B$8</f>
        <v>Meunerie</v>
      </c>
      <c r="B16" t="str">
        <f>Produits!$B$6</f>
        <v>Farine</v>
      </c>
      <c r="C16" s="569">
        <f>'Prétraitement prod farine'!E8</f>
        <v>9.8398640000000004</v>
      </c>
      <c r="E16" t="str">
        <f>Etiquettes!$C$3</f>
        <v>kt</v>
      </c>
      <c r="F16" s="26" t="str">
        <f>Etiquettes!$P$6</f>
        <v>Sarrasin</v>
      </c>
      <c r="G16" s="26" t="str">
        <f>Etiquettes!$I$5</f>
        <v>2019-20</v>
      </c>
      <c r="H16" t="str">
        <f>Etiquettes!$C$4</f>
        <v>France entière</v>
      </c>
      <c r="I16" t="s">
        <v>1550</v>
      </c>
      <c r="J16"/>
      <c r="K16" t="s">
        <v>1580</v>
      </c>
      <c r="L16" s="26" t="str" cm="1">
        <f t="array" aca="1" ref="L16" ca="1">[1]!NOM_FEUILLE('Fabrication de farine - FAM'!$A$1:$G$1)</f>
        <v>Fabrication de farine - FAM</v>
      </c>
      <c r="M16" s="26" t="str">
        <f>Etiquettes!$H$11</f>
        <v>Volume</v>
      </c>
      <c r="N16" t="str">
        <f t="shared" si="0"/>
        <v>Production de farine = 10 kt (Etats 8 - FranceAgriMer)</v>
      </c>
      <c r="O16" s="26" t="str">
        <f>Etiquettes!$I$15</f>
        <v>Robuste</v>
      </c>
      <c r="P16" s="603" t="str">
        <f>Etiquettes!$H$16</f>
        <v>Données collectées</v>
      </c>
      <c r="Q16" s="603" t="str">
        <f>Etiquettes!$H$17</f>
        <v>Donnée collectée (valeur du flux ou coefficient)</v>
      </c>
      <c r="R16" s="589"/>
      <c r="S16" s="144"/>
    </row>
    <row r="17" spans="1:19">
      <c r="A17" t="str">
        <f>Secteurs!$B$8</f>
        <v>Meunerie</v>
      </c>
      <c r="B17" t="str">
        <f>Produits!$B$6</f>
        <v>Farine</v>
      </c>
      <c r="C17" s="569">
        <v>0</v>
      </c>
      <c r="E17" t="str">
        <f>Etiquettes!$C$3</f>
        <v>kt</v>
      </c>
      <c r="F17" s="26" t="str">
        <f>Etiquettes!$R$6</f>
        <v>Epeautre</v>
      </c>
      <c r="G17" s="26" t="str">
        <f>Etiquettes!$I$5</f>
        <v>2019-20</v>
      </c>
      <c r="H17" t="str">
        <f>Etiquettes!$C$4</f>
        <v>France entière</v>
      </c>
      <c r="I17" t="s">
        <v>1550</v>
      </c>
      <c r="J17"/>
      <c r="K17" t="s">
        <v>1580</v>
      </c>
      <c r="L17" s="26" t="str" cm="1">
        <f t="array" aca="1" ref="L17" ca="1">[1]!NOM_FEUILLE('Fabrication de farine - FAM'!$A$1:$G$1)</f>
        <v>Fabrication de farine - FAM</v>
      </c>
      <c r="M17" s="26" t="str">
        <f>Etiquettes!$H$11</f>
        <v>Volume</v>
      </c>
      <c r="N17" t="str">
        <f t="shared" ref="N17" si="4">_xlfn.CONCAT(I17,IF(ISBLANK(C17),"",_xlfn.CONCAT(" = ",MROUND(C17,1)," ",E17))," (",K17,")")</f>
        <v>Production de farine = 0 kt (Etats 8 - FranceAgriMer)</v>
      </c>
      <c r="O17" s="26" t="str">
        <f>Etiquettes!$I$15</f>
        <v>Robuste</v>
      </c>
      <c r="P17" s="603" t="str">
        <f>Etiquettes!$H$16</f>
        <v>Données collectées</v>
      </c>
      <c r="Q17" s="603" t="str">
        <f>Etiquettes!$H$17</f>
        <v>Donnée collectée (valeur du flux ou coefficient)</v>
      </c>
      <c r="R17" t="s">
        <v>1708</v>
      </c>
      <c r="S17" s="144"/>
    </row>
    <row r="18" spans="1:19">
      <c r="A18" t="str">
        <f>Produits!$B$4</f>
        <v>Grains collectés</v>
      </c>
      <c r="B18" t="str">
        <f>Secteurs!$B$8</f>
        <v>Meunerie</v>
      </c>
      <c r="C18" s="569">
        <f>'Prétraitement prod farine'!F2</f>
        <v>5057.8575609999998</v>
      </c>
      <c r="E18" t="str">
        <f>Etiquettes!$C$3</f>
        <v>kt</v>
      </c>
      <c r="F18" s="26" t="str">
        <f>Etiquettes!$H$6</f>
        <v>Blé tendre</v>
      </c>
      <c r="G18" s="26" t="str">
        <f>Etiquettes!$J$5</f>
        <v>2023-24</v>
      </c>
      <c r="H18" t="str">
        <f>Etiquettes!$C$4</f>
        <v>France entière</v>
      </c>
      <c r="I18" t="s">
        <v>1579</v>
      </c>
      <c r="J18"/>
      <c r="K18" t="s">
        <v>1580</v>
      </c>
      <c r="L18" s="26" t="str" cm="1">
        <f t="array" aca="1" ref="L18" ca="1">[1]!NOM_FEUILLE('Fabrication de farine - FAM'!$A$1:$G$1)</f>
        <v>Fabrication de farine - FAM</v>
      </c>
      <c r="M18" s="26" t="str">
        <f>Etiquettes!$H$11</f>
        <v>Volume</v>
      </c>
      <c r="N18" t="str">
        <f t="shared" si="0"/>
        <v>Consommation de grains par la Meunerie = 5058 kt (Etats 8 - FranceAgriMer)</v>
      </c>
      <c r="O18" s="26" t="str">
        <f>Etiquettes!$I$15</f>
        <v>Robuste</v>
      </c>
      <c r="P18" s="603" t="str">
        <f>Etiquettes!$H$16</f>
        <v>Données collectées</v>
      </c>
      <c r="Q18" s="603" t="str">
        <f>Etiquettes!$H$17</f>
        <v>Donnée collectée (valeur du flux ou coefficient)</v>
      </c>
      <c r="R18" s="10"/>
      <c r="S18" s="144"/>
    </row>
    <row r="19" spans="1:19">
      <c r="A19" t="str">
        <f>Produits!$B$4</f>
        <v>Grains collectés</v>
      </c>
      <c r="B19" t="str">
        <f>Secteurs!$B$8</f>
        <v>Meunerie</v>
      </c>
      <c r="C19" s="569">
        <f>'Prétraitement prod farine'!F3</f>
        <v>19.101333000000004</v>
      </c>
      <c r="E19" t="str">
        <f>Etiquettes!$C$3</f>
        <v>kt</v>
      </c>
      <c r="F19" s="26" t="str">
        <f>Etiquettes!$O$6</f>
        <v>Seigle</v>
      </c>
      <c r="G19" s="26" t="str">
        <f>Etiquettes!$J$5</f>
        <v>2023-24</v>
      </c>
      <c r="H19" t="str">
        <f>Etiquettes!$C$4</f>
        <v>France entière</v>
      </c>
      <c r="I19" t="s">
        <v>1579</v>
      </c>
      <c r="J19"/>
      <c r="K19" t="s">
        <v>1580</v>
      </c>
      <c r="L19" s="26" t="str" cm="1">
        <f t="array" aca="1" ref="L19" ca="1">[1]!NOM_FEUILLE('Fabrication de farine - FAM'!$A$1:$G$1)</f>
        <v>Fabrication de farine - FAM</v>
      </c>
      <c r="M19" s="26" t="str">
        <f>Etiquettes!$H$11</f>
        <v>Volume</v>
      </c>
      <c r="N19" t="str">
        <f t="shared" si="0"/>
        <v>Consommation de grains par la Meunerie = 19 kt (Etats 8 - FranceAgriMer)</v>
      </c>
      <c r="O19" s="26" t="str">
        <f>Etiquettes!$I$15</f>
        <v>Robuste</v>
      </c>
      <c r="P19" s="603" t="str">
        <f>Etiquettes!$H$16</f>
        <v>Données collectées</v>
      </c>
      <c r="Q19" s="603" t="str">
        <f>Etiquettes!$H$17</f>
        <v>Donnée collectée (valeur du flux ou coefficient)</v>
      </c>
    </row>
    <row r="20" spans="1:19">
      <c r="A20" t="str">
        <f>Produits!$B$4</f>
        <v>Grains collectés</v>
      </c>
      <c r="B20" t="str">
        <f>Secteurs!$B$8</f>
        <v>Meunerie</v>
      </c>
      <c r="C20" s="569">
        <f>'Prétraitement prod farine'!F4</f>
        <v>23.545443000000002</v>
      </c>
      <c r="E20" t="str">
        <f>Etiquettes!$C$3</f>
        <v>kt</v>
      </c>
      <c r="F20" s="26" t="str">
        <f>Etiquettes!$P$6</f>
        <v>Sarrasin</v>
      </c>
      <c r="G20" s="26" t="str">
        <f>Etiquettes!$J$5</f>
        <v>2023-24</v>
      </c>
      <c r="H20" t="str">
        <f>Etiquettes!$C$4</f>
        <v>France entière</v>
      </c>
      <c r="I20" t="s">
        <v>1579</v>
      </c>
      <c r="J20"/>
      <c r="K20" t="s">
        <v>1580</v>
      </c>
      <c r="L20" s="26" t="str" cm="1">
        <f t="array" aca="1" ref="L20" ca="1">[1]!NOM_FEUILLE('Fabrication de farine - FAM'!$A$1:$G$1)</f>
        <v>Fabrication de farine - FAM</v>
      </c>
      <c r="M20" s="26" t="str">
        <f>Etiquettes!$H$11</f>
        <v>Volume</v>
      </c>
      <c r="N20" t="str">
        <f t="shared" si="0"/>
        <v>Consommation de grains par la Meunerie = 24 kt (Etats 8 - FranceAgriMer)</v>
      </c>
      <c r="O20" s="26" t="str">
        <f>Etiquettes!$I$15</f>
        <v>Robuste</v>
      </c>
      <c r="P20" s="603" t="str">
        <f>Etiquettes!$H$16</f>
        <v>Données collectées</v>
      </c>
      <c r="Q20" s="603" t="str">
        <f>Etiquettes!$H$17</f>
        <v>Donnée collectée (valeur du flux ou coefficient)</v>
      </c>
    </row>
    <row r="21" spans="1:19">
      <c r="A21" t="str">
        <f>Produits!$B$4</f>
        <v>Grains collectés</v>
      </c>
      <c r="B21" t="str">
        <f>Secteurs!$B$8</f>
        <v>Meunerie</v>
      </c>
      <c r="C21" s="569">
        <f>'Prétraitement prod farine'!F5</f>
        <v>9.3778589999999991</v>
      </c>
      <c r="E21" t="str">
        <f>Etiquettes!$C$3</f>
        <v>kt</v>
      </c>
      <c r="F21" s="26" t="str">
        <f>Etiquettes!$R$6</f>
        <v>Epeautre</v>
      </c>
      <c r="G21" s="26" t="str">
        <f>Etiquettes!$J$5</f>
        <v>2023-24</v>
      </c>
      <c r="H21" t="str">
        <f>Etiquettes!$C$4</f>
        <v>France entière</v>
      </c>
      <c r="I21" t="s">
        <v>1579</v>
      </c>
      <c r="J21"/>
      <c r="K21" t="s">
        <v>1580</v>
      </c>
      <c r="L21" s="26" t="str" cm="1">
        <f t="array" aca="1" ref="L21" ca="1">[1]!NOM_FEUILLE('Fabrication de farine - FAM'!$A$1:$G$1)</f>
        <v>Fabrication de farine - FAM</v>
      </c>
      <c r="M21" s="26" t="str">
        <f>Etiquettes!$H$11</f>
        <v>Volume</v>
      </c>
      <c r="N21" t="str">
        <f t="shared" ref="N21" si="5">_xlfn.CONCAT(I21,IF(ISBLANK(C21),"",_xlfn.CONCAT(" = ",MROUND(C21,1)," ",E21))," (",K21,")")</f>
        <v>Consommation de grains par la Meunerie = 9 kt (Etats 8 - FranceAgriMer)</v>
      </c>
      <c r="O21" s="26" t="str">
        <f>Etiquettes!$I$15</f>
        <v>Robuste</v>
      </c>
      <c r="P21" s="603" t="str">
        <f>Etiquettes!$H$16</f>
        <v>Données collectées</v>
      </c>
      <c r="Q21" s="603" t="str">
        <f>Etiquettes!$H$17</f>
        <v>Donnée collectée (valeur du flux ou coefficient)</v>
      </c>
    </row>
    <row r="22" spans="1:19">
      <c r="A22" t="str">
        <f>Secteurs!$B$8</f>
        <v>Meunerie</v>
      </c>
      <c r="B22" t="str">
        <f>Produits!$B$6</f>
        <v>Farine</v>
      </c>
      <c r="C22" s="569">
        <f>'Prétraitement prod farine'!F6</f>
        <v>4306.9704280000005</v>
      </c>
      <c r="E22" t="str">
        <f>Etiquettes!$C$3</f>
        <v>kt</v>
      </c>
      <c r="F22" s="26" t="str">
        <f>Etiquettes!$H$6</f>
        <v>Blé tendre</v>
      </c>
      <c r="G22" s="26" t="str">
        <f>Etiquettes!$J$5</f>
        <v>2023-24</v>
      </c>
      <c r="H22" t="str">
        <f>Etiquettes!$C$4</f>
        <v>France entière</v>
      </c>
      <c r="I22" t="s">
        <v>1550</v>
      </c>
      <c r="J22"/>
      <c r="K22" t="s">
        <v>1580</v>
      </c>
      <c r="L22" s="26" t="str" cm="1">
        <f t="array" aca="1" ref="L22" ca="1">[1]!NOM_FEUILLE('Fabrication de farine - FAM'!$A$1:$G$1)</f>
        <v>Fabrication de farine - FAM</v>
      </c>
      <c r="M22" s="26" t="str">
        <f>Etiquettes!$H$11</f>
        <v>Volume</v>
      </c>
      <c r="N22" t="str">
        <f t="shared" si="0"/>
        <v>Production de farine = 4307 kt (Etats 8 - FranceAgriMer)</v>
      </c>
      <c r="O22" s="26" t="str">
        <f>Etiquettes!$I$15</f>
        <v>Robuste</v>
      </c>
      <c r="P22" s="603" t="str">
        <f>Etiquettes!$H$16</f>
        <v>Données collectées</v>
      </c>
      <c r="Q22" s="603" t="str">
        <f>Etiquettes!$H$17</f>
        <v>Donnée collectée (valeur du flux ou coefficient)</v>
      </c>
    </row>
    <row r="23" spans="1:19">
      <c r="A23" t="str">
        <f>Secteurs!$B$8</f>
        <v>Meunerie</v>
      </c>
      <c r="B23" t="str">
        <f>Produits!$B$6</f>
        <v>Farine</v>
      </c>
      <c r="C23" s="569">
        <f>'Prétraitement prod farine'!F7</f>
        <v>15.901956999999998</v>
      </c>
      <c r="E23" t="str">
        <f>Etiquettes!$C$3</f>
        <v>kt</v>
      </c>
      <c r="F23" s="26" t="str">
        <f>Etiquettes!$O$6</f>
        <v>Seigle</v>
      </c>
      <c r="G23" s="26" t="str">
        <f>Etiquettes!$J$5</f>
        <v>2023-24</v>
      </c>
      <c r="H23" t="str">
        <f>Etiquettes!$C$4</f>
        <v>France entière</v>
      </c>
      <c r="I23" t="s">
        <v>1550</v>
      </c>
      <c r="J23"/>
      <c r="K23" t="s">
        <v>1580</v>
      </c>
      <c r="L23" s="26" t="str" cm="1">
        <f t="array" aca="1" ref="L23" ca="1">[1]!NOM_FEUILLE('Fabrication de farine - FAM'!$A$1:$G$1)</f>
        <v>Fabrication de farine - FAM</v>
      </c>
      <c r="M23" s="26" t="str">
        <f>Etiquettes!$H$11</f>
        <v>Volume</v>
      </c>
      <c r="N23" t="str">
        <f t="shared" si="0"/>
        <v>Production de farine = 16 kt (Etats 8 - FranceAgriMer)</v>
      </c>
      <c r="O23" s="26" t="str">
        <f>Etiquettes!$I$15</f>
        <v>Robuste</v>
      </c>
      <c r="P23" s="603" t="str">
        <f>Etiquettes!$H$16</f>
        <v>Données collectées</v>
      </c>
      <c r="Q23" s="603" t="str">
        <f>Etiquettes!$H$17</f>
        <v>Donnée collectée (valeur du flux ou coefficient)</v>
      </c>
    </row>
    <row r="24" spans="1:19">
      <c r="A24" t="str">
        <f>Secteurs!$B$8</f>
        <v>Meunerie</v>
      </c>
      <c r="B24" t="str">
        <f>Produits!$B$6</f>
        <v>Farine</v>
      </c>
      <c r="C24" s="569">
        <f>'Prétraitement prod farine'!F8</f>
        <v>17.025273999999996</v>
      </c>
      <c r="E24" t="str">
        <f>Etiquettes!$C$3</f>
        <v>kt</v>
      </c>
      <c r="F24" s="26" t="str">
        <f>Etiquettes!$P$6</f>
        <v>Sarrasin</v>
      </c>
      <c r="G24" s="26" t="str">
        <f>Etiquettes!$J$5</f>
        <v>2023-24</v>
      </c>
      <c r="H24" t="str">
        <f>Etiquettes!$C$4</f>
        <v>France entière</v>
      </c>
      <c r="I24" t="s">
        <v>1550</v>
      </c>
      <c r="J24"/>
      <c r="K24" t="s">
        <v>1580</v>
      </c>
      <c r="L24" s="26" t="str" cm="1">
        <f t="array" aca="1" ref="L24" ca="1">[1]!NOM_FEUILLE('Fabrication de farine - FAM'!$A$1:$G$1)</f>
        <v>Fabrication de farine - FAM</v>
      </c>
      <c r="M24" s="26" t="str">
        <f>Etiquettes!$H$11</f>
        <v>Volume</v>
      </c>
      <c r="N24" t="str">
        <f t="shared" si="0"/>
        <v>Production de farine = 17 kt (Etats 8 - FranceAgriMer)</v>
      </c>
      <c r="O24" s="26" t="str">
        <f>Etiquettes!$I$15</f>
        <v>Robuste</v>
      </c>
      <c r="P24" s="603" t="str">
        <f>Etiquettes!$H$16</f>
        <v>Données collectées</v>
      </c>
      <c r="Q24" s="603" t="str">
        <f>Etiquettes!$H$17</f>
        <v>Donnée collectée (valeur du flux ou coefficient)</v>
      </c>
    </row>
    <row r="25" spans="1:19">
      <c r="A25" t="str">
        <f>Secteurs!$B$8</f>
        <v>Meunerie</v>
      </c>
      <c r="B25" t="str">
        <f>Produits!$B$6</f>
        <v>Farine</v>
      </c>
      <c r="C25" s="569">
        <f>'Prétraitement prod farine'!F9</f>
        <v>7.2491509999999995</v>
      </c>
      <c r="E25" t="str">
        <f>Etiquettes!$C$3</f>
        <v>kt</v>
      </c>
      <c r="F25" s="26" t="str">
        <f>Etiquettes!$R$6</f>
        <v>Epeautre</v>
      </c>
      <c r="G25" s="26" t="str">
        <f>Etiquettes!$J$5</f>
        <v>2023-24</v>
      </c>
      <c r="H25" t="str">
        <f>Etiquettes!$C$4</f>
        <v>France entière</v>
      </c>
      <c r="I25" t="s">
        <v>1550</v>
      </c>
      <c r="J25"/>
      <c r="K25" t="s">
        <v>1580</v>
      </c>
      <c r="L25" s="26" t="str" cm="1">
        <f t="array" aca="1" ref="L25" ca="1">[1]!NOM_FEUILLE('Fabrication de farine - FAM'!$A$1:$G$1)</f>
        <v>Fabrication de farine - FAM</v>
      </c>
      <c r="M25" s="26" t="str">
        <f>Etiquettes!$H$11</f>
        <v>Volume</v>
      </c>
      <c r="N25" t="str">
        <f t="shared" ref="N25" si="6">_xlfn.CONCAT(I25,IF(ISBLANK(C25),"",_xlfn.CONCAT(" = ",MROUND(C25,1)," ",E25))," (",K25,")")</f>
        <v>Production de farine = 7 kt (Etats 8 - FranceAgriMer)</v>
      </c>
      <c r="O25" s="26" t="str">
        <f>Etiquettes!$I$15</f>
        <v>Robuste</v>
      </c>
      <c r="P25" s="603" t="str">
        <f>Etiquettes!$H$16</f>
        <v>Données collectées</v>
      </c>
      <c r="Q25" s="603" t="str">
        <f>Etiquettes!$H$17</f>
        <v>Donnée collectée (valeur du flux ou coefficient)</v>
      </c>
    </row>
    <row r="26" spans="1:19">
      <c r="A26" t="str">
        <f>Produits!$B$4</f>
        <v>Grains collectés</v>
      </c>
      <c r="B26" t="str">
        <f>Secteurs!$B$8</f>
        <v>Meunerie</v>
      </c>
      <c r="C26" s="571">
        <v>0</v>
      </c>
      <c r="E26" t="str">
        <f>Etiquettes!$C$3</f>
        <v>kt</v>
      </c>
      <c r="F26" s="26" t="s">
        <v>1707</v>
      </c>
      <c r="G26" s="26" t="str">
        <f>Etiquettes!$C$5</f>
        <v>2015-16:2019-20:2023-24</v>
      </c>
      <c r="H26" t="str">
        <f>Etiquettes!$C$4</f>
        <v>France entière</v>
      </c>
      <c r="I26"/>
      <c r="J26"/>
      <c r="K26"/>
      <c r="R26" t="s">
        <v>1551</v>
      </c>
    </row>
    <row r="28" spans="1:19">
      <c r="F28" s="10"/>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FEC6-2453-40E3-B3CD-8BB42FD920FA}">
  <dimension ref="B1:F9"/>
  <sheetViews>
    <sheetView workbookViewId="0">
      <selection activeCell="C6" sqref="C6:C9"/>
    </sheetView>
  </sheetViews>
  <sheetFormatPr baseColWidth="10" defaultRowHeight="14.4"/>
  <sheetData>
    <row r="1" spans="2:6">
      <c r="D1" t="s">
        <v>120</v>
      </c>
      <c r="E1" t="s">
        <v>124</v>
      </c>
      <c r="F1" t="s">
        <v>128</v>
      </c>
    </row>
    <row r="2" spans="2:6">
      <c r="B2" t="s">
        <v>171</v>
      </c>
      <c r="C2" s="693" t="s">
        <v>1549</v>
      </c>
      <c r="D2" s="581">
        <f>SUMIFS('Fabrication de farine - FAM'!$G:$G,'Fabrication de farine - FAM'!$E:$E,'Prétraitement prod farine'!$B6,'Fabrication de farine - FAM'!$D:$D,'Prétraitement prod farine'!D$1)/10^3</f>
        <v>5284.6948739999998</v>
      </c>
      <c r="E2" s="581">
        <f>SUMIFS('Fabrication de farine - FAM'!$G:$G,'Fabrication de farine - FAM'!$E:$E,'Prétraitement prod farine'!$B6,'Fabrication de farine - FAM'!$D:$D,'Prétraitement prod farine'!E$1)/10^3</f>
        <v>4938.7796500000004</v>
      </c>
      <c r="F2" s="581">
        <f>SUMIFS('Fabrication de farine - FAM'!$G:$G,'Fabrication de farine - FAM'!$E:$E,'Prétraitement prod farine'!$B6,'Fabrication de farine - FAM'!$D:$D,'Prétraitement prod farine'!F$1)/10^3</f>
        <v>5057.8575609999998</v>
      </c>
    </row>
    <row r="3" spans="2:6">
      <c r="B3" t="s">
        <v>310</v>
      </c>
      <c r="C3" s="693"/>
      <c r="D3" s="581">
        <f>SUMIFS('Fabrication de farine - FAM'!$G:$G,'Fabrication de farine - FAM'!$E:$E,'Prétraitement prod farine'!$B7,'Fabrication de farine - FAM'!$D:$D,'Prétraitement prod farine'!D$1)/10^3</f>
        <v>14.736798000000002</v>
      </c>
      <c r="E3" s="581">
        <f>SUMIFS('Fabrication de farine - FAM'!$G:$G,'Fabrication de farine - FAM'!$E:$E,'Prétraitement prod farine'!$B7,'Fabrication de farine - FAM'!$D:$D,'Prétraitement prod farine'!E$1)/10^3</f>
        <v>16.45411</v>
      </c>
      <c r="F3" s="581">
        <f>SUMIFS('Fabrication de farine - FAM'!$G:$G,'Fabrication de farine - FAM'!$E:$E,'Prétraitement prod farine'!$B7,'Fabrication de farine - FAM'!$D:$D,'Prétraitement prod farine'!F$1)/10^3</f>
        <v>19.101333000000004</v>
      </c>
    </row>
    <row r="4" spans="2:6">
      <c r="B4" t="s">
        <v>1548</v>
      </c>
      <c r="C4" s="693"/>
      <c r="D4" s="581">
        <f>SUMIFS('Fabrication de farine - FAM'!$G:$G,'Fabrication de farine - FAM'!$E:$E,'Prétraitement prod farine'!$B8,'Fabrication de farine - FAM'!$D:$D,'Prétraitement prod farine'!D$1)/10^3</f>
        <v>12.560773000000001</v>
      </c>
      <c r="E4" s="581">
        <f>SUMIFS('Fabrication de farine - FAM'!$G:$G,'Fabrication de farine - FAM'!$E:$E,'Prétraitement prod farine'!$B8,'Fabrication de farine - FAM'!$D:$D,'Prétraitement prod farine'!E$1)/10^3</f>
        <v>13.417602999999998</v>
      </c>
      <c r="F4" s="581">
        <f>SUMIFS('Fabrication de farine - FAM'!$G:$G,'Fabrication de farine - FAM'!$E:$E,'Prétraitement prod farine'!$B8,'Fabrication de farine - FAM'!$D:$D,'Prétraitement prod farine'!F$1)/10^3</f>
        <v>23.545443000000002</v>
      </c>
    </row>
    <row r="5" spans="2:6">
      <c r="B5" t="s">
        <v>300</v>
      </c>
      <c r="C5" s="693"/>
      <c r="D5" s="584">
        <f>SUMIFS('Fabrication de farine - FAM'!$G:$G,'Fabrication de farine - FAM'!$E:$E,'Prétraitement prod farine'!$B9,'Fabrication de farine - FAM'!$D:$D,'Prétraitement prod farine'!D$1)/10^3</f>
        <v>5.0322520000000006</v>
      </c>
      <c r="E5" s="584">
        <f>SUMIFS('Fabrication de farine - FAM'!$G:$G,'Fabrication de farine - FAM'!$E:$E,'Prétraitement prod farine'!$B9,'Fabrication de farine - FAM'!$D:$D,'Prétraitement prod farine'!E$1)/10^3</f>
        <v>10.249823999999998</v>
      </c>
      <c r="F5" s="581">
        <f>SUMIFS('Fabrication de farine - FAM'!$G:$G,'Fabrication de farine - FAM'!$E:$E,'Prétraitement prod farine'!$B9,'Fabrication de farine - FAM'!$D:$D,'Prétraitement prod farine'!F$1)/10^3</f>
        <v>9.3778589999999991</v>
      </c>
    </row>
    <row r="6" spans="2:6">
      <c r="B6" t="s">
        <v>171</v>
      </c>
      <c r="C6" s="693" t="s">
        <v>1550</v>
      </c>
      <c r="D6" s="581">
        <f>SUMIFS('Fabrication de farine - FAM'!$F:$F,'Fabrication de farine - FAM'!$E:$E,'Prétraitement prod farine'!$B2,'Fabrication de farine - FAM'!$D:$D,'Prétraitement prod farine'!D$1)/10^3</f>
        <v>4539.2987670000002</v>
      </c>
      <c r="E6" s="581">
        <f>SUMIFS('Fabrication de farine - FAM'!$F:$F,'Fabrication de farine - FAM'!$E:$E,'Prétraitement prod farine'!$B2,'Fabrication de farine - FAM'!$D:$D,'Prétraitement prod farine'!E$1)/10^3</f>
        <v>4255.7676849999998</v>
      </c>
      <c r="F6" s="581">
        <f>SUMIFS('Fabrication de farine - FAM'!$F:$F,'Fabrication de farine - FAM'!$E:$E,'Prétraitement prod farine'!$B2,'Fabrication de farine - FAM'!$D:$D,'Prétraitement prod farine'!F$1)/10^3</f>
        <v>4306.9704280000005</v>
      </c>
    </row>
    <row r="7" spans="2:6">
      <c r="B7" t="s">
        <v>310</v>
      </c>
      <c r="C7" s="693"/>
      <c r="D7" s="581">
        <f>SUMIFS('Fabrication de farine - FAM'!$F:$F,'Fabrication de farine - FAM'!$E:$E,'Prétraitement prod farine'!$B3,'Fabrication de farine - FAM'!$D:$D,'Prétraitement prod farine'!D$1)/10^3</f>
        <v>12.030775999999999</v>
      </c>
      <c r="E7" s="581">
        <f>SUMIFS('Fabrication de farine - FAM'!$F:$F,'Fabrication de farine - FAM'!$E:$E,'Prétraitement prod farine'!$B3,'Fabrication de farine - FAM'!$D:$D,'Prétraitement prod farine'!E$1)/10^3</f>
        <v>14.050295999999998</v>
      </c>
      <c r="F7" s="581">
        <f>SUMIFS('Fabrication de farine - FAM'!$F:$F,'Fabrication de farine - FAM'!$E:$E,'Prétraitement prod farine'!$B3,'Fabrication de farine - FAM'!$D:$D,'Prétraitement prod farine'!F$1)/10^3</f>
        <v>15.901956999999998</v>
      </c>
    </row>
    <row r="8" spans="2:6">
      <c r="B8" t="s">
        <v>1548</v>
      </c>
      <c r="C8" s="693"/>
      <c r="D8" s="581">
        <f>SUMIFS('Fabrication de farine - FAM'!$F:$F,'Fabrication de farine - FAM'!$E:$E,'Prétraitement prod farine'!$B4,'Fabrication de farine - FAM'!$D:$D,'Prétraitement prod farine'!D$1)/10^3</f>
        <v>9.0798359999999985</v>
      </c>
      <c r="E8" s="581">
        <f>SUMIFS('Fabrication de farine - FAM'!$F:$F,'Fabrication de farine - FAM'!$E:$E,'Prétraitement prod farine'!$B4,'Fabrication de farine - FAM'!$D:$D,'Prétraitement prod farine'!E$1)/10^3</f>
        <v>9.8398640000000004</v>
      </c>
      <c r="F8" s="581">
        <f>SUMIFS('Fabrication de farine - FAM'!$F:$F,'Fabrication de farine - FAM'!$E:$E,'Prétraitement prod farine'!$B4,'Fabrication de farine - FAM'!$D:$D,'Prétraitement prod farine'!F$1)/10^3</f>
        <v>17.025273999999996</v>
      </c>
    </row>
    <row r="9" spans="2:6">
      <c r="B9" t="s">
        <v>300</v>
      </c>
      <c r="C9" s="693"/>
      <c r="D9" s="584">
        <f>SUMIFS('Fabrication de farine - FAM'!$F:$F,'Fabrication de farine - FAM'!$E:$E,'Prétraitement prod farine'!$B5,'Fabrication de farine - FAM'!$D:$D,'Prétraitement prod farine'!D$1)/10^3</f>
        <v>4.1653049999999991</v>
      </c>
      <c r="E9" s="584">
        <f>SUMIFS('Fabrication de farine - FAM'!$F:$F,'Fabrication de farine - FAM'!$E:$E,'Prétraitement prod farine'!$B5,'Fabrication de farine - FAM'!$D:$D,'Prétraitement prod farine'!E$1)/10^3</f>
        <v>8.0761669999999999</v>
      </c>
      <c r="F9" s="581">
        <f>SUMIFS('Fabrication de farine - FAM'!$F:$F,'Fabrication de farine - FAM'!$E:$E,'Prétraitement prod farine'!$B5,'Fabrication de farine - FAM'!$D:$D,'Prétraitement prod farine'!F$1)/10^3</f>
        <v>7.2491509999999995</v>
      </c>
    </row>
  </sheetData>
  <mergeCells count="2">
    <mergeCell ref="C2:C5"/>
    <mergeCell ref="C6:C9"/>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D2A3-86A1-4B86-8426-79CB72D1F27B}">
  <sheetPr>
    <tabColor rgb="FFFFC000"/>
  </sheetPr>
  <dimension ref="A1:G1220"/>
  <sheetViews>
    <sheetView zoomScaleNormal="100" workbookViewId="0">
      <pane xSplit="5" ySplit="5" topLeftCell="F1186" activePane="bottomRight" state="frozen"/>
      <selection activeCell="I1221" sqref="I1221"/>
      <selection pane="topRight" activeCell="I1221" sqref="I1221"/>
      <selection pane="bottomLeft" activeCell="I1221" sqref="I1221"/>
      <selection pane="bottomRight" activeCell="A1213" sqref="A1213:G1213"/>
    </sheetView>
  </sheetViews>
  <sheetFormatPr baseColWidth="10" defaultRowHeight="12" customHeight="1"/>
  <cols>
    <col min="1" max="1" width="7.6640625" style="49" bestFit="1" customWidth="1"/>
    <col min="2" max="2" width="5.6640625" style="49" bestFit="1" customWidth="1"/>
    <col min="3" max="3" width="6.6640625" style="49" bestFit="1" customWidth="1"/>
    <col min="4" max="4" width="10.6640625" style="49" bestFit="1" customWidth="1"/>
    <col min="5" max="5" width="8.6640625" style="49" bestFit="1" customWidth="1"/>
    <col min="6" max="6" width="24.6640625" style="49" bestFit="1" customWidth="1"/>
    <col min="7" max="7" width="20.6640625" style="49" bestFit="1" customWidth="1"/>
    <col min="8" max="16384" width="11.5546875" style="49"/>
  </cols>
  <sheetData>
    <row r="1" spans="1:7" ht="34.049999999999997" customHeight="1">
      <c r="A1" s="737" t="s">
        <v>1542</v>
      </c>
      <c r="B1" s="738"/>
      <c r="C1" s="738"/>
      <c r="D1" s="738"/>
      <c r="E1" s="738"/>
      <c r="F1" s="738"/>
      <c r="G1" s="738"/>
    </row>
    <row r="2" spans="1:7" ht="19.05" customHeight="1">
      <c r="A2" s="739" t="s">
        <v>1543</v>
      </c>
      <c r="B2" s="738"/>
      <c r="C2" s="738"/>
      <c r="D2" s="738"/>
      <c r="E2" s="738"/>
      <c r="F2" s="738"/>
      <c r="G2" s="738"/>
    </row>
    <row r="3" spans="1:7" ht="12" customHeight="1">
      <c r="A3" s="740" t="s">
        <v>1499</v>
      </c>
      <c r="B3" s="738"/>
      <c r="C3" s="738"/>
      <c r="D3" s="738"/>
      <c r="E3" s="738"/>
      <c r="F3" s="738"/>
      <c r="G3" s="738"/>
    </row>
    <row r="5" spans="1:7" ht="40.049999999999997" customHeight="1">
      <c r="A5" s="596" t="s">
        <v>1544</v>
      </c>
      <c r="B5" s="596" t="s">
        <v>1545</v>
      </c>
      <c r="C5" s="596" t="s">
        <v>39</v>
      </c>
      <c r="D5" s="596" t="s">
        <v>1120</v>
      </c>
      <c r="E5" s="596" t="s">
        <v>167</v>
      </c>
      <c r="F5" s="596" t="s">
        <v>1546</v>
      </c>
      <c r="G5" s="596" t="s">
        <v>1547</v>
      </c>
    </row>
    <row r="6" spans="1:7" ht="10.050000000000001" customHeight="1">
      <c r="A6" s="597">
        <v>36545</v>
      </c>
      <c r="B6" s="54">
        <v>1</v>
      </c>
      <c r="C6" s="53">
        <v>2000</v>
      </c>
      <c r="D6" s="52" t="s">
        <v>1008</v>
      </c>
      <c r="E6" s="52" t="s">
        <v>171</v>
      </c>
      <c r="F6" s="595">
        <v>429102.5</v>
      </c>
      <c r="G6" s="595">
        <v>514067.3</v>
      </c>
    </row>
    <row r="7" spans="1:7" ht="10.050000000000001" customHeight="1">
      <c r="A7" s="597">
        <v>36576</v>
      </c>
      <c r="B7" s="54">
        <v>2</v>
      </c>
      <c r="C7" s="53">
        <v>2000</v>
      </c>
      <c r="D7" s="52" t="s">
        <v>1008</v>
      </c>
      <c r="E7" s="52" t="s">
        <v>171</v>
      </c>
      <c r="F7" s="595">
        <v>420940.79999999999</v>
      </c>
      <c r="G7" s="595">
        <v>508283.6</v>
      </c>
    </row>
    <row r="8" spans="1:7" ht="10.050000000000001" customHeight="1">
      <c r="A8" s="597">
        <v>36605</v>
      </c>
      <c r="B8" s="54">
        <v>3</v>
      </c>
      <c r="C8" s="53">
        <v>2000</v>
      </c>
      <c r="D8" s="52" t="s">
        <v>1008</v>
      </c>
      <c r="E8" s="52" t="s">
        <v>171</v>
      </c>
      <c r="F8" s="595">
        <v>462595</v>
      </c>
      <c r="G8" s="595">
        <v>553964.19999999995</v>
      </c>
    </row>
    <row r="9" spans="1:7" ht="10.050000000000001" customHeight="1">
      <c r="A9" s="597">
        <v>36636</v>
      </c>
      <c r="B9" s="54">
        <v>4</v>
      </c>
      <c r="C9" s="53">
        <v>2000</v>
      </c>
      <c r="D9" s="52" t="s">
        <v>1008</v>
      </c>
      <c r="E9" s="52" t="s">
        <v>171</v>
      </c>
      <c r="F9" s="595">
        <v>393297.3</v>
      </c>
      <c r="G9" s="595">
        <v>469853.7</v>
      </c>
    </row>
    <row r="10" spans="1:7" ht="10.050000000000001" customHeight="1">
      <c r="A10" s="597">
        <v>36666</v>
      </c>
      <c r="B10" s="54">
        <v>5</v>
      </c>
      <c r="C10" s="53">
        <v>2000</v>
      </c>
      <c r="D10" s="52" t="s">
        <v>1008</v>
      </c>
      <c r="E10" s="52" t="s">
        <v>171</v>
      </c>
      <c r="F10" s="595">
        <v>447784.1</v>
      </c>
      <c r="G10" s="595">
        <v>535348.80000000005</v>
      </c>
    </row>
    <row r="11" spans="1:7" ht="10.050000000000001" customHeight="1">
      <c r="A11" s="597">
        <v>36697</v>
      </c>
      <c r="B11" s="54">
        <v>6</v>
      </c>
      <c r="C11" s="53">
        <v>2000</v>
      </c>
      <c r="D11" s="52" t="s">
        <v>1008</v>
      </c>
      <c r="E11" s="52" t="s">
        <v>171</v>
      </c>
      <c r="F11" s="595">
        <v>428186.8</v>
      </c>
      <c r="G11" s="595">
        <v>513163</v>
      </c>
    </row>
    <row r="12" spans="1:7" ht="10.050000000000001" customHeight="1">
      <c r="A12" s="597">
        <v>36727</v>
      </c>
      <c r="B12" s="54">
        <v>7</v>
      </c>
      <c r="C12" s="53">
        <v>2000</v>
      </c>
      <c r="D12" s="52" t="s">
        <v>105</v>
      </c>
      <c r="E12" s="52" t="s">
        <v>171</v>
      </c>
      <c r="F12" s="595">
        <v>424421.3</v>
      </c>
      <c r="G12" s="595">
        <v>507358.1</v>
      </c>
    </row>
    <row r="13" spans="1:7" ht="10.050000000000001" customHeight="1">
      <c r="A13" s="597">
        <v>36758</v>
      </c>
      <c r="B13" s="54">
        <v>8</v>
      </c>
      <c r="C13" s="53">
        <v>2000</v>
      </c>
      <c r="D13" s="52" t="s">
        <v>105</v>
      </c>
      <c r="E13" s="52" t="s">
        <v>171</v>
      </c>
      <c r="F13" s="595">
        <v>439298.5</v>
      </c>
      <c r="G13" s="595">
        <v>526462.9</v>
      </c>
    </row>
    <row r="14" spans="1:7" ht="10.050000000000001" customHeight="1">
      <c r="A14" s="597">
        <v>36789</v>
      </c>
      <c r="B14" s="54">
        <v>9</v>
      </c>
      <c r="C14" s="53">
        <v>2000</v>
      </c>
      <c r="D14" s="52" t="s">
        <v>105</v>
      </c>
      <c r="E14" s="52" t="s">
        <v>171</v>
      </c>
      <c r="F14" s="595">
        <v>437313.8</v>
      </c>
      <c r="G14" s="595">
        <v>536069.19999999995</v>
      </c>
    </row>
    <row r="15" spans="1:7" ht="10.050000000000001" customHeight="1">
      <c r="A15" s="597">
        <v>36819</v>
      </c>
      <c r="B15" s="54">
        <v>10</v>
      </c>
      <c r="C15" s="53">
        <v>2000</v>
      </c>
      <c r="D15" s="52" t="s">
        <v>105</v>
      </c>
      <c r="E15" s="52" t="s">
        <v>171</v>
      </c>
      <c r="F15" s="595">
        <v>459491.6</v>
      </c>
      <c r="G15" s="595">
        <v>544136.30000000005</v>
      </c>
    </row>
    <row r="16" spans="1:7" ht="10.050000000000001" customHeight="1">
      <c r="A16" s="597">
        <v>36850</v>
      </c>
      <c r="B16" s="54">
        <v>11</v>
      </c>
      <c r="C16" s="53">
        <v>2000</v>
      </c>
      <c r="D16" s="52" t="s">
        <v>105</v>
      </c>
      <c r="E16" s="52" t="s">
        <v>171</v>
      </c>
      <c r="F16" s="595">
        <v>433225.5</v>
      </c>
      <c r="G16" s="595">
        <v>517312.5</v>
      </c>
    </row>
    <row r="17" spans="1:7" ht="10.050000000000001" customHeight="1">
      <c r="A17" s="597">
        <v>36880</v>
      </c>
      <c r="B17" s="54">
        <v>12</v>
      </c>
      <c r="C17" s="53">
        <v>2000</v>
      </c>
      <c r="D17" s="52" t="s">
        <v>105</v>
      </c>
      <c r="E17" s="52" t="s">
        <v>171</v>
      </c>
      <c r="F17" s="595">
        <v>396765.8</v>
      </c>
      <c r="G17" s="595">
        <v>474189.2</v>
      </c>
    </row>
    <row r="18" spans="1:7" ht="10.050000000000001" customHeight="1">
      <c r="A18" s="597">
        <v>36911</v>
      </c>
      <c r="B18" s="54">
        <v>1</v>
      </c>
      <c r="C18" s="53">
        <v>2001</v>
      </c>
      <c r="D18" s="52" t="s">
        <v>105</v>
      </c>
      <c r="E18" s="52" t="s">
        <v>171</v>
      </c>
      <c r="F18" s="595">
        <v>424098.8</v>
      </c>
      <c r="G18" s="595">
        <v>507652.4</v>
      </c>
    </row>
    <row r="19" spans="1:7" ht="10.050000000000001" customHeight="1">
      <c r="A19" s="597">
        <v>36942</v>
      </c>
      <c r="B19" s="54">
        <v>2</v>
      </c>
      <c r="C19" s="53">
        <v>2001</v>
      </c>
      <c r="D19" s="52" t="s">
        <v>105</v>
      </c>
      <c r="E19" s="52" t="s">
        <v>171</v>
      </c>
      <c r="F19" s="595">
        <v>378943.69999999902</v>
      </c>
      <c r="G19" s="595">
        <v>457022.3</v>
      </c>
    </row>
    <row r="20" spans="1:7" ht="10.050000000000001" customHeight="1">
      <c r="A20" s="597">
        <v>36970</v>
      </c>
      <c r="B20" s="54">
        <v>3</v>
      </c>
      <c r="C20" s="53">
        <v>2001</v>
      </c>
      <c r="D20" s="52" t="s">
        <v>105</v>
      </c>
      <c r="E20" s="52" t="s">
        <v>171</v>
      </c>
      <c r="F20" s="595">
        <v>438802.2</v>
      </c>
      <c r="G20" s="595">
        <v>528390.69999999995</v>
      </c>
    </row>
    <row r="21" spans="1:7" ht="10.050000000000001" customHeight="1">
      <c r="A21" s="597">
        <v>37001</v>
      </c>
      <c r="B21" s="54">
        <v>4</v>
      </c>
      <c r="C21" s="53">
        <v>2001</v>
      </c>
      <c r="D21" s="52" t="s">
        <v>105</v>
      </c>
      <c r="E21" s="52" t="s">
        <v>171</v>
      </c>
      <c r="F21" s="595">
        <v>382011.4</v>
      </c>
      <c r="G21" s="595">
        <v>458473.7</v>
      </c>
    </row>
    <row r="22" spans="1:7" ht="10.050000000000001" customHeight="1">
      <c r="A22" s="597">
        <v>37031</v>
      </c>
      <c r="B22" s="54">
        <v>5</v>
      </c>
      <c r="C22" s="53">
        <v>2001</v>
      </c>
      <c r="D22" s="52" t="s">
        <v>105</v>
      </c>
      <c r="E22" s="52" t="s">
        <v>171</v>
      </c>
      <c r="F22" s="595">
        <v>415049.5</v>
      </c>
      <c r="G22" s="595">
        <v>496121.8</v>
      </c>
    </row>
    <row r="23" spans="1:7" ht="10.050000000000001" customHeight="1">
      <c r="A23" s="597">
        <v>37062</v>
      </c>
      <c r="B23" s="54">
        <v>6</v>
      </c>
      <c r="C23" s="53">
        <v>2001</v>
      </c>
      <c r="D23" s="52" t="s">
        <v>105</v>
      </c>
      <c r="E23" s="52" t="s">
        <v>171</v>
      </c>
      <c r="F23" s="595">
        <v>410209.6</v>
      </c>
      <c r="G23" s="595">
        <v>489926.8</v>
      </c>
    </row>
    <row r="24" spans="1:7" ht="10.050000000000001" customHeight="1">
      <c r="A24" s="597">
        <v>37092</v>
      </c>
      <c r="B24" s="54">
        <v>7</v>
      </c>
      <c r="C24" s="53">
        <v>2001</v>
      </c>
      <c r="D24" s="52" t="s">
        <v>108</v>
      </c>
      <c r="E24" s="52" t="s">
        <v>171</v>
      </c>
      <c r="F24" s="595">
        <v>421745.80000000098</v>
      </c>
      <c r="G24" s="595">
        <v>497420.4</v>
      </c>
    </row>
    <row r="25" spans="1:7" ht="10.050000000000001" customHeight="1">
      <c r="A25" s="597">
        <v>37123</v>
      </c>
      <c r="B25" s="54">
        <v>8</v>
      </c>
      <c r="C25" s="53">
        <v>2001</v>
      </c>
      <c r="D25" s="52" t="s">
        <v>108</v>
      </c>
      <c r="E25" s="52" t="s">
        <v>171</v>
      </c>
      <c r="F25" s="595">
        <v>415077.99999999901</v>
      </c>
      <c r="G25" s="595">
        <v>490747</v>
      </c>
    </row>
    <row r="26" spans="1:7" ht="10.050000000000001" customHeight="1">
      <c r="A26" s="597">
        <v>37154</v>
      </c>
      <c r="B26" s="54">
        <v>9</v>
      </c>
      <c r="C26" s="53">
        <v>2001</v>
      </c>
      <c r="D26" s="52" t="s">
        <v>108</v>
      </c>
      <c r="E26" s="52" t="s">
        <v>171</v>
      </c>
      <c r="F26" s="595">
        <v>404900.2</v>
      </c>
      <c r="G26" s="595">
        <v>476521.4</v>
      </c>
    </row>
    <row r="27" spans="1:7" ht="10.050000000000001" customHeight="1">
      <c r="A27" s="597">
        <v>37184</v>
      </c>
      <c r="B27" s="54">
        <v>10</v>
      </c>
      <c r="C27" s="53">
        <v>2001</v>
      </c>
      <c r="D27" s="52" t="s">
        <v>108</v>
      </c>
      <c r="E27" s="52" t="s">
        <v>171</v>
      </c>
      <c r="F27" s="595">
        <v>427888.8</v>
      </c>
      <c r="G27" s="595">
        <v>502182.7</v>
      </c>
    </row>
    <row r="28" spans="1:7" ht="10.050000000000001" customHeight="1">
      <c r="A28" s="597">
        <v>37215</v>
      </c>
      <c r="B28" s="54">
        <v>11</v>
      </c>
      <c r="C28" s="53">
        <v>2001</v>
      </c>
      <c r="D28" s="52" t="s">
        <v>108</v>
      </c>
      <c r="E28" s="52" t="s">
        <v>171</v>
      </c>
      <c r="F28" s="595">
        <v>404482</v>
      </c>
      <c r="G28" s="595">
        <v>475234.3</v>
      </c>
    </row>
    <row r="29" spans="1:7" ht="10.050000000000001" customHeight="1">
      <c r="A29" s="597">
        <v>37245</v>
      </c>
      <c r="B29" s="54">
        <v>12</v>
      </c>
      <c r="C29" s="53">
        <v>2001</v>
      </c>
      <c r="D29" s="52" t="s">
        <v>108</v>
      </c>
      <c r="E29" s="52" t="s">
        <v>171</v>
      </c>
      <c r="F29" s="595">
        <v>400051</v>
      </c>
      <c r="G29" s="595">
        <v>471204.6</v>
      </c>
    </row>
    <row r="30" spans="1:7" ht="10.050000000000001" customHeight="1">
      <c r="A30" s="597">
        <v>37276</v>
      </c>
      <c r="B30" s="54">
        <v>1</v>
      </c>
      <c r="C30" s="53">
        <v>2002</v>
      </c>
      <c r="D30" s="52" t="s">
        <v>108</v>
      </c>
      <c r="E30" s="52" t="s">
        <v>171</v>
      </c>
      <c r="F30" s="595">
        <v>437718.5</v>
      </c>
      <c r="G30" s="595">
        <v>512426.5</v>
      </c>
    </row>
    <row r="31" spans="1:7" ht="10.050000000000001" customHeight="1">
      <c r="A31" s="597">
        <v>37307</v>
      </c>
      <c r="B31" s="54">
        <v>2</v>
      </c>
      <c r="C31" s="53">
        <v>2002</v>
      </c>
      <c r="D31" s="52" t="s">
        <v>108</v>
      </c>
      <c r="E31" s="52" t="s">
        <v>171</v>
      </c>
      <c r="F31" s="595">
        <v>374278.8</v>
      </c>
      <c r="G31" s="595">
        <v>444370.5</v>
      </c>
    </row>
    <row r="32" spans="1:7" ht="10.050000000000001" customHeight="1">
      <c r="A32" s="597">
        <v>37335</v>
      </c>
      <c r="B32" s="54">
        <v>3</v>
      </c>
      <c r="C32" s="53">
        <v>2002</v>
      </c>
      <c r="D32" s="52" t="s">
        <v>108</v>
      </c>
      <c r="E32" s="52" t="s">
        <v>171</v>
      </c>
      <c r="F32" s="595">
        <v>423563.2</v>
      </c>
      <c r="G32" s="595">
        <v>500911.5</v>
      </c>
    </row>
    <row r="33" spans="1:7" ht="10.050000000000001" customHeight="1">
      <c r="A33" s="597">
        <v>37366</v>
      </c>
      <c r="B33" s="54">
        <v>4</v>
      </c>
      <c r="C33" s="53">
        <v>2002</v>
      </c>
      <c r="D33" s="52" t="s">
        <v>108</v>
      </c>
      <c r="E33" s="52" t="s">
        <v>171</v>
      </c>
      <c r="F33" s="595">
        <v>409053.7</v>
      </c>
      <c r="G33" s="595">
        <v>480015.5</v>
      </c>
    </row>
    <row r="34" spans="1:7" ht="10.050000000000001" customHeight="1">
      <c r="A34" s="597">
        <v>37396</v>
      </c>
      <c r="B34" s="54">
        <v>5</v>
      </c>
      <c r="C34" s="53">
        <v>2002</v>
      </c>
      <c r="D34" s="52" t="s">
        <v>108</v>
      </c>
      <c r="E34" s="52" t="s">
        <v>171</v>
      </c>
      <c r="F34" s="595">
        <v>390161.9</v>
      </c>
      <c r="G34" s="595">
        <v>455135.1</v>
      </c>
    </row>
    <row r="35" spans="1:7" ht="10.050000000000001" customHeight="1">
      <c r="A35" s="597">
        <v>37427</v>
      </c>
      <c r="B35" s="54">
        <v>6</v>
      </c>
      <c r="C35" s="53">
        <v>2002</v>
      </c>
      <c r="D35" s="52" t="s">
        <v>108</v>
      </c>
      <c r="E35" s="52" t="s">
        <v>171</v>
      </c>
      <c r="F35" s="595">
        <v>394566.40000000002</v>
      </c>
      <c r="G35" s="595">
        <v>456215.8</v>
      </c>
    </row>
    <row r="36" spans="1:7" ht="10.050000000000001" customHeight="1">
      <c r="A36" s="597">
        <v>37457</v>
      </c>
      <c r="B36" s="54">
        <v>7</v>
      </c>
      <c r="C36" s="53">
        <v>2002</v>
      </c>
      <c r="D36" s="52" t="s">
        <v>109</v>
      </c>
      <c r="E36" s="52" t="s">
        <v>171</v>
      </c>
      <c r="F36" s="595">
        <v>424074</v>
      </c>
      <c r="G36" s="595">
        <v>497530.7</v>
      </c>
    </row>
    <row r="37" spans="1:7" ht="10.050000000000001" customHeight="1">
      <c r="A37" s="597">
        <v>37488</v>
      </c>
      <c r="B37" s="54">
        <v>8</v>
      </c>
      <c r="C37" s="53">
        <v>2002</v>
      </c>
      <c r="D37" s="52" t="s">
        <v>109</v>
      </c>
      <c r="E37" s="52" t="s">
        <v>171</v>
      </c>
      <c r="F37" s="595">
        <v>391542.5</v>
      </c>
      <c r="G37" s="595">
        <v>463118.3</v>
      </c>
    </row>
    <row r="38" spans="1:7" ht="10.050000000000001" customHeight="1">
      <c r="A38" s="597">
        <v>37519</v>
      </c>
      <c r="B38" s="54">
        <v>9</v>
      </c>
      <c r="C38" s="53">
        <v>2002</v>
      </c>
      <c r="D38" s="52" t="s">
        <v>109</v>
      </c>
      <c r="E38" s="52" t="s">
        <v>171</v>
      </c>
      <c r="F38" s="595">
        <v>405230.6</v>
      </c>
      <c r="G38" s="595">
        <v>472628.1</v>
      </c>
    </row>
    <row r="39" spans="1:7" ht="10.050000000000001" customHeight="1">
      <c r="A39" s="597">
        <v>37549</v>
      </c>
      <c r="B39" s="54">
        <v>10</v>
      </c>
      <c r="C39" s="53">
        <v>2002</v>
      </c>
      <c r="D39" s="52" t="s">
        <v>109</v>
      </c>
      <c r="E39" s="52" t="s">
        <v>171</v>
      </c>
      <c r="F39" s="595">
        <v>441373.2</v>
      </c>
      <c r="G39" s="595">
        <v>516097.3</v>
      </c>
    </row>
    <row r="40" spans="1:7" ht="10.050000000000001" customHeight="1">
      <c r="A40" s="597">
        <v>37580</v>
      </c>
      <c r="B40" s="54">
        <v>11</v>
      </c>
      <c r="C40" s="53">
        <v>2002</v>
      </c>
      <c r="D40" s="52" t="s">
        <v>109</v>
      </c>
      <c r="E40" s="52" t="s">
        <v>171</v>
      </c>
      <c r="F40" s="595">
        <v>410367</v>
      </c>
      <c r="G40" s="595">
        <v>473514.2</v>
      </c>
    </row>
    <row r="41" spans="1:7" ht="10.050000000000001" customHeight="1">
      <c r="A41" s="597">
        <v>37610</v>
      </c>
      <c r="B41" s="54">
        <v>12</v>
      </c>
      <c r="C41" s="53">
        <v>2002</v>
      </c>
      <c r="D41" s="52" t="s">
        <v>109</v>
      </c>
      <c r="E41" s="52" t="s">
        <v>171</v>
      </c>
      <c r="F41" s="595">
        <v>404793.7</v>
      </c>
      <c r="G41" s="595">
        <v>463758.3</v>
      </c>
    </row>
    <row r="42" spans="1:7" ht="10.050000000000001" customHeight="1">
      <c r="A42" s="597">
        <v>37641</v>
      </c>
      <c r="B42" s="54">
        <v>1</v>
      </c>
      <c r="C42" s="53">
        <v>2003</v>
      </c>
      <c r="D42" s="52" t="s">
        <v>109</v>
      </c>
      <c r="E42" s="52" t="s">
        <v>171</v>
      </c>
      <c r="F42" s="595">
        <v>403064</v>
      </c>
      <c r="G42" s="595">
        <v>472870.40000000002</v>
      </c>
    </row>
    <row r="43" spans="1:7" ht="10.050000000000001" customHeight="1">
      <c r="A43" s="597">
        <v>37672</v>
      </c>
      <c r="B43" s="54">
        <v>2</v>
      </c>
      <c r="C43" s="53">
        <v>2003</v>
      </c>
      <c r="D43" s="52" t="s">
        <v>109</v>
      </c>
      <c r="E43" s="52" t="s">
        <v>171</v>
      </c>
      <c r="F43" s="595">
        <v>373697.6</v>
      </c>
      <c r="G43" s="595">
        <v>438054.3</v>
      </c>
    </row>
    <row r="44" spans="1:7" ht="10.050000000000001" customHeight="1">
      <c r="A44" s="597">
        <v>37700</v>
      </c>
      <c r="B44" s="54">
        <v>3</v>
      </c>
      <c r="C44" s="53">
        <v>2003</v>
      </c>
      <c r="D44" s="52" t="s">
        <v>109</v>
      </c>
      <c r="E44" s="52" t="s">
        <v>171</v>
      </c>
      <c r="F44" s="595">
        <v>407852.2</v>
      </c>
      <c r="G44" s="595">
        <v>481510.9</v>
      </c>
    </row>
    <row r="45" spans="1:7" ht="10.050000000000001" customHeight="1">
      <c r="A45" s="597">
        <v>37731</v>
      </c>
      <c r="B45" s="54">
        <v>4</v>
      </c>
      <c r="C45" s="53">
        <v>2003</v>
      </c>
      <c r="D45" s="52" t="s">
        <v>109</v>
      </c>
      <c r="E45" s="52" t="s">
        <v>171</v>
      </c>
      <c r="F45" s="595">
        <v>413872.7</v>
      </c>
      <c r="G45" s="595">
        <v>483091.7</v>
      </c>
    </row>
    <row r="46" spans="1:7" ht="10.050000000000001" customHeight="1">
      <c r="A46" s="597">
        <v>37761</v>
      </c>
      <c r="B46" s="54">
        <v>5</v>
      </c>
      <c r="C46" s="53">
        <v>2003</v>
      </c>
      <c r="D46" s="52" t="s">
        <v>109</v>
      </c>
      <c r="E46" s="52" t="s">
        <v>171</v>
      </c>
      <c r="F46" s="595">
        <v>403970.8</v>
      </c>
      <c r="G46" s="595">
        <v>474395.8</v>
      </c>
    </row>
    <row r="47" spans="1:7" ht="10.050000000000001" customHeight="1">
      <c r="A47" s="597">
        <v>37792</v>
      </c>
      <c r="B47" s="54">
        <v>6</v>
      </c>
      <c r="C47" s="53">
        <v>2003</v>
      </c>
      <c r="D47" s="52" t="s">
        <v>109</v>
      </c>
      <c r="E47" s="52" t="s">
        <v>171</v>
      </c>
      <c r="F47" s="595">
        <v>393566.1</v>
      </c>
      <c r="G47" s="595">
        <v>455255.9</v>
      </c>
    </row>
    <row r="48" spans="1:7" ht="10.050000000000001" customHeight="1">
      <c r="A48" s="597">
        <v>37822</v>
      </c>
      <c r="B48" s="54">
        <v>7</v>
      </c>
      <c r="C48" s="53">
        <v>2003</v>
      </c>
      <c r="D48" s="52" t="s">
        <v>106</v>
      </c>
      <c r="E48" s="52" t="s">
        <v>171</v>
      </c>
      <c r="F48" s="595">
        <v>408826.3</v>
      </c>
      <c r="G48" s="595">
        <v>480066.4</v>
      </c>
    </row>
    <row r="49" spans="1:7" ht="10.050000000000001" customHeight="1">
      <c r="A49" s="597">
        <v>37853</v>
      </c>
      <c r="B49" s="54">
        <v>8</v>
      </c>
      <c r="C49" s="53">
        <v>2003</v>
      </c>
      <c r="D49" s="52" t="s">
        <v>106</v>
      </c>
      <c r="E49" s="52" t="s">
        <v>171</v>
      </c>
      <c r="F49" s="595">
        <v>367411.09999999899</v>
      </c>
      <c r="G49" s="595">
        <v>435215.7</v>
      </c>
    </row>
    <row r="50" spans="1:7" ht="10.050000000000001" customHeight="1">
      <c r="A50" s="597">
        <v>37884</v>
      </c>
      <c r="B50" s="54">
        <v>9</v>
      </c>
      <c r="C50" s="53">
        <v>2003</v>
      </c>
      <c r="D50" s="52" t="s">
        <v>106</v>
      </c>
      <c r="E50" s="52" t="s">
        <v>171</v>
      </c>
      <c r="F50" s="595">
        <v>410405.6</v>
      </c>
      <c r="G50" s="595">
        <v>481771.1</v>
      </c>
    </row>
    <row r="51" spans="1:7" ht="10.050000000000001" customHeight="1">
      <c r="A51" s="597">
        <v>37914</v>
      </c>
      <c r="B51" s="54">
        <v>10</v>
      </c>
      <c r="C51" s="53">
        <v>2003</v>
      </c>
      <c r="D51" s="52" t="s">
        <v>106</v>
      </c>
      <c r="E51" s="52" t="s">
        <v>171</v>
      </c>
      <c r="F51" s="595">
        <v>424917.1</v>
      </c>
      <c r="G51" s="595">
        <v>497231.9</v>
      </c>
    </row>
    <row r="52" spans="1:7" ht="10.050000000000001" customHeight="1">
      <c r="A52" s="597">
        <v>37945</v>
      </c>
      <c r="B52" s="54">
        <v>11</v>
      </c>
      <c r="C52" s="53">
        <v>2003</v>
      </c>
      <c r="D52" s="52" t="s">
        <v>106</v>
      </c>
      <c r="E52" s="52" t="s">
        <v>171</v>
      </c>
      <c r="F52" s="595">
        <v>385578.39999999898</v>
      </c>
      <c r="G52" s="595">
        <v>450103.6</v>
      </c>
    </row>
    <row r="53" spans="1:7" ht="10.050000000000001" customHeight="1">
      <c r="A53" s="597">
        <v>37975</v>
      </c>
      <c r="B53" s="54">
        <v>12</v>
      </c>
      <c r="C53" s="53">
        <v>2003</v>
      </c>
      <c r="D53" s="52" t="s">
        <v>106</v>
      </c>
      <c r="E53" s="52" t="s">
        <v>171</v>
      </c>
      <c r="F53" s="595">
        <v>413218.7</v>
      </c>
      <c r="G53" s="595">
        <v>479156.8</v>
      </c>
    </row>
    <row r="54" spans="1:7" ht="10.050000000000001" customHeight="1">
      <c r="A54" s="597">
        <v>38006</v>
      </c>
      <c r="B54" s="54">
        <v>1</v>
      </c>
      <c r="C54" s="53">
        <v>2004</v>
      </c>
      <c r="D54" s="52" t="s">
        <v>106</v>
      </c>
      <c r="E54" s="52" t="s">
        <v>171</v>
      </c>
      <c r="F54" s="595">
        <v>390386.8</v>
      </c>
      <c r="G54" s="595">
        <v>458694.40000000002</v>
      </c>
    </row>
    <row r="55" spans="1:7" ht="10.050000000000001" customHeight="1">
      <c r="A55" s="597">
        <v>38037</v>
      </c>
      <c r="B55" s="54">
        <v>2</v>
      </c>
      <c r="C55" s="53">
        <v>2004</v>
      </c>
      <c r="D55" s="52" t="s">
        <v>106</v>
      </c>
      <c r="E55" s="52" t="s">
        <v>171</v>
      </c>
      <c r="F55" s="595">
        <v>353475</v>
      </c>
      <c r="G55" s="595">
        <v>420360.5</v>
      </c>
    </row>
    <row r="56" spans="1:7" ht="10.050000000000001" customHeight="1">
      <c r="A56" s="597">
        <v>38066</v>
      </c>
      <c r="B56" s="54">
        <v>3</v>
      </c>
      <c r="C56" s="53">
        <v>2004</v>
      </c>
      <c r="D56" s="52" t="s">
        <v>106</v>
      </c>
      <c r="E56" s="52" t="s">
        <v>171</v>
      </c>
      <c r="F56" s="595">
        <v>404118.9</v>
      </c>
      <c r="G56" s="595">
        <v>477965.7</v>
      </c>
    </row>
    <row r="57" spans="1:7" ht="10.050000000000001" customHeight="1">
      <c r="A57" s="597">
        <v>38097</v>
      </c>
      <c r="B57" s="54">
        <v>4</v>
      </c>
      <c r="C57" s="53">
        <v>2004</v>
      </c>
      <c r="D57" s="52" t="s">
        <v>106</v>
      </c>
      <c r="E57" s="52" t="s">
        <v>171</v>
      </c>
      <c r="F57" s="595">
        <v>387913.8</v>
      </c>
      <c r="G57" s="595">
        <v>459499.1</v>
      </c>
    </row>
    <row r="58" spans="1:7" ht="10.050000000000001" customHeight="1">
      <c r="A58" s="597">
        <v>38127</v>
      </c>
      <c r="B58" s="54">
        <v>5</v>
      </c>
      <c r="C58" s="53">
        <v>2004</v>
      </c>
      <c r="D58" s="52" t="s">
        <v>106</v>
      </c>
      <c r="E58" s="52" t="s">
        <v>171</v>
      </c>
      <c r="F58" s="595">
        <v>363130.6</v>
      </c>
      <c r="G58" s="595">
        <v>431307.6</v>
      </c>
    </row>
    <row r="59" spans="1:7" ht="10.050000000000001" customHeight="1">
      <c r="A59" s="597">
        <v>38158</v>
      </c>
      <c r="B59" s="54">
        <v>6</v>
      </c>
      <c r="C59" s="53">
        <v>2004</v>
      </c>
      <c r="D59" s="52" t="s">
        <v>106</v>
      </c>
      <c r="E59" s="52" t="s">
        <v>171</v>
      </c>
      <c r="F59" s="595">
        <v>406597.5</v>
      </c>
      <c r="G59" s="595">
        <v>478966.1</v>
      </c>
    </row>
    <row r="60" spans="1:7" ht="10.050000000000001" customHeight="1">
      <c r="A60" s="597">
        <v>38188</v>
      </c>
      <c r="B60" s="54">
        <v>7</v>
      </c>
      <c r="C60" s="53">
        <v>2004</v>
      </c>
      <c r="D60" s="52" t="s">
        <v>110</v>
      </c>
      <c r="E60" s="52" t="s">
        <v>171</v>
      </c>
      <c r="F60" s="595">
        <v>397795.8</v>
      </c>
      <c r="G60" s="595">
        <v>472786.5</v>
      </c>
    </row>
    <row r="61" spans="1:7" ht="10.050000000000001" customHeight="1">
      <c r="A61" s="597">
        <v>38219</v>
      </c>
      <c r="B61" s="54">
        <v>8</v>
      </c>
      <c r="C61" s="53">
        <v>2004</v>
      </c>
      <c r="D61" s="52" t="s">
        <v>110</v>
      </c>
      <c r="E61" s="52" t="s">
        <v>171</v>
      </c>
      <c r="F61" s="595">
        <v>376965.2</v>
      </c>
      <c r="G61" s="595">
        <v>456999.5</v>
      </c>
    </row>
    <row r="62" spans="1:7" ht="10.050000000000001" customHeight="1">
      <c r="A62" s="597">
        <v>38250</v>
      </c>
      <c r="B62" s="54">
        <v>9</v>
      </c>
      <c r="C62" s="53">
        <v>2004</v>
      </c>
      <c r="D62" s="52" t="s">
        <v>110</v>
      </c>
      <c r="E62" s="52" t="s">
        <v>171</v>
      </c>
      <c r="F62" s="595">
        <v>410419.1</v>
      </c>
      <c r="G62" s="595">
        <v>490164.1</v>
      </c>
    </row>
    <row r="63" spans="1:7" ht="10.050000000000001" customHeight="1">
      <c r="A63" s="597">
        <v>38280</v>
      </c>
      <c r="B63" s="54">
        <v>10</v>
      </c>
      <c r="C63" s="53">
        <v>2004</v>
      </c>
      <c r="D63" s="52" t="s">
        <v>110</v>
      </c>
      <c r="E63" s="52" t="s">
        <v>171</v>
      </c>
      <c r="F63" s="595">
        <v>406421.3</v>
      </c>
      <c r="G63" s="595">
        <v>489664.6</v>
      </c>
    </row>
    <row r="64" spans="1:7" ht="10.050000000000001" customHeight="1">
      <c r="A64" s="597">
        <v>38311</v>
      </c>
      <c r="B64" s="54">
        <v>11</v>
      </c>
      <c r="C64" s="53">
        <v>2004</v>
      </c>
      <c r="D64" s="52" t="s">
        <v>110</v>
      </c>
      <c r="E64" s="52" t="s">
        <v>171</v>
      </c>
      <c r="F64" s="595">
        <v>393439.5</v>
      </c>
      <c r="G64" s="595">
        <v>473574.1</v>
      </c>
    </row>
    <row r="65" spans="1:7" ht="10.050000000000001" customHeight="1">
      <c r="A65" s="597">
        <v>38341</v>
      </c>
      <c r="B65" s="54">
        <v>12</v>
      </c>
      <c r="C65" s="53">
        <v>2004</v>
      </c>
      <c r="D65" s="52" t="s">
        <v>110</v>
      </c>
      <c r="E65" s="52" t="s">
        <v>171</v>
      </c>
      <c r="F65" s="595">
        <v>413267.9</v>
      </c>
      <c r="G65" s="595">
        <v>488516.8</v>
      </c>
    </row>
    <row r="66" spans="1:7" ht="10.050000000000001" customHeight="1">
      <c r="A66" s="597">
        <v>38372</v>
      </c>
      <c r="B66" s="54">
        <v>1</v>
      </c>
      <c r="C66" s="53">
        <v>2005</v>
      </c>
      <c r="D66" s="52" t="s">
        <v>110</v>
      </c>
      <c r="E66" s="52" t="s">
        <v>171</v>
      </c>
      <c r="F66" s="595">
        <v>361886.1</v>
      </c>
      <c r="G66" s="595">
        <v>434045</v>
      </c>
    </row>
    <row r="67" spans="1:7" ht="10.050000000000001" customHeight="1">
      <c r="A67" s="597">
        <v>38403</v>
      </c>
      <c r="B67" s="54">
        <v>2</v>
      </c>
      <c r="C67" s="53">
        <v>2005</v>
      </c>
      <c r="D67" s="52" t="s">
        <v>110</v>
      </c>
      <c r="E67" s="52" t="s">
        <v>171</v>
      </c>
      <c r="F67" s="595">
        <v>346154</v>
      </c>
      <c r="G67" s="595">
        <v>413401.9</v>
      </c>
    </row>
    <row r="68" spans="1:7" ht="10.050000000000001" customHeight="1">
      <c r="A68" s="597">
        <v>38431</v>
      </c>
      <c r="B68" s="54">
        <v>3</v>
      </c>
      <c r="C68" s="53">
        <v>2005</v>
      </c>
      <c r="D68" s="52" t="s">
        <v>110</v>
      </c>
      <c r="E68" s="52" t="s">
        <v>171</v>
      </c>
      <c r="F68" s="595">
        <v>398585.200000001</v>
      </c>
      <c r="G68" s="595">
        <v>475281.7</v>
      </c>
    </row>
    <row r="69" spans="1:7" ht="10.050000000000001" customHeight="1">
      <c r="A69" s="597">
        <v>38462</v>
      </c>
      <c r="B69" s="54">
        <v>4</v>
      </c>
      <c r="C69" s="53">
        <v>2005</v>
      </c>
      <c r="D69" s="52" t="s">
        <v>110</v>
      </c>
      <c r="E69" s="52" t="s">
        <v>171</v>
      </c>
      <c r="F69" s="595">
        <v>382236.8</v>
      </c>
      <c r="G69" s="595">
        <v>458861.2</v>
      </c>
    </row>
    <row r="70" spans="1:7" ht="10.050000000000001" customHeight="1">
      <c r="A70" s="597">
        <v>38492</v>
      </c>
      <c r="B70" s="54">
        <v>5</v>
      </c>
      <c r="C70" s="53">
        <v>2005</v>
      </c>
      <c r="D70" s="52" t="s">
        <v>110</v>
      </c>
      <c r="E70" s="52" t="s">
        <v>171</v>
      </c>
      <c r="F70" s="595">
        <v>380633.8</v>
      </c>
      <c r="G70" s="595">
        <v>454915.8</v>
      </c>
    </row>
    <row r="71" spans="1:7" ht="10.050000000000001" customHeight="1">
      <c r="A71" s="597">
        <v>38523</v>
      </c>
      <c r="B71" s="54">
        <v>6</v>
      </c>
      <c r="C71" s="53">
        <v>2005</v>
      </c>
      <c r="D71" s="52" t="s">
        <v>110</v>
      </c>
      <c r="E71" s="52" t="s">
        <v>171</v>
      </c>
      <c r="F71" s="595">
        <v>406896.799999999</v>
      </c>
      <c r="G71" s="595">
        <v>490095</v>
      </c>
    </row>
    <row r="72" spans="1:7" ht="10.050000000000001" customHeight="1">
      <c r="A72" s="597">
        <v>38553</v>
      </c>
      <c r="B72" s="54">
        <v>7</v>
      </c>
      <c r="C72" s="53">
        <v>2005</v>
      </c>
      <c r="D72" s="52" t="s">
        <v>111</v>
      </c>
      <c r="E72" s="52" t="s">
        <v>171</v>
      </c>
      <c r="F72" s="595">
        <v>372866.5</v>
      </c>
      <c r="G72" s="595">
        <v>448229.9</v>
      </c>
    </row>
    <row r="73" spans="1:7" ht="10.050000000000001" customHeight="1">
      <c r="A73" s="597">
        <v>38584</v>
      </c>
      <c r="B73" s="54">
        <v>8</v>
      </c>
      <c r="C73" s="53">
        <v>2005</v>
      </c>
      <c r="D73" s="52" t="s">
        <v>111</v>
      </c>
      <c r="E73" s="52" t="s">
        <v>171</v>
      </c>
      <c r="F73" s="595">
        <v>391488.30000000098</v>
      </c>
      <c r="G73" s="595">
        <v>468594.9</v>
      </c>
    </row>
    <row r="74" spans="1:7" ht="10.050000000000001" customHeight="1">
      <c r="A74" s="597">
        <v>38615</v>
      </c>
      <c r="B74" s="54">
        <v>9</v>
      </c>
      <c r="C74" s="53">
        <v>2005</v>
      </c>
      <c r="D74" s="52" t="s">
        <v>111</v>
      </c>
      <c r="E74" s="52" t="s">
        <v>171</v>
      </c>
      <c r="F74" s="595">
        <v>399123.6</v>
      </c>
      <c r="G74" s="595">
        <v>481534.8</v>
      </c>
    </row>
    <row r="75" spans="1:7" ht="10.050000000000001" customHeight="1">
      <c r="A75" s="597">
        <v>38645</v>
      </c>
      <c r="B75" s="54">
        <v>10</v>
      </c>
      <c r="C75" s="53">
        <v>2005</v>
      </c>
      <c r="D75" s="52" t="s">
        <v>111</v>
      </c>
      <c r="E75" s="52" t="s">
        <v>171</v>
      </c>
      <c r="F75" s="595">
        <v>396451.5</v>
      </c>
      <c r="G75" s="595">
        <v>474180.8</v>
      </c>
    </row>
    <row r="76" spans="1:7" ht="10.050000000000001" customHeight="1">
      <c r="A76" s="597">
        <v>38676</v>
      </c>
      <c r="B76" s="54">
        <v>11</v>
      </c>
      <c r="C76" s="53">
        <v>2005</v>
      </c>
      <c r="D76" s="52" t="s">
        <v>111</v>
      </c>
      <c r="E76" s="52" t="s">
        <v>171</v>
      </c>
      <c r="F76" s="595">
        <v>405762.1</v>
      </c>
      <c r="G76" s="595">
        <v>483082.4</v>
      </c>
    </row>
    <row r="77" spans="1:7" ht="10.050000000000001" customHeight="1">
      <c r="A77" s="597">
        <v>38706</v>
      </c>
      <c r="B77" s="54">
        <v>12</v>
      </c>
      <c r="C77" s="53">
        <v>2005</v>
      </c>
      <c r="D77" s="52" t="s">
        <v>111</v>
      </c>
      <c r="E77" s="52" t="s">
        <v>171</v>
      </c>
      <c r="F77" s="595">
        <v>426292.700000001</v>
      </c>
      <c r="G77" s="595">
        <v>505839.3</v>
      </c>
    </row>
    <row r="78" spans="1:7" ht="10.050000000000001" customHeight="1">
      <c r="A78" s="597">
        <v>38737</v>
      </c>
      <c r="B78" s="54">
        <v>1</v>
      </c>
      <c r="C78" s="53">
        <v>2006</v>
      </c>
      <c r="D78" s="52" t="s">
        <v>111</v>
      </c>
      <c r="E78" s="52" t="s">
        <v>171</v>
      </c>
      <c r="F78" s="595">
        <v>401335.5</v>
      </c>
      <c r="G78" s="595">
        <v>481066.2</v>
      </c>
    </row>
    <row r="79" spans="1:7" ht="10.050000000000001" customHeight="1">
      <c r="A79" s="597">
        <v>38768</v>
      </c>
      <c r="B79" s="54">
        <v>2</v>
      </c>
      <c r="C79" s="53">
        <v>2006</v>
      </c>
      <c r="D79" s="52" t="s">
        <v>111</v>
      </c>
      <c r="E79" s="52" t="s">
        <v>171</v>
      </c>
      <c r="F79" s="595">
        <v>372497.4</v>
      </c>
      <c r="G79" s="595">
        <v>445403.9</v>
      </c>
    </row>
    <row r="80" spans="1:7" ht="10.050000000000001" customHeight="1">
      <c r="A80" s="597">
        <v>38796</v>
      </c>
      <c r="B80" s="54">
        <v>3</v>
      </c>
      <c r="C80" s="53">
        <v>2006</v>
      </c>
      <c r="D80" s="52" t="s">
        <v>111</v>
      </c>
      <c r="E80" s="52" t="s">
        <v>171</v>
      </c>
      <c r="F80" s="595">
        <v>429680.4</v>
      </c>
      <c r="G80" s="595">
        <v>515333.3</v>
      </c>
    </row>
    <row r="81" spans="1:7" ht="10.050000000000001" customHeight="1">
      <c r="A81" s="597">
        <v>38827</v>
      </c>
      <c r="B81" s="54">
        <v>4</v>
      </c>
      <c r="C81" s="53">
        <v>2006</v>
      </c>
      <c r="D81" s="52" t="s">
        <v>111</v>
      </c>
      <c r="E81" s="52" t="s">
        <v>171</v>
      </c>
      <c r="F81" s="595">
        <v>386167</v>
      </c>
      <c r="G81" s="595">
        <v>463136.8</v>
      </c>
    </row>
    <row r="82" spans="1:7" ht="10.050000000000001" customHeight="1">
      <c r="A82" s="597">
        <v>38857</v>
      </c>
      <c r="B82" s="54">
        <v>5</v>
      </c>
      <c r="C82" s="53">
        <v>2006</v>
      </c>
      <c r="D82" s="52" t="s">
        <v>111</v>
      </c>
      <c r="E82" s="52" t="s">
        <v>171</v>
      </c>
      <c r="F82" s="595">
        <v>409538</v>
      </c>
      <c r="G82" s="595">
        <v>489089.5</v>
      </c>
    </row>
    <row r="83" spans="1:7" ht="10.050000000000001" customHeight="1">
      <c r="A83" s="597">
        <v>38888</v>
      </c>
      <c r="B83" s="54">
        <v>6</v>
      </c>
      <c r="C83" s="53">
        <v>2006</v>
      </c>
      <c r="D83" s="52" t="s">
        <v>111</v>
      </c>
      <c r="E83" s="52" t="s">
        <v>171</v>
      </c>
      <c r="F83" s="595">
        <v>410253.2</v>
      </c>
      <c r="G83" s="595">
        <v>489594.1</v>
      </c>
    </row>
    <row r="84" spans="1:7" ht="10.050000000000001" customHeight="1">
      <c r="A84" s="597">
        <v>38918</v>
      </c>
      <c r="B84" s="54">
        <v>7</v>
      </c>
      <c r="C84" s="53">
        <v>2006</v>
      </c>
      <c r="D84" s="52" t="s">
        <v>112</v>
      </c>
      <c r="E84" s="52" t="s">
        <v>171</v>
      </c>
      <c r="F84" s="595">
        <v>374584.1</v>
      </c>
      <c r="G84" s="595">
        <v>451739.9</v>
      </c>
    </row>
    <row r="85" spans="1:7" ht="10.050000000000001" customHeight="1">
      <c r="A85" s="597">
        <v>38949</v>
      </c>
      <c r="B85" s="54">
        <v>8</v>
      </c>
      <c r="C85" s="53">
        <v>2006</v>
      </c>
      <c r="D85" s="52" t="s">
        <v>112</v>
      </c>
      <c r="E85" s="52" t="s">
        <v>171</v>
      </c>
      <c r="F85" s="595">
        <v>396395.10000000102</v>
      </c>
      <c r="G85" s="595">
        <v>472830</v>
      </c>
    </row>
    <row r="86" spans="1:7" ht="10.050000000000001" customHeight="1">
      <c r="A86" s="597">
        <v>38980</v>
      </c>
      <c r="B86" s="54">
        <v>9</v>
      </c>
      <c r="C86" s="53">
        <v>2006</v>
      </c>
      <c r="D86" s="52" t="s">
        <v>112</v>
      </c>
      <c r="E86" s="52" t="s">
        <v>171</v>
      </c>
      <c r="F86" s="595">
        <v>402130.7</v>
      </c>
      <c r="G86" s="595">
        <v>476354.2</v>
      </c>
    </row>
    <row r="87" spans="1:7" ht="10.050000000000001" customHeight="1">
      <c r="A87" s="597">
        <v>39010</v>
      </c>
      <c r="B87" s="54">
        <v>10</v>
      </c>
      <c r="C87" s="53">
        <v>2006</v>
      </c>
      <c r="D87" s="52" t="s">
        <v>112</v>
      </c>
      <c r="E87" s="52" t="s">
        <v>171</v>
      </c>
      <c r="F87" s="595">
        <v>412256.2</v>
      </c>
      <c r="G87" s="595">
        <v>490414.5</v>
      </c>
    </row>
    <row r="88" spans="1:7" ht="10.050000000000001" customHeight="1">
      <c r="A88" s="597">
        <v>39041</v>
      </c>
      <c r="B88" s="54">
        <v>11</v>
      </c>
      <c r="C88" s="53">
        <v>2006</v>
      </c>
      <c r="D88" s="52" t="s">
        <v>112</v>
      </c>
      <c r="E88" s="52" t="s">
        <v>171</v>
      </c>
      <c r="F88" s="595">
        <v>393784.4</v>
      </c>
      <c r="G88" s="595">
        <v>463303</v>
      </c>
    </row>
    <row r="89" spans="1:7" ht="10.050000000000001" customHeight="1">
      <c r="A89" s="597">
        <v>39071</v>
      </c>
      <c r="B89" s="54">
        <v>12</v>
      </c>
      <c r="C89" s="53">
        <v>2006</v>
      </c>
      <c r="D89" s="52" t="s">
        <v>112</v>
      </c>
      <c r="E89" s="52" t="s">
        <v>171</v>
      </c>
      <c r="F89" s="595">
        <v>395392.4</v>
      </c>
      <c r="G89" s="595">
        <v>467798.9</v>
      </c>
    </row>
    <row r="90" spans="1:7" ht="10.050000000000001" customHeight="1">
      <c r="A90" s="597">
        <v>39102</v>
      </c>
      <c r="B90" s="54">
        <v>1</v>
      </c>
      <c r="C90" s="53">
        <v>2007</v>
      </c>
      <c r="D90" s="52" t="s">
        <v>112</v>
      </c>
      <c r="E90" s="52" t="s">
        <v>171</v>
      </c>
      <c r="F90" s="595">
        <v>395337.6</v>
      </c>
      <c r="G90" s="595">
        <v>464232.40000000101</v>
      </c>
    </row>
    <row r="91" spans="1:7" ht="10.050000000000001" customHeight="1">
      <c r="A91" s="597">
        <v>39133</v>
      </c>
      <c r="B91" s="54">
        <v>2</v>
      </c>
      <c r="C91" s="53">
        <v>2007</v>
      </c>
      <c r="D91" s="52" t="s">
        <v>112</v>
      </c>
      <c r="E91" s="52" t="s">
        <v>171</v>
      </c>
      <c r="F91" s="595">
        <v>365649.1</v>
      </c>
      <c r="G91" s="595">
        <v>431102.1</v>
      </c>
    </row>
    <row r="92" spans="1:7" ht="10.050000000000001" customHeight="1">
      <c r="A92" s="597">
        <v>39161</v>
      </c>
      <c r="B92" s="54">
        <v>3</v>
      </c>
      <c r="C92" s="53">
        <v>2007</v>
      </c>
      <c r="D92" s="52" t="s">
        <v>112</v>
      </c>
      <c r="E92" s="52" t="s">
        <v>171</v>
      </c>
      <c r="F92" s="595">
        <v>405419</v>
      </c>
      <c r="G92" s="595">
        <v>479648.6</v>
      </c>
    </row>
    <row r="93" spans="1:7" ht="10.050000000000001" customHeight="1">
      <c r="A93" s="597">
        <v>39192</v>
      </c>
      <c r="B93" s="54">
        <v>4</v>
      </c>
      <c r="C93" s="53">
        <v>2007</v>
      </c>
      <c r="D93" s="52" t="s">
        <v>112</v>
      </c>
      <c r="E93" s="52" t="s">
        <v>171</v>
      </c>
      <c r="F93" s="595">
        <v>388137.2</v>
      </c>
      <c r="G93" s="595">
        <v>458114.5</v>
      </c>
    </row>
    <row r="94" spans="1:7" ht="10.050000000000001" customHeight="1">
      <c r="A94" s="597">
        <v>39222</v>
      </c>
      <c r="B94" s="54">
        <v>5</v>
      </c>
      <c r="C94" s="53">
        <v>2007</v>
      </c>
      <c r="D94" s="52" t="s">
        <v>112</v>
      </c>
      <c r="E94" s="52" t="s">
        <v>171</v>
      </c>
      <c r="F94" s="595">
        <v>408733.5</v>
      </c>
      <c r="G94" s="595">
        <v>479722.9</v>
      </c>
    </row>
    <row r="95" spans="1:7" ht="10.050000000000001" customHeight="1">
      <c r="A95" s="597">
        <v>39253</v>
      </c>
      <c r="B95" s="54">
        <v>6</v>
      </c>
      <c r="C95" s="53">
        <v>2007</v>
      </c>
      <c r="D95" s="52" t="s">
        <v>112</v>
      </c>
      <c r="E95" s="52" t="s">
        <v>171</v>
      </c>
      <c r="F95" s="595">
        <v>419369.1</v>
      </c>
      <c r="G95" s="595">
        <v>485293.9</v>
      </c>
    </row>
    <row r="96" spans="1:7" ht="10.050000000000001" customHeight="1">
      <c r="A96" s="597">
        <v>39283</v>
      </c>
      <c r="B96" s="54">
        <v>7</v>
      </c>
      <c r="C96" s="53">
        <v>2007</v>
      </c>
      <c r="D96" s="52" t="s">
        <v>113</v>
      </c>
      <c r="E96" s="52" t="s">
        <v>171</v>
      </c>
      <c r="F96" s="595">
        <v>417386.1</v>
      </c>
      <c r="G96" s="595">
        <v>494391.7</v>
      </c>
    </row>
    <row r="97" spans="1:7" ht="10.050000000000001" customHeight="1">
      <c r="A97" s="597">
        <v>39314</v>
      </c>
      <c r="B97" s="54">
        <v>8</v>
      </c>
      <c r="C97" s="53">
        <v>2007</v>
      </c>
      <c r="D97" s="52" t="s">
        <v>113</v>
      </c>
      <c r="E97" s="52" t="s">
        <v>171</v>
      </c>
      <c r="F97" s="595">
        <v>420834.7</v>
      </c>
      <c r="G97" s="595">
        <v>503297.7</v>
      </c>
    </row>
    <row r="98" spans="1:7" ht="10.050000000000001" customHeight="1">
      <c r="A98" s="597">
        <v>39345</v>
      </c>
      <c r="B98" s="54">
        <v>9</v>
      </c>
      <c r="C98" s="53">
        <v>2007</v>
      </c>
      <c r="D98" s="52" t="s">
        <v>113</v>
      </c>
      <c r="E98" s="52" t="s">
        <v>171</v>
      </c>
      <c r="F98" s="595">
        <v>402891.5</v>
      </c>
      <c r="G98" s="595">
        <v>479284.6</v>
      </c>
    </row>
    <row r="99" spans="1:7" ht="10.050000000000001" customHeight="1">
      <c r="A99" s="597">
        <v>39375</v>
      </c>
      <c r="B99" s="54">
        <v>10</v>
      </c>
      <c r="C99" s="53">
        <v>2007</v>
      </c>
      <c r="D99" s="52" t="s">
        <v>113</v>
      </c>
      <c r="E99" s="52" t="s">
        <v>171</v>
      </c>
      <c r="F99" s="595">
        <v>437409.9</v>
      </c>
      <c r="G99" s="595">
        <v>522788.9</v>
      </c>
    </row>
    <row r="100" spans="1:7" ht="10.050000000000001" customHeight="1">
      <c r="A100" s="597">
        <v>39406</v>
      </c>
      <c r="B100" s="54">
        <v>11</v>
      </c>
      <c r="C100" s="53">
        <v>2007</v>
      </c>
      <c r="D100" s="52" t="s">
        <v>113</v>
      </c>
      <c r="E100" s="52" t="s">
        <v>171</v>
      </c>
      <c r="F100" s="595">
        <v>410067.7</v>
      </c>
      <c r="G100" s="595">
        <v>488491.9</v>
      </c>
    </row>
    <row r="101" spans="1:7" ht="10.050000000000001" customHeight="1">
      <c r="A101" s="597">
        <v>39436</v>
      </c>
      <c r="B101" s="54">
        <v>12</v>
      </c>
      <c r="C101" s="53">
        <v>2007</v>
      </c>
      <c r="D101" s="52" t="s">
        <v>113</v>
      </c>
      <c r="E101" s="52" t="s">
        <v>171</v>
      </c>
      <c r="F101" s="595">
        <v>395598.4</v>
      </c>
      <c r="G101" s="595">
        <v>467067.2</v>
      </c>
    </row>
    <row r="102" spans="1:7" ht="10.050000000000001" customHeight="1">
      <c r="A102" s="597">
        <v>39467</v>
      </c>
      <c r="B102" s="54">
        <v>1</v>
      </c>
      <c r="C102" s="53">
        <v>2008</v>
      </c>
      <c r="D102" s="52" t="s">
        <v>113</v>
      </c>
      <c r="E102" s="52" t="s">
        <v>171</v>
      </c>
      <c r="F102" s="595">
        <v>409652.7</v>
      </c>
      <c r="G102" s="595">
        <v>485156.8</v>
      </c>
    </row>
    <row r="103" spans="1:7" ht="10.050000000000001" customHeight="1">
      <c r="A103" s="597">
        <v>39498</v>
      </c>
      <c r="B103" s="54">
        <v>2</v>
      </c>
      <c r="C103" s="53">
        <v>2008</v>
      </c>
      <c r="D103" s="52" t="s">
        <v>113</v>
      </c>
      <c r="E103" s="52" t="s">
        <v>171</v>
      </c>
      <c r="F103" s="595">
        <v>377980.1</v>
      </c>
      <c r="G103" s="595">
        <v>453060</v>
      </c>
    </row>
    <row r="104" spans="1:7" ht="10.050000000000001" customHeight="1">
      <c r="A104" s="597">
        <v>39527</v>
      </c>
      <c r="B104" s="54">
        <v>3</v>
      </c>
      <c r="C104" s="53">
        <v>2008</v>
      </c>
      <c r="D104" s="52" t="s">
        <v>113</v>
      </c>
      <c r="E104" s="52" t="s">
        <v>171</v>
      </c>
      <c r="F104" s="595">
        <v>376560.9</v>
      </c>
      <c r="G104" s="595">
        <v>451072.7</v>
      </c>
    </row>
    <row r="105" spans="1:7" ht="10.050000000000001" customHeight="1">
      <c r="A105" s="597">
        <v>39558</v>
      </c>
      <c r="B105" s="54">
        <v>4</v>
      </c>
      <c r="C105" s="53">
        <v>2008</v>
      </c>
      <c r="D105" s="52" t="s">
        <v>113</v>
      </c>
      <c r="E105" s="52" t="s">
        <v>171</v>
      </c>
      <c r="F105" s="595">
        <v>400657.6</v>
      </c>
      <c r="G105" s="595">
        <v>475677.4</v>
      </c>
    </row>
    <row r="106" spans="1:7" ht="10.050000000000001" customHeight="1">
      <c r="A106" s="597">
        <v>39588</v>
      </c>
      <c r="B106" s="54">
        <v>5</v>
      </c>
      <c r="C106" s="53">
        <v>2008</v>
      </c>
      <c r="D106" s="52" t="s">
        <v>113</v>
      </c>
      <c r="E106" s="52" t="s">
        <v>171</v>
      </c>
      <c r="F106" s="595">
        <v>380009.1</v>
      </c>
      <c r="G106" s="595">
        <v>451409.1</v>
      </c>
    </row>
    <row r="107" spans="1:7" ht="10.050000000000001" customHeight="1">
      <c r="A107" s="597">
        <v>39619</v>
      </c>
      <c r="B107" s="54">
        <v>6</v>
      </c>
      <c r="C107" s="53">
        <v>2008</v>
      </c>
      <c r="D107" s="52" t="s">
        <v>113</v>
      </c>
      <c r="E107" s="52" t="s">
        <v>171</v>
      </c>
      <c r="F107" s="595">
        <v>392590.1</v>
      </c>
      <c r="G107" s="595">
        <v>467807.6</v>
      </c>
    </row>
    <row r="108" spans="1:7" ht="10.050000000000001" customHeight="1">
      <c r="A108" s="597">
        <v>39649</v>
      </c>
      <c r="B108" s="54">
        <v>7</v>
      </c>
      <c r="C108" s="53">
        <v>2008</v>
      </c>
      <c r="D108" s="52" t="s">
        <v>107</v>
      </c>
      <c r="E108" s="52" t="s">
        <v>171</v>
      </c>
      <c r="F108" s="595">
        <v>427006.4</v>
      </c>
      <c r="G108" s="595">
        <v>508725.6</v>
      </c>
    </row>
    <row r="109" spans="1:7" ht="10.050000000000001" customHeight="1">
      <c r="A109" s="597">
        <v>39680</v>
      </c>
      <c r="B109" s="54">
        <v>8</v>
      </c>
      <c r="C109" s="53">
        <v>2008</v>
      </c>
      <c r="D109" s="52" t="s">
        <v>107</v>
      </c>
      <c r="E109" s="52" t="s">
        <v>171</v>
      </c>
      <c r="F109" s="595">
        <v>388383.7</v>
      </c>
      <c r="G109" s="595">
        <v>458017.9</v>
      </c>
    </row>
    <row r="110" spans="1:7" ht="10.050000000000001" customHeight="1">
      <c r="A110" s="597">
        <v>39711</v>
      </c>
      <c r="B110" s="54">
        <v>9</v>
      </c>
      <c r="C110" s="53">
        <v>2008</v>
      </c>
      <c r="D110" s="52" t="s">
        <v>107</v>
      </c>
      <c r="E110" s="52" t="s">
        <v>171</v>
      </c>
      <c r="F110" s="595">
        <v>410828.700000001</v>
      </c>
      <c r="G110" s="595">
        <v>491651.6</v>
      </c>
    </row>
    <row r="111" spans="1:7" ht="10.050000000000001" customHeight="1">
      <c r="A111" s="597">
        <v>39741</v>
      </c>
      <c r="B111" s="54">
        <v>10</v>
      </c>
      <c r="C111" s="53">
        <v>2008</v>
      </c>
      <c r="D111" s="52" t="s">
        <v>107</v>
      </c>
      <c r="E111" s="52" t="s">
        <v>171</v>
      </c>
      <c r="F111" s="595">
        <v>443385.3</v>
      </c>
      <c r="G111" s="595">
        <v>527591.1</v>
      </c>
    </row>
    <row r="112" spans="1:7" ht="10.050000000000001" customHeight="1">
      <c r="A112" s="597">
        <v>39772</v>
      </c>
      <c r="B112" s="54">
        <v>11</v>
      </c>
      <c r="C112" s="53">
        <v>2008</v>
      </c>
      <c r="D112" s="52" t="s">
        <v>107</v>
      </c>
      <c r="E112" s="52" t="s">
        <v>171</v>
      </c>
      <c r="F112" s="595">
        <v>391540.8</v>
      </c>
      <c r="G112" s="595">
        <v>464788.3</v>
      </c>
    </row>
    <row r="113" spans="1:7" ht="10.050000000000001" customHeight="1">
      <c r="A113" s="597">
        <v>39802</v>
      </c>
      <c r="B113" s="54">
        <v>12</v>
      </c>
      <c r="C113" s="53">
        <v>2008</v>
      </c>
      <c r="D113" s="52" t="s">
        <v>107</v>
      </c>
      <c r="E113" s="52" t="s">
        <v>171</v>
      </c>
      <c r="F113" s="595">
        <v>426301.1</v>
      </c>
      <c r="G113" s="595">
        <v>498746.8</v>
      </c>
    </row>
    <row r="114" spans="1:7" ht="10.050000000000001" customHeight="1">
      <c r="A114" s="597">
        <v>39833</v>
      </c>
      <c r="B114" s="54">
        <v>1</v>
      </c>
      <c r="C114" s="53">
        <v>2009</v>
      </c>
      <c r="D114" s="52" t="s">
        <v>107</v>
      </c>
      <c r="E114" s="52" t="s">
        <v>171</v>
      </c>
      <c r="F114" s="595">
        <v>406246.10000000102</v>
      </c>
      <c r="G114" s="595">
        <v>481587.3</v>
      </c>
    </row>
    <row r="115" spans="1:7" ht="10.050000000000001" customHeight="1">
      <c r="A115" s="597">
        <v>39864</v>
      </c>
      <c r="B115" s="54">
        <v>2</v>
      </c>
      <c r="C115" s="53">
        <v>2009</v>
      </c>
      <c r="D115" s="52" t="s">
        <v>107</v>
      </c>
      <c r="E115" s="52" t="s">
        <v>171</v>
      </c>
      <c r="F115" s="595">
        <v>368345.7</v>
      </c>
      <c r="G115" s="595">
        <v>435928.4</v>
      </c>
    </row>
    <row r="116" spans="1:7" ht="10.050000000000001" customHeight="1">
      <c r="A116" s="597">
        <v>39892</v>
      </c>
      <c r="B116" s="54">
        <v>3</v>
      </c>
      <c r="C116" s="53">
        <v>2009</v>
      </c>
      <c r="D116" s="52" t="s">
        <v>107</v>
      </c>
      <c r="E116" s="52" t="s">
        <v>171</v>
      </c>
      <c r="F116" s="595">
        <v>409023.9</v>
      </c>
      <c r="G116" s="595">
        <v>481939.6</v>
      </c>
    </row>
    <row r="117" spans="1:7" ht="10.050000000000001" customHeight="1">
      <c r="A117" s="597">
        <v>39923</v>
      </c>
      <c r="B117" s="54">
        <v>4</v>
      </c>
      <c r="C117" s="53">
        <v>2009</v>
      </c>
      <c r="D117" s="52" t="s">
        <v>107</v>
      </c>
      <c r="E117" s="52" t="s">
        <v>171</v>
      </c>
      <c r="F117" s="595">
        <v>401985.2</v>
      </c>
      <c r="G117" s="595">
        <v>474031.8</v>
      </c>
    </row>
    <row r="118" spans="1:7" ht="10.050000000000001" customHeight="1">
      <c r="A118" s="597">
        <v>39953</v>
      </c>
      <c r="B118" s="54">
        <v>5</v>
      </c>
      <c r="C118" s="53">
        <v>2009</v>
      </c>
      <c r="D118" s="52" t="s">
        <v>107</v>
      </c>
      <c r="E118" s="52" t="s">
        <v>171</v>
      </c>
      <c r="F118" s="595">
        <v>382796.5</v>
      </c>
      <c r="G118" s="595">
        <v>451000.7</v>
      </c>
    </row>
    <row r="119" spans="1:7" ht="10.050000000000001" customHeight="1">
      <c r="A119" s="597">
        <v>39984</v>
      </c>
      <c r="B119" s="54">
        <v>6</v>
      </c>
      <c r="C119" s="53">
        <v>2009</v>
      </c>
      <c r="D119" s="52" t="s">
        <v>107</v>
      </c>
      <c r="E119" s="52" t="s">
        <v>171</v>
      </c>
      <c r="F119" s="595">
        <v>419500.9</v>
      </c>
      <c r="G119" s="595">
        <v>492849.9</v>
      </c>
    </row>
    <row r="120" spans="1:7" ht="10.050000000000001" customHeight="1">
      <c r="A120" s="597">
        <v>40014</v>
      </c>
      <c r="B120" s="54">
        <v>7</v>
      </c>
      <c r="C120" s="53">
        <v>2009</v>
      </c>
      <c r="D120" s="52" t="s">
        <v>114</v>
      </c>
      <c r="E120" s="52" t="s">
        <v>171</v>
      </c>
      <c r="F120" s="595">
        <v>429369.59999999998</v>
      </c>
      <c r="G120" s="595">
        <v>506915.2</v>
      </c>
    </row>
    <row r="121" spans="1:7" ht="10.050000000000001" customHeight="1">
      <c r="A121" s="597">
        <v>40045</v>
      </c>
      <c r="B121" s="54">
        <v>8</v>
      </c>
      <c r="C121" s="53">
        <v>2009</v>
      </c>
      <c r="D121" s="52" t="s">
        <v>114</v>
      </c>
      <c r="E121" s="52" t="s">
        <v>171</v>
      </c>
      <c r="F121" s="595">
        <v>386884.90000000101</v>
      </c>
      <c r="G121" s="595">
        <v>456900.4</v>
      </c>
    </row>
    <row r="122" spans="1:7" ht="10.050000000000001" customHeight="1">
      <c r="A122" s="597">
        <v>40076</v>
      </c>
      <c r="B122" s="54">
        <v>9</v>
      </c>
      <c r="C122" s="53">
        <v>2009</v>
      </c>
      <c r="D122" s="52" t="s">
        <v>114</v>
      </c>
      <c r="E122" s="52" t="s">
        <v>171</v>
      </c>
      <c r="F122" s="595">
        <v>418627.10000000102</v>
      </c>
      <c r="G122" s="595">
        <v>495348.9</v>
      </c>
    </row>
    <row r="123" spans="1:7" ht="10.050000000000001" customHeight="1">
      <c r="A123" s="597">
        <v>40106</v>
      </c>
      <c r="B123" s="54">
        <v>10</v>
      </c>
      <c r="C123" s="53">
        <v>2009</v>
      </c>
      <c r="D123" s="52" t="s">
        <v>114</v>
      </c>
      <c r="E123" s="52" t="s">
        <v>171</v>
      </c>
      <c r="F123" s="595">
        <v>426396.5</v>
      </c>
      <c r="G123" s="595">
        <v>487495.8</v>
      </c>
    </row>
    <row r="124" spans="1:7" ht="10.050000000000001" customHeight="1">
      <c r="A124" s="597">
        <v>40137</v>
      </c>
      <c r="B124" s="54">
        <v>11</v>
      </c>
      <c r="C124" s="53">
        <v>2009</v>
      </c>
      <c r="D124" s="52" t="s">
        <v>114</v>
      </c>
      <c r="E124" s="52" t="s">
        <v>171</v>
      </c>
      <c r="F124" s="595">
        <v>386515.20000000001</v>
      </c>
      <c r="G124" s="595">
        <v>448692.8</v>
      </c>
    </row>
    <row r="125" spans="1:7" ht="10.050000000000001" customHeight="1">
      <c r="A125" s="597">
        <v>40167</v>
      </c>
      <c r="B125" s="54">
        <v>12</v>
      </c>
      <c r="C125" s="53">
        <v>2009</v>
      </c>
      <c r="D125" s="52" t="s">
        <v>114</v>
      </c>
      <c r="E125" s="52" t="s">
        <v>171</v>
      </c>
      <c r="F125" s="595">
        <v>417758.8</v>
      </c>
      <c r="G125" s="595">
        <v>478333.3</v>
      </c>
    </row>
    <row r="126" spans="1:7" ht="10.050000000000001" customHeight="1">
      <c r="A126" s="597">
        <v>40198</v>
      </c>
      <c r="B126" s="54">
        <v>1</v>
      </c>
      <c r="C126" s="53">
        <v>2010</v>
      </c>
      <c r="D126" s="52" t="s">
        <v>114</v>
      </c>
      <c r="E126" s="52" t="s">
        <v>171</v>
      </c>
      <c r="F126" s="595">
        <v>402413.5</v>
      </c>
      <c r="G126" s="595">
        <v>452279.7</v>
      </c>
    </row>
    <row r="127" spans="1:7" ht="10.050000000000001" customHeight="1">
      <c r="A127" s="597">
        <v>40229</v>
      </c>
      <c r="B127" s="54">
        <v>2</v>
      </c>
      <c r="C127" s="53">
        <v>2010</v>
      </c>
      <c r="D127" s="52" t="s">
        <v>114</v>
      </c>
      <c r="E127" s="52" t="s">
        <v>171</v>
      </c>
      <c r="F127" s="595">
        <v>383216.90000000101</v>
      </c>
      <c r="G127" s="595">
        <v>421486.1</v>
      </c>
    </row>
    <row r="128" spans="1:7" ht="10.050000000000001" customHeight="1">
      <c r="A128" s="597">
        <v>40257</v>
      </c>
      <c r="B128" s="54">
        <v>3</v>
      </c>
      <c r="C128" s="53">
        <v>2010</v>
      </c>
      <c r="D128" s="52" t="s">
        <v>114</v>
      </c>
      <c r="E128" s="52" t="s">
        <v>171</v>
      </c>
      <c r="F128" s="595">
        <v>441926.9</v>
      </c>
      <c r="G128" s="595">
        <v>506566.7</v>
      </c>
    </row>
    <row r="129" spans="1:7" ht="10.050000000000001" customHeight="1">
      <c r="A129" s="597">
        <v>40288</v>
      </c>
      <c r="B129" s="54">
        <v>4</v>
      </c>
      <c r="C129" s="53">
        <v>2010</v>
      </c>
      <c r="D129" s="52" t="s">
        <v>114</v>
      </c>
      <c r="E129" s="52" t="s">
        <v>171</v>
      </c>
      <c r="F129" s="595">
        <v>392205.299999999</v>
      </c>
      <c r="G129" s="595">
        <v>451554.5</v>
      </c>
    </row>
    <row r="130" spans="1:7" ht="10.050000000000001" customHeight="1">
      <c r="A130" s="597">
        <v>40318</v>
      </c>
      <c r="B130" s="54">
        <v>5</v>
      </c>
      <c r="C130" s="53">
        <v>2010</v>
      </c>
      <c r="D130" s="52" t="s">
        <v>114</v>
      </c>
      <c r="E130" s="52" t="s">
        <v>171</v>
      </c>
      <c r="F130" s="595">
        <v>385123</v>
      </c>
      <c r="G130" s="595">
        <v>447691.7</v>
      </c>
    </row>
    <row r="131" spans="1:7" ht="10.050000000000001" customHeight="1">
      <c r="A131" s="597">
        <v>40349</v>
      </c>
      <c r="B131" s="54">
        <v>6</v>
      </c>
      <c r="C131" s="53">
        <v>2010</v>
      </c>
      <c r="D131" s="52" t="s">
        <v>114</v>
      </c>
      <c r="E131" s="52" t="s">
        <v>171</v>
      </c>
      <c r="F131" s="595">
        <v>416113.799999999</v>
      </c>
      <c r="G131" s="595">
        <v>485970.1</v>
      </c>
    </row>
    <row r="132" spans="1:7" ht="10.050000000000001" customHeight="1">
      <c r="A132" s="597">
        <v>40379</v>
      </c>
      <c r="B132" s="54">
        <v>7</v>
      </c>
      <c r="C132" s="53">
        <v>2010</v>
      </c>
      <c r="D132" s="52" t="s">
        <v>115</v>
      </c>
      <c r="E132" s="52" t="s">
        <v>171</v>
      </c>
      <c r="F132" s="595">
        <v>403969.43900000001</v>
      </c>
      <c r="G132" s="595">
        <v>465247.864</v>
      </c>
    </row>
    <row r="133" spans="1:7" ht="10.050000000000001" customHeight="1">
      <c r="A133" s="597">
        <v>40410</v>
      </c>
      <c r="B133" s="54">
        <v>8</v>
      </c>
      <c r="C133" s="53">
        <v>2010</v>
      </c>
      <c r="D133" s="52" t="s">
        <v>115</v>
      </c>
      <c r="E133" s="52" t="s">
        <v>171</v>
      </c>
      <c r="F133" s="595">
        <v>395425.63</v>
      </c>
      <c r="G133" s="595">
        <v>455503.90399999998</v>
      </c>
    </row>
    <row r="134" spans="1:7" ht="10.050000000000001" customHeight="1">
      <c r="A134" s="597">
        <v>40441</v>
      </c>
      <c r="B134" s="54">
        <v>9</v>
      </c>
      <c r="C134" s="53">
        <v>2010</v>
      </c>
      <c r="D134" s="52" t="s">
        <v>115</v>
      </c>
      <c r="E134" s="52" t="s">
        <v>171</v>
      </c>
      <c r="F134" s="595">
        <v>418975.77</v>
      </c>
      <c r="G134" s="595">
        <v>477369.47</v>
      </c>
    </row>
    <row r="135" spans="1:7" ht="10.050000000000001" customHeight="1">
      <c r="A135" s="597">
        <v>40471</v>
      </c>
      <c r="B135" s="54">
        <v>10</v>
      </c>
      <c r="C135" s="53">
        <v>2010</v>
      </c>
      <c r="D135" s="52" t="s">
        <v>115</v>
      </c>
      <c r="E135" s="52" t="s">
        <v>171</v>
      </c>
      <c r="F135" s="595">
        <v>427956.22700000001</v>
      </c>
      <c r="G135" s="595">
        <v>486474.87800000003</v>
      </c>
    </row>
    <row r="136" spans="1:7" ht="10.050000000000001" customHeight="1">
      <c r="A136" s="597">
        <v>40502</v>
      </c>
      <c r="B136" s="54">
        <v>11</v>
      </c>
      <c r="C136" s="53">
        <v>2010</v>
      </c>
      <c r="D136" s="52" t="s">
        <v>115</v>
      </c>
      <c r="E136" s="52" t="s">
        <v>171</v>
      </c>
      <c r="F136" s="595">
        <v>398371.62300000002</v>
      </c>
      <c r="G136" s="595">
        <v>453412.51799999998</v>
      </c>
    </row>
    <row r="137" spans="1:7" ht="10.050000000000001" customHeight="1">
      <c r="A137" s="597">
        <v>40532</v>
      </c>
      <c r="B137" s="54">
        <v>12</v>
      </c>
      <c r="C137" s="53">
        <v>2010</v>
      </c>
      <c r="D137" s="52" t="s">
        <v>115</v>
      </c>
      <c r="E137" s="52" t="s">
        <v>171</v>
      </c>
      <c r="F137" s="595">
        <v>424426.848</v>
      </c>
      <c r="G137" s="595">
        <v>478789.42700000003</v>
      </c>
    </row>
    <row r="138" spans="1:7" ht="10.050000000000001" customHeight="1">
      <c r="A138" s="597">
        <v>40563</v>
      </c>
      <c r="B138" s="54">
        <v>1</v>
      </c>
      <c r="C138" s="53">
        <v>2011</v>
      </c>
      <c r="D138" s="52" t="s">
        <v>115</v>
      </c>
      <c r="E138" s="52" t="s">
        <v>171</v>
      </c>
      <c r="F138" s="595">
        <v>388532.80099999998</v>
      </c>
      <c r="G138" s="595">
        <v>443122.47100000002</v>
      </c>
    </row>
    <row r="139" spans="1:7" ht="10.050000000000001" customHeight="1">
      <c r="A139" s="597">
        <v>40594</v>
      </c>
      <c r="B139" s="54">
        <v>2</v>
      </c>
      <c r="C139" s="53">
        <v>2011</v>
      </c>
      <c r="D139" s="52" t="s">
        <v>115</v>
      </c>
      <c r="E139" s="52" t="s">
        <v>171</v>
      </c>
      <c r="F139" s="595">
        <v>364884.98</v>
      </c>
      <c r="G139" s="595">
        <v>417318.88400000002</v>
      </c>
    </row>
    <row r="140" spans="1:7" ht="10.050000000000001" customHeight="1">
      <c r="A140" s="597">
        <v>40622</v>
      </c>
      <c r="B140" s="54">
        <v>3</v>
      </c>
      <c r="C140" s="53">
        <v>2011</v>
      </c>
      <c r="D140" s="52" t="s">
        <v>115</v>
      </c>
      <c r="E140" s="52" t="s">
        <v>171</v>
      </c>
      <c r="F140" s="595">
        <v>418406.196</v>
      </c>
      <c r="G140" s="595">
        <v>471759.62</v>
      </c>
    </row>
    <row r="141" spans="1:7" ht="10.050000000000001" customHeight="1">
      <c r="A141" s="597">
        <v>40653</v>
      </c>
      <c r="B141" s="54">
        <v>4</v>
      </c>
      <c r="C141" s="53">
        <v>2011</v>
      </c>
      <c r="D141" s="52" t="s">
        <v>115</v>
      </c>
      <c r="E141" s="52" t="s">
        <v>171</v>
      </c>
      <c r="F141" s="595">
        <v>388535.31699999998</v>
      </c>
      <c r="G141" s="595">
        <v>445339.46</v>
      </c>
    </row>
    <row r="142" spans="1:7" ht="10.050000000000001" customHeight="1">
      <c r="A142" s="597">
        <v>40683</v>
      </c>
      <c r="B142" s="54">
        <v>5</v>
      </c>
      <c r="C142" s="53">
        <v>2011</v>
      </c>
      <c r="D142" s="52" t="s">
        <v>115</v>
      </c>
      <c r="E142" s="52" t="s">
        <v>171</v>
      </c>
      <c r="F142" s="595">
        <v>410933.63</v>
      </c>
      <c r="G142" s="595">
        <v>469938.288</v>
      </c>
    </row>
    <row r="143" spans="1:7" ht="10.050000000000001" customHeight="1">
      <c r="A143" s="597">
        <v>40714</v>
      </c>
      <c r="B143" s="54">
        <v>6</v>
      </c>
      <c r="C143" s="53">
        <v>2011</v>
      </c>
      <c r="D143" s="52" t="s">
        <v>115</v>
      </c>
      <c r="E143" s="52" t="s">
        <v>171</v>
      </c>
      <c r="F143" s="595">
        <v>394517.26199999999</v>
      </c>
      <c r="G143" s="595">
        <v>449284.299</v>
      </c>
    </row>
    <row r="144" spans="1:7" ht="10.050000000000001" customHeight="1">
      <c r="A144" s="597">
        <v>40744</v>
      </c>
      <c r="B144" s="54">
        <v>7</v>
      </c>
      <c r="C144" s="53">
        <v>2011</v>
      </c>
      <c r="D144" s="52" t="s">
        <v>116</v>
      </c>
      <c r="E144" s="52" t="s">
        <v>171</v>
      </c>
      <c r="F144" s="595">
        <v>391155.78200000001</v>
      </c>
      <c r="G144" s="595">
        <v>451828.79300000001</v>
      </c>
    </row>
    <row r="145" spans="1:7" ht="10.050000000000001" customHeight="1">
      <c r="A145" s="597">
        <v>40775</v>
      </c>
      <c r="B145" s="54">
        <v>8</v>
      </c>
      <c r="C145" s="53">
        <v>2011</v>
      </c>
      <c r="D145" s="52" t="s">
        <v>116</v>
      </c>
      <c r="E145" s="52" t="s">
        <v>171</v>
      </c>
      <c r="F145" s="595">
        <v>410453.12800000003</v>
      </c>
      <c r="G145" s="595">
        <v>469847.02600000001</v>
      </c>
    </row>
    <row r="146" spans="1:7" ht="10.050000000000001" customHeight="1">
      <c r="A146" s="597">
        <v>40806</v>
      </c>
      <c r="B146" s="54">
        <v>9</v>
      </c>
      <c r="C146" s="53">
        <v>2011</v>
      </c>
      <c r="D146" s="52" t="s">
        <v>116</v>
      </c>
      <c r="E146" s="52" t="s">
        <v>171</v>
      </c>
      <c r="F146" s="595">
        <v>433706.18599999999</v>
      </c>
      <c r="G146" s="595">
        <v>489536.27399999998</v>
      </c>
    </row>
    <row r="147" spans="1:7" ht="10.050000000000001" customHeight="1">
      <c r="A147" s="597">
        <v>40836</v>
      </c>
      <c r="B147" s="54">
        <v>10</v>
      </c>
      <c r="C147" s="53">
        <v>2011</v>
      </c>
      <c r="D147" s="52" t="s">
        <v>116</v>
      </c>
      <c r="E147" s="52" t="s">
        <v>171</v>
      </c>
      <c r="F147" s="595">
        <v>416959.16000000102</v>
      </c>
      <c r="G147" s="595">
        <v>476919.13</v>
      </c>
    </row>
    <row r="148" spans="1:7" ht="10.050000000000001" customHeight="1">
      <c r="A148" s="597">
        <v>40867</v>
      </c>
      <c r="B148" s="54">
        <v>11</v>
      </c>
      <c r="C148" s="53">
        <v>2011</v>
      </c>
      <c r="D148" s="52" t="s">
        <v>116</v>
      </c>
      <c r="E148" s="52" t="s">
        <v>171</v>
      </c>
      <c r="F148" s="595">
        <v>413282.16100000002</v>
      </c>
      <c r="G148" s="595">
        <v>462977.68400000001</v>
      </c>
    </row>
    <row r="149" spans="1:7" ht="10.050000000000001" customHeight="1">
      <c r="A149" s="597">
        <v>40897</v>
      </c>
      <c r="B149" s="54">
        <v>12</v>
      </c>
      <c r="C149" s="53">
        <v>2011</v>
      </c>
      <c r="D149" s="52" t="s">
        <v>116</v>
      </c>
      <c r="E149" s="52" t="s">
        <v>171</v>
      </c>
      <c r="F149" s="595">
        <v>457981.45299999998</v>
      </c>
      <c r="G149" s="595">
        <v>512729.46299999999</v>
      </c>
    </row>
    <row r="150" spans="1:7" ht="10.050000000000001" customHeight="1">
      <c r="A150" s="597">
        <v>40928</v>
      </c>
      <c r="B150" s="54">
        <v>1</v>
      </c>
      <c r="C150" s="53">
        <v>2012</v>
      </c>
      <c r="D150" s="52" t="s">
        <v>116</v>
      </c>
      <c r="E150" s="52" t="s">
        <v>171</v>
      </c>
      <c r="F150" s="595">
        <v>411955.59600000101</v>
      </c>
      <c r="G150" s="595">
        <v>466512.89299999998</v>
      </c>
    </row>
    <row r="151" spans="1:7" ht="10.050000000000001" customHeight="1">
      <c r="A151" s="597">
        <v>40959</v>
      </c>
      <c r="B151" s="54">
        <v>2</v>
      </c>
      <c r="C151" s="53">
        <v>2012</v>
      </c>
      <c r="D151" s="52" t="s">
        <v>116</v>
      </c>
      <c r="E151" s="52" t="s">
        <v>171</v>
      </c>
      <c r="F151" s="595">
        <v>390724.87800000003</v>
      </c>
      <c r="G151" s="595">
        <v>443966.14199999999</v>
      </c>
    </row>
    <row r="152" spans="1:7" ht="10.050000000000001" customHeight="1">
      <c r="A152" s="597">
        <v>40988</v>
      </c>
      <c r="B152" s="54">
        <v>3</v>
      </c>
      <c r="C152" s="53">
        <v>2012</v>
      </c>
      <c r="D152" s="52" t="s">
        <v>116</v>
      </c>
      <c r="E152" s="52" t="s">
        <v>171</v>
      </c>
      <c r="F152" s="595">
        <v>424422.44099999999</v>
      </c>
      <c r="G152" s="595">
        <v>481515.91899999999</v>
      </c>
    </row>
    <row r="153" spans="1:7" ht="10.050000000000001" customHeight="1">
      <c r="A153" s="597">
        <v>41019</v>
      </c>
      <c r="B153" s="54">
        <v>4</v>
      </c>
      <c r="C153" s="53">
        <v>2012</v>
      </c>
      <c r="D153" s="52" t="s">
        <v>116</v>
      </c>
      <c r="E153" s="52" t="s">
        <v>171</v>
      </c>
      <c r="F153" s="595">
        <v>406260.27500000002</v>
      </c>
      <c r="G153" s="595">
        <v>460723.55499999999</v>
      </c>
    </row>
    <row r="154" spans="1:7" ht="10.050000000000001" customHeight="1">
      <c r="A154" s="597">
        <v>41049</v>
      </c>
      <c r="B154" s="54">
        <v>5</v>
      </c>
      <c r="C154" s="53">
        <v>2012</v>
      </c>
      <c r="D154" s="52" t="s">
        <v>116</v>
      </c>
      <c r="E154" s="52" t="s">
        <v>171</v>
      </c>
      <c r="F154" s="595">
        <v>402324.696</v>
      </c>
      <c r="G154" s="595">
        <v>455591.46399999998</v>
      </c>
    </row>
    <row r="155" spans="1:7" ht="10.050000000000001" customHeight="1">
      <c r="A155" s="597">
        <v>41080</v>
      </c>
      <c r="B155" s="54">
        <v>6</v>
      </c>
      <c r="C155" s="53">
        <v>2012</v>
      </c>
      <c r="D155" s="52" t="s">
        <v>116</v>
      </c>
      <c r="E155" s="52" t="s">
        <v>171</v>
      </c>
      <c r="F155" s="595">
        <v>427374.01199999999</v>
      </c>
      <c r="G155" s="595">
        <v>488854.21</v>
      </c>
    </row>
    <row r="156" spans="1:7" ht="10.050000000000001" customHeight="1">
      <c r="A156" s="597">
        <v>41110</v>
      </c>
      <c r="B156" s="54">
        <v>7</v>
      </c>
      <c r="C156" s="53">
        <v>2012</v>
      </c>
      <c r="D156" s="52" t="s">
        <v>117</v>
      </c>
      <c r="E156" s="52" t="s">
        <v>171</v>
      </c>
      <c r="F156" s="595">
        <v>406528.033</v>
      </c>
      <c r="G156" s="595">
        <v>462924.87099999998</v>
      </c>
    </row>
    <row r="157" spans="1:7" ht="10.050000000000001" customHeight="1">
      <c r="A157" s="597">
        <v>41141</v>
      </c>
      <c r="B157" s="54">
        <v>8</v>
      </c>
      <c r="C157" s="53">
        <v>2012</v>
      </c>
      <c r="D157" s="52" t="s">
        <v>117</v>
      </c>
      <c r="E157" s="52" t="s">
        <v>171</v>
      </c>
      <c r="F157" s="595">
        <v>406269.51500000001</v>
      </c>
      <c r="G157" s="595">
        <v>467065.12</v>
      </c>
    </row>
    <row r="158" spans="1:7" ht="10.050000000000001" customHeight="1">
      <c r="A158" s="597">
        <v>41172</v>
      </c>
      <c r="B158" s="54">
        <v>9</v>
      </c>
      <c r="C158" s="53">
        <v>2012</v>
      </c>
      <c r="D158" s="52" t="s">
        <v>117</v>
      </c>
      <c r="E158" s="52" t="s">
        <v>171</v>
      </c>
      <c r="F158" s="595">
        <v>382532.69199999998</v>
      </c>
      <c r="G158" s="595">
        <v>438829.33600000001</v>
      </c>
    </row>
    <row r="159" spans="1:7" ht="10.050000000000001" customHeight="1">
      <c r="A159" s="597">
        <v>41202</v>
      </c>
      <c r="B159" s="54">
        <v>10</v>
      </c>
      <c r="C159" s="53">
        <v>2012</v>
      </c>
      <c r="D159" s="52" t="s">
        <v>117</v>
      </c>
      <c r="E159" s="52" t="s">
        <v>171</v>
      </c>
      <c r="F159" s="595">
        <v>442765.57</v>
      </c>
      <c r="G159" s="595">
        <v>507755.68599999999</v>
      </c>
    </row>
    <row r="160" spans="1:7" ht="10.050000000000001" customHeight="1">
      <c r="A160" s="597">
        <v>41233</v>
      </c>
      <c r="B160" s="54">
        <v>11</v>
      </c>
      <c r="C160" s="53">
        <v>2012</v>
      </c>
      <c r="D160" s="52" t="s">
        <v>117</v>
      </c>
      <c r="E160" s="52" t="s">
        <v>171</v>
      </c>
      <c r="F160" s="595">
        <v>403679.03600000101</v>
      </c>
      <c r="G160" s="595">
        <v>468221.76500000001</v>
      </c>
    </row>
    <row r="161" spans="1:7" ht="10.050000000000001" customHeight="1">
      <c r="A161" s="597">
        <v>41263</v>
      </c>
      <c r="B161" s="54">
        <v>12</v>
      </c>
      <c r="C161" s="53">
        <v>2012</v>
      </c>
      <c r="D161" s="52" t="s">
        <v>117</v>
      </c>
      <c r="E161" s="52" t="s">
        <v>171</v>
      </c>
      <c r="F161" s="595">
        <v>374801.34299999999</v>
      </c>
      <c r="G161" s="595">
        <v>433308.924</v>
      </c>
    </row>
    <row r="162" spans="1:7" ht="10.050000000000001" customHeight="1">
      <c r="A162" s="597">
        <v>41294</v>
      </c>
      <c r="B162" s="54">
        <v>1</v>
      </c>
      <c r="C162" s="53">
        <v>2013</v>
      </c>
      <c r="D162" s="52" t="s">
        <v>117</v>
      </c>
      <c r="E162" s="52" t="s">
        <v>171</v>
      </c>
      <c r="F162" s="595">
        <v>404120.103</v>
      </c>
      <c r="G162" s="595">
        <v>465616.31300000002</v>
      </c>
    </row>
    <row r="163" spans="1:7" ht="10.050000000000001" customHeight="1">
      <c r="A163" s="597">
        <v>41325</v>
      </c>
      <c r="B163" s="54">
        <v>2</v>
      </c>
      <c r="C163" s="53">
        <v>2013</v>
      </c>
      <c r="D163" s="52" t="s">
        <v>117</v>
      </c>
      <c r="E163" s="52" t="s">
        <v>171</v>
      </c>
      <c r="F163" s="595">
        <v>371748.12</v>
      </c>
      <c r="G163" s="595">
        <v>434037.00799999997</v>
      </c>
    </row>
    <row r="164" spans="1:7" ht="10.050000000000001" customHeight="1">
      <c r="A164" s="597">
        <v>41353</v>
      </c>
      <c r="B164" s="54">
        <v>3</v>
      </c>
      <c r="C164" s="53">
        <v>2013</v>
      </c>
      <c r="D164" s="52" t="s">
        <v>117</v>
      </c>
      <c r="E164" s="52" t="s">
        <v>171</v>
      </c>
      <c r="F164" s="595">
        <v>405992.31300000002</v>
      </c>
      <c r="G164" s="595">
        <v>471706.37199999997</v>
      </c>
    </row>
    <row r="165" spans="1:7" ht="10.050000000000001" customHeight="1">
      <c r="A165" s="597">
        <v>41384</v>
      </c>
      <c r="B165" s="54">
        <v>4</v>
      </c>
      <c r="C165" s="53">
        <v>2013</v>
      </c>
      <c r="D165" s="52" t="s">
        <v>117</v>
      </c>
      <c r="E165" s="52" t="s">
        <v>171</v>
      </c>
      <c r="F165" s="595">
        <v>411865.27500000002</v>
      </c>
      <c r="G165" s="595">
        <v>478987.85100000002</v>
      </c>
    </row>
    <row r="166" spans="1:7" ht="10.050000000000001" customHeight="1">
      <c r="A166" s="597">
        <v>41414</v>
      </c>
      <c r="B166" s="54">
        <v>5</v>
      </c>
      <c r="C166" s="53">
        <v>2013</v>
      </c>
      <c r="D166" s="52" t="s">
        <v>117</v>
      </c>
      <c r="E166" s="52" t="s">
        <v>171</v>
      </c>
      <c r="F166" s="595">
        <v>407156.17700000003</v>
      </c>
      <c r="G166" s="595">
        <v>468941.66399999999</v>
      </c>
    </row>
    <row r="167" spans="1:7" ht="10.050000000000001" customHeight="1">
      <c r="A167" s="597">
        <v>41445</v>
      </c>
      <c r="B167" s="54">
        <v>6</v>
      </c>
      <c r="C167" s="53">
        <v>2013</v>
      </c>
      <c r="D167" s="52" t="s">
        <v>117</v>
      </c>
      <c r="E167" s="52" t="s">
        <v>171</v>
      </c>
      <c r="F167" s="595">
        <v>400045.12900000002</v>
      </c>
      <c r="G167" s="595">
        <v>466494.02399999998</v>
      </c>
    </row>
    <row r="168" spans="1:7" ht="10.050000000000001" customHeight="1">
      <c r="A168" s="597">
        <v>41475</v>
      </c>
      <c r="B168" s="54">
        <v>7</v>
      </c>
      <c r="C168" s="53">
        <v>2013</v>
      </c>
      <c r="D168" s="52" t="s">
        <v>118</v>
      </c>
      <c r="E168" s="52" t="s">
        <v>171</v>
      </c>
      <c r="F168" s="595">
        <v>417843.84299999999</v>
      </c>
      <c r="G168" s="595">
        <v>484666.65100000001</v>
      </c>
    </row>
    <row r="169" spans="1:7" ht="10.050000000000001" customHeight="1">
      <c r="A169" s="597">
        <v>41506</v>
      </c>
      <c r="B169" s="54">
        <v>8</v>
      </c>
      <c r="C169" s="53">
        <v>2013</v>
      </c>
      <c r="D169" s="52" t="s">
        <v>118</v>
      </c>
      <c r="E169" s="52" t="s">
        <v>171</v>
      </c>
      <c r="F169" s="595">
        <v>383794.30499999999</v>
      </c>
      <c r="G169" s="595">
        <v>450082.29</v>
      </c>
    </row>
    <row r="170" spans="1:7" ht="10.050000000000001" customHeight="1">
      <c r="A170" s="597">
        <v>41537</v>
      </c>
      <c r="B170" s="54">
        <v>9</v>
      </c>
      <c r="C170" s="53">
        <v>2013</v>
      </c>
      <c r="D170" s="52" t="s">
        <v>118</v>
      </c>
      <c r="E170" s="52" t="s">
        <v>171</v>
      </c>
      <c r="F170" s="595">
        <v>398373.140000001</v>
      </c>
      <c r="G170" s="595">
        <v>461395.92700000003</v>
      </c>
    </row>
    <row r="171" spans="1:7" ht="10.050000000000001" customHeight="1">
      <c r="A171" s="597">
        <v>41567</v>
      </c>
      <c r="B171" s="54">
        <v>10</v>
      </c>
      <c r="C171" s="53">
        <v>2013</v>
      </c>
      <c r="D171" s="52" t="s">
        <v>118</v>
      </c>
      <c r="E171" s="52" t="s">
        <v>171</v>
      </c>
      <c r="F171" s="595">
        <v>450206.321</v>
      </c>
      <c r="G171" s="595">
        <v>515109.18</v>
      </c>
    </row>
    <row r="172" spans="1:7" ht="10.050000000000001" customHeight="1">
      <c r="A172" s="597">
        <v>41598</v>
      </c>
      <c r="B172" s="54">
        <v>11</v>
      </c>
      <c r="C172" s="53">
        <v>2013</v>
      </c>
      <c r="D172" s="52" t="s">
        <v>118</v>
      </c>
      <c r="E172" s="52" t="s">
        <v>171</v>
      </c>
      <c r="F172" s="595">
        <v>399073.15600000002</v>
      </c>
      <c r="G172" s="595">
        <v>459475.35100000002</v>
      </c>
    </row>
    <row r="173" spans="1:7" ht="10.050000000000001" customHeight="1">
      <c r="A173" s="597">
        <v>41628</v>
      </c>
      <c r="B173" s="54">
        <v>12</v>
      </c>
      <c r="C173" s="53">
        <v>2013</v>
      </c>
      <c r="D173" s="52" t="s">
        <v>118</v>
      </c>
      <c r="E173" s="52" t="s">
        <v>171</v>
      </c>
      <c r="F173" s="595">
        <v>404186.304</v>
      </c>
      <c r="G173" s="595">
        <v>467081.97200000001</v>
      </c>
    </row>
    <row r="174" spans="1:7" ht="10.050000000000001" customHeight="1">
      <c r="A174" s="597">
        <v>41659</v>
      </c>
      <c r="B174" s="54">
        <v>1</v>
      </c>
      <c r="C174" s="53">
        <v>2014</v>
      </c>
      <c r="D174" s="52" t="s">
        <v>118</v>
      </c>
      <c r="E174" s="52" t="s">
        <v>171</v>
      </c>
      <c r="F174" s="595">
        <v>409471.48300000001</v>
      </c>
      <c r="G174" s="595">
        <v>471599.71899999998</v>
      </c>
    </row>
    <row r="175" spans="1:7" ht="10.050000000000001" customHeight="1">
      <c r="A175" s="597">
        <v>41690</v>
      </c>
      <c r="B175" s="54">
        <v>2</v>
      </c>
      <c r="C175" s="53">
        <v>2014</v>
      </c>
      <c r="D175" s="52" t="s">
        <v>118</v>
      </c>
      <c r="E175" s="52" t="s">
        <v>171</v>
      </c>
      <c r="F175" s="595">
        <v>352376.087</v>
      </c>
      <c r="G175" s="595">
        <v>406540.89799999999</v>
      </c>
    </row>
    <row r="176" spans="1:7" ht="10.050000000000001" customHeight="1">
      <c r="A176" s="597">
        <v>41718</v>
      </c>
      <c r="B176" s="54">
        <v>3</v>
      </c>
      <c r="C176" s="53">
        <v>2014</v>
      </c>
      <c r="D176" s="52" t="s">
        <v>118</v>
      </c>
      <c r="E176" s="52" t="s">
        <v>171</v>
      </c>
      <c r="F176" s="595">
        <v>376821.11800000002</v>
      </c>
      <c r="G176" s="595">
        <v>438507.92599999998</v>
      </c>
    </row>
    <row r="177" spans="1:7" ht="10.050000000000001" customHeight="1">
      <c r="A177" s="597">
        <v>41749</v>
      </c>
      <c r="B177" s="54">
        <v>4</v>
      </c>
      <c r="C177" s="53">
        <v>2014</v>
      </c>
      <c r="D177" s="52" t="s">
        <v>118</v>
      </c>
      <c r="E177" s="52" t="s">
        <v>171</v>
      </c>
      <c r="F177" s="595">
        <v>402739.86900000001</v>
      </c>
      <c r="G177" s="595">
        <v>470396.23300000001</v>
      </c>
    </row>
    <row r="178" spans="1:7" ht="10.050000000000001" customHeight="1">
      <c r="A178" s="597">
        <v>41779</v>
      </c>
      <c r="B178" s="54">
        <v>5</v>
      </c>
      <c r="C178" s="53">
        <v>2014</v>
      </c>
      <c r="D178" s="52" t="s">
        <v>118</v>
      </c>
      <c r="E178" s="52" t="s">
        <v>171</v>
      </c>
      <c r="F178" s="595">
        <v>382504.58100000001</v>
      </c>
      <c r="G178" s="595">
        <v>443225.255</v>
      </c>
    </row>
    <row r="179" spans="1:7" ht="10.050000000000001" customHeight="1">
      <c r="A179" s="597">
        <v>41810</v>
      </c>
      <c r="B179" s="54">
        <v>6</v>
      </c>
      <c r="C179" s="53">
        <v>2014</v>
      </c>
      <c r="D179" s="52" t="s">
        <v>118</v>
      </c>
      <c r="E179" s="52" t="s">
        <v>171</v>
      </c>
      <c r="F179" s="595">
        <v>389838.56599999999</v>
      </c>
      <c r="G179" s="595">
        <v>452794.30099999998</v>
      </c>
    </row>
    <row r="180" spans="1:7" ht="10.050000000000001" customHeight="1">
      <c r="A180" s="597">
        <v>41840</v>
      </c>
      <c r="B180" s="54">
        <v>7</v>
      </c>
      <c r="C180" s="53">
        <v>2014</v>
      </c>
      <c r="D180" s="52" t="s">
        <v>119</v>
      </c>
      <c r="E180" s="52" t="s">
        <v>171</v>
      </c>
      <c r="F180" s="595">
        <v>409094.174</v>
      </c>
      <c r="G180" s="595">
        <v>480206.08299999998</v>
      </c>
    </row>
    <row r="181" spans="1:7" ht="10.050000000000001" customHeight="1">
      <c r="A181" s="597">
        <v>41871</v>
      </c>
      <c r="B181" s="54">
        <v>8</v>
      </c>
      <c r="C181" s="53">
        <v>2014</v>
      </c>
      <c r="D181" s="52" t="s">
        <v>119</v>
      </c>
      <c r="E181" s="52" t="s">
        <v>171</v>
      </c>
      <c r="F181" s="595">
        <v>367579.962</v>
      </c>
      <c r="G181" s="595">
        <v>432227.68</v>
      </c>
    </row>
    <row r="182" spans="1:7" ht="10.050000000000001" customHeight="1">
      <c r="A182" s="597">
        <v>41902</v>
      </c>
      <c r="B182" s="54">
        <v>9</v>
      </c>
      <c r="C182" s="53">
        <v>2014</v>
      </c>
      <c r="D182" s="52" t="s">
        <v>119</v>
      </c>
      <c r="E182" s="52" t="s">
        <v>171</v>
      </c>
      <c r="F182" s="595">
        <v>402815.12</v>
      </c>
      <c r="G182" s="595">
        <v>473118.435</v>
      </c>
    </row>
    <row r="183" spans="1:7" ht="10.050000000000001" customHeight="1">
      <c r="A183" s="597">
        <v>41932</v>
      </c>
      <c r="B183" s="54">
        <v>10</v>
      </c>
      <c r="C183" s="53">
        <v>2014</v>
      </c>
      <c r="D183" s="52" t="s">
        <v>119</v>
      </c>
      <c r="E183" s="52" t="s">
        <v>171</v>
      </c>
      <c r="F183" s="595">
        <v>415747.84299999999</v>
      </c>
      <c r="G183" s="595">
        <v>484517.114</v>
      </c>
    </row>
    <row r="184" spans="1:7" ht="10.050000000000001" customHeight="1">
      <c r="A184" s="597">
        <v>41963</v>
      </c>
      <c r="B184" s="54">
        <v>11</v>
      </c>
      <c r="C184" s="53">
        <v>2014</v>
      </c>
      <c r="D184" s="52" t="s">
        <v>119</v>
      </c>
      <c r="E184" s="52" t="s">
        <v>171</v>
      </c>
      <c r="F184" s="595">
        <v>367344.68599999999</v>
      </c>
      <c r="G184" s="595">
        <v>428451.902</v>
      </c>
    </row>
    <row r="185" spans="1:7" ht="10.050000000000001" customHeight="1">
      <c r="A185" s="597">
        <v>41993</v>
      </c>
      <c r="B185" s="54">
        <v>12</v>
      </c>
      <c r="C185" s="53">
        <v>2014</v>
      </c>
      <c r="D185" s="52" t="s">
        <v>119</v>
      </c>
      <c r="E185" s="52" t="s">
        <v>171</v>
      </c>
      <c r="F185" s="595">
        <v>414901.45699999999</v>
      </c>
      <c r="G185" s="595">
        <v>473492.11700000003</v>
      </c>
    </row>
    <row r="186" spans="1:7" ht="10.050000000000001" customHeight="1">
      <c r="A186" s="597">
        <v>42024</v>
      </c>
      <c r="B186" s="54">
        <v>1</v>
      </c>
      <c r="C186" s="53">
        <v>2015</v>
      </c>
      <c r="D186" s="52" t="s">
        <v>119</v>
      </c>
      <c r="E186" s="52" t="s">
        <v>171</v>
      </c>
      <c r="F186" s="595">
        <v>396924.98300000001</v>
      </c>
      <c r="G186" s="595">
        <v>466507.65500000003</v>
      </c>
    </row>
    <row r="187" spans="1:7" ht="10.050000000000001" customHeight="1">
      <c r="A187" s="597">
        <v>42055</v>
      </c>
      <c r="B187" s="54">
        <v>2</v>
      </c>
      <c r="C187" s="53">
        <v>2015</v>
      </c>
      <c r="D187" s="52" t="s">
        <v>119</v>
      </c>
      <c r="E187" s="52" t="s">
        <v>171</v>
      </c>
      <c r="F187" s="595">
        <v>342298.79</v>
      </c>
      <c r="G187" s="595">
        <v>403414.47200000001</v>
      </c>
    </row>
    <row r="188" spans="1:7" ht="10.050000000000001" customHeight="1">
      <c r="A188" s="597">
        <v>42083</v>
      </c>
      <c r="B188" s="54">
        <v>3</v>
      </c>
      <c r="C188" s="53">
        <v>2015</v>
      </c>
      <c r="D188" s="52" t="s">
        <v>119</v>
      </c>
      <c r="E188" s="52" t="s">
        <v>171</v>
      </c>
      <c r="F188" s="595">
        <v>378663.77</v>
      </c>
      <c r="G188" s="595">
        <v>444601.80800000002</v>
      </c>
    </row>
    <row r="189" spans="1:7" ht="10.050000000000001" customHeight="1">
      <c r="A189" s="597">
        <v>42114</v>
      </c>
      <c r="B189" s="54">
        <v>4</v>
      </c>
      <c r="C189" s="53">
        <v>2015</v>
      </c>
      <c r="D189" s="52" t="s">
        <v>119</v>
      </c>
      <c r="E189" s="52" t="s">
        <v>171</v>
      </c>
      <c r="F189" s="595">
        <v>382136.114</v>
      </c>
      <c r="G189" s="595">
        <v>446402.783</v>
      </c>
    </row>
    <row r="190" spans="1:7" ht="10.050000000000001" customHeight="1">
      <c r="A190" s="597">
        <v>42144</v>
      </c>
      <c r="B190" s="54">
        <v>5</v>
      </c>
      <c r="C190" s="53">
        <v>2015</v>
      </c>
      <c r="D190" s="52" t="s">
        <v>119</v>
      </c>
      <c r="E190" s="52" t="s">
        <v>171</v>
      </c>
      <c r="F190" s="595">
        <v>353142.64699999901</v>
      </c>
      <c r="G190" s="595">
        <v>414389.42599999998</v>
      </c>
    </row>
    <row r="191" spans="1:7" ht="10.050000000000001" customHeight="1">
      <c r="A191" s="597">
        <v>42175</v>
      </c>
      <c r="B191" s="54">
        <v>6</v>
      </c>
      <c r="C191" s="53">
        <v>2015</v>
      </c>
      <c r="D191" s="52" t="s">
        <v>119</v>
      </c>
      <c r="E191" s="52" t="s">
        <v>171</v>
      </c>
      <c r="F191" s="595">
        <v>392941.05599999998</v>
      </c>
      <c r="G191" s="595">
        <v>459974.08799999999</v>
      </c>
    </row>
    <row r="192" spans="1:7" ht="10.050000000000001" customHeight="1">
      <c r="A192" s="597">
        <v>42205</v>
      </c>
      <c r="B192" s="54">
        <v>7</v>
      </c>
      <c r="C192" s="53">
        <v>2015</v>
      </c>
      <c r="D192" s="52" t="s">
        <v>120</v>
      </c>
      <c r="E192" s="52" t="s">
        <v>171</v>
      </c>
      <c r="F192" s="595">
        <v>391656.66800000001</v>
      </c>
      <c r="G192" s="595">
        <v>456718.38099999999</v>
      </c>
    </row>
    <row r="193" spans="1:7" ht="10.050000000000001" customHeight="1">
      <c r="A193" s="597">
        <v>42236</v>
      </c>
      <c r="B193" s="54">
        <v>8</v>
      </c>
      <c r="C193" s="53">
        <v>2015</v>
      </c>
      <c r="D193" s="52" t="s">
        <v>120</v>
      </c>
      <c r="E193" s="52" t="s">
        <v>171</v>
      </c>
      <c r="F193" s="595">
        <v>351099.39500000002</v>
      </c>
      <c r="G193" s="595">
        <v>411036.41899999999</v>
      </c>
    </row>
    <row r="194" spans="1:7" ht="10.050000000000001" customHeight="1">
      <c r="A194" s="597">
        <v>42267</v>
      </c>
      <c r="B194" s="54">
        <v>9</v>
      </c>
      <c r="C194" s="53">
        <v>2015</v>
      </c>
      <c r="D194" s="52" t="s">
        <v>120</v>
      </c>
      <c r="E194" s="52" t="s">
        <v>171</v>
      </c>
      <c r="F194" s="595">
        <v>393496.33100000001</v>
      </c>
      <c r="G194" s="595">
        <v>459901.83899999998</v>
      </c>
    </row>
    <row r="195" spans="1:7" ht="10.050000000000001" customHeight="1">
      <c r="A195" s="597">
        <v>42297</v>
      </c>
      <c r="B195" s="54">
        <v>10</v>
      </c>
      <c r="C195" s="53">
        <v>2015</v>
      </c>
      <c r="D195" s="52" t="s">
        <v>120</v>
      </c>
      <c r="E195" s="52" t="s">
        <v>171</v>
      </c>
      <c r="F195" s="595">
        <v>406391.36099999998</v>
      </c>
      <c r="G195" s="595">
        <v>474062.13199999998</v>
      </c>
    </row>
    <row r="196" spans="1:7" ht="10.050000000000001" customHeight="1">
      <c r="A196" s="597">
        <v>42328</v>
      </c>
      <c r="B196" s="54">
        <v>11</v>
      </c>
      <c r="C196" s="53">
        <v>2015</v>
      </c>
      <c r="D196" s="52" t="s">
        <v>120</v>
      </c>
      <c r="E196" s="52" t="s">
        <v>171</v>
      </c>
      <c r="F196" s="595">
        <v>377110.84</v>
      </c>
      <c r="G196" s="595">
        <v>433765.20699999999</v>
      </c>
    </row>
    <row r="197" spans="1:7" ht="10.050000000000001" customHeight="1">
      <c r="A197" s="597">
        <v>42358</v>
      </c>
      <c r="B197" s="54">
        <v>12</v>
      </c>
      <c r="C197" s="53">
        <v>2015</v>
      </c>
      <c r="D197" s="52" t="s">
        <v>120</v>
      </c>
      <c r="E197" s="52" t="s">
        <v>171</v>
      </c>
      <c r="F197" s="595">
        <v>400923.86499999999</v>
      </c>
      <c r="G197" s="595">
        <v>465704.16800000001</v>
      </c>
    </row>
    <row r="198" spans="1:7" ht="10.050000000000001" customHeight="1">
      <c r="A198" s="597">
        <v>42389</v>
      </c>
      <c r="B198" s="54">
        <v>1</v>
      </c>
      <c r="C198" s="53">
        <v>2016</v>
      </c>
      <c r="D198" s="52" t="s">
        <v>120</v>
      </c>
      <c r="E198" s="52" t="s">
        <v>171</v>
      </c>
      <c r="F198" s="595">
        <v>355339.84700000001</v>
      </c>
      <c r="G198" s="595">
        <v>415922.32</v>
      </c>
    </row>
    <row r="199" spans="1:7" ht="10.050000000000001" customHeight="1">
      <c r="A199" s="597">
        <v>42420</v>
      </c>
      <c r="B199" s="54">
        <v>2</v>
      </c>
      <c r="C199" s="53">
        <v>2016</v>
      </c>
      <c r="D199" s="52" t="s">
        <v>120</v>
      </c>
      <c r="E199" s="52" t="s">
        <v>171</v>
      </c>
      <c r="F199" s="595">
        <v>337313.79800000001</v>
      </c>
      <c r="G199" s="595">
        <v>395806.44900000002</v>
      </c>
    </row>
    <row r="200" spans="1:7" ht="10.050000000000001" customHeight="1">
      <c r="A200" s="597">
        <v>42449</v>
      </c>
      <c r="B200" s="54">
        <v>3</v>
      </c>
      <c r="C200" s="53">
        <v>2016</v>
      </c>
      <c r="D200" s="52" t="s">
        <v>120</v>
      </c>
      <c r="E200" s="52" t="s">
        <v>171</v>
      </c>
      <c r="F200" s="595">
        <v>375746.22600000002</v>
      </c>
      <c r="G200" s="595">
        <v>438311.82400000002</v>
      </c>
    </row>
    <row r="201" spans="1:7" ht="10.050000000000001" customHeight="1">
      <c r="A201" s="597">
        <v>42480</v>
      </c>
      <c r="B201" s="54">
        <v>4</v>
      </c>
      <c r="C201" s="53">
        <v>2016</v>
      </c>
      <c r="D201" s="52" t="s">
        <v>120</v>
      </c>
      <c r="E201" s="52" t="s">
        <v>171</v>
      </c>
      <c r="F201" s="595">
        <v>375649.63500000001</v>
      </c>
      <c r="G201" s="595">
        <v>438373.23200000002</v>
      </c>
    </row>
    <row r="202" spans="1:7" ht="10.050000000000001" customHeight="1">
      <c r="A202" s="597">
        <v>42510</v>
      </c>
      <c r="B202" s="54">
        <v>5</v>
      </c>
      <c r="C202" s="53">
        <v>2016</v>
      </c>
      <c r="D202" s="52" t="s">
        <v>120</v>
      </c>
      <c r="E202" s="52" t="s">
        <v>171</v>
      </c>
      <c r="F202" s="595">
        <v>379810.75900000002</v>
      </c>
      <c r="G202" s="595">
        <v>437532.08600000001</v>
      </c>
    </row>
    <row r="203" spans="1:7" ht="10.050000000000001" customHeight="1">
      <c r="A203" s="597">
        <v>42541</v>
      </c>
      <c r="B203" s="54">
        <v>6</v>
      </c>
      <c r="C203" s="53">
        <v>2016</v>
      </c>
      <c r="D203" s="52" t="s">
        <v>120</v>
      </c>
      <c r="E203" s="52" t="s">
        <v>171</v>
      </c>
      <c r="F203" s="595">
        <v>394760.04200000002</v>
      </c>
      <c r="G203" s="595">
        <v>457560.81699999998</v>
      </c>
    </row>
    <row r="204" spans="1:7" ht="10.050000000000001" customHeight="1">
      <c r="A204" s="597">
        <v>42571</v>
      </c>
      <c r="B204" s="54">
        <v>7</v>
      </c>
      <c r="C204" s="53">
        <v>2016</v>
      </c>
      <c r="D204" s="52" t="s">
        <v>121</v>
      </c>
      <c r="E204" s="52" t="s">
        <v>171</v>
      </c>
      <c r="F204" s="595">
        <v>364048.70399999898</v>
      </c>
      <c r="G204" s="595">
        <v>425036.48499999999</v>
      </c>
    </row>
    <row r="205" spans="1:7" ht="10.050000000000001" customHeight="1">
      <c r="A205" s="597">
        <v>42602</v>
      </c>
      <c r="B205" s="54">
        <v>8</v>
      </c>
      <c r="C205" s="53">
        <v>2016</v>
      </c>
      <c r="D205" s="52" t="s">
        <v>121</v>
      </c>
      <c r="E205" s="52" t="s">
        <v>171</v>
      </c>
      <c r="F205" s="595">
        <v>375221.99599999998</v>
      </c>
      <c r="G205" s="595">
        <v>441376.435</v>
      </c>
    </row>
    <row r="206" spans="1:7" ht="10.050000000000001" customHeight="1">
      <c r="A206" s="597">
        <v>42633</v>
      </c>
      <c r="B206" s="54">
        <v>9</v>
      </c>
      <c r="C206" s="53">
        <v>2016</v>
      </c>
      <c r="D206" s="52" t="s">
        <v>121</v>
      </c>
      <c r="E206" s="52" t="s">
        <v>171</v>
      </c>
      <c r="F206" s="595">
        <v>398467.78200000001</v>
      </c>
      <c r="G206" s="595">
        <v>468207.90600000002</v>
      </c>
    </row>
    <row r="207" spans="1:7" ht="10.050000000000001" customHeight="1">
      <c r="A207" s="597">
        <v>42663</v>
      </c>
      <c r="B207" s="54">
        <v>10</v>
      </c>
      <c r="C207" s="53">
        <v>2016</v>
      </c>
      <c r="D207" s="52" t="s">
        <v>121</v>
      </c>
      <c r="E207" s="52" t="s">
        <v>171</v>
      </c>
      <c r="F207" s="595">
        <v>388693.60600000003</v>
      </c>
      <c r="G207" s="595">
        <v>464959.47399999999</v>
      </c>
    </row>
    <row r="208" spans="1:7" ht="10.050000000000001" customHeight="1">
      <c r="A208" s="597">
        <v>42694</v>
      </c>
      <c r="B208" s="54">
        <v>11</v>
      </c>
      <c r="C208" s="53">
        <v>2016</v>
      </c>
      <c r="D208" s="52" t="s">
        <v>121</v>
      </c>
      <c r="E208" s="52" t="s">
        <v>171</v>
      </c>
      <c r="F208" s="595">
        <v>379503.55099999998</v>
      </c>
      <c r="G208" s="595">
        <v>454393.978</v>
      </c>
    </row>
    <row r="209" spans="1:7" ht="10.050000000000001" customHeight="1">
      <c r="A209" s="597">
        <v>42724</v>
      </c>
      <c r="B209" s="54">
        <v>12</v>
      </c>
      <c r="C209" s="53">
        <v>2016</v>
      </c>
      <c r="D209" s="52" t="s">
        <v>121</v>
      </c>
      <c r="E209" s="52" t="s">
        <v>171</v>
      </c>
      <c r="F209" s="595">
        <v>396159.51500000001</v>
      </c>
      <c r="G209" s="595">
        <v>469889.34499999997</v>
      </c>
    </row>
    <row r="210" spans="1:7" ht="10.050000000000001" customHeight="1">
      <c r="A210" s="597">
        <v>42755</v>
      </c>
      <c r="B210" s="54">
        <v>1</v>
      </c>
      <c r="C210" s="53">
        <v>2017</v>
      </c>
      <c r="D210" s="52" t="s">
        <v>121</v>
      </c>
      <c r="E210" s="52" t="s">
        <v>171</v>
      </c>
      <c r="F210" s="595">
        <v>364549.79100000003</v>
      </c>
      <c r="G210" s="595">
        <v>441725.47</v>
      </c>
    </row>
    <row r="211" spans="1:7" ht="10.050000000000001" customHeight="1">
      <c r="A211" s="597">
        <v>42786</v>
      </c>
      <c r="B211" s="54">
        <v>2</v>
      </c>
      <c r="C211" s="53">
        <v>2017</v>
      </c>
      <c r="D211" s="52" t="s">
        <v>121</v>
      </c>
      <c r="E211" s="52" t="s">
        <v>171</v>
      </c>
      <c r="F211" s="595">
        <v>332739.89799999999</v>
      </c>
      <c r="G211" s="595">
        <v>404708.27500000002</v>
      </c>
    </row>
    <row r="212" spans="1:7" ht="10.050000000000001" customHeight="1">
      <c r="A212" s="597">
        <v>42814</v>
      </c>
      <c r="B212" s="54">
        <v>3</v>
      </c>
      <c r="C212" s="53">
        <v>2017</v>
      </c>
      <c r="D212" s="52" t="s">
        <v>121</v>
      </c>
      <c r="E212" s="52" t="s">
        <v>171</v>
      </c>
      <c r="F212" s="595">
        <v>387680.37199999898</v>
      </c>
      <c r="G212" s="595">
        <v>468319.739</v>
      </c>
    </row>
    <row r="213" spans="1:7" ht="10.050000000000001" customHeight="1">
      <c r="A213" s="597">
        <v>42845</v>
      </c>
      <c r="B213" s="54">
        <v>4</v>
      </c>
      <c r="C213" s="53">
        <v>2017</v>
      </c>
      <c r="D213" s="52" t="s">
        <v>121</v>
      </c>
      <c r="E213" s="52" t="s">
        <v>171</v>
      </c>
      <c r="F213" s="595">
        <v>354782.69400000002</v>
      </c>
      <c r="G213" s="595">
        <v>423039.44199999998</v>
      </c>
    </row>
    <row r="214" spans="1:7" ht="10.050000000000001" customHeight="1">
      <c r="A214" s="597">
        <v>42875</v>
      </c>
      <c r="B214" s="54">
        <v>5</v>
      </c>
      <c r="C214" s="53">
        <v>2017</v>
      </c>
      <c r="D214" s="52" t="s">
        <v>121</v>
      </c>
      <c r="E214" s="52" t="s">
        <v>171</v>
      </c>
      <c r="F214" s="595">
        <v>379365.10800000001</v>
      </c>
      <c r="G214" s="595">
        <v>452754.25599999999</v>
      </c>
    </row>
    <row r="215" spans="1:7" ht="10.050000000000001" customHeight="1">
      <c r="A215" s="597">
        <v>42906</v>
      </c>
      <c r="B215" s="54">
        <v>6</v>
      </c>
      <c r="C215" s="53">
        <v>2017</v>
      </c>
      <c r="D215" s="52" t="s">
        <v>121</v>
      </c>
      <c r="E215" s="52" t="s">
        <v>171</v>
      </c>
      <c r="F215" s="595">
        <v>381468.09899999999</v>
      </c>
      <c r="G215" s="595">
        <v>453431.39799999999</v>
      </c>
    </row>
    <row r="216" spans="1:7" ht="10.050000000000001" customHeight="1">
      <c r="A216" s="597">
        <v>42936</v>
      </c>
      <c r="B216" s="54">
        <v>7</v>
      </c>
      <c r="C216" s="53">
        <v>2017</v>
      </c>
      <c r="D216" s="52" t="s">
        <v>122</v>
      </c>
      <c r="E216" s="52" t="s">
        <v>171</v>
      </c>
      <c r="F216" s="595">
        <v>367547.24699999997</v>
      </c>
      <c r="G216" s="595">
        <v>440031.62800000003</v>
      </c>
    </row>
    <row r="217" spans="1:7" ht="10.050000000000001" customHeight="1">
      <c r="A217" s="597">
        <v>42967</v>
      </c>
      <c r="B217" s="54">
        <v>8</v>
      </c>
      <c r="C217" s="53">
        <v>2017</v>
      </c>
      <c r="D217" s="52" t="s">
        <v>122</v>
      </c>
      <c r="E217" s="52" t="s">
        <v>171</v>
      </c>
      <c r="F217" s="595">
        <v>377307.00400000002</v>
      </c>
      <c r="G217" s="595">
        <v>448114.86499999999</v>
      </c>
    </row>
    <row r="218" spans="1:7" ht="10.050000000000001" customHeight="1">
      <c r="A218" s="597">
        <v>42998</v>
      </c>
      <c r="B218" s="54">
        <v>9</v>
      </c>
      <c r="C218" s="53">
        <v>2017</v>
      </c>
      <c r="D218" s="52" t="s">
        <v>122</v>
      </c>
      <c r="E218" s="52" t="s">
        <v>171</v>
      </c>
      <c r="F218" s="595">
        <v>380042.12699999998</v>
      </c>
      <c r="G218" s="595">
        <v>443541.81099999999</v>
      </c>
    </row>
    <row r="219" spans="1:7" ht="10.050000000000001" customHeight="1">
      <c r="A219" s="597">
        <v>43028</v>
      </c>
      <c r="B219" s="54">
        <v>10</v>
      </c>
      <c r="C219" s="53">
        <v>2017</v>
      </c>
      <c r="D219" s="52" t="s">
        <v>122</v>
      </c>
      <c r="E219" s="52" t="s">
        <v>171</v>
      </c>
      <c r="F219" s="595">
        <v>388022.32400000002</v>
      </c>
      <c r="G219" s="595">
        <v>452549.65</v>
      </c>
    </row>
    <row r="220" spans="1:7" ht="10.050000000000001" customHeight="1">
      <c r="A220" s="597">
        <v>43059</v>
      </c>
      <c r="B220" s="54">
        <v>11</v>
      </c>
      <c r="C220" s="53">
        <v>2017</v>
      </c>
      <c r="D220" s="52" t="s">
        <v>122</v>
      </c>
      <c r="E220" s="52" t="s">
        <v>171</v>
      </c>
      <c r="F220" s="595">
        <v>376412.28100000002</v>
      </c>
      <c r="G220" s="595">
        <v>438786.07</v>
      </c>
    </row>
    <row r="221" spans="1:7" ht="10.050000000000001" customHeight="1">
      <c r="A221" s="597">
        <v>43089</v>
      </c>
      <c r="B221" s="54">
        <v>12</v>
      </c>
      <c r="C221" s="53">
        <v>2017</v>
      </c>
      <c r="D221" s="52" t="s">
        <v>122</v>
      </c>
      <c r="E221" s="52" t="s">
        <v>171</v>
      </c>
      <c r="F221" s="595">
        <v>370254.67700000003</v>
      </c>
      <c r="G221" s="595">
        <v>422107.391</v>
      </c>
    </row>
    <row r="222" spans="1:7" ht="10.050000000000001" customHeight="1">
      <c r="A222" s="597">
        <v>43120</v>
      </c>
      <c r="B222" s="54">
        <v>1</v>
      </c>
      <c r="C222" s="53">
        <v>2018</v>
      </c>
      <c r="D222" s="52" t="s">
        <v>122</v>
      </c>
      <c r="E222" s="52" t="s">
        <v>171</v>
      </c>
      <c r="F222" s="595">
        <v>361104.51199999999</v>
      </c>
      <c r="G222" s="595">
        <v>423082.61700000003</v>
      </c>
    </row>
    <row r="223" spans="1:7" ht="10.050000000000001" customHeight="1">
      <c r="A223" s="597">
        <v>43151</v>
      </c>
      <c r="B223" s="54">
        <v>2</v>
      </c>
      <c r="C223" s="53">
        <v>2018</v>
      </c>
      <c r="D223" s="52" t="s">
        <v>122</v>
      </c>
      <c r="E223" s="52" t="s">
        <v>171</v>
      </c>
      <c r="F223" s="595">
        <v>328366.391</v>
      </c>
      <c r="G223" s="595">
        <v>382743.24200000003</v>
      </c>
    </row>
    <row r="224" spans="1:7" ht="10.050000000000001" customHeight="1">
      <c r="A224" s="597">
        <v>43179</v>
      </c>
      <c r="B224" s="54">
        <v>3</v>
      </c>
      <c r="C224" s="53">
        <v>2018</v>
      </c>
      <c r="D224" s="52" t="s">
        <v>122</v>
      </c>
      <c r="E224" s="52" t="s">
        <v>171</v>
      </c>
      <c r="F224" s="595">
        <v>374490.69400000002</v>
      </c>
      <c r="G224" s="595">
        <v>439773.83600000001</v>
      </c>
    </row>
    <row r="225" spans="1:7" ht="10.050000000000001" customHeight="1">
      <c r="A225" s="597">
        <v>43210</v>
      </c>
      <c r="B225" s="54">
        <v>4</v>
      </c>
      <c r="C225" s="53">
        <v>2018</v>
      </c>
      <c r="D225" s="52" t="s">
        <v>122</v>
      </c>
      <c r="E225" s="52" t="s">
        <v>171</v>
      </c>
      <c r="F225" s="595">
        <v>351514.576999999</v>
      </c>
      <c r="G225" s="595">
        <v>408988.75400000002</v>
      </c>
    </row>
    <row r="226" spans="1:7" ht="10.050000000000001" customHeight="1">
      <c r="A226" s="597">
        <v>43240</v>
      </c>
      <c r="B226" s="54">
        <v>5</v>
      </c>
      <c r="C226" s="53">
        <v>2018</v>
      </c>
      <c r="D226" s="52" t="s">
        <v>122</v>
      </c>
      <c r="E226" s="52" t="s">
        <v>171</v>
      </c>
      <c r="F226" s="595">
        <v>356386.52899999998</v>
      </c>
      <c r="G226" s="595">
        <v>414935.97399999999</v>
      </c>
    </row>
    <row r="227" spans="1:7" ht="10.050000000000001" customHeight="1">
      <c r="A227" s="597">
        <v>43271</v>
      </c>
      <c r="B227" s="54">
        <v>6</v>
      </c>
      <c r="C227" s="53">
        <v>2018</v>
      </c>
      <c r="D227" s="52" t="s">
        <v>122</v>
      </c>
      <c r="E227" s="52" t="s">
        <v>171</v>
      </c>
      <c r="F227" s="595">
        <v>362977.04300000001</v>
      </c>
      <c r="G227" s="595">
        <v>427315.989</v>
      </c>
    </row>
    <row r="228" spans="1:7" ht="10.050000000000001" customHeight="1">
      <c r="A228" s="597">
        <v>43301</v>
      </c>
      <c r="B228" s="54">
        <v>7</v>
      </c>
      <c r="C228" s="53">
        <v>2018</v>
      </c>
      <c r="D228" s="52" t="s">
        <v>123</v>
      </c>
      <c r="E228" s="52" t="s">
        <v>171</v>
      </c>
      <c r="F228" s="595">
        <v>358590.95299999998</v>
      </c>
      <c r="G228" s="595">
        <v>419354.51</v>
      </c>
    </row>
    <row r="229" spans="1:7" ht="10.050000000000001" customHeight="1">
      <c r="A229" s="597">
        <v>43332</v>
      </c>
      <c r="B229" s="54">
        <v>8</v>
      </c>
      <c r="C229" s="53">
        <v>2018</v>
      </c>
      <c r="D229" s="52" t="s">
        <v>123</v>
      </c>
      <c r="E229" s="52" t="s">
        <v>171</v>
      </c>
      <c r="F229" s="595">
        <v>349488.17099999997</v>
      </c>
      <c r="G229" s="595">
        <v>408706.163</v>
      </c>
    </row>
    <row r="230" spans="1:7" ht="10.050000000000001" customHeight="1">
      <c r="A230" s="597">
        <v>43363</v>
      </c>
      <c r="B230" s="54">
        <v>9</v>
      </c>
      <c r="C230" s="53">
        <v>2018</v>
      </c>
      <c r="D230" s="52" t="s">
        <v>123</v>
      </c>
      <c r="E230" s="52" t="s">
        <v>171</v>
      </c>
      <c r="F230" s="595">
        <v>345169.54399999999</v>
      </c>
      <c r="G230" s="595">
        <v>403296.984</v>
      </c>
    </row>
    <row r="231" spans="1:7" ht="10.050000000000001" customHeight="1">
      <c r="A231" s="597">
        <v>43393</v>
      </c>
      <c r="B231" s="54">
        <v>10</v>
      </c>
      <c r="C231" s="53">
        <v>2018</v>
      </c>
      <c r="D231" s="52" t="s">
        <v>123</v>
      </c>
      <c r="E231" s="52" t="s">
        <v>171</v>
      </c>
      <c r="F231" s="595">
        <v>379077.36</v>
      </c>
      <c r="G231" s="595">
        <v>440252.978</v>
      </c>
    </row>
    <row r="232" spans="1:7" ht="10.050000000000001" customHeight="1">
      <c r="A232" s="597">
        <v>43424</v>
      </c>
      <c r="B232" s="54">
        <v>11</v>
      </c>
      <c r="C232" s="53">
        <v>2018</v>
      </c>
      <c r="D232" s="52" t="s">
        <v>123</v>
      </c>
      <c r="E232" s="52" t="s">
        <v>171</v>
      </c>
      <c r="F232" s="595">
        <v>368880.97200000001</v>
      </c>
      <c r="G232" s="595">
        <v>425327.185</v>
      </c>
    </row>
    <row r="233" spans="1:7" ht="10.050000000000001" customHeight="1">
      <c r="A233" s="597">
        <v>43454</v>
      </c>
      <c r="B233" s="54">
        <v>12</v>
      </c>
      <c r="C233" s="53">
        <v>2018</v>
      </c>
      <c r="D233" s="52" t="s">
        <v>123</v>
      </c>
      <c r="E233" s="52" t="s">
        <v>171</v>
      </c>
      <c r="F233" s="595">
        <v>347781.19500000001</v>
      </c>
      <c r="G233" s="595">
        <v>403531.79599999997</v>
      </c>
    </row>
    <row r="234" spans="1:7" ht="10.050000000000001" customHeight="1">
      <c r="A234" s="597">
        <v>43485</v>
      </c>
      <c r="B234" s="54">
        <v>1</v>
      </c>
      <c r="C234" s="53">
        <v>2019</v>
      </c>
      <c r="D234" s="52" t="s">
        <v>123</v>
      </c>
      <c r="E234" s="52" t="s">
        <v>171</v>
      </c>
      <c r="F234" s="595">
        <v>375431.71299999999</v>
      </c>
      <c r="G234" s="595">
        <v>429103.74200000003</v>
      </c>
    </row>
    <row r="235" spans="1:7" ht="10.050000000000001" customHeight="1">
      <c r="A235" s="597">
        <v>43516</v>
      </c>
      <c r="B235" s="54">
        <v>2</v>
      </c>
      <c r="C235" s="53">
        <v>2019</v>
      </c>
      <c r="D235" s="52" t="s">
        <v>123</v>
      </c>
      <c r="E235" s="52" t="s">
        <v>171</v>
      </c>
      <c r="F235" s="595">
        <v>325850.08199999999</v>
      </c>
      <c r="G235" s="595">
        <v>377584.19099999999</v>
      </c>
    </row>
    <row r="236" spans="1:7" ht="10.050000000000001" customHeight="1">
      <c r="A236" s="597">
        <v>43544</v>
      </c>
      <c r="B236" s="54">
        <v>3</v>
      </c>
      <c r="C236" s="53">
        <v>2019</v>
      </c>
      <c r="D236" s="52" t="s">
        <v>123</v>
      </c>
      <c r="E236" s="52" t="s">
        <v>171</v>
      </c>
      <c r="F236" s="595">
        <v>352054.821</v>
      </c>
      <c r="G236" s="595">
        <v>409839.41800000001</v>
      </c>
    </row>
    <row r="237" spans="1:7" ht="10.050000000000001" customHeight="1">
      <c r="A237" s="597">
        <v>43575</v>
      </c>
      <c r="B237" s="54">
        <v>4</v>
      </c>
      <c r="C237" s="53">
        <v>2019</v>
      </c>
      <c r="D237" s="52" t="s">
        <v>123</v>
      </c>
      <c r="E237" s="52" t="s">
        <v>171</v>
      </c>
      <c r="F237" s="595">
        <v>355524.92300000001</v>
      </c>
      <c r="G237" s="595">
        <v>413985.99699999997</v>
      </c>
    </row>
    <row r="238" spans="1:7" ht="10.050000000000001" customHeight="1">
      <c r="A238" s="597">
        <v>43605</v>
      </c>
      <c r="B238" s="54">
        <v>5</v>
      </c>
      <c r="C238" s="53">
        <v>2019</v>
      </c>
      <c r="D238" s="52" t="s">
        <v>123</v>
      </c>
      <c r="E238" s="52" t="s">
        <v>171</v>
      </c>
      <c r="F238" s="595">
        <v>374181.815</v>
      </c>
      <c r="G238" s="595">
        <v>429578.74800000002</v>
      </c>
    </row>
    <row r="239" spans="1:7" ht="10.050000000000001" customHeight="1">
      <c r="A239" s="597">
        <v>43636</v>
      </c>
      <c r="B239" s="54">
        <v>6</v>
      </c>
      <c r="C239" s="53">
        <v>2019</v>
      </c>
      <c r="D239" s="52" t="s">
        <v>123</v>
      </c>
      <c r="E239" s="52" t="s">
        <v>171</v>
      </c>
      <c r="F239" s="595">
        <v>338652.77399999998</v>
      </c>
      <c r="G239" s="595">
        <v>392663.26199999999</v>
      </c>
    </row>
    <row r="240" spans="1:7" ht="10.050000000000001" customHeight="1">
      <c r="A240" s="597">
        <v>43666</v>
      </c>
      <c r="B240" s="54">
        <v>7</v>
      </c>
      <c r="C240" s="53">
        <v>2019</v>
      </c>
      <c r="D240" s="52" t="s">
        <v>124</v>
      </c>
      <c r="E240" s="52" t="s">
        <v>171</v>
      </c>
      <c r="F240" s="595">
        <v>373518.69400000002</v>
      </c>
      <c r="G240" s="595">
        <v>439066.96100000001</v>
      </c>
    </row>
    <row r="241" spans="1:7" ht="10.050000000000001" customHeight="1">
      <c r="A241" s="597">
        <v>43697</v>
      </c>
      <c r="B241" s="54">
        <v>8</v>
      </c>
      <c r="C241" s="53">
        <v>2019</v>
      </c>
      <c r="D241" s="52" t="s">
        <v>124</v>
      </c>
      <c r="E241" s="52" t="s">
        <v>171</v>
      </c>
      <c r="F241" s="595">
        <v>349268.50699999998</v>
      </c>
      <c r="G241" s="595">
        <v>403813.07400000002</v>
      </c>
    </row>
    <row r="242" spans="1:7" ht="10.050000000000001" customHeight="1">
      <c r="A242" s="597">
        <v>43728</v>
      </c>
      <c r="B242" s="54">
        <v>9</v>
      </c>
      <c r="C242" s="53">
        <v>2019</v>
      </c>
      <c r="D242" s="52" t="s">
        <v>124</v>
      </c>
      <c r="E242" s="52" t="s">
        <v>171</v>
      </c>
      <c r="F242" s="595">
        <v>367737.57199999999</v>
      </c>
      <c r="G242" s="595">
        <v>421569.00400000002</v>
      </c>
    </row>
    <row r="243" spans="1:7" ht="10.050000000000001" customHeight="1">
      <c r="A243" s="597">
        <v>43758</v>
      </c>
      <c r="B243" s="54">
        <v>10</v>
      </c>
      <c r="C243" s="53">
        <v>2019</v>
      </c>
      <c r="D243" s="52" t="s">
        <v>124</v>
      </c>
      <c r="E243" s="52" t="s">
        <v>171</v>
      </c>
      <c r="F243" s="595">
        <v>398426.53600000002</v>
      </c>
      <c r="G243" s="595">
        <v>460219.701</v>
      </c>
    </row>
    <row r="244" spans="1:7" ht="10.050000000000001" customHeight="1">
      <c r="A244" s="597">
        <v>43789</v>
      </c>
      <c r="B244" s="54">
        <v>11</v>
      </c>
      <c r="C244" s="53">
        <v>2019</v>
      </c>
      <c r="D244" s="52" t="s">
        <v>124</v>
      </c>
      <c r="E244" s="52" t="s">
        <v>171</v>
      </c>
      <c r="F244" s="595">
        <v>356347.19300000003</v>
      </c>
      <c r="G244" s="595">
        <v>416246.234</v>
      </c>
    </row>
    <row r="245" spans="1:7" ht="10.050000000000001" customHeight="1">
      <c r="A245" s="597">
        <v>43819</v>
      </c>
      <c r="B245" s="54">
        <v>12</v>
      </c>
      <c r="C245" s="53">
        <v>2019</v>
      </c>
      <c r="D245" s="52" t="s">
        <v>124</v>
      </c>
      <c r="E245" s="52" t="s">
        <v>171</v>
      </c>
      <c r="F245" s="595">
        <v>362732.65100000001</v>
      </c>
      <c r="G245" s="595">
        <v>418942.071</v>
      </c>
    </row>
    <row r="246" spans="1:7" ht="10.050000000000001" customHeight="1">
      <c r="A246" s="597">
        <v>43850</v>
      </c>
      <c r="B246" s="54">
        <v>1</v>
      </c>
      <c r="C246" s="53">
        <v>2020</v>
      </c>
      <c r="D246" s="52" t="s">
        <v>124</v>
      </c>
      <c r="E246" s="52" t="s">
        <v>171</v>
      </c>
      <c r="F246" s="595">
        <v>369884.951</v>
      </c>
      <c r="G246" s="595">
        <v>429217.96500000003</v>
      </c>
    </row>
    <row r="247" spans="1:7" ht="10.050000000000001" customHeight="1">
      <c r="A247" s="597">
        <v>43881</v>
      </c>
      <c r="B247" s="54">
        <v>2</v>
      </c>
      <c r="C247" s="53">
        <v>2020</v>
      </c>
      <c r="D247" s="52" t="s">
        <v>124</v>
      </c>
      <c r="E247" s="52" t="s">
        <v>171</v>
      </c>
      <c r="F247" s="595">
        <v>336659.16899999999</v>
      </c>
      <c r="G247" s="595">
        <v>389393.18099999998</v>
      </c>
    </row>
    <row r="248" spans="1:7" ht="10.050000000000001" customHeight="1">
      <c r="A248" s="597">
        <v>43910</v>
      </c>
      <c r="B248" s="54">
        <v>3</v>
      </c>
      <c r="C248" s="53">
        <v>2020</v>
      </c>
      <c r="D248" s="52" t="s">
        <v>124</v>
      </c>
      <c r="E248" s="52" t="s">
        <v>171</v>
      </c>
      <c r="F248" s="595">
        <v>368076.766</v>
      </c>
      <c r="G248" s="595">
        <v>425238.174</v>
      </c>
    </row>
    <row r="249" spans="1:7" ht="10.050000000000001" customHeight="1">
      <c r="A249" s="597">
        <v>43941</v>
      </c>
      <c r="B249" s="54">
        <v>4</v>
      </c>
      <c r="C249" s="53">
        <v>2020</v>
      </c>
      <c r="D249" s="52" t="s">
        <v>124</v>
      </c>
      <c r="E249" s="52" t="s">
        <v>171</v>
      </c>
      <c r="F249" s="595">
        <v>319256.57699999999</v>
      </c>
      <c r="G249" s="595">
        <v>371268.84100000001</v>
      </c>
    </row>
    <row r="250" spans="1:7" ht="10.050000000000001" customHeight="1">
      <c r="A250" s="597">
        <v>43971</v>
      </c>
      <c r="B250" s="54">
        <v>5</v>
      </c>
      <c r="C250" s="53">
        <v>2020</v>
      </c>
      <c r="D250" s="52" t="s">
        <v>124</v>
      </c>
      <c r="E250" s="52" t="s">
        <v>171</v>
      </c>
      <c r="F250" s="595">
        <v>311910.13900000002</v>
      </c>
      <c r="G250" s="595">
        <v>364843.53899999999</v>
      </c>
    </row>
    <row r="251" spans="1:7" ht="10.050000000000001" customHeight="1">
      <c r="A251" s="597">
        <v>44002</v>
      </c>
      <c r="B251" s="54">
        <v>6</v>
      </c>
      <c r="C251" s="53">
        <v>2020</v>
      </c>
      <c r="D251" s="52" t="s">
        <v>124</v>
      </c>
      <c r="E251" s="52" t="s">
        <v>171</v>
      </c>
      <c r="F251" s="595">
        <v>341948.93</v>
      </c>
      <c r="G251" s="595">
        <v>398960.90500000003</v>
      </c>
    </row>
    <row r="252" spans="1:7" ht="10.050000000000001" customHeight="1">
      <c r="A252" s="597">
        <v>44032</v>
      </c>
      <c r="B252" s="54">
        <v>7</v>
      </c>
      <c r="C252" s="53">
        <v>2020</v>
      </c>
      <c r="D252" s="52" t="s">
        <v>125</v>
      </c>
      <c r="E252" s="52" t="s">
        <v>171</v>
      </c>
      <c r="F252" s="595">
        <v>357890.897</v>
      </c>
      <c r="G252" s="595">
        <v>417080.58199999999</v>
      </c>
    </row>
    <row r="253" spans="1:7" ht="10.050000000000001" customHeight="1">
      <c r="A253" s="597">
        <v>44063</v>
      </c>
      <c r="B253" s="54">
        <v>8</v>
      </c>
      <c r="C253" s="53">
        <v>2020</v>
      </c>
      <c r="D253" s="52" t="s">
        <v>125</v>
      </c>
      <c r="E253" s="52" t="s">
        <v>171</v>
      </c>
      <c r="F253" s="595">
        <v>333411.08300000097</v>
      </c>
      <c r="G253" s="595">
        <v>392907.76500000001</v>
      </c>
    </row>
    <row r="254" spans="1:7" ht="10.050000000000001" customHeight="1">
      <c r="A254" s="597">
        <v>44094</v>
      </c>
      <c r="B254" s="54">
        <v>9</v>
      </c>
      <c r="C254" s="53">
        <v>2020</v>
      </c>
      <c r="D254" s="52" t="s">
        <v>125</v>
      </c>
      <c r="E254" s="52" t="s">
        <v>171</v>
      </c>
      <c r="F254" s="595">
        <v>361548.01799999998</v>
      </c>
      <c r="G254" s="595">
        <v>423868.09600000002</v>
      </c>
    </row>
    <row r="255" spans="1:7" ht="10.050000000000001" customHeight="1">
      <c r="A255" s="597">
        <v>44124</v>
      </c>
      <c r="B255" s="54">
        <v>10</v>
      </c>
      <c r="C255" s="53">
        <v>2020</v>
      </c>
      <c r="D255" s="52" t="s">
        <v>125</v>
      </c>
      <c r="E255" s="52" t="s">
        <v>171</v>
      </c>
      <c r="F255" s="595">
        <v>367678.25799999997</v>
      </c>
      <c r="G255" s="595">
        <v>426985.26</v>
      </c>
    </row>
    <row r="256" spans="1:7" ht="10.050000000000001" customHeight="1">
      <c r="A256" s="597">
        <v>44155</v>
      </c>
      <c r="B256" s="54">
        <v>11</v>
      </c>
      <c r="C256" s="53">
        <v>2020</v>
      </c>
      <c r="D256" s="52" t="s">
        <v>125</v>
      </c>
      <c r="E256" s="52" t="s">
        <v>171</v>
      </c>
      <c r="F256" s="595">
        <v>346680.02100000001</v>
      </c>
      <c r="G256" s="595">
        <v>401240.87599999999</v>
      </c>
    </row>
    <row r="257" spans="1:7" ht="10.050000000000001" customHeight="1">
      <c r="A257" s="597">
        <v>44185</v>
      </c>
      <c r="B257" s="54">
        <v>12</v>
      </c>
      <c r="C257" s="53">
        <v>2020</v>
      </c>
      <c r="D257" s="52" t="s">
        <v>125</v>
      </c>
      <c r="E257" s="52" t="s">
        <v>171</v>
      </c>
      <c r="F257" s="595">
        <v>362756.076</v>
      </c>
      <c r="G257" s="595">
        <v>417983.13699999999</v>
      </c>
    </row>
    <row r="258" spans="1:7" ht="10.050000000000001" customHeight="1">
      <c r="A258" s="597">
        <v>44216</v>
      </c>
      <c r="B258" s="54">
        <v>1</v>
      </c>
      <c r="C258" s="53">
        <v>2021</v>
      </c>
      <c r="D258" s="52" t="s">
        <v>125</v>
      </c>
      <c r="E258" s="52" t="s">
        <v>171</v>
      </c>
      <c r="F258" s="595">
        <v>335024.67700000003</v>
      </c>
      <c r="G258" s="595">
        <v>395399.429</v>
      </c>
    </row>
    <row r="259" spans="1:7" ht="10.050000000000001" customHeight="1">
      <c r="A259" s="597">
        <v>44247</v>
      </c>
      <c r="B259" s="54">
        <v>2</v>
      </c>
      <c r="C259" s="53">
        <v>2021</v>
      </c>
      <c r="D259" s="52" t="s">
        <v>125</v>
      </c>
      <c r="E259" s="52" t="s">
        <v>171</v>
      </c>
      <c r="F259" s="595">
        <v>316016.53899999999</v>
      </c>
      <c r="G259" s="595">
        <v>372350.35600000003</v>
      </c>
    </row>
    <row r="260" spans="1:7" ht="10.050000000000001" customHeight="1">
      <c r="A260" s="597">
        <v>44275</v>
      </c>
      <c r="B260" s="54">
        <v>3</v>
      </c>
      <c r="C260" s="53">
        <v>2021</v>
      </c>
      <c r="D260" s="52" t="s">
        <v>125</v>
      </c>
      <c r="E260" s="52" t="s">
        <v>171</v>
      </c>
      <c r="F260" s="595">
        <v>364150.41399999999</v>
      </c>
      <c r="G260" s="595">
        <v>428831.69500000001</v>
      </c>
    </row>
    <row r="261" spans="1:7" ht="10.050000000000001" customHeight="1">
      <c r="A261" s="597">
        <v>44306</v>
      </c>
      <c r="B261" s="54">
        <v>4</v>
      </c>
      <c r="C261" s="53">
        <v>2021</v>
      </c>
      <c r="D261" s="52" t="s">
        <v>125</v>
      </c>
      <c r="E261" s="52" t="s">
        <v>171</v>
      </c>
      <c r="F261" s="595">
        <v>348391.35499999998</v>
      </c>
      <c r="G261" s="595">
        <v>406773.13299999997</v>
      </c>
    </row>
    <row r="262" spans="1:7" ht="10.050000000000001" customHeight="1">
      <c r="A262" s="597">
        <v>44336</v>
      </c>
      <c r="B262" s="54">
        <v>5</v>
      </c>
      <c r="C262" s="53">
        <v>2021</v>
      </c>
      <c r="D262" s="52" t="s">
        <v>125</v>
      </c>
      <c r="E262" s="52" t="s">
        <v>171</v>
      </c>
      <c r="F262" s="595">
        <v>330137.15999999997</v>
      </c>
      <c r="G262" s="595">
        <v>386604.41700000002</v>
      </c>
    </row>
    <row r="263" spans="1:7" ht="10.050000000000001" customHeight="1">
      <c r="A263" s="597">
        <v>44367</v>
      </c>
      <c r="B263" s="54">
        <v>6</v>
      </c>
      <c r="C263" s="53">
        <v>2021</v>
      </c>
      <c r="D263" s="52" t="s">
        <v>125</v>
      </c>
      <c r="E263" s="52" t="s">
        <v>171</v>
      </c>
      <c r="F263" s="595">
        <v>368121.837</v>
      </c>
      <c r="G263" s="595">
        <v>433583.42499999999</v>
      </c>
    </row>
    <row r="264" spans="1:7" ht="10.050000000000001" customHeight="1">
      <c r="A264" s="597">
        <v>44397</v>
      </c>
      <c r="B264" s="54">
        <v>7</v>
      </c>
      <c r="C264" s="53">
        <v>2021</v>
      </c>
      <c r="D264" s="52" t="s">
        <v>126</v>
      </c>
      <c r="E264" s="52" t="s">
        <v>171</v>
      </c>
      <c r="F264" s="595">
        <v>364764.788</v>
      </c>
      <c r="G264" s="595">
        <v>427238.58199999999</v>
      </c>
    </row>
    <row r="265" spans="1:7" ht="10.050000000000001" customHeight="1">
      <c r="A265" s="597">
        <v>44428</v>
      </c>
      <c r="B265" s="54">
        <v>8</v>
      </c>
      <c r="C265" s="53">
        <v>2021</v>
      </c>
      <c r="D265" s="52" t="s">
        <v>126</v>
      </c>
      <c r="E265" s="52" t="s">
        <v>171</v>
      </c>
      <c r="F265" s="595">
        <v>342839.17099999997</v>
      </c>
      <c r="G265" s="595">
        <v>408274.12300000002</v>
      </c>
    </row>
    <row r="266" spans="1:7" ht="10.050000000000001" customHeight="1">
      <c r="A266" s="597">
        <v>44459</v>
      </c>
      <c r="B266" s="54">
        <v>9</v>
      </c>
      <c r="C266" s="53">
        <v>2021</v>
      </c>
      <c r="D266" s="52" t="s">
        <v>126</v>
      </c>
      <c r="E266" s="52" t="s">
        <v>171</v>
      </c>
      <c r="F266" s="595">
        <v>366743.885000001</v>
      </c>
      <c r="G266" s="595">
        <v>460865.45500000002</v>
      </c>
    </row>
    <row r="267" spans="1:7" ht="10.050000000000001" customHeight="1">
      <c r="A267" s="597">
        <v>44489</v>
      </c>
      <c r="B267" s="54">
        <v>10</v>
      </c>
      <c r="C267" s="53">
        <v>2021</v>
      </c>
      <c r="D267" s="52" t="s">
        <v>126</v>
      </c>
      <c r="E267" s="52" t="s">
        <v>171</v>
      </c>
      <c r="F267" s="595">
        <v>377478.40299999999</v>
      </c>
      <c r="G267" s="595">
        <v>450847.09299999999</v>
      </c>
    </row>
    <row r="268" spans="1:7" ht="10.050000000000001" customHeight="1">
      <c r="A268" s="597">
        <v>44520</v>
      </c>
      <c r="B268" s="54">
        <v>11</v>
      </c>
      <c r="C268" s="53">
        <v>2021</v>
      </c>
      <c r="D268" s="52" t="s">
        <v>126</v>
      </c>
      <c r="E268" s="52" t="s">
        <v>171</v>
      </c>
      <c r="F268" s="595">
        <v>372682.10100000002</v>
      </c>
      <c r="G268" s="595">
        <v>441088.83299999998</v>
      </c>
    </row>
    <row r="269" spans="1:7" ht="10.050000000000001" customHeight="1">
      <c r="A269" s="597">
        <v>44550</v>
      </c>
      <c r="B269" s="54">
        <v>12</v>
      </c>
      <c r="C269" s="53">
        <v>2021</v>
      </c>
      <c r="D269" s="52" t="s">
        <v>126</v>
      </c>
      <c r="E269" s="52" t="s">
        <v>171</v>
      </c>
      <c r="F269" s="595">
        <v>397625.37800000003</v>
      </c>
      <c r="G269" s="595">
        <v>465883.86900000001</v>
      </c>
    </row>
    <row r="270" spans="1:7" ht="10.050000000000001" customHeight="1">
      <c r="A270" s="597">
        <v>44581</v>
      </c>
      <c r="B270" s="54">
        <v>1</v>
      </c>
      <c r="C270" s="53">
        <v>2022</v>
      </c>
      <c r="D270" s="52" t="s">
        <v>126</v>
      </c>
      <c r="E270" s="52" t="s">
        <v>171</v>
      </c>
      <c r="F270" s="595">
        <v>351070.54800000001</v>
      </c>
      <c r="G270" s="595">
        <v>417072.98200000002</v>
      </c>
    </row>
    <row r="271" spans="1:7" ht="10.050000000000001" customHeight="1">
      <c r="A271" s="597">
        <v>44612</v>
      </c>
      <c r="B271" s="54">
        <v>2</v>
      </c>
      <c r="C271" s="53">
        <v>2022</v>
      </c>
      <c r="D271" s="52" t="s">
        <v>126</v>
      </c>
      <c r="E271" s="52" t="s">
        <v>171</v>
      </c>
      <c r="F271" s="595">
        <v>329625.90700000001</v>
      </c>
      <c r="G271" s="595">
        <v>395431.45500000002</v>
      </c>
    </row>
    <row r="272" spans="1:7" ht="10.050000000000001" customHeight="1">
      <c r="A272" s="597">
        <v>44640</v>
      </c>
      <c r="B272" s="54">
        <v>3</v>
      </c>
      <c r="C272" s="53">
        <v>2022</v>
      </c>
      <c r="D272" s="52" t="s">
        <v>126</v>
      </c>
      <c r="E272" s="52" t="s">
        <v>171</v>
      </c>
      <c r="F272" s="595">
        <v>390346.56099999999</v>
      </c>
      <c r="G272" s="595">
        <v>464408.63500000001</v>
      </c>
    </row>
    <row r="273" spans="1:7" ht="10.050000000000001" customHeight="1">
      <c r="A273" s="597">
        <v>44671</v>
      </c>
      <c r="B273" s="54">
        <v>4</v>
      </c>
      <c r="C273" s="53">
        <v>2022</v>
      </c>
      <c r="D273" s="52" t="s">
        <v>126</v>
      </c>
      <c r="E273" s="52" t="s">
        <v>171</v>
      </c>
      <c r="F273" s="595">
        <v>356096.20699999999</v>
      </c>
      <c r="G273" s="595">
        <v>419111.89899999998</v>
      </c>
    </row>
    <row r="274" spans="1:7" ht="10.050000000000001" customHeight="1">
      <c r="A274" s="597">
        <v>44701</v>
      </c>
      <c r="B274" s="54">
        <v>5</v>
      </c>
      <c r="C274" s="53">
        <v>2022</v>
      </c>
      <c r="D274" s="52" t="s">
        <v>126</v>
      </c>
      <c r="E274" s="52" t="s">
        <v>171</v>
      </c>
      <c r="F274" s="595">
        <v>360931.02600000001</v>
      </c>
      <c r="G274" s="595">
        <v>429979.614</v>
      </c>
    </row>
    <row r="275" spans="1:7" ht="10.050000000000001" customHeight="1">
      <c r="A275" s="597">
        <v>44732</v>
      </c>
      <c r="B275" s="54">
        <v>6</v>
      </c>
      <c r="C275" s="53">
        <v>2022</v>
      </c>
      <c r="D275" s="52" t="s">
        <v>126</v>
      </c>
      <c r="E275" s="52" t="s">
        <v>171</v>
      </c>
      <c r="F275" s="595">
        <v>371725.43699999998</v>
      </c>
      <c r="G275" s="595">
        <v>439358.022</v>
      </c>
    </row>
    <row r="276" spans="1:7" ht="10.050000000000001" customHeight="1">
      <c r="A276" s="597">
        <v>44762</v>
      </c>
      <c r="B276" s="54">
        <v>7</v>
      </c>
      <c r="C276" s="53">
        <v>2022</v>
      </c>
      <c r="D276" s="52" t="s">
        <v>127</v>
      </c>
      <c r="E276" s="52" t="s">
        <v>171</v>
      </c>
      <c r="F276" s="595">
        <v>359309.49899999902</v>
      </c>
      <c r="G276" s="595">
        <v>426107.39600000001</v>
      </c>
    </row>
    <row r="277" spans="1:7" ht="10.050000000000001" customHeight="1">
      <c r="A277" s="597">
        <v>44793</v>
      </c>
      <c r="B277" s="54">
        <v>8</v>
      </c>
      <c r="C277" s="53">
        <v>2022</v>
      </c>
      <c r="D277" s="52" t="s">
        <v>127</v>
      </c>
      <c r="E277" s="52" t="s">
        <v>171</v>
      </c>
      <c r="F277" s="595">
        <v>358610.19099999999</v>
      </c>
      <c r="G277" s="595">
        <v>424333.85600000003</v>
      </c>
    </row>
    <row r="278" spans="1:7" ht="10.050000000000001" customHeight="1">
      <c r="A278" s="597">
        <v>44824</v>
      </c>
      <c r="B278" s="54">
        <v>9</v>
      </c>
      <c r="C278" s="53">
        <v>2022</v>
      </c>
      <c r="D278" s="52" t="s">
        <v>127</v>
      </c>
      <c r="E278" s="52" t="s">
        <v>171</v>
      </c>
      <c r="F278" s="595">
        <v>366627.21</v>
      </c>
      <c r="G278" s="595">
        <v>428551.32</v>
      </c>
    </row>
    <row r="279" spans="1:7" ht="10.050000000000001" customHeight="1">
      <c r="A279" s="597">
        <v>44854</v>
      </c>
      <c r="B279" s="54">
        <v>10</v>
      </c>
      <c r="C279" s="53">
        <v>2022</v>
      </c>
      <c r="D279" s="52" t="s">
        <v>127</v>
      </c>
      <c r="E279" s="52" t="s">
        <v>171</v>
      </c>
      <c r="F279" s="595">
        <v>364959.58299999998</v>
      </c>
      <c r="G279" s="595">
        <v>423246.04300000001</v>
      </c>
    </row>
    <row r="280" spans="1:7" ht="10.050000000000001" customHeight="1">
      <c r="A280" s="597">
        <v>44885</v>
      </c>
      <c r="B280" s="54">
        <v>11</v>
      </c>
      <c r="C280" s="53">
        <v>2022</v>
      </c>
      <c r="D280" s="52" t="s">
        <v>127</v>
      </c>
      <c r="E280" s="52" t="s">
        <v>171</v>
      </c>
      <c r="F280" s="595">
        <v>361278.00599999999</v>
      </c>
      <c r="G280" s="595">
        <v>422759.09499999997</v>
      </c>
    </row>
    <row r="281" spans="1:7" ht="10.050000000000001" customHeight="1">
      <c r="A281" s="597">
        <v>44915</v>
      </c>
      <c r="B281" s="54">
        <v>12</v>
      </c>
      <c r="C281" s="53">
        <v>2022</v>
      </c>
      <c r="D281" s="52" t="s">
        <v>127</v>
      </c>
      <c r="E281" s="52" t="s">
        <v>171</v>
      </c>
      <c r="F281" s="595">
        <v>361726.82900000003</v>
      </c>
      <c r="G281" s="595">
        <v>422716.321</v>
      </c>
    </row>
    <row r="282" spans="1:7" ht="10.050000000000001" customHeight="1">
      <c r="A282" s="597">
        <v>44946</v>
      </c>
      <c r="B282" s="54">
        <v>1</v>
      </c>
      <c r="C282" s="53">
        <v>2023</v>
      </c>
      <c r="D282" s="52" t="s">
        <v>127</v>
      </c>
      <c r="E282" s="52" t="s">
        <v>171</v>
      </c>
      <c r="F282" s="595">
        <v>346451.06300000002</v>
      </c>
      <c r="G282" s="595">
        <v>405510.06400000001</v>
      </c>
    </row>
    <row r="283" spans="1:7" ht="10.050000000000001" customHeight="1">
      <c r="A283" s="597">
        <v>44977</v>
      </c>
      <c r="B283" s="54">
        <v>2</v>
      </c>
      <c r="C283" s="53">
        <v>2023</v>
      </c>
      <c r="D283" s="52" t="s">
        <v>127</v>
      </c>
      <c r="E283" s="52" t="s">
        <v>171</v>
      </c>
      <c r="F283" s="595">
        <v>319023.80200000003</v>
      </c>
      <c r="G283" s="595">
        <v>377087.44300000003</v>
      </c>
    </row>
    <row r="284" spans="1:7" ht="10.050000000000001" customHeight="1">
      <c r="A284" s="597">
        <v>45005</v>
      </c>
      <c r="B284" s="54">
        <v>3</v>
      </c>
      <c r="C284" s="53">
        <v>2023</v>
      </c>
      <c r="D284" s="52" t="s">
        <v>127</v>
      </c>
      <c r="E284" s="52" t="s">
        <v>171</v>
      </c>
      <c r="F284" s="595">
        <v>374444.98300000001</v>
      </c>
      <c r="G284" s="595">
        <v>433834.12099999998</v>
      </c>
    </row>
    <row r="285" spans="1:7" ht="10.050000000000001" customHeight="1">
      <c r="A285" s="597">
        <v>45036</v>
      </c>
      <c r="B285" s="54">
        <v>4</v>
      </c>
      <c r="C285" s="53">
        <v>2023</v>
      </c>
      <c r="D285" s="52" t="s">
        <v>127</v>
      </c>
      <c r="E285" s="52" t="s">
        <v>171</v>
      </c>
      <c r="F285" s="595">
        <v>331528.83899999998</v>
      </c>
      <c r="G285" s="595">
        <v>386701.815</v>
      </c>
    </row>
    <row r="286" spans="1:7" ht="10.050000000000001" customHeight="1">
      <c r="A286" s="597">
        <v>45066</v>
      </c>
      <c r="B286" s="54">
        <v>5</v>
      </c>
      <c r="C286" s="53">
        <v>2023</v>
      </c>
      <c r="D286" s="52" t="s">
        <v>127</v>
      </c>
      <c r="E286" s="52" t="s">
        <v>171</v>
      </c>
      <c r="F286" s="595">
        <v>344088.98300000001</v>
      </c>
      <c r="G286" s="595">
        <v>400037.29100000003</v>
      </c>
    </row>
    <row r="287" spans="1:7" ht="10.050000000000001" customHeight="1">
      <c r="A287" s="597">
        <v>45097</v>
      </c>
      <c r="B287" s="54">
        <v>6</v>
      </c>
      <c r="C287" s="53">
        <v>2023</v>
      </c>
      <c r="D287" s="52" t="s">
        <v>127</v>
      </c>
      <c r="E287" s="52" t="s">
        <v>171</v>
      </c>
      <c r="F287" s="595">
        <v>369172.70600000001</v>
      </c>
      <c r="G287" s="595">
        <v>425246.06199999998</v>
      </c>
    </row>
    <row r="288" spans="1:7" ht="10.050000000000001" customHeight="1">
      <c r="A288" s="597">
        <v>45127</v>
      </c>
      <c r="B288" s="54">
        <v>7</v>
      </c>
      <c r="C288" s="53">
        <v>2023</v>
      </c>
      <c r="D288" s="52" t="s">
        <v>128</v>
      </c>
      <c r="E288" s="52" t="s">
        <v>171</v>
      </c>
      <c r="F288" s="595">
        <v>350743.68199999997</v>
      </c>
      <c r="G288" s="595">
        <v>405097.90700000001</v>
      </c>
    </row>
    <row r="289" spans="1:7" ht="10.050000000000001" customHeight="1">
      <c r="A289" s="597">
        <v>45158</v>
      </c>
      <c r="B289" s="54">
        <v>8</v>
      </c>
      <c r="C289" s="53">
        <v>2023</v>
      </c>
      <c r="D289" s="52" t="s">
        <v>128</v>
      </c>
      <c r="E289" s="52" t="s">
        <v>171</v>
      </c>
      <c r="F289" s="595">
        <v>353726.17800000001</v>
      </c>
      <c r="G289" s="595">
        <v>408947.55800000002</v>
      </c>
    </row>
    <row r="290" spans="1:7" ht="10.050000000000001" customHeight="1">
      <c r="A290" s="597">
        <v>45189</v>
      </c>
      <c r="B290" s="54">
        <v>9</v>
      </c>
      <c r="C290" s="53">
        <v>2023</v>
      </c>
      <c r="D290" s="52" t="s">
        <v>128</v>
      </c>
      <c r="E290" s="52" t="s">
        <v>171</v>
      </c>
      <c r="F290" s="595">
        <v>347603.36200000002</v>
      </c>
      <c r="G290" s="595">
        <v>408354.92200000002</v>
      </c>
    </row>
    <row r="291" spans="1:7" ht="10.050000000000001" customHeight="1">
      <c r="A291" s="597">
        <v>45219</v>
      </c>
      <c r="B291" s="54">
        <v>10</v>
      </c>
      <c r="C291" s="53">
        <v>2023</v>
      </c>
      <c r="D291" s="52" t="s">
        <v>128</v>
      </c>
      <c r="E291" s="52" t="s">
        <v>171</v>
      </c>
      <c r="F291" s="595">
        <v>364360.11200000002</v>
      </c>
      <c r="G291" s="595">
        <v>424757.39399999997</v>
      </c>
    </row>
    <row r="292" spans="1:7" ht="10.050000000000001" customHeight="1">
      <c r="A292" s="597">
        <v>45250</v>
      </c>
      <c r="B292" s="54">
        <v>11</v>
      </c>
      <c r="C292" s="53">
        <v>2023</v>
      </c>
      <c r="D292" s="52" t="s">
        <v>128</v>
      </c>
      <c r="E292" s="52" t="s">
        <v>171</v>
      </c>
      <c r="F292" s="595">
        <v>363043.34399999998</v>
      </c>
      <c r="G292" s="595">
        <v>423072.99599999998</v>
      </c>
    </row>
    <row r="293" spans="1:7" ht="10.050000000000001" customHeight="1">
      <c r="A293" s="597">
        <v>45280</v>
      </c>
      <c r="B293" s="54">
        <v>12</v>
      </c>
      <c r="C293" s="53">
        <v>2023</v>
      </c>
      <c r="D293" s="52" t="s">
        <v>128</v>
      </c>
      <c r="E293" s="52" t="s">
        <v>171</v>
      </c>
      <c r="F293" s="595">
        <v>352077.565</v>
      </c>
      <c r="G293" s="595">
        <v>410280.049</v>
      </c>
    </row>
    <row r="294" spans="1:7" ht="10.050000000000001" customHeight="1">
      <c r="A294" s="597">
        <v>45311</v>
      </c>
      <c r="B294" s="54">
        <v>1</v>
      </c>
      <c r="C294" s="53">
        <v>2024</v>
      </c>
      <c r="D294" s="52" t="s">
        <v>128</v>
      </c>
      <c r="E294" s="52" t="s">
        <v>171</v>
      </c>
      <c r="F294" s="595">
        <v>364470.424</v>
      </c>
      <c r="G294" s="595">
        <v>428136.663</v>
      </c>
    </row>
    <row r="295" spans="1:7" ht="10.050000000000001" customHeight="1">
      <c r="A295" s="597">
        <v>45342</v>
      </c>
      <c r="B295" s="54">
        <v>2</v>
      </c>
      <c r="C295" s="53">
        <v>2024</v>
      </c>
      <c r="D295" s="52" t="s">
        <v>128</v>
      </c>
      <c r="E295" s="52" t="s">
        <v>171</v>
      </c>
      <c r="F295" s="595">
        <v>351671.60700000002</v>
      </c>
      <c r="G295" s="595">
        <v>414896.15700000001</v>
      </c>
    </row>
    <row r="296" spans="1:7" ht="10.050000000000001" customHeight="1">
      <c r="A296" s="597">
        <v>45371</v>
      </c>
      <c r="B296" s="54">
        <v>3</v>
      </c>
      <c r="C296" s="53">
        <v>2024</v>
      </c>
      <c r="D296" s="52" t="s">
        <v>128</v>
      </c>
      <c r="E296" s="52" t="s">
        <v>171</v>
      </c>
      <c r="F296" s="595">
        <v>365235.50400000002</v>
      </c>
      <c r="G296" s="595">
        <v>438084.97200000001</v>
      </c>
    </row>
    <row r="297" spans="1:7" ht="10.050000000000001" customHeight="1">
      <c r="A297" s="597">
        <v>45402</v>
      </c>
      <c r="B297" s="54">
        <v>4</v>
      </c>
      <c r="C297" s="53">
        <v>2024</v>
      </c>
      <c r="D297" s="52" t="s">
        <v>128</v>
      </c>
      <c r="E297" s="52" t="s">
        <v>171</v>
      </c>
      <c r="F297" s="595">
        <v>365417.45600000001</v>
      </c>
      <c r="G297" s="595">
        <v>429512.57799999998</v>
      </c>
    </row>
    <row r="298" spans="1:7" ht="10.050000000000001" customHeight="1">
      <c r="A298" s="597">
        <v>45432</v>
      </c>
      <c r="B298" s="54">
        <v>5</v>
      </c>
      <c r="C298" s="53">
        <v>2024</v>
      </c>
      <c r="D298" s="52" t="s">
        <v>128</v>
      </c>
      <c r="E298" s="52" t="s">
        <v>171</v>
      </c>
      <c r="F298" s="595">
        <v>365225.84</v>
      </c>
      <c r="G298" s="595">
        <v>432810.83299999998</v>
      </c>
    </row>
    <row r="299" spans="1:7" ht="10.050000000000001" customHeight="1">
      <c r="A299" s="597">
        <v>45463</v>
      </c>
      <c r="B299" s="54">
        <v>6</v>
      </c>
      <c r="C299" s="53">
        <v>2024</v>
      </c>
      <c r="D299" s="52" t="s">
        <v>128</v>
      </c>
      <c r="E299" s="52" t="s">
        <v>171</v>
      </c>
      <c r="F299" s="595">
        <v>363395.35399999999</v>
      </c>
      <c r="G299" s="595">
        <v>433905.53200000001</v>
      </c>
    </row>
    <row r="300" spans="1:7" ht="10.050000000000001" customHeight="1">
      <c r="A300" s="597">
        <v>45493</v>
      </c>
      <c r="B300" s="54">
        <v>7</v>
      </c>
      <c r="C300" s="53">
        <v>2024</v>
      </c>
      <c r="D300" s="52" t="s">
        <v>129</v>
      </c>
      <c r="E300" s="52" t="s">
        <v>171</v>
      </c>
      <c r="F300" s="595">
        <v>390537.272</v>
      </c>
      <c r="G300" s="595">
        <v>459850.09499999997</v>
      </c>
    </row>
    <row r="301" spans="1:7" ht="10.050000000000001" customHeight="1">
      <c r="A301" s="597">
        <v>45524</v>
      </c>
      <c r="B301" s="54">
        <v>8</v>
      </c>
      <c r="C301" s="53">
        <v>2024</v>
      </c>
      <c r="D301" s="52" t="s">
        <v>129</v>
      </c>
      <c r="E301" s="52" t="s">
        <v>171</v>
      </c>
      <c r="F301" s="595">
        <v>354887.09299999999</v>
      </c>
      <c r="G301" s="595">
        <v>421938.45899999997</v>
      </c>
    </row>
    <row r="302" spans="1:7" ht="10.050000000000001" customHeight="1">
      <c r="A302" s="597">
        <v>45555</v>
      </c>
      <c r="B302" s="54">
        <v>9</v>
      </c>
      <c r="C302" s="53">
        <v>2024</v>
      </c>
      <c r="D302" s="52" t="s">
        <v>129</v>
      </c>
      <c r="E302" s="52" t="s">
        <v>171</v>
      </c>
      <c r="F302" s="595">
        <v>360373.30200000003</v>
      </c>
      <c r="G302" s="595">
        <v>431049.255</v>
      </c>
    </row>
    <row r="303" spans="1:7" ht="10.050000000000001" customHeight="1">
      <c r="A303" s="597">
        <v>45585</v>
      </c>
      <c r="B303" s="54">
        <v>10</v>
      </c>
      <c r="C303" s="53">
        <v>2024</v>
      </c>
      <c r="D303" s="52" t="s">
        <v>129</v>
      </c>
      <c r="E303" s="52" t="s">
        <v>171</v>
      </c>
      <c r="F303" s="595">
        <v>391933.15299999999</v>
      </c>
      <c r="G303" s="595">
        <v>465556.25199999998</v>
      </c>
    </row>
    <row r="304" spans="1:7" ht="10.050000000000001" customHeight="1">
      <c r="A304" s="597">
        <v>45616</v>
      </c>
      <c r="B304" s="54">
        <v>11</v>
      </c>
      <c r="C304" s="53">
        <v>2024</v>
      </c>
      <c r="D304" s="52" t="s">
        <v>129</v>
      </c>
      <c r="E304" s="52" t="s">
        <v>171</v>
      </c>
      <c r="F304" s="595">
        <v>363608.14600000001</v>
      </c>
      <c r="G304" s="595">
        <v>433449.97499999998</v>
      </c>
    </row>
    <row r="305" spans="1:7" ht="10.050000000000001" customHeight="1">
      <c r="A305" s="597">
        <v>45646</v>
      </c>
      <c r="B305" s="54">
        <v>12</v>
      </c>
      <c r="C305" s="53">
        <v>2024</v>
      </c>
      <c r="D305" s="52" t="s">
        <v>129</v>
      </c>
      <c r="E305" s="52" t="s">
        <v>171</v>
      </c>
      <c r="F305" s="595">
        <v>367291.82</v>
      </c>
      <c r="G305" s="595">
        <v>436241.054</v>
      </c>
    </row>
    <row r="306" spans="1:7" ht="10.050000000000001" customHeight="1">
      <c r="A306" s="597">
        <v>45677</v>
      </c>
      <c r="B306" s="54">
        <v>1</v>
      </c>
      <c r="C306" s="53">
        <v>2025</v>
      </c>
      <c r="D306" s="52" t="s">
        <v>129</v>
      </c>
      <c r="E306" s="52" t="s">
        <v>171</v>
      </c>
      <c r="F306" s="595">
        <v>371302.70600000001</v>
      </c>
      <c r="G306" s="595">
        <v>438277.92200000002</v>
      </c>
    </row>
    <row r="307" spans="1:7" ht="10.050000000000001" customHeight="1">
      <c r="A307" s="597">
        <v>36545</v>
      </c>
      <c r="B307" s="54">
        <v>1</v>
      </c>
      <c r="C307" s="53">
        <v>2000</v>
      </c>
      <c r="D307" s="52" t="s">
        <v>1008</v>
      </c>
      <c r="E307" s="52" t="s">
        <v>300</v>
      </c>
      <c r="F307" s="595">
        <v>27.6</v>
      </c>
      <c r="G307" s="595">
        <v>35.4</v>
      </c>
    </row>
    <row r="308" spans="1:7" ht="10.050000000000001" customHeight="1">
      <c r="A308" s="597">
        <v>36576</v>
      </c>
      <c r="B308" s="54">
        <v>2</v>
      </c>
      <c r="C308" s="53">
        <v>2000</v>
      </c>
      <c r="D308" s="52" t="s">
        <v>1008</v>
      </c>
      <c r="E308" s="52" t="s">
        <v>300</v>
      </c>
      <c r="F308" s="595">
        <v>40.5</v>
      </c>
      <c r="G308" s="595">
        <v>56</v>
      </c>
    </row>
    <row r="309" spans="1:7" ht="10.050000000000001" customHeight="1">
      <c r="A309" s="597">
        <v>36605</v>
      </c>
      <c r="B309" s="54">
        <v>3</v>
      </c>
      <c r="C309" s="53">
        <v>2000</v>
      </c>
      <c r="D309" s="52" t="s">
        <v>1008</v>
      </c>
      <c r="E309" s="52" t="s">
        <v>300</v>
      </c>
      <c r="F309" s="595">
        <v>72.900000000000006</v>
      </c>
      <c r="G309" s="595">
        <v>98.2</v>
      </c>
    </row>
    <row r="310" spans="1:7" ht="10.050000000000001" customHeight="1">
      <c r="A310" s="597">
        <v>36636</v>
      </c>
      <c r="B310" s="54">
        <v>4</v>
      </c>
      <c r="C310" s="53">
        <v>2000</v>
      </c>
      <c r="D310" s="52" t="s">
        <v>1008</v>
      </c>
      <c r="E310" s="52" t="s">
        <v>300</v>
      </c>
      <c r="F310" s="595">
        <v>49.9</v>
      </c>
      <c r="G310" s="595">
        <v>66.5</v>
      </c>
    </row>
    <row r="311" spans="1:7" ht="10.050000000000001" customHeight="1">
      <c r="A311" s="597">
        <v>36666</v>
      </c>
      <c r="B311" s="54">
        <v>5</v>
      </c>
      <c r="C311" s="53">
        <v>2000</v>
      </c>
      <c r="D311" s="52" t="s">
        <v>1008</v>
      </c>
      <c r="E311" s="52" t="s">
        <v>300</v>
      </c>
      <c r="F311" s="595">
        <v>54.2</v>
      </c>
      <c r="G311" s="595">
        <v>73.5</v>
      </c>
    </row>
    <row r="312" spans="1:7" ht="10.050000000000001" customHeight="1">
      <c r="A312" s="597">
        <v>36697</v>
      </c>
      <c r="B312" s="54">
        <v>6</v>
      </c>
      <c r="C312" s="53">
        <v>2000</v>
      </c>
      <c r="D312" s="52" t="s">
        <v>1008</v>
      </c>
      <c r="E312" s="52" t="s">
        <v>300</v>
      </c>
      <c r="F312" s="595">
        <v>55.2</v>
      </c>
      <c r="G312" s="595">
        <v>48.2</v>
      </c>
    </row>
    <row r="313" spans="1:7" ht="10.050000000000001" customHeight="1">
      <c r="A313" s="597">
        <v>36727</v>
      </c>
      <c r="B313" s="54">
        <v>7</v>
      </c>
      <c r="C313" s="53">
        <v>2000</v>
      </c>
      <c r="D313" s="52" t="s">
        <v>105</v>
      </c>
      <c r="E313" s="52" t="s">
        <v>300</v>
      </c>
      <c r="F313" s="595">
        <v>39.9</v>
      </c>
      <c r="G313" s="595">
        <v>57.5</v>
      </c>
    </row>
    <row r="314" spans="1:7" ht="10.050000000000001" customHeight="1">
      <c r="A314" s="597">
        <v>36758</v>
      </c>
      <c r="B314" s="54">
        <v>8</v>
      </c>
      <c r="C314" s="53">
        <v>2000</v>
      </c>
      <c r="D314" s="52" t="s">
        <v>105</v>
      </c>
      <c r="E314" s="52" t="s">
        <v>300</v>
      </c>
      <c r="F314" s="595">
        <v>40.1</v>
      </c>
      <c r="G314" s="595">
        <v>69</v>
      </c>
    </row>
    <row r="315" spans="1:7" ht="10.050000000000001" customHeight="1">
      <c r="A315" s="597">
        <v>36789</v>
      </c>
      <c r="B315" s="54">
        <v>9</v>
      </c>
      <c r="C315" s="53">
        <v>2000</v>
      </c>
      <c r="D315" s="52" t="s">
        <v>105</v>
      </c>
      <c r="E315" s="52" t="s">
        <v>300</v>
      </c>
      <c r="F315" s="595">
        <v>157.1</v>
      </c>
      <c r="G315" s="595">
        <v>65.099999999999994</v>
      </c>
    </row>
    <row r="316" spans="1:7" ht="10.050000000000001" customHeight="1">
      <c r="A316" s="597">
        <v>36819</v>
      </c>
      <c r="B316" s="54">
        <v>10</v>
      </c>
      <c r="C316" s="53">
        <v>2000</v>
      </c>
      <c r="D316" s="52" t="s">
        <v>105</v>
      </c>
      <c r="E316" s="52" t="s">
        <v>300</v>
      </c>
      <c r="F316" s="595">
        <v>48.2</v>
      </c>
      <c r="G316" s="595">
        <v>61.3</v>
      </c>
    </row>
    <row r="317" spans="1:7" ht="10.050000000000001" customHeight="1">
      <c r="A317" s="597">
        <v>36850</v>
      </c>
      <c r="B317" s="54">
        <v>11</v>
      </c>
      <c r="C317" s="53">
        <v>2000</v>
      </c>
      <c r="D317" s="52" t="s">
        <v>105</v>
      </c>
      <c r="E317" s="52" t="s">
        <v>300</v>
      </c>
      <c r="F317" s="595">
        <v>60.7</v>
      </c>
      <c r="G317" s="595">
        <v>63.6</v>
      </c>
    </row>
    <row r="318" spans="1:7" ht="10.050000000000001" customHeight="1">
      <c r="A318" s="597">
        <v>36880</v>
      </c>
      <c r="B318" s="54">
        <v>12</v>
      </c>
      <c r="C318" s="53">
        <v>2000</v>
      </c>
      <c r="D318" s="52" t="s">
        <v>105</v>
      </c>
      <c r="E318" s="52" t="s">
        <v>300</v>
      </c>
      <c r="F318" s="595">
        <v>58.3</v>
      </c>
      <c r="G318" s="595">
        <v>101.3</v>
      </c>
    </row>
    <row r="319" spans="1:7" ht="10.050000000000001" customHeight="1">
      <c r="A319" s="597">
        <v>36911</v>
      </c>
      <c r="B319" s="54">
        <v>1</v>
      </c>
      <c r="C319" s="53">
        <v>2001</v>
      </c>
      <c r="D319" s="52" t="s">
        <v>105</v>
      </c>
      <c r="E319" s="52" t="s">
        <v>300</v>
      </c>
      <c r="F319" s="595">
        <v>61.4</v>
      </c>
      <c r="G319" s="595">
        <v>72.8</v>
      </c>
    </row>
    <row r="320" spans="1:7" ht="10.050000000000001" customHeight="1">
      <c r="A320" s="597">
        <v>36942</v>
      </c>
      <c r="B320" s="54">
        <v>2</v>
      </c>
      <c r="C320" s="53">
        <v>2001</v>
      </c>
      <c r="D320" s="52" t="s">
        <v>105</v>
      </c>
      <c r="E320" s="52" t="s">
        <v>300</v>
      </c>
      <c r="F320" s="595">
        <v>60.4</v>
      </c>
      <c r="G320" s="595">
        <v>76</v>
      </c>
    </row>
    <row r="321" spans="1:7" ht="10.050000000000001" customHeight="1">
      <c r="A321" s="597">
        <v>36970</v>
      </c>
      <c r="B321" s="54">
        <v>3</v>
      </c>
      <c r="C321" s="53">
        <v>2001</v>
      </c>
      <c r="D321" s="52" t="s">
        <v>105</v>
      </c>
      <c r="E321" s="52" t="s">
        <v>300</v>
      </c>
      <c r="F321" s="595">
        <v>52.1</v>
      </c>
      <c r="G321" s="595">
        <v>89</v>
      </c>
    </row>
    <row r="322" spans="1:7" ht="10.050000000000001" customHeight="1">
      <c r="A322" s="597">
        <v>37001</v>
      </c>
      <c r="B322" s="54">
        <v>4</v>
      </c>
      <c r="C322" s="53">
        <v>2001</v>
      </c>
      <c r="D322" s="52" t="s">
        <v>105</v>
      </c>
      <c r="E322" s="52" t="s">
        <v>300</v>
      </c>
      <c r="F322" s="595">
        <v>80.7</v>
      </c>
      <c r="G322" s="595">
        <v>88.3</v>
      </c>
    </row>
    <row r="323" spans="1:7" ht="10.050000000000001" customHeight="1">
      <c r="A323" s="597">
        <v>37031</v>
      </c>
      <c r="B323" s="54">
        <v>5</v>
      </c>
      <c r="C323" s="53">
        <v>2001</v>
      </c>
      <c r="D323" s="52" t="s">
        <v>105</v>
      </c>
      <c r="E323" s="52" t="s">
        <v>300</v>
      </c>
      <c r="F323" s="595">
        <v>47.1</v>
      </c>
      <c r="G323" s="595">
        <v>56.7</v>
      </c>
    </row>
    <row r="324" spans="1:7" ht="10.050000000000001" customHeight="1">
      <c r="A324" s="597">
        <v>37062</v>
      </c>
      <c r="B324" s="54">
        <v>6</v>
      </c>
      <c r="C324" s="53">
        <v>2001</v>
      </c>
      <c r="D324" s="52" t="s">
        <v>105</v>
      </c>
      <c r="E324" s="52" t="s">
        <v>300</v>
      </c>
      <c r="F324" s="595">
        <v>80.5</v>
      </c>
      <c r="G324" s="595">
        <v>84.1</v>
      </c>
    </row>
    <row r="325" spans="1:7" ht="10.050000000000001" customHeight="1">
      <c r="A325" s="597">
        <v>37092</v>
      </c>
      <c r="B325" s="54">
        <v>7</v>
      </c>
      <c r="C325" s="53">
        <v>2001</v>
      </c>
      <c r="D325" s="52" t="s">
        <v>108</v>
      </c>
      <c r="E325" s="52" t="s">
        <v>300</v>
      </c>
      <c r="F325" s="595">
        <v>66.2</v>
      </c>
      <c r="G325" s="595">
        <v>63.1</v>
      </c>
    </row>
    <row r="326" spans="1:7" ht="10.050000000000001" customHeight="1">
      <c r="A326" s="597">
        <v>37123</v>
      </c>
      <c r="B326" s="54">
        <v>8</v>
      </c>
      <c r="C326" s="53">
        <v>2001</v>
      </c>
      <c r="D326" s="52" t="s">
        <v>108</v>
      </c>
      <c r="E326" s="52" t="s">
        <v>300</v>
      </c>
      <c r="F326" s="595">
        <v>51.3</v>
      </c>
      <c r="G326" s="595">
        <v>62.5</v>
      </c>
    </row>
    <row r="327" spans="1:7" ht="10.050000000000001" customHeight="1">
      <c r="A327" s="597">
        <v>37154</v>
      </c>
      <c r="B327" s="54">
        <v>9</v>
      </c>
      <c r="C327" s="53">
        <v>2001</v>
      </c>
      <c r="D327" s="52" t="s">
        <v>108</v>
      </c>
      <c r="E327" s="52" t="s">
        <v>300</v>
      </c>
      <c r="F327" s="595">
        <v>44</v>
      </c>
      <c r="G327" s="595">
        <v>45.9</v>
      </c>
    </row>
    <row r="328" spans="1:7" ht="10.050000000000001" customHeight="1">
      <c r="A328" s="597">
        <v>37184</v>
      </c>
      <c r="B328" s="54">
        <v>10</v>
      </c>
      <c r="C328" s="53">
        <v>2001</v>
      </c>
      <c r="D328" s="52" t="s">
        <v>108</v>
      </c>
      <c r="E328" s="52" t="s">
        <v>300</v>
      </c>
      <c r="F328" s="595">
        <v>88.5</v>
      </c>
      <c r="G328" s="595">
        <v>89.4</v>
      </c>
    </row>
    <row r="329" spans="1:7" ht="10.050000000000001" customHeight="1">
      <c r="A329" s="597">
        <v>37215</v>
      </c>
      <c r="B329" s="54">
        <v>11</v>
      </c>
      <c r="C329" s="53">
        <v>2001</v>
      </c>
      <c r="D329" s="52" t="s">
        <v>108</v>
      </c>
      <c r="E329" s="52" t="s">
        <v>300</v>
      </c>
      <c r="F329" s="595">
        <v>64.5</v>
      </c>
      <c r="G329" s="595">
        <v>87.7</v>
      </c>
    </row>
    <row r="330" spans="1:7" ht="10.050000000000001" customHeight="1">
      <c r="A330" s="597">
        <v>37245</v>
      </c>
      <c r="B330" s="54">
        <v>12</v>
      </c>
      <c r="C330" s="53">
        <v>2001</v>
      </c>
      <c r="D330" s="52" t="s">
        <v>108</v>
      </c>
      <c r="E330" s="52" t="s">
        <v>300</v>
      </c>
      <c r="F330" s="595">
        <v>53.4</v>
      </c>
      <c r="G330" s="595">
        <v>81.3</v>
      </c>
    </row>
    <row r="331" spans="1:7" ht="10.050000000000001" customHeight="1">
      <c r="A331" s="597">
        <v>37276</v>
      </c>
      <c r="B331" s="54">
        <v>1</v>
      </c>
      <c r="C331" s="53">
        <v>2002</v>
      </c>
      <c r="D331" s="52" t="s">
        <v>108</v>
      </c>
      <c r="E331" s="52" t="s">
        <v>300</v>
      </c>
      <c r="F331" s="595">
        <v>96.5</v>
      </c>
      <c r="G331" s="595">
        <v>120.1</v>
      </c>
    </row>
    <row r="332" spans="1:7" ht="10.050000000000001" customHeight="1">
      <c r="A332" s="597">
        <v>37307</v>
      </c>
      <c r="B332" s="54">
        <v>2</v>
      </c>
      <c r="C332" s="53">
        <v>2002</v>
      </c>
      <c r="D332" s="52" t="s">
        <v>108</v>
      </c>
      <c r="E332" s="52" t="s">
        <v>300</v>
      </c>
      <c r="F332" s="595">
        <v>66</v>
      </c>
      <c r="G332" s="595">
        <v>83.2</v>
      </c>
    </row>
    <row r="333" spans="1:7" ht="10.050000000000001" customHeight="1">
      <c r="A333" s="597">
        <v>37335</v>
      </c>
      <c r="B333" s="54">
        <v>3</v>
      </c>
      <c r="C333" s="53">
        <v>2002</v>
      </c>
      <c r="D333" s="52" t="s">
        <v>108</v>
      </c>
      <c r="E333" s="52" t="s">
        <v>300</v>
      </c>
      <c r="F333" s="595">
        <v>124.7</v>
      </c>
      <c r="G333" s="595">
        <v>157.4</v>
      </c>
    </row>
    <row r="334" spans="1:7" ht="10.050000000000001" customHeight="1">
      <c r="A334" s="597">
        <v>37366</v>
      </c>
      <c r="B334" s="54">
        <v>4</v>
      </c>
      <c r="C334" s="53">
        <v>2002</v>
      </c>
      <c r="D334" s="52" t="s">
        <v>108</v>
      </c>
      <c r="E334" s="52" t="s">
        <v>300</v>
      </c>
      <c r="F334" s="595">
        <v>72.3</v>
      </c>
      <c r="G334" s="595">
        <v>102.8</v>
      </c>
    </row>
    <row r="335" spans="1:7" ht="10.050000000000001" customHeight="1">
      <c r="A335" s="597">
        <v>37396</v>
      </c>
      <c r="B335" s="54">
        <v>5</v>
      </c>
      <c r="C335" s="53">
        <v>2002</v>
      </c>
      <c r="D335" s="52" t="s">
        <v>108</v>
      </c>
      <c r="E335" s="52" t="s">
        <v>300</v>
      </c>
      <c r="F335" s="595">
        <v>61.9</v>
      </c>
      <c r="G335" s="595">
        <v>81.5</v>
      </c>
    </row>
    <row r="336" spans="1:7" ht="10.050000000000001" customHeight="1">
      <c r="A336" s="597">
        <v>37427</v>
      </c>
      <c r="B336" s="54">
        <v>6</v>
      </c>
      <c r="C336" s="53">
        <v>2002</v>
      </c>
      <c r="D336" s="52" t="s">
        <v>108</v>
      </c>
      <c r="E336" s="52" t="s">
        <v>300</v>
      </c>
      <c r="F336" s="595">
        <v>86.6</v>
      </c>
      <c r="G336" s="595">
        <v>119.4</v>
      </c>
    </row>
    <row r="337" spans="1:7" ht="10.050000000000001" customHeight="1">
      <c r="A337" s="597">
        <v>37457</v>
      </c>
      <c r="B337" s="54">
        <v>7</v>
      </c>
      <c r="C337" s="53">
        <v>2002</v>
      </c>
      <c r="D337" s="52" t="s">
        <v>109</v>
      </c>
      <c r="E337" s="52" t="s">
        <v>300</v>
      </c>
      <c r="F337" s="595">
        <v>65.5</v>
      </c>
      <c r="G337" s="595">
        <v>139</v>
      </c>
    </row>
    <row r="338" spans="1:7" ht="10.050000000000001" customHeight="1">
      <c r="A338" s="597">
        <v>37488</v>
      </c>
      <c r="B338" s="54">
        <v>8</v>
      </c>
      <c r="C338" s="53">
        <v>2002</v>
      </c>
      <c r="D338" s="52" t="s">
        <v>109</v>
      </c>
      <c r="E338" s="52" t="s">
        <v>300</v>
      </c>
      <c r="F338" s="595">
        <v>75.099999999999994</v>
      </c>
      <c r="G338" s="595">
        <v>98</v>
      </c>
    </row>
    <row r="339" spans="1:7" ht="10.050000000000001" customHeight="1">
      <c r="A339" s="597">
        <v>37519</v>
      </c>
      <c r="B339" s="54">
        <v>9</v>
      </c>
      <c r="C339" s="53">
        <v>2002</v>
      </c>
      <c r="D339" s="52" t="s">
        <v>109</v>
      </c>
      <c r="E339" s="52" t="s">
        <v>300</v>
      </c>
      <c r="F339" s="595">
        <v>81.7</v>
      </c>
      <c r="G339" s="595">
        <v>104.1</v>
      </c>
    </row>
    <row r="340" spans="1:7" ht="10.050000000000001" customHeight="1">
      <c r="A340" s="597">
        <v>37549</v>
      </c>
      <c r="B340" s="54">
        <v>10</v>
      </c>
      <c r="C340" s="53">
        <v>2002</v>
      </c>
      <c r="D340" s="52" t="s">
        <v>109</v>
      </c>
      <c r="E340" s="52" t="s">
        <v>300</v>
      </c>
      <c r="F340" s="595">
        <v>97.2</v>
      </c>
      <c r="G340" s="595">
        <v>150</v>
      </c>
    </row>
    <row r="341" spans="1:7" ht="10.050000000000001" customHeight="1">
      <c r="A341" s="597">
        <v>37580</v>
      </c>
      <c r="B341" s="54">
        <v>11</v>
      </c>
      <c r="C341" s="53">
        <v>2002</v>
      </c>
      <c r="D341" s="52" t="s">
        <v>109</v>
      </c>
      <c r="E341" s="52" t="s">
        <v>300</v>
      </c>
      <c r="F341" s="595">
        <v>103.3</v>
      </c>
      <c r="G341" s="595">
        <v>168.3</v>
      </c>
    </row>
    <row r="342" spans="1:7" ht="10.050000000000001" customHeight="1">
      <c r="A342" s="597">
        <v>37610</v>
      </c>
      <c r="B342" s="54">
        <v>12</v>
      </c>
      <c r="C342" s="53">
        <v>2002</v>
      </c>
      <c r="D342" s="52" t="s">
        <v>109</v>
      </c>
      <c r="E342" s="52" t="s">
        <v>300</v>
      </c>
      <c r="F342" s="595">
        <v>57.5</v>
      </c>
      <c r="G342" s="595">
        <v>85.2</v>
      </c>
    </row>
    <row r="343" spans="1:7" ht="10.050000000000001" customHeight="1">
      <c r="A343" s="597">
        <v>37641</v>
      </c>
      <c r="B343" s="54">
        <v>1</v>
      </c>
      <c r="C343" s="53">
        <v>2003</v>
      </c>
      <c r="D343" s="52" t="s">
        <v>109</v>
      </c>
      <c r="E343" s="52" t="s">
        <v>300</v>
      </c>
      <c r="F343" s="595">
        <v>79.2</v>
      </c>
      <c r="G343" s="595">
        <v>92.5</v>
      </c>
    </row>
    <row r="344" spans="1:7" ht="10.050000000000001" customHeight="1">
      <c r="A344" s="597">
        <v>37672</v>
      </c>
      <c r="B344" s="54">
        <v>2</v>
      </c>
      <c r="C344" s="53">
        <v>2003</v>
      </c>
      <c r="D344" s="52" t="s">
        <v>109</v>
      </c>
      <c r="E344" s="52" t="s">
        <v>300</v>
      </c>
      <c r="F344" s="595">
        <v>73.3</v>
      </c>
      <c r="G344" s="595">
        <v>122.7</v>
      </c>
    </row>
    <row r="345" spans="1:7" ht="10.050000000000001" customHeight="1">
      <c r="A345" s="597">
        <v>37700</v>
      </c>
      <c r="B345" s="54">
        <v>3</v>
      </c>
      <c r="C345" s="53">
        <v>2003</v>
      </c>
      <c r="D345" s="52" t="s">
        <v>109</v>
      </c>
      <c r="E345" s="52" t="s">
        <v>300</v>
      </c>
      <c r="F345" s="595">
        <v>102.9</v>
      </c>
      <c r="G345" s="595">
        <v>128.6</v>
      </c>
    </row>
    <row r="346" spans="1:7" ht="10.050000000000001" customHeight="1">
      <c r="A346" s="597">
        <v>37731</v>
      </c>
      <c r="B346" s="54">
        <v>4</v>
      </c>
      <c r="C346" s="53">
        <v>2003</v>
      </c>
      <c r="D346" s="52" t="s">
        <v>109</v>
      </c>
      <c r="E346" s="52" t="s">
        <v>300</v>
      </c>
      <c r="F346" s="595">
        <v>95</v>
      </c>
      <c r="G346" s="595">
        <v>129.30000000000001</v>
      </c>
    </row>
    <row r="347" spans="1:7" ht="10.050000000000001" customHeight="1">
      <c r="A347" s="597">
        <v>37761</v>
      </c>
      <c r="B347" s="54">
        <v>5</v>
      </c>
      <c r="C347" s="53">
        <v>2003</v>
      </c>
      <c r="D347" s="52" t="s">
        <v>109</v>
      </c>
      <c r="E347" s="52" t="s">
        <v>300</v>
      </c>
      <c r="F347" s="595">
        <v>83.8</v>
      </c>
      <c r="G347" s="595">
        <v>134.4</v>
      </c>
    </row>
    <row r="348" spans="1:7" ht="10.050000000000001" customHeight="1">
      <c r="A348" s="597">
        <v>37792</v>
      </c>
      <c r="B348" s="54">
        <v>6</v>
      </c>
      <c r="C348" s="53">
        <v>2003</v>
      </c>
      <c r="D348" s="52" t="s">
        <v>109</v>
      </c>
      <c r="E348" s="52" t="s">
        <v>300</v>
      </c>
      <c r="F348" s="595">
        <v>70</v>
      </c>
      <c r="G348" s="595">
        <v>105.7</v>
      </c>
    </row>
    <row r="349" spans="1:7" ht="10.050000000000001" customHeight="1">
      <c r="A349" s="597">
        <v>37822</v>
      </c>
      <c r="B349" s="54">
        <v>7</v>
      </c>
      <c r="C349" s="53">
        <v>2003</v>
      </c>
      <c r="D349" s="52" t="s">
        <v>106</v>
      </c>
      <c r="E349" s="52" t="s">
        <v>300</v>
      </c>
      <c r="F349" s="595">
        <v>95.4</v>
      </c>
      <c r="G349" s="595">
        <v>134.69999999999999</v>
      </c>
    </row>
    <row r="350" spans="1:7" ht="10.050000000000001" customHeight="1">
      <c r="A350" s="597">
        <v>37853</v>
      </c>
      <c r="B350" s="54">
        <v>8</v>
      </c>
      <c r="C350" s="53">
        <v>2003</v>
      </c>
      <c r="D350" s="52" t="s">
        <v>106</v>
      </c>
      <c r="E350" s="52" t="s">
        <v>300</v>
      </c>
      <c r="F350" s="595">
        <v>76.5</v>
      </c>
      <c r="G350" s="595">
        <v>116.2</v>
      </c>
    </row>
    <row r="351" spans="1:7" ht="10.050000000000001" customHeight="1">
      <c r="A351" s="597">
        <v>37884</v>
      </c>
      <c r="B351" s="54">
        <v>9</v>
      </c>
      <c r="C351" s="53">
        <v>2003</v>
      </c>
      <c r="D351" s="52" t="s">
        <v>106</v>
      </c>
      <c r="E351" s="52" t="s">
        <v>300</v>
      </c>
      <c r="F351" s="595">
        <v>125.7</v>
      </c>
      <c r="G351" s="595">
        <v>169.8</v>
      </c>
    </row>
    <row r="352" spans="1:7" ht="10.050000000000001" customHeight="1">
      <c r="A352" s="597">
        <v>37914</v>
      </c>
      <c r="B352" s="54">
        <v>10</v>
      </c>
      <c r="C352" s="53">
        <v>2003</v>
      </c>
      <c r="D352" s="52" t="s">
        <v>106</v>
      </c>
      <c r="E352" s="52" t="s">
        <v>300</v>
      </c>
      <c r="F352" s="595">
        <v>108.1</v>
      </c>
      <c r="G352" s="595">
        <v>148.9</v>
      </c>
    </row>
    <row r="353" spans="1:7" ht="10.050000000000001" customHeight="1">
      <c r="A353" s="597">
        <v>37945</v>
      </c>
      <c r="B353" s="54">
        <v>11</v>
      </c>
      <c r="C353" s="53">
        <v>2003</v>
      </c>
      <c r="D353" s="52" t="s">
        <v>106</v>
      </c>
      <c r="E353" s="52" t="s">
        <v>300</v>
      </c>
      <c r="F353" s="595">
        <v>102.9</v>
      </c>
      <c r="G353" s="595">
        <v>137.5</v>
      </c>
    </row>
    <row r="354" spans="1:7" ht="10.050000000000001" customHeight="1">
      <c r="A354" s="597">
        <v>37975</v>
      </c>
      <c r="B354" s="54">
        <v>12</v>
      </c>
      <c r="C354" s="53">
        <v>2003</v>
      </c>
      <c r="D354" s="52" t="s">
        <v>106</v>
      </c>
      <c r="E354" s="52" t="s">
        <v>300</v>
      </c>
      <c r="F354" s="595">
        <v>121</v>
      </c>
      <c r="G354" s="595">
        <v>182.7</v>
      </c>
    </row>
    <row r="355" spans="1:7" ht="10.050000000000001" customHeight="1">
      <c r="A355" s="597">
        <v>38006</v>
      </c>
      <c r="B355" s="54">
        <v>1</v>
      </c>
      <c r="C355" s="53">
        <v>2004</v>
      </c>
      <c r="D355" s="52" t="s">
        <v>106</v>
      </c>
      <c r="E355" s="52" t="s">
        <v>300</v>
      </c>
      <c r="F355" s="595">
        <v>82.9</v>
      </c>
      <c r="G355" s="595">
        <v>107.1</v>
      </c>
    </row>
    <row r="356" spans="1:7" ht="10.050000000000001" customHeight="1">
      <c r="A356" s="597">
        <v>38037</v>
      </c>
      <c r="B356" s="54">
        <v>2</v>
      </c>
      <c r="C356" s="53">
        <v>2004</v>
      </c>
      <c r="D356" s="52" t="s">
        <v>106</v>
      </c>
      <c r="E356" s="52" t="s">
        <v>300</v>
      </c>
      <c r="F356" s="595">
        <v>120.2</v>
      </c>
      <c r="G356" s="595">
        <v>161.1</v>
      </c>
    </row>
    <row r="357" spans="1:7" ht="10.050000000000001" customHeight="1">
      <c r="A357" s="597">
        <v>38066</v>
      </c>
      <c r="B357" s="54">
        <v>3</v>
      </c>
      <c r="C357" s="53">
        <v>2004</v>
      </c>
      <c r="D357" s="52" t="s">
        <v>106</v>
      </c>
      <c r="E357" s="52" t="s">
        <v>300</v>
      </c>
      <c r="F357" s="595">
        <v>130.30000000000001</v>
      </c>
      <c r="G357" s="595">
        <v>174.8</v>
      </c>
    </row>
    <row r="358" spans="1:7" ht="10.050000000000001" customHeight="1">
      <c r="A358" s="597">
        <v>38097</v>
      </c>
      <c r="B358" s="54">
        <v>4</v>
      </c>
      <c r="C358" s="53">
        <v>2004</v>
      </c>
      <c r="D358" s="52" t="s">
        <v>106</v>
      </c>
      <c r="E358" s="52" t="s">
        <v>300</v>
      </c>
      <c r="F358" s="595">
        <v>99.3</v>
      </c>
      <c r="G358" s="595">
        <v>136.9</v>
      </c>
    </row>
    <row r="359" spans="1:7" ht="10.050000000000001" customHeight="1">
      <c r="A359" s="597">
        <v>38127</v>
      </c>
      <c r="B359" s="54">
        <v>5</v>
      </c>
      <c r="C359" s="53">
        <v>2004</v>
      </c>
      <c r="D359" s="52" t="s">
        <v>106</v>
      </c>
      <c r="E359" s="52" t="s">
        <v>300</v>
      </c>
      <c r="F359" s="595">
        <v>86.4</v>
      </c>
      <c r="G359" s="595">
        <v>119</v>
      </c>
    </row>
    <row r="360" spans="1:7" ht="10.050000000000001" customHeight="1">
      <c r="A360" s="597">
        <v>38158</v>
      </c>
      <c r="B360" s="54">
        <v>6</v>
      </c>
      <c r="C360" s="53">
        <v>2004</v>
      </c>
      <c r="D360" s="52" t="s">
        <v>106</v>
      </c>
      <c r="E360" s="52" t="s">
        <v>300</v>
      </c>
      <c r="F360" s="595">
        <v>115.9</v>
      </c>
      <c r="G360" s="595">
        <v>177.3</v>
      </c>
    </row>
    <row r="361" spans="1:7" ht="10.050000000000001" customHeight="1">
      <c r="A361" s="597">
        <v>38188</v>
      </c>
      <c r="B361" s="54">
        <v>7</v>
      </c>
      <c r="C361" s="53">
        <v>2004</v>
      </c>
      <c r="D361" s="52" t="s">
        <v>110</v>
      </c>
      <c r="E361" s="52" t="s">
        <v>300</v>
      </c>
      <c r="F361" s="595">
        <v>115.8</v>
      </c>
      <c r="G361" s="595">
        <v>148.5</v>
      </c>
    </row>
    <row r="362" spans="1:7" ht="10.050000000000001" customHeight="1">
      <c r="A362" s="597">
        <v>38219</v>
      </c>
      <c r="B362" s="54">
        <v>8</v>
      </c>
      <c r="C362" s="53">
        <v>2004</v>
      </c>
      <c r="D362" s="52" t="s">
        <v>110</v>
      </c>
      <c r="E362" s="52" t="s">
        <v>300</v>
      </c>
      <c r="F362" s="595">
        <v>91.1</v>
      </c>
      <c r="G362" s="595">
        <v>120.5</v>
      </c>
    </row>
    <row r="363" spans="1:7" ht="10.050000000000001" customHeight="1">
      <c r="A363" s="597">
        <v>38250</v>
      </c>
      <c r="B363" s="54">
        <v>9</v>
      </c>
      <c r="C363" s="53">
        <v>2004</v>
      </c>
      <c r="D363" s="52" t="s">
        <v>110</v>
      </c>
      <c r="E363" s="52" t="s">
        <v>300</v>
      </c>
      <c r="F363" s="595">
        <v>87.2</v>
      </c>
      <c r="G363" s="595">
        <v>148.6</v>
      </c>
    </row>
    <row r="364" spans="1:7" ht="10.050000000000001" customHeight="1">
      <c r="A364" s="597">
        <v>38280</v>
      </c>
      <c r="B364" s="54">
        <v>10</v>
      </c>
      <c r="C364" s="53">
        <v>2004</v>
      </c>
      <c r="D364" s="52" t="s">
        <v>110</v>
      </c>
      <c r="E364" s="52" t="s">
        <v>300</v>
      </c>
      <c r="F364" s="595">
        <v>138.69999999999999</v>
      </c>
      <c r="G364" s="595">
        <v>177.2</v>
      </c>
    </row>
    <row r="365" spans="1:7" ht="10.050000000000001" customHeight="1">
      <c r="A365" s="597">
        <v>38311</v>
      </c>
      <c r="B365" s="54">
        <v>11</v>
      </c>
      <c r="C365" s="53">
        <v>2004</v>
      </c>
      <c r="D365" s="52" t="s">
        <v>110</v>
      </c>
      <c r="E365" s="52" t="s">
        <v>300</v>
      </c>
      <c r="F365" s="595">
        <v>139.30000000000001</v>
      </c>
      <c r="G365" s="595">
        <v>182.1</v>
      </c>
    </row>
    <row r="366" spans="1:7" ht="10.050000000000001" customHeight="1">
      <c r="A366" s="597">
        <v>38341</v>
      </c>
      <c r="B366" s="54">
        <v>12</v>
      </c>
      <c r="C366" s="53">
        <v>2004</v>
      </c>
      <c r="D366" s="52" t="s">
        <v>110</v>
      </c>
      <c r="E366" s="52" t="s">
        <v>300</v>
      </c>
      <c r="F366" s="595">
        <v>100.8</v>
      </c>
      <c r="G366" s="595">
        <v>133.4</v>
      </c>
    </row>
    <row r="367" spans="1:7" ht="10.050000000000001" customHeight="1">
      <c r="A367" s="597">
        <v>38372</v>
      </c>
      <c r="B367" s="54">
        <v>1</v>
      </c>
      <c r="C367" s="53">
        <v>2005</v>
      </c>
      <c r="D367" s="52" t="s">
        <v>110</v>
      </c>
      <c r="E367" s="52" t="s">
        <v>300</v>
      </c>
      <c r="F367" s="595">
        <v>146</v>
      </c>
      <c r="G367" s="595">
        <v>196.9</v>
      </c>
    </row>
    <row r="368" spans="1:7" ht="10.050000000000001" customHeight="1">
      <c r="A368" s="597">
        <v>38403</v>
      </c>
      <c r="B368" s="54">
        <v>2</v>
      </c>
      <c r="C368" s="53">
        <v>2005</v>
      </c>
      <c r="D368" s="52" t="s">
        <v>110</v>
      </c>
      <c r="E368" s="52" t="s">
        <v>300</v>
      </c>
      <c r="F368" s="595">
        <v>106.1</v>
      </c>
      <c r="G368" s="595">
        <v>147.30000000000001</v>
      </c>
    </row>
    <row r="369" spans="1:7" ht="10.050000000000001" customHeight="1">
      <c r="A369" s="597">
        <v>38431</v>
      </c>
      <c r="B369" s="54">
        <v>3</v>
      </c>
      <c r="C369" s="53">
        <v>2005</v>
      </c>
      <c r="D369" s="52" t="s">
        <v>110</v>
      </c>
      <c r="E369" s="52" t="s">
        <v>300</v>
      </c>
      <c r="F369" s="595">
        <v>139.30000000000001</v>
      </c>
      <c r="G369" s="595">
        <v>181.8</v>
      </c>
    </row>
    <row r="370" spans="1:7" ht="10.050000000000001" customHeight="1">
      <c r="A370" s="597">
        <v>38462</v>
      </c>
      <c r="B370" s="54">
        <v>4</v>
      </c>
      <c r="C370" s="53">
        <v>2005</v>
      </c>
      <c r="D370" s="52" t="s">
        <v>110</v>
      </c>
      <c r="E370" s="52" t="s">
        <v>300</v>
      </c>
      <c r="F370" s="595">
        <v>117.3</v>
      </c>
      <c r="G370" s="595">
        <v>170.8</v>
      </c>
    </row>
    <row r="371" spans="1:7" ht="10.050000000000001" customHeight="1">
      <c r="A371" s="597">
        <v>38492</v>
      </c>
      <c r="B371" s="54">
        <v>5</v>
      </c>
      <c r="C371" s="53">
        <v>2005</v>
      </c>
      <c r="D371" s="52" t="s">
        <v>110</v>
      </c>
      <c r="E371" s="52" t="s">
        <v>300</v>
      </c>
      <c r="F371" s="595">
        <v>156.5</v>
      </c>
      <c r="G371" s="595">
        <v>215.7</v>
      </c>
    </row>
    <row r="372" spans="1:7" ht="10.050000000000001" customHeight="1">
      <c r="A372" s="597">
        <v>38523</v>
      </c>
      <c r="B372" s="54">
        <v>6</v>
      </c>
      <c r="C372" s="53">
        <v>2005</v>
      </c>
      <c r="D372" s="52" t="s">
        <v>110</v>
      </c>
      <c r="E372" s="52" t="s">
        <v>300</v>
      </c>
      <c r="F372" s="595">
        <v>112.1</v>
      </c>
      <c r="G372" s="595">
        <v>173.3</v>
      </c>
    </row>
    <row r="373" spans="1:7" ht="10.050000000000001" customHeight="1">
      <c r="A373" s="597">
        <v>38553</v>
      </c>
      <c r="B373" s="54">
        <v>7</v>
      </c>
      <c r="C373" s="53">
        <v>2005</v>
      </c>
      <c r="D373" s="52" t="s">
        <v>111</v>
      </c>
      <c r="E373" s="52" t="s">
        <v>300</v>
      </c>
      <c r="F373" s="595">
        <v>79.400000000000006</v>
      </c>
      <c r="G373" s="595">
        <v>134.9</v>
      </c>
    </row>
    <row r="374" spans="1:7" ht="10.050000000000001" customHeight="1">
      <c r="A374" s="597">
        <v>38584</v>
      </c>
      <c r="B374" s="54">
        <v>8</v>
      </c>
      <c r="C374" s="53">
        <v>2005</v>
      </c>
      <c r="D374" s="52" t="s">
        <v>111</v>
      </c>
      <c r="E374" s="52" t="s">
        <v>300</v>
      </c>
      <c r="F374" s="595">
        <v>108.6</v>
      </c>
      <c r="G374" s="595">
        <v>207.3</v>
      </c>
    </row>
    <row r="375" spans="1:7" ht="10.050000000000001" customHeight="1">
      <c r="A375" s="597">
        <v>38615</v>
      </c>
      <c r="B375" s="54">
        <v>9</v>
      </c>
      <c r="C375" s="53">
        <v>2005</v>
      </c>
      <c r="D375" s="52" t="s">
        <v>111</v>
      </c>
      <c r="E375" s="52" t="s">
        <v>300</v>
      </c>
      <c r="F375" s="595">
        <v>151.6</v>
      </c>
      <c r="G375" s="595">
        <v>201.3</v>
      </c>
    </row>
    <row r="376" spans="1:7" ht="10.050000000000001" customHeight="1">
      <c r="A376" s="597">
        <v>38645</v>
      </c>
      <c r="B376" s="54">
        <v>10</v>
      </c>
      <c r="C376" s="53">
        <v>2005</v>
      </c>
      <c r="D376" s="52" t="s">
        <v>111</v>
      </c>
      <c r="E376" s="52" t="s">
        <v>300</v>
      </c>
      <c r="F376" s="595">
        <v>164.5</v>
      </c>
      <c r="G376" s="595">
        <v>211.1</v>
      </c>
    </row>
    <row r="377" spans="1:7" ht="10.050000000000001" customHeight="1">
      <c r="A377" s="597">
        <v>38676</v>
      </c>
      <c r="B377" s="54">
        <v>11</v>
      </c>
      <c r="C377" s="53">
        <v>2005</v>
      </c>
      <c r="D377" s="52" t="s">
        <v>111</v>
      </c>
      <c r="E377" s="52" t="s">
        <v>300</v>
      </c>
      <c r="F377" s="595">
        <v>153.5</v>
      </c>
      <c r="G377" s="595">
        <v>188.2</v>
      </c>
    </row>
    <row r="378" spans="1:7" ht="10.050000000000001" customHeight="1">
      <c r="A378" s="597">
        <v>38706</v>
      </c>
      <c r="B378" s="54">
        <v>12</v>
      </c>
      <c r="C378" s="53">
        <v>2005</v>
      </c>
      <c r="D378" s="52" t="s">
        <v>111</v>
      </c>
      <c r="E378" s="52" t="s">
        <v>300</v>
      </c>
      <c r="F378" s="595">
        <v>147.69999999999999</v>
      </c>
      <c r="G378" s="595">
        <v>191.4</v>
      </c>
    </row>
    <row r="379" spans="1:7" ht="10.050000000000001" customHeight="1">
      <c r="A379" s="597">
        <v>38737</v>
      </c>
      <c r="B379" s="54">
        <v>1</v>
      </c>
      <c r="C379" s="53">
        <v>2006</v>
      </c>
      <c r="D379" s="52" t="s">
        <v>111</v>
      </c>
      <c r="E379" s="52" t="s">
        <v>300</v>
      </c>
      <c r="F379" s="595">
        <v>133.6</v>
      </c>
      <c r="G379" s="595">
        <v>241.8</v>
      </c>
    </row>
    <row r="380" spans="1:7" ht="10.050000000000001" customHeight="1">
      <c r="A380" s="597">
        <v>38768</v>
      </c>
      <c r="B380" s="54">
        <v>2</v>
      </c>
      <c r="C380" s="53">
        <v>2006</v>
      </c>
      <c r="D380" s="52" t="s">
        <v>111</v>
      </c>
      <c r="E380" s="52" t="s">
        <v>300</v>
      </c>
      <c r="F380" s="595">
        <v>144.1</v>
      </c>
      <c r="G380" s="595">
        <v>194.8</v>
      </c>
    </row>
    <row r="381" spans="1:7" ht="10.050000000000001" customHeight="1">
      <c r="A381" s="597">
        <v>38796</v>
      </c>
      <c r="B381" s="54">
        <v>3</v>
      </c>
      <c r="C381" s="53">
        <v>2006</v>
      </c>
      <c r="D381" s="52" t="s">
        <v>111</v>
      </c>
      <c r="E381" s="52" t="s">
        <v>300</v>
      </c>
      <c r="F381" s="595">
        <v>130.9</v>
      </c>
      <c r="G381" s="595">
        <v>192.1</v>
      </c>
    </row>
    <row r="382" spans="1:7" ht="10.050000000000001" customHeight="1">
      <c r="A382" s="597">
        <v>38827</v>
      </c>
      <c r="B382" s="54">
        <v>4</v>
      </c>
      <c r="C382" s="53">
        <v>2006</v>
      </c>
      <c r="D382" s="52" t="s">
        <v>111</v>
      </c>
      <c r="E382" s="52" t="s">
        <v>300</v>
      </c>
      <c r="F382" s="595">
        <v>170.7</v>
      </c>
      <c r="G382" s="595">
        <v>229.9</v>
      </c>
    </row>
    <row r="383" spans="1:7" ht="10.050000000000001" customHeight="1">
      <c r="A383" s="597">
        <v>38857</v>
      </c>
      <c r="B383" s="54">
        <v>5</v>
      </c>
      <c r="C383" s="53">
        <v>2006</v>
      </c>
      <c r="D383" s="52" t="s">
        <v>111</v>
      </c>
      <c r="E383" s="52" t="s">
        <v>300</v>
      </c>
      <c r="F383" s="595">
        <v>102</v>
      </c>
      <c r="G383" s="595">
        <v>154.6</v>
      </c>
    </row>
    <row r="384" spans="1:7" ht="10.050000000000001" customHeight="1">
      <c r="A384" s="597">
        <v>38888</v>
      </c>
      <c r="B384" s="54">
        <v>6</v>
      </c>
      <c r="C384" s="53">
        <v>2006</v>
      </c>
      <c r="D384" s="52" t="s">
        <v>111</v>
      </c>
      <c r="E384" s="52" t="s">
        <v>300</v>
      </c>
      <c r="F384" s="595">
        <v>214.8</v>
      </c>
      <c r="G384" s="595">
        <v>253.2</v>
      </c>
    </row>
    <row r="385" spans="1:7" ht="10.050000000000001" customHeight="1">
      <c r="A385" s="597">
        <v>38918</v>
      </c>
      <c r="B385" s="54">
        <v>7</v>
      </c>
      <c r="C385" s="53">
        <v>2006</v>
      </c>
      <c r="D385" s="52" t="s">
        <v>112</v>
      </c>
      <c r="E385" s="52" t="s">
        <v>300</v>
      </c>
      <c r="F385" s="595">
        <v>106.1</v>
      </c>
      <c r="G385" s="595">
        <v>154.1</v>
      </c>
    </row>
    <row r="386" spans="1:7" ht="10.050000000000001" customHeight="1">
      <c r="A386" s="597">
        <v>38949</v>
      </c>
      <c r="B386" s="54">
        <v>8</v>
      </c>
      <c r="C386" s="53">
        <v>2006</v>
      </c>
      <c r="D386" s="52" t="s">
        <v>112</v>
      </c>
      <c r="E386" s="52" t="s">
        <v>300</v>
      </c>
      <c r="F386" s="595">
        <v>101.7</v>
      </c>
      <c r="G386" s="595">
        <v>117</v>
      </c>
    </row>
    <row r="387" spans="1:7" ht="10.050000000000001" customHeight="1">
      <c r="A387" s="597">
        <v>38980</v>
      </c>
      <c r="B387" s="54">
        <v>9</v>
      </c>
      <c r="C387" s="53">
        <v>2006</v>
      </c>
      <c r="D387" s="52" t="s">
        <v>112</v>
      </c>
      <c r="E387" s="52" t="s">
        <v>300</v>
      </c>
      <c r="F387" s="595">
        <v>154.80000000000001</v>
      </c>
      <c r="G387" s="595">
        <v>190.7</v>
      </c>
    </row>
    <row r="388" spans="1:7" ht="10.050000000000001" customHeight="1">
      <c r="A388" s="597">
        <v>39010</v>
      </c>
      <c r="B388" s="54">
        <v>10</v>
      </c>
      <c r="C388" s="53">
        <v>2006</v>
      </c>
      <c r="D388" s="52" t="s">
        <v>112</v>
      </c>
      <c r="E388" s="52" t="s">
        <v>300</v>
      </c>
      <c r="F388" s="595">
        <v>175.9</v>
      </c>
      <c r="G388" s="595">
        <v>232.9</v>
      </c>
    </row>
    <row r="389" spans="1:7" ht="10.050000000000001" customHeight="1">
      <c r="A389" s="597">
        <v>39041</v>
      </c>
      <c r="B389" s="54">
        <v>11</v>
      </c>
      <c r="C389" s="53">
        <v>2006</v>
      </c>
      <c r="D389" s="52" t="s">
        <v>112</v>
      </c>
      <c r="E389" s="52" t="s">
        <v>300</v>
      </c>
      <c r="F389" s="595">
        <v>116.9</v>
      </c>
      <c r="G389" s="595">
        <v>205.9</v>
      </c>
    </row>
    <row r="390" spans="1:7" ht="10.050000000000001" customHeight="1">
      <c r="A390" s="597">
        <v>39071</v>
      </c>
      <c r="B390" s="54">
        <v>12</v>
      </c>
      <c r="C390" s="53">
        <v>2006</v>
      </c>
      <c r="D390" s="52" t="s">
        <v>112</v>
      </c>
      <c r="E390" s="52" t="s">
        <v>300</v>
      </c>
      <c r="F390" s="595">
        <v>129.4</v>
      </c>
      <c r="G390" s="595">
        <v>157.30000000000001</v>
      </c>
    </row>
    <row r="391" spans="1:7" ht="10.050000000000001" customHeight="1">
      <c r="A391" s="597">
        <v>39102</v>
      </c>
      <c r="B391" s="54">
        <v>1</v>
      </c>
      <c r="C391" s="53">
        <v>2007</v>
      </c>
      <c r="D391" s="52" t="s">
        <v>112</v>
      </c>
      <c r="E391" s="52" t="s">
        <v>300</v>
      </c>
      <c r="F391" s="595">
        <v>164.6</v>
      </c>
      <c r="G391" s="595">
        <v>221.1</v>
      </c>
    </row>
    <row r="392" spans="1:7" ht="10.050000000000001" customHeight="1">
      <c r="A392" s="597">
        <v>39133</v>
      </c>
      <c r="B392" s="54">
        <v>2</v>
      </c>
      <c r="C392" s="53">
        <v>2007</v>
      </c>
      <c r="D392" s="52" t="s">
        <v>112</v>
      </c>
      <c r="E392" s="52" t="s">
        <v>300</v>
      </c>
      <c r="F392" s="595">
        <v>163.69999999999999</v>
      </c>
      <c r="G392" s="595">
        <v>238</v>
      </c>
    </row>
    <row r="393" spans="1:7" ht="10.050000000000001" customHeight="1">
      <c r="A393" s="597">
        <v>39161</v>
      </c>
      <c r="B393" s="54">
        <v>3</v>
      </c>
      <c r="C393" s="53">
        <v>2007</v>
      </c>
      <c r="D393" s="52" t="s">
        <v>112</v>
      </c>
      <c r="E393" s="52" t="s">
        <v>300</v>
      </c>
      <c r="F393" s="595">
        <v>199.2</v>
      </c>
      <c r="G393" s="595">
        <v>257.10000000000002</v>
      </c>
    </row>
    <row r="394" spans="1:7" ht="10.050000000000001" customHeight="1">
      <c r="A394" s="597">
        <v>39192</v>
      </c>
      <c r="B394" s="54">
        <v>4</v>
      </c>
      <c r="C394" s="53">
        <v>2007</v>
      </c>
      <c r="D394" s="52" t="s">
        <v>112</v>
      </c>
      <c r="E394" s="52" t="s">
        <v>300</v>
      </c>
      <c r="F394" s="595">
        <v>169.5</v>
      </c>
      <c r="G394" s="595">
        <v>241.9</v>
      </c>
    </row>
    <row r="395" spans="1:7" ht="10.050000000000001" customHeight="1">
      <c r="A395" s="597">
        <v>39222</v>
      </c>
      <c r="B395" s="54">
        <v>5</v>
      </c>
      <c r="C395" s="53">
        <v>2007</v>
      </c>
      <c r="D395" s="52" t="s">
        <v>112</v>
      </c>
      <c r="E395" s="52" t="s">
        <v>300</v>
      </c>
      <c r="F395" s="595">
        <v>142.69999999999999</v>
      </c>
      <c r="G395" s="595">
        <v>211</v>
      </c>
    </row>
    <row r="396" spans="1:7" ht="10.050000000000001" customHeight="1">
      <c r="A396" s="597">
        <v>39253</v>
      </c>
      <c r="B396" s="54">
        <v>6</v>
      </c>
      <c r="C396" s="53">
        <v>2007</v>
      </c>
      <c r="D396" s="52" t="s">
        <v>112</v>
      </c>
      <c r="E396" s="52" t="s">
        <v>300</v>
      </c>
      <c r="F396" s="595">
        <v>197.4</v>
      </c>
      <c r="G396" s="595">
        <v>263.2</v>
      </c>
    </row>
    <row r="397" spans="1:7" ht="10.050000000000001" customHeight="1">
      <c r="A397" s="597">
        <v>39283</v>
      </c>
      <c r="B397" s="54">
        <v>7</v>
      </c>
      <c r="C397" s="53">
        <v>2007</v>
      </c>
      <c r="D397" s="52" t="s">
        <v>113</v>
      </c>
      <c r="E397" s="52" t="s">
        <v>300</v>
      </c>
      <c r="F397" s="595">
        <v>178.6</v>
      </c>
      <c r="G397" s="595">
        <v>238.5</v>
      </c>
    </row>
    <row r="398" spans="1:7" ht="10.050000000000001" customHeight="1">
      <c r="A398" s="597">
        <v>39314</v>
      </c>
      <c r="B398" s="54">
        <v>8</v>
      </c>
      <c r="C398" s="53">
        <v>2007</v>
      </c>
      <c r="D398" s="52" t="s">
        <v>113</v>
      </c>
      <c r="E398" s="52" t="s">
        <v>300</v>
      </c>
      <c r="F398" s="595">
        <v>140</v>
      </c>
      <c r="G398" s="595">
        <v>224</v>
      </c>
    </row>
    <row r="399" spans="1:7" ht="10.050000000000001" customHeight="1">
      <c r="A399" s="597">
        <v>39345</v>
      </c>
      <c r="B399" s="54">
        <v>9</v>
      </c>
      <c r="C399" s="53">
        <v>2007</v>
      </c>
      <c r="D399" s="52" t="s">
        <v>113</v>
      </c>
      <c r="E399" s="52" t="s">
        <v>300</v>
      </c>
      <c r="F399" s="595">
        <v>210.1</v>
      </c>
      <c r="G399" s="595">
        <v>298.60000000000002</v>
      </c>
    </row>
    <row r="400" spans="1:7" ht="10.050000000000001" customHeight="1">
      <c r="A400" s="597">
        <v>39375</v>
      </c>
      <c r="B400" s="54">
        <v>10</v>
      </c>
      <c r="C400" s="53">
        <v>2007</v>
      </c>
      <c r="D400" s="52" t="s">
        <v>113</v>
      </c>
      <c r="E400" s="52" t="s">
        <v>300</v>
      </c>
      <c r="F400" s="595">
        <v>184.9</v>
      </c>
      <c r="G400" s="595">
        <v>251.4</v>
      </c>
    </row>
    <row r="401" spans="1:7" ht="10.050000000000001" customHeight="1">
      <c r="A401" s="597">
        <v>39406</v>
      </c>
      <c r="B401" s="54">
        <v>11</v>
      </c>
      <c r="C401" s="53">
        <v>2007</v>
      </c>
      <c r="D401" s="52" t="s">
        <v>113</v>
      </c>
      <c r="E401" s="52" t="s">
        <v>300</v>
      </c>
      <c r="F401" s="595">
        <v>196.3</v>
      </c>
      <c r="G401" s="595">
        <v>625.79999999999995</v>
      </c>
    </row>
    <row r="402" spans="1:7" ht="10.050000000000001" customHeight="1">
      <c r="A402" s="597">
        <v>39436</v>
      </c>
      <c r="B402" s="54">
        <v>12</v>
      </c>
      <c r="C402" s="53">
        <v>2007</v>
      </c>
      <c r="D402" s="52" t="s">
        <v>113</v>
      </c>
      <c r="E402" s="52" t="s">
        <v>300</v>
      </c>
      <c r="F402" s="595">
        <v>168.3</v>
      </c>
      <c r="G402" s="595">
        <v>273.89999999999998</v>
      </c>
    </row>
    <row r="403" spans="1:7" ht="10.050000000000001" customHeight="1">
      <c r="A403" s="597">
        <v>39467</v>
      </c>
      <c r="B403" s="54">
        <v>1</v>
      </c>
      <c r="C403" s="53">
        <v>2008</v>
      </c>
      <c r="D403" s="52" t="s">
        <v>113</v>
      </c>
      <c r="E403" s="52" t="s">
        <v>300</v>
      </c>
      <c r="F403" s="595">
        <v>187.1</v>
      </c>
      <c r="G403" s="595">
        <v>209.6</v>
      </c>
    </row>
    <row r="404" spans="1:7" ht="10.050000000000001" customHeight="1">
      <c r="A404" s="597">
        <v>39498</v>
      </c>
      <c r="B404" s="54">
        <v>2</v>
      </c>
      <c r="C404" s="53">
        <v>2008</v>
      </c>
      <c r="D404" s="52" t="s">
        <v>113</v>
      </c>
      <c r="E404" s="52" t="s">
        <v>300</v>
      </c>
      <c r="F404" s="595">
        <v>224</v>
      </c>
      <c r="G404" s="595">
        <v>279.8</v>
      </c>
    </row>
    <row r="405" spans="1:7" ht="10.050000000000001" customHeight="1">
      <c r="A405" s="597">
        <v>39527</v>
      </c>
      <c r="B405" s="54">
        <v>3</v>
      </c>
      <c r="C405" s="53">
        <v>2008</v>
      </c>
      <c r="D405" s="52" t="s">
        <v>113</v>
      </c>
      <c r="E405" s="52" t="s">
        <v>300</v>
      </c>
      <c r="F405" s="595">
        <v>174</v>
      </c>
      <c r="G405" s="595">
        <v>232</v>
      </c>
    </row>
    <row r="406" spans="1:7" ht="10.050000000000001" customHeight="1">
      <c r="A406" s="597">
        <v>39558</v>
      </c>
      <c r="B406" s="54">
        <v>4</v>
      </c>
      <c r="C406" s="53">
        <v>2008</v>
      </c>
      <c r="D406" s="52" t="s">
        <v>113</v>
      </c>
      <c r="E406" s="52" t="s">
        <v>300</v>
      </c>
      <c r="F406" s="595">
        <v>142.80000000000001</v>
      </c>
      <c r="G406" s="595">
        <v>196.8</v>
      </c>
    </row>
    <row r="407" spans="1:7" ht="10.050000000000001" customHeight="1">
      <c r="A407" s="597">
        <v>39588</v>
      </c>
      <c r="B407" s="54">
        <v>5</v>
      </c>
      <c r="C407" s="53">
        <v>2008</v>
      </c>
      <c r="D407" s="52" t="s">
        <v>113</v>
      </c>
      <c r="E407" s="52" t="s">
        <v>300</v>
      </c>
      <c r="F407" s="595">
        <v>144</v>
      </c>
      <c r="G407" s="595">
        <v>169.3</v>
      </c>
    </row>
    <row r="408" spans="1:7" ht="10.050000000000001" customHeight="1">
      <c r="A408" s="597">
        <v>39619</v>
      </c>
      <c r="B408" s="54">
        <v>6</v>
      </c>
      <c r="C408" s="53">
        <v>2008</v>
      </c>
      <c r="D408" s="52" t="s">
        <v>113</v>
      </c>
      <c r="E408" s="52" t="s">
        <v>300</v>
      </c>
      <c r="F408" s="595">
        <v>166.2</v>
      </c>
      <c r="G408" s="595">
        <v>234.2</v>
      </c>
    </row>
    <row r="409" spans="1:7" ht="10.050000000000001" customHeight="1">
      <c r="A409" s="597">
        <v>39649</v>
      </c>
      <c r="B409" s="54">
        <v>7</v>
      </c>
      <c r="C409" s="53">
        <v>2008</v>
      </c>
      <c r="D409" s="52" t="s">
        <v>107</v>
      </c>
      <c r="E409" s="52" t="s">
        <v>300</v>
      </c>
      <c r="F409" s="595">
        <v>166.6</v>
      </c>
      <c r="G409" s="595">
        <v>207</v>
      </c>
    </row>
    <row r="410" spans="1:7" ht="10.050000000000001" customHeight="1">
      <c r="A410" s="597">
        <v>39680</v>
      </c>
      <c r="B410" s="54">
        <v>8</v>
      </c>
      <c r="C410" s="53">
        <v>2008</v>
      </c>
      <c r="D410" s="52" t="s">
        <v>107</v>
      </c>
      <c r="E410" s="52" t="s">
        <v>300</v>
      </c>
      <c r="F410" s="595">
        <v>105.8</v>
      </c>
      <c r="G410" s="595">
        <v>146.80000000000001</v>
      </c>
    </row>
    <row r="411" spans="1:7" ht="10.050000000000001" customHeight="1">
      <c r="A411" s="597">
        <v>39711</v>
      </c>
      <c r="B411" s="54">
        <v>9</v>
      </c>
      <c r="C411" s="53">
        <v>2008</v>
      </c>
      <c r="D411" s="52" t="s">
        <v>107</v>
      </c>
      <c r="E411" s="52" t="s">
        <v>300</v>
      </c>
      <c r="F411" s="595">
        <v>184</v>
      </c>
      <c r="G411" s="595">
        <v>236.3</v>
      </c>
    </row>
    <row r="412" spans="1:7" ht="10.050000000000001" customHeight="1">
      <c r="A412" s="597">
        <v>39741</v>
      </c>
      <c r="B412" s="54">
        <v>10</v>
      </c>
      <c r="C412" s="53">
        <v>2008</v>
      </c>
      <c r="D412" s="52" t="s">
        <v>107</v>
      </c>
      <c r="E412" s="52" t="s">
        <v>300</v>
      </c>
      <c r="F412" s="595">
        <v>193.6</v>
      </c>
      <c r="G412" s="595">
        <v>245.7</v>
      </c>
    </row>
    <row r="413" spans="1:7" ht="10.050000000000001" customHeight="1">
      <c r="A413" s="597">
        <v>39772</v>
      </c>
      <c r="B413" s="54">
        <v>11</v>
      </c>
      <c r="C413" s="53">
        <v>2008</v>
      </c>
      <c r="D413" s="52" t="s">
        <v>107</v>
      </c>
      <c r="E413" s="52" t="s">
        <v>300</v>
      </c>
      <c r="F413" s="595">
        <v>161.6</v>
      </c>
      <c r="G413" s="595">
        <v>183.9</v>
      </c>
    </row>
    <row r="414" spans="1:7" ht="10.050000000000001" customHeight="1">
      <c r="A414" s="597">
        <v>39802</v>
      </c>
      <c r="B414" s="54">
        <v>12</v>
      </c>
      <c r="C414" s="53">
        <v>2008</v>
      </c>
      <c r="D414" s="52" t="s">
        <v>107</v>
      </c>
      <c r="E414" s="52" t="s">
        <v>300</v>
      </c>
      <c r="F414" s="595">
        <v>148.9</v>
      </c>
      <c r="G414" s="595">
        <v>202.6</v>
      </c>
    </row>
    <row r="415" spans="1:7" ht="10.050000000000001" customHeight="1">
      <c r="A415" s="597">
        <v>39833</v>
      </c>
      <c r="B415" s="54">
        <v>1</v>
      </c>
      <c r="C415" s="53">
        <v>2009</v>
      </c>
      <c r="D415" s="52" t="s">
        <v>107</v>
      </c>
      <c r="E415" s="52" t="s">
        <v>300</v>
      </c>
      <c r="F415" s="595">
        <v>149.1</v>
      </c>
      <c r="G415" s="595">
        <v>235</v>
      </c>
    </row>
    <row r="416" spans="1:7" ht="10.050000000000001" customHeight="1">
      <c r="A416" s="597">
        <v>39864</v>
      </c>
      <c r="B416" s="54">
        <v>2</v>
      </c>
      <c r="C416" s="53">
        <v>2009</v>
      </c>
      <c r="D416" s="52" t="s">
        <v>107</v>
      </c>
      <c r="E416" s="52" t="s">
        <v>300</v>
      </c>
      <c r="F416" s="595">
        <v>148.69999999999999</v>
      </c>
      <c r="G416" s="595">
        <v>173.4</v>
      </c>
    </row>
    <row r="417" spans="1:7" ht="10.050000000000001" customHeight="1">
      <c r="A417" s="597">
        <v>39892</v>
      </c>
      <c r="B417" s="54">
        <v>3</v>
      </c>
      <c r="C417" s="53">
        <v>2009</v>
      </c>
      <c r="D417" s="52" t="s">
        <v>107</v>
      </c>
      <c r="E417" s="52" t="s">
        <v>300</v>
      </c>
      <c r="F417" s="595">
        <v>179.11</v>
      </c>
      <c r="G417" s="595">
        <v>251.3</v>
      </c>
    </row>
    <row r="418" spans="1:7" ht="10.050000000000001" customHeight="1">
      <c r="A418" s="597">
        <v>39923</v>
      </c>
      <c r="B418" s="54">
        <v>4</v>
      </c>
      <c r="C418" s="53">
        <v>2009</v>
      </c>
      <c r="D418" s="52" t="s">
        <v>107</v>
      </c>
      <c r="E418" s="52" t="s">
        <v>300</v>
      </c>
      <c r="F418" s="595">
        <v>177.4</v>
      </c>
      <c r="G418" s="595">
        <v>246.8</v>
      </c>
    </row>
    <row r="419" spans="1:7" ht="10.050000000000001" customHeight="1">
      <c r="A419" s="597">
        <v>39953</v>
      </c>
      <c r="B419" s="54">
        <v>5</v>
      </c>
      <c r="C419" s="53">
        <v>2009</v>
      </c>
      <c r="D419" s="52" t="s">
        <v>107</v>
      </c>
      <c r="E419" s="52" t="s">
        <v>300</v>
      </c>
      <c r="F419" s="595">
        <v>153.19999999999999</v>
      </c>
      <c r="G419" s="595">
        <v>223.8</v>
      </c>
    </row>
    <row r="420" spans="1:7" ht="10.050000000000001" customHeight="1">
      <c r="A420" s="597">
        <v>39984</v>
      </c>
      <c r="B420" s="54">
        <v>6</v>
      </c>
      <c r="C420" s="53">
        <v>2009</v>
      </c>
      <c r="D420" s="52" t="s">
        <v>107</v>
      </c>
      <c r="E420" s="52" t="s">
        <v>300</v>
      </c>
      <c r="F420" s="595">
        <v>165.8</v>
      </c>
      <c r="G420" s="595">
        <v>236.3</v>
      </c>
    </row>
    <row r="421" spans="1:7" ht="10.050000000000001" customHeight="1">
      <c r="A421" s="597">
        <v>40014</v>
      </c>
      <c r="B421" s="54">
        <v>7</v>
      </c>
      <c r="C421" s="53">
        <v>2009</v>
      </c>
      <c r="D421" s="52" t="s">
        <v>114</v>
      </c>
      <c r="E421" s="52" t="s">
        <v>300</v>
      </c>
      <c r="F421" s="595">
        <v>170.9</v>
      </c>
      <c r="G421" s="595">
        <v>286.10000000000002</v>
      </c>
    </row>
    <row r="422" spans="1:7" ht="10.050000000000001" customHeight="1">
      <c r="A422" s="597">
        <v>40045</v>
      </c>
      <c r="B422" s="54">
        <v>8</v>
      </c>
      <c r="C422" s="53">
        <v>2009</v>
      </c>
      <c r="D422" s="52" t="s">
        <v>114</v>
      </c>
      <c r="E422" s="52" t="s">
        <v>300</v>
      </c>
      <c r="F422" s="595">
        <v>128.4</v>
      </c>
      <c r="G422" s="595">
        <v>162.9</v>
      </c>
    </row>
    <row r="423" spans="1:7" ht="10.050000000000001" customHeight="1">
      <c r="A423" s="597">
        <v>40076</v>
      </c>
      <c r="B423" s="54">
        <v>9</v>
      </c>
      <c r="C423" s="53">
        <v>2009</v>
      </c>
      <c r="D423" s="52" t="s">
        <v>114</v>
      </c>
      <c r="E423" s="52" t="s">
        <v>300</v>
      </c>
      <c r="F423" s="595">
        <v>171.1</v>
      </c>
      <c r="G423" s="595">
        <v>255.4</v>
      </c>
    </row>
    <row r="424" spans="1:7" ht="10.050000000000001" customHeight="1">
      <c r="A424" s="597">
        <v>40106</v>
      </c>
      <c r="B424" s="54">
        <v>10</v>
      </c>
      <c r="C424" s="53">
        <v>2009</v>
      </c>
      <c r="D424" s="52" t="s">
        <v>114</v>
      </c>
      <c r="E424" s="52" t="s">
        <v>300</v>
      </c>
      <c r="F424" s="595">
        <v>163</v>
      </c>
      <c r="G424" s="595">
        <v>230.3</v>
      </c>
    </row>
    <row r="425" spans="1:7" ht="10.050000000000001" customHeight="1">
      <c r="A425" s="597">
        <v>40137</v>
      </c>
      <c r="B425" s="54">
        <v>11</v>
      </c>
      <c r="C425" s="53">
        <v>2009</v>
      </c>
      <c r="D425" s="52" t="s">
        <v>114</v>
      </c>
      <c r="E425" s="52" t="s">
        <v>300</v>
      </c>
      <c r="F425" s="595">
        <v>166.6</v>
      </c>
      <c r="G425" s="595">
        <v>251.1</v>
      </c>
    </row>
    <row r="426" spans="1:7" ht="10.050000000000001" customHeight="1">
      <c r="A426" s="597">
        <v>40167</v>
      </c>
      <c r="B426" s="54">
        <v>12</v>
      </c>
      <c r="C426" s="53">
        <v>2009</v>
      </c>
      <c r="D426" s="52" t="s">
        <v>114</v>
      </c>
      <c r="E426" s="52" t="s">
        <v>300</v>
      </c>
      <c r="F426" s="595">
        <v>139.6</v>
      </c>
      <c r="G426" s="595">
        <v>205.6</v>
      </c>
    </row>
    <row r="427" spans="1:7" ht="10.050000000000001" customHeight="1">
      <c r="A427" s="597">
        <v>40198</v>
      </c>
      <c r="B427" s="54">
        <v>1</v>
      </c>
      <c r="C427" s="53">
        <v>2010</v>
      </c>
      <c r="D427" s="52" t="s">
        <v>114</v>
      </c>
      <c r="E427" s="52" t="s">
        <v>300</v>
      </c>
      <c r="F427" s="595">
        <v>206.2</v>
      </c>
      <c r="G427" s="595">
        <v>194.7</v>
      </c>
    </row>
    <row r="428" spans="1:7" ht="10.050000000000001" customHeight="1">
      <c r="A428" s="597">
        <v>40229</v>
      </c>
      <c r="B428" s="54">
        <v>2</v>
      </c>
      <c r="C428" s="53">
        <v>2010</v>
      </c>
      <c r="D428" s="52" t="s">
        <v>114</v>
      </c>
      <c r="E428" s="52" t="s">
        <v>300</v>
      </c>
      <c r="F428" s="595">
        <v>162.19999999999999</v>
      </c>
      <c r="G428" s="595">
        <v>210.9</v>
      </c>
    </row>
    <row r="429" spans="1:7" ht="10.050000000000001" customHeight="1">
      <c r="A429" s="597">
        <v>40257</v>
      </c>
      <c r="B429" s="54">
        <v>3</v>
      </c>
      <c r="C429" s="53">
        <v>2010</v>
      </c>
      <c r="D429" s="52" t="s">
        <v>114</v>
      </c>
      <c r="E429" s="52" t="s">
        <v>300</v>
      </c>
      <c r="F429" s="595">
        <v>217.5</v>
      </c>
      <c r="G429" s="595">
        <v>317</v>
      </c>
    </row>
    <row r="430" spans="1:7" ht="10.050000000000001" customHeight="1">
      <c r="A430" s="597">
        <v>40288</v>
      </c>
      <c r="B430" s="54">
        <v>4</v>
      </c>
      <c r="C430" s="53">
        <v>2010</v>
      </c>
      <c r="D430" s="52" t="s">
        <v>114</v>
      </c>
      <c r="E430" s="52" t="s">
        <v>300</v>
      </c>
      <c r="F430" s="595">
        <v>166.5</v>
      </c>
      <c r="G430" s="595">
        <v>225.5</v>
      </c>
    </row>
    <row r="431" spans="1:7" ht="10.050000000000001" customHeight="1">
      <c r="A431" s="597">
        <v>40318</v>
      </c>
      <c r="B431" s="54">
        <v>5</v>
      </c>
      <c r="C431" s="53">
        <v>2010</v>
      </c>
      <c r="D431" s="52" t="s">
        <v>114</v>
      </c>
      <c r="E431" s="52" t="s">
        <v>300</v>
      </c>
      <c r="F431" s="595">
        <v>156.69999999999999</v>
      </c>
      <c r="G431" s="595">
        <v>224.6</v>
      </c>
    </row>
    <row r="432" spans="1:7" ht="10.050000000000001" customHeight="1">
      <c r="A432" s="597">
        <v>40349</v>
      </c>
      <c r="B432" s="54">
        <v>6</v>
      </c>
      <c r="C432" s="53">
        <v>2010</v>
      </c>
      <c r="D432" s="52" t="s">
        <v>114</v>
      </c>
      <c r="E432" s="52" t="s">
        <v>300</v>
      </c>
      <c r="F432" s="595">
        <v>150.43</v>
      </c>
      <c r="G432" s="595">
        <v>167.9</v>
      </c>
    </row>
    <row r="433" spans="1:7" ht="10.050000000000001" customHeight="1">
      <c r="A433" s="597">
        <v>40379</v>
      </c>
      <c r="B433" s="54">
        <v>7</v>
      </c>
      <c r="C433" s="53">
        <v>2010</v>
      </c>
      <c r="D433" s="52" t="s">
        <v>115</v>
      </c>
      <c r="E433" s="52" t="s">
        <v>300</v>
      </c>
      <c r="F433" s="595">
        <v>139.203</v>
      </c>
      <c r="G433" s="595">
        <v>197.744</v>
      </c>
    </row>
    <row r="434" spans="1:7" ht="10.050000000000001" customHeight="1">
      <c r="A434" s="597">
        <v>40410</v>
      </c>
      <c r="B434" s="54">
        <v>8</v>
      </c>
      <c r="C434" s="53">
        <v>2010</v>
      </c>
      <c r="D434" s="52" t="s">
        <v>115</v>
      </c>
      <c r="E434" s="52" t="s">
        <v>300</v>
      </c>
      <c r="F434" s="595">
        <v>142.01900000000001</v>
      </c>
      <c r="G434" s="595">
        <v>207.70699999999999</v>
      </c>
    </row>
    <row r="435" spans="1:7" ht="10.050000000000001" customHeight="1">
      <c r="A435" s="597">
        <v>40441</v>
      </c>
      <c r="B435" s="54">
        <v>9</v>
      </c>
      <c r="C435" s="53">
        <v>2010</v>
      </c>
      <c r="D435" s="52" t="s">
        <v>115</v>
      </c>
      <c r="E435" s="52" t="s">
        <v>300</v>
      </c>
      <c r="F435" s="595">
        <v>166.74799999999999</v>
      </c>
      <c r="G435" s="595">
        <v>229.494</v>
      </c>
    </row>
    <row r="436" spans="1:7" ht="10.050000000000001" customHeight="1">
      <c r="A436" s="597">
        <v>40471</v>
      </c>
      <c r="B436" s="54">
        <v>10</v>
      </c>
      <c r="C436" s="53">
        <v>2010</v>
      </c>
      <c r="D436" s="52" t="s">
        <v>115</v>
      </c>
      <c r="E436" s="52" t="s">
        <v>300</v>
      </c>
      <c r="F436" s="595">
        <v>146.37799999999999</v>
      </c>
      <c r="G436" s="595">
        <v>204.286</v>
      </c>
    </row>
    <row r="437" spans="1:7" ht="10.050000000000001" customHeight="1">
      <c r="A437" s="597">
        <v>40502</v>
      </c>
      <c r="B437" s="54">
        <v>11</v>
      </c>
      <c r="C437" s="53">
        <v>2010</v>
      </c>
      <c r="D437" s="52" t="s">
        <v>115</v>
      </c>
      <c r="E437" s="52" t="s">
        <v>300</v>
      </c>
      <c r="F437" s="595">
        <v>175.315</v>
      </c>
      <c r="G437" s="595">
        <v>246.97399999999999</v>
      </c>
    </row>
    <row r="438" spans="1:7" ht="10.050000000000001" customHeight="1">
      <c r="A438" s="597">
        <v>40532</v>
      </c>
      <c r="B438" s="54">
        <v>12</v>
      </c>
      <c r="C438" s="53">
        <v>2010</v>
      </c>
      <c r="D438" s="52" t="s">
        <v>115</v>
      </c>
      <c r="E438" s="52" t="s">
        <v>300</v>
      </c>
      <c r="F438" s="595">
        <v>200.28700000000001</v>
      </c>
      <c r="G438" s="595">
        <v>279.57600000000002</v>
      </c>
    </row>
    <row r="439" spans="1:7" ht="10.050000000000001" customHeight="1">
      <c r="A439" s="597">
        <v>40563</v>
      </c>
      <c r="B439" s="54">
        <v>1</v>
      </c>
      <c r="C439" s="53">
        <v>2011</v>
      </c>
      <c r="D439" s="52" t="s">
        <v>115</v>
      </c>
      <c r="E439" s="52" t="s">
        <v>300</v>
      </c>
      <c r="F439" s="595">
        <v>209.53299999999999</v>
      </c>
      <c r="G439" s="595">
        <v>277.137</v>
      </c>
    </row>
    <row r="440" spans="1:7" ht="10.050000000000001" customHeight="1">
      <c r="A440" s="597">
        <v>40594</v>
      </c>
      <c r="B440" s="54">
        <v>2</v>
      </c>
      <c r="C440" s="53">
        <v>2011</v>
      </c>
      <c r="D440" s="52" t="s">
        <v>115</v>
      </c>
      <c r="E440" s="52" t="s">
        <v>300</v>
      </c>
      <c r="F440" s="595">
        <v>178.50299999999999</v>
      </c>
      <c r="G440" s="595">
        <v>239.166</v>
      </c>
    </row>
    <row r="441" spans="1:7" ht="10.050000000000001" customHeight="1">
      <c r="A441" s="597">
        <v>40622</v>
      </c>
      <c r="B441" s="54">
        <v>3</v>
      </c>
      <c r="C441" s="53">
        <v>2011</v>
      </c>
      <c r="D441" s="52" t="s">
        <v>115</v>
      </c>
      <c r="E441" s="52" t="s">
        <v>300</v>
      </c>
      <c r="F441" s="595">
        <v>237.30099999999999</v>
      </c>
      <c r="G441" s="595">
        <v>302.62400000000002</v>
      </c>
    </row>
    <row r="442" spans="1:7" ht="10.050000000000001" customHeight="1">
      <c r="A442" s="597">
        <v>40653</v>
      </c>
      <c r="B442" s="54">
        <v>4</v>
      </c>
      <c r="C442" s="53">
        <v>2011</v>
      </c>
      <c r="D442" s="52" t="s">
        <v>115</v>
      </c>
      <c r="E442" s="52" t="s">
        <v>300</v>
      </c>
      <c r="F442" s="595">
        <v>239.76499999999999</v>
      </c>
      <c r="G442" s="595">
        <v>311.435</v>
      </c>
    </row>
    <row r="443" spans="1:7" ht="10.050000000000001" customHeight="1">
      <c r="A443" s="597">
        <v>40683</v>
      </c>
      <c r="B443" s="54">
        <v>5</v>
      </c>
      <c r="C443" s="53">
        <v>2011</v>
      </c>
      <c r="D443" s="52" t="s">
        <v>115</v>
      </c>
      <c r="E443" s="52" t="s">
        <v>300</v>
      </c>
      <c r="F443" s="595">
        <v>207.58699999999999</v>
      </c>
      <c r="G443" s="595">
        <v>276.93200000000002</v>
      </c>
    </row>
    <row r="444" spans="1:7" ht="10.050000000000001" customHeight="1">
      <c r="A444" s="597">
        <v>40714</v>
      </c>
      <c r="B444" s="54">
        <v>6</v>
      </c>
      <c r="C444" s="53">
        <v>2011</v>
      </c>
      <c r="D444" s="52" t="s">
        <v>115</v>
      </c>
      <c r="E444" s="52" t="s">
        <v>300</v>
      </c>
      <c r="F444" s="595">
        <v>192.523</v>
      </c>
      <c r="G444" s="595">
        <v>286.29199999999997</v>
      </c>
    </row>
    <row r="445" spans="1:7" ht="10.050000000000001" customHeight="1">
      <c r="A445" s="597">
        <v>40744</v>
      </c>
      <c r="B445" s="54">
        <v>7</v>
      </c>
      <c r="C445" s="53">
        <v>2011</v>
      </c>
      <c r="D445" s="52" t="s">
        <v>116</v>
      </c>
      <c r="E445" s="52" t="s">
        <v>300</v>
      </c>
      <c r="F445" s="595">
        <v>172.07599999999999</v>
      </c>
      <c r="G445" s="595">
        <v>221.68100000000001</v>
      </c>
    </row>
    <row r="446" spans="1:7" ht="10.050000000000001" customHeight="1">
      <c r="A446" s="597">
        <v>40775</v>
      </c>
      <c r="B446" s="54">
        <v>8</v>
      </c>
      <c r="C446" s="53">
        <v>2011</v>
      </c>
      <c r="D446" s="52" t="s">
        <v>116</v>
      </c>
      <c r="E446" s="52" t="s">
        <v>300</v>
      </c>
      <c r="F446" s="595">
        <v>187.92099999999999</v>
      </c>
      <c r="G446" s="595">
        <v>240.78100000000001</v>
      </c>
    </row>
    <row r="447" spans="1:7" ht="10.050000000000001" customHeight="1">
      <c r="A447" s="597">
        <v>40806</v>
      </c>
      <c r="B447" s="54">
        <v>9</v>
      </c>
      <c r="C447" s="53">
        <v>2011</v>
      </c>
      <c r="D447" s="52" t="s">
        <v>116</v>
      </c>
      <c r="E447" s="52" t="s">
        <v>300</v>
      </c>
      <c r="F447" s="595">
        <v>140.40199999999999</v>
      </c>
      <c r="G447" s="595">
        <v>178.35400000000001</v>
      </c>
    </row>
    <row r="448" spans="1:7" ht="10.050000000000001" customHeight="1">
      <c r="A448" s="597">
        <v>40836</v>
      </c>
      <c r="B448" s="54">
        <v>10</v>
      </c>
      <c r="C448" s="53">
        <v>2011</v>
      </c>
      <c r="D448" s="52" t="s">
        <v>116</v>
      </c>
      <c r="E448" s="52" t="s">
        <v>300</v>
      </c>
      <c r="F448" s="595">
        <v>241.2</v>
      </c>
      <c r="G448" s="595">
        <v>308.911</v>
      </c>
    </row>
    <row r="449" spans="1:7" ht="10.050000000000001" customHeight="1">
      <c r="A449" s="597">
        <v>40867</v>
      </c>
      <c r="B449" s="54">
        <v>11</v>
      </c>
      <c r="C449" s="53">
        <v>2011</v>
      </c>
      <c r="D449" s="52" t="s">
        <v>116</v>
      </c>
      <c r="E449" s="52" t="s">
        <v>300</v>
      </c>
      <c r="F449" s="595">
        <v>176.78899999999999</v>
      </c>
      <c r="G449" s="595">
        <v>221.137</v>
      </c>
    </row>
    <row r="450" spans="1:7" ht="10.050000000000001" customHeight="1">
      <c r="A450" s="597">
        <v>40897</v>
      </c>
      <c r="B450" s="54">
        <v>12</v>
      </c>
      <c r="C450" s="53">
        <v>2011</v>
      </c>
      <c r="D450" s="52" t="s">
        <v>116</v>
      </c>
      <c r="E450" s="52" t="s">
        <v>300</v>
      </c>
      <c r="F450" s="595">
        <v>203.446</v>
      </c>
      <c r="G450" s="595">
        <v>281.01900000000001</v>
      </c>
    </row>
    <row r="451" spans="1:7" ht="10.050000000000001" customHeight="1">
      <c r="A451" s="597">
        <v>40928</v>
      </c>
      <c r="B451" s="54">
        <v>1</v>
      </c>
      <c r="C451" s="53">
        <v>2012</v>
      </c>
      <c r="D451" s="52" t="s">
        <v>116</v>
      </c>
      <c r="E451" s="52" t="s">
        <v>300</v>
      </c>
      <c r="F451" s="595">
        <v>208.155</v>
      </c>
      <c r="G451" s="595">
        <v>262.91300000000001</v>
      </c>
    </row>
    <row r="452" spans="1:7" ht="10.050000000000001" customHeight="1">
      <c r="A452" s="597">
        <v>40959</v>
      </c>
      <c r="B452" s="54">
        <v>2</v>
      </c>
      <c r="C452" s="53">
        <v>2012</v>
      </c>
      <c r="D452" s="52" t="s">
        <v>116</v>
      </c>
      <c r="E452" s="52" t="s">
        <v>300</v>
      </c>
      <c r="F452" s="595">
        <v>147.899</v>
      </c>
      <c r="G452" s="595">
        <v>193.41200000000001</v>
      </c>
    </row>
    <row r="453" spans="1:7" ht="10.050000000000001" customHeight="1">
      <c r="A453" s="597">
        <v>40988</v>
      </c>
      <c r="B453" s="54">
        <v>3</v>
      </c>
      <c r="C453" s="53">
        <v>2012</v>
      </c>
      <c r="D453" s="52" t="s">
        <v>116</v>
      </c>
      <c r="E453" s="52" t="s">
        <v>300</v>
      </c>
      <c r="F453" s="595">
        <v>219.636</v>
      </c>
      <c r="G453" s="595">
        <v>291.48099999999999</v>
      </c>
    </row>
    <row r="454" spans="1:7" ht="10.050000000000001" customHeight="1">
      <c r="A454" s="597">
        <v>41019</v>
      </c>
      <c r="B454" s="54">
        <v>4</v>
      </c>
      <c r="C454" s="53">
        <v>2012</v>
      </c>
      <c r="D454" s="52" t="s">
        <v>116</v>
      </c>
      <c r="E454" s="52" t="s">
        <v>300</v>
      </c>
      <c r="F454" s="595">
        <v>187.726</v>
      </c>
      <c r="G454" s="595">
        <v>251.77500000000001</v>
      </c>
    </row>
    <row r="455" spans="1:7" ht="10.050000000000001" customHeight="1">
      <c r="A455" s="597">
        <v>41049</v>
      </c>
      <c r="B455" s="54">
        <v>5</v>
      </c>
      <c r="C455" s="53">
        <v>2012</v>
      </c>
      <c r="D455" s="52" t="s">
        <v>116</v>
      </c>
      <c r="E455" s="52" t="s">
        <v>300</v>
      </c>
      <c r="F455" s="595">
        <v>213.77500000000001</v>
      </c>
      <c r="G455" s="595">
        <v>277.21899999999999</v>
      </c>
    </row>
    <row r="456" spans="1:7" ht="10.050000000000001" customHeight="1">
      <c r="A456" s="597">
        <v>41080</v>
      </c>
      <c r="B456" s="54">
        <v>6</v>
      </c>
      <c r="C456" s="53">
        <v>2012</v>
      </c>
      <c r="D456" s="52" t="s">
        <v>116</v>
      </c>
      <c r="E456" s="52" t="s">
        <v>300</v>
      </c>
      <c r="F456" s="595">
        <v>245.691</v>
      </c>
      <c r="G456" s="595">
        <v>302.846</v>
      </c>
    </row>
    <row r="457" spans="1:7" ht="10.050000000000001" customHeight="1">
      <c r="A457" s="597">
        <v>41110</v>
      </c>
      <c r="B457" s="54">
        <v>7</v>
      </c>
      <c r="C457" s="53">
        <v>2012</v>
      </c>
      <c r="D457" s="52" t="s">
        <v>117</v>
      </c>
      <c r="E457" s="52" t="s">
        <v>300</v>
      </c>
      <c r="F457" s="595">
        <v>249.45400000000001</v>
      </c>
      <c r="G457" s="595">
        <v>305.82600000000002</v>
      </c>
    </row>
    <row r="458" spans="1:7" ht="10.050000000000001" customHeight="1">
      <c r="A458" s="597">
        <v>41141</v>
      </c>
      <c r="B458" s="54">
        <v>8</v>
      </c>
      <c r="C458" s="53">
        <v>2012</v>
      </c>
      <c r="D458" s="52" t="s">
        <v>117</v>
      </c>
      <c r="E458" s="52" t="s">
        <v>300</v>
      </c>
      <c r="F458" s="595">
        <v>130.99</v>
      </c>
      <c r="G458" s="595">
        <v>167.17699999999999</v>
      </c>
    </row>
    <row r="459" spans="1:7" ht="10.050000000000001" customHeight="1">
      <c r="A459" s="597">
        <v>41172</v>
      </c>
      <c r="B459" s="54">
        <v>9</v>
      </c>
      <c r="C459" s="53">
        <v>2012</v>
      </c>
      <c r="D459" s="52" t="s">
        <v>117</v>
      </c>
      <c r="E459" s="52" t="s">
        <v>300</v>
      </c>
      <c r="F459" s="595">
        <v>183.68799999999999</v>
      </c>
      <c r="G459" s="595">
        <v>233.43899999999999</v>
      </c>
    </row>
    <row r="460" spans="1:7" ht="10.050000000000001" customHeight="1">
      <c r="A460" s="597">
        <v>41202</v>
      </c>
      <c r="B460" s="54">
        <v>10</v>
      </c>
      <c r="C460" s="53">
        <v>2012</v>
      </c>
      <c r="D460" s="52" t="s">
        <v>117</v>
      </c>
      <c r="E460" s="52" t="s">
        <v>300</v>
      </c>
      <c r="F460" s="595">
        <v>234.53399999999999</v>
      </c>
      <c r="G460" s="595">
        <v>310.16399999999999</v>
      </c>
    </row>
    <row r="461" spans="1:7" ht="10.050000000000001" customHeight="1">
      <c r="A461" s="597">
        <v>41233</v>
      </c>
      <c r="B461" s="54">
        <v>11</v>
      </c>
      <c r="C461" s="53">
        <v>2012</v>
      </c>
      <c r="D461" s="52" t="s">
        <v>117</v>
      </c>
      <c r="E461" s="52" t="s">
        <v>300</v>
      </c>
      <c r="F461" s="595">
        <v>251.316</v>
      </c>
      <c r="G461" s="595">
        <v>331.59500000000003</v>
      </c>
    </row>
    <row r="462" spans="1:7" ht="10.050000000000001" customHeight="1">
      <c r="A462" s="597">
        <v>41263</v>
      </c>
      <c r="B462" s="54">
        <v>12</v>
      </c>
      <c r="C462" s="53">
        <v>2012</v>
      </c>
      <c r="D462" s="52" t="s">
        <v>117</v>
      </c>
      <c r="E462" s="52" t="s">
        <v>300</v>
      </c>
      <c r="F462" s="595">
        <v>212.339</v>
      </c>
      <c r="G462" s="595">
        <v>259.91699999999997</v>
      </c>
    </row>
    <row r="463" spans="1:7" ht="10.050000000000001" customHeight="1">
      <c r="A463" s="597">
        <v>41294</v>
      </c>
      <c r="B463" s="54">
        <v>1</v>
      </c>
      <c r="C463" s="53">
        <v>2013</v>
      </c>
      <c r="D463" s="52" t="s">
        <v>117</v>
      </c>
      <c r="E463" s="52" t="s">
        <v>300</v>
      </c>
      <c r="F463" s="595">
        <v>285.31900000000002</v>
      </c>
      <c r="G463" s="595">
        <v>369.80599999999998</v>
      </c>
    </row>
    <row r="464" spans="1:7" ht="10.050000000000001" customHeight="1">
      <c r="A464" s="597">
        <v>41325</v>
      </c>
      <c r="B464" s="54">
        <v>2</v>
      </c>
      <c r="C464" s="53">
        <v>2013</v>
      </c>
      <c r="D464" s="52" t="s">
        <v>117</v>
      </c>
      <c r="E464" s="52" t="s">
        <v>300</v>
      </c>
      <c r="F464" s="595">
        <v>256.34100000000001</v>
      </c>
      <c r="G464" s="595">
        <v>307.35700000000003</v>
      </c>
    </row>
    <row r="465" spans="1:7" ht="10.050000000000001" customHeight="1">
      <c r="A465" s="597">
        <v>41353</v>
      </c>
      <c r="B465" s="54">
        <v>3</v>
      </c>
      <c r="C465" s="53">
        <v>2013</v>
      </c>
      <c r="D465" s="52" t="s">
        <v>117</v>
      </c>
      <c r="E465" s="52" t="s">
        <v>300</v>
      </c>
      <c r="F465" s="595">
        <v>226.41900000000001</v>
      </c>
      <c r="G465" s="595">
        <v>273.82499999999999</v>
      </c>
    </row>
    <row r="466" spans="1:7" ht="10.050000000000001" customHeight="1">
      <c r="A466" s="597">
        <v>41384</v>
      </c>
      <c r="B466" s="54">
        <v>4</v>
      </c>
      <c r="C466" s="53">
        <v>2013</v>
      </c>
      <c r="D466" s="52" t="s">
        <v>117</v>
      </c>
      <c r="E466" s="52" t="s">
        <v>300</v>
      </c>
      <c r="F466" s="595">
        <v>267.60500000000002</v>
      </c>
      <c r="G466" s="595">
        <v>345.52</v>
      </c>
    </row>
    <row r="467" spans="1:7" ht="10.050000000000001" customHeight="1">
      <c r="A467" s="597">
        <v>41414</v>
      </c>
      <c r="B467" s="54">
        <v>5</v>
      </c>
      <c r="C467" s="53">
        <v>2013</v>
      </c>
      <c r="D467" s="52" t="s">
        <v>117</v>
      </c>
      <c r="E467" s="52" t="s">
        <v>300</v>
      </c>
      <c r="F467" s="595">
        <v>301.76100000000002</v>
      </c>
      <c r="G467" s="595">
        <v>375.81</v>
      </c>
    </row>
    <row r="468" spans="1:7" ht="10.050000000000001" customHeight="1">
      <c r="A468" s="597">
        <v>41445</v>
      </c>
      <c r="B468" s="54">
        <v>6</v>
      </c>
      <c r="C468" s="53">
        <v>2013</v>
      </c>
      <c r="D468" s="52" t="s">
        <v>117</v>
      </c>
      <c r="E468" s="52" t="s">
        <v>300</v>
      </c>
      <c r="F468" s="595">
        <v>271.15899999999999</v>
      </c>
      <c r="G468" s="595">
        <v>314.01799999999997</v>
      </c>
    </row>
    <row r="469" spans="1:7" ht="10.050000000000001" customHeight="1">
      <c r="A469" s="597">
        <v>41475</v>
      </c>
      <c r="B469" s="54">
        <v>7</v>
      </c>
      <c r="C469" s="53">
        <v>2013</v>
      </c>
      <c r="D469" s="52" t="s">
        <v>118</v>
      </c>
      <c r="E469" s="52" t="s">
        <v>300</v>
      </c>
      <c r="F469" s="595">
        <v>265.60199999999998</v>
      </c>
      <c r="G469" s="595">
        <v>338.67200000000003</v>
      </c>
    </row>
    <row r="470" spans="1:7" ht="10.050000000000001" customHeight="1">
      <c r="A470" s="597">
        <v>41506</v>
      </c>
      <c r="B470" s="54">
        <v>8</v>
      </c>
      <c r="C470" s="53">
        <v>2013</v>
      </c>
      <c r="D470" s="52" t="s">
        <v>118</v>
      </c>
      <c r="E470" s="52" t="s">
        <v>300</v>
      </c>
      <c r="F470" s="595">
        <v>175.16200000000001</v>
      </c>
      <c r="G470" s="595">
        <v>209.76400000000001</v>
      </c>
    </row>
    <row r="471" spans="1:7" ht="10.050000000000001" customHeight="1">
      <c r="A471" s="597">
        <v>41537</v>
      </c>
      <c r="B471" s="54">
        <v>9</v>
      </c>
      <c r="C471" s="53">
        <v>2013</v>
      </c>
      <c r="D471" s="52" t="s">
        <v>118</v>
      </c>
      <c r="E471" s="52" t="s">
        <v>300</v>
      </c>
      <c r="F471" s="595">
        <v>273.64400000000001</v>
      </c>
      <c r="G471" s="595">
        <v>320.59699999999998</v>
      </c>
    </row>
    <row r="472" spans="1:7" ht="10.050000000000001" customHeight="1">
      <c r="A472" s="597">
        <v>41567</v>
      </c>
      <c r="B472" s="54">
        <v>10</v>
      </c>
      <c r="C472" s="53">
        <v>2013</v>
      </c>
      <c r="D472" s="52" t="s">
        <v>118</v>
      </c>
      <c r="E472" s="52" t="s">
        <v>300</v>
      </c>
      <c r="F472" s="595">
        <v>243.95699999999999</v>
      </c>
      <c r="G472" s="595">
        <v>290.12400000000002</v>
      </c>
    </row>
    <row r="473" spans="1:7" ht="10.050000000000001" customHeight="1">
      <c r="A473" s="597">
        <v>41598</v>
      </c>
      <c r="B473" s="54">
        <v>11</v>
      </c>
      <c r="C473" s="53">
        <v>2013</v>
      </c>
      <c r="D473" s="52" t="s">
        <v>118</v>
      </c>
      <c r="E473" s="52" t="s">
        <v>300</v>
      </c>
      <c r="F473" s="595">
        <v>250.44300000000001</v>
      </c>
      <c r="G473" s="595">
        <v>302.60599999999999</v>
      </c>
    </row>
    <row r="474" spans="1:7" ht="10.050000000000001" customHeight="1">
      <c r="A474" s="597">
        <v>41628</v>
      </c>
      <c r="B474" s="54">
        <v>12</v>
      </c>
      <c r="C474" s="53">
        <v>2013</v>
      </c>
      <c r="D474" s="52" t="s">
        <v>118</v>
      </c>
      <c r="E474" s="52" t="s">
        <v>300</v>
      </c>
      <c r="F474" s="595">
        <v>292.08100000000002</v>
      </c>
      <c r="G474" s="595">
        <v>364.40300000000002</v>
      </c>
    </row>
    <row r="475" spans="1:7" ht="10.050000000000001" customHeight="1">
      <c r="A475" s="597">
        <v>41659</v>
      </c>
      <c r="B475" s="54">
        <v>1</v>
      </c>
      <c r="C475" s="53">
        <v>2014</v>
      </c>
      <c r="D475" s="52" t="s">
        <v>118</v>
      </c>
      <c r="E475" s="52" t="s">
        <v>300</v>
      </c>
      <c r="F475" s="595">
        <v>322.2</v>
      </c>
      <c r="G475" s="595">
        <v>391.66699999999997</v>
      </c>
    </row>
    <row r="476" spans="1:7" ht="10.050000000000001" customHeight="1">
      <c r="A476" s="597">
        <v>41690</v>
      </c>
      <c r="B476" s="54">
        <v>2</v>
      </c>
      <c r="C476" s="53">
        <v>2014</v>
      </c>
      <c r="D476" s="52" t="s">
        <v>118</v>
      </c>
      <c r="E476" s="52" t="s">
        <v>300</v>
      </c>
      <c r="F476" s="595">
        <v>259.37299999999999</v>
      </c>
      <c r="G476" s="595">
        <v>326.26499999999999</v>
      </c>
    </row>
    <row r="477" spans="1:7" ht="10.050000000000001" customHeight="1">
      <c r="A477" s="597">
        <v>41718</v>
      </c>
      <c r="B477" s="54">
        <v>3</v>
      </c>
      <c r="C477" s="53">
        <v>2014</v>
      </c>
      <c r="D477" s="52" t="s">
        <v>118</v>
      </c>
      <c r="E477" s="52" t="s">
        <v>300</v>
      </c>
      <c r="F477" s="595">
        <v>316.83699999999999</v>
      </c>
      <c r="G477" s="595">
        <v>417.03699999999998</v>
      </c>
    </row>
    <row r="478" spans="1:7" ht="10.050000000000001" customHeight="1">
      <c r="A478" s="597">
        <v>41749</v>
      </c>
      <c r="B478" s="54">
        <v>4</v>
      </c>
      <c r="C478" s="53">
        <v>2014</v>
      </c>
      <c r="D478" s="52" t="s">
        <v>118</v>
      </c>
      <c r="E478" s="52" t="s">
        <v>300</v>
      </c>
      <c r="F478" s="595">
        <v>307.70600000000002</v>
      </c>
      <c r="G478" s="595">
        <v>394.74</v>
      </c>
    </row>
    <row r="479" spans="1:7" ht="10.050000000000001" customHeight="1">
      <c r="A479" s="597">
        <v>41779</v>
      </c>
      <c r="B479" s="54">
        <v>5</v>
      </c>
      <c r="C479" s="53">
        <v>2014</v>
      </c>
      <c r="D479" s="52" t="s">
        <v>118</v>
      </c>
      <c r="E479" s="52" t="s">
        <v>300</v>
      </c>
      <c r="F479" s="595">
        <v>292.58300000000003</v>
      </c>
      <c r="G479" s="595">
        <v>365.87400000000002</v>
      </c>
    </row>
    <row r="480" spans="1:7" ht="10.050000000000001" customHeight="1">
      <c r="A480" s="597">
        <v>41810</v>
      </c>
      <c r="B480" s="54">
        <v>6</v>
      </c>
      <c r="C480" s="53">
        <v>2014</v>
      </c>
      <c r="D480" s="52" t="s">
        <v>118</v>
      </c>
      <c r="E480" s="52" t="s">
        <v>300</v>
      </c>
      <c r="F480" s="595">
        <v>246.851</v>
      </c>
      <c r="G480" s="595">
        <v>312.96899999999999</v>
      </c>
    </row>
    <row r="481" spans="1:7" ht="10.050000000000001" customHeight="1">
      <c r="A481" s="597">
        <v>41840</v>
      </c>
      <c r="B481" s="54">
        <v>7</v>
      </c>
      <c r="C481" s="53">
        <v>2014</v>
      </c>
      <c r="D481" s="52" t="s">
        <v>119</v>
      </c>
      <c r="E481" s="52" t="s">
        <v>300</v>
      </c>
      <c r="F481" s="595">
        <v>283.77300000000002</v>
      </c>
      <c r="G481" s="595">
        <v>343.57799999999997</v>
      </c>
    </row>
    <row r="482" spans="1:7" ht="10.050000000000001" customHeight="1">
      <c r="A482" s="597">
        <v>41871</v>
      </c>
      <c r="B482" s="54">
        <v>8</v>
      </c>
      <c r="C482" s="53">
        <v>2014</v>
      </c>
      <c r="D482" s="52" t="s">
        <v>119</v>
      </c>
      <c r="E482" s="52" t="s">
        <v>300</v>
      </c>
      <c r="F482" s="595">
        <v>237.869</v>
      </c>
      <c r="G482" s="595">
        <v>284.45299999999997</v>
      </c>
    </row>
    <row r="483" spans="1:7" ht="10.050000000000001" customHeight="1">
      <c r="A483" s="597">
        <v>41902</v>
      </c>
      <c r="B483" s="54">
        <v>9</v>
      </c>
      <c r="C483" s="53">
        <v>2014</v>
      </c>
      <c r="D483" s="52" t="s">
        <v>119</v>
      </c>
      <c r="E483" s="52" t="s">
        <v>300</v>
      </c>
      <c r="F483" s="595">
        <v>349.87799999999999</v>
      </c>
      <c r="G483" s="595">
        <v>428.07</v>
      </c>
    </row>
    <row r="484" spans="1:7" ht="10.050000000000001" customHeight="1">
      <c r="A484" s="597">
        <v>41932</v>
      </c>
      <c r="B484" s="54">
        <v>10</v>
      </c>
      <c r="C484" s="53">
        <v>2014</v>
      </c>
      <c r="D484" s="52" t="s">
        <v>119</v>
      </c>
      <c r="E484" s="52" t="s">
        <v>300</v>
      </c>
      <c r="F484" s="595">
        <v>901.57799999999997</v>
      </c>
      <c r="G484" s="595">
        <v>1022.032</v>
      </c>
    </row>
    <row r="485" spans="1:7" ht="10.050000000000001" customHeight="1">
      <c r="A485" s="597">
        <v>41963</v>
      </c>
      <c r="B485" s="54">
        <v>11</v>
      </c>
      <c r="C485" s="53">
        <v>2014</v>
      </c>
      <c r="D485" s="52" t="s">
        <v>119</v>
      </c>
      <c r="E485" s="52" t="s">
        <v>300</v>
      </c>
      <c r="F485" s="595">
        <v>347.74799999999999</v>
      </c>
      <c r="G485" s="595">
        <v>417.97699999999998</v>
      </c>
    </row>
    <row r="486" spans="1:7" ht="10.050000000000001" customHeight="1">
      <c r="A486" s="597">
        <v>41993</v>
      </c>
      <c r="B486" s="54">
        <v>12</v>
      </c>
      <c r="C486" s="53">
        <v>2014</v>
      </c>
      <c r="D486" s="52" t="s">
        <v>119</v>
      </c>
      <c r="E486" s="52" t="s">
        <v>300</v>
      </c>
      <c r="F486" s="595">
        <v>366.11500000000001</v>
      </c>
      <c r="G486" s="595">
        <v>438.33300000000003</v>
      </c>
    </row>
    <row r="487" spans="1:7" ht="10.050000000000001" customHeight="1">
      <c r="A487" s="597">
        <v>42024</v>
      </c>
      <c r="B487" s="54">
        <v>1</v>
      </c>
      <c r="C487" s="53">
        <v>2015</v>
      </c>
      <c r="D487" s="52" t="s">
        <v>119</v>
      </c>
      <c r="E487" s="52" t="s">
        <v>300</v>
      </c>
      <c r="F487" s="595">
        <v>325.54199999999997</v>
      </c>
      <c r="G487" s="595">
        <v>379.05200000000002</v>
      </c>
    </row>
    <row r="488" spans="1:7" ht="10.050000000000001" customHeight="1">
      <c r="A488" s="597">
        <v>42055</v>
      </c>
      <c r="B488" s="54">
        <v>2</v>
      </c>
      <c r="C488" s="53">
        <v>2015</v>
      </c>
      <c r="D488" s="52" t="s">
        <v>119</v>
      </c>
      <c r="E488" s="52" t="s">
        <v>300</v>
      </c>
      <c r="F488" s="595">
        <v>308.74599999999998</v>
      </c>
      <c r="G488" s="595">
        <v>378.17899999999997</v>
      </c>
    </row>
    <row r="489" spans="1:7" ht="10.050000000000001" customHeight="1">
      <c r="A489" s="597">
        <v>42083</v>
      </c>
      <c r="B489" s="54">
        <v>3</v>
      </c>
      <c r="C489" s="53">
        <v>2015</v>
      </c>
      <c r="D489" s="52" t="s">
        <v>119</v>
      </c>
      <c r="E489" s="52" t="s">
        <v>300</v>
      </c>
      <c r="F489" s="595">
        <v>310.11500000000001</v>
      </c>
      <c r="G489" s="595">
        <v>366.89699999999999</v>
      </c>
    </row>
    <row r="490" spans="1:7" ht="10.050000000000001" customHeight="1">
      <c r="A490" s="597">
        <v>42114</v>
      </c>
      <c r="B490" s="54">
        <v>4</v>
      </c>
      <c r="C490" s="53">
        <v>2015</v>
      </c>
      <c r="D490" s="52" t="s">
        <v>119</v>
      </c>
      <c r="E490" s="52" t="s">
        <v>300</v>
      </c>
      <c r="F490" s="595">
        <v>363.83</v>
      </c>
      <c r="G490" s="595">
        <v>439.44799999999998</v>
      </c>
    </row>
    <row r="491" spans="1:7" ht="10.050000000000001" customHeight="1">
      <c r="A491" s="597">
        <v>42144</v>
      </c>
      <c r="B491" s="54">
        <v>5</v>
      </c>
      <c r="C491" s="53">
        <v>2015</v>
      </c>
      <c r="D491" s="52" t="s">
        <v>119</v>
      </c>
      <c r="E491" s="52" t="s">
        <v>300</v>
      </c>
      <c r="F491" s="595">
        <v>272.274</v>
      </c>
      <c r="G491" s="595">
        <v>329.54599999999999</v>
      </c>
    </row>
    <row r="492" spans="1:7" ht="10.050000000000001" customHeight="1">
      <c r="A492" s="597">
        <v>42175</v>
      </c>
      <c r="B492" s="54">
        <v>6</v>
      </c>
      <c r="C492" s="53">
        <v>2015</v>
      </c>
      <c r="D492" s="52" t="s">
        <v>119</v>
      </c>
      <c r="E492" s="52" t="s">
        <v>300</v>
      </c>
      <c r="F492" s="595">
        <v>414.09300000000002</v>
      </c>
      <c r="G492" s="595">
        <v>479.64600000000002</v>
      </c>
    </row>
    <row r="493" spans="1:7" ht="10.050000000000001" customHeight="1">
      <c r="A493" s="597">
        <v>42205</v>
      </c>
      <c r="B493" s="54">
        <v>7</v>
      </c>
      <c r="C493" s="53">
        <v>2015</v>
      </c>
      <c r="D493" s="52" t="s">
        <v>120</v>
      </c>
      <c r="E493" s="52" t="s">
        <v>300</v>
      </c>
      <c r="F493" s="595">
        <v>251.74299999999999</v>
      </c>
      <c r="G493" s="595">
        <v>304.95400000000001</v>
      </c>
    </row>
    <row r="494" spans="1:7" ht="10.050000000000001" customHeight="1">
      <c r="A494" s="597">
        <v>42236</v>
      </c>
      <c r="B494" s="54">
        <v>8</v>
      </c>
      <c r="C494" s="53">
        <v>2015</v>
      </c>
      <c r="D494" s="52" t="s">
        <v>120</v>
      </c>
      <c r="E494" s="52" t="s">
        <v>300</v>
      </c>
      <c r="F494" s="595">
        <v>289.43299999999999</v>
      </c>
      <c r="G494" s="595">
        <v>345.54300000000001</v>
      </c>
    </row>
    <row r="495" spans="1:7" ht="10.050000000000001" customHeight="1">
      <c r="A495" s="597">
        <v>42267</v>
      </c>
      <c r="B495" s="54">
        <v>9</v>
      </c>
      <c r="C495" s="53">
        <v>2015</v>
      </c>
      <c r="D495" s="52" t="s">
        <v>120</v>
      </c>
      <c r="E495" s="52" t="s">
        <v>300</v>
      </c>
      <c r="F495" s="595">
        <v>263.78800000000001</v>
      </c>
      <c r="G495" s="595">
        <v>327.30599999999998</v>
      </c>
    </row>
    <row r="496" spans="1:7" ht="10.050000000000001" customHeight="1">
      <c r="A496" s="597">
        <v>42297</v>
      </c>
      <c r="B496" s="54">
        <v>10</v>
      </c>
      <c r="C496" s="53">
        <v>2015</v>
      </c>
      <c r="D496" s="52" t="s">
        <v>120</v>
      </c>
      <c r="E496" s="52" t="s">
        <v>300</v>
      </c>
      <c r="F496" s="595">
        <v>408.84500000000003</v>
      </c>
      <c r="G496" s="595">
        <v>484.46</v>
      </c>
    </row>
    <row r="497" spans="1:7" ht="10.050000000000001" customHeight="1">
      <c r="A497" s="597">
        <v>42328</v>
      </c>
      <c r="B497" s="54">
        <v>11</v>
      </c>
      <c r="C497" s="53">
        <v>2015</v>
      </c>
      <c r="D497" s="52" t="s">
        <v>120</v>
      </c>
      <c r="E497" s="52" t="s">
        <v>300</v>
      </c>
      <c r="F497" s="595">
        <v>325.62700000000001</v>
      </c>
      <c r="G497" s="595">
        <v>382.49400000000003</v>
      </c>
    </row>
    <row r="498" spans="1:7" ht="10.050000000000001" customHeight="1">
      <c r="A498" s="597">
        <v>42358</v>
      </c>
      <c r="B498" s="54">
        <v>12</v>
      </c>
      <c r="C498" s="53">
        <v>2015</v>
      </c>
      <c r="D498" s="52" t="s">
        <v>120</v>
      </c>
      <c r="E498" s="52" t="s">
        <v>300</v>
      </c>
      <c r="F498" s="595">
        <v>370.57299999999998</v>
      </c>
      <c r="G498" s="595">
        <v>432.048</v>
      </c>
    </row>
    <row r="499" spans="1:7" ht="10.050000000000001" customHeight="1">
      <c r="A499" s="597">
        <v>42389</v>
      </c>
      <c r="B499" s="54">
        <v>1</v>
      </c>
      <c r="C499" s="53">
        <v>2016</v>
      </c>
      <c r="D499" s="52" t="s">
        <v>120</v>
      </c>
      <c r="E499" s="52" t="s">
        <v>300</v>
      </c>
      <c r="F499" s="595">
        <v>266.68200000000002</v>
      </c>
      <c r="G499" s="595">
        <v>351.428</v>
      </c>
    </row>
    <row r="500" spans="1:7" ht="10.050000000000001" customHeight="1">
      <c r="A500" s="597">
        <v>42420</v>
      </c>
      <c r="B500" s="54">
        <v>2</v>
      </c>
      <c r="C500" s="53">
        <v>2016</v>
      </c>
      <c r="D500" s="52" t="s">
        <v>120</v>
      </c>
      <c r="E500" s="52" t="s">
        <v>300</v>
      </c>
      <c r="F500" s="595">
        <v>383.16399999999999</v>
      </c>
      <c r="G500" s="595">
        <v>451.74200000000002</v>
      </c>
    </row>
    <row r="501" spans="1:7" ht="10.050000000000001" customHeight="1">
      <c r="A501" s="597">
        <v>42449</v>
      </c>
      <c r="B501" s="54">
        <v>3</v>
      </c>
      <c r="C501" s="53">
        <v>2016</v>
      </c>
      <c r="D501" s="52" t="s">
        <v>120</v>
      </c>
      <c r="E501" s="52" t="s">
        <v>300</v>
      </c>
      <c r="F501" s="595">
        <v>416.34399999999999</v>
      </c>
      <c r="G501" s="595">
        <v>489.81099999999998</v>
      </c>
    </row>
    <row r="502" spans="1:7" ht="10.050000000000001" customHeight="1">
      <c r="A502" s="597">
        <v>42480</v>
      </c>
      <c r="B502" s="54">
        <v>4</v>
      </c>
      <c r="C502" s="53">
        <v>2016</v>
      </c>
      <c r="D502" s="52" t="s">
        <v>120</v>
      </c>
      <c r="E502" s="52" t="s">
        <v>300</v>
      </c>
      <c r="F502" s="595">
        <v>324.51799999999997</v>
      </c>
      <c r="G502" s="595">
        <v>394.399</v>
      </c>
    </row>
    <row r="503" spans="1:7" ht="10.050000000000001" customHeight="1">
      <c r="A503" s="597">
        <v>42510</v>
      </c>
      <c r="B503" s="54">
        <v>5</v>
      </c>
      <c r="C503" s="53">
        <v>2016</v>
      </c>
      <c r="D503" s="52" t="s">
        <v>120</v>
      </c>
      <c r="E503" s="52" t="s">
        <v>300</v>
      </c>
      <c r="F503" s="595">
        <v>380.35899999999998</v>
      </c>
      <c r="G503" s="595">
        <v>455.209</v>
      </c>
    </row>
    <row r="504" spans="1:7" ht="10.050000000000001" customHeight="1">
      <c r="A504" s="597">
        <v>42541</v>
      </c>
      <c r="B504" s="54">
        <v>6</v>
      </c>
      <c r="C504" s="53">
        <v>2016</v>
      </c>
      <c r="D504" s="52" t="s">
        <v>120</v>
      </c>
      <c r="E504" s="52" t="s">
        <v>300</v>
      </c>
      <c r="F504" s="595">
        <v>484.22899999999998</v>
      </c>
      <c r="G504" s="595">
        <v>612.85799999999995</v>
      </c>
    </row>
    <row r="505" spans="1:7" ht="10.050000000000001" customHeight="1">
      <c r="A505" s="597">
        <v>42571</v>
      </c>
      <c r="B505" s="54">
        <v>7</v>
      </c>
      <c r="C505" s="53">
        <v>2016</v>
      </c>
      <c r="D505" s="52" t="s">
        <v>121</v>
      </c>
      <c r="E505" s="52" t="s">
        <v>300</v>
      </c>
      <c r="F505" s="595">
        <v>311.036</v>
      </c>
      <c r="G505" s="595">
        <v>384.34300000000002</v>
      </c>
    </row>
    <row r="506" spans="1:7" ht="10.050000000000001" customHeight="1">
      <c r="A506" s="597">
        <v>42602</v>
      </c>
      <c r="B506" s="54">
        <v>8</v>
      </c>
      <c r="C506" s="53">
        <v>2016</v>
      </c>
      <c r="D506" s="52" t="s">
        <v>121</v>
      </c>
      <c r="E506" s="52" t="s">
        <v>300</v>
      </c>
      <c r="F506" s="595">
        <v>340.04899999999998</v>
      </c>
      <c r="G506" s="595">
        <v>471.24200000000002</v>
      </c>
    </row>
    <row r="507" spans="1:7" ht="10.050000000000001" customHeight="1">
      <c r="A507" s="597">
        <v>42633</v>
      </c>
      <c r="B507" s="54">
        <v>9</v>
      </c>
      <c r="C507" s="53">
        <v>2016</v>
      </c>
      <c r="D507" s="52" t="s">
        <v>121</v>
      </c>
      <c r="E507" s="52" t="s">
        <v>300</v>
      </c>
      <c r="F507" s="595">
        <v>360.09800000000001</v>
      </c>
      <c r="G507" s="595">
        <v>472.33300000000003</v>
      </c>
    </row>
    <row r="508" spans="1:7" ht="10.050000000000001" customHeight="1">
      <c r="A508" s="597">
        <v>42663</v>
      </c>
      <c r="B508" s="54">
        <v>10</v>
      </c>
      <c r="C508" s="53">
        <v>2016</v>
      </c>
      <c r="D508" s="52" t="s">
        <v>121</v>
      </c>
      <c r="E508" s="52" t="s">
        <v>300</v>
      </c>
      <c r="F508" s="595">
        <v>383.22399999999999</v>
      </c>
      <c r="G508" s="595">
        <v>464.29300000000001</v>
      </c>
    </row>
    <row r="509" spans="1:7" ht="10.050000000000001" customHeight="1">
      <c r="A509" s="597">
        <v>42694</v>
      </c>
      <c r="B509" s="54">
        <v>11</v>
      </c>
      <c r="C509" s="53">
        <v>2016</v>
      </c>
      <c r="D509" s="52" t="s">
        <v>121</v>
      </c>
      <c r="E509" s="52" t="s">
        <v>300</v>
      </c>
      <c r="F509" s="595">
        <v>494.56099999999998</v>
      </c>
      <c r="G509" s="595">
        <v>634.01099999999997</v>
      </c>
    </row>
    <row r="510" spans="1:7" ht="10.050000000000001" customHeight="1">
      <c r="A510" s="597">
        <v>42724</v>
      </c>
      <c r="B510" s="54">
        <v>12</v>
      </c>
      <c r="C510" s="53">
        <v>2016</v>
      </c>
      <c r="D510" s="52" t="s">
        <v>121</v>
      </c>
      <c r="E510" s="52" t="s">
        <v>300</v>
      </c>
      <c r="F510" s="595">
        <v>500.01600000000002</v>
      </c>
      <c r="G510" s="595">
        <v>665.42200000000003</v>
      </c>
    </row>
    <row r="511" spans="1:7" ht="10.050000000000001" customHeight="1">
      <c r="A511" s="597">
        <v>42755</v>
      </c>
      <c r="B511" s="54">
        <v>1</v>
      </c>
      <c r="C511" s="53">
        <v>2017</v>
      </c>
      <c r="D511" s="52" t="s">
        <v>121</v>
      </c>
      <c r="E511" s="52" t="s">
        <v>300</v>
      </c>
      <c r="F511" s="595">
        <v>389.25200000000001</v>
      </c>
      <c r="G511" s="595">
        <v>478.86</v>
      </c>
    </row>
    <row r="512" spans="1:7" ht="10.050000000000001" customHeight="1">
      <c r="A512" s="597">
        <v>42786</v>
      </c>
      <c r="B512" s="54">
        <v>2</v>
      </c>
      <c r="C512" s="53">
        <v>2017</v>
      </c>
      <c r="D512" s="52" t="s">
        <v>121</v>
      </c>
      <c r="E512" s="52" t="s">
        <v>300</v>
      </c>
      <c r="F512" s="595">
        <v>334.78300000000002</v>
      </c>
      <c r="G512" s="595">
        <v>429.09699999999998</v>
      </c>
    </row>
    <row r="513" spans="1:7" ht="10.050000000000001" customHeight="1">
      <c r="A513" s="597">
        <v>42814</v>
      </c>
      <c r="B513" s="54">
        <v>3</v>
      </c>
      <c r="C513" s="53">
        <v>2017</v>
      </c>
      <c r="D513" s="52" t="s">
        <v>121</v>
      </c>
      <c r="E513" s="52" t="s">
        <v>300</v>
      </c>
      <c r="F513" s="595">
        <v>573.74</v>
      </c>
      <c r="G513" s="595">
        <v>700.524</v>
      </c>
    </row>
    <row r="514" spans="1:7" ht="10.050000000000001" customHeight="1">
      <c r="A514" s="597">
        <v>42845</v>
      </c>
      <c r="B514" s="54">
        <v>4</v>
      </c>
      <c r="C514" s="53">
        <v>2017</v>
      </c>
      <c r="D514" s="52" t="s">
        <v>121</v>
      </c>
      <c r="E514" s="52" t="s">
        <v>300</v>
      </c>
      <c r="F514" s="595">
        <v>508.06799999999998</v>
      </c>
      <c r="G514" s="595">
        <v>640.48199999999997</v>
      </c>
    </row>
    <row r="515" spans="1:7" ht="10.050000000000001" customHeight="1">
      <c r="A515" s="597">
        <v>42875</v>
      </c>
      <c r="B515" s="54">
        <v>5</v>
      </c>
      <c r="C515" s="53">
        <v>2017</v>
      </c>
      <c r="D515" s="52" t="s">
        <v>121</v>
      </c>
      <c r="E515" s="52" t="s">
        <v>300</v>
      </c>
      <c r="F515" s="595">
        <v>479.77</v>
      </c>
      <c r="G515" s="595">
        <v>605.30799999999999</v>
      </c>
    </row>
    <row r="516" spans="1:7" ht="10.050000000000001" customHeight="1">
      <c r="A516" s="597">
        <v>42906</v>
      </c>
      <c r="B516" s="54">
        <v>6</v>
      </c>
      <c r="C516" s="53">
        <v>2017</v>
      </c>
      <c r="D516" s="52" t="s">
        <v>121</v>
      </c>
      <c r="E516" s="52" t="s">
        <v>300</v>
      </c>
      <c r="F516" s="595">
        <v>443.24900000000002</v>
      </c>
      <c r="G516" s="595">
        <v>554.34699999999998</v>
      </c>
    </row>
    <row r="517" spans="1:7" ht="10.050000000000001" customHeight="1">
      <c r="A517" s="597">
        <v>42936</v>
      </c>
      <c r="B517" s="54">
        <v>7</v>
      </c>
      <c r="C517" s="53">
        <v>2017</v>
      </c>
      <c r="D517" s="52" t="s">
        <v>122</v>
      </c>
      <c r="E517" s="52" t="s">
        <v>300</v>
      </c>
      <c r="F517" s="595">
        <v>453.71199999999999</v>
      </c>
      <c r="G517" s="595">
        <v>534.66200000000003</v>
      </c>
    </row>
    <row r="518" spans="1:7" ht="10.050000000000001" customHeight="1">
      <c r="A518" s="597">
        <v>42967</v>
      </c>
      <c r="B518" s="54">
        <v>8</v>
      </c>
      <c r="C518" s="53">
        <v>2017</v>
      </c>
      <c r="D518" s="52" t="s">
        <v>122</v>
      </c>
      <c r="E518" s="52" t="s">
        <v>300</v>
      </c>
      <c r="F518" s="595">
        <v>365.4</v>
      </c>
      <c r="G518" s="595">
        <v>463.28199999999998</v>
      </c>
    </row>
    <row r="519" spans="1:7" ht="10.050000000000001" customHeight="1">
      <c r="A519" s="597">
        <v>42998</v>
      </c>
      <c r="B519" s="54">
        <v>9</v>
      </c>
      <c r="C519" s="53">
        <v>2017</v>
      </c>
      <c r="D519" s="52" t="s">
        <v>122</v>
      </c>
      <c r="E519" s="52" t="s">
        <v>300</v>
      </c>
      <c r="F519" s="595">
        <v>499.505</v>
      </c>
      <c r="G519" s="595">
        <v>638.98500000000001</v>
      </c>
    </row>
    <row r="520" spans="1:7" ht="10.050000000000001" customHeight="1">
      <c r="A520" s="597">
        <v>43028</v>
      </c>
      <c r="B520" s="54">
        <v>10</v>
      </c>
      <c r="C520" s="53">
        <v>2017</v>
      </c>
      <c r="D520" s="52" t="s">
        <v>122</v>
      </c>
      <c r="E520" s="52" t="s">
        <v>300</v>
      </c>
      <c r="F520" s="595">
        <v>508.06900000000002</v>
      </c>
      <c r="G520" s="595">
        <v>620.54700000000003</v>
      </c>
    </row>
    <row r="521" spans="1:7" ht="10.050000000000001" customHeight="1">
      <c r="A521" s="597">
        <v>43059</v>
      </c>
      <c r="B521" s="54">
        <v>11</v>
      </c>
      <c r="C521" s="53">
        <v>2017</v>
      </c>
      <c r="D521" s="52" t="s">
        <v>122</v>
      </c>
      <c r="E521" s="52" t="s">
        <v>300</v>
      </c>
      <c r="F521" s="595">
        <v>549.048</v>
      </c>
      <c r="G521" s="595">
        <v>697.87900000000002</v>
      </c>
    </row>
    <row r="522" spans="1:7" ht="10.050000000000001" customHeight="1">
      <c r="A522" s="597">
        <v>43089</v>
      </c>
      <c r="B522" s="54">
        <v>12</v>
      </c>
      <c r="C522" s="53">
        <v>2017</v>
      </c>
      <c r="D522" s="52" t="s">
        <v>122</v>
      </c>
      <c r="E522" s="52" t="s">
        <v>300</v>
      </c>
      <c r="F522" s="595">
        <v>568.26499999999999</v>
      </c>
      <c r="G522" s="595">
        <v>727.51300000000003</v>
      </c>
    </row>
    <row r="523" spans="1:7" ht="10.050000000000001" customHeight="1">
      <c r="A523" s="597">
        <v>43120</v>
      </c>
      <c r="B523" s="54">
        <v>1</v>
      </c>
      <c r="C523" s="53">
        <v>2018</v>
      </c>
      <c r="D523" s="52" t="s">
        <v>122</v>
      </c>
      <c r="E523" s="52" t="s">
        <v>300</v>
      </c>
      <c r="F523" s="595">
        <v>652.18600000000004</v>
      </c>
      <c r="G523" s="595">
        <v>802.745</v>
      </c>
    </row>
    <row r="524" spans="1:7" ht="10.050000000000001" customHeight="1">
      <c r="A524" s="597">
        <v>43151</v>
      </c>
      <c r="B524" s="54">
        <v>2</v>
      </c>
      <c r="C524" s="53">
        <v>2018</v>
      </c>
      <c r="D524" s="52" t="s">
        <v>122</v>
      </c>
      <c r="E524" s="52" t="s">
        <v>300</v>
      </c>
      <c r="F524" s="595">
        <v>441.11099999999999</v>
      </c>
      <c r="G524" s="595">
        <v>580.476</v>
      </c>
    </row>
    <row r="525" spans="1:7" ht="10.050000000000001" customHeight="1">
      <c r="A525" s="597">
        <v>43179</v>
      </c>
      <c r="B525" s="54">
        <v>3</v>
      </c>
      <c r="C525" s="53">
        <v>2018</v>
      </c>
      <c r="D525" s="52" t="s">
        <v>122</v>
      </c>
      <c r="E525" s="52" t="s">
        <v>300</v>
      </c>
      <c r="F525" s="595">
        <v>670.70699999999999</v>
      </c>
      <c r="G525" s="595">
        <v>782.98</v>
      </c>
    </row>
    <row r="526" spans="1:7" ht="10.050000000000001" customHeight="1">
      <c r="A526" s="597">
        <v>43210</v>
      </c>
      <c r="B526" s="54">
        <v>4</v>
      </c>
      <c r="C526" s="53">
        <v>2018</v>
      </c>
      <c r="D526" s="52" t="s">
        <v>122</v>
      </c>
      <c r="E526" s="52" t="s">
        <v>300</v>
      </c>
      <c r="F526" s="595">
        <v>971.95899999999995</v>
      </c>
      <c r="G526" s="595">
        <v>1185.191</v>
      </c>
    </row>
    <row r="527" spans="1:7" ht="10.050000000000001" customHeight="1">
      <c r="A527" s="597">
        <v>43240</v>
      </c>
      <c r="B527" s="54">
        <v>5</v>
      </c>
      <c r="C527" s="53">
        <v>2018</v>
      </c>
      <c r="D527" s="52" t="s">
        <v>122</v>
      </c>
      <c r="E527" s="52" t="s">
        <v>300</v>
      </c>
      <c r="F527" s="595">
        <v>565.00300000000004</v>
      </c>
      <c r="G527" s="595">
        <v>672.99</v>
      </c>
    </row>
    <row r="528" spans="1:7" ht="10.050000000000001" customHeight="1">
      <c r="A528" s="597">
        <v>43271</v>
      </c>
      <c r="B528" s="54">
        <v>6</v>
      </c>
      <c r="C528" s="53">
        <v>2018</v>
      </c>
      <c r="D528" s="52" t="s">
        <v>122</v>
      </c>
      <c r="E528" s="52" t="s">
        <v>300</v>
      </c>
      <c r="F528" s="595">
        <v>535.62300000000005</v>
      </c>
      <c r="G528" s="595">
        <v>659.58100000000002</v>
      </c>
    </row>
    <row r="529" spans="1:7" ht="10.050000000000001" customHeight="1">
      <c r="A529" s="597">
        <v>43301</v>
      </c>
      <c r="B529" s="54">
        <v>7</v>
      </c>
      <c r="C529" s="53">
        <v>2018</v>
      </c>
      <c r="D529" s="52" t="s">
        <v>123</v>
      </c>
      <c r="E529" s="52" t="s">
        <v>300</v>
      </c>
      <c r="F529" s="595">
        <v>521.68299999999999</v>
      </c>
      <c r="G529" s="595">
        <v>709.94299999999998</v>
      </c>
    </row>
    <row r="530" spans="1:7" ht="10.050000000000001" customHeight="1">
      <c r="A530" s="597">
        <v>43332</v>
      </c>
      <c r="B530" s="54">
        <v>8</v>
      </c>
      <c r="C530" s="53">
        <v>2018</v>
      </c>
      <c r="D530" s="52" t="s">
        <v>123</v>
      </c>
      <c r="E530" s="52" t="s">
        <v>300</v>
      </c>
      <c r="F530" s="595">
        <v>485.33800000000002</v>
      </c>
      <c r="G530" s="595">
        <v>615.89300000000003</v>
      </c>
    </row>
    <row r="531" spans="1:7" ht="10.050000000000001" customHeight="1">
      <c r="A531" s="597">
        <v>43363</v>
      </c>
      <c r="B531" s="54">
        <v>9</v>
      </c>
      <c r="C531" s="53">
        <v>2018</v>
      </c>
      <c r="D531" s="52" t="s">
        <v>123</v>
      </c>
      <c r="E531" s="52" t="s">
        <v>300</v>
      </c>
      <c r="F531" s="595">
        <v>421.18599999999998</v>
      </c>
      <c r="G531" s="595">
        <v>500.45699999999999</v>
      </c>
    </row>
    <row r="532" spans="1:7" ht="10.050000000000001" customHeight="1">
      <c r="A532" s="597">
        <v>43393</v>
      </c>
      <c r="B532" s="54">
        <v>10</v>
      </c>
      <c r="C532" s="53">
        <v>2018</v>
      </c>
      <c r="D532" s="52" t="s">
        <v>123</v>
      </c>
      <c r="E532" s="52" t="s">
        <v>300</v>
      </c>
      <c r="F532" s="595">
        <v>641.11599999999999</v>
      </c>
      <c r="G532" s="595">
        <v>791.89700000000005</v>
      </c>
    </row>
    <row r="533" spans="1:7" ht="10.050000000000001" customHeight="1">
      <c r="A533" s="597">
        <v>43424</v>
      </c>
      <c r="B533" s="54">
        <v>11</v>
      </c>
      <c r="C533" s="53">
        <v>2018</v>
      </c>
      <c r="D533" s="52" t="s">
        <v>123</v>
      </c>
      <c r="E533" s="52" t="s">
        <v>300</v>
      </c>
      <c r="F533" s="595">
        <v>672.54700000000003</v>
      </c>
      <c r="G533" s="595">
        <v>822.971</v>
      </c>
    </row>
    <row r="534" spans="1:7" ht="10.050000000000001" customHeight="1">
      <c r="A534" s="597">
        <v>43454</v>
      </c>
      <c r="B534" s="54">
        <v>12</v>
      </c>
      <c r="C534" s="53">
        <v>2018</v>
      </c>
      <c r="D534" s="52" t="s">
        <v>123</v>
      </c>
      <c r="E534" s="52" t="s">
        <v>300</v>
      </c>
      <c r="F534" s="595">
        <v>610.50599999999997</v>
      </c>
      <c r="G534" s="595">
        <v>792.97699999999998</v>
      </c>
    </row>
    <row r="535" spans="1:7" ht="10.050000000000001" customHeight="1">
      <c r="A535" s="597">
        <v>43485</v>
      </c>
      <c r="B535" s="54">
        <v>1</v>
      </c>
      <c r="C535" s="53">
        <v>2019</v>
      </c>
      <c r="D535" s="52" t="s">
        <v>123</v>
      </c>
      <c r="E535" s="52" t="s">
        <v>300</v>
      </c>
      <c r="F535" s="595">
        <v>613.83299999999997</v>
      </c>
      <c r="G535" s="595">
        <v>757.63900000000001</v>
      </c>
    </row>
    <row r="536" spans="1:7" ht="10.050000000000001" customHeight="1">
      <c r="A536" s="597">
        <v>43516</v>
      </c>
      <c r="B536" s="54">
        <v>2</v>
      </c>
      <c r="C536" s="53">
        <v>2019</v>
      </c>
      <c r="D536" s="52" t="s">
        <v>123</v>
      </c>
      <c r="E536" s="52" t="s">
        <v>300</v>
      </c>
      <c r="F536" s="595">
        <v>650.66700000000003</v>
      </c>
      <c r="G536" s="595">
        <v>796.851</v>
      </c>
    </row>
    <row r="537" spans="1:7" ht="10.050000000000001" customHeight="1">
      <c r="A537" s="597">
        <v>43544</v>
      </c>
      <c r="B537" s="54">
        <v>3</v>
      </c>
      <c r="C537" s="53">
        <v>2019</v>
      </c>
      <c r="D537" s="52" t="s">
        <v>123</v>
      </c>
      <c r="E537" s="52" t="s">
        <v>300</v>
      </c>
      <c r="F537" s="595">
        <v>686.49800000000005</v>
      </c>
      <c r="G537" s="595">
        <v>868.05600000000004</v>
      </c>
    </row>
    <row r="538" spans="1:7" ht="10.050000000000001" customHeight="1">
      <c r="A538" s="597">
        <v>43575</v>
      </c>
      <c r="B538" s="54">
        <v>4</v>
      </c>
      <c r="C538" s="53">
        <v>2019</v>
      </c>
      <c r="D538" s="52" t="s">
        <v>123</v>
      </c>
      <c r="E538" s="52" t="s">
        <v>300</v>
      </c>
      <c r="F538" s="595">
        <v>607.82100000000003</v>
      </c>
      <c r="G538" s="595">
        <v>784.601</v>
      </c>
    </row>
    <row r="539" spans="1:7" ht="10.050000000000001" customHeight="1">
      <c r="A539" s="597">
        <v>43605</v>
      </c>
      <c r="B539" s="54">
        <v>5</v>
      </c>
      <c r="C539" s="53">
        <v>2019</v>
      </c>
      <c r="D539" s="52" t="s">
        <v>123</v>
      </c>
      <c r="E539" s="52" t="s">
        <v>300</v>
      </c>
      <c r="F539" s="595">
        <v>616.12800000000004</v>
      </c>
      <c r="G539" s="595">
        <v>786.23900000000003</v>
      </c>
    </row>
    <row r="540" spans="1:7" ht="10.050000000000001" customHeight="1">
      <c r="A540" s="597">
        <v>43636</v>
      </c>
      <c r="B540" s="54">
        <v>6</v>
      </c>
      <c r="C540" s="53">
        <v>2019</v>
      </c>
      <c r="D540" s="52" t="s">
        <v>123</v>
      </c>
      <c r="E540" s="52" t="s">
        <v>300</v>
      </c>
      <c r="F540" s="595">
        <v>647.50300000000004</v>
      </c>
      <c r="G540" s="595">
        <v>797.89200000000005</v>
      </c>
    </row>
    <row r="541" spans="1:7" ht="10.050000000000001" customHeight="1">
      <c r="A541" s="597">
        <v>43666</v>
      </c>
      <c r="B541" s="54">
        <v>7</v>
      </c>
      <c r="C541" s="53">
        <v>2019</v>
      </c>
      <c r="D541" s="52" t="s">
        <v>124</v>
      </c>
      <c r="E541" s="52" t="s">
        <v>300</v>
      </c>
      <c r="F541" s="595">
        <v>641.02200000000005</v>
      </c>
      <c r="G541" s="595">
        <v>783.37199999999996</v>
      </c>
    </row>
    <row r="542" spans="1:7" ht="10.050000000000001" customHeight="1">
      <c r="A542" s="597">
        <v>43697</v>
      </c>
      <c r="B542" s="54">
        <v>8</v>
      </c>
      <c r="C542" s="53">
        <v>2019</v>
      </c>
      <c r="D542" s="52" t="s">
        <v>124</v>
      </c>
      <c r="E542" s="52" t="s">
        <v>300</v>
      </c>
      <c r="F542" s="595">
        <v>559.48699999999997</v>
      </c>
      <c r="G542" s="595">
        <v>701.26400000000001</v>
      </c>
    </row>
    <row r="543" spans="1:7" ht="10.050000000000001" customHeight="1">
      <c r="A543" s="597">
        <v>43728</v>
      </c>
      <c r="B543" s="54">
        <v>9</v>
      </c>
      <c r="C543" s="53">
        <v>2019</v>
      </c>
      <c r="D543" s="52" t="s">
        <v>124</v>
      </c>
      <c r="E543" s="52" t="s">
        <v>300</v>
      </c>
      <c r="F543" s="595">
        <v>573.09500000000003</v>
      </c>
      <c r="G543" s="595">
        <v>765.14</v>
      </c>
    </row>
    <row r="544" spans="1:7" ht="10.050000000000001" customHeight="1">
      <c r="A544" s="597">
        <v>43758</v>
      </c>
      <c r="B544" s="54">
        <v>10</v>
      </c>
      <c r="C544" s="53">
        <v>2019</v>
      </c>
      <c r="D544" s="52" t="s">
        <v>124</v>
      </c>
      <c r="E544" s="52" t="s">
        <v>300</v>
      </c>
      <c r="F544" s="595">
        <v>688.38699999999994</v>
      </c>
      <c r="G544" s="595">
        <v>878.84100000000001</v>
      </c>
    </row>
    <row r="545" spans="1:7" ht="10.050000000000001" customHeight="1">
      <c r="A545" s="597">
        <v>43789</v>
      </c>
      <c r="B545" s="54">
        <v>11</v>
      </c>
      <c r="C545" s="53">
        <v>2019</v>
      </c>
      <c r="D545" s="52" t="s">
        <v>124</v>
      </c>
      <c r="E545" s="52" t="s">
        <v>300</v>
      </c>
      <c r="F545" s="595">
        <v>660.48099999999999</v>
      </c>
      <c r="G545" s="595">
        <v>843.64599999999996</v>
      </c>
    </row>
    <row r="546" spans="1:7" ht="10.050000000000001" customHeight="1">
      <c r="A546" s="597">
        <v>43819</v>
      </c>
      <c r="B546" s="54">
        <v>12</v>
      </c>
      <c r="C546" s="53">
        <v>2019</v>
      </c>
      <c r="D546" s="52" t="s">
        <v>124</v>
      </c>
      <c r="E546" s="52" t="s">
        <v>300</v>
      </c>
      <c r="F546" s="595">
        <v>818.49099999999999</v>
      </c>
      <c r="G546" s="595">
        <v>1007.386</v>
      </c>
    </row>
    <row r="547" spans="1:7" ht="10.050000000000001" customHeight="1">
      <c r="A547" s="597">
        <v>43850</v>
      </c>
      <c r="B547" s="54">
        <v>1</v>
      </c>
      <c r="C547" s="53">
        <v>2020</v>
      </c>
      <c r="D547" s="52" t="s">
        <v>124</v>
      </c>
      <c r="E547" s="52" t="s">
        <v>300</v>
      </c>
      <c r="F547" s="595">
        <v>669.46799999999996</v>
      </c>
      <c r="G547" s="595">
        <v>830.64700000000005</v>
      </c>
    </row>
    <row r="548" spans="1:7" ht="10.050000000000001" customHeight="1">
      <c r="A548" s="597">
        <v>43881</v>
      </c>
      <c r="B548" s="54">
        <v>2</v>
      </c>
      <c r="C548" s="53">
        <v>2020</v>
      </c>
      <c r="D548" s="52" t="s">
        <v>124</v>
      </c>
      <c r="E548" s="52" t="s">
        <v>300</v>
      </c>
      <c r="F548" s="595">
        <v>681.78300000000002</v>
      </c>
      <c r="G548" s="595">
        <v>827.71299999999997</v>
      </c>
    </row>
    <row r="549" spans="1:7" ht="10.050000000000001" customHeight="1">
      <c r="A549" s="597">
        <v>43910</v>
      </c>
      <c r="B549" s="54">
        <v>3</v>
      </c>
      <c r="C549" s="53">
        <v>2020</v>
      </c>
      <c r="D549" s="52" t="s">
        <v>124</v>
      </c>
      <c r="E549" s="52" t="s">
        <v>300</v>
      </c>
      <c r="F549" s="595">
        <v>702.28</v>
      </c>
      <c r="G549" s="595">
        <v>896.78499999999997</v>
      </c>
    </row>
    <row r="550" spans="1:7" ht="10.050000000000001" customHeight="1">
      <c r="A550" s="597">
        <v>43941</v>
      </c>
      <c r="B550" s="54">
        <v>4</v>
      </c>
      <c r="C550" s="53">
        <v>2020</v>
      </c>
      <c r="D550" s="52" t="s">
        <v>124</v>
      </c>
      <c r="E550" s="52" t="s">
        <v>300</v>
      </c>
      <c r="F550" s="595">
        <v>656.96</v>
      </c>
      <c r="G550" s="595">
        <v>805.03899999999999</v>
      </c>
    </row>
    <row r="551" spans="1:7" ht="10.050000000000001" customHeight="1">
      <c r="A551" s="597">
        <v>43971</v>
      </c>
      <c r="B551" s="54">
        <v>5</v>
      </c>
      <c r="C551" s="53">
        <v>2020</v>
      </c>
      <c r="D551" s="52" t="s">
        <v>124</v>
      </c>
      <c r="E551" s="52" t="s">
        <v>300</v>
      </c>
      <c r="F551" s="595">
        <v>621.37099999999998</v>
      </c>
      <c r="G551" s="595">
        <v>854.90499999999997</v>
      </c>
    </row>
    <row r="552" spans="1:7" ht="10.050000000000001" customHeight="1">
      <c r="A552" s="597">
        <v>44002</v>
      </c>
      <c r="B552" s="54">
        <v>6</v>
      </c>
      <c r="C552" s="53">
        <v>2020</v>
      </c>
      <c r="D552" s="52" t="s">
        <v>124</v>
      </c>
      <c r="E552" s="52" t="s">
        <v>300</v>
      </c>
      <c r="F552" s="595">
        <v>803.34199999999998</v>
      </c>
      <c r="G552" s="595">
        <v>1055.086</v>
      </c>
    </row>
    <row r="553" spans="1:7" ht="10.050000000000001" customHeight="1">
      <c r="A553" s="597">
        <v>44032</v>
      </c>
      <c r="B553" s="54">
        <v>7</v>
      </c>
      <c r="C553" s="53">
        <v>2020</v>
      </c>
      <c r="D553" s="52" t="s">
        <v>125</v>
      </c>
      <c r="E553" s="52" t="s">
        <v>300</v>
      </c>
      <c r="F553" s="595">
        <v>634.89300000000003</v>
      </c>
      <c r="G553" s="595">
        <v>809.33900000000006</v>
      </c>
    </row>
    <row r="554" spans="1:7" ht="10.050000000000001" customHeight="1">
      <c r="A554" s="597">
        <v>44063</v>
      </c>
      <c r="B554" s="54">
        <v>8</v>
      </c>
      <c r="C554" s="53">
        <v>2020</v>
      </c>
      <c r="D554" s="52" t="s">
        <v>125</v>
      </c>
      <c r="E554" s="52" t="s">
        <v>300</v>
      </c>
      <c r="F554" s="595">
        <v>497.34300000000002</v>
      </c>
      <c r="G554" s="595">
        <v>641.89800000000002</v>
      </c>
    </row>
    <row r="555" spans="1:7" ht="10.050000000000001" customHeight="1">
      <c r="A555" s="597">
        <v>44094</v>
      </c>
      <c r="B555" s="54">
        <v>9</v>
      </c>
      <c r="C555" s="53">
        <v>2020</v>
      </c>
      <c r="D555" s="52" t="s">
        <v>125</v>
      </c>
      <c r="E555" s="52" t="s">
        <v>300</v>
      </c>
      <c r="F555" s="595">
        <v>610.74699999999996</v>
      </c>
      <c r="G555" s="595">
        <v>918.49800000000005</v>
      </c>
    </row>
    <row r="556" spans="1:7" ht="10.050000000000001" customHeight="1">
      <c r="A556" s="597">
        <v>44124</v>
      </c>
      <c r="B556" s="54">
        <v>10</v>
      </c>
      <c r="C556" s="53">
        <v>2020</v>
      </c>
      <c r="D556" s="52" t="s">
        <v>125</v>
      </c>
      <c r="E556" s="52" t="s">
        <v>300</v>
      </c>
      <c r="F556" s="595">
        <v>766.74800000000005</v>
      </c>
      <c r="G556" s="595">
        <v>904.1</v>
      </c>
    </row>
    <row r="557" spans="1:7" ht="10.050000000000001" customHeight="1">
      <c r="A557" s="597">
        <v>44155</v>
      </c>
      <c r="B557" s="54">
        <v>11</v>
      </c>
      <c r="C557" s="53">
        <v>2020</v>
      </c>
      <c r="D557" s="52" t="s">
        <v>125</v>
      </c>
      <c r="E557" s="52" t="s">
        <v>300</v>
      </c>
      <c r="F557" s="595">
        <v>714.68600000000004</v>
      </c>
      <c r="G557" s="595">
        <v>844.07</v>
      </c>
    </row>
    <row r="558" spans="1:7" ht="10.050000000000001" customHeight="1">
      <c r="A558" s="597">
        <v>44185</v>
      </c>
      <c r="B558" s="54">
        <v>12</v>
      </c>
      <c r="C558" s="53">
        <v>2020</v>
      </c>
      <c r="D558" s="52" t="s">
        <v>125</v>
      </c>
      <c r="E558" s="52" t="s">
        <v>300</v>
      </c>
      <c r="F558" s="595">
        <v>802.94399999999996</v>
      </c>
      <c r="G558" s="595">
        <v>992.29499999999996</v>
      </c>
    </row>
    <row r="559" spans="1:7" ht="10.050000000000001" customHeight="1">
      <c r="A559" s="597">
        <v>44216</v>
      </c>
      <c r="B559" s="54">
        <v>1</v>
      </c>
      <c r="C559" s="53">
        <v>2021</v>
      </c>
      <c r="D559" s="52" t="s">
        <v>125</v>
      </c>
      <c r="E559" s="52" t="s">
        <v>300</v>
      </c>
      <c r="F559" s="595">
        <v>752.05700000000002</v>
      </c>
      <c r="G559" s="595">
        <v>897.39400000000001</v>
      </c>
    </row>
    <row r="560" spans="1:7" ht="10.050000000000001" customHeight="1">
      <c r="A560" s="597">
        <v>44247</v>
      </c>
      <c r="B560" s="54">
        <v>2</v>
      </c>
      <c r="C560" s="53">
        <v>2021</v>
      </c>
      <c r="D560" s="52" t="s">
        <v>125</v>
      </c>
      <c r="E560" s="52" t="s">
        <v>300</v>
      </c>
      <c r="F560" s="595">
        <v>519.75300000000004</v>
      </c>
      <c r="G560" s="595">
        <v>684.40599999999995</v>
      </c>
    </row>
    <row r="561" spans="1:7" ht="10.050000000000001" customHeight="1">
      <c r="A561" s="597">
        <v>44275</v>
      </c>
      <c r="B561" s="54">
        <v>3</v>
      </c>
      <c r="C561" s="53">
        <v>2021</v>
      </c>
      <c r="D561" s="52" t="s">
        <v>125</v>
      </c>
      <c r="E561" s="52" t="s">
        <v>300</v>
      </c>
      <c r="F561" s="595">
        <v>666.33699999999999</v>
      </c>
      <c r="G561" s="595">
        <v>800.63900000000001</v>
      </c>
    </row>
    <row r="562" spans="1:7" ht="10.050000000000001" customHeight="1">
      <c r="A562" s="597">
        <v>44306</v>
      </c>
      <c r="B562" s="54">
        <v>4</v>
      </c>
      <c r="C562" s="53">
        <v>2021</v>
      </c>
      <c r="D562" s="52" t="s">
        <v>125</v>
      </c>
      <c r="E562" s="52" t="s">
        <v>300</v>
      </c>
      <c r="F562" s="595">
        <v>616.06899999999996</v>
      </c>
      <c r="G562" s="595">
        <v>823.81299999999999</v>
      </c>
    </row>
    <row r="563" spans="1:7" ht="10.050000000000001" customHeight="1">
      <c r="A563" s="597">
        <v>44336</v>
      </c>
      <c r="B563" s="54">
        <v>5</v>
      </c>
      <c r="C563" s="53">
        <v>2021</v>
      </c>
      <c r="D563" s="52" t="s">
        <v>125</v>
      </c>
      <c r="E563" s="52" t="s">
        <v>300</v>
      </c>
      <c r="F563" s="595">
        <v>736.99199999999996</v>
      </c>
      <c r="G563" s="595">
        <v>906.37599999999998</v>
      </c>
    </row>
    <row r="564" spans="1:7" ht="10.050000000000001" customHeight="1">
      <c r="A564" s="597">
        <v>44367</v>
      </c>
      <c r="B564" s="54">
        <v>6</v>
      </c>
      <c r="C564" s="53">
        <v>2021</v>
      </c>
      <c r="D564" s="52" t="s">
        <v>125</v>
      </c>
      <c r="E564" s="52" t="s">
        <v>300</v>
      </c>
      <c r="F564" s="595">
        <v>645.42999999999995</v>
      </c>
      <c r="G564" s="595">
        <v>803.8</v>
      </c>
    </row>
    <row r="565" spans="1:7" ht="10.050000000000001" customHeight="1">
      <c r="A565" s="597">
        <v>44397</v>
      </c>
      <c r="B565" s="54">
        <v>7</v>
      </c>
      <c r="C565" s="53">
        <v>2021</v>
      </c>
      <c r="D565" s="52" t="s">
        <v>126</v>
      </c>
      <c r="E565" s="52" t="s">
        <v>300</v>
      </c>
      <c r="F565" s="595">
        <v>651.25300000000004</v>
      </c>
      <c r="G565" s="595">
        <v>806.55499999999995</v>
      </c>
    </row>
    <row r="566" spans="1:7" ht="10.050000000000001" customHeight="1">
      <c r="A566" s="597">
        <v>44428</v>
      </c>
      <c r="B566" s="54">
        <v>8</v>
      </c>
      <c r="C566" s="53">
        <v>2021</v>
      </c>
      <c r="D566" s="52" t="s">
        <v>126</v>
      </c>
      <c r="E566" s="52" t="s">
        <v>300</v>
      </c>
      <c r="F566" s="595">
        <v>500.42599999999999</v>
      </c>
      <c r="G566" s="595">
        <v>617.84699999999998</v>
      </c>
    </row>
    <row r="567" spans="1:7" ht="10.050000000000001" customHeight="1">
      <c r="A567" s="597">
        <v>44459</v>
      </c>
      <c r="B567" s="54">
        <v>9</v>
      </c>
      <c r="C567" s="53">
        <v>2021</v>
      </c>
      <c r="D567" s="52" t="s">
        <v>126</v>
      </c>
      <c r="E567" s="52" t="s">
        <v>300</v>
      </c>
      <c r="F567" s="595">
        <v>675.71199999999999</v>
      </c>
      <c r="G567" s="595">
        <v>846.57500000000005</v>
      </c>
    </row>
    <row r="568" spans="1:7" ht="10.050000000000001" customHeight="1">
      <c r="A568" s="597">
        <v>44489</v>
      </c>
      <c r="B568" s="54">
        <v>10</v>
      </c>
      <c r="C568" s="53">
        <v>2021</v>
      </c>
      <c r="D568" s="52" t="s">
        <v>126</v>
      </c>
      <c r="E568" s="52" t="s">
        <v>300</v>
      </c>
      <c r="F568" s="595">
        <v>781.82899999999995</v>
      </c>
      <c r="G568" s="595">
        <v>970.63099999999997</v>
      </c>
    </row>
    <row r="569" spans="1:7" ht="10.050000000000001" customHeight="1">
      <c r="A569" s="597">
        <v>44520</v>
      </c>
      <c r="B569" s="54">
        <v>11</v>
      </c>
      <c r="C569" s="53">
        <v>2021</v>
      </c>
      <c r="D569" s="52" t="s">
        <v>126</v>
      </c>
      <c r="E569" s="52" t="s">
        <v>300</v>
      </c>
      <c r="F569" s="595">
        <v>678.24400000000003</v>
      </c>
      <c r="G569" s="595">
        <v>833.62699999999995</v>
      </c>
    </row>
    <row r="570" spans="1:7" ht="10.050000000000001" customHeight="1">
      <c r="A570" s="597">
        <v>44550</v>
      </c>
      <c r="B570" s="54">
        <v>12</v>
      </c>
      <c r="C570" s="53">
        <v>2021</v>
      </c>
      <c r="D570" s="52" t="s">
        <v>126</v>
      </c>
      <c r="E570" s="52" t="s">
        <v>300</v>
      </c>
      <c r="F570" s="595">
        <v>771.82600000000002</v>
      </c>
      <c r="G570" s="595">
        <v>970.75900000000001</v>
      </c>
    </row>
    <row r="571" spans="1:7" ht="10.050000000000001" customHeight="1">
      <c r="A571" s="597">
        <v>44581</v>
      </c>
      <c r="B571" s="54">
        <v>1</v>
      </c>
      <c r="C571" s="53">
        <v>2022</v>
      </c>
      <c r="D571" s="52" t="s">
        <v>126</v>
      </c>
      <c r="E571" s="52" t="s">
        <v>300</v>
      </c>
      <c r="F571" s="595">
        <v>659.96500000000003</v>
      </c>
      <c r="G571" s="595">
        <v>787.75099999999998</v>
      </c>
    </row>
    <row r="572" spans="1:7" ht="10.050000000000001" customHeight="1">
      <c r="A572" s="597">
        <v>44612</v>
      </c>
      <c r="B572" s="54">
        <v>2</v>
      </c>
      <c r="C572" s="53">
        <v>2022</v>
      </c>
      <c r="D572" s="52" t="s">
        <v>126</v>
      </c>
      <c r="E572" s="52" t="s">
        <v>300</v>
      </c>
      <c r="F572" s="595">
        <v>771.51599999999996</v>
      </c>
      <c r="G572" s="595">
        <v>969.19</v>
      </c>
    </row>
    <row r="573" spans="1:7" ht="10.050000000000001" customHeight="1">
      <c r="A573" s="597">
        <v>44640</v>
      </c>
      <c r="B573" s="54">
        <v>3</v>
      </c>
      <c r="C573" s="53">
        <v>2022</v>
      </c>
      <c r="D573" s="52" t="s">
        <v>126</v>
      </c>
      <c r="E573" s="52" t="s">
        <v>300</v>
      </c>
      <c r="F573" s="595">
        <v>804.72199999999998</v>
      </c>
      <c r="G573" s="595">
        <v>967.69399999999996</v>
      </c>
    </row>
    <row r="574" spans="1:7" ht="10.050000000000001" customHeight="1">
      <c r="A574" s="597">
        <v>44671</v>
      </c>
      <c r="B574" s="54">
        <v>4</v>
      </c>
      <c r="C574" s="53">
        <v>2022</v>
      </c>
      <c r="D574" s="52" t="s">
        <v>126</v>
      </c>
      <c r="E574" s="52" t="s">
        <v>300</v>
      </c>
      <c r="F574" s="595">
        <v>593.85</v>
      </c>
      <c r="G574" s="595">
        <v>758.62300000000005</v>
      </c>
    </row>
    <row r="575" spans="1:7" ht="10.050000000000001" customHeight="1">
      <c r="A575" s="597">
        <v>44701</v>
      </c>
      <c r="B575" s="54">
        <v>5</v>
      </c>
      <c r="C575" s="53">
        <v>2022</v>
      </c>
      <c r="D575" s="52" t="s">
        <v>126</v>
      </c>
      <c r="E575" s="52" t="s">
        <v>300</v>
      </c>
      <c r="F575" s="595">
        <v>839.38400000000001</v>
      </c>
      <c r="G575" s="595">
        <v>1035.4069999999999</v>
      </c>
    </row>
    <row r="576" spans="1:7" ht="10.050000000000001" customHeight="1">
      <c r="A576" s="597">
        <v>44732</v>
      </c>
      <c r="B576" s="54">
        <v>6</v>
      </c>
      <c r="C576" s="53">
        <v>2022</v>
      </c>
      <c r="D576" s="52" t="s">
        <v>126</v>
      </c>
      <c r="E576" s="52" t="s">
        <v>300</v>
      </c>
      <c r="F576" s="595">
        <v>709.22400000000005</v>
      </c>
      <c r="G576" s="595">
        <v>887.43399999999997</v>
      </c>
    </row>
    <row r="577" spans="1:7" ht="10.050000000000001" customHeight="1">
      <c r="A577" s="597">
        <v>44762</v>
      </c>
      <c r="B577" s="54">
        <v>7</v>
      </c>
      <c r="C577" s="53">
        <v>2022</v>
      </c>
      <c r="D577" s="52" t="s">
        <v>127</v>
      </c>
      <c r="E577" s="52" t="s">
        <v>300</v>
      </c>
      <c r="F577" s="595">
        <v>567.47500000000002</v>
      </c>
      <c r="G577" s="595">
        <v>729.67600000000004</v>
      </c>
    </row>
    <row r="578" spans="1:7" ht="10.050000000000001" customHeight="1">
      <c r="A578" s="597">
        <v>44793</v>
      </c>
      <c r="B578" s="54">
        <v>8</v>
      </c>
      <c r="C578" s="53">
        <v>2022</v>
      </c>
      <c r="D578" s="52" t="s">
        <v>127</v>
      </c>
      <c r="E578" s="52" t="s">
        <v>300</v>
      </c>
      <c r="F578" s="595">
        <v>469.48200000000003</v>
      </c>
      <c r="G578" s="595">
        <v>568.654</v>
      </c>
    </row>
    <row r="579" spans="1:7" ht="10.050000000000001" customHeight="1">
      <c r="A579" s="597">
        <v>44824</v>
      </c>
      <c r="B579" s="54">
        <v>9</v>
      </c>
      <c r="C579" s="53">
        <v>2022</v>
      </c>
      <c r="D579" s="52" t="s">
        <v>127</v>
      </c>
      <c r="E579" s="52" t="s">
        <v>300</v>
      </c>
      <c r="F579" s="595">
        <v>563.60599999999999</v>
      </c>
      <c r="G579" s="595">
        <v>728.476</v>
      </c>
    </row>
    <row r="580" spans="1:7" ht="10.050000000000001" customHeight="1">
      <c r="A580" s="597">
        <v>44854</v>
      </c>
      <c r="B580" s="54">
        <v>10</v>
      </c>
      <c r="C580" s="53">
        <v>2022</v>
      </c>
      <c r="D580" s="52" t="s">
        <v>127</v>
      </c>
      <c r="E580" s="52" t="s">
        <v>300</v>
      </c>
      <c r="F580" s="595">
        <v>546.08399999999995</v>
      </c>
      <c r="G580" s="595">
        <v>672.12199999999996</v>
      </c>
    </row>
    <row r="581" spans="1:7" ht="10.050000000000001" customHeight="1">
      <c r="A581" s="597">
        <v>44885</v>
      </c>
      <c r="B581" s="54">
        <v>11</v>
      </c>
      <c r="C581" s="53">
        <v>2022</v>
      </c>
      <c r="D581" s="52" t="s">
        <v>127</v>
      </c>
      <c r="E581" s="52" t="s">
        <v>300</v>
      </c>
      <c r="F581" s="595">
        <v>525.66200000000003</v>
      </c>
      <c r="G581" s="595">
        <v>643.30100000000004</v>
      </c>
    </row>
    <row r="582" spans="1:7" ht="10.050000000000001" customHeight="1">
      <c r="A582" s="597">
        <v>44915</v>
      </c>
      <c r="B582" s="54">
        <v>12</v>
      </c>
      <c r="C582" s="53">
        <v>2022</v>
      </c>
      <c r="D582" s="52" t="s">
        <v>127</v>
      </c>
      <c r="E582" s="52" t="s">
        <v>300</v>
      </c>
      <c r="F582" s="595">
        <v>679.32</v>
      </c>
      <c r="G582" s="595">
        <v>865.54499999999996</v>
      </c>
    </row>
    <row r="583" spans="1:7" ht="10.050000000000001" customHeight="1">
      <c r="A583" s="597">
        <v>44946</v>
      </c>
      <c r="B583" s="54">
        <v>1</v>
      </c>
      <c r="C583" s="53">
        <v>2023</v>
      </c>
      <c r="D583" s="52" t="s">
        <v>127</v>
      </c>
      <c r="E583" s="52" t="s">
        <v>300</v>
      </c>
      <c r="F583" s="595">
        <v>637.60500000000002</v>
      </c>
      <c r="G583" s="595">
        <v>830.38699999999994</v>
      </c>
    </row>
    <row r="584" spans="1:7" ht="10.050000000000001" customHeight="1">
      <c r="A584" s="597">
        <v>44977</v>
      </c>
      <c r="B584" s="54">
        <v>2</v>
      </c>
      <c r="C584" s="53">
        <v>2023</v>
      </c>
      <c r="D584" s="52" t="s">
        <v>127</v>
      </c>
      <c r="E584" s="52" t="s">
        <v>300</v>
      </c>
      <c r="F584" s="595">
        <v>461.61500000000001</v>
      </c>
      <c r="G584" s="595">
        <v>592.03599999999994</v>
      </c>
    </row>
    <row r="585" spans="1:7" ht="10.050000000000001" customHeight="1">
      <c r="A585" s="597">
        <v>45005</v>
      </c>
      <c r="B585" s="54">
        <v>3</v>
      </c>
      <c r="C585" s="53">
        <v>2023</v>
      </c>
      <c r="D585" s="52" t="s">
        <v>127</v>
      </c>
      <c r="E585" s="52" t="s">
        <v>300</v>
      </c>
      <c r="F585" s="595">
        <v>704.32399999999996</v>
      </c>
      <c r="G585" s="595">
        <v>872.48199999999997</v>
      </c>
    </row>
    <row r="586" spans="1:7" ht="10.050000000000001" customHeight="1">
      <c r="A586" s="597">
        <v>45036</v>
      </c>
      <c r="B586" s="54">
        <v>4</v>
      </c>
      <c r="C586" s="53">
        <v>2023</v>
      </c>
      <c r="D586" s="52" t="s">
        <v>127</v>
      </c>
      <c r="E586" s="52" t="s">
        <v>300</v>
      </c>
      <c r="F586" s="595">
        <v>564.83600000000001</v>
      </c>
      <c r="G586" s="595">
        <v>714.78800000000001</v>
      </c>
    </row>
    <row r="587" spans="1:7" ht="10.050000000000001" customHeight="1">
      <c r="A587" s="597">
        <v>45066</v>
      </c>
      <c r="B587" s="54">
        <v>5</v>
      </c>
      <c r="C587" s="53">
        <v>2023</v>
      </c>
      <c r="D587" s="52" t="s">
        <v>127</v>
      </c>
      <c r="E587" s="52" t="s">
        <v>300</v>
      </c>
      <c r="F587" s="595">
        <v>391.87599999999998</v>
      </c>
      <c r="G587" s="595">
        <v>570.19600000000003</v>
      </c>
    </row>
    <row r="588" spans="1:7" ht="10.050000000000001" customHeight="1">
      <c r="A588" s="597">
        <v>45097</v>
      </c>
      <c r="B588" s="54">
        <v>6</v>
      </c>
      <c r="C588" s="53">
        <v>2023</v>
      </c>
      <c r="D588" s="52" t="s">
        <v>127</v>
      </c>
      <c r="E588" s="52" t="s">
        <v>300</v>
      </c>
      <c r="F588" s="595">
        <v>784.89599999999996</v>
      </c>
      <c r="G588" s="595">
        <v>1035.085</v>
      </c>
    </row>
    <row r="589" spans="1:7" ht="10.050000000000001" customHeight="1">
      <c r="A589" s="597">
        <v>45127</v>
      </c>
      <c r="B589" s="54">
        <v>7</v>
      </c>
      <c r="C589" s="53">
        <v>2023</v>
      </c>
      <c r="D589" s="52" t="s">
        <v>128</v>
      </c>
      <c r="E589" s="52" t="s">
        <v>300</v>
      </c>
      <c r="F589" s="595">
        <v>537.82899999999995</v>
      </c>
      <c r="G589" s="595">
        <v>665.69799999999998</v>
      </c>
    </row>
    <row r="590" spans="1:7" ht="10.050000000000001" customHeight="1">
      <c r="A590" s="597">
        <v>45158</v>
      </c>
      <c r="B590" s="54">
        <v>8</v>
      </c>
      <c r="C590" s="53">
        <v>2023</v>
      </c>
      <c r="D590" s="52" t="s">
        <v>128</v>
      </c>
      <c r="E590" s="52" t="s">
        <v>300</v>
      </c>
      <c r="F590" s="595">
        <v>434.86200000000002</v>
      </c>
      <c r="G590" s="595">
        <v>610.08399999999995</v>
      </c>
    </row>
    <row r="591" spans="1:7" ht="10.050000000000001" customHeight="1">
      <c r="A591" s="597">
        <v>45189</v>
      </c>
      <c r="B591" s="54">
        <v>9</v>
      </c>
      <c r="C591" s="53">
        <v>2023</v>
      </c>
      <c r="D591" s="52" t="s">
        <v>128</v>
      </c>
      <c r="E591" s="52" t="s">
        <v>300</v>
      </c>
      <c r="F591" s="595">
        <v>565.88199999999995</v>
      </c>
      <c r="G591" s="595">
        <v>700.6</v>
      </c>
    </row>
    <row r="592" spans="1:7" ht="10.050000000000001" customHeight="1">
      <c r="A592" s="597">
        <v>45219</v>
      </c>
      <c r="B592" s="54">
        <v>10</v>
      </c>
      <c r="C592" s="53">
        <v>2023</v>
      </c>
      <c r="D592" s="52" t="s">
        <v>128</v>
      </c>
      <c r="E592" s="52" t="s">
        <v>300</v>
      </c>
      <c r="F592" s="595">
        <v>594.47400000000005</v>
      </c>
      <c r="G592" s="595">
        <v>773.16800000000001</v>
      </c>
    </row>
    <row r="593" spans="1:7" ht="10.050000000000001" customHeight="1">
      <c r="A593" s="597">
        <v>45250</v>
      </c>
      <c r="B593" s="54">
        <v>11</v>
      </c>
      <c r="C593" s="53">
        <v>2023</v>
      </c>
      <c r="D593" s="52" t="s">
        <v>128</v>
      </c>
      <c r="E593" s="52" t="s">
        <v>300</v>
      </c>
      <c r="F593" s="595">
        <v>398.971</v>
      </c>
      <c r="G593" s="595">
        <v>512.70000000000005</v>
      </c>
    </row>
    <row r="594" spans="1:7" ht="10.050000000000001" customHeight="1">
      <c r="A594" s="597">
        <v>45280</v>
      </c>
      <c r="B594" s="54">
        <v>12</v>
      </c>
      <c r="C594" s="53">
        <v>2023</v>
      </c>
      <c r="D594" s="52" t="s">
        <v>128</v>
      </c>
      <c r="E594" s="52" t="s">
        <v>300</v>
      </c>
      <c r="F594" s="595">
        <v>772.38400000000001</v>
      </c>
      <c r="G594" s="595">
        <v>1000.864</v>
      </c>
    </row>
    <row r="595" spans="1:7" ht="10.050000000000001" customHeight="1">
      <c r="A595" s="597">
        <v>45311</v>
      </c>
      <c r="B595" s="54">
        <v>1</v>
      </c>
      <c r="C595" s="53">
        <v>2024</v>
      </c>
      <c r="D595" s="52" t="s">
        <v>128</v>
      </c>
      <c r="E595" s="52" t="s">
        <v>300</v>
      </c>
      <c r="F595" s="595">
        <v>674.96299999999997</v>
      </c>
      <c r="G595" s="595">
        <v>867.98</v>
      </c>
    </row>
    <row r="596" spans="1:7" ht="10.050000000000001" customHeight="1">
      <c r="A596" s="597">
        <v>45342</v>
      </c>
      <c r="B596" s="54">
        <v>2</v>
      </c>
      <c r="C596" s="53">
        <v>2024</v>
      </c>
      <c r="D596" s="52" t="s">
        <v>128</v>
      </c>
      <c r="E596" s="52" t="s">
        <v>300</v>
      </c>
      <c r="F596" s="595">
        <v>693.80200000000002</v>
      </c>
      <c r="G596" s="595">
        <v>879.26199999999994</v>
      </c>
    </row>
    <row r="597" spans="1:7" ht="10.050000000000001" customHeight="1">
      <c r="A597" s="597">
        <v>45371</v>
      </c>
      <c r="B597" s="54">
        <v>3</v>
      </c>
      <c r="C597" s="53">
        <v>2024</v>
      </c>
      <c r="D597" s="52" t="s">
        <v>128</v>
      </c>
      <c r="E597" s="52" t="s">
        <v>300</v>
      </c>
      <c r="F597" s="595">
        <v>670.35900000000004</v>
      </c>
      <c r="G597" s="595">
        <v>849.85599999999999</v>
      </c>
    </row>
    <row r="598" spans="1:7" ht="10.050000000000001" customHeight="1">
      <c r="A598" s="597">
        <v>45402</v>
      </c>
      <c r="B598" s="54">
        <v>4</v>
      </c>
      <c r="C598" s="53">
        <v>2024</v>
      </c>
      <c r="D598" s="52" t="s">
        <v>128</v>
      </c>
      <c r="E598" s="52" t="s">
        <v>300</v>
      </c>
      <c r="F598" s="595">
        <v>642.12</v>
      </c>
      <c r="G598" s="595">
        <v>897.90899999999999</v>
      </c>
    </row>
    <row r="599" spans="1:7" ht="10.050000000000001" customHeight="1">
      <c r="A599" s="597">
        <v>45432</v>
      </c>
      <c r="B599" s="54">
        <v>5</v>
      </c>
      <c r="C599" s="53">
        <v>2024</v>
      </c>
      <c r="D599" s="52" t="s">
        <v>128</v>
      </c>
      <c r="E599" s="52" t="s">
        <v>300</v>
      </c>
      <c r="F599" s="595">
        <v>603.92600000000004</v>
      </c>
      <c r="G599" s="595">
        <v>771.70100000000002</v>
      </c>
    </row>
    <row r="600" spans="1:7" ht="10.050000000000001" customHeight="1">
      <c r="A600" s="597">
        <v>45463</v>
      </c>
      <c r="B600" s="54">
        <v>6</v>
      </c>
      <c r="C600" s="53">
        <v>2024</v>
      </c>
      <c r="D600" s="52" t="s">
        <v>128</v>
      </c>
      <c r="E600" s="52" t="s">
        <v>300</v>
      </c>
      <c r="F600" s="595">
        <v>659.57899999999995</v>
      </c>
      <c r="G600" s="595">
        <v>848.03700000000003</v>
      </c>
    </row>
    <row r="601" spans="1:7" ht="10.050000000000001" customHeight="1">
      <c r="A601" s="597">
        <v>45493</v>
      </c>
      <c r="B601" s="54">
        <v>7</v>
      </c>
      <c r="C601" s="53">
        <v>2024</v>
      </c>
      <c r="D601" s="52" t="s">
        <v>129</v>
      </c>
      <c r="E601" s="52" t="s">
        <v>300</v>
      </c>
      <c r="F601" s="595">
        <v>677.00199999999995</v>
      </c>
      <c r="G601" s="595">
        <v>1014.181</v>
      </c>
    </row>
    <row r="602" spans="1:7" ht="10.050000000000001" customHeight="1">
      <c r="A602" s="597">
        <v>45524</v>
      </c>
      <c r="B602" s="54">
        <v>8</v>
      </c>
      <c r="C602" s="53">
        <v>2024</v>
      </c>
      <c r="D602" s="52" t="s">
        <v>129</v>
      </c>
      <c r="E602" s="52" t="s">
        <v>300</v>
      </c>
      <c r="F602" s="595">
        <v>435.34800000000001</v>
      </c>
      <c r="G602" s="595">
        <v>587.43700000000001</v>
      </c>
    </row>
    <row r="603" spans="1:7" ht="10.050000000000001" customHeight="1">
      <c r="A603" s="597">
        <v>45555</v>
      </c>
      <c r="B603" s="54">
        <v>9</v>
      </c>
      <c r="C603" s="53">
        <v>2024</v>
      </c>
      <c r="D603" s="52" t="s">
        <v>129</v>
      </c>
      <c r="E603" s="52" t="s">
        <v>300</v>
      </c>
      <c r="F603" s="595">
        <v>684.68</v>
      </c>
      <c r="G603" s="595">
        <v>904.96299999999997</v>
      </c>
    </row>
    <row r="604" spans="1:7" ht="10.050000000000001" customHeight="1">
      <c r="A604" s="597">
        <v>45585</v>
      </c>
      <c r="B604" s="54">
        <v>10</v>
      </c>
      <c r="C604" s="53">
        <v>2024</v>
      </c>
      <c r="D604" s="52" t="s">
        <v>129</v>
      </c>
      <c r="E604" s="52" t="s">
        <v>300</v>
      </c>
      <c r="F604" s="595">
        <v>624.86</v>
      </c>
      <c r="G604" s="595">
        <v>882.01900000000001</v>
      </c>
    </row>
    <row r="605" spans="1:7" ht="10.050000000000001" customHeight="1">
      <c r="A605" s="597">
        <v>45616</v>
      </c>
      <c r="B605" s="54">
        <v>11</v>
      </c>
      <c r="C605" s="53">
        <v>2024</v>
      </c>
      <c r="D605" s="52" t="s">
        <v>129</v>
      </c>
      <c r="E605" s="52" t="s">
        <v>300</v>
      </c>
      <c r="F605" s="595">
        <v>691.40899999999999</v>
      </c>
      <c r="G605" s="595">
        <v>870.71799999999996</v>
      </c>
    </row>
    <row r="606" spans="1:7" ht="10.050000000000001" customHeight="1">
      <c r="A606" s="597">
        <v>45646</v>
      </c>
      <c r="B606" s="54">
        <v>12</v>
      </c>
      <c r="C606" s="53">
        <v>2024</v>
      </c>
      <c r="D606" s="52" t="s">
        <v>129</v>
      </c>
      <c r="E606" s="52" t="s">
        <v>300</v>
      </c>
      <c r="F606" s="595">
        <v>730.97900000000004</v>
      </c>
      <c r="G606" s="595">
        <v>986.08799999999997</v>
      </c>
    </row>
    <row r="607" spans="1:7" ht="10.050000000000001" customHeight="1">
      <c r="A607" s="597">
        <v>45677</v>
      </c>
      <c r="B607" s="54">
        <v>1</v>
      </c>
      <c r="C607" s="53">
        <v>2025</v>
      </c>
      <c r="D607" s="52" t="s">
        <v>129</v>
      </c>
      <c r="E607" s="52" t="s">
        <v>300</v>
      </c>
      <c r="F607" s="595">
        <v>669.42700000000002</v>
      </c>
      <c r="G607" s="595">
        <v>846.83900000000006</v>
      </c>
    </row>
    <row r="608" spans="1:7" ht="10.050000000000001" customHeight="1">
      <c r="A608" s="597">
        <v>36545</v>
      </c>
      <c r="B608" s="54">
        <v>1</v>
      </c>
      <c r="C608" s="53">
        <v>2000</v>
      </c>
      <c r="D608" s="52" t="s">
        <v>1008</v>
      </c>
      <c r="E608" s="52" t="s">
        <v>1548</v>
      </c>
      <c r="F608" s="595">
        <v>314.8</v>
      </c>
      <c r="G608" s="595">
        <v>475.3</v>
      </c>
    </row>
    <row r="609" spans="1:7" ht="10.050000000000001" customHeight="1">
      <c r="A609" s="597">
        <v>36576</v>
      </c>
      <c r="B609" s="54">
        <v>2</v>
      </c>
      <c r="C609" s="53">
        <v>2000</v>
      </c>
      <c r="D609" s="52" t="s">
        <v>1008</v>
      </c>
      <c r="E609" s="52" t="s">
        <v>1548</v>
      </c>
      <c r="F609" s="595">
        <v>346.2</v>
      </c>
      <c r="G609" s="595">
        <v>450.1</v>
      </c>
    </row>
    <row r="610" spans="1:7" ht="10.050000000000001" customHeight="1">
      <c r="A610" s="597">
        <v>36605</v>
      </c>
      <c r="B610" s="54">
        <v>3</v>
      </c>
      <c r="C610" s="53">
        <v>2000</v>
      </c>
      <c r="D610" s="52" t="s">
        <v>1008</v>
      </c>
      <c r="E610" s="52" t="s">
        <v>1548</v>
      </c>
      <c r="F610" s="595">
        <v>297.39999999999998</v>
      </c>
      <c r="G610" s="595">
        <v>414.5</v>
      </c>
    </row>
    <row r="611" spans="1:7" ht="10.050000000000001" customHeight="1">
      <c r="A611" s="597">
        <v>36636</v>
      </c>
      <c r="B611" s="54">
        <v>4</v>
      </c>
      <c r="C611" s="53">
        <v>2000</v>
      </c>
      <c r="D611" s="52" t="s">
        <v>1008</v>
      </c>
      <c r="E611" s="52" t="s">
        <v>1548</v>
      </c>
      <c r="F611" s="595">
        <v>205.7</v>
      </c>
      <c r="G611" s="595">
        <v>287.39999999999998</v>
      </c>
    </row>
    <row r="612" spans="1:7" ht="10.050000000000001" customHeight="1">
      <c r="A612" s="597">
        <v>36666</v>
      </c>
      <c r="B612" s="54">
        <v>5</v>
      </c>
      <c r="C612" s="53">
        <v>2000</v>
      </c>
      <c r="D612" s="52" t="s">
        <v>1008</v>
      </c>
      <c r="E612" s="52" t="s">
        <v>1548</v>
      </c>
      <c r="F612" s="595">
        <v>423.3</v>
      </c>
      <c r="G612" s="595">
        <v>574.9</v>
      </c>
    </row>
    <row r="613" spans="1:7" ht="10.050000000000001" customHeight="1">
      <c r="A613" s="597">
        <v>36697</v>
      </c>
      <c r="B613" s="54">
        <v>6</v>
      </c>
      <c r="C613" s="53">
        <v>2000</v>
      </c>
      <c r="D613" s="52" t="s">
        <v>1008</v>
      </c>
      <c r="E613" s="52" t="s">
        <v>1548</v>
      </c>
      <c r="F613" s="595">
        <v>189.9</v>
      </c>
      <c r="G613" s="595">
        <v>308.10000000000002</v>
      </c>
    </row>
    <row r="614" spans="1:7" ht="10.050000000000001" customHeight="1">
      <c r="A614" s="597">
        <v>36727</v>
      </c>
      <c r="B614" s="54">
        <v>7</v>
      </c>
      <c r="C614" s="53">
        <v>2000</v>
      </c>
      <c r="D614" s="52" t="s">
        <v>105</v>
      </c>
      <c r="E614" s="52" t="s">
        <v>1548</v>
      </c>
      <c r="F614" s="595">
        <v>249.7</v>
      </c>
      <c r="G614" s="595">
        <v>352.5</v>
      </c>
    </row>
    <row r="615" spans="1:7" ht="10.050000000000001" customHeight="1">
      <c r="A615" s="597">
        <v>36758</v>
      </c>
      <c r="B615" s="54">
        <v>8</v>
      </c>
      <c r="C615" s="53">
        <v>2000</v>
      </c>
      <c r="D615" s="52" t="s">
        <v>105</v>
      </c>
      <c r="E615" s="52" t="s">
        <v>1548</v>
      </c>
      <c r="F615" s="595">
        <v>283.3</v>
      </c>
      <c r="G615" s="595">
        <v>466.8</v>
      </c>
    </row>
    <row r="616" spans="1:7" ht="10.050000000000001" customHeight="1">
      <c r="A616" s="597">
        <v>36789</v>
      </c>
      <c r="B616" s="54">
        <v>9</v>
      </c>
      <c r="C616" s="53">
        <v>2000</v>
      </c>
      <c r="D616" s="52" t="s">
        <v>105</v>
      </c>
      <c r="E616" s="52" t="s">
        <v>1548</v>
      </c>
      <c r="F616" s="595">
        <v>244.8</v>
      </c>
      <c r="G616" s="595">
        <v>331.4</v>
      </c>
    </row>
    <row r="617" spans="1:7" ht="10.050000000000001" customHeight="1">
      <c r="A617" s="597">
        <v>36819</v>
      </c>
      <c r="B617" s="54">
        <v>10</v>
      </c>
      <c r="C617" s="53">
        <v>2000</v>
      </c>
      <c r="D617" s="52" t="s">
        <v>105</v>
      </c>
      <c r="E617" s="52" t="s">
        <v>1548</v>
      </c>
      <c r="F617" s="595">
        <v>331</v>
      </c>
      <c r="G617" s="595">
        <v>643.20000000000005</v>
      </c>
    </row>
    <row r="618" spans="1:7" ht="10.050000000000001" customHeight="1">
      <c r="A618" s="597">
        <v>36850</v>
      </c>
      <c r="B618" s="54">
        <v>11</v>
      </c>
      <c r="C618" s="53">
        <v>2000</v>
      </c>
      <c r="D618" s="52" t="s">
        <v>105</v>
      </c>
      <c r="E618" s="52" t="s">
        <v>1548</v>
      </c>
      <c r="F618" s="595">
        <v>265.60000000000002</v>
      </c>
      <c r="G618" s="595">
        <v>407.1</v>
      </c>
    </row>
    <row r="619" spans="1:7" ht="10.050000000000001" customHeight="1">
      <c r="A619" s="597">
        <v>36880</v>
      </c>
      <c r="B619" s="54">
        <v>12</v>
      </c>
      <c r="C619" s="53">
        <v>2000</v>
      </c>
      <c r="D619" s="52" t="s">
        <v>105</v>
      </c>
      <c r="E619" s="52" t="s">
        <v>1548</v>
      </c>
      <c r="F619" s="595">
        <v>218.4</v>
      </c>
      <c r="G619" s="595">
        <v>311.8</v>
      </c>
    </row>
    <row r="620" spans="1:7" ht="10.050000000000001" customHeight="1">
      <c r="A620" s="597">
        <v>36911</v>
      </c>
      <c r="B620" s="54">
        <v>1</v>
      </c>
      <c r="C620" s="53">
        <v>2001</v>
      </c>
      <c r="D620" s="52" t="s">
        <v>105</v>
      </c>
      <c r="E620" s="52" t="s">
        <v>1548</v>
      </c>
      <c r="F620" s="595">
        <v>390.6</v>
      </c>
      <c r="G620" s="595">
        <v>537.70000000000005</v>
      </c>
    </row>
    <row r="621" spans="1:7" ht="10.050000000000001" customHeight="1">
      <c r="A621" s="597">
        <v>36942</v>
      </c>
      <c r="B621" s="54">
        <v>2</v>
      </c>
      <c r="C621" s="53">
        <v>2001</v>
      </c>
      <c r="D621" s="52" t="s">
        <v>105</v>
      </c>
      <c r="E621" s="52" t="s">
        <v>1548</v>
      </c>
      <c r="F621" s="595">
        <v>224.1</v>
      </c>
      <c r="G621" s="595">
        <v>324.89999999999998</v>
      </c>
    </row>
    <row r="622" spans="1:7" ht="10.050000000000001" customHeight="1">
      <c r="A622" s="597">
        <v>36970</v>
      </c>
      <c r="B622" s="54">
        <v>3</v>
      </c>
      <c r="C622" s="53">
        <v>2001</v>
      </c>
      <c r="D622" s="52" t="s">
        <v>105</v>
      </c>
      <c r="E622" s="52" t="s">
        <v>1548</v>
      </c>
      <c r="F622" s="595">
        <v>350.7</v>
      </c>
      <c r="G622" s="595">
        <v>516.29999999999995</v>
      </c>
    </row>
    <row r="623" spans="1:7" ht="10.050000000000001" customHeight="1">
      <c r="A623" s="597">
        <v>37001</v>
      </c>
      <c r="B623" s="54">
        <v>4</v>
      </c>
      <c r="C623" s="53">
        <v>2001</v>
      </c>
      <c r="D623" s="52" t="s">
        <v>105</v>
      </c>
      <c r="E623" s="52" t="s">
        <v>1548</v>
      </c>
      <c r="F623" s="595">
        <v>322.7</v>
      </c>
      <c r="G623" s="595">
        <v>499.4</v>
      </c>
    </row>
    <row r="624" spans="1:7" ht="10.050000000000001" customHeight="1">
      <c r="A624" s="597">
        <v>37031</v>
      </c>
      <c r="B624" s="54">
        <v>5</v>
      </c>
      <c r="C624" s="53">
        <v>2001</v>
      </c>
      <c r="D624" s="52" t="s">
        <v>105</v>
      </c>
      <c r="E624" s="52" t="s">
        <v>1548</v>
      </c>
      <c r="F624" s="595">
        <v>301.60000000000002</v>
      </c>
      <c r="G624" s="595">
        <v>405.1</v>
      </c>
    </row>
    <row r="625" spans="1:7" ht="10.050000000000001" customHeight="1">
      <c r="A625" s="597">
        <v>37062</v>
      </c>
      <c r="B625" s="54">
        <v>6</v>
      </c>
      <c r="C625" s="53">
        <v>2001</v>
      </c>
      <c r="D625" s="52" t="s">
        <v>105</v>
      </c>
      <c r="E625" s="52" t="s">
        <v>1548</v>
      </c>
      <c r="F625" s="595">
        <v>325.7</v>
      </c>
      <c r="G625" s="595">
        <v>536.70000000000005</v>
      </c>
    </row>
    <row r="626" spans="1:7" ht="10.050000000000001" customHeight="1">
      <c r="A626" s="597">
        <v>37092</v>
      </c>
      <c r="B626" s="54">
        <v>7</v>
      </c>
      <c r="C626" s="53">
        <v>2001</v>
      </c>
      <c r="D626" s="52" t="s">
        <v>108</v>
      </c>
      <c r="E626" s="52" t="s">
        <v>1548</v>
      </c>
      <c r="F626" s="595">
        <v>172.1</v>
      </c>
      <c r="G626" s="595">
        <v>242.6</v>
      </c>
    </row>
    <row r="627" spans="1:7" ht="10.050000000000001" customHeight="1">
      <c r="A627" s="597">
        <v>37123</v>
      </c>
      <c r="B627" s="54">
        <v>8</v>
      </c>
      <c r="C627" s="53">
        <v>2001</v>
      </c>
      <c r="D627" s="52" t="s">
        <v>108</v>
      </c>
      <c r="E627" s="52" t="s">
        <v>1548</v>
      </c>
      <c r="F627" s="595">
        <v>383.6</v>
      </c>
      <c r="G627" s="595">
        <v>564.70000000000005</v>
      </c>
    </row>
    <row r="628" spans="1:7" ht="10.050000000000001" customHeight="1">
      <c r="A628" s="597">
        <v>37154</v>
      </c>
      <c r="B628" s="54">
        <v>9</v>
      </c>
      <c r="C628" s="53">
        <v>2001</v>
      </c>
      <c r="D628" s="52" t="s">
        <v>108</v>
      </c>
      <c r="E628" s="52" t="s">
        <v>1548</v>
      </c>
      <c r="F628" s="595">
        <v>234.3</v>
      </c>
      <c r="G628" s="595">
        <v>282.39999999999998</v>
      </c>
    </row>
    <row r="629" spans="1:7" ht="10.050000000000001" customHeight="1">
      <c r="A629" s="597">
        <v>37184</v>
      </c>
      <c r="B629" s="54">
        <v>10</v>
      </c>
      <c r="C629" s="53">
        <v>2001</v>
      </c>
      <c r="D629" s="52" t="s">
        <v>108</v>
      </c>
      <c r="E629" s="52" t="s">
        <v>1548</v>
      </c>
      <c r="F629" s="595">
        <v>348.1</v>
      </c>
      <c r="G629" s="595">
        <v>489.9</v>
      </c>
    </row>
    <row r="630" spans="1:7" ht="10.050000000000001" customHeight="1">
      <c r="A630" s="597">
        <v>37215</v>
      </c>
      <c r="B630" s="54">
        <v>11</v>
      </c>
      <c r="C630" s="53">
        <v>2001</v>
      </c>
      <c r="D630" s="52" t="s">
        <v>108</v>
      </c>
      <c r="E630" s="52" t="s">
        <v>1548</v>
      </c>
      <c r="F630" s="595">
        <v>326.7</v>
      </c>
      <c r="G630" s="595">
        <v>476.3</v>
      </c>
    </row>
    <row r="631" spans="1:7" ht="10.050000000000001" customHeight="1">
      <c r="A631" s="597">
        <v>37245</v>
      </c>
      <c r="B631" s="54">
        <v>12</v>
      </c>
      <c r="C631" s="53">
        <v>2001</v>
      </c>
      <c r="D631" s="52" t="s">
        <v>108</v>
      </c>
      <c r="E631" s="52" t="s">
        <v>1548</v>
      </c>
      <c r="F631" s="595">
        <v>209</v>
      </c>
      <c r="G631" s="595">
        <v>313.39999999999998</v>
      </c>
    </row>
    <row r="632" spans="1:7" ht="10.050000000000001" customHeight="1">
      <c r="A632" s="597">
        <v>37276</v>
      </c>
      <c r="B632" s="54">
        <v>1</v>
      </c>
      <c r="C632" s="53">
        <v>2002</v>
      </c>
      <c r="D632" s="52" t="s">
        <v>108</v>
      </c>
      <c r="E632" s="52" t="s">
        <v>1548</v>
      </c>
      <c r="F632" s="595">
        <v>249.5</v>
      </c>
      <c r="G632" s="595">
        <v>368.4</v>
      </c>
    </row>
    <row r="633" spans="1:7" ht="10.050000000000001" customHeight="1">
      <c r="A633" s="597">
        <v>37307</v>
      </c>
      <c r="B633" s="54">
        <v>2</v>
      </c>
      <c r="C633" s="53">
        <v>2002</v>
      </c>
      <c r="D633" s="52" t="s">
        <v>108</v>
      </c>
      <c r="E633" s="52" t="s">
        <v>1548</v>
      </c>
      <c r="F633" s="595">
        <v>313.39999999999998</v>
      </c>
      <c r="G633" s="595">
        <v>457.9</v>
      </c>
    </row>
    <row r="634" spans="1:7" ht="10.050000000000001" customHeight="1">
      <c r="A634" s="597">
        <v>37335</v>
      </c>
      <c r="B634" s="54">
        <v>3</v>
      </c>
      <c r="C634" s="53">
        <v>2002</v>
      </c>
      <c r="D634" s="52" t="s">
        <v>108</v>
      </c>
      <c r="E634" s="52" t="s">
        <v>1548</v>
      </c>
      <c r="F634" s="595">
        <v>211.4</v>
      </c>
      <c r="G634" s="595">
        <v>299.7</v>
      </c>
    </row>
    <row r="635" spans="1:7" ht="10.050000000000001" customHeight="1">
      <c r="A635" s="597">
        <v>37366</v>
      </c>
      <c r="B635" s="54">
        <v>4</v>
      </c>
      <c r="C635" s="53">
        <v>2002</v>
      </c>
      <c r="D635" s="52" t="s">
        <v>108</v>
      </c>
      <c r="E635" s="52" t="s">
        <v>1548</v>
      </c>
      <c r="F635" s="595">
        <v>354.6</v>
      </c>
      <c r="G635" s="595">
        <v>468.9</v>
      </c>
    </row>
    <row r="636" spans="1:7" ht="10.050000000000001" customHeight="1">
      <c r="A636" s="597">
        <v>37396</v>
      </c>
      <c r="B636" s="54">
        <v>5</v>
      </c>
      <c r="C636" s="53">
        <v>2002</v>
      </c>
      <c r="D636" s="52" t="s">
        <v>108</v>
      </c>
      <c r="E636" s="52" t="s">
        <v>1548</v>
      </c>
      <c r="F636" s="595">
        <v>242.6</v>
      </c>
      <c r="G636" s="595">
        <v>341.3</v>
      </c>
    </row>
    <row r="637" spans="1:7" ht="10.050000000000001" customHeight="1">
      <c r="A637" s="597">
        <v>37427</v>
      </c>
      <c r="B637" s="54">
        <v>6</v>
      </c>
      <c r="C637" s="53">
        <v>2002</v>
      </c>
      <c r="D637" s="52" t="s">
        <v>108</v>
      </c>
      <c r="E637" s="52" t="s">
        <v>1548</v>
      </c>
      <c r="F637" s="595">
        <v>319.2</v>
      </c>
      <c r="G637" s="595">
        <v>434.6</v>
      </c>
    </row>
    <row r="638" spans="1:7" ht="10.050000000000001" customHeight="1">
      <c r="A638" s="597">
        <v>37457</v>
      </c>
      <c r="B638" s="54">
        <v>7</v>
      </c>
      <c r="C638" s="53">
        <v>2002</v>
      </c>
      <c r="D638" s="52" t="s">
        <v>109</v>
      </c>
      <c r="E638" s="52" t="s">
        <v>1548</v>
      </c>
      <c r="F638" s="595">
        <v>578.79999999999995</v>
      </c>
      <c r="G638" s="595">
        <v>797.5</v>
      </c>
    </row>
    <row r="639" spans="1:7" ht="10.050000000000001" customHeight="1">
      <c r="A639" s="597">
        <v>37488</v>
      </c>
      <c r="B639" s="54">
        <v>8</v>
      </c>
      <c r="C639" s="53">
        <v>2002</v>
      </c>
      <c r="D639" s="52" t="s">
        <v>109</v>
      </c>
      <c r="E639" s="52" t="s">
        <v>1548</v>
      </c>
      <c r="F639" s="595">
        <v>324.3</v>
      </c>
      <c r="G639" s="595">
        <v>460.4</v>
      </c>
    </row>
    <row r="640" spans="1:7" ht="10.050000000000001" customHeight="1">
      <c r="A640" s="597">
        <v>37519</v>
      </c>
      <c r="B640" s="54">
        <v>9</v>
      </c>
      <c r="C640" s="53">
        <v>2002</v>
      </c>
      <c r="D640" s="52" t="s">
        <v>109</v>
      </c>
      <c r="E640" s="52" t="s">
        <v>1548</v>
      </c>
      <c r="F640" s="595">
        <v>192</v>
      </c>
      <c r="G640" s="595">
        <v>267.89999999999998</v>
      </c>
    </row>
    <row r="641" spans="1:7" ht="10.050000000000001" customHeight="1">
      <c r="A641" s="597">
        <v>37549</v>
      </c>
      <c r="B641" s="54">
        <v>10</v>
      </c>
      <c r="C641" s="53">
        <v>2002</v>
      </c>
      <c r="D641" s="52" t="s">
        <v>109</v>
      </c>
      <c r="E641" s="52" t="s">
        <v>1548</v>
      </c>
      <c r="F641" s="595">
        <v>198.3</v>
      </c>
      <c r="G641" s="595">
        <v>276.8</v>
      </c>
    </row>
    <row r="642" spans="1:7" ht="10.050000000000001" customHeight="1">
      <c r="A642" s="597">
        <v>37580</v>
      </c>
      <c r="B642" s="54">
        <v>11</v>
      </c>
      <c r="C642" s="53">
        <v>2002</v>
      </c>
      <c r="D642" s="52" t="s">
        <v>109</v>
      </c>
      <c r="E642" s="52" t="s">
        <v>1548</v>
      </c>
      <c r="F642" s="595">
        <v>312</v>
      </c>
      <c r="G642" s="595">
        <v>457.4</v>
      </c>
    </row>
    <row r="643" spans="1:7" ht="10.050000000000001" customHeight="1">
      <c r="A643" s="597">
        <v>37610</v>
      </c>
      <c r="B643" s="54">
        <v>12</v>
      </c>
      <c r="C643" s="53">
        <v>2002</v>
      </c>
      <c r="D643" s="52" t="s">
        <v>109</v>
      </c>
      <c r="E643" s="52" t="s">
        <v>1548</v>
      </c>
      <c r="F643" s="595">
        <v>119.4</v>
      </c>
      <c r="G643" s="595">
        <v>180.7</v>
      </c>
    </row>
    <row r="644" spans="1:7" ht="10.050000000000001" customHeight="1">
      <c r="A644" s="597">
        <v>37641</v>
      </c>
      <c r="B644" s="54">
        <v>1</v>
      </c>
      <c r="C644" s="53">
        <v>2003</v>
      </c>
      <c r="D644" s="52" t="s">
        <v>109</v>
      </c>
      <c r="E644" s="52" t="s">
        <v>1548</v>
      </c>
      <c r="F644" s="595">
        <v>247</v>
      </c>
      <c r="G644" s="595">
        <v>343.3</v>
      </c>
    </row>
    <row r="645" spans="1:7" ht="10.050000000000001" customHeight="1">
      <c r="A645" s="597">
        <v>37672</v>
      </c>
      <c r="B645" s="54">
        <v>2</v>
      </c>
      <c r="C645" s="53">
        <v>2003</v>
      </c>
      <c r="D645" s="52" t="s">
        <v>109</v>
      </c>
      <c r="E645" s="52" t="s">
        <v>1548</v>
      </c>
      <c r="F645" s="595">
        <v>366.6</v>
      </c>
      <c r="G645" s="595">
        <v>486</v>
      </c>
    </row>
    <row r="646" spans="1:7" ht="10.050000000000001" customHeight="1">
      <c r="A646" s="597">
        <v>37700</v>
      </c>
      <c r="B646" s="54">
        <v>3</v>
      </c>
      <c r="C646" s="53">
        <v>2003</v>
      </c>
      <c r="D646" s="52" t="s">
        <v>109</v>
      </c>
      <c r="E646" s="52" t="s">
        <v>1548</v>
      </c>
      <c r="F646" s="595">
        <v>217.5</v>
      </c>
      <c r="G646" s="595">
        <v>301.2</v>
      </c>
    </row>
    <row r="647" spans="1:7" ht="10.050000000000001" customHeight="1">
      <c r="A647" s="597">
        <v>37731</v>
      </c>
      <c r="B647" s="54">
        <v>4</v>
      </c>
      <c r="C647" s="53">
        <v>2003</v>
      </c>
      <c r="D647" s="52" t="s">
        <v>109</v>
      </c>
      <c r="E647" s="52" t="s">
        <v>1548</v>
      </c>
      <c r="F647" s="595">
        <v>337.6</v>
      </c>
      <c r="G647" s="595">
        <v>447.6</v>
      </c>
    </row>
    <row r="648" spans="1:7" ht="10.050000000000001" customHeight="1">
      <c r="A648" s="597">
        <v>37761</v>
      </c>
      <c r="B648" s="54">
        <v>5</v>
      </c>
      <c r="C648" s="53">
        <v>2003</v>
      </c>
      <c r="D648" s="52" t="s">
        <v>109</v>
      </c>
      <c r="E648" s="52" t="s">
        <v>1548</v>
      </c>
      <c r="F648" s="595">
        <v>186.8</v>
      </c>
      <c r="G648" s="595">
        <v>300.5</v>
      </c>
    </row>
    <row r="649" spans="1:7" ht="10.050000000000001" customHeight="1">
      <c r="A649" s="597">
        <v>37792</v>
      </c>
      <c r="B649" s="54">
        <v>6</v>
      </c>
      <c r="C649" s="53">
        <v>2003</v>
      </c>
      <c r="D649" s="52" t="s">
        <v>109</v>
      </c>
      <c r="E649" s="52" t="s">
        <v>1548</v>
      </c>
      <c r="F649" s="595">
        <v>458.1</v>
      </c>
      <c r="G649" s="595">
        <v>853.3</v>
      </c>
    </row>
    <row r="650" spans="1:7" ht="10.050000000000001" customHeight="1">
      <c r="A650" s="597">
        <v>37822</v>
      </c>
      <c r="B650" s="54">
        <v>7</v>
      </c>
      <c r="C650" s="53">
        <v>2003</v>
      </c>
      <c r="D650" s="52" t="s">
        <v>106</v>
      </c>
      <c r="E650" s="52" t="s">
        <v>1548</v>
      </c>
      <c r="F650" s="595">
        <v>233.9</v>
      </c>
      <c r="G650" s="595">
        <v>350.9</v>
      </c>
    </row>
    <row r="651" spans="1:7" ht="10.050000000000001" customHeight="1">
      <c r="A651" s="597">
        <v>37853</v>
      </c>
      <c r="B651" s="54">
        <v>8</v>
      </c>
      <c r="C651" s="53">
        <v>2003</v>
      </c>
      <c r="D651" s="52" t="s">
        <v>106</v>
      </c>
      <c r="E651" s="52" t="s">
        <v>1548</v>
      </c>
      <c r="F651" s="595">
        <v>119.8</v>
      </c>
      <c r="G651" s="595">
        <v>256.89999999999998</v>
      </c>
    </row>
    <row r="652" spans="1:7" ht="10.050000000000001" customHeight="1">
      <c r="A652" s="597">
        <v>37884</v>
      </c>
      <c r="B652" s="54">
        <v>9</v>
      </c>
      <c r="C652" s="53">
        <v>2003</v>
      </c>
      <c r="D652" s="52" t="s">
        <v>106</v>
      </c>
      <c r="E652" s="52" t="s">
        <v>1548</v>
      </c>
      <c r="F652" s="595">
        <v>334.6</v>
      </c>
      <c r="G652" s="595">
        <v>445.3</v>
      </c>
    </row>
    <row r="653" spans="1:7" ht="10.050000000000001" customHeight="1">
      <c r="A653" s="597">
        <v>37914</v>
      </c>
      <c r="B653" s="54">
        <v>10</v>
      </c>
      <c r="C653" s="53">
        <v>2003</v>
      </c>
      <c r="D653" s="52" t="s">
        <v>106</v>
      </c>
      <c r="E653" s="52" t="s">
        <v>1548</v>
      </c>
      <c r="F653" s="595">
        <v>151.30000000000001</v>
      </c>
      <c r="G653" s="595">
        <v>210.6</v>
      </c>
    </row>
    <row r="654" spans="1:7" ht="10.050000000000001" customHeight="1">
      <c r="A654" s="597">
        <v>37945</v>
      </c>
      <c r="B654" s="54">
        <v>11</v>
      </c>
      <c r="C654" s="53">
        <v>2003</v>
      </c>
      <c r="D654" s="52" t="s">
        <v>106</v>
      </c>
      <c r="E654" s="52" t="s">
        <v>1548</v>
      </c>
      <c r="F654" s="595">
        <v>418.2</v>
      </c>
      <c r="G654" s="595">
        <v>561</v>
      </c>
    </row>
    <row r="655" spans="1:7" ht="10.050000000000001" customHeight="1">
      <c r="A655" s="597">
        <v>37975</v>
      </c>
      <c r="B655" s="54">
        <v>12</v>
      </c>
      <c r="C655" s="53">
        <v>2003</v>
      </c>
      <c r="D655" s="52" t="s">
        <v>106</v>
      </c>
      <c r="E655" s="52" t="s">
        <v>1548</v>
      </c>
      <c r="F655" s="595">
        <v>429.7</v>
      </c>
      <c r="G655" s="595">
        <v>595.9</v>
      </c>
    </row>
    <row r="656" spans="1:7" ht="10.050000000000001" customHeight="1">
      <c r="A656" s="597">
        <v>38006</v>
      </c>
      <c r="B656" s="54">
        <v>1</v>
      </c>
      <c r="C656" s="53">
        <v>2004</v>
      </c>
      <c r="D656" s="52" t="s">
        <v>106</v>
      </c>
      <c r="E656" s="52" t="s">
        <v>1548</v>
      </c>
      <c r="F656" s="595">
        <v>248.1</v>
      </c>
      <c r="G656" s="595">
        <v>336.5</v>
      </c>
    </row>
    <row r="657" spans="1:7" ht="10.050000000000001" customHeight="1">
      <c r="A657" s="597">
        <v>38037</v>
      </c>
      <c r="B657" s="54">
        <v>2</v>
      </c>
      <c r="C657" s="53">
        <v>2004</v>
      </c>
      <c r="D657" s="52" t="s">
        <v>106</v>
      </c>
      <c r="E657" s="52" t="s">
        <v>1548</v>
      </c>
      <c r="F657" s="595">
        <v>227</v>
      </c>
      <c r="G657" s="595">
        <v>287.8</v>
      </c>
    </row>
    <row r="658" spans="1:7" ht="10.050000000000001" customHeight="1">
      <c r="A658" s="597">
        <v>38066</v>
      </c>
      <c r="B658" s="54">
        <v>3</v>
      </c>
      <c r="C658" s="53">
        <v>2004</v>
      </c>
      <c r="D658" s="52" t="s">
        <v>106</v>
      </c>
      <c r="E658" s="52" t="s">
        <v>1548</v>
      </c>
      <c r="F658" s="595">
        <v>204.3</v>
      </c>
      <c r="G658" s="595">
        <v>280.2</v>
      </c>
    </row>
    <row r="659" spans="1:7" ht="10.050000000000001" customHeight="1">
      <c r="A659" s="597">
        <v>38097</v>
      </c>
      <c r="B659" s="54">
        <v>4</v>
      </c>
      <c r="C659" s="53">
        <v>2004</v>
      </c>
      <c r="D659" s="52" t="s">
        <v>106</v>
      </c>
      <c r="E659" s="52" t="s">
        <v>1548</v>
      </c>
      <c r="F659" s="595">
        <v>354.6</v>
      </c>
      <c r="G659" s="595">
        <v>438.8</v>
      </c>
    </row>
    <row r="660" spans="1:7" ht="10.050000000000001" customHeight="1">
      <c r="A660" s="597">
        <v>38127</v>
      </c>
      <c r="B660" s="54">
        <v>5</v>
      </c>
      <c r="C660" s="53">
        <v>2004</v>
      </c>
      <c r="D660" s="52" t="s">
        <v>106</v>
      </c>
      <c r="E660" s="52" t="s">
        <v>1548</v>
      </c>
      <c r="F660" s="595">
        <v>257</v>
      </c>
      <c r="G660" s="595">
        <v>340.6</v>
      </c>
    </row>
    <row r="661" spans="1:7" ht="10.050000000000001" customHeight="1">
      <c r="A661" s="597">
        <v>38158</v>
      </c>
      <c r="B661" s="54">
        <v>6</v>
      </c>
      <c r="C661" s="53">
        <v>2004</v>
      </c>
      <c r="D661" s="52" t="s">
        <v>106</v>
      </c>
      <c r="E661" s="52" t="s">
        <v>1548</v>
      </c>
      <c r="F661" s="595">
        <v>181.7</v>
      </c>
      <c r="G661" s="595">
        <v>508.6</v>
      </c>
    </row>
    <row r="662" spans="1:7" ht="10.050000000000001" customHeight="1">
      <c r="A662" s="597">
        <v>38188</v>
      </c>
      <c r="B662" s="54">
        <v>7</v>
      </c>
      <c r="C662" s="53">
        <v>2004</v>
      </c>
      <c r="D662" s="52" t="s">
        <v>110</v>
      </c>
      <c r="E662" s="52" t="s">
        <v>1548</v>
      </c>
      <c r="F662" s="595">
        <v>180.8</v>
      </c>
      <c r="G662" s="595">
        <v>288.8</v>
      </c>
    </row>
    <row r="663" spans="1:7" ht="10.050000000000001" customHeight="1">
      <c r="A663" s="597">
        <v>38219</v>
      </c>
      <c r="B663" s="54">
        <v>8</v>
      </c>
      <c r="C663" s="53">
        <v>2004</v>
      </c>
      <c r="D663" s="52" t="s">
        <v>110</v>
      </c>
      <c r="E663" s="52" t="s">
        <v>1548</v>
      </c>
      <c r="F663" s="595">
        <v>482.5</v>
      </c>
      <c r="G663" s="595">
        <v>660</v>
      </c>
    </row>
    <row r="664" spans="1:7" ht="10.050000000000001" customHeight="1">
      <c r="A664" s="597">
        <v>38250</v>
      </c>
      <c r="B664" s="54">
        <v>9</v>
      </c>
      <c r="C664" s="53">
        <v>2004</v>
      </c>
      <c r="D664" s="52" t="s">
        <v>110</v>
      </c>
      <c r="E664" s="52" t="s">
        <v>1548</v>
      </c>
      <c r="F664" s="595">
        <v>142.4</v>
      </c>
      <c r="G664" s="595">
        <v>189.5</v>
      </c>
    </row>
    <row r="665" spans="1:7" ht="10.050000000000001" customHeight="1">
      <c r="A665" s="597">
        <v>38280</v>
      </c>
      <c r="B665" s="54">
        <v>10</v>
      </c>
      <c r="C665" s="53">
        <v>2004</v>
      </c>
      <c r="D665" s="52" t="s">
        <v>110</v>
      </c>
      <c r="E665" s="52" t="s">
        <v>1548</v>
      </c>
      <c r="F665" s="595">
        <v>324.10000000000002</v>
      </c>
      <c r="G665" s="595">
        <v>423.8</v>
      </c>
    </row>
    <row r="666" spans="1:7" ht="10.050000000000001" customHeight="1">
      <c r="A666" s="597">
        <v>38311</v>
      </c>
      <c r="B666" s="54">
        <v>11</v>
      </c>
      <c r="C666" s="53">
        <v>2004</v>
      </c>
      <c r="D666" s="52" t="s">
        <v>110</v>
      </c>
      <c r="E666" s="52" t="s">
        <v>1548</v>
      </c>
      <c r="F666" s="595">
        <v>201.3</v>
      </c>
      <c r="G666" s="595">
        <v>280.3</v>
      </c>
    </row>
    <row r="667" spans="1:7" ht="10.050000000000001" customHeight="1">
      <c r="A667" s="597">
        <v>38341</v>
      </c>
      <c r="B667" s="54">
        <v>12</v>
      </c>
      <c r="C667" s="53">
        <v>2004</v>
      </c>
      <c r="D667" s="52" t="s">
        <v>110</v>
      </c>
      <c r="E667" s="52" t="s">
        <v>1548</v>
      </c>
      <c r="F667" s="595">
        <v>843.4</v>
      </c>
      <c r="G667" s="595">
        <v>1147</v>
      </c>
    </row>
    <row r="668" spans="1:7" ht="10.050000000000001" customHeight="1">
      <c r="A668" s="597">
        <v>38372</v>
      </c>
      <c r="B668" s="54">
        <v>1</v>
      </c>
      <c r="C668" s="53">
        <v>2005</v>
      </c>
      <c r="D668" s="52" t="s">
        <v>110</v>
      </c>
      <c r="E668" s="52" t="s">
        <v>1548</v>
      </c>
      <c r="F668" s="595">
        <v>437.7</v>
      </c>
      <c r="G668" s="595">
        <v>624.5</v>
      </c>
    </row>
    <row r="669" spans="1:7" ht="10.050000000000001" customHeight="1">
      <c r="A669" s="597">
        <v>38403</v>
      </c>
      <c r="B669" s="54">
        <v>2</v>
      </c>
      <c r="C669" s="53">
        <v>2005</v>
      </c>
      <c r="D669" s="52" t="s">
        <v>110</v>
      </c>
      <c r="E669" s="52" t="s">
        <v>1548</v>
      </c>
      <c r="F669" s="595">
        <v>186.1</v>
      </c>
      <c r="G669" s="595">
        <v>210.5</v>
      </c>
    </row>
    <row r="670" spans="1:7" ht="10.050000000000001" customHeight="1">
      <c r="A670" s="597">
        <v>38431</v>
      </c>
      <c r="B670" s="54">
        <v>3</v>
      </c>
      <c r="C670" s="53">
        <v>2005</v>
      </c>
      <c r="D670" s="52" t="s">
        <v>110</v>
      </c>
      <c r="E670" s="52" t="s">
        <v>1548</v>
      </c>
      <c r="F670" s="595">
        <v>372</v>
      </c>
      <c r="G670" s="595">
        <v>504.9</v>
      </c>
    </row>
    <row r="671" spans="1:7" ht="10.050000000000001" customHeight="1">
      <c r="A671" s="597">
        <v>38462</v>
      </c>
      <c r="B671" s="54">
        <v>4</v>
      </c>
      <c r="C671" s="53">
        <v>2005</v>
      </c>
      <c r="D671" s="52" t="s">
        <v>110</v>
      </c>
      <c r="E671" s="52" t="s">
        <v>1548</v>
      </c>
      <c r="F671" s="595">
        <v>267.39999999999998</v>
      </c>
      <c r="G671" s="595">
        <v>356.4</v>
      </c>
    </row>
    <row r="672" spans="1:7" ht="10.050000000000001" customHeight="1">
      <c r="A672" s="597">
        <v>38492</v>
      </c>
      <c r="B672" s="54">
        <v>5</v>
      </c>
      <c r="C672" s="53">
        <v>2005</v>
      </c>
      <c r="D672" s="52" t="s">
        <v>110</v>
      </c>
      <c r="E672" s="52" t="s">
        <v>1548</v>
      </c>
      <c r="F672" s="595">
        <v>387.6</v>
      </c>
      <c r="G672" s="595">
        <v>507.2</v>
      </c>
    </row>
    <row r="673" spans="1:7" ht="10.050000000000001" customHeight="1">
      <c r="A673" s="597">
        <v>38523</v>
      </c>
      <c r="B673" s="54">
        <v>6</v>
      </c>
      <c r="C673" s="53">
        <v>2005</v>
      </c>
      <c r="D673" s="52" t="s">
        <v>110</v>
      </c>
      <c r="E673" s="52" t="s">
        <v>1548</v>
      </c>
      <c r="F673" s="595">
        <v>264.8</v>
      </c>
      <c r="G673" s="595">
        <v>340.5</v>
      </c>
    </row>
    <row r="674" spans="1:7" ht="10.050000000000001" customHeight="1">
      <c r="A674" s="597">
        <v>38553</v>
      </c>
      <c r="B674" s="54">
        <v>7</v>
      </c>
      <c r="C674" s="53">
        <v>2005</v>
      </c>
      <c r="D674" s="52" t="s">
        <v>111</v>
      </c>
      <c r="E674" s="52" t="s">
        <v>1548</v>
      </c>
      <c r="F674" s="595">
        <v>381.4</v>
      </c>
      <c r="G674" s="595">
        <v>521.9</v>
      </c>
    </row>
    <row r="675" spans="1:7" ht="10.050000000000001" customHeight="1">
      <c r="A675" s="597">
        <v>38584</v>
      </c>
      <c r="B675" s="54">
        <v>8</v>
      </c>
      <c r="C675" s="53">
        <v>2005</v>
      </c>
      <c r="D675" s="52" t="s">
        <v>111</v>
      </c>
      <c r="E675" s="52" t="s">
        <v>1548</v>
      </c>
      <c r="F675" s="595">
        <v>234</v>
      </c>
      <c r="G675" s="595">
        <v>377.3</v>
      </c>
    </row>
    <row r="676" spans="1:7" ht="10.050000000000001" customHeight="1">
      <c r="A676" s="597">
        <v>38615</v>
      </c>
      <c r="B676" s="54">
        <v>9</v>
      </c>
      <c r="C676" s="53">
        <v>2005</v>
      </c>
      <c r="D676" s="52" t="s">
        <v>111</v>
      </c>
      <c r="E676" s="52" t="s">
        <v>1548</v>
      </c>
      <c r="F676" s="595">
        <v>453.5</v>
      </c>
      <c r="G676" s="595">
        <v>604.20000000000005</v>
      </c>
    </row>
    <row r="677" spans="1:7" ht="10.050000000000001" customHeight="1">
      <c r="A677" s="597">
        <v>38645</v>
      </c>
      <c r="B677" s="54">
        <v>10</v>
      </c>
      <c r="C677" s="53">
        <v>2005</v>
      </c>
      <c r="D677" s="52" t="s">
        <v>111</v>
      </c>
      <c r="E677" s="52" t="s">
        <v>1548</v>
      </c>
      <c r="F677" s="595">
        <v>213.3</v>
      </c>
      <c r="G677" s="595">
        <v>395.1</v>
      </c>
    </row>
    <row r="678" spans="1:7" ht="10.050000000000001" customHeight="1">
      <c r="A678" s="597">
        <v>38676</v>
      </c>
      <c r="B678" s="54">
        <v>11</v>
      </c>
      <c r="C678" s="53">
        <v>2005</v>
      </c>
      <c r="D678" s="52" t="s">
        <v>111</v>
      </c>
      <c r="E678" s="52" t="s">
        <v>1548</v>
      </c>
      <c r="F678" s="595">
        <v>274.5</v>
      </c>
      <c r="G678" s="595">
        <v>385.5</v>
      </c>
    </row>
    <row r="679" spans="1:7" ht="10.050000000000001" customHeight="1">
      <c r="A679" s="597">
        <v>38706</v>
      </c>
      <c r="B679" s="54">
        <v>12</v>
      </c>
      <c r="C679" s="53">
        <v>2005</v>
      </c>
      <c r="D679" s="52" t="s">
        <v>111</v>
      </c>
      <c r="E679" s="52" t="s">
        <v>1548</v>
      </c>
      <c r="F679" s="595">
        <v>233.4</v>
      </c>
      <c r="G679" s="595">
        <v>310.2</v>
      </c>
    </row>
    <row r="680" spans="1:7" ht="10.050000000000001" customHeight="1">
      <c r="A680" s="597">
        <v>38737</v>
      </c>
      <c r="B680" s="54">
        <v>1</v>
      </c>
      <c r="C680" s="53">
        <v>2006</v>
      </c>
      <c r="D680" s="52" t="s">
        <v>111</v>
      </c>
      <c r="E680" s="52" t="s">
        <v>1548</v>
      </c>
      <c r="F680" s="595">
        <v>335.5</v>
      </c>
      <c r="G680" s="595">
        <v>468.2</v>
      </c>
    </row>
    <row r="681" spans="1:7" ht="10.050000000000001" customHeight="1">
      <c r="A681" s="597">
        <v>38768</v>
      </c>
      <c r="B681" s="54">
        <v>2</v>
      </c>
      <c r="C681" s="53">
        <v>2006</v>
      </c>
      <c r="D681" s="52" t="s">
        <v>111</v>
      </c>
      <c r="E681" s="52" t="s">
        <v>1548</v>
      </c>
      <c r="F681" s="595">
        <v>286.7</v>
      </c>
      <c r="G681" s="595">
        <v>356.9</v>
      </c>
    </row>
    <row r="682" spans="1:7" ht="10.050000000000001" customHeight="1">
      <c r="A682" s="597">
        <v>38796</v>
      </c>
      <c r="B682" s="54">
        <v>3</v>
      </c>
      <c r="C682" s="53">
        <v>2006</v>
      </c>
      <c r="D682" s="52" t="s">
        <v>111</v>
      </c>
      <c r="E682" s="52" t="s">
        <v>1548</v>
      </c>
      <c r="F682" s="595">
        <v>356.3</v>
      </c>
      <c r="G682" s="595">
        <v>558.9</v>
      </c>
    </row>
    <row r="683" spans="1:7" ht="10.050000000000001" customHeight="1">
      <c r="A683" s="597">
        <v>38827</v>
      </c>
      <c r="B683" s="54">
        <v>4</v>
      </c>
      <c r="C683" s="53">
        <v>2006</v>
      </c>
      <c r="D683" s="52" t="s">
        <v>111</v>
      </c>
      <c r="E683" s="52" t="s">
        <v>1548</v>
      </c>
      <c r="F683" s="595">
        <v>268.60000000000002</v>
      </c>
      <c r="G683" s="595">
        <v>434</v>
      </c>
    </row>
    <row r="684" spans="1:7" ht="10.050000000000001" customHeight="1">
      <c r="A684" s="597">
        <v>38857</v>
      </c>
      <c r="B684" s="54">
        <v>5</v>
      </c>
      <c r="C684" s="53">
        <v>2006</v>
      </c>
      <c r="D684" s="52" t="s">
        <v>111</v>
      </c>
      <c r="E684" s="52" t="s">
        <v>1548</v>
      </c>
      <c r="F684" s="595">
        <v>436.1</v>
      </c>
      <c r="G684" s="595">
        <v>592.79999999999995</v>
      </c>
    </row>
    <row r="685" spans="1:7" ht="10.050000000000001" customHeight="1">
      <c r="A685" s="597">
        <v>38888</v>
      </c>
      <c r="B685" s="54">
        <v>6</v>
      </c>
      <c r="C685" s="53">
        <v>2006</v>
      </c>
      <c r="D685" s="52" t="s">
        <v>111</v>
      </c>
      <c r="E685" s="52" t="s">
        <v>1548</v>
      </c>
      <c r="F685" s="595">
        <v>418.3</v>
      </c>
      <c r="G685" s="595">
        <v>567.70000000000005</v>
      </c>
    </row>
    <row r="686" spans="1:7" ht="10.050000000000001" customHeight="1">
      <c r="A686" s="597">
        <v>38918</v>
      </c>
      <c r="B686" s="54">
        <v>7</v>
      </c>
      <c r="C686" s="53">
        <v>2006</v>
      </c>
      <c r="D686" s="52" t="s">
        <v>112</v>
      </c>
      <c r="E686" s="52" t="s">
        <v>1548</v>
      </c>
      <c r="F686" s="595">
        <v>325.89999999999998</v>
      </c>
      <c r="G686" s="595">
        <v>424.4</v>
      </c>
    </row>
    <row r="687" spans="1:7" ht="10.050000000000001" customHeight="1">
      <c r="A687" s="597">
        <v>38949</v>
      </c>
      <c r="B687" s="54">
        <v>8</v>
      </c>
      <c r="C687" s="53">
        <v>2006</v>
      </c>
      <c r="D687" s="52" t="s">
        <v>112</v>
      </c>
      <c r="E687" s="52" t="s">
        <v>1548</v>
      </c>
      <c r="F687" s="595">
        <v>323</v>
      </c>
      <c r="G687" s="595">
        <v>582.6</v>
      </c>
    </row>
    <row r="688" spans="1:7" ht="10.050000000000001" customHeight="1">
      <c r="A688" s="597">
        <v>38980</v>
      </c>
      <c r="B688" s="54">
        <v>9</v>
      </c>
      <c r="C688" s="53">
        <v>2006</v>
      </c>
      <c r="D688" s="52" t="s">
        <v>112</v>
      </c>
      <c r="E688" s="52" t="s">
        <v>1548</v>
      </c>
      <c r="F688" s="595">
        <v>402</v>
      </c>
      <c r="G688" s="595">
        <v>549.70000000000005</v>
      </c>
    </row>
    <row r="689" spans="1:7" ht="10.050000000000001" customHeight="1">
      <c r="A689" s="597">
        <v>39010</v>
      </c>
      <c r="B689" s="54">
        <v>10</v>
      </c>
      <c r="C689" s="53">
        <v>2006</v>
      </c>
      <c r="D689" s="52" t="s">
        <v>112</v>
      </c>
      <c r="E689" s="52" t="s">
        <v>1548</v>
      </c>
      <c r="F689" s="595">
        <v>334.5</v>
      </c>
      <c r="G689" s="595">
        <v>479.7</v>
      </c>
    </row>
    <row r="690" spans="1:7" ht="10.050000000000001" customHeight="1">
      <c r="A690" s="597">
        <v>39041</v>
      </c>
      <c r="B690" s="54">
        <v>11</v>
      </c>
      <c r="C690" s="53">
        <v>2006</v>
      </c>
      <c r="D690" s="52" t="s">
        <v>112</v>
      </c>
      <c r="E690" s="52" t="s">
        <v>1548</v>
      </c>
      <c r="F690" s="595">
        <v>260.39999999999998</v>
      </c>
      <c r="G690" s="595">
        <v>355.2</v>
      </c>
    </row>
    <row r="691" spans="1:7" ht="10.050000000000001" customHeight="1">
      <c r="A691" s="597">
        <v>39071</v>
      </c>
      <c r="B691" s="54">
        <v>12</v>
      </c>
      <c r="C691" s="53">
        <v>2006</v>
      </c>
      <c r="D691" s="52" t="s">
        <v>112</v>
      </c>
      <c r="E691" s="52" t="s">
        <v>1548</v>
      </c>
      <c r="F691" s="595">
        <v>431.7</v>
      </c>
      <c r="G691" s="595">
        <v>741.6</v>
      </c>
    </row>
    <row r="692" spans="1:7" ht="10.050000000000001" customHeight="1">
      <c r="A692" s="597">
        <v>39102</v>
      </c>
      <c r="B692" s="54">
        <v>1</v>
      </c>
      <c r="C692" s="53">
        <v>2007</v>
      </c>
      <c r="D692" s="52" t="s">
        <v>112</v>
      </c>
      <c r="E692" s="52" t="s">
        <v>1548</v>
      </c>
      <c r="F692" s="595">
        <v>269.2</v>
      </c>
      <c r="G692" s="595">
        <v>360.6</v>
      </c>
    </row>
    <row r="693" spans="1:7" ht="10.050000000000001" customHeight="1">
      <c r="A693" s="597">
        <v>39133</v>
      </c>
      <c r="B693" s="54">
        <v>2</v>
      </c>
      <c r="C693" s="53">
        <v>2007</v>
      </c>
      <c r="D693" s="52" t="s">
        <v>112</v>
      </c>
      <c r="E693" s="52" t="s">
        <v>1548</v>
      </c>
      <c r="F693" s="595">
        <v>336.6</v>
      </c>
      <c r="G693" s="595">
        <v>436.7</v>
      </c>
    </row>
    <row r="694" spans="1:7" ht="10.050000000000001" customHeight="1">
      <c r="A694" s="597">
        <v>39161</v>
      </c>
      <c r="B694" s="54">
        <v>3</v>
      </c>
      <c r="C694" s="53">
        <v>2007</v>
      </c>
      <c r="D694" s="52" t="s">
        <v>112</v>
      </c>
      <c r="E694" s="52" t="s">
        <v>1548</v>
      </c>
      <c r="F694" s="595">
        <v>387.6</v>
      </c>
      <c r="G694" s="595">
        <v>505.1</v>
      </c>
    </row>
    <row r="695" spans="1:7" ht="10.050000000000001" customHeight="1">
      <c r="A695" s="597">
        <v>39192</v>
      </c>
      <c r="B695" s="54">
        <v>4</v>
      </c>
      <c r="C695" s="53">
        <v>2007</v>
      </c>
      <c r="D695" s="52" t="s">
        <v>112</v>
      </c>
      <c r="E695" s="52" t="s">
        <v>1548</v>
      </c>
      <c r="F695" s="595">
        <v>340.1</v>
      </c>
      <c r="G695" s="595">
        <v>471.1</v>
      </c>
    </row>
    <row r="696" spans="1:7" ht="10.050000000000001" customHeight="1">
      <c r="A696" s="597">
        <v>39222</v>
      </c>
      <c r="B696" s="54">
        <v>5</v>
      </c>
      <c r="C696" s="53">
        <v>2007</v>
      </c>
      <c r="D696" s="52" t="s">
        <v>112</v>
      </c>
      <c r="E696" s="52" t="s">
        <v>1548</v>
      </c>
      <c r="F696" s="595">
        <v>340.1</v>
      </c>
      <c r="G696" s="595">
        <v>440.7</v>
      </c>
    </row>
    <row r="697" spans="1:7" ht="10.050000000000001" customHeight="1">
      <c r="A697" s="597">
        <v>39253</v>
      </c>
      <c r="B697" s="54">
        <v>6</v>
      </c>
      <c r="C697" s="53">
        <v>2007</v>
      </c>
      <c r="D697" s="52" t="s">
        <v>112</v>
      </c>
      <c r="E697" s="52" t="s">
        <v>1548</v>
      </c>
      <c r="F697" s="595">
        <v>492.4</v>
      </c>
      <c r="G697" s="595">
        <v>650.5</v>
      </c>
    </row>
    <row r="698" spans="1:7" ht="10.050000000000001" customHeight="1">
      <c r="A698" s="597">
        <v>39283</v>
      </c>
      <c r="B698" s="54">
        <v>7</v>
      </c>
      <c r="C698" s="53">
        <v>2007</v>
      </c>
      <c r="D698" s="52" t="s">
        <v>113</v>
      </c>
      <c r="E698" s="52" t="s">
        <v>1548</v>
      </c>
      <c r="F698" s="595">
        <v>353.1</v>
      </c>
      <c r="G698" s="595">
        <v>433.2</v>
      </c>
    </row>
    <row r="699" spans="1:7" ht="10.050000000000001" customHeight="1">
      <c r="A699" s="597">
        <v>39314</v>
      </c>
      <c r="B699" s="54">
        <v>8</v>
      </c>
      <c r="C699" s="53">
        <v>2007</v>
      </c>
      <c r="D699" s="52" t="s">
        <v>113</v>
      </c>
      <c r="E699" s="52" t="s">
        <v>1548</v>
      </c>
      <c r="F699" s="595">
        <v>314</v>
      </c>
      <c r="G699" s="595">
        <v>379.4</v>
      </c>
    </row>
    <row r="700" spans="1:7" ht="10.050000000000001" customHeight="1">
      <c r="A700" s="597">
        <v>39345</v>
      </c>
      <c r="B700" s="54">
        <v>9</v>
      </c>
      <c r="C700" s="53">
        <v>2007</v>
      </c>
      <c r="D700" s="52" t="s">
        <v>113</v>
      </c>
      <c r="E700" s="52" t="s">
        <v>1548</v>
      </c>
      <c r="F700" s="595">
        <v>357.6</v>
      </c>
      <c r="G700" s="595">
        <v>451.7</v>
      </c>
    </row>
    <row r="701" spans="1:7" ht="10.050000000000001" customHeight="1">
      <c r="A701" s="597">
        <v>39375</v>
      </c>
      <c r="B701" s="54">
        <v>10</v>
      </c>
      <c r="C701" s="53">
        <v>2007</v>
      </c>
      <c r="D701" s="52" t="s">
        <v>113</v>
      </c>
      <c r="E701" s="52" t="s">
        <v>1548</v>
      </c>
      <c r="F701" s="595">
        <v>401.3</v>
      </c>
      <c r="G701" s="595">
        <v>516.29999999999995</v>
      </c>
    </row>
    <row r="702" spans="1:7" ht="10.050000000000001" customHeight="1">
      <c r="A702" s="597">
        <v>39406</v>
      </c>
      <c r="B702" s="54">
        <v>11</v>
      </c>
      <c r="C702" s="53">
        <v>2007</v>
      </c>
      <c r="D702" s="52" t="s">
        <v>113</v>
      </c>
      <c r="E702" s="52" t="s">
        <v>1548</v>
      </c>
      <c r="F702" s="595">
        <v>414.9</v>
      </c>
      <c r="G702" s="595">
        <v>521.29999999999995</v>
      </c>
    </row>
    <row r="703" spans="1:7" ht="10.050000000000001" customHeight="1">
      <c r="A703" s="597">
        <v>39436</v>
      </c>
      <c r="B703" s="54">
        <v>12</v>
      </c>
      <c r="C703" s="53">
        <v>2007</v>
      </c>
      <c r="D703" s="52" t="s">
        <v>113</v>
      </c>
      <c r="E703" s="52" t="s">
        <v>1548</v>
      </c>
      <c r="F703" s="595">
        <v>229.2</v>
      </c>
      <c r="G703" s="595">
        <v>304.3</v>
      </c>
    </row>
    <row r="704" spans="1:7" ht="10.050000000000001" customHeight="1">
      <c r="A704" s="597">
        <v>39467</v>
      </c>
      <c r="B704" s="54">
        <v>1</v>
      </c>
      <c r="C704" s="53">
        <v>2008</v>
      </c>
      <c r="D704" s="52" t="s">
        <v>113</v>
      </c>
      <c r="E704" s="52" t="s">
        <v>1548</v>
      </c>
      <c r="F704" s="595">
        <v>493.1</v>
      </c>
      <c r="G704" s="595">
        <v>638.1</v>
      </c>
    </row>
    <row r="705" spans="1:7" ht="10.050000000000001" customHeight="1">
      <c r="A705" s="597">
        <v>39498</v>
      </c>
      <c r="B705" s="54">
        <v>2</v>
      </c>
      <c r="C705" s="53">
        <v>2008</v>
      </c>
      <c r="D705" s="52" t="s">
        <v>113</v>
      </c>
      <c r="E705" s="52" t="s">
        <v>1548</v>
      </c>
      <c r="F705" s="595">
        <v>237</v>
      </c>
      <c r="G705" s="595">
        <v>297</v>
      </c>
    </row>
    <row r="706" spans="1:7" ht="10.050000000000001" customHeight="1">
      <c r="A706" s="597">
        <v>39527</v>
      </c>
      <c r="B706" s="54">
        <v>3</v>
      </c>
      <c r="C706" s="53">
        <v>2008</v>
      </c>
      <c r="D706" s="52" t="s">
        <v>113</v>
      </c>
      <c r="E706" s="52" t="s">
        <v>1548</v>
      </c>
      <c r="F706" s="595">
        <v>248.6</v>
      </c>
      <c r="G706" s="595">
        <v>322.3</v>
      </c>
    </row>
    <row r="707" spans="1:7" ht="10.050000000000001" customHeight="1">
      <c r="A707" s="597">
        <v>39558</v>
      </c>
      <c r="B707" s="54">
        <v>4</v>
      </c>
      <c r="C707" s="53">
        <v>2008</v>
      </c>
      <c r="D707" s="52" t="s">
        <v>113</v>
      </c>
      <c r="E707" s="52" t="s">
        <v>1548</v>
      </c>
      <c r="F707" s="595">
        <v>379.9</v>
      </c>
      <c r="G707" s="595">
        <v>525.9</v>
      </c>
    </row>
    <row r="708" spans="1:7" ht="10.050000000000001" customHeight="1">
      <c r="A708" s="597">
        <v>39588</v>
      </c>
      <c r="B708" s="54">
        <v>5</v>
      </c>
      <c r="C708" s="53">
        <v>2008</v>
      </c>
      <c r="D708" s="52" t="s">
        <v>113</v>
      </c>
      <c r="E708" s="52" t="s">
        <v>1548</v>
      </c>
      <c r="F708" s="595">
        <v>400.6</v>
      </c>
      <c r="G708" s="595">
        <v>544.20000000000005</v>
      </c>
    </row>
    <row r="709" spans="1:7" ht="10.050000000000001" customHeight="1">
      <c r="A709" s="597">
        <v>39619</v>
      </c>
      <c r="B709" s="54">
        <v>6</v>
      </c>
      <c r="C709" s="53">
        <v>2008</v>
      </c>
      <c r="D709" s="52" t="s">
        <v>113</v>
      </c>
      <c r="E709" s="52" t="s">
        <v>1548</v>
      </c>
      <c r="F709" s="595">
        <v>405.2</v>
      </c>
      <c r="G709" s="595">
        <v>576.79999999999995</v>
      </c>
    </row>
    <row r="710" spans="1:7" ht="10.050000000000001" customHeight="1">
      <c r="A710" s="597">
        <v>39649</v>
      </c>
      <c r="B710" s="54">
        <v>7</v>
      </c>
      <c r="C710" s="53">
        <v>2008</v>
      </c>
      <c r="D710" s="52" t="s">
        <v>107</v>
      </c>
      <c r="E710" s="52" t="s">
        <v>1548</v>
      </c>
      <c r="F710" s="595">
        <v>303.89999999999998</v>
      </c>
      <c r="G710" s="595">
        <v>548.9</v>
      </c>
    </row>
    <row r="711" spans="1:7" ht="10.050000000000001" customHeight="1">
      <c r="A711" s="597">
        <v>39680</v>
      </c>
      <c r="B711" s="54">
        <v>8</v>
      </c>
      <c r="C711" s="53">
        <v>2008</v>
      </c>
      <c r="D711" s="52" t="s">
        <v>107</v>
      </c>
      <c r="E711" s="52" t="s">
        <v>1548</v>
      </c>
      <c r="F711" s="595">
        <v>398.4</v>
      </c>
      <c r="G711" s="595">
        <v>559.20000000000005</v>
      </c>
    </row>
    <row r="712" spans="1:7" ht="10.050000000000001" customHeight="1">
      <c r="A712" s="597">
        <v>39711</v>
      </c>
      <c r="B712" s="54">
        <v>9</v>
      </c>
      <c r="C712" s="53">
        <v>2008</v>
      </c>
      <c r="D712" s="52" t="s">
        <v>107</v>
      </c>
      <c r="E712" s="52" t="s">
        <v>1548</v>
      </c>
      <c r="F712" s="595">
        <v>299.60000000000002</v>
      </c>
      <c r="G712" s="595">
        <v>427.5</v>
      </c>
    </row>
    <row r="713" spans="1:7" ht="10.050000000000001" customHeight="1">
      <c r="A713" s="597">
        <v>39741</v>
      </c>
      <c r="B713" s="54">
        <v>10</v>
      </c>
      <c r="C713" s="53">
        <v>2008</v>
      </c>
      <c r="D713" s="52" t="s">
        <v>107</v>
      </c>
      <c r="E713" s="52" t="s">
        <v>1548</v>
      </c>
      <c r="F713" s="595">
        <v>457.7</v>
      </c>
      <c r="G713" s="595">
        <v>622.1</v>
      </c>
    </row>
    <row r="714" spans="1:7" ht="10.050000000000001" customHeight="1">
      <c r="A714" s="597">
        <v>39772</v>
      </c>
      <c r="B714" s="54">
        <v>11</v>
      </c>
      <c r="C714" s="53">
        <v>2008</v>
      </c>
      <c r="D714" s="52" t="s">
        <v>107</v>
      </c>
      <c r="E714" s="52" t="s">
        <v>1548</v>
      </c>
      <c r="F714" s="595">
        <v>326.10000000000002</v>
      </c>
      <c r="G714" s="595">
        <v>440.3</v>
      </c>
    </row>
    <row r="715" spans="1:7" ht="10.050000000000001" customHeight="1">
      <c r="A715" s="597">
        <v>39802</v>
      </c>
      <c r="B715" s="54">
        <v>12</v>
      </c>
      <c r="C715" s="53">
        <v>2008</v>
      </c>
      <c r="D715" s="52" t="s">
        <v>107</v>
      </c>
      <c r="E715" s="52" t="s">
        <v>1548</v>
      </c>
      <c r="F715" s="595">
        <v>286.5</v>
      </c>
      <c r="G715" s="595">
        <v>387.1</v>
      </c>
    </row>
    <row r="716" spans="1:7" ht="10.050000000000001" customHeight="1">
      <c r="A716" s="597">
        <v>39833</v>
      </c>
      <c r="B716" s="54">
        <v>1</v>
      </c>
      <c r="C716" s="53">
        <v>2009</v>
      </c>
      <c r="D716" s="52" t="s">
        <v>107</v>
      </c>
      <c r="E716" s="52" t="s">
        <v>1548</v>
      </c>
      <c r="F716" s="595">
        <v>407.1</v>
      </c>
      <c r="G716" s="595">
        <v>557.79999999999995</v>
      </c>
    </row>
    <row r="717" spans="1:7" ht="10.050000000000001" customHeight="1">
      <c r="A717" s="597">
        <v>39864</v>
      </c>
      <c r="B717" s="54">
        <v>2</v>
      </c>
      <c r="C717" s="53">
        <v>2009</v>
      </c>
      <c r="D717" s="52" t="s">
        <v>107</v>
      </c>
      <c r="E717" s="52" t="s">
        <v>1548</v>
      </c>
      <c r="F717" s="595">
        <v>271.5</v>
      </c>
      <c r="G717" s="595">
        <v>364.8</v>
      </c>
    </row>
    <row r="718" spans="1:7" ht="10.050000000000001" customHeight="1">
      <c r="A718" s="597">
        <v>39892</v>
      </c>
      <c r="B718" s="54">
        <v>3</v>
      </c>
      <c r="C718" s="53">
        <v>2009</v>
      </c>
      <c r="D718" s="52" t="s">
        <v>107</v>
      </c>
      <c r="E718" s="52" t="s">
        <v>1548</v>
      </c>
      <c r="F718" s="595">
        <v>430.75</v>
      </c>
      <c r="G718" s="595">
        <v>587.1</v>
      </c>
    </row>
    <row r="719" spans="1:7" ht="10.050000000000001" customHeight="1">
      <c r="A719" s="597">
        <v>39923</v>
      </c>
      <c r="B719" s="54">
        <v>4</v>
      </c>
      <c r="C719" s="53">
        <v>2009</v>
      </c>
      <c r="D719" s="52" t="s">
        <v>107</v>
      </c>
      <c r="E719" s="52" t="s">
        <v>1548</v>
      </c>
      <c r="F719" s="595">
        <v>340.2</v>
      </c>
      <c r="G719" s="595">
        <v>468.7</v>
      </c>
    </row>
    <row r="720" spans="1:7" ht="10.050000000000001" customHeight="1">
      <c r="A720" s="597">
        <v>39953</v>
      </c>
      <c r="B720" s="54">
        <v>5</v>
      </c>
      <c r="C720" s="53">
        <v>2009</v>
      </c>
      <c r="D720" s="52" t="s">
        <v>107</v>
      </c>
      <c r="E720" s="52" t="s">
        <v>1548</v>
      </c>
      <c r="F720" s="595">
        <v>413.4</v>
      </c>
      <c r="G720" s="595">
        <v>576.1</v>
      </c>
    </row>
    <row r="721" spans="1:7" ht="10.050000000000001" customHeight="1">
      <c r="A721" s="597">
        <v>39984</v>
      </c>
      <c r="B721" s="54">
        <v>6</v>
      </c>
      <c r="C721" s="53">
        <v>2009</v>
      </c>
      <c r="D721" s="52" t="s">
        <v>107</v>
      </c>
      <c r="E721" s="52" t="s">
        <v>1548</v>
      </c>
      <c r="F721" s="595">
        <v>345.4</v>
      </c>
      <c r="G721" s="595">
        <v>477.8</v>
      </c>
    </row>
    <row r="722" spans="1:7" ht="10.050000000000001" customHeight="1">
      <c r="A722" s="597">
        <v>40014</v>
      </c>
      <c r="B722" s="54">
        <v>7</v>
      </c>
      <c r="C722" s="53">
        <v>2009</v>
      </c>
      <c r="D722" s="52" t="s">
        <v>114</v>
      </c>
      <c r="E722" s="52" t="s">
        <v>1548</v>
      </c>
      <c r="F722" s="595">
        <v>392.8</v>
      </c>
      <c r="G722" s="595">
        <v>550.4</v>
      </c>
    </row>
    <row r="723" spans="1:7" ht="10.050000000000001" customHeight="1">
      <c r="A723" s="597">
        <v>40045</v>
      </c>
      <c r="B723" s="54">
        <v>8</v>
      </c>
      <c r="C723" s="53">
        <v>2009</v>
      </c>
      <c r="D723" s="52" t="s">
        <v>114</v>
      </c>
      <c r="E723" s="52" t="s">
        <v>1548</v>
      </c>
      <c r="F723" s="595">
        <v>388.3</v>
      </c>
      <c r="G723" s="595">
        <v>533.6</v>
      </c>
    </row>
    <row r="724" spans="1:7" ht="10.050000000000001" customHeight="1">
      <c r="A724" s="597">
        <v>40076</v>
      </c>
      <c r="B724" s="54">
        <v>9</v>
      </c>
      <c r="C724" s="53">
        <v>2009</v>
      </c>
      <c r="D724" s="52" t="s">
        <v>114</v>
      </c>
      <c r="E724" s="52" t="s">
        <v>1548</v>
      </c>
      <c r="F724" s="595">
        <v>398.2</v>
      </c>
      <c r="G724" s="595">
        <v>541.4</v>
      </c>
    </row>
    <row r="725" spans="1:7" ht="10.050000000000001" customHeight="1">
      <c r="A725" s="597">
        <v>40106</v>
      </c>
      <c r="B725" s="54">
        <v>10</v>
      </c>
      <c r="C725" s="53">
        <v>2009</v>
      </c>
      <c r="D725" s="52" t="s">
        <v>114</v>
      </c>
      <c r="E725" s="52" t="s">
        <v>1548</v>
      </c>
      <c r="F725" s="595">
        <v>315.89999999999998</v>
      </c>
      <c r="G725" s="595">
        <v>439.3</v>
      </c>
    </row>
    <row r="726" spans="1:7" ht="10.050000000000001" customHeight="1">
      <c r="A726" s="597">
        <v>40137</v>
      </c>
      <c r="B726" s="54">
        <v>11</v>
      </c>
      <c r="C726" s="53">
        <v>2009</v>
      </c>
      <c r="D726" s="52" t="s">
        <v>114</v>
      </c>
      <c r="E726" s="52" t="s">
        <v>1548</v>
      </c>
      <c r="F726" s="595">
        <v>439.6</v>
      </c>
      <c r="G726" s="595">
        <v>587.79999999999995</v>
      </c>
    </row>
    <row r="727" spans="1:7" ht="10.050000000000001" customHeight="1">
      <c r="A727" s="597">
        <v>40167</v>
      </c>
      <c r="B727" s="54">
        <v>12</v>
      </c>
      <c r="C727" s="53">
        <v>2009</v>
      </c>
      <c r="D727" s="52" t="s">
        <v>114</v>
      </c>
      <c r="E727" s="52" t="s">
        <v>1548</v>
      </c>
      <c r="F727" s="595">
        <v>282.3</v>
      </c>
      <c r="G727" s="595">
        <v>416.8</v>
      </c>
    </row>
    <row r="728" spans="1:7" ht="10.050000000000001" customHeight="1">
      <c r="A728" s="597">
        <v>40198</v>
      </c>
      <c r="B728" s="54">
        <v>1</v>
      </c>
      <c r="C728" s="53">
        <v>2010</v>
      </c>
      <c r="D728" s="52" t="s">
        <v>114</v>
      </c>
      <c r="E728" s="52" t="s">
        <v>1548</v>
      </c>
      <c r="F728" s="595">
        <v>383.9</v>
      </c>
      <c r="G728" s="595">
        <v>511</v>
      </c>
    </row>
    <row r="729" spans="1:7" ht="10.050000000000001" customHeight="1">
      <c r="A729" s="597">
        <v>40229</v>
      </c>
      <c r="B729" s="54">
        <v>2</v>
      </c>
      <c r="C729" s="53">
        <v>2010</v>
      </c>
      <c r="D729" s="52" t="s">
        <v>114</v>
      </c>
      <c r="E729" s="52" t="s">
        <v>1548</v>
      </c>
      <c r="F729" s="595">
        <v>355.2</v>
      </c>
      <c r="G729" s="595">
        <v>468.2</v>
      </c>
    </row>
    <row r="730" spans="1:7" ht="10.050000000000001" customHeight="1">
      <c r="A730" s="597">
        <v>40257</v>
      </c>
      <c r="B730" s="54">
        <v>3</v>
      </c>
      <c r="C730" s="53">
        <v>2010</v>
      </c>
      <c r="D730" s="52" t="s">
        <v>114</v>
      </c>
      <c r="E730" s="52" t="s">
        <v>1548</v>
      </c>
      <c r="F730" s="595">
        <v>384.8</v>
      </c>
      <c r="G730" s="595">
        <v>530.4</v>
      </c>
    </row>
    <row r="731" spans="1:7" ht="10.050000000000001" customHeight="1">
      <c r="A731" s="597">
        <v>40288</v>
      </c>
      <c r="B731" s="54">
        <v>4</v>
      </c>
      <c r="C731" s="53">
        <v>2010</v>
      </c>
      <c r="D731" s="52" t="s">
        <v>114</v>
      </c>
      <c r="E731" s="52" t="s">
        <v>1548</v>
      </c>
      <c r="F731" s="595">
        <v>344.5</v>
      </c>
      <c r="G731" s="595">
        <v>445.6</v>
      </c>
    </row>
    <row r="732" spans="1:7" ht="10.050000000000001" customHeight="1">
      <c r="A732" s="597">
        <v>40318</v>
      </c>
      <c r="B732" s="54">
        <v>5</v>
      </c>
      <c r="C732" s="53">
        <v>2010</v>
      </c>
      <c r="D732" s="52" t="s">
        <v>114</v>
      </c>
      <c r="E732" s="52" t="s">
        <v>1548</v>
      </c>
      <c r="F732" s="595">
        <v>464.3</v>
      </c>
      <c r="G732" s="595">
        <v>641.70000000000005</v>
      </c>
    </row>
    <row r="733" spans="1:7" ht="10.050000000000001" customHeight="1">
      <c r="A733" s="597">
        <v>40349</v>
      </c>
      <c r="B733" s="54">
        <v>6</v>
      </c>
      <c r="C733" s="53">
        <v>2010</v>
      </c>
      <c r="D733" s="52" t="s">
        <v>114</v>
      </c>
      <c r="E733" s="52" t="s">
        <v>1548</v>
      </c>
      <c r="F733" s="595">
        <v>330.6</v>
      </c>
      <c r="G733" s="595">
        <v>452.1</v>
      </c>
    </row>
    <row r="734" spans="1:7" ht="10.050000000000001" customHeight="1">
      <c r="A734" s="597">
        <v>40379</v>
      </c>
      <c r="B734" s="54">
        <v>7</v>
      </c>
      <c r="C734" s="53">
        <v>2010</v>
      </c>
      <c r="D734" s="52" t="s">
        <v>115</v>
      </c>
      <c r="E734" s="52" t="s">
        <v>1548</v>
      </c>
      <c r="F734" s="595">
        <v>432.98200000000003</v>
      </c>
      <c r="G734" s="595">
        <v>598.43799999999999</v>
      </c>
    </row>
    <row r="735" spans="1:7" ht="10.050000000000001" customHeight="1">
      <c r="A735" s="597">
        <v>40410</v>
      </c>
      <c r="B735" s="54">
        <v>8</v>
      </c>
      <c r="C735" s="53">
        <v>2010</v>
      </c>
      <c r="D735" s="52" t="s">
        <v>115</v>
      </c>
      <c r="E735" s="52" t="s">
        <v>1548</v>
      </c>
      <c r="F735" s="595">
        <v>366.048</v>
      </c>
      <c r="G735" s="595">
        <v>497.99700000000001</v>
      </c>
    </row>
    <row r="736" spans="1:7" ht="10.050000000000001" customHeight="1">
      <c r="A736" s="597">
        <v>40441</v>
      </c>
      <c r="B736" s="54">
        <v>9</v>
      </c>
      <c r="C736" s="53">
        <v>2010</v>
      </c>
      <c r="D736" s="52" t="s">
        <v>115</v>
      </c>
      <c r="E736" s="52" t="s">
        <v>1548</v>
      </c>
      <c r="F736" s="595">
        <v>450.92599999999999</v>
      </c>
      <c r="G736" s="595">
        <v>615.654</v>
      </c>
    </row>
    <row r="737" spans="1:7" ht="10.050000000000001" customHeight="1">
      <c r="A737" s="597">
        <v>40471</v>
      </c>
      <c r="B737" s="54">
        <v>10</v>
      </c>
      <c r="C737" s="53">
        <v>2010</v>
      </c>
      <c r="D737" s="52" t="s">
        <v>115</v>
      </c>
      <c r="E737" s="52" t="s">
        <v>1548</v>
      </c>
      <c r="F737" s="595">
        <v>353.78199999999998</v>
      </c>
      <c r="G737" s="595">
        <v>674.03899999999999</v>
      </c>
    </row>
    <row r="738" spans="1:7" ht="10.050000000000001" customHeight="1">
      <c r="A738" s="597">
        <v>40502</v>
      </c>
      <c r="B738" s="54">
        <v>11</v>
      </c>
      <c r="C738" s="53">
        <v>2010</v>
      </c>
      <c r="D738" s="52" t="s">
        <v>115</v>
      </c>
      <c r="E738" s="52" t="s">
        <v>1548</v>
      </c>
      <c r="F738" s="595">
        <v>317.26799999999997</v>
      </c>
      <c r="G738" s="595">
        <v>426.21</v>
      </c>
    </row>
    <row r="739" spans="1:7" ht="10.050000000000001" customHeight="1">
      <c r="A739" s="597">
        <v>40532</v>
      </c>
      <c r="B739" s="54">
        <v>12</v>
      </c>
      <c r="C739" s="53">
        <v>2010</v>
      </c>
      <c r="D739" s="52" t="s">
        <v>115</v>
      </c>
      <c r="E739" s="52" t="s">
        <v>1548</v>
      </c>
      <c r="F739" s="595">
        <v>1022.788</v>
      </c>
      <c r="G739" s="595">
        <v>1396.6479999999999</v>
      </c>
    </row>
    <row r="740" spans="1:7" ht="10.050000000000001" customHeight="1">
      <c r="A740" s="597">
        <v>40563</v>
      </c>
      <c r="B740" s="54">
        <v>1</v>
      </c>
      <c r="C740" s="53">
        <v>2011</v>
      </c>
      <c r="D740" s="52" t="s">
        <v>115</v>
      </c>
      <c r="E740" s="52" t="s">
        <v>1548</v>
      </c>
      <c r="F740" s="595">
        <v>321.11799999999999</v>
      </c>
      <c r="G740" s="595">
        <v>441.64699999999999</v>
      </c>
    </row>
    <row r="741" spans="1:7" ht="10.050000000000001" customHeight="1">
      <c r="A741" s="597">
        <v>40594</v>
      </c>
      <c r="B741" s="54">
        <v>2</v>
      </c>
      <c r="C741" s="53">
        <v>2011</v>
      </c>
      <c r="D741" s="52" t="s">
        <v>115</v>
      </c>
      <c r="E741" s="52" t="s">
        <v>1548</v>
      </c>
      <c r="F741" s="595">
        <v>384.73399999999998</v>
      </c>
      <c r="G741" s="595">
        <v>509.37200000000001</v>
      </c>
    </row>
    <row r="742" spans="1:7" ht="10.050000000000001" customHeight="1">
      <c r="A742" s="597">
        <v>40622</v>
      </c>
      <c r="B742" s="54">
        <v>3</v>
      </c>
      <c r="C742" s="53">
        <v>2011</v>
      </c>
      <c r="D742" s="52" t="s">
        <v>115</v>
      </c>
      <c r="E742" s="52" t="s">
        <v>1548</v>
      </c>
      <c r="F742" s="595">
        <v>299.05099999999999</v>
      </c>
      <c r="G742" s="595">
        <v>401.11599999999999</v>
      </c>
    </row>
    <row r="743" spans="1:7" ht="10.050000000000001" customHeight="1">
      <c r="A743" s="597">
        <v>40653</v>
      </c>
      <c r="B743" s="54">
        <v>4</v>
      </c>
      <c r="C743" s="53">
        <v>2011</v>
      </c>
      <c r="D743" s="52" t="s">
        <v>115</v>
      </c>
      <c r="E743" s="52" t="s">
        <v>1548</v>
      </c>
      <c r="F743" s="595">
        <v>317.22199999999998</v>
      </c>
      <c r="G743" s="595">
        <v>421.01499999999999</v>
      </c>
    </row>
    <row r="744" spans="1:7" ht="10.050000000000001" customHeight="1">
      <c r="A744" s="597">
        <v>40683</v>
      </c>
      <c r="B744" s="54">
        <v>5</v>
      </c>
      <c r="C744" s="53">
        <v>2011</v>
      </c>
      <c r="D744" s="52" t="s">
        <v>115</v>
      </c>
      <c r="E744" s="52" t="s">
        <v>1548</v>
      </c>
      <c r="F744" s="595">
        <v>313.16399999999999</v>
      </c>
      <c r="G744" s="595">
        <v>416.03399999999999</v>
      </c>
    </row>
    <row r="745" spans="1:7" ht="10.050000000000001" customHeight="1">
      <c r="A745" s="597">
        <v>40714</v>
      </c>
      <c r="B745" s="54">
        <v>6</v>
      </c>
      <c r="C745" s="53">
        <v>2011</v>
      </c>
      <c r="D745" s="52" t="s">
        <v>115</v>
      </c>
      <c r="E745" s="52" t="s">
        <v>1548</v>
      </c>
      <c r="F745" s="595">
        <v>234.48599999999999</v>
      </c>
      <c r="G745" s="595">
        <v>311.27800000000002</v>
      </c>
    </row>
    <row r="746" spans="1:7" ht="10.050000000000001" customHeight="1">
      <c r="A746" s="597">
        <v>40744</v>
      </c>
      <c r="B746" s="54">
        <v>7</v>
      </c>
      <c r="C746" s="53">
        <v>2011</v>
      </c>
      <c r="D746" s="52" t="s">
        <v>116</v>
      </c>
      <c r="E746" s="52" t="s">
        <v>1548</v>
      </c>
      <c r="F746" s="595">
        <v>407.4</v>
      </c>
      <c r="G746" s="595">
        <v>544.72799999999995</v>
      </c>
    </row>
    <row r="747" spans="1:7" ht="10.050000000000001" customHeight="1">
      <c r="A747" s="597">
        <v>40775</v>
      </c>
      <c r="B747" s="54">
        <v>8</v>
      </c>
      <c r="C747" s="53">
        <v>2011</v>
      </c>
      <c r="D747" s="52" t="s">
        <v>116</v>
      </c>
      <c r="E747" s="52" t="s">
        <v>1548</v>
      </c>
      <c r="F747" s="595">
        <v>346.613</v>
      </c>
      <c r="G747" s="595">
        <v>547.827</v>
      </c>
    </row>
    <row r="748" spans="1:7" ht="10.050000000000001" customHeight="1">
      <c r="A748" s="597">
        <v>40806</v>
      </c>
      <c r="B748" s="54">
        <v>9</v>
      </c>
      <c r="C748" s="53">
        <v>2011</v>
      </c>
      <c r="D748" s="52" t="s">
        <v>116</v>
      </c>
      <c r="E748" s="52" t="s">
        <v>1548</v>
      </c>
      <c r="F748" s="595">
        <v>290.74200000000002</v>
      </c>
      <c r="G748" s="595">
        <v>390.98</v>
      </c>
    </row>
    <row r="749" spans="1:7" ht="10.050000000000001" customHeight="1">
      <c r="A749" s="597">
        <v>40836</v>
      </c>
      <c r="B749" s="54">
        <v>10</v>
      </c>
      <c r="C749" s="53">
        <v>2011</v>
      </c>
      <c r="D749" s="52" t="s">
        <v>116</v>
      </c>
      <c r="E749" s="52" t="s">
        <v>1548</v>
      </c>
      <c r="F749" s="595">
        <v>367.71899999999999</v>
      </c>
      <c r="G749" s="595">
        <v>499.42399999999998</v>
      </c>
    </row>
    <row r="750" spans="1:7" ht="10.050000000000001" customHeight="1">
      <c r="A750" s="597">
        <v>40867</v>
      </c>
      <c r="B750" s="54">
        <v>11</v>
      </c>
      <c r="C750" s="53">
        <v>2011</v>
      </c>
      <c r="D750" s="52" t="s">
        <v>116</v>
      </c>
      <c r="E750" s="52" t="s">
        <v>1548</v>
      </c>
      <c r="F750" s="595">
        <v>366.36900000000003</v>
      </c>
      <c r="G750" s="595">
        <v>471.55399999999997</v>
      </c>
    </row>
    <row r="751" spans="1:7" ht="10.050000000000001" customHeight="1">
      <c r="A751" s="597">
        <v>40897</v>
      </c>
      <c r="B751" s="54">
        <v>12</v>
      </c>
      <c r="C751" s="53">
        <v>2011</v>
      </c>
      <c r="D751" s="52" t="s">
        <v>116</v>
      </c>
      <c r="E751" s="52" t="s">
        <v>1548</v>
      </c>
      <c r="F751" s="595">
        <v>370.23700000000002</v>
      </c>
      <c r="G751" s="595">
        <v>499.827</v>
      </c>
    </row>
    <row r="752" spans="1:7" ht="10.050000000000001" customHeight="1">
      <c r="A752" s="597">
        <v>40928</v>
      </c>
      <c r="B752" s="54">
        <v>1</v>
      </c>
      <c r="C752" s="53">
        <v>2012</v>
      </c>
      <c r="D752" s="52" t="s">
        <v>116</v>
      </c>
      <c r="E752" s="52" t="s">
        <v>1548</v>
      </c>
      <c r="F752" s="595">
        <v>435.40899999999999</v>
      </c>
      <c r="G752" s="595">
        <v>592.96799999999996</v>
      </c>
    </row>
    <row r="753" spans="1:7" ht="10.050000000000001" customHeight="1">
      <c r="A753" s="597">
        <v>40959</v>
      </c>
      <c r="B753" s="54">
        <v>2</v>
      </c>
      <c r="C753" s="53">
        <v>2012</v>
      </c>
      <c r="D753" s="52" t="s">
        <v>116</v>
      </c>
      <c r="E753" s="52" t="s">
        <v>1548</v>
      </c>
      <c r="F753" s="595">
        <v>331.42</v>
      </c>
      <c r="G753" s="595">
        <v>459.738</v>
      </c>
    </row>
    <row r="754" spans="1:7" ht="10.050000000000001" customHeight="1">
      <c r="A754" s="597">
        <v>40988</v>
      </c>
      <c r="B754" s="54">
        <v>3</v>
      </c>
      <c r="C754" s="53">
        <v>2012</v>
      </c>
      <c r="D754" s="52" t="s">
        <v>116</v>
      </c>
      <c r="E754" s="52" t="s">
        <v>1548</v>
      </c>
      <c r="F754" s="595">
        <v>355.86599999999999</v>
      </c>
      <c r="G754" s="595">
        <v>481.88099999999997</v>
      </c>
    </row>
    <row r="755" spans="1:7" ht="10.050000000000001" customHeight="1">
      <c r="A755" s="597">
        <v>41019</v>
      </c>
      <c r="B755" s="54">
        <v>4</v>
      </c>
      <c r="C755" s="53">
        <v>2012</v>
      </c>
      <c r="D755" s="52" t="s">
        <v>116</v>
      </c>
      <c r="E755" s="52" t="s">
        <v>1548</v>
      </c>
      <c r="F755" s="595">
        <v>335.96300000000002</v>
      </c>
      <c r="G755" s="595">
        <v>456.334</v>
      </c>
    </row>
    <row r="756" spans="1:7" ht="10.050000000000001" customHeight="1">
      <c r="A756" s="597">
        <v>41049</v>
      </c>
      <c r="B756" s="54">
        <v>5</v>
      </c>
      <c r="C756" s="53">
        <v>2012</v>
      </c>
      <c r="D756" s="52" t="s">
        <v>116</v>
      </c>
      <c r="E756" s="52" t="s">
        <v>1548</v>
      </c>
      <c r="F756" s="595">
        <v>307.661</v>
      </c>
      <c r="G756" s="595">
        <v>415.05399999999997</v>
      </c>
    </row>
    <row r="757" spans="1:7" ht="10.050000000000001" customHeight="1">
      <c r="A757" s="597">
        <v>41080</v>
      </c>
      <c r="B757" s="54">
        <v>6</v>
      </c>
      <c r="C757" s="53">
        <v>2012</v>
      </c>
      <c r="D757" s="52" t="s">
        <v>116</v>
      </c>
      <c r="E757" s="52" t="s">
        <v>1548</v>
      </c>
      <c r="F757" s="595">
        <v>316.721</v>
      </c>
      <c r="G757" s="595">
        <v>442.54399999999998</v>
      </c>
    </row>
    <row r="758" spans="1:7" ht="10.050000000000001" customHeight="1">
      <c r="A758" s="597">
        <v>41110</v>
      </c>
      <c r="B758" s="54">
        <v>7</v>
      </c>
      <c r="C758" s="53">
        <v>2012</v>
      </c>
      <c r="D758" s="52" t="s">
        <v>117</v>
      </c>
      <c r="E758" s="52" t="s">
        <v>1548</v>
      </c>
      <c r="F758" s="595">
        <v>394.24</v>
      </c>
      <c r="G758" s="595">
        <v>545.36400000000003</v>
      </c>
    </row>
    <row r="759" spans="1:7" ht="10.050000000000001" customHeight="1">
      <c r="A759" s="597">
        <v>41141</v>
      </c>
      <c r="B759" s="54">
        <v>8</v>
      </c>
      <c r="C759" s="53">
        <v>2012</v>
      </c>
      <c r="D759" s="52" t="s">
        <v>117</v>
      </c>
      <c r="E759" s="52" t="s">
        <v>1548</v>
      </c>
      <c r="F759" s="595">
        <v>407.13</v>
      </c>
      <c r="G759" s="595">
        <v>570.50400000000002</v>
      </c>
    </row>
    <row r="760" spans="1:7" ht="10.050000000000001" customHeight="1">
      <c r="A760" s="597">
        <v>41172</v>
      </c>
      <c r="B760" s="54">
        <v>9</v>
      </c>
      <c r="C760" s="53">
        <v>2012</v>
      </c>
      <c r="D760" s="52" t="s">
        <v>117</v>
      </c>
      <c r="E760" s="52" t="s">
        <v>1548</v>
      </c>
      <c r="F760" s="595">
        <v>256.12700000000001</v>
      </c>
      <c r="G760" s="595">
        <v>358.58600000000001</v>
      </c>
    </row>
    <row r="761" spans="1:7" ht="10.050000000000001" customHeight="1">
      <c r="A761" s="597">
        <v>41202</v>
      </c>
      <c r="B761" s="54">
        <v>10</v>
      </c>
      <c r="C761" s="53">
        <v>2012</v>
      </c>
      <c r="D761" s="52" t="s">
        <v>117</v>
      </c>
      <c r="E761" s="52" t="s">
        <v>1548</v>
      </c>
      <c r="F761" s="595">
        <v>468.34</v>
      </c>
      <c r="G761" s="595">
        <v>632.48599999999999</v>
      </c>
    </row>
    <row r="762" spans="1:7" ht="10.050000000000001" customHeight="1">
      <c r="A762" s="597">
        <v>41233</v>
      </c>
      <c r="B762" s="54">
        <v>11</v>
      </c>
      <c r="C762" s="53">
        <v>2012</v>
      </c>
      <c r="D762" s="52" t="s">
        <v>117</v>
      </c>
      <c r="E762" s="52" t="s">
        <v>1548</v>
      </c>
      <c r="F762" s="595">
        <v>400.38900000000001</v>
      </c>
      <c r="G762" s="595">
        <v>536.08199999999999</v>
      </c>
    </row>
    <row r="763" spans="1:7" ht="10.050000000000001" customHeight="1">
      <c r="A763" s="597">
        <v>41263</v>
      </c>
      <c r="B763" s="54">
        <v>12</v>
      </c>
      <c r="C763" s="53">
        <v>2012</v>
      </c>
      <c r="D763" s="52" t="s">
        <v>117</v>
      </c>
      <c r="E763" s="52" t="s">
        <v>1548</v>
      </c>
      <c r="F763" s="595">
        <v>284.858</v>
      </c>
      <c r="G763" s="595">
        <v>396.21100000000001</v>
      </c>
    </row>
    <row r="764" spans="1:7" ht="10.050000000000001" customHeight="1">
      <c r="A764" s="597">
        <v>41294</v>
      </c>
      <c r="B764" s="54">
        <v>1</v>
      </c>
      <c r="C764" s="53">
        <v>2013</v>
      </c>
      <c r="D764" s="52" t="s">
        <v>117</v>
      </c>
      <c r="E764" s="52" t="s">
        <v>1548</v>
      </c>
      <c r="F764" s="595">
        <v>486.077</v>
      </c>
      <c r="G764" s="595">
        <v>652.16099999999994</v>
      </c>
    </row>
    <row r="765" spans="1:7" ht="10.050000000000001" customHeight="1">
      <c r="A765" s="597">
        <v>41325</v>
      </c>
      <c r="B765" s="54">
        <v>2</v>
      </c>
      <c r="C765" s="53">
        <v>2013</v>
      </c>
      <c r="D765" s="52" t="s">
        <v>117</v>
      </c>
      <c r="E765" s="52" t="s">
        <v>1548</v>
      </c>
      <c r="F765" s="595">
        <v>271.77300000000002</v>
      </c>
      <c r="G765" s="595">
        <v>389.78300000000002</v>
      </c>
    </row>
    <row r="766" spans="1:7" ht="10.050000000000001" customHeight="1">
      <c r="A766" s="597">
        <v>41353</v>
      </c>
      <c r="B766" s="54">
        <v>3</v>
      </c>
      <c r="C766" s="53">
        <v>2013</v>
      </c>
      <c r="D766" s="52" t="s">
        <v>117</v>
      </c>
      <c r="E766" s="52" t="s">
        <v>1548</v>
      </c>
      <c r="F766" s="595">
        <v>385.70699999999999</v>
      </c>
      <c r="G766" s="595">
        <v>517.64599999999996</v>
      </c>
    </row>
    <row r="767" spans="1:7" ht="10.050000000000001" customHeight="1">
      <c r="A767" s="597">
        <v>41384</v>
      </c>
      <c r="B767" s="54">
        <v>4</v>
      </c>
      <c r="C767" s="53">
        <v>2013</v>
      </c>
      <c r="D767" s="52" t="s">
        <v>117</v>
      </c>
      <c r="E767" s="52" t="s">
        <v>1548</v>
      </c>
      <c r="F767" s="595">
        <v>419.553</v>
      </c>
      <c r="G767" s="595">
        <v>564.14</v>
      </c>
    </row>
    <row r="768" spans="1:7" ht="10.050000000000001" customHeight="1">
      <c r="A768" s="597">
        <v>41414</v>
      </c>
      <c r="B768" s="54">
        <v>5</v>
      </c>
      <c r="C768" s="53">
        <v>2013</v>
      </c>
      <c r="D768" s="52" t="s">
        <v>117</v>
      </c>
      <c r="E768" s="52" t="s">
        <v>1548</v>
      </c>
      <c r="F768" s="595">
        <v>255.52</v>
      </c>
      <c r="G768" s="595">
        <v>354.65</v>
      </c>
    </row>
    <row r="769" spans="1:7" ht="10.050000000000001" customHeight="1">
      <c r="A769" s="597">
        <v>41445</v>
      </c>
      <c r="B769" s="54">
        <v>6</v>
      </c>
      <c r="C769" s="53">
        <v>2013</v>
      </c>
      <c r="D769" s="52" t="s">
        <v>117</v>
      </c>
      <c r="E769" s="52" t="s">
        <v>1548</v>
      </c>
      <c r="F769" s="595">
        <v>321.15600000000001</v>
      </c>
      <c r="G769" s="595">
        <v>444.13</v>
      </c>
    </row>
    <row r="770" spans="1:7" ht="10.050000000000001" customHeight="1">
      <c r="A770" s="597">
        <v>41475</v>
      </c>
      <c r="B770" s="54">
        <v>7</v>
      </c>
      <c r="C770" s="53">
        <v>2013</v>
      </c>
      <c r="D770" s="52" t="s">
        <v>118</v>
      </c>
      <c r="E770" s="52" t="s">
        <v>1548</v>
      </c>
      <c r="F770" s="595">
        <v>438.37599999999998</v>
      </c>
      <c r="G770" s="595">
        <v>592.56700000000001</v>
      </c>
    </row>
    <row r="771" spans="1:7" ht="10.050000000000001" customHeight="1">
      <c r="A771" s="597">
        <v>41506</v>
      </c>
      <c r="B771" s="54">
        <v>8</v>
      </c>
      <c r="C771" s="53">
        <v>2013</v>
      </c>
      <c r="D771" s="52" t="s">
        <v>118</v>
      </c>
      <c r="E771" s="52" t="s">
        <v>1548</v>
      </c>
      <c r="F771" s="595">
        <v>352.55399999999997</v>
      </c>
      <c r="G771" s="595">
        <v>479.35500000000002</v>
      </c>
    </row>
    <row r="772" spans="1:7" ht="10.050000000000001" customHeight="1">
      <c r="A772" s="597">
        <v>41537</v>
      </c>
      <c r="B772" s="54">
        <v>9</v>
      </c>
      <c r="C772" s="53">
        <v>2013</v>
      </c>
      <c r="D772" s="52" t="s">
        <v>118</v>
      </c>
      <c r="E772" s="52" t="s">
        <v>1548</v>
      </c>
      <c r="F772" s="595">
        <v>300.63</v>
      </c>
      <c r="G772" s="595">
        <v>392.35300000000001</v>
      </c>
    </row>
    <row r="773" spans="1:7" ht="10.050000000000001" customHeight="1">
      <c r="A773" s="597">
        <v>41567</v>
      </c>
      <c r="B773" s="54">
        <v>10</v>
      </c>
      <c r="C773" s="53">
        <v>2013</v>
      </c>
      <c r="D773" s="52" t="s">
        <v>118</v>
      </c>
      <c r="E773" s="52" t="s">
        <v>1548</v>
      </c>
      <c r="F773" s="595">
        <v>508.702</v>
      </c>
      <c r="G773" s="595">
        <v>688.11800000000005</v>
      </c>
    </row>
    <row r="774" spans="1:7" ht="10.050000000000001" customHeight="1">
      <c r="A774" s="597">
        <v>41598</v>
      </c>
      <c r="B774" s="54">
        <v>11</v>
      </c>
      <c r="C774" s="53">
        <v>2013</v>
      </c>
      <c r="D774" s="52" t="s">
        <v>118</v>
      </c>
      <c r="E774" s="52" t="s">
        <v>1548</v>
      </c>
      <c r="F774" s="595">
        <v>341.94400000000002</v>
      </c>
      <c r="G774" s="595">
        <v>472.27499999999998</v>
      </c>
    </row>
    <row r="775" spans="1:7" ht="10.050000000000001" customHeight="1">
      <c r="A775" s="597">
        <v>41628</v>
      </c>
      <c r="B775" s="54">
        <v>12</v>
      </c>
      <c r="C775" s="53">
        <v>2013</v>
      </c>
      <c r="D775" s="52" t="s">
        <v>118</v>
      </c>
      <c r="E775" s="52" t="s">
        <v>1548</v>
      </c>
      <c r="F775" s="595">
        <v>1364.2819999999999</v>
      </c>
      <c r="G775" s="595">
        <v>1632.2940000000001</v>
      </c>
    </row>
    <row r="776" spans="1:7" ht="10.050000000000001" customHeight="1">
      <c r="A776" s="597">
        <v>41659</v>
      </c>
      <c r="B776" s="54">
        <v>1</v>
      </c>
      <c r="C776" s="53">
        <v>2014</v>
      </c>
      <c r="D776" s="52" t="s">
        <v>118</v>
      </c>
      <c r="E776" s="52" t="s">
        <v>1548</v>
      </c>
      <c r="F776" s="595">
        <v>627.221</v>
      </c>
      <c r="G776" s="595">
        <v>902.46199999999999</v>
      </c>
    </row>
    <row r="777" spans="1:7" ht="10.050000000000001" customHeight="1">
      <c r="A777" s="597">
        <v>41690</v>
      </c>
      <c r="B777" s="54">
        <v>2</v>
      </c>
      <c r="C777" s="53">
        <v>2014</v>
      </c>
      <c r="D777" s="52" t="s">
        <v>118</v>
      </c>
      <c r="E777" s="52" t="s">
        <v>1548</v>
      </c>
      <c r="F777" s="595">
        <v>683.11599999999999</v>
      </c>
      <c r="G777" s="595">
        <v>932.80799999999999</v>
      </c>
    </row>
    <row r="778" spans="1:7" ht="10.050000000000001" customHeight="1">
      <c r="A778" s="597">
        <v>41718</v>
      </c>
      <c r="B778" s="54">
        <v>3</v>
      </c>
      <c r="C778" s="53">
        <v>2014</v>
      </c>
      <c r="D778" s="52" t="s">
        <v>118</v>
      </c>
      <c r="E778" s="52" t="s">
        <v>1548</v>
      </c>
      <c r="F778" s="595">
        <v>556.77800000000002</v>
      </c>
      <c r="G778" s="595">
        <v>788.45600000000002</v>
      </c>
    </row>
    <row r="779" spans="1:7" ht="10.050000000000001" customHeight="1">
      <c r="A779" s="597">
        <v>41749</v>
      </c>
      <c r="B779" s="54">
        <v>4</v>
      </c>
      <c r="C779" s="53">
        <v>2014</v>
      </c>
      <c r="D779" s="52" t="s">
        <v>118</v>
      </c>
      <c r="E779" s="52" t="s">
        <v>1548</v>
      </c>
      <c r="F779" s="595">
        <v>674.84699999999998</v>
      </c>
      <c r="G779" s="595">
        <v>921.32600000000002</v>
      </c>
    </row>
    <row r="780" spans="1:7" ht="10.050000000000001" customHeight="1">
      <c r="A780" s="597">
        <v>41779</v>
      </c>
      <c r="B780" s="54">
        <v>5</v>
      </c>
      <c r="C780" s="53">
        <v>2014</v>
      </c>
      <c r="D780" s="52" t="s">
        <v>118</v>
      </c>
      <c r="E780" s="52" t="s">
        <v>1548</v>
      </c>
      <c r="F780" s="595">
        <v>546.33000000000004</v>
      </c>
      <c r="G780" s="595">
        <v>751.48800000000006</v>
      </c>
    </row>
    <row r="781" spans="1:7" ht="10.050000000000001" customHeight="1">
      <c r="A781" s="597">
        <v>41810</v>
      </c>
      <c r="B781" s="54">
        <v>6</v>
      </c>
      <c r="C781" s="53">
        <v>2014</v>
      </c>
      <c r="D781" s="52" t="s">
        <v>118</v>
      </c>
      <c r="E781" s="52" t="s">
        <v>1548</v>
      </c>
      <c r="F781" s="595">
        <v>642.56700000000001</v>
      </c>
      <c r="G781" s="595">
        <v>883.46199999999999</v>
      </c>
    </row>
    <row r="782" spans="1:7" ht="10.050000000000001" customHeight="1">
      <c r="A782" s="597">
        <v>41840</v>
      </c>
      <c r="B782" s="54">
        <v>7</v>
      </c>
      <c r="C782" s="53">
        <v>2014</v>
      </c>
      <c r="D782" s="52" t="s">
        <v>119</v>
      </c>
      <c r="E782" s="52" t="s">
        <v>1548</v>
      </c>
      <c r="F782" s="595">
        <v>799.2</v>
      </c>
      <c r="G782" s="595">
        <v>1088.8720000000001</v>
      </c>
    </row>
    <row r="783" spans="1:7" ht="10.050000000000001" customHeight="1">
      <c r="A783" s="597">
        <v>41871</v>
      </c>
      <c r="B783" s="54">
        <v>8</v>
      </c>
      <c r="C783" s="53">
        <v>2014</v>
      </c>
      <c r="D783" s="52" t="s">
        <v>119</v>
      </c>
      <c r="E783" s="52" t="s">
        <v>1548</v>
      </c>
      <c r="F783" s="595">
        <v>562.43399999999997</v>
      </c>
      <c r="G783" s="595">
        <v>777.62199999999996</v>
      </c>
    </row>
    <row r="784" spans="1:7" ht="10.050000000000001" customHeight="1">
      <c r="A784" s="597">
        <v>41902</v>
      </c>
      <c r="B784" s="54">
        <v>9</v>
      </c>
      <c r="C784" s="53">
        <v>2014</v>
      </c>
      <c r="D784" s="52" t="s">
        <v>119</v>
      </c>
      <c r="E784" s="52" t="s">
        <v>1548</v>
      </c>
      <c r="F784" s="595">
        <v>708.05799999999999</v>
      </c>
      <c r="G784" s="595">
        <v>971.47299999999996</v>
      </c>
    </row>
    <row r="785" spans="1:7" ht="10.050000000000001" customHeight="1">
      <c r="A785" s="597">
        <v>41932</v>
      </c>
      <c r="B785" s="54">
        <v>10</v>
      </c>
      <c r="C785" s="53">
        <v>2014</v>
      </c>
      <c r="D785" s="52" t="s">
        <v>119</v>
      </c>
      <c r="E785" s="52" t="s">
        <v>1548</v>
      </c>
      <c r="F785" s="595">
        <v>758.91800000000001</v>
      </c>
      <c r="G785" s="595">
        <v>1062.1949999999999</v>
      </c>
    </row>
    <row r="786" spans="1:7" ht="10.050000000000001" customHeight="1">
      <c r="A786" s="597">
        <v>41963</v>
      </c>
      <c r="B786" s="54">
        <v>11</v>
      </c>
      <c r="C786" s="53">
        <v>2014</v>
      </c>
      <c r="D786" s="52" t="s">
        <v>119</v>
      </c>
      <c r="E786" s="52" t="s">
        <v>1548</v>
      </c>
      <c r="F786" s="595">
        <v>712.13099999999997</v>
      </c>
      <c r="G786" s="595">
        <v>994.96900000000005</v>
      </c>
    </row>
    <row r="787" spans="1:7" ht="10.050000000000001" customHeight="1">
      <c r="A787" s="597">
        <v>41993</v>
      </c>
      <c r="B787" s="54">
        <v>12</v>
      </c>
      <c r="C787" s="53">
        <v>2014</v>
      </c>
      <c r="D787" s="52" t="s">
        <v>119</v>
      </c>
      <c r="E787" s="52" t="s">
        <v>1548</v>
      </c>
      <c r="F787" s="595">
        <v>607.52700000000004</v>
      </c>
      <c r="G787" s="595">
        <v>811.49800000000005</v>
      </c>
    </row>
    <row r="788" spans="1:7" ht="10.050000000000001" customHeight="1">
      <c r="A788" s="597">
        <v>42024</v>
      </c>
      <c r="B788" s="54">
        <v>1</v>
      </c>
      <c r="C788" s="53">
        <v>2015</v>
      </c>
      <c r="D788" s="52" t="s">
        <v>119</v>
      </c>
      <c r="E788" s="52" t="s">
        <v>1548</v>
      </c>
      <c r="F788" s="595">
        <v>715.51599999999996</v>
      </c>
      <c r="G788" s="595">
        <v>993.30100000000004</v>
      </c>
    </row>
    <row r="789" spans="1:7" ht="10.050000000000001" customHeight="1">
      <c r="A789" s="597">
        <v>42055</v>
      </c>
      <c r="B789" s="54">
        <v>2</v>
      </c>
      <c r="C789" s="53">
        <v>2015</v>
      </c>
      <c r="D789" s="52" t="s">
        <v>119</v>
      </c>
      <c r="E789" s="52" t="s">
        <v>1548</v>
      </c>
      <c r="F789" s="595">
        <v>553.69799999999998</v>
      </c>
      <c r="G789" s="595">
        <v>764.83799999999997</v>
      </c>
    </row>
    <row r="790" spans="1:7" ht="10.050000000000001" customHeight="1">
      <c r="A790" s="597">
        <v>42083</v>
      </c>
      <c r="B790" s="54">
        <v>3</v>
      </c>
      <c r="C790" s="53">
        <v>2015</v>
      </c>
      <c r="D790" s="52" t="s">
        <v>119</v>
      </c>
      <c r="E790" s="52" t="s">
        <v>1548</v>
      </c>
      <c r="F790" s="595">
        <v>743.75699999999995</v>
      </c>
      <c r="G790" s="595">
        <v>1020.926</v>
      </c>
    </row>
    <row r="791" spans="1:7" ht="10.050000000000001" customHeight="1">
      <c r="A791" s="597">
        <v>42114</v>
      </c>
      <c r="B791" s="54">
        <v>4</v>
      </c>
      <c r="C791" s="53">
        <v>2015</v>
      </c>
      <c r="D791" s="52" t="s">
        <v>119</v>
      </c>
      <c r="E791" s="52" t="s">
        <v>1548</v>
      </c>
      <c r="F791" s="595">
        <v>733.82299999999998</v>
      </c>
      <c r="G791" s="595">
        <v>1009.106</v>
      </c>
    </row>
    <row r="792" spans="1:7" ht="10.050000000000001" customHeight="1">
      <c r="A792" s="597">
        <v>42144</v>
      </c>
      <c r="B792" s="54">
        <v>5</v>
      </c>
      <c r="C792" s="53">
        <v>2015</v>
      </c>
      <c r="D792" s="52" t="s">
        <v>119</v>
      </c>
      <c r="E792" s="52" t="s">
        <v>1548</v>
      </c>
      <c r="F792" s="595">
        <v>548.68200000000002</v>
      </c>
      <c r="G792" s="595">
        <v>763.02800000000002</v>
      </c>
    </row>
    <row r="793" spans="1:7" ht="10.050000000000001" customHeight="1">
      <c r="A793" s="597">
        <v>42175</v>
      </c>
      <c r="B793" s="54">
        <v>6</v>
      </c>
      <c r="C793" s="53">
        <v>2015</v>
      </c>
      <c r="D793" s="52" t="s">
        <v>119</v>
      </c>
      <c r="E793" s="52" t="s">
        <v>1548</v>
      </c>
      <c r="F793" s="595">
        <v>592.577</v>
      </c>
      <c r="G793" s="595">
        <v>832.67</v>
      </c>
    </row>
    <row r="794" spans="1:7" ht="10.050000000000001" customHeight="1">
      <c r="A794" s="597">
        <v>42205</v>
      </c>
      <c r="B794" s="54">
        <v>7</v>
      </c>
      <c r="C794" s="53">
        <v>2015</v>
      </c>
      <c r="D794" s="52" t="s">
        <v>120</v>
      </c>
      <c r="E794" s="52" t="s">
        <v>1548</v>
      </c>
      <c r="F794" s="595">
        <v>835.94600000000003</v>
      </c>
      <c r="G794" s="595">
        <v>1158.2470000000001</v>
      </c>
    </row>
    <row r="795" spans="1:7" ht="10.050000000000001" customHeight="1">
      <c r="A795" s="597">
        <v>42236</v>
      </c>
      <c r="B795" s="54">
        <v>8</v>
      </c>
      <c r="C795" s="53">
        <v>2015</v>
      </c>
      <c r="D795" s="52" t="s">
        <v>120</v>
      </c>
      <c r="E795" s="52" t="s">
        <v>1548</v>
      </c>
      <c r="F795" s="595">
        <v>687.95899999999995</v>
      </c>
      <c r="G795" s="595">
        <v>977.41</v>
      </c>
    </row>
    <row r="796" spans="1:7" ht="10.050000000000001" customHeight="1">
      <c r="A796" s="597">
        <v>42267</v>
      </c>
      <c r="B796" s="54">
        <v>9</v>
      </c>
      <c r="C796" s="53">
        <v>2015</v>
      </c>
      <c r="D796" s="52" t="s">
        <v>120</v>
      </c>
      <c r="E796" s="52" t="s">
        <v>1548</v>
      </c>
      <c r="F796" s="595">
        <v>728.51400000000001</v>
      </c>
      <c r="G796" s="595">
        <v>994.81799999999998</v>
      </c>
    </row>
    <row r="797" spans="1:7" ht="10.050000000000001" customHeight="1">
      <c r="A797" s="597">
        <v>42297</v>
      </c>
      <c r="B797" s="54">
        <v>10</v>
      </c>
      <c r="C797" s="53">
        <v>2015</v>
      </c>
      <c r="D797" s="52" t="s">
        <v>120</v>
      </c>
      <c r="E797" s="52" t="s">
        <v>1548</v>
      </c>
      <c r="F797" s="595">
        <v>793.92200000000003</v>
      </c>
      <c r="G797" s="595">
        <v>1075.2360000000001</v>
      </c>
    </row>
    <row r="798" spans="1:7" ht="10.050000000000001" customHeight="1">
      <c r="A798" s="597">
        <v>42328</v>
      </c>
      <c r="B798" s="54">
        <v>11</v>
      </c>
      <c r="C798" s="53">
        <v>2015</v>
      </c>
      <c r="D798" s="52" t="s">
        <v>120</v>
      </c>
      <c r="E798" s="52" t="s">
        <v>1548</v>
      </c>
      <c r="F798" s="595">
        <v>840.524</v>
      </c>
      <c r="G798" s="595">
        <v>1142.941</v>
      </c>
    </row>
    <row r="799" spans="1:7" ht="10.050000000000001" customHeight="1">
      <c r="A799" s="597">
        <v>42358</v>
      </c>
      <c r="B799" s="54">
        <v>12</v>
      </c>
      <c r="C799" s="53">
        <v>2015</v>
      </c>
      <c r="D799" s="52" t="s">
        <v>120</v>
      </c>
      <c r="E799" s="52" t="s">
        <v>1548</v>
      </c>
      <c r="F799" s="595">
        <v>638.03899999999999</v>
      </c>
      <c r="G799" s="595">
        <v>870.96799999999996</v>
      </c>
    </row>
    <row r="800" spans="1:7" ht="10.050000000000001" customHeight="1">
      <c r="A800" s="597">
        <v>42389</v>
      </c>
      <c r="B800" s="54">
        <v>1</v>
      </c>
      <c r="C800" s="53">
        <v>2016</v>
      </c>
      <c r="D800" s="52" t="s">
        <v>120</v>
      </c>
      <c r="E800" s="52" t="s">
        <v>1548</v>
      </c>
      <c r="F800" s="595">
        <v>837.27700000000004</v>
      </c>
      <c r="G800" s="595">
        <v>1193.3610000000001</v>
      </c>
    </row>
    <row r="801" spans="1:7" ht="10.050000000000001" customHeight="1">
      <c r="A801" s="597">
        <v>42420</v>
      </c>
      <c r="B801" s="54">
        <v>2</v>
      </c>
      <c r="C801" s="53">
        <v>2016</v>
      </c>
      <c r="D801" s="52" t="s">
        <v>120</v>
      </c>
      <c r="E801" s="52" t="s">
        <v>1548</v>
      </c>
      <c r="F801" s="595">
        <v>749.96</v>
      </c>
      <c r="G801" s="595">
        <v>1032.1990000000001</v>
      </c>
    </row>
    <row r="802" spans="1:7" ht="10.050000000000001" customHeight="1">
      <c r="A802" s="597">
        <v>42449</v>
      </c>
      <c r="B802" s="54">
        <v>3</v>
      </c>
      <c r="C802" s="53">
        <v>2016</v>
      </c>
      <c r="D802" s="52" t="s">
        <v>120</v>
      </c>
      <c r="E802" s="52" t="s">
        <v>1548</v>
      </c>
      <c r="F802" s="595">
        <v>791.06299999999999</v>
      </c>
      <c r="G802" s="595">
        <v>1098.258</v>
      </c>
    </row>
    <row r="803" spans="1:7" ht="10.050000000000001" customHeight="1">
      <c r="A803" s="597">
        <v>42480</v>
      </c>
      <c r="B803" s="54">
        <v>4</v>
      </c>
      <c r="C803" s="53">
        <v>2016</v>
      </c>
      <c r="D803" s="52" t="s">
        <v>120</v>
      </c>
      <c r="E803" s="52" t="s">
        <v>1548</v>
      </c>
      <c r="F803" s="595">
        <v>701.75800000000004</v>
      </c>
      <c r="G803" s="595">
        <v>968.42899999999997</v>
      </c>
    </row>
    <row r="804" spans="1:7" ht="10.050000000000001" customHeight="1">
      <c r="A804" s="597">
        <v>42510</v>
      </c>
      <c r="B804" s="54">
        <v>5</v>
      </c>
      <c r="C804" s="53">
        <v>2016</v>
      </c>
      <c r="D804" s="52" t="s">
        <v>120</v>
      </c>
      <c r="E804" s="52" t="s">
        <v>1548</v>
      </c>
      <c r="F804" s="595">
        <v>765.88599999999997</v>
      </c>
      <c r="G804" s="595">
        <v>1067.557</v>
      </c>
    </row>
    <row r="805" spans="1:7" ht="10.050000000000001" customHeight="1">
      <c r="A805" s="597">
        <v>42541</v>
      </c>
      <c r="B805" s="54">
        <v>6</v>
      </c>
      <c r="C805" s="53">
        <v>2016</v>
      </c>
      <c r="D805" s="52" t="s">
        <v>120</v>
      </c>
      <c r="E805" s="52" t="s">
        <v>1548</v>
      </c>
      <c r="F805" s="595">
        <v>708.98800000000006</v>
      </c>
      <c r="G805" s="595">
        <v>981.34900000000005</v>
      </c>
    </row>
    <row r="806" spans="1:7" ht="10.050000000000001" customHeight="1">
      <c r="A806" s="597">
        <v>42571</v>
      </c>
      <c r="B806" s="54">
        <v>7</v>
      </c>
      <c r="C806" s="53">
        <v>2016</v>
      </c>
      <c r="D806" s="52" t="s">
        <v>121</v>
      </c>
      <c r="E806" s="52" t="s">
        <v>1548</v>
      </c>
      <c r="F806" s="595">
        <v>729.03099999999995</v>
      </c>
      <c r="G806" s="595">
        <v>1046.242</v>
      </c>
    </row>
    <row r="807" spans="1:7" ht="10.050000000000001" customHeight="1">
      <c r="A807" s="597">
        <v>42602</v>
      </c>
      <c r="B807" s="54">
        <v>8</v>
      </c>
      <c r="C807" s="53">
        <v>2016</v>
      </c>
      <c r="D807" s="52" t="s">
        <v>121</v>
      </c>
      <c r="E807" s="52" t="s">
        <v>1548</v>
      </c>
      <c r="F807" s="595">
        <v>758.80200000000002</v>
      </c>
      <c r="G807" s="595">
        <v>1033.5530000000001</v>
      </c>
    </row>
    <row r="808" spans="1:7" ht="10.050000000000001" customHeight="1">
      <c r="A808" s="597">
        <v>42633</v>
      </c>
      <c r="B808" s="54">
        <v>9</v>
      </c>
      <c r="C808" s="53">
        <v>2016</v>
      </c>
      <c r="D808" s="52" t="s">
        <v>121</v>
      </c>
      <c r="E808" s="52" t="s">
        <v>1548</v>
      </c>
      <c r="F808" s="595">
        <v>752.17499999999995</v>
      </c>
      <c r="G808" s="595">
        <v>1015.242</v>
      </c>
    </row>
    <row r="809" spans="1:7" ht="10.050000000000001" customHeight="1">
      <c r="A809" s="597">
        <v>42663</v>
      </c>
      <c r="B809" s="54">
        <v>10</v>
      </c>
      <c r="C809" s="53">
        <v>2016</v>
      </c>
      <c r="D809" s="52" t="s">
        <v>121</v>
      </c>
      <c r="E809" s="52" t="s">
        <v>1548</v>
      </c>
      <c r="F809" s="595">
        <v>611.16999999999996</v>
      </c>
      <c r="G809" s="595">
        <v>815.85799999999995</v>
      </c>
    </row>
    <row r="810" spans="1:7" ht="10.050000000000001" customHeight="1">
      <c r="A810" s="597">
        <v>42694</v>
      </c>
      <c r="B810" s="54">
        <v>11</v>
      </c>
      <c r="C810" s="53">
        <v>2016</v>
      </c>
      <c r="D810" s="52" t="s">
        <v>121</v>
      </c>
      <c r="E810" s="52" t="s">
        <v>1548</v>
      </c>
      <c r="F810" s="595">
        <v>727.02499999999998</v>
      </c>
      <c r="G810" s="595">
        <v>939.22</v>
      </c>
    </row>
    <row r="811" spans="1:7" ht="10.050000000000001" customHeight="1">
      <c r="A811" s="597">
        <v>42724</v>
      </c>
      <c r="B811" s="54">
        <v>12</v>
      </c>
      <c r="C811" s="53">
        <v>2016</v>
      </c>
      <c r="D811" s="52" t="s">
        <v>121</v>
      </c>
      <c r="E811" s="52" t="s">
        <v>1548</v>
      </c>
      <c r="F811" s="595">
        <v>835.56</v>
      </c>
      <c r="G811" s="595">
        <v>1154.9559999999999</v>
      </c>
    </row>
    <row r="812" spans="1:7" ht="10.050000000000001" customHeight="1">
      <c r="A812" s="597">
        <v>42755</v>
      </c>
      <c r="B812" s="54">
        <v>1</v>
      </c>
      <c r="C812" s="53">
        <v>2017</v>
      </c>
      <c r="D812" s="52" t="s">
        <v>121</v>
      </c>
      <c r="E812" s="52" t="s">
        <v>1548</v>
      </c>
      <c r="F812" s="595">
        <v>1010.5839999999999</v>
      </c>
      <c r="G812" s="595">
        <v>977.36699999999996</v>
      </c>
    </row>
    <row r="813" spans="1:7" ht="10.050000000000001" customHeight="1">
      <c r="A813" s="597">
        <v>42786</v>
      </c>
      <c r="B813" s="54">
        <v>2</v>
      </c>
      <c r="C813" s="53">
        <v>2017</v>
      </c>
      <c r="D813" s="52" t="s">
        <v>121</v>
      </c>
      <c r="E813" s="52" t="s">
        <v>1548</v>
      </c>
      <c r="F813" s="595">
        <v>756.41899999999998</v>
      </c>
      <c r="G813" s="595">
        <v>1052.269</v>
      </c>
    </row>
    <row r="814" spans="1:7" ht="10.050000000000001" customHeight="1">
      <c r="A814" s="597">
        <v>42814</v>
      </c>
      <c r="B814" s="54">
        <v>3</v>
      </c>
      <c r="C814" s="53">
        <v>2017</v>
      </c>
      <c r="D814" s="52" t="s">
        <v>121</v>
      </c>
      <c r="E814" s="52" t="s">
        <v>1548</v>
      </c>
      <c r="F814" s="595">
        <v>784.39200000000005</v>
      </c>
      <c r="G814" s="595">
        <v>1073.0219999999999</v>
      </c>
    </row>
    <row r="815" spans="1:7" ht="10.050000000000001" customHeight="1">
      <c r="A815" s="597">
        <v>42845</v>
      </c>
      <c r="B815" s="54">
        <v>4</v>
      </c>
      <c r="C815" s="53">
        <v>2017</v>
      </c>
      <c r="D815" s="52" t="s">
        <v>121</v>
      </c>
      <c r="E815" s="52" t="s">
        <v>1548</v>
      </c>
      <c r="F815" s="595">
        <v>712.13199999999995</v>
      </c>
      <c r="G815" s="595">
        <v>983.61500000000001</v>
      </c>
    </row>
    <row r="816" spans="1:7" ht="10.050000000000001" customHeight="1">
      <c r="A816" s="597">
        <v>42875</v>
      </c>
      <c r="B816" s="54">
        <v>5</v>
      </c>
      <c r="C816" s="53">
        <v>2017</v>
      </c>
      <c r="D816" s="52" t="s">
        <v>121</v>
      </c>
      <c r="E816" s="52" t="s">
        <v>1548</v>
      </c>
      <c r="F816" s="595">
        <v>727.29399999999998</v>
      </c>
      <c r="G816" s="595">
        <v>965.68200000000002</v>
      </c>
    </row>
    <row r="817" spans="1:7" ht="10.050000000000001" customHeight="1">
      <c r="A817" s="597">
        <v>42906</v>
      </c>
      <c r="B817" s="54">
        <v>6</v>
      </c>
      <c r="C817" s="53">
        <v>2017</v>
      </c>
      <c r="D817" s="52" t="s">
        <v>121</v>
      </c>
      <c r="E817" s="52" t="s">
        <v>1548</v>
      </c>
      <c r="F817" s="595">
        <v>801.87699999999995</v>
      </c>
      <c r="G817" s="595">
        <v>1084.4570000000001</v>
      </c>
    </row>
    <row r="818" spans="1:7" ht="10.050000000000001" customHeight="1">
      <c r="A818" s="597">
        <v>42936</v>
      </c>
      <c r="B818" s="54">
        <v>7</v>
      </c>
      <c r="C818" s="53">
        <v>2017</v>
      </c>
      <c r="D818" s="52" t="s">
        <v>122</v>
      </c>
      <c r="E818" s="52" t="s">
        <v>1548</v>
      </c>
      <c r="F818" s="595">
        <v>747.90800000000002</v>
      </c>
      <c r="G818" s="595">
        <v>994.755</v>
      </c>
    </row>
    <row r="819" spans="1:7" ht="10.050000000000001" customHeight="1">
      <c r="A819" s="597">
        <v>42967</v>
      </c>
      <c r="B819" s="54">
        <v>8</v>
      </c>
      <c r="C819" s="53">
        <v>2017</v>
      </c>
      <c r="D819" s="52" t="s">
        <v>122</v>
      </c>
      <c r="E819" s="52" t="s">
        <v>1548</v>
      </c>
      <c r="F819" s="595">
        <v>859.16399999999999</v>
      </c>
      <c r="G819" s="595">
        <v>1174.403</v>
      </c>
    </row>
    <row r="820" spans="1:7" ht="10.050000000000001" customHeight="1">
      <c r="A820" s="597">
        <v>42998</v>
      </c>
      <c r="B820" s="54">
        <v>9</v>
      </c>
      <c r="C820" s="53">
        <v>2017</v>
      </c>
      <c r="D820" s="52" t="s">
        <v>122</v>
      </c>
      <c r="E820" s="52" t="s">
        <v>1548</v>
      </c>
      <c r="F820" s="595">
        <v>700.65899999999999</v>
      </c>
      <c r="G820" s="595">
        <v>973.40099999999995</v>
      </c>
    </row>
    <row r="821" spans="1:7" ht="10.050000000000001" customHeight="1">
      <c r="A821" s="597">
        <v>43028</v>
      </c>
      <c r="B821" s="54">
        <v>10</v>
      </c>
      <c r="C821" s="53">
        <v>2017</v>
      </c>
      <c r="D821" s="52" t="s">
        <v>122</v>
      </c>
      <c r="E821" s="52" t="s">
        <v>1548</v>
      </c>
      <c r="F821" s="595">
        <v>952.47400000000005</v>
      </c>
      <c r="G821" s="595">
        <v>1328.2439999999999</v>
      </c>
    </row>
    <row r="822" spans="1:7" ht="10.050000000000001" customHeight="1">
      <c r="A822" s="597">
        <v>43059</v>
      </c>
      <c r="B822" s="54">
        <v>11</v>
      </c>
      <c r="C822" s="53">
        <v>2017</v>
      </c>
      <c r="D822" s="52" t="s">
        <v>122</v>
      </c>
      <c r="E822" s="52" t="s">
        <v>1548</v>
      </c>
      <c r="F822" s="595">
        <v>708.75599999999997</v>
      </c>
      <c r="G822" s="595">
        <v>985.47199999999998</v>
      </c>
    </row>
    <row r="823" spans="1:7" ht="10.050000000000001" customHeight="1">
      <c r="A823" s="597">
        <v>43089</v>
      </c>
      <c r="B823" s="54">
        <v>12</v>
      </c>
      <c r="C823" s="53">
        <v>2017</v>
      </c>
      <c r="D823" s="52" t="s">
        <v>122</v>
      </c>
      <c r="E823" s="52" t="s">
        <v>1548</v>
      </c>
      <c r="F823" s="595">
        <v>861.827</v>
      </c>
      <c r="G823" s="595">
        <v>1164.8420000000001</v>
      </c>
    </row>
    <row r="824" spans="1:7" ht="10.050000000000001" customHeight="1">
      <c r="A824" s="597">
        <v>43120</v>
      </c>
      <c r="B824" s="54">
        <v>1</v>
      </c>
      <c r="C824" s="53">
        <v>2018</v>
      </c>
      <c r="D824" s="52" t="s">
        <v>122</v>
      </c>
      <c r="E824" s="52" t="s">
        <v>1548</v>
      </c>
      <c r="F824" s="595">
        <v>940.93</v>
      </c>
      <c r="G824" s="595">
        <v>1284.4780000000001</v>
      </c>
    </row>
    <row r="825" spans="1:7" ht="10.050000000000001" customHeight="1">
      <c r="A825" s="597">
        <v>43151</v>
      </c>
      <c r="B825" s="54">
        <v>2</v>
      </c>
      <c r="C825" s="53">
        <v>2018</v>
      </c>
      <c r="D825" s="52" t="s">
        <v>122</v>
      </c>
      <c r="E825" s="52" t="s">
        <v>1548</v>
      </c>
      <c r="F825" s="595">
        <v>838.41399999999999</v>
      </c>
      <c r="G825" s="595">
        <v>1115.1020000000001</v>
      </c>
    </row>
    <row r="826" spans="1:7" ht="10.050000000000001" customHeight="1">
      <c r="A826" s="597">
        <v>43179</v>
      </c>
      <c r="B826" s="54">
        <v>3</v>
      </c>
      <c r="C826" s="53">
        <v>2018</v>
      </c>
      <c r="D826" s="52" t="s">
        <v>122</v>
      </c>
      <c r="E826" s="52" t="s">
        <v>1548</v>
      </c>
      <c r="F826" s="595">
        <v>793.09299999999996</v>
      </c>
      <c r="G826" s="595">
        <v>1098.6179999999999</v>
      </c>
    </row>
    <row r="827" spans="1:7" ht="10.050000000000001" customHeight="1">
      <c r="A827" s="597">
        <v>43210</v>
      </c>
      <c r="B827" s="54">
        <v>4</v>
      </c>
      <c r="C827" s="53">
        <v>2018</v>
      </c>
      <c r="D827" s="52" t="s">
        <v>122</v>
      </c>
      <c r="E827" s="52" t="s">
        <v>1548</v>
      </c>
      <c r="F827" s="595">
        <v>1005.9880000000001</v>
      </c>
      <c r="G827" s="595">
        <v>1364.346</v>
      </c>
    </row>
    <row r="828" spans="1:7" ht="10.050000000000001" customHeight="1">
      <c r="A828" s="597">
        <v>43240</v>
      </c>
      <c r="B828" s="54">
        <v>5</v>
      </c>
      <c r="C828" s="53">
        <v>2018</v>
      </c>
      <c r="D828" s="52" t="s">
        <v>122</v>
      </c>
      <c r="E828" s="52" t="s">
        <v>1548</v>
      </c>
      <c r="F828" s="595">
        <v>773.95000000000095</v>
      </c>
      <c r="G828" s="595">
        <v>1070.864</v>
      </c>
    </row>
    <row r="829" spans="1:7" ht="10.050000000000001" customHeight="1">
      <c r="A829" s="597">
        <v>43271</v>
      </c>
      <c r="B829" s="54">
        <v>6</v>
      </c>
      <c r="C829" s="53">
        <v>2018</v>
      </c>
      <c r="D829" s="52" t="s">
        <v>122</v>
      </c>
      <c r="E829" s="52" t="s">
        <v>1548</v>
      </c>
      <c r="F829" s="595">
        <v>807.03700000000003</v>
      </c>
      <c r="G829" s="595">
        <v>1114.085</v>
      </c>
    </row>
    <row r="830" spans="1:7" ht="10.050000000000001" customHeight="1">
      <c r="A830" s="597">
        <v>43301</v>
      </c>
      <c r="B830" s="54">
        <v>7</v>
      </c>
      <c r="C830" s="53">
        <v>2018</v>
      </c>
      <c r="D830" s="52" t="s">
        <v>123</v>
      </c>
      <c r="E830" s="52" t="s">
        <v>1548</v>
      </c>
      <c r="F830" s="595">
        <v>838.06100000000004</v>
      </c>
      <c r="G830" s="595">
        <v>1202.4670000000001</v>
      </c>
    </row>
    <row r="831" spans="1:7" ht="10.050000000000001" customHeight="1">
      <c r="A831" s="597">
        <v>43332</v>
      </c>
      <c r="B831" s="54">
        <v>8</v>
      </c>
      <c r="C831" s="53">
        <v>2018</v>
      </c>
      <c r="D831" s="52" t="s">
        <v>123</v>
      </c>
      <c r="E831" s="52" t="s">
        <v>1548</v>
      </c>
      <c r="F831" s="595">
        <v>903.87199999999996</v>
      </c>
      <c r="G831" s="595">
        <v>1242.2460000000001</v>
      </c>
    </row>
    <row r="832" spans="1:7" ht="10.050000000000001" customHeight="1">
      <c r="A832" s="597">
        <v>43363</v>
      </c>
      <c r="B832" s="54">
        <v>9</v>
      </c>
      <c r="C832" s="53">
        <v>2018</v>
      </c>
      <c r="D832" s="52" t="s">
        <v>123</v>
      </c>
      <c r="E832" s="52" t="s">
        <v>1548</v>
      </c>
      <c r="F832" s="595">
        <v>819.24400000000003</v>
      </c>
      <c r="G832" s="595">
        <v>1099.21</v>
      </c>
    </row>
    <row r="833" spans="1:7" ht="10.050000000000001" customHeight="1">
      <c r="A833" s="597">
        <v>43393</v>
      </c>
      <c r="B833" s="54">
        <v>10</v>
      </c>
      <c r="C833" s="53">
        <v>2018</v>
      </c>
      <c r="D833" s="52" t="s">
        <v>123</v>
      </c>
      <c r="E833" s="52" t="s">
        <v>1548</v>
      </c>
      <c r="F833" s="595">
        <v>962.68499999999995</v>
      </c>
      <c r="G833" s="595">
        <v>1271.981</v>
      </c>
    </row>
    <row r="834" spans="1:7" ht="10.050000000000001" customHeight="1">
      <c r="A834" s="597">
        <v>43424</v>
      </c>
      <c r="B834" s="54">
        <v>11</v>
      </c>
      <c r="C834" s="53">
        <v>2018</v>
      </c>
      <c r="D834" s="52" t="s">
        <v>123</v>
      </c>
      <c r="E834" s="52" t="s">
        <v>1548</v>
      </c>
      <c r="F834" s="595">
        <v>936.298</v>
      </c>
      <c r="G834" s="595">
        <v>1393.2249999999999</v>
      </c>
    </row>
    <row r="835" spans="1:7" ht="10.050000000000001" customHeight="1">
      <c r="A835" s="597">
        <v>43454</v>
      </c>
      <c r="B835" s="54">
        <v>12</v>
      </c>
      <c r="C835" s="53">
        <v>2018</v>
      </c>
      <c r="D835" s="52" t="s">
        <v>123</v>
      </c>
      <c r="E835" s="52" t="s">
        <v>1548</v>
      </c>
      <c r="F835" s="595">
        <v>742.63800000000003</v>
      </c>
      <c r="G835" s="595">
        <v>1011.163</v>
      </c>
    </row>
    <row r="836" spans="1:7" ht="10.050000000000001" customHeight="1">
      <c r="A836" s="597">
        <v>43485</v>
      </c>
      <c r="B836" s="54">
        <v>1</v>
      </c>
      <c r="C836" s="53">
        <v>2019</v>
      </c>
      <c r="D836" s="52" t="s">
        <v>123</v>
      </c>
      <c r="E836" s="52" t="s">
        <v>1548</v>
      </c>
      <c r="F836" s="595">
        <v>932.56700000000001</v>
      </c>
      <c r="G836" s="595">
        <v>1210.693</v>
      </c>
    </row>
    <row r="837" spans="1:7" ht="10.050000000000001" customHeight="1">
      <c r="A837" s="597">
        <v>43516</v>
      </c>
      <c r="B837" s="54">
        <v>2</v>
      </c>
      <c r="C837" s="53">
        <v>2019</v>
      </c>
      <c r="D837" s="52" t="s">
        <v>123</v>
      </c>
      <c r="E837" s="52" t="s">
        <v>1548</v>
      </c>
      <c r="F837" s="595">
        <v>763.21900000000005</v>
      </c>
      <c r="G837" s="595">
        <v>1016.25</v>
      </c>
    </row>
    <row r="838" spans="1:7" ht="10.050000000000001" customHeight="1">
      <c r="A838" s="597">
        <v>43544</v>
      </c>
      <c r="B838" s="54">
        <v>3</v>
      </c>
      <c r="C838" s="53">
        <v>2019</v>
      </c>
      <c r="D838" s="52" t="s">
        <v>123</v>
      </c>
      <c r="E838" s="52" t="s">
        <v>1548</v>
      </c>
      <c r="F838" s="595">
        <v>645.71900000000005</v>
      </c>
      <c r="G838" s="595">
        <v>859.51499999999999</v>
      </c>
    </row>
    <row r="839" spans="1:7" ht="10.050000000000001" customHeight="1">
      <c r="A839" s="597">
        <v>43575</v>
      </c>
      <c r="B839" s="54">
        <v>4</v>
      </c>
      <c r="C839" s="53">
        <v>2019</v>
      </c>
      <c r="D839" s="52" t="s">
        <v>123</v>
      </c>
      <c r="E839" s="52" t="s">
        <v>1548</v>
      </c>
      <c r="F839" s="595">
        <v>861.57399999999996</v>
      </c>
      <c r="G839" s="595">
        <v>1125.6179999999999</v>
      </c>
    </row>
    <row r="840" spans="1:7" ht="10.050000000000001" customHeight="1">
      <c r="A840" s="597">
        <v>43605</v>
      </c>
      <c r="B840" s="54">
        <v>5</v>
      </c>
      <c r="C840" s="53">
        <v>2019</v>
      </c>
      <c r="D840" s="52" t="s">
        <v>123</v>
      </c>
      <c r="E840" s="52" t="s">
        <v>1548</v>
      </c>
      <c r="F840" s="595">
        <v>781.17899999999997</v>
      </c>
      <c r="G840" s="595">
        <v>1034.501</v>
      </c>
    </row>
    <row r="841" spans="1:7" ht="10.050000000000001" customHeight="1">
      <c r="A841" s="597">
        <v>43636</v>
      </c>
      <c r="B841" s="54">
        <v>6</v>
      </c>
      <c r="C841" s="53">
        <v>2019</v>
      </c>
      <c r="D841" s="52" t="s">
        <v>123</v>
      </c>
      <c r="E841" s="52" t="s">
        <v>1548</v>
      </c>
      <c r="F841" s="595">
        <v>901.37900000000002</v>
      </c>
      <c r="G841" s="595">
        <v>1214.954</v>
      </c>
    </row>
    <row r="842" spans="1:7" ht="10.050000000000001" customHeight="1">
      <c r="A842" s="597">
        <v>43666</v>
      </c>
      <c r="B842" s="54">
        <v>7</v>
      </c>
      <c r="C842" s="53">
        <v>2019</v>
      </c>
      <c r="D842" s="52" t="s">
        <v>124</v>
      </c>
      <c r="E842" s="52" t="s">
        <v>1548</v>
      </c>
      <c r="F842" s="595">
        <v>788.19299999999998</v>
      </c>
      <c r="G842" s="595">
        <v>1053.5219999999999</v>
      </c>
    </row>
    <row r="843" spans="1:7" ht="10.050000000000001" customHeight="1">
      <c r="A843" s="597">
        <v>43697</v>
      </c>
      <c r="B843" s="54">
        <v>8</v>
      </c>
      <c r="C843" s="53">
        <v>2019</v>
      </c>
      <c r="D843" s="52" t="s">
        <v>124</v>
      </c>
      <c r="E843" s="52" t="s">
        <v>1548</v>
      </c>
      <c r="F843" s="595">
        <v>781.97799999999995</v>
      </c>
      <c r="G843" s="595">
        <v>1053.7380000000001</v>
      </c>
    </row>
    <row r="844" spans="1:7" ht="10.050000000000001" customHeight="1">
      <c r="A844" s="597">
        <v>43728</v>
      </c>
      <c r="B844" s="54">
        <v>9</v>
      </c>
      <c r="C844" s="53">
        <v>2019</v>
      </c>
      <c r="D844" s="52" t="s">
        <v>124</v>
      </c>
      <c r="E844" s="52" t="s">
        <v>1548</v>
      </c>
      <c r="F844" s="595">
        <v>797.46199999999999</v>
      </c>
      <c r="G844" s="595">
        <v>1161.9090000000001</v>
      </c>
    </row>
    <row r="845" spans="1:7" ht="10.050000000000001" customHeight="1">
      <c r="A845" s="597">
        <v>43758</v>
      </c>
      <c r="B845" s="54">
        <v>10</v>
      </c>
      <c r="C845" s="53">
        <v>2019</v>
      </c>
      <c r="D845" s="52" t="s">
        <v>124</v>
      </c>
      <c r="E845" s="52" t="s">
        <v>1548</v>
      </c>
      <c r="F845" s="595">
        <v>934.81299999999999</v>
      </c>
      <c r="G845" s="595">
        <v>1242.8</v>
      </c>
    </row>
    <row r="846" spans="1:7" ht="10.050000000000001" customHeight="1">
      <c r="A846" s="597">
        <v>43789</v>
      </c>
      <c r="B846" s="54">
        <v>11</v>
      </c>
      <c r="C846" s="53">
        <v>2019</v>
      </c>
      <c r="D846" s="52" t="s">
        <v>124</v>
      </c>
      <c r="E846" s="52" t="s">
        <v>1548</v>
      </c>
      <c r="F846" s="595">
        <v>799.69299999999998</v>
      </c>
      <c r="G846" s="595">
        <v>1086.528</v>
      </c>
    </row>
    <row r="847" spans="1:7" ht="10.050000000000001" customHeight="1">
      <c r="A847" s="597">
        <v>43819</v>
      </c>
      <c r="B847" s="54">
        <v>12</v>
      </c>
      <c r="C847" s="53">
        <v>2019</v>
      </c>
      <c r="D847" s="52" t="s">
        <v>124</v>
      </c>
      <c r="E847" s="52" t="s">
        <v>1548</v>
      </c>
      <c r="F847" s="595">
        <v>750.31700000000001</v>
      </c>
      <c r="G847" s="595">
        <v>1016.5940000000001</v>
      </c>
    </row>
    <row r="848" spans="1:7" ht="10.050000000000001" customHeight="1">
      <c r="A848" s="597">
        <v>43850</v>
      </c>
      <c r="B848" s="54">
        <v>1</v>
      </c>
      <c r="C848" s="53">
        <v>2020</v>
      </c>
      <c r="D848" s="52" t="s">
        <v>124</v>
      </c>
      <c r="E848" s="52" t="s">
        <v>1548</v>
      </c>
      <c r="F848" s="595">
        <v>1001.575</v>
      </c>
      <c r="G848" s="595">
        <v>1432.7729999999999</v>
      </c>
    </row>
    <row r="849" spans="1:7" ht="10.050000000000001" customHeight="1">
      <c r="A849" s="597">
        <v>43881</v>
      </c>
      <c r="B849" s="54">
        <v>2</v>
      </c>
      <c r="C849" s="53">
        <v>2020</v>
      </c>
      <c r="D849" s="52" t="s">
        <v>124</v>
      </c>
      <c r="E849" s="52" t="s">
        <v>1548</v>
      </c>
      <c r="F849" s="595">
        <v>822.52700000000004</v>
      </c>
      <c r="G849" s="595">
        <v>1114.277</v>
      </c>
    </row>
    <row r="850" spans="1:7" ht="10.050000000000001" customHeight="1">
      <c r="A850" s="597">
        <v>43910</v>
      </c>
      <c r="B850" s="54">
        <v>3</v>
      </c>
      <c r="C850" s="53">
        <v>2020</v>
      </c>
      <c r="D850" s="52" t="s">
        <v>124</v>
      </c>
      <c r="E850" s="52" t="s">
        <v>1548</v>
      </c>
      <c r="F850" s="595">
        <v>865.26199999999994</v>
      </c>
      <c r="G850" s="595">
        <v>1183.085</v>
      </c>
    </row>
    <row r="851" spans="1:7" ht="10.050000000000001" customHeight="1">
      <c r="A851" s="597">
        <v>43941</v>
      </c>
      <c r="B851" s="54">
        <v>4</v>
      </c>
      <c r="C851" s="53">
        <v>2020</v>
      </c>
      <c r="D851" s="52" t="s">
        <v>124</v>
      </c>
      <c r="E851" s="52" t="s">
        <v>1548</v>
      </c>
      <c r="F851" s="595">
        <v>804.86199999999997</v>
      </c>
      <c r="G851" s="595">
        <v>1097.615</v>
      </c>
    </row>
    <row r="852" spans="1:7" ht="10.050000000000001" customHeight="1">
      <c r="A852" s="597">
        <v>43971</v>
      </c>
      <c r="B852" s="54">
        <v>5</v>
      </c>
      <c r="C852" s="53">
        <v>2020</v>
      </c>
      <c r="D852" s="52" t="s">
        <v>124</v>
      </c>
      <c r="E852" s="52" t="s">
        <v>1548</v>
      </c>
      <c r="F852" s="595">
        <v>650.76</v>
      </c>
      <c r="G852" s="595">
        <v>903.38900000000001</v>
      </c>
    </row>
    <row r="853" spans="1:7" ht="10.050000000000001" customHeight="1">
      <c r="A853" s="597">
        <v>44002</v>
      </c>
      <c r="B853" s="54">
        <v>6</v>
      </c>
      <c r="C853" s="53">
        <v>2020</v>
      </c>
      <c r="D853" s="52" t="s">
        <v>124</v>
      </c>
      <c r="E853" s="52" t="s">
        <v>1548</v>
      </c>
      <c r="F853" s="595">
        <v>842.42200000000003</v>
      </c>
      <c r="G853" s="595">
        <v>1071.373</v>
      </c>
    </row>
    <row r="854" spans="1:7" ht="10.050000000000001" customHeight="1">
      <c r="A854" s="597">
        <v>44032</v>
      </c>
      <c r="B854" s="54">
        <v>7</v>
      </c>
      <c r="C854" s="53">
        <v>2020</v>
      </c>
      <c r="D854" s="52" t="s">
        <v>125</v>
      </c>
      <c r="E854" s="52" t="s">
        <v>1548</v>
      </c>
      <c r="F854" s="595">
        <v>853.26700000000005</v>
      </c>
      <c r="G854" s="595">
        <v>1233.115</v>
      </c>
    </row>
    <row r="855" spans="1:7" ht="10.050000000000001" customHeight="1">
      <c r="A855" s="597">
        <v>44063</v>
      </c>
      <c r="B855" s="54">
        <v>8</v>
      </c>
      <c r="C855" s="53">
        <v>2020</v>
      </c>
      <c r="D855" s="52" t="s">
        <v>125</v>
      </c>
      <c r="E855" s="52" t="s">
        <v>1548</v>
      </c>
      <c r="F855" s="595">
        <v>843.847000000001</v>
      </c>
      <c r="G855" s="595">
        <v>1093.846</v>
      </c>
    </row>
    <row r="856" spans="1:7" ht="10.050000000000001" customHeight="1">
      <c r="A856" s="597">
        <v>44094</v>
      </c>
      <c r="B856" s="54">
        <v>9</v>
      </c>
      <c r="C856" s="53">
        <v>2020</v>
      </c>
      <c r="D856" s="52" t="s">
        <v>125</v>
      </c>
      <c r="E856" s="52" t="s">
        <v>1548</v>
      </c>
      <c r="F856" s="595">
        <v>848.25099999999998</v>
      </c>
      <c r="G856" s="595">
        <v>1195.2159999999999</v>
      </c>
    </row>
    <row r="857" spans="1:7" ht="10.050000000000001" customHeight="1">
      <c r="A857" s="597">
        <v>44124</v>
      </c>
      <c r="B857" s="54">
        <v>10</v>
      </c>
      <c r="C857" s="53">
        <v>2020</v>
      </c>
      <c r="D857" s="52" t="s">
        <v>125</v>
      </c>
      <c r="E857" s="52" t="s">
        <v>1548</v>
      </c>
      <c r="F857" s="595">
        <v>926.51099999999997</v>
      </c>
      <c r="G857" s="595">
        <v>1250.5509999999999</v>
      </c>
    </row>
    <row r="858" spans="1:7" ht="10.050000000000001" customHeight="1">
      <c r="A858" s="597">
        <v>44155</v>
      </c>
      <c r="B858" s="54">
        <v>11</v>
      </c>
      <c r="C858" s="53">
        <v>2020</v>
      </c>
      <c r="D858" s="52" t="s">
        <v>125</v>
      </c>
      <c r="E858" s="52" t="s">
        <v>1548</v>
      </c>
      <c r="F858" s="595">
        <v>912.01700000000005</v>
      </c>
      <c r="G858" s="595">
        <v>1284.075</v>
      </c>
    </row>
    <row r="859" spans="1:7" ht="10.050000000000001" customHeight="1">
      <c r="A859" s="597">
        <v>44185</v>
      </c>
      <c r="B859" s="54">
        <v>12</v>
      </c>
      <c r="C859" s="53">
        <v>2020</v>
      </c>
      <c r="D859" s="52" t="s">
        <v>125</v>
      </c>
      <c r="E859" s="52" t="s">
        <v>1548</v>
      </c>
      <c r="F859" s="595">
        <v>874.48299999999995</v>
      </c>
      <c r="G859" s="595">
        <v>1159.0450000000001</v>
      </c>
    </row>
    <row r="860" spans="1:7" ht="10.050000000000001" customHeight="1">
      <c r="A860" s="597">
        <v>44216</v>
      </c>
      <c r="B860" s="54">
        <v>1</v>
      </c>
      <c r="C860" s="53">
        <v>2021</v>
      </c>
      <c r="D860" s="52" t="s">
        <v>125</v>
      </c>
      <c r="E860" s="52" t="s">
        <v>1548</v>
      </c>
      <c r="F860" s="595">
        <v>809.97699999999998</v>
      </c>
      <c r="G860" s="595">
        <v>1115.0999999999999</v>
      </c>
    </row>
    <row r="861" spans="1:7" ht="10.050000000000001" customHeight="1">
      <c r="A861" s="597">
        <v>44247</v>
      </c>
      <c r="B861" s="54">
        <v>2</v>
      </c>
      <c r="C861" s="53">
        <v>2021</v>
      </c>
      <c r="D861" s="52" t="s">
        <v>125</v>
      </c>
      <c r="E861" s="52" t="s">
        <v>1548</v>
      </c>
      <c r="F861" s="595">
        <v>762.96299999999997</v>
      </c>
      <c r="G861" s="595">
        <v>1080.481</v>
      </c>
    </row>
    <row r="862" spans="1:7" ht="10.050000000000001" customHeight="1">
      <c r="A862" s="597">
        <v>44275</v>
      </c>
      <c r="B862" s="54">
        <v>3</v>
      </c>
      <c r="C862" s="53">
        <v>2021</v>
      </c>
      <c r="D862" s="52" t="s">
        <v>125</v>
      </c>
      <c r="E862" s="52" t="s">
        <v>1548</v>
      </c>
      <c r="F862" s="595">
        <v>986.05499999999995</v>
      </c>
      <c r="G862" s="595">
        <v>1302.9760000000001</v>
      </c>
    </row>
    <row r="863" spans="1:7" ht="10.050000000000001" customHeight="1">
      <c r="A863" s="597">
        <v>44306</v>
      </c>
      <c r="B863" s="54">
        <v>4</v>
      </c>
      <c r="C863" s="53">
        <v>2021</v>
      </c>
      <c r="D863" s="52" t="s">
        <v>125</v>
      </c>
      <c r="E863" s="52" t="s">
        <v>1548</v>
      </c>
      <c r="F863" s="595">
        <v>953.39300000000003</v>
      </c>
      <c r="G863" s="595">
        <v>1274.847</v>
      </c>
    </row>
    <row r="864" spans="1:7" ht="10.050000000000001" customHeight="1">
      <c r="A864" s="597">
        <v>44336</v>
      </c>
      <c r="B864" s="54">
        <v>5</v>
      </c>
      <c r="C864" s="53">
        <v>2021</v>
      </c>
      <c r="D864" s="52" t="s">
        <v>125</v>
      </c>
      <c r="E864" s="52" t="s">
        <v>1548</v>
      </c>
      <c r="F864" s="595">
        <v>928.75</v>
      </c>
      <c r="G864" s="595">
        <v>1185.5719999999999</v>
      </c>
    </row>
    <row r="865" spans="1:7" ht="10.050000000000001" customHeight="1">
      <c r="A865" s="597">
        <v>44367</v>
      </c>
      <c r="B865" s="54">
        <v>6</v>
      </c>
      <c r="C865" s="53">
        <v>2021</v>
      </c>
      <c r="D865" s="52" t="s">
        <v>125</v>
      </c>
      <c r="E865" s="52" t="s">
        <v>1548</v>
      </c>
      <c r="F865" s="595">
        <v>944.03099999999995</v>
      </c>
      <c r="G865" s="595">
        <v>1268.1890000000001</v>
      </c>
    </row>
    <row r="866" spans="1:7" ht="10.050000000000001" customHeight="1">
      <c r="A866" s="597">
        <v>44397</v>
      </c>
      <c r="B866" s="54">
        <v>7</v>
      </c>
      <c r="C866" s="53">
        <v>2021</v>
      </c>
      <c r="D866" s="52" t="s">
        <v>126</v>
      </c>
      <c r="E866" s="52" t="s">
        <v>1548</v>
      </c>
      <c r="F866" s="595">
        <v>982.71799999999996</v>
      </c>
      <c r="G866" s="595">
        <v>1322.0540000000001</v>
      </c>
    </row>
    <row r="867" spans="1:7" ht="10.050000000000001" customHeight="1">
      <c r="A867" s="597">
        <v>44428</v>
      </c>
      <c r="B867" s="54">
        <v>8</v>
      </c>
      <c r="C867" s="53">
        <v>2021</v>
      </c>
      <c r="D867" s="52" t="s">
        <v>126</v>
      </c>
      <c r="E867" s="52" t="s">
        <v>1548</v>
      </c>
      <c r="F867" s="595">
        <v>1043.1949999999999</v>
      </c>
      <c r="G867" s="595">
        <v>1406.173</v>
      </c>
    </row>
    <row r="868" spans="1:7" ht="10.050000000000001" customHeight="1">
      <c r="A868" s="597">
        <v>44459</v>
      </c>
      <c r="B868" s="54">
        <v>9</v>
      </c>
      <c r="C868" s="53">
        <v>2021</v>
      </c>
      <c r="D868" s="52" t="s">
        <v>126</v>
      </c>
      <c r="E868" s="52" t="s">
        <v>1548</v>
      </c>
      <c r="F868" s="595">
        <v>946.16099999999994</v>
      </c>
      <c r="G868" s="595">
        <v>1284.1569999999999</v>
      </c>
    </row>
    <row r="869" spans="1:7" ht="10.050000000000001" customHeight="1">
      <c r="A869" s="597">
        <v>44489</v>
      </c>
      <c r="B869" s="54">
        <v>10</v>
      </c>
      <c r="C869" s="53">
        <v>2021</v>
      </c>
      <c r="D869" s="52" t="s">
        <v>126</v>
      </c>
      <c r="E869" s="52" t="s">
        <v>1548</v>
      </c>
      <c r="F869" s="595">
        <v>1072.913</v>
      </c>
      <c r="G869" s="595">
        <v>1470.623</v>
      </c>
    </row>
    <row r="870" spans="1:7" ht="10.050000000000001" customHeight="1">
      <c r="A870" s="597">
        <v>44520</v>
      </c>
      <c r="B870" s="54">
        <v>11</v>
      </c>
      <c r="C870" s="53">
        <v>2021</v>
      </c>
      <c r="D870" s="52" t="s">
        <v>126</v>
      </c>
      <c r="E870" s="52" t="s">
        <v>1548</v>
      </c>
      <c r="F870" s="595">
        <v>1041.077</v>
      </c>
      <c r="G870" s="595">
        <v>1402.7950000000001</v>
      </c>
    </row>
    <row r="871" spans="1:7" ht="10.050000000000001" customHeight="1">
      <c r="A871" s="597">
        <v>44550</v>
      </c>
      <c r="B871" s="54">
        <v>12</v>
      </c>
      <c r="C871" s="53">
        <v>2021</v>
      </c>
      <c r="D871" s="52" t="s">
        <v>126</v>
      </c>
      <c r="E871" s="52" t="s">
        <v>1548</v>
      </c>
      <c r="F871" s="595">
        <v>1035.163</v>
      </c>
      <c r="G871" s="595">
        <v>1441.3040000000001</v>
      </c>
    </row>
    <row r="872" spans="1:7" ht="10.050000000000001" customHeight="1">
      <c r="A872" s="597">
        <v>44581</v>
      </c>
      <c r="B872" s="54">
        <v>1</v>
      </c>
      <c r="C872" s="53">
        <v>2022</v>
      </c>
      <c r="D872" s="52" t="s">
        <v>126</v>
      </c>
      <c r="E872" s="52" t="s">
        <v>1548</v>
      </c>
      <c r="F872" s="595">
        <v>934.78300000000002</v>
      </c>
      <c r="G872" s="595">
        <v>1247.904</v>
      </c>
    </row>
    <row r="873" spans="1:7" ht="10.050000000000001" customHeight="1">
      <c r="A873" s="597">
        <v>44612</v>
      </c>
      <c r="B873" s="54">
        <v>2</v>
      </c>
      <c r="C873" s="53">
        <v>2022</v>
      </c>
      <c r="D873" s="52" t="s">
        <v>126</v>
      </c>
      <c r="E873" s="52" t="s">
        <v>1548</v>
      </c>
      <c r="F873" s="595">
        <v>957.42700000000002</v>
      </c>
      <c r="G873" s="595">
        <v>1294.67</v>
      </c>
    </row>
    <row r="874" spans="1:7" ht="10.050000000000001" customHeight="1">
      <c r="A874" s="597">
        <v>44640</v>
      </c>
      <c r="B874" s="54">
        <v>3</v>
      </c>
      <c r="C874" s="53">
        <v>2022</v>
      </c>
      <c r="D874" s="52" t="s">
        <v>126</v>
      </c>
      <c r="E874" s="52" t="s">
        <v>1548</v>
      </c>
      <c r="F874" s="595">
        <v>1012.948</v>
      </c>
      <c r="G874" s="595">
        <v>1365.827</v>
      </c>
    </row>
    <row r="875" spans="1:7" ht="10.050000000000001" customHeight="1">
      <c r="A875" s="597">
        <v>44671</v>
      </c>
      <c r="B875" s="54">
        <v>4</v>
      </c>
      <c r="C875" s="53">
        <v>2022</v>
      </c>
      <c r="D875" s="52" t="s">
        <v>126</v>
      </c>
      <c r="E875" s="52" t="s">
        <v>1548</v>
      </c>
      <c r="F875" s="595">
        <v>905.70799999999997</v>
      </c>
      <c r="G875" s="595">
        <v>1228.6130000000001</v>
      </c>
    </row>
    <row r="876" spans="1:7" ht="10.050000000000001" customHeight="1">
      <c r="A876" s="597">
        <v>44701</v>
      </c>
      <c r="B876" s="54">
        <v>5</v>
      </c>
      <c r="C876" s="53">
        <v>2022</v>
      </c>
      <c r="D876" s="52" t="s">
        <v>126</v>
      </c>
      <c r="E876" s="52" t="s">
        <v>1548</v>
      </c>
      <c r="F876" s="595">
        <v>938.2</v>
      </c>
      <c r="G876" s="595">
        <v>1285.914</v>
      </c>
    </row>
    <row r="877" spans="1:7" ht="10.050000000000001" customHeight="1">
      <c r="A877" s="597">
        <v>44732</v>
      </c>
      <c r="B877" s="54">
        <v>6</v>
      </c>
      <c r="C877" s="53">
        <v>2022</v>
      </c>
      <c r="D877" s="52" t="s">
        <v>126</v>
      </c>
      <c r="E877" s="52" t="s">
        <v>1548</v>
      </c>
      <c r="F877" s="595">
        <v>1091.117</v>
      </c>
      <c r="G877" s="595">
        <v>1481.163</v>
      </c>
    </row>
    <row r="878" spans="1:7" ht="10.050000000000001" customHeight="1">
      <c r="A878" s="597">
        <v>44762</v>
      </c>
      <c r="B878" s="54">
        <v>7</v>
      </c>
      <c r="C878" s="53">
        <v>2022</v>
      </c>
      <c r="D878" s="52" t="s">
        <v>127</v>
      </c>
      <c r="E878" s="52" t="s">
        <v>1548</v>
      </c>
      <c r="F878" s="595">
        <v>953.39599999999996</v>
      </c>
      <c r="G878" s="595">
        <v>1294.0619999999999</v>
      </c>
    </row>
    <row r="879" spans="1:7" ht="10.050000000000001" customHeight="1">
      <c r="A879" s="597">
        <v>44793</v>
      </c>
      <c r="B879" s="54">
        <v>8</v>
      </c>
      <c r="C879" s="53">
        <v>2022</v>
      </c>
      <c r="D879" s="52" t="s">
        <v>127</v>
      </c>
      <c r="E879" s="52" t="s">
        <v>1548</v>
      </c>
      <c r="F879" s="595">
        <v>1361.17</v>
      </c>
      <c r="G879" s="595">
        <v>2080.3719999999998</v>
      </c>
    </row>
    <row r="880" spans="1:7" ht="10.050000000000001" customHeight="1">
      <c r="A880" s="597">
        <v>44824</v>
      </c>
      <c r="B880" s="54">
        <v>9</v>
      </c>
      <c r="C880" s="53">
        <v>2022</v>
      </c>
      <c r="D880" s="52" t="s">
        <v>127</v>
      </c>
      <c r="E880" s="52" t="s">
        <v>1548</v>
      </c>
      <c r="F880" s="595">
        <v>1544.838</v>
      </c>
      <c r="G880" s="595">
        <v>2071.69</v>
      </c>
    </row>
    <row r="881" spans="1:7" ht="10.050000000000001" customHeight="1">
      <c r="A881" s="597">
        <v>44854</v>
      </c>
      <c r="B881" s="54">
        <v>10</v>
      </c>
      <c r="C881" s="53">
        <v>2022</v>
      </c>
      <c r="D881" s="52" t="s">
        <v>127</v>
      </c>
      <c r="E881" s="52" t="s">
        <v>1548</v>
      </c>
      <c r="F881" s="595">
        <v>1307.83</v>
      </c>
      <c r="G881" s="595">
        <v>2090.989</v>
      </c>
    </row>
    <row r="882" spans="1:7" ht="10.050000000000001" customHeight="1">
      <c r="A882" s="597">
        <v>44885</v>
      </c>
      <c r="B882" s="54">
        <v>11</v>
      </c>
      <c r="C882" s="53">
        <v>2022</v>
      </c>
      <c r="D882" s="52" t="s">
        <v>127</v>
      </c>
      <c r="E882" s="52" t="s">
        <v>1548</v>
      </c>
      <c r="F882" s="595">
        <v>1461.211</v>
      </c>
      <c r="G882" s="595">
        <v>2057.0970000000002</v>
      </c>
    </row>
    <row r="883" spans="1:7" ht="10.050000000000001" customHeight="1">
      <c r="A883" s="597">
        <v>44915</v>
      </c>
      <c r="B883" s="54">
        <v>12</v>
      </c>
      <c r="C883" s="53">
        <v>2022</v>
      </c>
      <c r="D883" s="52" t="s">
        <v>127</v>
      </c>
      <c r="E883" s="52" t="s">
        <v>1548</v>
      </c>
      <c r="F883" s="595">
        <v>1403.3610000000001</v>
      </c>
      <c r="G883" s="595">
        <v>1860.84</v>
      </c>
    </row>
    <row r="884" spans="1:7" ht="10.050000000000001" customHeight="1">
      <c r="A884" s="597">
        <v>44946</v>
      </c>
      <c r="B884" s="54">
        <v>1</v>
      </c>
      <c r="C884" s="53">
        <v>2023</v>
      </c>
      <c r="D884" s="52" t="s">
        <v>127</v>
      </c>
      <c r="E884" s="52" t="s">
        <v>1548</v>
      </c>
      <c r="F884" s="595">
        <v>1252.384</v>
      </c>
      <c r="G884" s="595">
        <v>1742.9490000000001</v>
      </c>
    </row>
    <row r="885" spans="1:7" ht="10.050000000000001" customHeight="1">
      <c r="A885" s="597">
        <v>44977</v>
      </c>
      <c r="B885" s="54">
        <v>2</v>
      </c>
      <c r="C885" s="53">
        <v>2023</v>
      </c>
      <c r="D885" s="52" t="s">
        <v>127</v>
      </c>
      <c r="E885" s="52" t="s">
        <v>1548</v>
      </c>
      <c r="F885" s="595">
        <v>1352.962</v>
      </c>
      <c r="G885" s="595">
        <v>2103.837</v>
      </c>
    </row>
    <row r="886" spans="1:7" ht="10.050000000000001" customHeight="1">
      <c r="A886" s="597">
        <v>45005</v>
      </c>
      <c r="B886" s="54">
        <v>3</v>
      </c>
      <c r="C886" s="53">
        <v>2023</v>
      </c>
      <c r="D886" s="52" t="s">
        <v>127</v>
      </c>
      <c r="E886" s="52" t="s">
        <v>1548</v>
      </c>
      <c r="F886" s="595">
        <v>1452.6310000000001</v>
      </c>
      <c r="G886" s="595">
        <v>2134.3249999999998</v>
      </c>
    </row>
    <row r="887" spans="1:7" ht="10.050000000000001" customHeight="1">
      <c r="A887" s="597">
        <v>45036</v>
      </c>
      <c r="B887" s="54">
        <v>4</v>
      </c>
      <c r="C887" s="53">
        <v>2023</v>
      </c>
      <c r="D887" s="52" t="s">
        <v>127</v>
      </c>
      <c r="E887" s="52" t="s">
        <v>1548</v>
      </c>
      <c r="F887" s="595">
        <v>1195.537</v>
      </c>
      <c r="G887" s="595">
        <v>1783.98</v>
      </c>
    </row>
    <row r="888" spans="1:7" ht="10.050000000000001" customHeight="1">
      <c r="A888" s="597">
        <v>45066</v>
      </c>
      <c r="B888" s="54">
        <v>5</v>
      </c>
      <c r="C888" s="53">
        <v>2023</v>
      </c>
      <c r="D888" s="52" t="s">
        <v>127</v>
      </c>
      <c r="E888" s="52" t="s">
        <v>1548</v>
      </c>
      <c r="F888" s="595">
        <v>1350.2260000000001</v>
      </c>
      <c r="G888" s="595">
        <v>1949.2280000000001</v>
      </c>
    </row>
    <row r="889" spans="1:7" ht="10.050000000000001" customHeight="1">
      <c r="A889" s="597">
        <v>45097</v>
      </c>
      <c r="B889" s="54">
        <v>6</v>
      </c>
      <c r="C889" s="53">
        <v>2023</v>
      </c>
      <c r="D889" s="52" t="s">
        <v>127</v>
      </c>
      <c r="E889" s="52" t="s">
        <v>1548</v>
      </c>
      <c r="F889" s="595">
        <v>1462.51</v>
      </c>
      <c r="G889" s="595">
        <v>1961.7919999999999</v>
      </c>
    </row>
    <row r="890" spans="1:7" ht="10.050000000000001" customHeight="1">
      <c r="A890" s="597">
        <v>45127</v>
      </c>
      <c r="B890" s="54">
        <v>7</v>
      </c>
      <c r="C890" s="53">
        <v>2023</v>
      </c>
      <c r="D890" s="52" t="s">
        <v>128</v>
      </c>
      <c r="E890" s="52" t="s">
        <v>1548</v>
      </c>
      <c r="F890" s="595">
        <v>1370.9390000000001</v>
      </c>
      <c r="G890" s="595">
        <v>1940.585</v>
      </c>
    </row>
    <row r="891" spans="1:7" ht="10.050000000000001" customHeight="1">
      <c r="A891" s="597">
        <v>45158</v>
      </c>
      <c r="B891" s="54">
        <v>8</v>
      </c>
      <c r="C891" s="53">
        <v>2023</v>
      </c>
      <c r="D891" s="52" t="s">
        <v>128</v>
      </c>
      <c r="E891" s="52" t="s">
        <v>1548</v>
      </c>
      <c r="F891" s="595">
        <v>1428.2470000000001</v>
      </c>
      <c r="G891" s="595">
        <v>2077.8910000000001</v>
      </c>
    </row>
    <row r="892" spans="1:7" ht="10.050000000000001" customHeight="1">
      <c r="A892" s="597">
        <v>45189</v>
      </c>
      <c r="B892" s="54">
        <v>9</v>
      </c>
      <c r="C892" s="53">
        <v>2023</v>
      </c>
      <c r="D892" s="52" t="s">
        <v>128</v>
      </c>
      <c r="E892" s="52" t="s">
        <v>1548</v>
      </c>
      <c r="F892" s="595">
        <v>1460.4760000000001</v>
      </c>
      <c r="G892" s="595">
        <v>2011.0540000000001</v>
      </c>
    </row>
    <row r="893" spans="1:7" ht="10.050000000000001" customHeight="1">
      <c r="A893" s="597">
        <v>45219</v>
      </c>
      <c r="B893" s="54">
        <v>10</v>
      </c>
      <c r="C893" s="53">
        <v>2023</v>
      </c>
      <c r="D893" s="52" t="s">
        <v>128</v>
      </c>
      <c r="E893" s="52" t="s">
        <v>1548</v>
      </c>
      <c r="F893" s="595">
        <v>1547.8</v>
      </c>
      <c r="G893" s="595">
        <v>2185.46</v>
      </c>
    </row>
    <row r="894" spans="1:7" ht="10.050000000000001" customHeight="1">
      <c r="A894" s="597">
        <v>45250</v>
      </c>
      <c r="B894" s="54">
        <v>11</v>
      </c>
      <c r="C894" s="53">
        <v>2023</v>
      </c>
      <c r="D894" s="52" t="s">
        <v>128</v>
      </c>
      <c r="E894" s="52" t="s">
        <v>1548</v>
      </c>
      <c r="F894" s="595">
        <v>1489.3050000000001</v>
      </c>
      <c r="G894" s="595">
        <v>2054.7429999999999</v>
      </c>
    </row>
    <row r="895" spans="1:7" ht="10.050000000000001" customHeight="1">
      <c r="A895" s="597">
        <v>45280</v>
      </c>
      <c r="B895" s="54">
        <v>12</v>
      </c>
      <c r="C895" s="53">
        <v>2023</v>
      </c>
      <c r="D895" s="52" t="s">
        <v>128</v>
      </c>
      <c r="E895" s="52" t="s">
        <v>1548</v>
      </c>
      <c r="F895" s="595">
        <v>1480.1959999999999</v>
      </c>
      <c r="G895" s="595">
        <v>2005.1189999999999</v>
      </c>
    </row>
    <row r="896" spans="1:7" ht="10.050000000000001" customHeight="1">
      <c r="A896" s="597">
        <v>45311</v>
      </c>
      <c r="B896" s="54">
        <v>1</v>
      </c>
      <c r="C896" s="53">
        <v>2024</v>
      </c>
      <c r="D896" s="52" t="s">
        <v>128</v>
      </c>
      <c r="E896" s="52" t="s">
        <v>1548</v>
      </c>
      <c r="F896" s="595">
        <v>1568.991</v>
      </c>
      <c r="G896" s="595">
        <v>2096.0079999999998</v>
      </c>
    </row>
    <row r="897" spans="1:7" ht="10.050000000000001" customHeight="1">
      <c r="A897" s="597">
        <v>45342</v>
      </c>
      <c r="B897" s="54">
        <v>2</v>
      </c>
      <c r="C897" s="53">
        <v>2024</v>
      </c>
      <c r="D897" s="52" t="s">
        <v>128</v>
      </c>
      <c r="E897" s="52" t="s">
        <v>1548</v>
      </c>
      <c r="F897" s="595">
        <v>1438.492</v>
      </c>
      <c r="G897" s="595">
        <v>1995.905</v>
      </c>
    </row>
    <row r="898" spans="1:7" ht="10.050000000000001" customHeight="1">
      <c r="A898" s="597">
        <v>45371</v>
      </c>
      <c r="B898" s="54">
        <v>3</v>
      </c>
      <c r="C898" s="53">
        <v>2024</v>
      </c>
      <c r="D898" s="52" t="s">
        <v>128</v>
      </c>
      <c r="E898" s="52" t="s">
        <v>1548</v>
      </c>
      <c r="F898" s="595">
        <v>1358.1949999999999</v>
      </c>
      <c r="G898" s="595">
        <v>1858.3979999999999</v>
      </c>
    </row>
    <row r="899" spans="1:7" ht="10.050000000000001" customHeight="1">
      <c r="A899" s="597">
        <v>45402</v>
      </c>
      <c r="B899" s="54">
        <v>4</v>
      </c>
      <c r="C899" s="53">
        <v>2024</v>
      </c>
      <c r="D899" s="52" t="s">
        <v>128</v>
      </c>
      <c r="E899" s="52" t="s">
        <v>1548</v>
      </c>
      <c r="F899" s="595">
        <v>1401.9179999999999</v>
      </c>
      <c r="G899" s="595">
        <v>1920.4929999999999</v>
      </c>
    </row>
    <row r="900" spans="1:7" ht="10.050000000000001" customHeight="1">
      <c r="A900" s="597">
        <v>45432</v>
      </c>
      <c r="B900" s="54">
        <v>5</v>
      </c>
      <c r="C900" s="53">
        <v>2024</v>
      </c>
      <c r="D900" s="52" t="s">
        <v>128</v>
      </c>
      <c r="E900" s="52" t="s">
        <v>1548</v>
      </c>
      <c r="F900" s="595">
        <v>1274.22</v>
      </c>
      <c r="G900" s="595">
        <v>1759.192</v>
      </c>
    </row>
    <row r="901" spans="1:7" ht="10.050000000000001" customHeight="1">
      <c r="A901" s="597">
        <v>45463</v>
      </c>
      <c r="B901" s="54">
        <v>6</v>
      </c>
      <c r="C901" s="53">
        <v>2024</v>
      </c>
      <c r="D901" s="52" t="s">
        <v>128</v>
      </c>
      <c r="E901" s="52" t="s">
        <v>1548</v>
      </c>
      <c r="F901" s="595">
        <v>1206.4949999999999</v>
      </c>
      <c r="G901" s="595">
        <v>1640.595</v>
      </c>
    </row>
    <row r="902" spans="1:7" ht="10.050000000000001" customHeight="1">
      <c r="A902" s="597">
        <v>45493</v>
      </c>
      <c r="B902" s="54">
        <v>7</v>
      </c>
      <c r="C902" s="53">
        <v>2024</v>
      </c>
      <c r="D902" s="52" t="s">
        <v>129</v>
      </c>
      <c r="E902" s="52" t="s">
        <v>1548</v>
      </c>
      <c r="F902" s="595">
        <v>1277.588</v>
      </c>
      <c r="G902" s="595">
        <v>1797.6220000000001</v>
      </c>
    </row>
    <row r="903" spans="1:7" ht="10.050000000000001" customHeight="1">
      <c r="A903" s="597">
        <v>45524</v>
      </c>
      <c r="B903" s="54">
        <v>8</v>
      </c>
      <c r="C903" s="53">
        <v>2024</v>
      </c>
      <c r="D903" s="52" t="s">
        <v>129</v>
      </c>
      <c r="E903" s="52" t="s">
        <v>1548</v>
      </c>
      <c r="F903" s="595">
        <v>1236.4100000000001</v>
      </c>
      <c r="G903" s="595">
        <v>1739.8810000000001</v>
      </c>
    </row>
    <row r="904" spans="1:7" ht="10.050000000000001" customHeight="1">
      <c r="A904" s="597">
        <v>45555</v>
      </c>
      <c r="B904" s="54">
        <v>9</v>
      </c>
      <c r="C904" s="53">
        <v>2024</v>
      </c>
      <c r="D904" s="52" t="s">
        <v>129</v>
      </c>
      <c r="E904" s="52" t="s">
        <v>1548</v>
      </c>
      <c r="F904" s="595">
        <v>1409.3409999999999</v>
      </c>
      <c r="G904" s="595">
        <v>1957.232</v>
      </c>
    </row>
    <row r="905" spans="1:7" ht="10.050000000000001" customHeight="1">
      <c r="A905" s="597">
        <v>45585</v>
      </c>
      <c r="B905" s="54">
        <v>10</v>
      </c>
      <c r="C905" s="53">
        <v>2024</v>
      </c>
      <c r="D905" s="52" t="s">
        <v>129</v>
      </c>
      <c r="E905" s="52" t="s">
        <v>1548</v>
      </c>
      <c r="F905" s="595">
        <v>1340.088</v>
      </c>
      <c r="G905" s="595">
        <v>1848.175</v>
      </c>
    </row>
    <row r="906" spans="1:7" ht="10.050000000000001" customHeight="1">
      <c r="A906" s="597">
        <v>45616</v>
      </c>
      <c r="B906" s="54">
        <v>11</v>
      </c>
      <c r="C906" s="53">
        <v>2024</v>
      </c>
      <c r="D906" s="52" t="s">
        <v>129</v>
      </c>
      <c r="E906" s="52" t="s">
        <v>1548</v>
      </c>
      <c r="F906" s="595">
        <v>1105.239</v>
      </c>
      <c r="G906" s="595">
        <v>1543.0740000000001</v>
      </c>
    </row>
    <row r="907" spans="1:7" ht="10.050000000000001" customHeight="1">
      <c r="A907" s="597">
        <v>45646</v>
      </c>
      <c r="B907" s="54">
        <v>12</v>
      </c>
      <c r="C907" s="53">
        <v>2024</v>
      </c>
      <c r="D907" s="52" t="s">
        <v>129</v>
      </c>
      <c r="E907" s="52" t="s">
        <v>1548</v>
      </c>
      <c r="F907" s="595">
        <v>1304.7380000000001</v>
      </c>
      <c r="G907" s="595">
        <v>1782.8869999999999</v>
      </c>
    </row>
    <row r="908" spans="1:7" ht="10.050000000000001" customHeight="1">
      <c r="A908" s="597">
        <v>45677</v>
      </c>
      <c r="B908" s="54">
        <v>1</v>
      </c>
      <c r="C908" s="53">
        <v>2025</v>
      </c>
      <c r="D908" s="52" t="s">
        <v>129</v>
      </c>
      <c r="E908" s="52" t="s">
        <v>1548</v>
      </c>
      <c r="F908" s="595">
        <v>1451.1079999999999</v>
      </c>
      <c r="G908" s="595">
        <v>1976.4280000000001</v>
      </c>
    </row>
    <row r="909" spans="1:7" ht="10.050000000000001" customHeight="1">
      <c r="A909" s="597">
        <v>36545</v>
      </c>
      <c r="B909" s="54">
        <v>1</v>
      </c>
      <c r="C909" s="53">
        <v>2000</v>
      </c>
      <c r="D909" s="52" t="s">
        <v>1008</v>
      </c>
      <c r="E909" s="52" t="s">
        <v>310</v>
      </c>
      <c r="F909" s="595">
        <v>1542.1</v>
      </c>
      <c r="G909" s="595">
        <v>2055.6</v>
      </c>
    </row>
    <row r="910" spans="1:7" ht="10.050000000000001" customHeight="1">
      <c r="A910" s="597">
        <v>36576</v>
      </c>
      <c r="B910" s="54">
        <v>2</v>
      </c>
      <c r="C910" s="53">
        <v>2000</v>
      </c>
      <c r="D910" s="52" t="s">
        <v>1008</v>
      </c>
      <c r="E910" s="52" t="s">
        <v>310</v>
      </c>
      <c r="F910" s="595">
        <v>1721.7</v>
      </c>
      <c r="G910" s="595">
        <v>2088.1</v>
      </c>
    </row>
    <row r="911" spans="1:7" ht="10.050000000000001" customHeight="1">
      <c r="A911" s="597">
        <v>36605</v>
      </c>
      <c r="B911" s="54">
        <v>3</v>
      </c>
      <c r="C911" s="53">
        <v>2000</v>
      </c>
      <c r="D911" s="52" t="s">
        <v>1008</v>
      </c>
      <c r="E911" s="52" t="s">
        <v>310</v>
      </c>
      <c r="F911" s="595">
        <v>2121.6</v>
      </c>
      <c r="G911" s="595">
        <v>2592</v>
      </c>
    </row>
    <row r="912" spans="1:7" ht="10.050000000000001" customHeight="1">
      <c r="A912" s="597">
        <v>36636</v>
      </c>
      <c r="B912" s="54">
        <v>4</v>
      </c>
      <c r="C912" s="53">
        <v>2000</v>
      </c>
      <c r="D912" s="52" t="s">
        <v>1008</v>
      </c>
      <c r="E912" s="52" t="s">
        <v>310</v>
      </c>
      <c r="F912" s="595">
        <v>1651.6</v>
      </c>
      <c r="G912" s="595">
        <v>2053.1999999999998</v>
      </c>
    </row>
    <row r="913" spans="1:7" ht="10.050000000000001" customHeight="1">
      <c r="A913" s="597">
        <v>36666</v>
      </c>
      <c r="B913" s="54">
        <v>5</v>
      </c>
      <c r="C913" s="53">
        <v>2000</v>
      </c>
      <c r="D913" s="52" t="s">
        <v>1008</v>
      </c>
      <c r="E913" s="52" t="s">
        <v>310</v>
      </c>
      <c r="F913" s="595">
        <v>2150.6999999999998</v>
      </c>
      <c r="G913" s="595">
        <v>2607.8000000000002</v>
      </c>
    </row>
    <row r="914" spans="1:7" ht="10.050000000000001" customHeight="1">
      <c r="A914" s="597">
        <v>36697</v>
      </c>
      <c r="B914" s="54">
        <v>6</v>
      </c>
      <c r="C914" s="53">
        <v>2000</v>
      </c>
      <c r="D914" s="52" t="s">
        <v>1008</v>
      </c>
      <c r="E914" s="52" t="s">
        <v>310</v>
      </c>
      <c r="F914" s="595">
        <v>1902.2</v>
      </c>
      <c r="G914" s="595">
        <v>2337.6999999999998</v>
      </c>
    </row>
    <row r="915" spans="1:7" ht="10.050000000000001" customHeight="1">
      <c r="A915" s="597">
        <v>36727</v>
      </c>
      <c r="B915" s="54">
        <v>7</v>
      </c>
      <c r="C915" s="53">
        <v>2000</v>
      </c>
      <c r="D915" s="52" t="s">
        <v>105</v>
      </c>
      <c r="E915" s="52" t="s">
        <v>310</v>
      </c>
      <c r="F915" s="595">
        <v>1601.1</v>
      </c>
      <c r="G915" s="595">
        <v>2583.6</v>
      </c>
    </row>
    <row r="916" spans="1:7" ht="10.050000000000001" customHeight="1">
      <c r="A916" s="597">
        <v>36758</v>
      </c>
      <c r="B916" s="54">
        <v>8</v>
      </c>
      <c r="C916" s="53">
        <v>2000</v>
      </c>
      <c r="D916" s="52" t="s">
        <v>105</v>
      </c>
      <c r="E916" s="52" t="s">
        <v>310</v>
      </c>
      <c r="F916" s="595">
        <v>1934</v>
      </c>
      <c r="G916" s="595">
        <v>2329.8000000000002</v>
      </c>
    </row>
    <row r="917" spans="1:7" ht="10.050000000000001" customHeight="1">
      <c r="A917" s="597">
        <v>36789</v>
      </c>
      <c r="B917" s="54">
        <v>9</v>
      </c>
      <c r="C917" s="53">
        <v>2000</v>
      </c>
      <c r="D917" s="52" t="s">
        <v>105</v>
      </c>
      <c r="E917" s="52" t="s">
        <v>310</v>
      </c>
      <c r="F917" s="595">
        <v>1597.1</v>
      </c>
      <c r="G917" s="595">
        <v>2479.1</v>
      </c>
    </row>
    <row r="918" spans="1:7" ht="10.050000000000001" customHeight="1">
      <c r="A918" s="597">
        <v>36819</v>
      </c>
      <c r="B918" s="54">
        <v>10</v>
      </c>
      <c r="C918" s="53">
        <v>2000</v>
      </c>
      <c r="D918" s="52" t="s">
        <v>105</v>
      </c>
      <c r="E918" s="52" t="s">
        <v>310</v>
      </c>
      <c r="F918" s="595">
        <v>2257.8000000000002</v>
      </c>
      <c r="G918" s="595">
        <v>2719.3</v>
      </c>
    </row>
    <row r="919" spans="1:7" ht="10.050000000000001" customHeight="1">
      <c r="A919" s="597">
        <v>36850</v>
      </c>
      <c r="B919" s="54">
        <v>11</v>
      </c>
      <c r="C919" s="53">
        <v>2000</v>
      </c>
      <c r="D919" s="52" t="s">
        <v>105</v>
      </c>
      <c r="E919" s="52" t="s">
        <v>310</v>
      </c>
      <c r="F919" s="595">
        <v>2480.9</v>
      </c>
      <c r="G919" s="595">
        <v>3117.7</v>
      </c>
    </row>
    <row r="920" spans="1:7" ht="10.050000000000001" customHeight="1">
      <c r="A920" s="597">
        <v>36880</v>
      </c>
      <c r="B920" s="54">
        <v>12</v>
      </c>
      <c r="C920" s="53">
        <v>2000</v>
      </c>
      <c r="D920" s="52" t="s">
        <v>105</v>
      </c>
      <c r="E920" s="52" t="s">
        <v>310</v>
      </c>
      <c r="F920" s="595">
        <v>2209.6</v>
      </c>
      <c r="G920" s="595">
        <v>3244.7</v>
      </c>
    </row>
    <row r="921" spans="1:7" ht="10.050000000000001" customHeight="1">
      <c r="A921" s="597">
        <v>36911</v>
      </c>
      <c r="B921" s="54">
        <v>1</v>
      </c>
      <c r="C921" s="53">
        <v>2001</v>
      </c>
      <c r="D921" s="52" t="s">
        <v>105</v>
      </c>
      <c r="E921" s="52" t="s">
        <v>310</v>
      </c>
      <c r="F921" s="595">
        <v>1935</v>
      </c>
      <c r="G921" s="595">
        <v>2348.6999999999998</v>
      </c>
    </row>
    <row r="922" spans="1:7" ht="10.050000000000001" customHeight="1">
      <c r="A922" s="597">
        <v>36942</v>
      </c>
      <c r="B922" s="54">
        <v>2</v>
      </c>
      <c r="C922" s="53">
        <v>2001</v>
      </c>
      <c r="D922" s="52" t="s">
        <v>105</v>
      </c>
      <c r="E922" s="52" t="s">
        <v>310</v>
      </c>
      <c r="F922" s="595">
        <v>1619.6</v>
      </c>
      <c r="G922" s="595">
        <v>1969</v>
      </c>
    </row>
    <row r="923" spans="1:7" ht="10.050000000000001" customHeight="1">
      <c r="A923" s="597">
        <v>36970</v>
      </c>
      <c r="B923" s="54">
        <v>3</v>
      </c>
      <c r="C923" s="53">
        <v>2001</v>
      </c>
      <c r="D923" s="52" t="s">
        <v>105</v>
      </c>
      <c r="E923" s="52" t="s">
        <v>310</v>
      </c>
      <c r="F923" s="595">
        <v>1879.2</v>
      </c>
      <c r="G923" s="595">
        <v>2674.7</v>
      </c>
    </row>
    <row r="924" spans="1:7" ht="10.050000000000001" customHeight="1">
      <c r="A924" s="597">
        <v>37001</v>
      </c>
      <c r="B924" s="54">
        <v>4</v>
      </c>
      <c r="C924" s="53">
        <v>2001</v>
      </c>
      <c r="D924" s="52" t="s">
        <v>105</v>
      </c>
      <c r="E924" s="52" t="s">
        <v>310</v>
      </c>
      <c r="F924" s="595">
        <v>1952.7</v>
      </c>
      <c r="G924" s="595">
        <v>2370.1999999999998</v>
      </c>
    </row>
    <row r="925" spans="1:7" ht="10.050000000000001" customHeight="1">
      <c r="A925" s="597">
        <v>37031</v>
      </c>
      <c r="B925" s="54">
        <v>5</v>
      </c>
      <c r="C925" s="53">
        <v>2001</v>
      </c>
      <c r="D925" s="52" t="s">
        <v>105</v>
      </c>
      <c r="E925" s="52" t="s">
        <v>310</v>
      </c>
      <c r="F925" s="595">
        <v>2021.6</v>
      </c>
      <c r="G925" s="595">
        <v>2452.1999999999998</v>
      </c>
    </row>
    <row r="926" spans="1:7" ht="10.050000000000001" customHeight="1">
      <c r="A926" s="597">
        <v>37062</v>
      </c>
      <c r="B926" s="54">
        <v>6</v>
      </c>
      <c r="C926" s="53">
        <v>2001</v>
      </c>
      <c r="D926" s="52" t="s">
        <v>105</v>
      </c>
      <c r="E926" s="52" t="s">
        <v>310</v>
      </c>
      <c r="F926" s="595">
        <v>1962.1</v>
      </c>
      <c r="G926" s="595">
        <v>2451.1</v>
      </c>
    </row>
    <row r="927" spans="1:7" ht="10.050000000000001" customHeight="1">
      <c r="A927" s="597">
        <v>37092</v>
      </c>
      <c r="B927" s="54">
        <v>7</v>
      </c>
      <c r="C927" s="53">
        <v>2001</v>
      </c>
      <c r="D927" s="52" t="s">
        <v>108</v>
      </c>
      <c r="E927" s="52" t="s">
        <v>310</v>
      </c>
      <c r="F927" s="595">
        <v>1850.5</v>
      </c>
      <c r="G927" s="595">
        <v>2259.6999999999998</v>
      </c>
    </row>
    <row r="928" spans="1:7" ht="10.050000000000001" customHeight="1">
      <c r="A928" s="597">
        <v>37123</v>
      </c>
      <c r="B928" s="54">
        <v>8</v>
      </c>
      <c r="C928" s="53">
        <v>2001</v>
      </c>
      <c r="D928" s="52" t="s">
        <v>108</v>
      </c>
      <c r="E928" s="52" t="s">
        <v>310</v>
      </c>
      <c r="F928" s="595">
        <v>1901.7</v>
      </c>
      <c r="G928" s="595">
        <v>2396.9</v>
      </c>
    </row>
    <row r="929" spans="1:7" ht="10.050000000000001" customHeight="1">
      <c r="A929" s="597">
        <v>37154</v>
      </c>
      <c r="B929" s="54">
        <v>9</v>
      </c>
      <c r="C929" s="53">
        <v>2001</v>
      </c>
      <c r="D929" s="52" t="s">
        <v>108</v>
      </c>
      <c r="E929" s="52" t="s">
        <v>310</v>
      </c>
      <c r="F929" s="595">
        <v>1720.4</v>
      </c>
      <c r="G929" s="595">
        <v>2268.1</v>
      </c>
    </row>
    <row r="930" spans="1:7" ht="10.050000000000001" customHeight="1">
      <c r="A930" s="597">
        <v>37184</v>
      </c>
      <c r="B930" s="54">
        <v>10</v>
      </c>
      <c r="C930" s="53">
        <v>2001</v>
      </c>
      <c r="D930" s="52" t="s">
        <v>108</v>
      </c>
      <c r="E930" s="52" t="s">
        <v>310</v>
      </c>
      <c r="F930" s="595">
        <v>2290.1999999999998</v>
      </c>
      <c r="G930" s="595">
        <v>2818.4</v>
      </c>
    </row>
    <row r="931" spans="1:7" ht="10.050000000000001" customHeight="1">
      <c r="A931" s="597">
        <v>37215</v>
      </c>
      <c r="B931" s="54">
        <v>11</v>
      </c>
      <c r="C931" s="53">
        <v>2001</v>
      </c>
      <c r="D931" s="52" t="s">
        <v>108</v>
      </c>
      <c r="E931" s="52" t="s">
        <v>310</v>
      </c>
      <c r="F931" s="595">
        <v>2609.1999999999998</v>
      </c>
      <c r="G931" s="595">
        <v>3313</v>
      </c>
    </row>
    <row r="932" spans="1:7" ht="10.050000000000001" customHeight="1">
      <c r="A932" s="597">
        <v>37245</v>
      </c>
      <c r="B932" s="54">
        <v>12</v>
      </c>
      <c r="C932" s="53">
        <v>2001</v>
      </c>
      <c r="D932" s="52" t="s">
        <v>108</v>
      </c>
      <c r="E932" s="52" t="s">
        <v>310</v>
      </c>
      <c r="F932" s="595">
        <v>2215.8000000000002</v>
      </c>
      <c r="G932" s="595">
        <v>2778.3</v>
      </c>
    </row>
    <row r="933" spans="1:7" ht="10.050000000000001" customHeight="1">
      <c r="A933" s="597">
        <v>37276</v>
      </c>
      <c r="B933" s="54">
        <v>1</v>
      </c>
      <c r="C933" s="53">
        <v>2002</v>
      </c>
      <c r="D933" s="52" t="s">
        <v>108</v>
      </c>
      <c r="E933" s="52" t="s">
        <v>310</v>
      </c>
      <c r="F933" s="595">
        <v>1921.4</v>
      </c>
      <c r="G933" s="595">
        <v>2458.1</v>
      </c>
    </row>
    <row r="934" spans="1:7" ht="10.050000000000001" customHeight="1">
      <c r="A934" s="597">
        <v>37307</v>
      </c>
      <c r="B934" s="54">
        <v>2</v>
      </c>
      <c r="C934" s="53">
        <v>2002</v>
      </c>
      <c r="D934" s="52" t="s">
        <v>108</v>
      </c>
      <c r="E934" s="52" t="s">
        <v>310</v>
      </c>
      <c r="F934" s="595">
        <v>1517.1</v>
      </c>
      <c r="G934" s="595">
        <v>1855.7</v>
      </c>
    </row>
    <row r="935" spans="1:7" ht="10.050000000000001" customHeight="1">
      <c r="A935" s="597">
        <v>37335</v>
      </c>
      <c r="B935" s="54">
        <v>3</v>
      </c>
      <c r="C935" s="53">
        <v>2002</v>
      </c>
      <c r="D935" s="52" t="s">
        <v>108</v>
      </c>
      <c r="E935" s="52" t="s">
        <v>310</v>
      </c>
      <c r="F935" s="595">
        <v>2020.2</v>
      </c>
      <c r="G935" s="595">
        <v>2469.8000000000002</v>
      </c>
    </row>
    <row r="936" spans="1:7" ht="10.050000000000001" customHeight="1">
      <c r="A936" s="597">
        <v>37366</v>
      </c>
      <c r="B936" s="54">
        <v>4</v>
      </c>
      <c r="C936" s="53">
        <v>2002</v>
      </c>
      <c r="D936" s="52" t="s">
        <v>108</v>
      </c>
      <c r="E936" s="52" t="s">
        <v>310</v>
      </c>
      <c r="F936" s="595">
        <v>1703.6</v>
      </c>
      <c r="G936" s="595">
        <v>2346</v>
      </c>
    </row>
    <row r="937" spans="1:7" ht="10.050000000000001" customHeight="1">
      <c r="A937" s="597">
        <v>37396</v>
      </c>
      <c r="B937" s="54">
        <v>5</v>
      </c>
      <c r="C937" s="53">
        <v>2002</v>
      </c>
      <c r="D937" s="52" t="s">
        <v>108</v>
      </c>
      <c r="E937" s="52" t="s">
        <v>310</v>
      </c>
      <c r="F937" s="595">
        <v>1745.8</v>
      </c>
      <c r="G937" s="595">
        <v>2233.1</v>
      </c>
    </row>
    <row r="938" spans="1:7" ht="10.050000000000001" customHeight="1">
      <c r="A938" s="597">
        <v>37427</v>
      </c>
      <c r="B938" s="54">
        <v>6</v>
      </c>
      <c r="C938" s="53">
        <v>2002</v>
      </c>
      <c r="D938" s="52" t="s">
        <v>108</v>
      </c>
      <c r="E938" s="52" t="s">
        <v>310</v>
      </c>
      <c r="F938" s="595">
        <v>2116.1999999999998</v>
      </c>
      <c r="G938" s="595">
        <v>2403</v>
      </c>
    </row>
    <row r="939" spans="1:7" ht="10.050000000000001" customHeight="1">
      <c r="A939" s="597">
        <v>37457</v>
      </c>
      <c r="B939" s="54">
        <v>7</v>
      </c>
      <c r="C939" s="53">
        <v>2002</v>
      </c>
      <c r="D939" s="52" t="s">
        <v>109</v>
      </c>
      <c r="E939" s="52" t="s">
        <v>310</v>
      </c>
      <c r="F939" s="595">
        <v>2004.5</v>
      </c>
      <c r="G939" s="595">
        <v>2380.8000000000002</v>
      </c>
    </row>
    <row r="940" spans="1:7" ht="10.050000000000001" customHeight="1">
      <c r="A940" s="597">
        <v>37488</v>
      </c>
      <c r="B940" s="54">
        <v>8</v>
      </c>
      <c r="C940" s="53">
        <v>2002</v>
      </c>
      <c r="D940" s="52" t="s">
        <v>109</v>
      </c>
      <c r="E940" s="52" t="s">
        <v>310</v>
      </c>
      <c r="F940" s="595">
        <v>1762.6</v>
      </c>
      <c r="G940" s="595">
        <v>2120.6999999999998</v>
      </c>
    </row>
    <row r="941" spans="1:7" ht="10.050000000000001" customHeight="1">
      <c r="A941" s="597">
        <v>37519</v>
      </c>
      <c r="B941" s="54">
        <v>9</v>
      </c>
      <c r="C941" s="53">
        <v>2002</v>
      </c>
      <c r="D941" s="52" t="s">
        <v>109</v>
      </c>
      <c r="E941" s="52" t="s">
        <v>310</v>
      </c>
      <c r="F941" s="595">
        <v>2045.2</v>
      </c>
      <c r="G941" s="595">
        <v>2337.4</v>
      </c>
    </row>
    <row r="942" spans="1:7" ht="10.050000000000001" customHeight="1">
      <c r="A942" s="597">
        <v>37549</v>
      </c>
      <c r="B942" s="54">
        <v>10</v>
      </c>
      <c r="C942" s="53">
        <v>2002</v>
      </c>
      <c r="D942" s="52" t="s">
        <v>109</v>
      </c>
      <c r="E942" s="52" t="s">
        <v>310</v>
      </c>
      <c r="F942" s="595">
        <v>2370.8000000000002</v>
      </c>
      <c r="G942" s="595">
        <v>2739.6</v>
      </c>
    </row>
    <row r="943" spans="1:7" ht="10.050000000000001" customHeight="1">
      <c r="A943" s="597">
        <v>37580</v>
      </c>
      <c r="B943" s="54">
        <v>11</v>
      </c>
      <c r="C943" s="53">
        <v>2002</v>
      </c>
      <c r="D943" s="52" t="s">
        <v>109</v>
      </c>
      <c r="E943" s="52" t="s">
        <v>310</v>
      </c>
      <c r="F943" s="595">
        <v>2369.6</v>
      </c>
      <c r="G943" s="595">
        <v>2765.1</v>
      </c>
    </row>
    <row r="944" spans="1:7" ht="10.050000000000001" customHeight="1">
      <c r="A944" s="597">
        <v>37610</v>
      </c>
      <c r="B944" s="54">
        <v>12</v>
      </c>
      <c r="C944" s="53">
        <v>2002</v>
      </c>
      <c r="D944" s="52" t="s">
        <v>109</v>
      </c>
      <c r="E944" s="52" t="s">
        <v>310</v>
      </c>
      <c r="F944" s="595">
        <v>2561.4699999999998</v>
      </c>
      <c r="G944" s="595">
        <v>2941.7</v>
      </c>
    </row>
    <row r="945" spans="1:7" ht="10.050000000000001" customHeight="1">
      <c r="A945" s="597">
        <v>37641</v>
      </c>
      <c r="B945" s="54">
        <v>1</v>
      </c>
      <c r="C945" s="53">
        <v>2003</v>
      </c>
      <c r="D945" s="52" t="s">
        <v>109</v>
      </c>
      <c r="E945" s="52" t="s">
        <v>310</v>
      </c>
      <c r="F945" s="595">
        <v>1883.2</v>
      </c>
      <c r="G945" s="595">
        <v>2327.1</v>
      </c>
    </row>
    <row r="946" spans="1:7" ht="10.050000000000001" customHeight="1">
      <c r="A946" s="597">
        <v>37672</v>
      </c>
      <c r="B946" s="54">
        <v>2</v>
      </c>
      <c r="C946" s="53">
        <v>2003</v>
      </c>
      <c r="D946" s="52" t="s">
        <v>109</v>
      </c>
      <c r="E946" s="52" t="s">
        <v>310</v>
      </c>
      <c r="F946" s="595">
        <v>1494.2</v>
      </c>
      <c r="G946" s="595">
        <v>1789.8</v>
      </c>
    </row>
    <row r="947" spans="1:7" ht="10.050000000000001" customHeight="1">
      <c r="A947" s="597">
        <v>37700</v>
      </c>
      <c r="B947" s="54">
        <v>3</v>
      </c>
      <c r="C947" s="53">
        <v>2003</v>
      </c>
      <c r="D947" s="52" t="s">
        <v>109</v>
      </c>
      <c r="E947" s="52" t="s">
        <v>310</v>
      </c>
      <c r="F947" s="595">
        <v>1327.4</v>
      </c>
      <c r="G947" s="595">
        <v>2176</v>
      </c>
    </row>
    <row r="948" spans="1:7" ht="10.050000000000001" customHeight="1">
      <c r="A948" s="597">
        <v>37731</v>
      </c>
      <c r="B948" s="54">
        <v>4</v>
      </c>
      <c r="C948" s="53">
        <v>2003</v>
      </c>
      <c r="D948" s="52" t="s">
        <v>109</v>
      </c>
      <c r="E948" s="52" t="s">
        <v>310</v>
      </c>
      <c r="F948" s="595">
        <v>1810</v>
      </c>
      <c r="G948" s="595">
        <v>2213.3000000000002</v>
      </c>
    </row>
    <row r="949" spans="1:7" ht="10.050000000000001" customHeight="1">
      <c r="A949" s="597">
        <v>37761</v>
      </c>
      <c r="B949" s="54">
        <v>5</v>
      </c>
      <c r="C949" s="53">
        <v>2003</v>
      </c>
      <c r="D949" s="52" t="s">
        <v>109</v>
      </c>
      <c r="E949" s="52" t="s">
        <v>310</v>
      </c>
      <c r="F949" s="595">
        <v>1449.2</v>
      </c>
      <c r="G949" s="595">
        <v>1929.3</v>
      </c>
    </row>
    <row r="950" spans="1:7" ht="10.050000000000001" customHeight="1">
      <c r="A950" s="597">
        <v>37792</v>
      </c>
      <c r="B950" s="54">
        <v>6</v>
      </c>
      <c r="C950" s="53">
        <v>2003</v>
      </c>
      <c r="D950" s="52" t="s">
        <v>109</v>
      </c>
      <c r="E950" s="52" t="s">
        <v>310</v>
      </c>
      <c r="F950" s="595">
        <v>1724.5</v>
      </c>
      <c r="G950" s="595">
        <v>2061.1</v>
      </c>
    </row>
    <row r="951" spans="1:7" ht="10.050000000000001" customHeight="1">
      <c r="A951" s="597">
        <v>37822</v>
      </c>
      <c r="B951" s="54">
        <v>7</v>
      </c>
      <c r="C951" s="53">
        <v>2003</v>
      </c>
      <c r="D951" s="52" t="s">
        <v>106</v>
      </c>
      <c r="E951" s="52" t="s">
        <v>310</v>
      </c>
      <c r="F951" s="595">
        <v>1617.3</v>
      </c>
      <c r="G951" s="595">
        <v>2106.1</v>
      </c>
    </row>
    <row r="952" spans="1:7" ht="10.050000000000001" customHeight="1">
      <c r="A952" s="597">
        <v>37853</v>
      </c>
      <c r="B952" s="54">
        <v>8</v>
      </c>
      <c r="C952" s="53">
        <v>2003</v>
      </c>
      <c r="D952" s="52" t="s">
        <v>106</v>
      </c>
      <c r="E952" s="52" t="s">
        <v>310</v>
      </c>
      <c r="F952" s="595">
        <v>1561.3</v>
      </c>
      <c r="G952" s="595">
        <v>1855.8</v>
      </c>
    </row>
    <row r="953" spans="1:7" ht="10.050000000000001" customHeight="1">
      <c r="A953" s="597">
        <v>37884</v>
      </c>
      <c r="B953" s="54">
        <v>9</v>
      </c>
      <c r="C953" s="53">
        <v>2003</v>
      </c>
      <c r="D953" s="52" t="s">
        <v>106</v>
      </c>
      <c r="E953" s="52" t="s">
        <v>310</v>
      </c>
      <c r="F953" s="595">
        <v>1801.5</v>
      </c>
      <c r="G953" s="595">
        <v>2176.3000000000002</v>
      </c>
    </row>
    <row r="954" spans="1:7" ht="10.050000000000001" customHeight="1">
      <c r="A954" s="597">
        <v>37914</v>
      </c>
      <c r="B954" s="54">
        <v>10</v>
      </c>
      <c r="C954" s="53">
        <v>2003</v>
      </c>
      <c r="D954" s="52" t="s">
        <v>106</v>
      </c>
      <c r="E954" s="52" t="s">
        <v>310</v>
      </c>
      <c r="F954" s="595">
        <v>2105.1999999999998</v>
      </c>
      <c r="G954" s="595">
        <v>2442.8000000000002</v>
      </c>
    </row>
    <row r="955" spans="1:7" ht="10.050000000000001" customHeight="1">
      <c r="A955" s="597">
        <v>37945</v>
      </c>
      <c r="B955" s="54">
        <v>11</v>
      </c>
      <c r="C955" s="53">
        <v>2003</v>
      </c>
      <c r="D955" s="52" t="s">
        <v>106</v>
      </c>
      <c r="E955" s="52" t="s">
        <v>310</v>
      </c>
      <c r="F955" s="595">
        <v>2178.1999999999998</v>
      </c>
      <c r="G955" s="595">
        <v>2765.9</v>
      </c>
    </row>
    <row r="956" spans="1:7" ht="10.050000000000001" customHeight="1">
      <c r="A956" s="597">
        <v>37975</v>
      </c>
      <c r="B956" s="54">
        <v>12</v>
      </c>
      <c r="C956" s="53">
        <v>2003</v>
      </c>
      <c r="D956" s="52" t="s">
        <v>106</v>
      </c>
      <c r="E956" s="52" t="s">
        <v>310</v>
      </c>
      <c r="F956" s="595">
        <v>2686.2</v>
      </c>
      <c r="G956" s="595">
        <v>2528.6999999999998</v>
      </c>
    </row>
    <row r="957" spans="1:7" ht="10.050000000000001" customHeight="1">
      <c r="A957" s="597">
        <v>38006</v>
      </c>
      <c r="B957" s="54">
        <v>1</v>
      </c>
      <c r="C957" s="53">
        <v>2004</v>
      </c>
      <c r="D957" s="52" t="s">
        <v>106</v>
      </c>
      <c r="E957" s="52" t="s">
        <v>310</v>
      </c>
      <c r="F957" s="595">
        <v>1695</v>
      </c>
      <c r="G957" s="595">
        <v>2067.3000000000002</v>
      </c>
    </row>
    <row r="958" spans="1:7" ht="10.050000000000001" customHeight="1">
      <c r="A958" s="597">
        <v>38037</v>
      </c>
      <c r="B958" s="54">
        <v>2</v>
      </c>
      <c r="C958" s="53">
        <v>2004</v>
      </c>
      <c r="D958" s="52" t="s">
        <v>106</v>
      </c>
      <c r="E958" s="52" t="s">
        <v>310</v>
      </c>
      <c r="F958" s="595">
        <v>1530.3</v>
      </c>
      <c r="G958" s="595">
        <v>1797.7</v>
      </c>
    </row>
    <row r="959" spans="1:7" ht="10.050000000000001" customHeight="1">
      <c r="A959" s="597">
        <v>38066</v>
      </c>
      <c r="B959" s="54">
        <v>3</v>
      </c>
      <c r="C959" s="53">
        <v>2004</v>
      </c>
      <c r="D959" s="52" t="s">
        <v>106</v>
      </c>
      <c r="E959" s="52" t="s">
        <v>310</v>
      </c>
      <c r="F959" s="595">
        <v>1906.8</v>
      </c>
      <c r="G959" s="595">
        <v>2374.4</v>
      </c>
    </row>
    <row r="960" spans="1:7" ht="10.050000000000001" customHeight="1">
      <c r="A960" s="597">
        <v>38097</v>
      </c>
      <c r="B960" s="54">
        <v>4</v>
      </c>
      <c r="C960" s="53">
        <v>2004</v>
      </c>
      <c r="D960" s="52" t="s">
        <v>106</v>
      </c>
      <c r="E960" s="52" t="s">
        <v>310</v>
      </c>
      <c r="F960" s="595">
        <v>1792.9</v>
      </c>
      <c r="G960" s="595">
        <v>2148.6</v>
      </c>
    </row>
    <row r="961" spans="1:7" ht="10.050000000000001" customHeight="1">
      <c r="A961" s="597">
        <v>38127</v>
      </c>
      <c r="B961" s="54">
        <v>5</v>
      </c>
      <c r="C961" s="53">
        <v>2004</v>
      </c>
      <c r="D961" s="52" t="s">
        <v>106</v>
      </c>
      <c r="E961" s="52" t="s">
        <v>310</v>
      </c>
      <c r="F961" s="595">
        <v>1465.2</v>
      </c>
      <c r="G961" s="595">
        <v>1782.1</v>
      </c>
    </row>
    <row r="962" spans="1:7" ht="10.050000000000001" customHeight="1">
      <c r="A962" s="597">
        <v>38158</v>
      </c>
      <c r="B962" s="54">
        <v>6</v>
      </c>
      <c r="C962" s="53">
        <v>2004</v>
      </c>
      <c r="D962" s="52" t="s">
        <v>106</v>
      </c>
      <c r="E962" s="52" t="s">
        <v>310</v>
      </c>
      <c r="F962" s="595">
        <v>1950.7</v>
      </c>
      <c r="G962" s="595">
        <v>2334.3000000000002</v>
      </c>
    </row>
    <row r="963" spans="1:7" ht="10.050000000000001" customHeight="1">
      <c r="A963" s="597">
        <v>38188</v>
      </c>
      <c r="B963" s="54">
        <v>7</v>
      </c>
      <c r="C963" s="53">
        <v>2004</v>
      </c>
      <c r="D963" s="52" t="s">
        <v>110</v>
      </c>
      <c r="E963" s="52" t="s">
        <v>310</v>
      </c>
      <c r="F963" s="595">
        <v>1158.2</v>
      </c>
      <c r="G963" s="595">
        <v>2096.1999999999998</v>
      </c>
    </row>
    <row r="964" spans="1:7" ht="10.050000000000001" customHeight="1">
      <c r="A964" s="597">
        <v>38219</v>
      </c>
      <c r="B964" s="54">
        <v>8</v>
      </c>
      <c r="C964" s="53">
        <v>2004</v>
      </c>
      <c r="D964" s="52" t="s">
        <v>110</v>
      </c>
      <c r="E964" s="52" t="s">
        <v>310</v>
      </c>
      <c r="F964" s="595">
        <v>1718.5</v>
      </c>
      <c r="G964" s="595">
        <v>2161.1</v>
      </c>
    </row>
    <row r="965" spans="1:7" ht="10.050000000000001" customHeight="1">
      <c r="A965" s="597">
        <v>38250</v>
      </c>
      <c r="B965" s="54">
        <v>9</v>
      </c>
      <c r="C965" s="53">
        <v>2004</v>
      </c>
      <c r="D965" s="52" t="s">
        <v>110</v>
      </c>
      <c r="E965" s="52" t="s">
        <v>310</v>
      </c>
      <c r="F965" s="595">
        <v>2068.5</v>
      </c>
      <c r="G965" s="595">
        <v>2417.8000000000002</v>
      </c>
    </row>
    <row r="966" spans="1:7" ht="10.050000000000001" customHeight="1">
      <c r="A966" s="597">
        <v>38280</v>
      </c>
      <c r="B966" s="54">
        <v>10</v>
      </c>
      <c r="C966" s="53">
        <v>2004</v>
      </c>
      <c r="D966" s="52" t="s">
        <v>110</v>
      </c>
      <c r="E966" s="52" t="s">
        <v>310</v>
      </c>
      <c r="F966" s="595">
        <v>2119.4</v>
      </c>
      <c r="G966" s="595">
        <v>2441</v>
      </c>
    </row>
    <row r="967" spans="1:7" ht="10.050000000000001" customHeight="1">
      <c r="A967" s="597">
        <v>38311</v>
      </c>
      <c r="B967" s="54">
        <v>11</v>
      </c>
      <c r="C967" s="53">
        <v>2004</v>
      </c>
      <c r="D967" s="52" t="s">
        <v>110</v>
      </c>
      <c r="E967" s="52" t="s">
        <v>310</v>
      </c>
      <c r="F967" s="595">
        <v>2099.3000000000002</v>
      </c>
      <c r="G967" s="595">
        <v>2569.6</v>
      </c>
    </row>
    <row r="968" spans="1:7" ht="10.050000000000001" customHeight="1">
      <c r="A968" s="597">
        <v>38341</v>
      </c>
      <c r="B968" s="54">
        <v>12</v>
      </c>
      <c r="C968" s="53">
        <v>2004</v>
      </c>
      <c r="D968" s="52" t="s">
        <v>110</v>
      </c>
      <c r="E968" s="52" t="s">
        <v>310</v>
      </c>
      <c r="F968" s="595">
        <v>2294.4</v>
      </c>
      <c r="G968" s="595">
        <v>2938.2</v>
      </c>
    </row>
    <row r="969" spans="1:7" ht="10.050000000000001" customHeight="1">
      <c r="A969" s="597">
        <v>38372</v>
      </c>
      <c r="B969" s="54">
        <v>1</v>
      </c>
      <c r="C969" s="53">
        <v>2005</v>
      </c>
      <c r="D969" s="52" t="s">
        <v>110</v>
      </c>
      <c r="E969" s="52" t="s">
        <v>310</v>
      </c>
      <c r="F969" s="595">
        <v>1681.2</v>
      </c>
      <c r="G969" s="595">
        <v>1876.8</v>
      </c>
    </row>
    <row r="970" spans="1:7" ht="10.050000000000001" customHeight="1">
      <c r="A970" s="597">
        <v>38403</v>
      </c>
      <c r="B970" s="54">
        <v>2</v>
      </c>
      <c r="C970" s="53">
        <v>2005</v>
      </c>
      <c r="D970" s="52" t="s">
        <v>110</v>
      </c>
      <c r="E970" s="52" t="s">
        <v>310</v>
      </c>
      <c r="F970" s="595">
        <v>1425.2</v>
      </c>
      <c r="G970" s="595">
        <v>1715.2</v>
      </c>
    </row>
    <row r="971" spans="1:7" ht="10.050000000000001" customHeight="1">
      <c r="A971" s="597">
        <v>38431</v>
      </c>
      <c r="B971" s="54">
        <v>3</v>
      </c>
      <c r="C971" s="53">
        <v>2005</v>
      </c>
      <c r="D971" s="52" t="s">
        <v>110</v>
      </c>
      <c r="E971" s="52" t="s">
        <v>310</v>
      </c>
      <c r="F971" s="595">
        <v>1752.4</v>
      </c>
      <c r="G971" s="595">
        <v>2129.1</v>
      </c>
    </row>
    <row r="972" spans="1:7" ht="10.050000000000001" customHeight="1">
      <c r="A972" s="597">
        <v>38462</v>
      </c>
      <c r="B972" s="54">
        <v>4</v>
      </c>
      <c r="C972" s="53">
        <v>2005</v>
      </c>
      <c r="D972" s="52" t="s">
        <v>110</v>
      </c>
      <c r="E972" s="52" t="s">
        <v>310</v>
      </c>
      <c r="F972" s="595">
        <v>1676</v>
      </c>
      <c r="G972" s="595">
        <v>2162.6999999999998</v>
      </c>
    </row>
    <row r="973" spans="1:7" ht="10.050000000000001" customHeight="1">
      <c r="A973" s="597">
        <v>38492</v>
      </c>
      <c r="B973" s="54">
        <v>5</v>
      </c>
      <c r="C973" s="53">
        <v>2005</v>
      </c>
      <c r="D973" s="52" t="s">
        <v>110</v>
      </c>
      <c r="E973" s="52" t="s">
        <v>310</v>
      </c>
      <c r="F973" s="595">
        <v>1680.6</v>
      </c>
      <c r="G973" s="595">
        <v>2019.3</v>
      </c>
    </row>
    <row r="974" spans="1:7" ht="10.050000000000001" customHeight="1">
      <c r="A974" s="597">
        <v>38523</v>
      </c>
      <c r="B974" s="54">
        <v>6</v>
      </c>
      <c r="C974" s="53">
        <v>2005</v>
      </c>
      <c r="D974" s="52" t="s">
        <v>110</v>
      </c>
      <c r="E974" s="52" t="s">
        <v>310</v>
      </c>
      <c r="F974" s="595">
        <v>1906.6</v>
      </c>
      <c r="G974" s="595">
        <v>2276</v>
      </c>
    </row>
    <row r="975" spans="1:7" ht="10.050000000000001" customHeight="1">
      <c r="A975" s="597">
        <v>38553</v>
      </c>
      <c r="B975" s="54">
        <v>7</v>
      </c>
      <c r="C975" s="53">
        <v>2005</v>
      </c>
      <c r="D975" s="52" t="s">
        <v>111</v>
      </c>
      <c r="E975" s="52" t="s">
        <v>310</v>
      </c>
      <c r="F975" s="595">
        <v>1670.3</v>
      </c>
      <c r="G975" s="595">
        <v>2128.3000000000002</v>
      </c>
    </row>
    <row r="976" spans="1:7" ht="10.050000000000001" customHeight="1">
      <c r="A976" s="597">
        <v>38584</v>
      </c>
      <c r="B976" s="54">
        <v>8</v>
      </c>
      <c r="C976" s="53">
        <v>2005</v>
      </c>
      <c r="D976" s="52" t="s">
        <v>111</v>
      </c>
      <c r="E976" s="52" t="s">
        <v>310</v>
      </c>
      <c r="F976" s="595">
        <v>1586.8</v>
      </c>
      <c r="G976" s="595">
        <v>1996.6</v>
      </c>
    </row>
    <row r="977" spans="1:7" ht="10.050000000000001" customHeight="1">
      <c r="A977" s="597">
        <v>38615</v>
      </c>
      <c r="B977" s="54">
        <v>9</v>
      </c>
      <c r="C977" s="53">
        <v>2005</v>
      </c>
      <c r="D977" s="52" t="s">
        <v>111</v>
      </c>
      <c r="E977" s="52" t="s">
        <v>310</v>
      </c>
      <c r="F977" s="595">
        <v>2011</v>
      </c>
      <c r="G977" s="595">
        <v>2566.1</v>
      </c>
    </row>
    <row r="978" spans="1:7" ht="10.050000000000001" customHeight="1">
      <c r="A978" s="597">
        <v>38645</v>
      </c>
      <c r="B978" s="54">
        <v>10</v>
      </c>
      <c r="C978" s="53">
        <v>2005</v>
      </c>
      <c r="D978" s="52" t="s">
        <v>111</v>
      </c>
      <c r="E978" s="52" t="s">
        <v>310</v>
      </c>
      <c r="F978" s="595">
        <v>1931.3</v>
      </c>
      <c r="G978" s="595">
        <v>2333</v>
      </c>
    </row>
    <row r="979" spans="1:7" ht="10.050000000000001" customHeight="1">
      <c r="A979" s="597">
        <v>38676</v>
      </c>
      <c r="B979" s="54">
        <v>11</v>
      </c>
      <c r="C979" s="53">
        <v>2005</v>
      </c>
      <c r="D979" s="52" t="s">
        <v>111</v>
      </c>
      <c r="E979" s="52" t="s">
        <v>310</v>
      </c>
      <c r="F979" s="595">
        <v>2324.9</v>
      </c>
      <c r="G979" s="595">
        <v>2729.8</v>
      </c>
    </row>
    <row r="980" spans="1:7" ht="10.050000000000001" customHeight="1">
      <c r="A980" s="597">
        <v>38706</v>
      </c>
      <c r="B980" s="54">
        <v>12</v>
      </c>
      <c r="C980" s="53">
        <v>2005</v>
      </c>
      <c r="D980" s="52" t="s">
        <v>111</v>
      </c>
      <c r="E980" s="52" t="s">
        <v>310</v>
      </c>
      <c r="F980" s="595">
        <v>1375</v>
      </c>
      <c r="G980" s="595">
        <v>2783.8</v>
      </c>
    </row>
    <row r="981" spans="1:7" ht="10.050000000000001" customHeight="1">
      <c r="A981" s="597">
        <v>38737</v>
      </c>
      <c r="B981" s="54">
        <v>1</v>
      </c>
      <c r="C981" s="53">
        <v>2006</v>
      </c>
      <c r="D981" s="52" t="s">
        <v>111</v>
      </c>
      <c r="E981" s="52" t="s">
        <v>310</v>
      </c>
      <c r="F981" s="595">
        <v>1847.3</v>
      </c>
      <c r="G981" s="595">
        <v>2365.1</v>
      </c>
    </row>
    <row r="982" spans="1:7" ht="10.050000000000001" customHeight="1">
      <c r="A982" s="597">
        <v>38768</v>
      </c>
      <c r="B982" s="54">
        <v>2</v>
      </c>
      <c r="C982" s="53">
        <v>2006</v>
      </c>
      <c r="D982" s="52" t="s">
        <v>111</v>
      </c>
      <c r="E982" s="52" t="s">
        <v>310</v>
      </c>
      <c r="F982" s="595">
        <v>1418.9</v>
      </c>
      <c r="G982" s="595">
        <v>1744</v>
      </c>
    </row>
    <row r="983" spans="1:7" ht="10.050000000000001" customHeight="1">
      <c r="A983" s="597">
        <v>38796</v>
      </c>
      <c r="B983" s="54">
        <v>3</v>
      </c>
      <c r="C983" s="53">
        <v>2006</v>
      </c>
      <c r="D983" s="52" t="s">
        <v>111</v>
      </c>
      <c r="E983" s="52" t="s">
        <v>310</v>
      </c>
      <c r="F983" s="595">
        <v>1956.1</v>
      </c>
      <c r="G983" s="595">
        <v>2290.3000000000002</v>
      </c>
    </row>
    <row r="984" spans="1:7" ht="10.050000000000001" customHeight="1">
      <c r="A984" s="597">
        <v>38827</v>
      </c>
      <c r="B984" s="54">
        <v>4</v>
      </c>
      <c r="C984" s="53">
        <v>2006</v>
      </c>
      <c r="D984" s="52" t="s">
        <v>111</v>
      </c>
      <c r="E984" s="52" t="s">
        <v>310</v>
      </c>
      <c r="F984" s="595">
        <v>1596.6</v>
      </c>
      <c r="G984" s="595">
        <v>2010.6</v>
      </c>
    </row>
    <row r="985" spans="1:7" ht="10.050000000000001" customHeight="1">
      <c r="A985" s="597">
        <v>38857</v>
      </c>
      <c r="B985" s="54">
        <v>5</v>
      </c>
      <c r="C985" s="53">
        <v>2006</v>
      </c>
      <c r="D985" s="52" t="s">
        <v>111</v>
      </c>
      <c r="E985" s="52" t="s">
        <v>310</v>
      </c>
      <c r="F985" s="595">
        <v>1869.3</v>
      </c>
      <c r="G985" s="595">
        <v>2358.1999999999998</v>
      </c>
    </row>
    <row r="986" spans="1:7" ht="10.050000000000001" customHeight="1">
      <c r="A986" s="597">
        <v>38888</v>
      </c>
      <c r="B986" s="54">
        <v>6</v>
      </c>
      <c r="C986" s="53">
        <v>2006</v>
      </c>
      <c r="D986" s="52" t="s">
        <v>111</v>
      </c>
      <c r="E986" s="52" t="s">
        <v>310</v>
      </c>
      <c r="F986" s="595">
        <v>1786</v>
      </c>
      <c r="G986" s="595">
        <v>2287.1</v>
      </c>
    </row>
    <row r="987" spans="1:7" ht="10.050000000000001" customHeight="1">
      <c r="A987" s="597">
        <v>38918</v>
      </c>
      <c r="B987" s="54">
        <v>7</v>
      </c>
      <c r="C987" s="53">
        <v>2006</v>
      </c>
      <c r="D987" s="52" t="s">
        <v>112</v>
      </c>
      <c r="E987" s="52" t="s">
        <v>310</v>
      </c>
      <c r="F987" s="595">
        <v>1630.4</v>
      </c>
      <c r="G987" s="595">
        <v>2024.9</v>
      </c>
    </row>
    <row r="988" spans="1:7" ht="10.050000000000001" customHeight="1">
      <c r="A988" s="597">
        <v>38949</v>
      </c>
      <c r="B988" s="54">
        <v>8</v>
      </c>
      <c r="C988" s="53">
        <v>2006</v>
      </c>
      <c r="D988" s="52" t="s">
        <v>112</v>
      </c>
      <c r="E988" s="52" t="s">
        <v>310</v>
      </c>
      <c r="F988" s="595">
        <v>1562.5</v>
      </c>
      <c r="G988" s="595">
        <v>2013.5</v>
      </c>
    </row>
    <row r="989" spans="1:7" ht="10.050000000000001" customHeight="1">
      <c r="A989" s="597">
        <v>38980</v>
      </c>
      <c r="B989" s="54">
        <v>9</v>
      </c>
      <c r="C989" s="53">
        <v>2006</v>
      </c>
      <c r="D989" s="52" t="s">
        <v>112</v>
      </c>
      <c r="E989" s="52" t="s">
        <v>310</v>
      </c>
      <c r="F989" s="595">
        <v>1911.9</v>
      </c>
      <c r="G989" s="595">
        <v>2312.6999999999998</v>
      </c>
    </row>
    <row r="990" spans="1:7" ht="10.050000000000001" customHeight="1">
      <c r="A990" s="597">
        <v>39010</v>
      </c>
      <c r="B990" s="54">
        <v>10</v>
      </c>
      <c r="C990" s="53">
        <v>2006</v>
      </c>
      <c r="D990" s="52" t="s">
        <v>112</v>
      </c>
      <c r="E990" s="52" t="s">
        <v>310</v>
      </c>
      <c r="F990" s="595">
        <v>1226.7</v>
      </c>
      <c r="G990" s="595">
        <v>2584.1999999999998</v>
      </c>
    </row>
    <row r="991" spans="1:7" ht="10.050000000000001" customHeight="1">
      <c r="A991" s="597">
        <v>39041</v>
      </c>
      <c r="B991" s="54">
        <v>11</v>
      </c>
      <c r="C991" s="53">
        <v>2006</v>
      </c>
      <c r="D991" s="52" t="s">
        <v>112</v>
      </c>
      <c r="E991" s="52" t="s">
        <v>310</v>
      </c>
      <c r="F991" s="595">
        <v>2303.8000000000002</v>
      </c>
      <c r="G991" s="595">
        <v>2736.8</v>
      </c>
    </row>
    <row r="992" spans="1:7" ht="10.050000000000001" customHeight="1">
      <c r="A992" s="597">
        <v>39071</v>
      </c>
      <c r="B992" s="54">
        <v>12</v>
      </c>
      <c r="C992" s="53">
        <v>2006</v>
      </c>
      <c r="D992" s="52" t="s">
        <v>112</v>
      </c>
      <c r="E992" s="52" t="s">
        <v>310</v>
      </c>
      <c r="F992" s="595">
        <v>2240</v>
      </c>
      <c r="G992" s="595">
        <v>2652.6</v>
      </c>
    </row>
    <row r="993" spans="1:7" ht="10.050000000000001" customHeight="1">
      <c r="A993" s="597">
        <v>39102</v>
      </c>
      <c r="B993" s="54">
        <v>1</v>
      </c>
      <c r="C993" s="53">
        <v>2007</v>
      </c>
      <c r="D993" s="52" t="s">
        <v>112</v>
      </c>
      <c r="E993" s="52" t="s">
        <v>310</v>
      </c>
      <c r="F993" s="595">
        <v>1753.3</v>
      </c>
      <c r="G993" s="595">
        <v>2198.3000000000002</v>
      </c>
    </row>
    <row r="994" spans="1:7" ht="10.050000000000001" customHeight="1">
      <c r="A994" s="597">
        <v>39133</v>
      </c>
      <c r="B994" s="54">
        <v>2</v>
      </c>
      <c r="C994" s="53">
        <v>2007</v>
      </c>
      <c r="D994" s="52" t="s">
        <v>112</v>
      </c>
      <c r="E994" s="52" t="s">
        <v>310</v>
      </c>
      <c r="F994" s="595">
        <v>1469.9</v>
      </c>
      <c r="G994" s="595">
        <v>1716.6</v>
      </c>
    </row>
    <row r="995" spans="1:7" ht="10.050000000000001" customHeight="1">
      <c r="A995" s="597">
        <v>39161</v>
      </c>
      <c r="B995" s="54">
        <v>3</v>
      </c>
      <c r="C995" s="53">
        <v>2007</v>
      </c>
      <c r="D995" s="52" t="s">
        <v>112</v>
      </c>
      <c r="E995" s="52" t="s">
        <v>310</v>
      </c>
      <c r="F995" s="595">
        <v>1792.6</v>
      </c>
      <c r="G995" s="595">
        <v>2154.6999999999998</v>
      </c>
    </row>
    <row r="996" spans="1:7" ht="10.050000000000001" customHeight="1">
      <c r="A996" s="597">
        <v>39192</v>
      </c>
      <c r="B996" s="54">
        <v>4</v>
      </c>
      <c r="C996" s="53">
        <v>2007</v>
      </c>
      <c r="D996" s="52" t="s">
        <v>112</v>
      </c>
      <c r="E996" s="52" t="s">
        <v>310</v>
      </c>
      <c r="F996" s="595">
        <v>1755.8</v>
      </c>
      <c r="G996" s="595">
        <v>2132.9</v>
      </c>
    </row>
    <row r="997" spans="1:7" ht="10.050000000000001" customHeight="1">
      <c r="A997" s="597">
        <v>39222</v>
      </c>
      <c r="B997" s="54">
        <v>5</v>
      </c>
      <c r="C997" s="53">
        <v>2007</v>
      </c>
      <c r="D997" s="52" t="s">
        <v>112</v>
      </c>
      <c r="E997" s="52" t="s">
        <v>310</v>
      </c>
      <c r="F997" s="595">
        <v>1743.2</v>
      </c>
      <c r="G997" s="595">
        <v>2059.1999999999998</v>
      </c>
    </row>
    <row r="998" spans="1:7" ht="10.050000000000001" customHeight="1">
      <c r="A998" s="597">
        <v>39253</v>
      </c>
      <c r="B998" s="54">
        <v>6</v>
      </c>
      <c r="C998" s="53">
        <v>2007</v>
      </c>
      <c r="D998" s="52" t="s">
        <v>112</v>
      </c>
      <c r="E998" s="52" t="s">
        <v>310</v>
      </c>
      <c r="F998" s="595">
        <v>1509.3</v>
      </c>
      <c r="G998" s="595">
        <v>2429.3000000000002</v>
      </c>
    </row>
    <row r="999" spans="1:7" ht="10.050000000000001" customHeight="1">
      <c r="A999" s="597">
        <v>39283</v>
      </c>
      <c r="B999" s="54">
        <v>7</v>
      </c>
      <c r="C999" s="53">
        <v>2007</v>
      </c>
      <c r="D999" s="52" t="s">
        <v>113</v>
      </c>
      <c r="E999" s="52" t="s">
        <v>310</v>
      </c>
      <c r="F999" s="595">
        <v>1431.1</v>
      </c>
      <c r="G999" s="595">
        <v>2248.8000000000002</v>
      </c>
    </row>
    <row r="1000" spans="1:7" ht="10.050000000000001" customHeight="1">
      <c r="A1000" s="597">
        <v>39314</v>
      </c>
      <c r="B1000" s="54">
        <v>8</v>
      </c>
      <c r="C1000" s="53">
        <v>2007</v>
      </c>
      <c r="D1000" s="52" t="s">
        <v>113</v>
      </c>
      <c r="E1000" s="52" t="s">
        <v>310</v>
      </c>
      <c r="F1000" s="595">
        <v>1718.7</v>
      </c>
      <c r="G1000" s="595">
        <v>2080.9</v>
      </c>
    </row>
    <row r="1001" spans="1:7" ht="10.050000000000001" customHeight="1">
      <c r="A1001" s="597">
        <v>39345</v>
      </c>
      <c r="B1001" s="54">
        <v>9</v>
      </c>
      <c r="C1001" s="53">
        <v>2007</v>
      </c>
      <c r="D1001" s="52" t="s">
        <v>113</v>
      </c>
      <c r="E1001" s="52" t="s">
        <v>310</v>
      </c>
      <c r="F1001" s="595">
        <v>1793.6</v>
      </c>
      <c r="G1001" s="595">
        <v>2101.1999999999998</v>
      </c>
    </row>
    <row r="1002" spans="1:7" ht="10.050000000000001" customHeight="1">
      <c r="A1002" s="597">
        <v>39375</v>
      </c>
      <c r="B1002" s="54">
        <v>10</v>
      </c>
      <c r="C1002" s="53">
        <v>2007</v>
      </c>
      <c r="D1002" s="52" t="s">
        <v>113</v>
      </c>
      <c r="E1002" s="52" t="s">
        <v>310</v>
      </c>
      <c r="F1002" s="595">
        <v>2297.8000000000002</v>
      </c>
      <c r="G1002" s="595">
        <v>2754</v>
      </c>
    </row>
    <row r="1003" spans="1:7" ht="10.050000000000001" customHeight="1">
      <c r="A1003" s="597">
        <v>39406</v>
      </c>
      <c r="B1003" s="54">
        <v>11</v>
      </c>
      <c r="C1003" s="53">
        <v>2007</v>
      </c>
      <c r="D1003" s="52" t="s">
        <v>113</v>
      </c>
      <c r="E1003" s="52" t="s">
        <v>310</v>
      </c>
      <c r="F1003" s="595">
        <v>2195.4</v>
      </c>
      <c r="G1003" s="595">
        <v>2639</v>
      </c>
    </row>
    <row r="1004" spans="1:7" ht="10.050000000000001" customHeight="1">
      <c r="A1004" s="597">
        <v>39436</v>
      </c>
      <c r="B1004" s="54">
        <v>12</v>
      </c>
      <c r="C1004" s="53">
        <v>2007</v>
      </c>
      <c r="D1004" s="52" t="s">
        <v>113</v>
      </c>
      <c r="E1004" s="52" t="s">
        <v>310</v>
      </c>
      <c r="F1004" s="595">
        <v>1949.1</v>
      </c>
      <c r="G1004" s="595">
        <v>2401.9</v>
      </c>
    </row>
    <row r="1005" spans="1:7" ht="10.050000000000001" customHeight="1">
      <c r="A1005" s="597">
        <v>39467</v>
      </c>
      <c r="B1005" s="54">
        <v>1</v>
      </c>
      <c r="C1005" s="53">
        <v>2008</v>
      </c>
      <c r="D1005" s="52" t="s">
        <v>113</v>
      </c>
      <c r="E1005" s="52" t="s">
        <v>310</v>
      </c>
      <c r="F1005" s="595">
        <v>1690.2</v>
      </c>
      <c r="G1005" s="595">
        <v>2197.1999999999998</v>
      </c>
    </row>
    <row r="1006" spans="1:7" ht="10.050000000000001" customHeight="1">
      <c r="A1006" s="597">
        <v>39498</v>
      </c>
      <c r="B1006" s="54">
        <v>2</v>
      </c>
      <c r="C1006" s="53">
        <v>2008</v>
      </c>
      <c r="D1006" s="52" t="s">
        <v>113</v>
      </c>
      <c r="E1006" s="52" t="s">
        <v>310</v>
      </c>
      <c r="F1006" s="595">
        <v>1572.1</v>
      </c>
      <c r="G1006" s="595">
        <v>1995.3</v>
      </c>
    </row>
    <row r="1007" spans="1:7" ht="10.050000000000001" customHeight="1">
      <c r="A1007" s="597">
        <v>39527</v>
      </c>
      <c r="B1007" s="54">
        <v>3</v>
      </c>
      <c r="C1007" s="53">
        <v>2008</v>
      </c>
      <c r="D1007" s="52" t="s">
        <v>113</v>
      </c>
      <c r="E1007" s="52" t="s">
        <v>310</v>
      </c>
      <c r="F1007" s="595">
        <v>1561.7</v>
      </c>
      <c r="G1007" s="595">
        <v>1913.5</v>
      </c>
    </row>
    <row r="1008" spans="1:7" ht="10.050000000000001" customHeight="1">
      <c r="A1008" s="597">
        <v>39558</v>
      </c>
      <c r="B1008" s="54">
        <v>4</v>
      </c>
      <c r="C1008" s="53">
        <v>2008</v>
      </c>
      <c r="D1008" s="52" t="s">
        <v>113</v>
      </c>
      <c r="E1008" s="52" t="s">
        <v>310</v>
      </c>
      <c r="F1008" s="595">
        <v>1761.7</v>
      </c>
      <c r="G1008" s="595">
        <v>2075.4</v>
      </c>
    </row>
    <row r="1009" spans="1:7" ht="10.050000000000001" customHeight="1">
      <c r="A1009" s="597">
        <v>39588</v>
      </c>
      <c r="B1009" s="54">
        <v>5</v>
      </c>
      <c r="C1009" s="53">
        <v>2008</v>
      </c>
      <c r="D1009" s="52" t="s">
        <v>113</v>
      </c>
      <c r="E1009" s="52" t="s">
        <v>310</v>
      </c>
      <c r="F1009" s="595">
        <v>1510.3</v>
      </c>
      <c r="G1009" s="595">
        <v>1889.1</v>
      </c>
    </row>
    <row r="1010" spans="1:7" ht="10.050000000000001" customHeight="1">
      <c r="A1010" s="597">
        <v>39619</v>
      </c>
      <c r="B1010" s="54">
        <v>6</v>
      </c>
      <c r="C1010" s="53">
        <v>2008</v>
      </c>
      <c r="D1010" s="52" t="s">
        <v>113</v>
      </c>
      <c r="E1010" s="52" t="s">
        <v>310</v>
      </c>
      <c r="F1010" s="595">
        <v>1711.2</v>
      </c>
      <c r="G1010" s="595">
        <v>2036.1</v>
      </c>
    </row>
    <row r="1011" spans="1:7" ht="10.050000000000001" customHeight="1">
      <c r="A1011" s="597">
        <v>39649</v>
      </c>
      <c r="B1011" s="54">
        <v>7</v>
      </c>
      <c r="C1011" s="53">
        <v>2008</v>
      </c>
      <c r="D1011" s="52" t="s">
        <v>107</v>
      </c>
      <c r="E1011" s="52" t="s">
        <v>310</v>
      </c>
      <c r="F1011" s="595">
        <v>1716.3</v>
      </c>
      <c r="G1011" s="595">
        <v>2072.9</v>
      </c>
    </row>
    <row r="1012" spans="1:7" ht="10.050000000000001" customHeight="1">
      <c r="A1012" s="597">
        <v>39680</v>
      </c>
      <c r="B1012" s="54">
        <v>8</v>
      </c>
      <c r="C1012" s="53">
        <v>2008</v>
      </c>
      <c r="D1012" s="52" t="s">
        <v>107</v>
      </c>
      <c r="E1012" s="52" t="s">
        <v>310</v>
      </c>
      <c r="F1012" s="595">
        <v>1324.7</v>
      </c>
      <c r="G1012" s="595">
        <v>1877.6</v>
      </c>
    </row>
    <row r="1013" spans="1:7" ht="10.050000000000001" customHeight="1">
      <c r="A1013" s="597">
        <v>39711</v>
      </c>
      <c r="B1013" s="54">
        <v>9</v>
      </c>
      <c r="C1013" s="53">
        <v>2008</v>
      </c>
      <c r="D1013" s="52" t="s">
        <v>107</v>
      </c>
      <c r="E1013" s="52" t="s">
        <v>310</v>
      </c>
      <c r="F1013" s="595">
        <v>1711.5</v>
      </c>
      <c r="G1013" s="595">
        <v>2070.6999999999998</v>
      </c>
    </row>
    <row r="1014" spans="1:7" ht="10.050000000000001" customHeight="1">
      <c r="A1014" s="597">
        <v>39741</v>
      </c>
      <c r="B1014" s="54">
        <v>10</v>
      </c>
      <c r="C1014" s="53">
        <v>2008</v>
      </c>
      <c r="D1014" s="52" t="s">
        <v>107</v>
      </c>
      <c r="E1014" s="52" t="s">
        <v>310</v>
      </c>
      <c r="F1014" s="595">
        <v>1906.9</v>
      </c>
      <c r="G1014" s="595">
        <v>2316.1999999999998</v>
      </c>
    </row>
    <row r="1015" spans="1:7" ht="10.050000000000001" customHeight="1">
      <c r="A1015" s="597">
        <v>39772</v>
      </c>
      <c r="B1015" s="54">
        <v>11</v>
      </c>
      <c r="C1015" s="53">
        <v>2008</v>
      </c>
      <c r="D1015" s="52" t="s">
        <v>107</v>
      </c>
      <c r="E1015" s="52" t="s">
        <v>310</v>
      </c>
      <c r="F1015" s="595">
        <v>1687.9</v>
      </c>
      <c r="G1015" s="595">
        <v>2084.3000000000002</v>
      </c>
    </row>
    <row r="1016" spans="1:7" ht="10.050000000000001" customHeight="1">
      <c r="A1016" s="597">
        <v>39802</v>
      </c>
      <c r="B1016" s="54">
        <v>12</v>
      </c>
      <c r="C1016" s="53">
        <v>2008</v>
      </c>
      <c r="D1016" s="52" t="s">
        <v>107</v>
      </c>
      <c r="E1016" s="52" t="s">
        <v>310</v>
      </c>
      <c r="F1016" s="595">
        <v>2040.8</v>
      </c>
      <c r="G1016" s="595">
        <v>2397.5</v>
      </c>
    </row>
    <row r="1017" spans="1:7" ht="10.050000000000001" customHeight="1">
      <c r="A1017" s="597">
        <v>39833</v>
      </c>
      <c r="B1017" s="54">
        <v>1</v>
      </c>
      <c r="C1017" s="53">
        <v>2009</v>
      </c>
      <c r="D1017" s="52" t="s">
        <v>107</v>
      </c>
      <c r="E1017" s="52" t="s">
        <v>310</v>
      </c>
      <c r="F1017" s="595">
        <v>1478.3</v>
      </c>
      <c r="G1017" s="595">
        <v>1710.1</v>
      </c>
    </row>
    <row r="1018" spans="1:7" ht="10.050000000000001" customHeight="1">
      <c r="A1018" s="597">
        <v>39864</v>
      </c>
      <c r="B1018" s="54">
        <v>2</v>
      </c>
      <c r="C1018" s="53">
        <v>2009</v>
      </c>
      <c r="D1018" s="52" t="s">
        <v>107</v>
      </c>
      <c r="E1018" s="52" t="s">
        <v>310</v>
      </c>
      <c r="F1018" s="595">
        <v>1587.7</v>
      </c>
      <c r="G1018" s="595">
        <v>1882.6</v>
      </c>
    </row>
    <row r="1019" spans="1:7" ht="10.050000000000001" customHeight="1">
      <c r="A1019" s="597">
        <v>39892</v>
      </c>
      <c r="B1019" s="54">
        <v>3</v>
      </c>
      <c r="C1019" s="53">
        <v>2009</v>
      </c>
      <c r="D1019" s="52" t="s">
        <v>107</v>
      </c>
      <c r="E1019" s="52" t="s">
        <v>310</v>
      </c>
      <c r="F1019" s="595">
        <v>1621.71</v>
      </c>
      <c r="G1019" s="595">
        <v>1928.3</v>
      </c>
    </row>
    <row r="1020" spans="1:7" ht="10.050000000000001" customHeight="1">
      <c r="A1020" s="597">
        <v>39923</v>
      </c>
      <c r="B1020" s="54">
        <v>4</v>
      </c>
      <c r="C1020" s="53">
        <v>2009</v>
      </c>
      <c r="D1020" s="52" t="s">
        <v>107</v>
      </c>
      <c r="E1020" s="52" t="s">
        <v>310</v>
      </c>
      <c r="F1020" s="595">
        <v>1378.2</v>
      </c>
      <c r="G1020" s="595">
        <v>1634.2</v>
      </c>
    </row>
    <row r="1021" spans="1:7" ht="10.050000000000001" customHeight="1">
      <c r="A1021" s="597">
        <v>39953</v>
      </c>
      <c r="B1021" s="54">
        <v>5</v>
      </c>
      <c r="C1021" s="53">
        <v>2009</v>
      </c>
      <c r="D1021" s="52" t="s">
        <v>107</v>
      </c>
      <c r="E1021" s="52" t="s">
        <v>310</v>
      </c>
      <c r="F1021" s="595">
        <v>1441.7</v>
      </c>
      <c r="G1021" s="595">
        <v>1703.1</v>
      </c>
    </row>
    <row r="1022" spans="1:7" ht="10.050000000000001" customHeight="1">
      <c r="A1022" s="597">
        <v>39984</v>
      </c>
      <c r="B1022" s="54">
        <v>6</v>
      </c>
      <c r="C1022" s="53">
        <v>2009</v>
      </c>
      <c r="D1022" s="52" t="s">
        <v>107</v>
      </c>
      <c r="E1022" s="52" t="s">
        <v>310</v>
      </c>
      <c r="F1022" s="595">
        <v>1674</v>
      </c>
      <c r="G1022" s="595">
        <v>1996.5</v>
      </c>
    </row>
    <row r="1023" spans="1:7" ht="10.050000000000001" customHeight="1">
      <c r="A1023" s="597">
        <v>40014</v>
      </c>
      <c r="B1023" s="54">
        <v>7</v>
      </c>
      <c r="C1023" s="53">
        <v>2009</v>
      </c>
      <c r="D1023" s="52" t="s">
        <v>114</v>
      </c>
      <c r="E1023" s="52" t="s">
        <v>310</v>
      </c>
      <c r="F1023" s="595">
        <v>1634.4</v>
      </c>
      <c r="G1023" s="595">
        <v>1788.5</v>
      </c>
    </row>
    <row r="1024" spans="1:7" ht="10.050000000000001" customHeight="1">
      <c r="A1024" s="597">
        <v>40045</v>
      </c>
      <c r="B1024" s="54">
        <v>8</v>
      </c>
      <c r="C1024" s="53">
        <v>2009</v>
      </c>
      <c r="D1024" s="52" t="s">
        <v>114</v>
      </c>
      <c r="E1024" s="52" t="s">
        <v>310</v>
      </c>
      <c r="F1024" s="595">
        <v>1325.2</v>
      </c>
      <c r="G1024" s="595">
        <v>1561.4</v>
      </c>
    </row>
    <row r="1025" spans="1:7" ht="10.050000000000001" customHeight="1">
      <c r="A1025" s="597">
        <v>40076</v>
      </c>
      <c r="B1025" s="54">
        <v>9</v>
      </c>
      <c r="C1025" s="53">
        <v>2009</v>
      </c>
      <c r="D1025" s="52" t="s">
        <v>114</v>
      </c>
      <c r="E1025" s="52" t="s">
        <v>310</v>
      </c>
      <c r="F1025" s="595">
        <v>1407.92</v>
      </c>
      <c r="G1025" s="595">
        <v>1746</v>
      </c>
    </row>
    <row r="1026" spans="1:7" ht="10.050000000000001" customHeight="1">
      <c r="A1026" s="597">
        <v>40106</v>
      </c>
      <c r="B1026" s="54">
        <v>10</v>
      </c>
      <c r="C1026" s="53">
        <v>2009</v>
      </c>
      <c r="D1026" s="52" t="s">
        <v>114</v>
      </c>
      <c r="E1026" s="52" t="s">
        <v>310</v>
      </c>
      <c r="F1026" s="595">
        <v>1843.2</v>
      </c>
      <c r="G1026" s="595">
        <v>2174.6999999999998</v>
      </c>
    </row>
    <row r="1027" spans="1:7" ht="10.050000000000001" customHeight="1">
      <c r="A1027" s="597">
        <v>40137</v>
      </c>
      <c r="B1027" s="54">
        <v>11</v>
      </c>
      <c r="C1027" s="53">
        <v>2009</v>
      </c>
      <c r="D1027" s="52" t="s">
        <v>114</v>
      </c>
      <c r="E1027" s="52" t="s">
        <v>310</v>
      </c>
      <c r="F1027" s="595">
        <v>1888.6</v>
      </c>
      <c r="G1027" s="595">
        <v>2240.9</v>
      </c>
    </row>
    <row r="1028" spans="1:7" ht="10.050000000000001" customHeight="1">
      <c r="A1028" s="597">
        <v>40167</v>
      </c>
      <c r="B1028" s="54">
        <v>12</v>
      </c>
      <c r="C1028" s="53">
        <v>2009</v>
      </c>
      <c r="D1028" s="52" t="s">
        <v>114</v>
      </c>
      <c r="E1028" s="52" t="s">
        <v>310</v>
      </c>
      <c r="F1028" s="595">
        <v>1623</v>
      </c>
      <c r="G1028" s="595">
        <v>2101.1</v>
      </c>
    </row>
    <row r="1029" spans="1:7" ht="10.050000000000001" customHeight="1">
      <c r="A1029" s="597">
        <v>40198</v>
      </c>
      <c r="B1029" s="54">
        <v>1</v>
      </c>
      <c r="C1029" s="53">
        <v>2010</v>
      </c>
      <c r="D1029" s="52" t="s">
        <v>114</v>
      </c>
      <c r="E1029" s="52" t="s">
        <v>310</v>
      </c>
      <c r="F1029" s="595">
        <v>1389.6</v>
      </c>
      <c r="G1029" s="595">
        <v>1667.8</v>
      </c>
    </row>
    <row r="1030" spans="1:7" ht="10.050000000000001" customHeight="1">
      <c r="A1030" s="597">
        <v>40229</v>
      </c>
      <c r="B1030" s="54">
        <v>2</v>
      </c>
      <c r="C1030" s="53">
        <v>2010</v>
      </c>
      <c r="D1030" s="52" t="s">
        <v>114</v>
      </c>
      <c r="E1030" s="52" t="s">
        <v>310</v>
      </c>
      <c r="F1030" s="595">
        <v>1142.5999999999999</v>
      </c>
      <c r="G1030" s="595">
        <v>1430.1</v>
      </c>
    </row>
    <row r="1031" spans="1:7" ht="10.050000000000001" customHeight="1">
      <c r="A1031" s="597">
        <v>40257</v>
      </c>
      <c r="B1031" s="54">
        <v>3</v>
      </c>
      <c r="C1031" s="53">
        <v>2010</v>
      </c>
      <c r="D1031" s="52" t="s">
        <v>114</v>
      </c>
      <c r="E1031" s="52" t="s">
        <v>310</v>
      </c>
      <c r="F1031" s="595">
        <v>1506.6</v>
      </c>
      <c r="G1031" s="595">
        <v>1922.4</v>
      </c>
    </row>
    <row r="1032" spans="1:7" ht="10.050000000000001" customHeight="1">
      <c r="A1032" s="597">
        <v>40288</v>
      </c>
      <c r="B1032" s="54">
        <v>4</v>
      </c>
      <c r="C1032" s="53">
        <v>2010</v>
      </c>
      <c r="D1032" s="52" t="s">
        <v>114</v>
      </c>
      <c r="E1032" s="52" t="s">
        <v>310</v>
      </c>
      <c r="F1032" s="595">
        <v>1154.5999999999999</v>
      </c>
      <c r="G1032" s="595">
        <v>1401.5</v>
      </c>
    </row>
    <row r="1033" spans="1:7" ht="10.050000000000001" customHeight="1">
      <c r="A1033" s="597">
        <v>40318</v>
      </c>
      <c r="B1033" s="54">
        <v>5</v>
      </c>
      <c r="C1033" s="53">
        <v>2010</v>
      </c>
      <c r="D1033" s="52" t="s">
        <v>114</v>
      </c>
      <c r="E1033" s="52" t="s">
        <v>310</v>
      </c>
      <c r="F1033" s="595">
        <v>1173.2</v>
      </c>
      <c r="G1033" s="595">
        <v>1427.7</v>
      </c>
    </row>
    <row r="1034" spans="1:7" ht="10.050000000000001" customHeight="1">
      <c r="A1034" s="597">
        <v>40349</v>
      </c>
      <c r="B1034" s="54">
        <v>6</v>
      </c>
      <c r="C1034" s="53">
        <v>2010</v>
      </c>
      <c r="D1034" s="52" t="s">
        <v>114</v>
      </c>
      <c r="E1034" s="52" t="s">
        <v>310</v>
      </c>
      <c r="F1034" s="595">
        <v>1678.02</v>
      </c>
      <c r="G1034" s="595">
        <v>1984.7</v>
      </c>
    </row>
    <row r="1035" spans="1:7" ht="10.050000000000001" customHeight="1">
      <c r="A1035" s="597">
        <v>40379</v>
      </c>
      <c r="B1035" s="54">
        <v>7</v>
      </c>
      <c r="C1035" s="53">
        <v>2010</v>
      </c>
      <c r="D1035" s="52" t="s">
        <v>115</v>
      </c>
      <c r="E1035" s="52" t="s">
        <v>310</v>
      </c>
      <c r="F1035" s="595">
        <v>1269.5540000000001</v>
      </c>
      <c r="G1035" s="595">
        <v>1505.9680000000001</v>
      </c>
    </row>
    <row r="1036" spans="1:7" ht="10.050000000000001" customHeight="1">
      <c r="A1036" s="597">
        <v>40410</v>
      </c>
      <c r="B1036" s="54">
        <v>8</v>
      </c>
      <c r="C1036" s="53">
        <v>2010</v>
      </c>
      <c r="D1036" s="52" t="s">
        <v>115</v>
      </c>
      <c r="E1036" s="52" t="s">
        <v>310</v>
      </c>
      <c r="F1036" s="595">
        <v>1331.5319999999999</v>
      </c>
      <c r="G1036" s="595">
        <v>1637.192</v>
      </c>
    </row>
    <row r="1037" spans="1:7" ht="10.050000000000001" customHeight="1">
      <c r="A1037" s="597">
        <v>40441</v>
      </c>
      <c r="B1037" s="54">
        <v>9</v>
      </c>
      <c r="C1037" s="53">
        <v>2010</v>
      </c>
      <c r="D1037" s="52" t="s">
        <v>115</v>
      </c>
      <c r="E1037" s="52" t="s">
        <v>310</v>
      </c>
      <c r="F1037" s="595">
        <v>1489.6990000000001</v>
      </c>
      <c r="G1037" s="595">
        <v>1783.75</v>
      </c>
    </row>
    <row r="1038" spans="1:7" ht="10.050000000000001" customHeight="1">
      <c r="A1038" s="597">
        <v>40471</v>
      </c>
      <c r="B1038" s="54">
        <v>10</v>
      </c>
      <c r="C1038" s="53">
        <v>2010</v>
      </c>
      <c r="D1038" s="52" t="s">
        <v>115</v>
      </c>
      <c r="E1038" s="52" t="s">
        <v>310</v>
      </c>
      <c r="F1038" s="595">
        <v>1671.471</v>
      </c>
      <c r="G1038" s="595">
        <v>1960.202</v>
      </c>
    </row>
    <row r="1039" spans="1:7" ht="10.050000000000001" customHeight="1">
      <c r="A1039" s="597">
        <v>40502</v>
      </c>
      <c r="B1039" s="54">
        <v>11</v>
      </c>
      <c r="C1039" s="53">
        <v>2010</v>
      </c>
      <c r="D1039" s="52" t="s">
        <v>115</v>
      </c>
      <c r="E1039" s="52" t="s">
        <v>310</v>
      </c>
      <c r="F1039" s="595">
        <v>1711.739</v>
      </c>
      <c r="G1039" s="595">
        <v>2043.598</v>
      </c>
    </row>
    <row r="1040" spans="1:7" ht="10.050000000000001" customHeight="1">
      <c r="A1040" s="597">
        <v>40532</v>
      </c>
      <c r="B1040" s="54">
        <v>12</v>
      </c>
      <c r="C1040" s="53">
        <v>2010</v>
      </c>
      <c r="D1040" s="52" t="s">
        <v>115</v>
      </c>
      <c r="E1040" s="52" t="s">
        <v>310</v>
      </c>
      <c r="F1040" s="595">
        <v>1721.0170000000001</v>
      </c>
      <c r="G1040" s="595">
        <v>2023.806</v>
      </c>
    </row>
    <row r="1041" spans="1:7" ht="10.050000000000001" customHeight="1">
      <c r="A1041" s="597">
        <v>40563</v>
      </c>
      <c r="B1041" s="54">
        <v>1</v>
      </c>
      <c r="C1041" s="53">
        <v>2011</v>
      </c>
      <c r="D1041" s="52" t="s">
        <v>115</v>
      </c>
      <c r="E1041" s="52" t="s">
        <v>310</v>
      </c>
      <c r="F1041" s="595">
        <v>1455.5719999999999</v>
      </c>
      <c r="G1041" s="595">
        <v>1676.759</v>
      </c>
    </row>
    <row r="1042" spans="1:7" ht="10.050000000000001" customHeight="1">
      <c r="A1042" s="597">
        <v>40594</v>
      </c>
      <c r="B1042" s="54">
        <v>2</v>
      </c>
      <c r="C1042" s="53">
        <v>2011</v>
      </c>
      <c r="D1042" s="52" t="s">
        <v>115</v>
      </c>
      <c r="E1042" s="52" t="s">
        <v>310</v>
      </c>
      <c r="F1042" s="595">
        <v>1006.182</v>
      </c>
      <c r="G1042" s="595">
        <v>1175.8800000000001</v>
      </c>
    </row>
    <row r="1043" spans="1:7" ht="10.050000000000001" customHeight="1">
      <c r="A1043" s="597">
        <v>40622</v>
      </c>
      <c r="B1043" s="54">
        <v>3</v>
      </c>
      <c r="C1043" s="53">
        <v>2011</v>
      </c>
      <c r="D1043" s="52" t="s">
        <v>115</v>
      </c>
      <c r="E1043" s="52" t="s">
        <v>310</v>
      </c>
      <c r="F1043" s="595">
        <v>1336.7650000000001</v>
      </c>
      <c r="G1043" s="595">
        <v>1672.4949999999999</v>
      </c>
    </row>
    <row r="1044" spans="1:7" ht="10.050000000000001" customHeight="1">
      <c r="A1044" s="597">
        <v>40653</v>
      </c>
      <c r="B1044" s="54">
        <v>4</v>
      </c>
      <c r="C1044" s="53">
        <v>2011</v>
      </c>
      <c r="D1044" s="52" t="s">
        <v>115</v>
      </c>
      <c r="E1044" s="52" t="s">
        <v>310</v>
      </c>
      <c r="F1044" s="595">
        <v>1237.0039999999999</v>
      </c>
      <c r="G1044" s="595">
        <v>1466.3810000000001</v>
      </c>
    </row>
    <row r="1045" spans="1:7" ht="10.050000000000001" customHeight="1">
      <c r="A1045" s="597">
        <v>40683</v>
      </c>
      <c r="B1045" s="54">
        <v>5</v>
      </c>
      <c r="C1045" s="53">
        <v>2011</v>
      </c>
      <c r="D1045" s="52" t="s">
        <v>115</v>
      </c>
      <c r="E1045" s="52" t="s">
        <v>310</v>
      </c>
      <c r="F1045" s="595">
        <v>1369.8430000000001</v>
      </c>
      <c r="G1045" s="595">
        <v>1629.021</v>
      </c>
    </row>
    <row r="1046" spans="1:7" ht="10.050000000000001" customHeight="1">
      <c r="A1046" s="597">
        <v>40714</v>
      </c>
      <c r="B1046" s="54">
        <v>6</v>
      </c>
      <c r="C1046" s="53">
        <v>2011</v>
      </c>
      <c r="D1046" s="52" t="s">
        <v>115</v>
      </c>
      <c r="E1046" s="52" t="s">
        <v>310</v>
      </c>
      <c r="F1046" s="595">
        <v>1231.0050000000001</v>
      </c>
      <c r="G1046" s="595">
        <v>1437.125</v>
      </c>
    </row>
    <row r="1047" spans="1:7" ht="10.050000000000001" customHeight="1">
      <c r="A1047" s="597">
        <v>40744</v>
      </c>
      <c r="B1047" s="54">
        <v>7</v>
      </c>
      <c r="C1047" s="53">
        <v>2011</v>
      </c>
      <c r="D1047" s="52" t="s">
        <v>116</v>
      </c>
      <c r="E1047" s="52" t="s">
        <v>310</v>
      </c>
      <c r="F1047" s="595">
        <v>1216.403</v>
      </c>
      <c r="G1047" s="595">
        <v>1462</v>
      </c>
    </row>
    <row r="1048" spans="1:7" ht="10.050000000000001" customHeight="1">
      <c r="A1048" s="597">
        <v>40775</v>
      </c>
      <c r="B1048" s="54">
        <v>8</v>
      </c>
      <c r="C1048" s="53">
        <v>2011</v>
      </c>
      <c r="D1048" s="52" t="s">
        <v>116</v>
      </c>
      <c r="E1048" s="52" t="s">
        <v>310</v>
      </c>
      <c r="F1048" s="595">
        <v>1456.91</v>
      </c>
      <c r="G1048" s="595">
        <v>1702.124</v>
      </c>
    </row>
    <row r="1049" spans="1:7" ht="10.050000000000001" customHeight="1">
      <c r="A1049" s="597">
        <v>40806</v>
      </c>
      <c r="B1049" s="54">
        <v>9</v>
      </c>
      <c r="C1049" s="53">
        <v>2011</v>
      </c>
      <c r="D1049" s="52" t="s">
        <v>116</v>
      </c>
      <c r="E1049" s="52" t="s">
        <v>310</v>
      </c>
      <c r="F1049" s="595">
        <v>1342.886</v>
      </c>
      <c r="G1049" s="595">
        <v>1598.43</v>
      </c>
    </row>
    <row r="1050" spans="1:7" ht="10.050000000000001" customHeight="1">
      <c r="A1050" s="597">
        <v>40836</v>
      </c>
      <c r="B1050" s="54">
        <v>10</v>
      </c>
      <c r="C1050" s="53">
        <v>2011</v>
      </c>
      <c r="D1050" s="52" t="s">
        <v>116</v>
      </c>
      <c r="E1050" s="52" t="s">
        <v>310</v>
      </c>
      <c r="F1050" s="595">
        <v>1547.87</v>
      </c>
      <c r="G1050" s="595">
        <v>1847.1610000000001</v>
      </c>
    </row>
    <row r="1051" spans="1:7" ht="10.050000000000001" customHeight="1">
      <c r="A1051" s="597">
        <v>40867</v>
      </c>
      <c r="B1051" s="54">
        <v>11</v>
      </c>
      <c r="C1051" s="53">
        <v>2011</v>
      </c>
      <c r="D1051" s="52" t="s">
        <v>116</v>
      </c>
      <c r="E1051" s="52" t="s">
        <v>310</v>
      </c>
      <c r="F1051" s="595">
        <v>1653.98</v>
      </c>
      <c r="G1051" s="595">
        <v>2035.606</v>
      </c>
    </row>
    <row r="1052" spans="1:7" ht="10.050000000000001" customHeight="1">
      <c r="A1052" s="597">
        <v>40897</v>
      </c>
      <c r="B1052" s="54">
        <v>12</v>
      </c>
      <c r="C1052" s="53">
        <v>2011</v>
      </c>
      <c r="D1052" s="52" t="s">
        <v>116</v>
      </c>
      <c r="E1052" s="52" t="s">
        <v>310</v>
      </c>
      <c r="F1052" s="595">
        <v>1881.989</v>
      </c>
      <c r="G1052" s="595">
        <v>2242.288</v>
      </c>
    </row>
    <row r="1053" spans="1:7" ht="10.050000000000001" customHeight="1">
      <c r="A1053" s="597">
        <v>40928</v>
      </c>
      <c r="B1053" s="54">
        <v>1</v>
      </c>
      <c r="C1053" s="53">
        <v>2012</v>
      </c>
      <c r="D1053" s="52" t="s">
        <v>116</v>
      </c>
      <c r="E1053" s="52" t="s">
        <v>310</v>
      </c>
      <c r="F1053" s="595">
        <v>1290.038</v>
      </c>
      <c r="G1053" s="595">
        <v>1555.721</v>
      </c>
    </row>
    <row r="1054" spans="1:7" ht="10.050000000000001" customHeight="1">
      <c r="A1054" s="597">
        <v>40959</v>
      </c>
      <c r="B1054" s="54">
        <v>2</v>
      </c>
      <c r="C1054" s="53">
        <v>2012</v>
      </c>
      <c r="D1054" s="52" t="s">
        <v>116</v>
      </c>
      <c r="E1054" s="52" t="s">
        <v>310</v>
      </c>
      <c r="F1054" s="595">
        <v>1047.5319999999999</v>
      </c>
      <c r="G1054" s="595">
        <v>1229.5150000000001</v>
      </c>
    </row>
    <row r="1055" spans="1:7" ht="10.050000000000001" customHeight="1">
      <c r="A1055" s="597">
        <v>40988</v>
      </c>
      <c r="B1055" s="54">
        <v>3</v>
      </c>
      <c r="C1055" s="53">
        <v>2012</v>
      </c>
      <c r="D1055" s="52" t="s">
        <v>116</v>
      </c>
      <c r="E1055" s="52" t="s">
        <v>310</v>
      </c>
      <c r="F1055" s="595">
        <v>1304.4559999999999</v>
      </c>
      <c r="G1055" s="595">
        <v>1546.5920000000001</v>
      </c>
    </row>
    <row r="1056" spans="1:7" ht="10.050000000000001" customHeight="1">
      <c r="A1056" s="597">
        <v>41019</v>
      </c>
      <c r="B1056" s="54">
        <v>4</v>
      </c>
      <c r="C1056" s="53">
        <v>2012</v>
      </c>
      <c r="D1056" s="52" t="s">
        <v>116</v>
      </c>
      <c r="E1056" s="52" t="s">
        <v>310</v>
      </c>
      <c r="F1056" s="595">
        <v>1315.511</v>
      </c>
      <c r="G1056" s="595">
        <v>1558.3330000000001</v>
      </c>
    </row>
    <row r="1057" spans="1:7" ht="10.050000000000001" customHeight="1">
      <c r="A1057" s="597">
        <v>41049</v>
      </c>
      <c r="B1057" s="54">
        <v>5</v>
      </c>
      <c r="C1057" s="53">
        <v>2012</v>
      </c>
      <c r="D1057" s="52" t="s">
        <v>116</v>
      </c>
      <c r="E1057" s="52" t="s">
        <v>310</v>
      </c>
      <c r="F1057" s="595">
        <v>1240.222</v>
      </c>
      <c r="G1057" s="595">
        <v>1460.1990000000001</v>
      </c>
    </row>
    <row r="1058" spans="1:7" ht="10.050000000000001" customHeight="1">
      <c r="A1058" s="597">
        <v>41080</v>
      </c>
      <c r="B1058" s="54">
        <v>6</v>
      </c>
      <c r="C1058" s="53">
        <v>2012</v>
      </c>
      <c r="D1058" s="52" t="s">
        <v>116</v>
      </c>
      <c r="E1058" s="52" t="s">
        <v>310</v>
      </c>
      <c r="F1058" s="595">
        <v>1473.7840000000001</v>
      </c>
      <c r="G1058" s="595">
        <v>1700.383</v>
      </c>
    </row>
    <row r="1059" spans="1:7" ht="10.050000000000001" customHeight="1">
      <c r="A1059" s="597">
        <v>41110</v>
      </c>
      <c r="B1059" s="54">
        <v>7</v>
      </c>
      <c r="C1059" s="53">
        <v>2012</v>
      </c>
      <c r="D1059" s="52" t="s">
        <v>117</v>
      </c>
      <c r="E1059" s="52" t="s">
        <v>310</v>
      </c>
      <c r="F1059" s="595">
        <v>1280.181</v>
      </c>
      <c r="G1059" s="595">
        <v>1578.9880000000001</v>
      </c>
    </row>
    <row r="1060" spans="1:7" ht="10.050000000000001" customHeight="1">
      <c r="A1060" s="597">
        <v>41141</v>
      </c>
      <c r="B1060" s="54">
        <v>8</v>
      </c>
      <c r="C1060" s="53">
        <v>2012</v>
      </c>
      <c r="D1060" s="52" t="s">
        <v>117</v>
      </c>
      <c r="E1060" s="52" t="s">
        <v>310</v>
      </c>
      <c r="F1060" s="595">
        <v>1159.7840000000001</v>
      </c>
      <c r="G1060" s="595">
        <v>1417.598</v>
      </c>
    </row>
    <row r="1061" spans="1:7" ht="10.050000000000001" customHeight="1">
      <c r="A1061" s="597">
        <v>41172</v>
      </c>
      <c r="B1061" s="54">
        <v>9</v>
      </c>
      <c r="C1061" s="53">
        <v>2012</v>
      </c>
      <c r="D1061" s="52" t="s">
        <v>117</v>
      </c>
      <c r="E1061" s="52" t="s">
        <v>310</v>
      </c>
      <c r="F1061" s="595">
        <v>1552.3440000000001</v>
      </c>
      <c r="G1061" s="595">
        <v>1842.796</v>
      </c>
    </row>
    <row r="1062" spans="1:7" ht="10.050000000000001" customHeight="1">
      <c r="A1062" s="597">
        <v>41202</v>
      </c>
      <c r="B1062" s="54">
        <v>10</v>
      </c>
      <c r="C1062" s="53">
        <v>2012</v>
      </c>
      <c r="D1062" s="52" t="s">
        <v>117</v>
      </c>
      <c r="E1062" s="52" t="s">
        <v>310</v>
      </c>
      <c r="F1062" s="595">
        <v>1635.4590000000001</v>
      </c>
      <c r="G1062" s="595">
        <v>1977.7170000000001</v>
      </c>
    </row>
    <row r="1063" spans="1:7" ht="10.050000000000001" customHeight="1">
      <c r="A1063" s="597">
        <v>41233</v>
      </c>
      <c r="B1063" s="54">
        <v>11</v>
      </c>
      <c r="C1063" s="53">
        <v>2012</v>
      </c>
      <c r="D1063" s="52" t="s">
        <v>117</v>
      </c>
      <c r="E1063" s="52" t="s">
        <v>310</v>
      </c>
      <c r="F1063" s="595">
        <v>1629.3920000000001</v>
      </c>
      <c r="G1063" s="595">
        <v>1963.5350000000001</v>
      </c>
    </row>
    <row r="1064" spans="1:7" ht="10.050000000000001" customHeight="1">
      <c r="A1064" s="597">
        <v>41263</v>
      </c>
      <c r="B1064" s="54">
        <v>12</v>
      </c>
      <c r="C1064" s="53">
        <v>2012</v>
      </c>
      <c r="D1064" s="52" t="s">
        <v>117</v>
      </c>
      <c r="E1064" s="52" t="s">
        <v>310</v>
      </c>
      <c r="F1064" s="595">
        <v>1462.153</v>
      </c>
      <c r="G1064" s="595">
        <v>1674.297</v>
      </c>
    </row>
    <row r="1065" spans="1:7" ht="10.050000000000001" customHeight="1">
      <c r="A1065" s="597">
        <v>41294</v>
      </c>
      <c r="B1065" s="54">
        <v>1</v>
      </c>
      <c r="C1065" s="53">
        <v>2013</v>
      </c>
      <c r="D1065" s="52" t="s">
        <v>117</v>
      </c>
      <c r="E1065" s="52" t="s">
        <v>310</v>
      </c>
      <c r="F1065" s="595">
        <v>1228.807</v>
      </c>
      <c r="G1065" s="595">
        <v>1436.3219999999999</v>
      </c>
    </row>
    <row r="1066" spans="1:7" ht="10.050000000000001" customHeight="1">
      <c r="A1066" s="597">
        <v>41325</v>
      </c>
      <c r="B1066" s="54">
        <v>2</v>
      </c>
      <c r="C1066" s="53">
        <v>2013</v>
      </c>
      <c r="D1066" s="52" t="s">
        <v>117</v>
      </c>
      <c r="E1066" s="52" t="s">
        <v>310</v>
      </c>
      <c r="F1066" s="595">
        <v>897.61599999999999</v>
      </c>
      <c r="G1066" s="595">
        <v>1143.2660000000001</v>
      </c>
    </row>
    <row r="1067" spans="1:7" ht="10.050000000000001" customHeight="1">
      <c r="A1067" s="597">
        <v>41353</v>
      </c>
      <c r="B1067" s="54">
        <v>3</v>
      </c>
      <c r="C1067" s="53">
        <v>2013</v>
      </c>
      <c r="D1067" s="52" t="s">
        <v>117</v>
      </c>
      <c r="E1067" s="52" t="s">
        <v>310</v>
      </c>
      <c r="F1067" s="595">
        <v>1147.5909999999999</v>
      </c>
      <c r="G1067" s="595">
        <v>1368.37</v>
      </c>
    </row>
    <row r="1068" spans="1:7" ht="10.050000000000001" customHeight="1">
      <c r="A1068" s="597">
        <v>41384</v>
      </c>
      <c r="B1068" s="54">
        <v>4</v>
      </c>
      <c r="C1068" s="53">
        <v>2013</v>
      </c>
      <c r="D1068" s="52" t="s">
        <v>117</v>
      </c>
      <c r="E1068" s="52" t="s">
        <v>310</v>
      </c>
      <c r="F1068" s="595">
        <v>1123.2529999999999</v>
      </c>
      <c r="G1068" s="595">
        <v>1345.383</v>
      </c>
    </row>
    <row r="1069" spans="1:7" ht="10.050000000000001" customHeight="1">
      <c r="A1069" s="597">
        <v>41414</v>
      </c>
      <c r="B1069" s="54">
        <v>5</v>
      </c>
      <c r="C1069" s="53">
        <v>2013</v>
      </c>
      <c r="D1069" s="52" t="s">
        <v>117</v>
      </c>
      <c r="E1069" s="52" t="s">
        <v>310</v>
      </c>
      <c r="F1069" s="595">
        <v>1336.5640000000001</v>
      </c>
      <c r="G1069" s="595">
        <v>1598.296</v>
      </c>
    </row>
    <row r="1070" spans="1:7" ht="10.050000000000001" customHeight="1">
      <c r="A1070" s="597">
        <v>41445</v>
      </c>
      <c r="B1070" s="54">
        <v>6</v>
      </c>
      <c r="C1070" s="53">
        <v>2013</v>
      </c>
      <c r="D1070" s="52" t="s">
        <v>117</v>
      </c>
      <c r="E1070" s="52" t="s">
        <v>310</v>
      </c>
      <c r="F1070" s="595">
        <v>1206.0340000000001</v>
      </c>
      <c r="G1070" s="595">
        <v>1343.16</v>
      </c>
    </row>
    <row r="1071" spans="1:7" ht="10.050000000000001" customHeight="1">
      <c r="A1071" s="597">
        <v>41475</v>
      </c>
      <c r="B1071" s="54">
        <v>7</v>
      </c>
      <c r="C1071" s="53">
        <v>2013</v>
      </c>
      <c r="D1071" s="52" t="s">
        <v>118</v>
      </c>
      <c r="E1071" s="52" t="s">
        <v>310</v>
      </c>
      <c r="F1071" s="595">
        <v>1370.626</v>
      </c>
      <c r="G1071" s="595">
        <v>1792.0519999999999</v>
      </c>
    </row>
    <row r="1072" spans="1:7" ht="10.050000000000001" customHeight="1">
      <c r="A1072" s="597">
        <v>41506</v>
      </c>
      <c r="B1072" s="54">
        <v>8</v>
      </c>
      <c r="C1072" s="53">
        <v>2013</v>
      </c>
      <c r="D1072" s="52" t="s">
        <v>118</v>
      </c>
      <c r="E1072" s="52" t="s">
        <v>310</v>
      </c>
      <c r="F1072" s="595">
        <v>1180.6600000000001</v>
      </c>
      <c r="G1072" s="595">
        <v>1412.9749999999999</v>
      </c>
    </row>
    <row r="1073" spans="1:7" ht="10.050000000000001" customHeight="1">
      <c r="A1073" s="597">
        <v>41537</v>
      </c>
      <c r="B1073" s="54">
        <v>9</v>
      </c>
      <c r="C1073" s="53">
        <v>2013</v>
      </c>
      <c r="D1073" s="52" t="s">
        <v>118</v>
      </c>
      <c r="E1073" s="52" t="s">
        <v>310</v>
      </c>
      <c r="F1073" s="595">
        <v>1291.7940000000001</v>
      </c>
      <c r="G1073" s="595">
        <v>1512.039</v>
      </c>
    </row>
    <row r="1074" spans="1:7" ht="10.050000000000001" customHeight="1">
      <c r="A1074" s="597">
        <v>41567</v>
      </c>
      <c r="B1074" s="54">
        <v>10</v>
      </c>
      <c r="C1074" s="53">
        <v>2013</v>
      </c>
      <c r="D1074" s="52" t="s">
        <v>118</v>
      </c>
      <c r="E1074" s="52" t="s">
        <v>310</v>
      </c>
      <c r="F1074" s="595">
        <v>1749.3989999999999</v>
      </c>
      <c r="G1074" s="595">
        <v>2030.6469999999999</v>
      </c>
    </row>
    <row r="1075" spans="1:7" ht="10.050000000000001" customHeight="1">
      <c r="A1075" s="597">
        <v>41598</v>
      </c>
      <c r="B1075" s="54">
        <v>11</v>
      </c>
      <c r="C1075" s="53">
        <v>2013</v>
      </c>
      <c r="D1075" s="52" t="s">
        <v>118</v>
      </c>
      <c r="E1075" s="52" t="s">
        <v>310</v>
      </c>
      <c r="F1075" s="595">
        <v>1566.5160000000001</v>
      </c>
      <c r="G1075" s="595">
        <v>1825.1469999999999</v>
      </c>
    </row>
    <row r="1076" spans="1:7" ht="10.050000000000001" customHeight="1">
      <c r="A1076" s="597">
        <v>41628</v>
      </c>
      <c r="B1076" s="54">
        <v>12</v>
      </c>
      <c r="C1076" s="53">
        <v>2013</v>
      </c>
      <c r="D1076" s="52" t="s">
        <v>118</v>
      </c>
      <c r="E1076" s="52" t="s">
        <v>310</v>
      </c>
      <c r="F1076" s="595">
        <v>1549.0419999999999</v>
      </c>
      <c r="G1076" s="595">
        <v>1817.3979999999999</v>
      </c>
    </row>
    <row r="1077" spans="1:7" ht="10.050000000000001" customHeight="1">
      <c r="A1077" s="597">
        <v>41659</v>
      </c>
      <c r="B1077" s="54">
        <v>1</v>
      </c>
      <c r="C1077" s="53">
        <v>2014</v>
      </c>
      <c r="D1077" s="52" t="s">
        <v>118</v>
      </c>
      <c r="E1077" s="52" t="s">
        <v>310</v>
      </c>
      <c r="F1077" s="595">
        <v>1435.162</v>
      </c>
      <c r="G1077" s="595">
        <v>1700.5039999999999</v>
      </c>
    </row>
    <row r="1078" spans="1:7" ht="10.050000000000001" customHeight="1">
      <c r="A1078" s="597">
        <v>41690</v>
      </c>
      <c r="B1078" s="54">
        <v>2</v>
      </c>
      <c r="C1078" s="53">
        <v>2014</v>
      </c>
      <c r="D1078" s="52" t="s">
        <v>118</v>
      </c>
      <c r="E1078" s="52" t="s">
        <v>310</v>
      </c>
      <c r="F1078" s="595">
        <v>1200.713</v>
      </c>
      <c r="G1078" s="595">
        <v>1403.162</v>
      </c>
    </row>
    <row r="1079" spans="1:7" ht="10.050000000000001" customHeight="1">
      <c r="A1079" s="597">
        <v>41718</v>
      </c>
      <c r="B1079" s="54">
        <v>3</v>
      </c>
      <c r="C1079" s="53">
        <v>2014</v>
      </c>
      <c r="D1079" s="52" t="s">
        <v>118</v>
      </c>
      <c r="E1079" s="52" t="s">
        <v>310</v>
      </c>
      <c r="F1079" s="595">
        <v>1207.258</v>
      </c>
      <c r="G1079" s="595">
        <v>1434.473</v>
      </c>
    </row>
    <row r="1080" spans="1:7" ht="10.050000000000001" customHeight="1">
      <c r="A1080" s="597">
        <v>41749</v>
      </c>
      <c r="B1080" s="54">
        <v>4</v>
      </c>
      <c r="C1080" s="53">
        <v>2014</v>
      </c>
      <c r="D1080" s="52" t="s">
        <v>118</v>
      </c>
      <c r="E1080" s="52" t="s">
        <v>310</v>
      </c>
      <c r="F1080" s="595">
        <v>1284.4549999999999</v>
      </c>
      <c r="G1080" s="595">
        <v>1636.4179999999999</v>
      </c>
    </row>
    <row r="1081" spans="1:7" ht="10.050000000000001" customHeight="1">
      <c r="A1081" s="597">
        <v>41779</v>
      </c>
      <c r="B1081" s="54">
        <v>5</v>
      </c>
      <c r="C1081" s="53">
        <v>2014</v>
      </c>
      <c r="D1081" s="52" t="s">
        <v>118</v>
      </c>
      <c r="E1081" s="52" t="s">
        <v>310</v>
      </c>
      <c r="F1081" s="595">
        <v>1145.3989999999999</v>
      </c>
      <c r="G1081" s="595">
        <v>1342.2280000000001</v>
      </c>
    </row>
    <row r="1082" spans="1:7" ht="10.050000000000001" customHeight="1">
      <c r="A1082" s="597">
        <v>41810</v>
      </c>
      <c r="B1082" s="54">
        <v>6</v>
      </c>
      <c r="C1082" s="53">
        <v>2014</v>
      </c>
      <c r="D1082" s="52" t="s">
        <v>118</v>
      </c>
      <c r="E1082" s="52" t="s">
        <v>310</v>
      </c>
      <c r="F1082" s="595">
        <v>1270.627</v>
      </c>
      <c r="G1082" s="595">
        <v>1468.4770000000001</v>
      </c>
    </row>
    <row r="1083" spans="1:7" ht="10.050000000000001" customHeight="1">
      <c r="A1083" s="597">
        <v>41840</v>
      </c>
      <c r="B1083" s="54">
        <v>7</v>
      </c>
      <c r="C1083" s="53">
        <v>2014</v>
      </c>
      <c r="D1083" s="52" t="s">
        <v>119</v>
      </c>
      <c r="E1083" s="52" t="s">
        <v>310</v>
      </c>
      <c r="F1083" s="595">
        <v>1211.5999999999999</v>
      </c>
      <c r="G1083" s="595">
        <v>1455.2629999999999</v>
      </c>
    </row>
    <row r="1084" spans="1:7" ht="10.050000000000001" customHeight="1">
      <c r="A1084" s="597">
        <v>41871</v>
      </c>
      <c r="B1084" s="54">
        <v>8</v>
      </c>
      <c r="C1084" s="53">
        <v>2014</v>
      </c>
      <c r="D1084" s="52" t="s">
        <v>119</v>
      </c>
      <c r="E1084" s="52" t="s">
        <v>310</v>
      </c>
      <c r="F1084" s="595">
        <v>1146.9760000000001</v>
      </c>
      <c r="G1084" s="595">
        <v>1387.816</v>
      </c>
    </row>
    <row r="1085" spans="1:7" ht="10.050000000000001" customHeight="1">
      <c r="A1085" s="597">
        <v>41902</v>
      </c>
      <c r="B1085" s="54">
        <v>9</v>
      </c>
      <c r="C1085" s="53">
        <v>2014</v>
      </c>
      <c r="D1085" s="52" t="s">
        <v>119</v>
      </c>
      <c r="E1085" s="52" t="s">
        <v>310</v>
      </c>
      <c r="F1085" s="595">
        <v>1529.97</v>
      </c>
      <c r="G1085" s="595">
        <v>1803.165</v>
      </c>
    </row>
    <row r="1086" spans="1:7" ht="10.050000000000001" customHeight="1">
      <c r="A1086" s="597">
        <v>41932</v>
      </c>
      <c r="B1086" s="54">
        <v>10</v>
      </c>
      <c r="C1086" s="53">
        <v>2014</v>
      </c>
      <c r="D1086" s="52" t="s">
        <v>119</v>
      </c>
      <c r="E1086" s="52" t="s">
        <v>310</v>
      </c>
      <c r="F1086" s="595">
        <v>1474.8209999999999</v>
      </c>
      <c r="G1086" s="595">
        <v>1721.191</v>
      </c>
    </row>
    <row r="1087" spans="1:7" ht="10.050000000000001" customHeight="1">
      <c r="A1087" s="597">
        <v>41963</v>
      </c>
      <c r="B1087" s="54">
        <v>11</v>
      </c>
      <c r="C1087" s="53">
        <v>2014</v>
      </c>
      <c r="D1087" s="52" t="s">
        <v>119</v>
      </c>
      <c r="E1087" s="52" t="s">
        <v>310</v>
      </c>
      <c r="F1087" s="595">
        <v>1511.048</v>
      </c>
      <c r="G1087" s="595">
        <v>1745.4929999999999</v>
      </c>
    </row>
    <row r="1088" spans="1:7" ht="10.050000000000001" customHeight="1">
      <c r="A1088" s="597">
        <v>41993</v>
      </c>
      <c r="B1088" s="54">
        <v>12</v>
      </c>
      <c r="C1088" s="53">
        <v>2014</v>
      </c>
      <c r="D1088" s="52" t="s">
        <v>119</v>
      </c>
      <c r="E1088" s="52" t="s">
        <v>310</v>
      </c>
      <c r="F1088" s="595">
        <v>1199.92</v>
      </c>
      <c r="G1088" s="595">
        <v>1832.856</v>
      </c>
    </row>
    <row r="1089" spans="1:7" ht="10.050000000000001" customHeight="1">
      <c r="A1089" s="597">
        <v>42024</v>
      </c>
      <c r="B1089" s="54">
        <v>1</v>
      </c>
      <c r="C1089" s="53">
        <v>2015</v>
      </c>
      <c r="D1089" s="52" t="s">
        <v>119</v>
      </c>
      <c r="E1089" s="52" t="s">
        <v>310</v>
      </c>
      <c r="F1089" s="595">
        <v>1188.096</v>
      </c>
      <c r="G1089" s="595">
        <v>1393.269</v>
      </c>
    </row>
    <row r="1090" spans="1:7" ht="10.050000000000001" customHeight="1">
      <c r="A1090" s="597">
        <v>42055</v>
      </c>
      <c r="B1090" s="54">
        <v>2</v>
      </c>
      <c r="C1090" s="53">
        <v>2015</v>
      </c>
      <c r="D1090" s="52" t="s">
        <v>119</v>
      </c>
      <c r="E1090" s="52" t="s">
        <v>310</v>
      </c>
      <c r="F1090" s="595">
        <v>704.25199999999995</v>
      </c>
      <c r="G1090" s="595">
        <v>840.80100000000004</v>
      </c>
    </row>
    <row r="1091" spans="1:7" ht="10.050000000000001" customHeight="1">
      <c r="A1091" s="597">
        <v>42083</v>
      </c>
      <c r="B1091" s="54">
        <v>3</v>
      </c>
      <c r="C1091" s="53">
        <v>2015</v>
      </c>
      <c r="D1091" s="52" t="s">
        <v>119</v>
      </c>
      <c r="E1091" s="52" t="s">
        <v>310</v>
      </c>
      <c r="F1091" s="595">
        <v>1322.4829999999999</v>
      </c>
      <c r="G1091" s="595">
        <v>1555.085</v>
      </c>
    </row>
    <row r="1092" spans="1:7" ht="10.050000000000001" customHeight="1">
      <c r="A1092" s="597">
        <v>42114</v>
      </c>
      <c r="B1092" s="54">
        <v>4</v>
      </c>
      <c r="C1092" s="53">
        <v>2015</v>
      </c>
      <c r="D1092" s="52" t="s">
        <v>119</v>
      </c>
      <c r="E1092" s="52" t="s">
        <v>310</v>
      </c>
      <c r="F1092" s="595">
        <v>889.43100000000004</v>
      </c>
      <c r="G1092" s="595">
        <v>1053.17</v>
      </c>
    </row>
    <row r="1093" spans="1:7" ht="10.050000000000001" customHeight="1">
      <c r="A1093" s="597">
        <v>42144</v>
      </c>
      <c r="B1093" s="54">
        <v>5</v>
      </c>
      <c r="C1093" s="53">
        <v>2015</v>
      </c>
      <c r="D1093" s="52" t="s">
        <v>119</v>
      </c>
      <c r="E1093" s="52" t="s">
        <v>310</v>
      </c>
      <c r="F1093" s="595">
        <v>880.47400000000005</v>
      </c>
      <c r="G1093" s="595">
        <v>1059.481</v>
      </c>
    </row>
    <row r="1094" spans="1:7" ht="10.050000000000001" customHeight="1">
      <c r="A1094" s="597">
        <v>42175</v>
      </c>
      <c r="B1094" s="54">
        <v>6</v>
      </c>
      <c r="C1094" s="53">
        <v>2015</v>
      </c>
      <c r="D1094" s="52" t="s">
        <v>119</v>
      </c>
      <c r="E1094" s="52" t="s">
        <v>310</v>
      </c>
      <c r="F1094" s="595">
        <v>1039.0820000000001</v>
      </c>
      <c r="G1094" s="595">
        <v>1235.808</v>
      </c>
    </row>
    <row r="1095" spans="1:7" ht="10.050000000000001" customHeight="1">
      <c r="A1095" s="597">
        <v>42205</v>
      </c>
      <c r="B1095" s="54">
        <v>7</v>
      </c>
      <c r="C1095" s="53">
        <v>2015</v>
      </c>
      <c r="D1095" s="52" t="s">
        <v>120</v>
      </c>
      <c r="E1095" s="52" t="s">
        <v>310</v>
      </c>
      <c r="F1095" s="595">
        <v>1018.931</v>
      </c>
      <c r="G1095" s="595">
        <v>1230.047</v>
      </c>
    </row>
    <row r="1096" spans="1:7" ht="10.050000000000001" customHeight="1">
      <c r="A1096" s="597">
        <v>42236</v>
      </c>
      <c r="B1096" s="54">
        <v>8</v>
      </c>
      <c r="C1096" s="53">
        <v>2015</v>
      </c>
      <c r="D1096" s="52" t="s">
        <v>120</v>
      </c>
      <c r="E1096" s="52" t="s">
        <v>310</v>
      </c>
      <c r="F1096" s="595">
        <v>915.11900000000003</v>
      </c>
      <c r="G1096" s="595">
        <v>1097</v>
      </c>
    </row>
    <row r="1097" spans="1:7" ht="10.050000000000001" customHeight="1">
      <c r="A1097" s="597">
        <v>42267</v>
      </c>
      <c r="B1097" s="54">
        <v>9</v>
      </c>
      <c r="C1097" s="53">
        <v>2015</v>
      </c>
      <c r="D1097" s="52" t="s">
        <v>120</v>
      </c>
      <c r="E1097" s="52" t="s">
        <v>310</v>
      </c>
      <c r="F1097" s="595">
        <v>993.31500000000005</v>
      </c>
      <c r="G1097" s="595">
        <v>1164.538</v>
      </c>
    </row>
    <row r="1098" spans="1:7" ht="10.050000000000001" customHeight="1">
      <c r="A1098" s="597">
        <v>42297</v>
      </c>
      <c r="B1098" s="54">
        <v>10</v>
      </c>
      <c r="C1098" s="53">
        <v>2015</v>
      </c>
      <c r="D1098" s="52" t="s">
        <v>120</v>
      </c>
      <c r="E1098" s="52" t="s">
        <v>310</v>
      </c>
      <c r="F1098" s="595">
        <v>1006.773</v>
      </c>
      <c r="G1098" s="595">
        <v>1231.9880000000001</v>
      </c>
    </row>
    <row r="1099" spans="1:7" ht="10.050000000000001" customHeight="1">
      <c r="A1099" s="597">
        <v>42328</v>
      </c>
      <c r="B1099" s="54">
        <v>11</v>
      </c>
      <c r="C1099" s="53">
        <v>2015</v>
      </c>
      <c r="D1099" s="52" t="s">
        <v>120</v>
      </c>
      <c r="E1099" s="52" t="s">
        <v>310</v>
      </c>
      <c r="F1099" s="595">
        <v>1195.299</v>
      </c>
      <c r="G1099" s="595">
        <v>1424.874</v>
      </c>
    </row>
    <row r="1100" spans="1:7" ht="10.050000000000001" customHeight="1">
      <c r="A1100" s="597">
        <v>42358</v>
      </c>
      <c r="B1100" s="54">
        <v>12</v>
      </c>
      <c r="C1100" s="53">
        <v>2015</v>
      </c>
      <c r="D1100" s="52" t="s">
        <v>120</v>
      </c>
      <c r="E1100" s="52" t="s">
        <v>310</v>
      </c>
      <c r="F1100" s="595">
        <v>1208.556</v>
      </c>
      <c r="G1100" s="595">
        <v>1439.722</v>
      </c>
    </row>
    <row r="1101" spans="1:7" ht="10.050000000000001" customHeight="1">
      <c r="A1101" s="597">
        <v>42389</v>
      </c>
      <c r="B1101" s="54">
        <v>1</v>
      </c>
      <c r="C1101" s="53">
        <v>2016</v>
      </c>
      <c r="D1101" s="52" t="s">
        <v>120</v>
      </c>
      <c r="E1101" s="52" t="s">
        <v>310</v>
      </c>
      <c r="F1101" s="595">
        <v>853.82799999999997</v>
      </c>
      <c r="G1101" s="595">
        <v>1006.616</v>
      </c>
    </row>
    <row r="1102" spans="1:7" ht="10.050000000000001" customHeight="1">
      <c r="A1102" s="597">
        <v>42420</v>
      </c>
      <c r="B1102" s="54">
        <v>2</v>
      </c>
      <c r="C1102" s="53">
        <v>2016</v>
      </c>
      <c r="D1102" s="52" t="s">
        <v>120</v>
      </c>
      <c r="E1102" s="52" t="s">
        <v>310</v>
      </c>
      <c r="F1102" s="595">
        <v>956.31799999999998</v>
      </c>
      <c r="G1102" s="595">
        <v>1161.162</v>
      </c>
    </row>
    <row r="1103" spans="1:7" ht="10.050000000000001" customHeight="1">
      <c r="A1103" s="597">
        <v>42449</v>
      </c>
      <c r="B1103" s="54">
        <v>3</v>
      </c>
      <c r="C1103" s="53">
        <v>2016</v>
      </c>
      <c r="D1103" s="52" t="s">
        <v>120</v>
      </c>
      <c r="E1103" s="52" t="s">
        <v>310</v>
      </c>
      <c r="F1103" s="595">
        <v>997.72199999999998</v>
      </c>
      <c r="G1103" s="595">
        <v>1325.2719999999999</v>
      </c>
    </row>
    <row r="1104" spans="1:7" ht="10.050000000000001" customHeight="1">
      <c r="A1104" s="597">
        <v>42480</v>
      </c>
      <c r="B1104" s="54">
        <v>4</v>
      </c>
      <c r="C1104" s="53">
        <v>2016</v>
      </c>
      <c r="D1104" s="52" t="s">
        <v>120</v>
      </c>
      <c r="E1104" s="52" t="s">
        <v>310</v>
      </c>
      <c r="F1104" s="595">
        <v>1015.89</v>
      </c>
      <c r="G1104" s="595">
        <v>1283.325</v>
      </c>
    </row>
    <row r="1105" spans="1:7" ht="10.050000000000001" customHeight="1">
      <c r="A1105" s="597">
        <v>42510</v>
      </c>
      <c r="B1105" s="54">
        <v>5</v>
      </c>
      <c r="C1105" s="53">
        <v>2016</v>
      </c>
      <c r="D1105" s="52" t="s">
        <v>120</v>
      </c>
      <c r="E1105" s="52" t="s">
        <v>310</v>
      </c>
      <c r="F1105" s="595">
        <v>845.96299999999997</v>
      </c>
      <c r="G1105" s="595">
        <v>1041.5640000000001</v>
      </c>
    </row>
    <row r="1106" spans="1:7" ht="10.050000000000001" customHeight="1">
      <c r="A1106" s="597">
        <v>42541</v>
      </c>
      <c r="B1106" s="54">
        <v>6</v>
      </c>
      <c r="C1106" s="53">
        <v>2016</v>
      </c>
      <c r="D1106" s="52" t="s">
        <v>120</v>
      </c>
      <c r="E1106" s="52" t="s">
        <v>310</v>
      </c>
      <c r="F1106" s="595">
        <v>1023.062</v>
      </c>
      <c r="G1106" s="595">
        <v>1330.69</v>
      </c>
    </row>
    <row r="1107" spans="1:7" ht="10.050000000000001" customHeight="1">
      <c r="A1107" s="597">
        <v>42571</v>
      </c>
      <c r="B1107" s="54">
        <v>7</v>
      </c>
      <c r="C1107" s="53">
        <v>2016</v>
      </c>
      <c r="D1107" s="52" t="s">
        <v>121</v>
      </c>
      <c r="E1107" s="52" t="s">
        <v>310</v>
      </c>
      <c r="F1107" s="595">
        <v>963.67200000000003</v>
      </c>
      <c r="G1107" s="595">
        <v>1162.318</v>
      </c>
    </row>
    <row r="1108" spans="1:7" ht="10.050000000000001" customHeight="1">
      <c r="A1108" s="597">
        <v>42602</v>
      </c>
      <c r="B1108" s="54">
        <v>8</v>
      </c>
      <c r="C1108" s="53">
        <v>2016</v>
      </c>
      <c r="D1108" s="52" t="s">
        <v>121</v>
      </c>
      <c r="E1108" s="52" t="s">
        <v>310</v>
      </c>
      <c r="F1108" s="595">
        <v>1089.758</v>
      </c>
      <c r="G1108" s="595">
        <v>1303.0730000000001</v>
      </c>
    </row>
    <row r="1109" spans="1:7" ht="10.050000000000001" customHeight="1">
      <c r="A1109" s="597">
        <v>42633</v>
      </c>
      <c r="B1109" s="54">
        <v>9</v>
      </c>
      <c r="C1109" s="53">
        <v>2016</v>
      </c>
      <c r="D1109" s="52" t="s">
        <v>121</v>
      </c>
      <c r="E1109" s="52" t="s">
        <v>310</v>
      </c>
      <c r="F1109" s="595">
        <v>1018.428</v>
      </c>
      <c r="G1109" s="595">
        <v>1219.998</v>
      </c>
    </row>
    <row r="1110" spans="1:7" ht="10.050000000000001" customHeight="1">
      <c r="A1110" s="597">
        <v>42663</v>
      </c>
      <c r="B1110" s="54">
        <v>10</v>
      </c>
      <c r="C1110" s="53">
        <v>2016</v>
      </c>
      <c r="D1110" s="52" t="s">
        <v>121</v>
      </c>
      <c r="E1110" s="52" t="s">
        <v>310</v>
      </c>
      <c r="F1110" s="595">
        <v>1359.818</v>
      </c>
      <c r="G1110" s="595">
        <v>1642.2619999999999</v>
      </c>
    </row>
    <row r="1111" spans="1:7" ht="10.050000000000001" customHeight="1">
      <c r="A1111" s="597">
        <v>42694</v>
      </c>
      <c r="B1111" s="54">
        <v>11</v>
      </c>
      <c r="C1111" s="53">
        <v>2016</v>
      </c>
      <c r="D1111" s="52" t="s">
        <v>121</v>
      </c>
      <c r="E1111" s="52" t="s">
        <v>310</v>
      </c>
      <c r="F1111" s="595">
        <v>1241.27</v>
      </c>
      <c r="G1111" s="595">
        <v>1549.296</v>
      </c>
    </row>
    <row r="1112" spans="1:7" ht="10.050000000000001" customHeight="1">
      <c r="A1112" s="597">
        <v>42724</v>
      </c>
      <c r="B1112" s="54">
        <v>12</v>
      </c>
      <c r="C1112" s="53">
        <v>2016</v>
      </c>
      <c r="D1112" s="52" t="s">
        <v>121</v>
      </c>
      <c r="E1112" s="52" t="s">
        <v>310</v>
      </c>
      <c r="F1112" s="595">
        <v>1425.9480000000001</v>
      </c>
      <c r="G1112" s="595">
        <v>1775.7670000000001</v>
      </c>
    </row>
    <row r="1113" spans="1:7" ht="10.050000000000001" customHeight="1">
      <c r="A1113" s="597">
        <v>42755</v>
      </c>
      <c r="B1113" s="54">
        <v>1</v>
      </c>
      <c r="C1113" s="53">
        <v>2017</v>
      </c>
      <c r="D1113" s="52" t="s">
        <v>121</v>
      </c>
      <c r="E1113" s="52" t="s">
        <v>310</v>
      </c>
      <c r="F1113" s="595">
        <v>1028.806</v>
      </c>
      <c r="G1113" s="595">
        <v>1244.1510000000001</v>
      </c>
    </row>
    <row r="1114" spans="1:7" ht="10.050000000000001" customHeight="1">
      <c r="A1114" s="597">
        <v>42786</v>
      </c>
      <c r="B1114" s="54">
        <v>2</v>
      </c>
      <c r="C1114" s="53">
        <v>2017</v>
      </c>
      <c r="D1114" s="52" t="s">
        <v>121</v>
      </c>
      <c r="E1114" s="52" t="s">
        <v>310</v>
      </c>
      <c r="F1114" s="595">
        <v>734.43700000000001</v>
      </c>
      <c r="G1114" s="595">
        <v>857.31600000000003</v>
      </c>
    </row>
    <row r="1115" spans="1:7" ht="10.050000000000001" customHeight="1">
      <c r="A1115" s="597">
        <v>42814</v>
      </c>
      <c r="B1115" s="54">
        <v>3</v>
      </c>
      <c r="C1115" s="53">
        <v>2017</v>
      </c>
      <c r="D1115" s="52" t="s">
        <v>121</v>
      </c>
      <c r="E1115" s="52" t="s">
        <v>310</v>
      </c>
      <c r="F1115" s="595">
        <v>1039.2840000000001</v>
      </c>
      <c r="G1115" s="595">
        <v>1238.1030000000001</v>
      </c>
    </row>
    <row r="1116" spans="1:7" ht="10.050000000000001" customHeight="1">
      <c r="A1116" s="597">
        <v>42845</v>
      </c>
      <c r="B1116" s="54">
        <v>4</v>
      </c>
      <c r="C1116" s="53">
        <v>2017</v>
      </c>
      <c r="D1116" s="52" t="s">
        <v>121</v>
      </c>
      <c r="E1116" s="52" t="s">
        <v>310</v>
      </c>
      <c r="F1116" s="595">
        <v>791.572</v>
      </c>
      <c r="G1116" s="595">
        <v>919.41700000000003</v>
      </c>
    </row>
    <row r="1117" spans="1:7" ht="10.050000000000001" customHeight="1">
      <c r="A1117" s="597">
        <v>42875</v>
      </c>
      <c r="B1117" s="54">
        <v>5</v>
      </c>
      <c r="C1117" s="53">
        <v>2017</v>
      </c>
      <c r="D1117" s="52" t="s">
        <v>121</v>
      </c>
      <c r="E1117" s="52" t="s">
        <v>310</v>
      </c>
      <c r="F1117" s="595">
        <v>941.84199999999998</v>
      </c>
      <c r="G1117" s="595">
        <v>1113.384</v>
      </c>
    </row>
    <row r="1118" spans="1:7" ht="10.050000000000001" customHeight="1">
      <c r="A1118" s="597">
        <v>42906</v>
      </c>
      <c r="B1118" s="54">
        <v>6</v>
      </c>
      <c r="C1118" s="53">
        <v>2017</v>
      </c>
      <c r="D1118" s="52" t="s">
        <v>121</v>
      </c>
      <c r="E1118" s="52" t="s">
        <v>310</v>
      </c>
      <c r="F1118" s="595">
        <v>1141.1210000000001</v>
      </c>
      <c r="G1118" s="595">
        <v>1360.268</v>
      </c>
    </row>
    <row r="1119" spans="1:7" ht="10.050000000000001" customHeight="1">
      <c r="A1119" s="597">
        <v>42936</v>
      </c>
      <c r="B1119" s="54">
        <v>7</v>
      </c>
      <c r="C1119" s="53">
        <v>2017</v>
      </c>
      <c r="D1119" s="52" t="s">
        <v>122</v>
      </c>
      <c r="E1119" s="52" t="s">
        <v>310</v>
      </c>
      <c r="F1119" s="595">
        <v>781.57500000000005</v>
      </c>
      <c r="G1119" s="595">
        <v>942.07500000000005</v>
      </c>
    </row>
    <row r="1120" spans="1:7" ht="10.050000000000001" customHeight="1">
      <c r="A1120" s="597">
        <v>42967</v>
      </c>
      <c r="B1120" s="54">
        <v>8</v>
      </c>
      <c r="C1120" s="53">
        <v>2017</v>
      </c>
      <c r="D1120" s="52" t="s">
        <v>122</v>
      </c>
      <c r="E1120" s="52" t="s">
        <v>310</v>
      </c>
      <c r="F1120" s="595">
        <v>942.15200000000004</v>
      </c>
      <c r="G1120" s="595">
        <v>1130.8820000000001</v>
      </c>
    </row>
    <row r="1121" spans="1:7" ht="10.050000000000001" customHeight="1">
      <c r="A1121" s="597">
        <v>42998</v>
      </c>
      <c r="B1121" s="54">
        <v>9</v>
      </c>
      <c r="C1121" s="53">
        <v>2017</v>
      </c>
      <c r="D1121" s="52" t="s">
        <v>122</v>
      </c>
      <c r="E1121" s="52" t="s">
        <v>310</v>
      </c>
      <c r="F1121" s="595">
        <v>1085.5160000000001</v>
      </c>
      <c r="G1121" s="595">
        <v>1289.076</v>
      </c>
    </row>
    <row r="1122" spans="1:7" ht="10.050000000000001" customHeight="1">
      <c r="A1122" s="597">
        <v>43028</v>
      </c>
      <c r="B1122" s="54">
        <v>10</v>
      </c>
      <c r="C1122" s="53">
        <v>2017</v>
      </c>
      <c r="D1122" s="52" t="s">
        <v>122</v>
      </c>
      <c r="E1122" s="52" t="s">
        <v>310</v>
      </c>
      <c r="F1122" s="595">
        <v>1211.7840000000001</v>
      </c>
      <c r="G1122" s="595">
        <v>1429.164</v>
      </c>
    </row>
    <row r="1123" spans="1:7" ht="10.050000000000001" customHeight="1">
      <c r="A1123" s="597">
        <v>43059</v>
      </c>
      <c r="B1123" s="54">
        <v>11</v>
      </c>
      <c r="C1123" s="53">
        <v>2017</v>
      </c>
      <c r="D1123" s="52" t="s">
        <v>122</v>
      </c>
      <c r="E1123" s="52" t="s">
        <v>310</v>
      </c>
      <c r="F1123" s="595">
        <v>1234.665</v>
      </c>
      <c r="G1123" s="595">
        <v>1492.1020000000001</v>
      </c>
    </row>
    <row r="1124" spans="1:7" ht="10.050000000000001" customHeight="1">
      <c r="A1124" s="597">
        <v>43089</v>
      </c>
      <c r="B1124" s="54">
        <v>12</v>
      </c>
      <c r="C1124" s="53">
        <v>2017</v>
      </c>
      <c r="D1124" s="52" t="s">
        <v>122</v>
      </c>
      <c r="E1124" s="52" t="s">
        <v>310</v>
      </c>
      <c r="F1124" s="595">
        <v>1048.943</v>
      </c>
      <c r="G1124" s="595">
        <v>1270.4100000000001</v>
      </c>
    </row>
    <row r="1125" spans="1:7" ht="10.050000000000001" customHeight="1">
      <c r="A1125" s="597">
        <v>43120</v>
      </c>
      <c r="B1125" s="54">
        <v>1</v>
      </c>
      <c r="C1125" s="53">
        <v>2018</v>
      </c>
      <c r="D1125" s="52" t="s">
        <v>122</v>
      </c>
      <c r="E1125" s="52" t="s">
        <v>310</v>
      </c>
      <c r="F1125" s="595">
        <v>1082.2</v>
      </c>
      <c r="G1125" s="595">
        <v>1282.1420000000001</v>
      </c>
    </row>
    <row r="1126" spans="1:7" ht="10.050000000000001" customHeight="1">
      <c r="A1126" s="597">
        <v>43151</v>
      </c>
      <c r="B1126" s="54">
        <v>2</v>
      </c>
      <c r="C1126" s="53">
        <v>2018</v>
      </c>
      <c r="D1126" s="52" t="s">
        <v>122</v>
      </c>
      <c r="E1126" s="52" t="s">
        <v>310</v>
      </c>
      <c r="F1126" s="595">
        <v>799.70100000000002</v>
      </c>
      <c r="G1126" s="595">
        <v>947.38800000000003</v>
      </c>
    </row>
    <row r="1127" spans="1:7" ht="10.050000000000001" customHeight="1">
      <c r="A1127" s="597">
        <v>43179</v>
      </c>
      <c r="B1127" s="54">
        <v>3</v>
      </c>
      <c r="C1127" s="53">
        <v>2018</v>
      </c>
      <c r="D1127" s="52" t="s">
        <v>122</v>
      </c>
      <c r="E1127" s="52" t="s">
        <v>310</v>
      </c>
      <c r="F1127" s="595">
        <v>1029.925</v>
      </c>
      <c r="G1127" s="595">
        <v>1252.1780000000001</v>
      </c>
    </row>
    <row r="1128" spans="1:7" ht="10.050000000000001" customHeight="1">
      <c r="A1128" s="597">
        <v>43210</v>
      </c>
      <c r="B1128" s="54">
        <v>4</v>
      </c>
      <c r="C1128" s="53">
        <v>2018</v>
      </c>
      <c r="D1128" s="52" t="s">
        <v>122</v>
      </c>
      <c r="E1128" s="52" t="s">
        <v>310</v>
      </c>
      <c r="F1128" s="595">
        <v>917.40099999999995</v>
      </c>
      <c r="G1128" s="595">
        <v>1053.9960000000001</v>
      </c>
    </row>
    <row r="1129" spans="1:7" ht="10.050000000000001" customHeight="1">
      <c r="A1129" s="597">
        <v>43240</v>
      </c>
      <c r="B1129" s="54">
        <v>5</v>
      </c>
      <c r="C1129" s="53">
        <v>2018</v>
      </c>
      <c r="D1129" s="52" t="s">
        <v>122</v>
      </c>
      <c r="E1129" s="52" t="s">
        <v>310</v>
      </c>
      <c r="F1129" s="595">
        <v>929.67700000000002</v>
      </c>
      <c r="G1129" s="595">
        <v>1127.5340000000001</v>
      </c>
    </row>
    <row r="1130" spans="1:7" ht="10.050000000000001" customHeight="1">
      <c r="A1130" s="597">
        <v>43271</v>
      </c>
      <c r="B1130" s="54">
        <v>6</v>
      </c>
      <c r="C1130" s="53">
        <v>2018</v>
      </c>
      <c r="D1130" s="52" t="s">
        <v>122</v>
      </c>
      <c r="E1130" s="52" t="s">
        <v>310</v>
      </c>
      <c r="F1130" s="595">
        <v>958.26800000000003</v>
      </c>
      <c r="G1130" s="595">
        <v>1140.2629999999999</v>
      </c>
    </row>
    <row r="1131" spans="1:7" ht="10.050000000000001" customHeight="1">
      <c r="A1131" s="597">
        <v>43301</v>
      </c>
      <c r="B1131" s="54">
        <v>7</v>
      </c>
      <c r="C1131" s="53">
        <v>2018</v>
      </c>
      <c r="D1131" s="52" t="s">
        <v>123</v>
      </c>
      <c r="E1131" s="52" t="s">
        <v>310</v>
      </c>
      <c r="F1131" s="595">
        <v>1163.7429999999999</v>
      </c>
      <c r="G1131" s="595">
        <v>1423.7460000000001</v>
      </c>
    </row>
    <row r="1132" spans="1:7" ht="10.050000000000001" customHeight="1">
      <c r="A1132" s="597">
        <v>43332</v>
      </c>
      <c r="B1132" s="54">
        <v>8</v>
      </c>
      <c r="C1132" s="53">
        <v>2018</v>
      </c>
      <c r="D1132" s="52" t="s">
        <v>123</v>
      </c>
      <c r="E1132" s="52" t="s">
        <v>310</v>
      </c>
      <c r="F1132" s="595">
        <v>1075.164</v>
      </c>
      <c r="G1132" s="595">
        <v>1281.211</v>
      </c>
    </row>
    <row r="1133" spans="1:7" ht="10.050000000000001" customHeight="1">
      <c r="A1133" s="597">
        <v>43363</v>
      </c>
      <c r="B1133" s="54">
        <v>9</v>
      </c>
      <c r="C1133" s="53">
        <v>2018</v>
      </c>
      <c r="D1133" s="52" t="s">
        <v>123</v>
      </c>
      <c r="E1133" s="52" t="s">
        <v>310</v>
      </c>
      <c r="F1133" s="595">
        <v>1026.0619999999999</v>
      </c>
      <c r="G1133" s="595">
        <v>1203.404</v>
      </c>
    </row>
    <row r="1134" spans="1:7" ht="10.050000000000001" customHeight="1">
      <c r="A1134" s="597">
        <v>43393</v>
      </c>
      <c r="B1134" s="54">
        <v>10</v>
      </c>
      <c r="C1134" s="53">
        <v>2018</v>
      </c>
      <c r="D1134" s="52" t="s">
        <v>123</v>
      </c>
      <c r="E1134" s="52" t="s">
        <v>310</v>
      </c>
      <c r="F1134" s="595">
        <v>1205.1400000000001</v>
      </c>
      <c r="G1134" s="595">
        <v>1430.05</v>
      </c>
    </row>
    <row r="1135" spans="1:7" ht="10.050000000000001" customHeight="1">
      <c r="A1135" s="597">
        <v>43424</v>
      </c>
      <c r="B1135" s="54">
        <v>11</v>
      </c>
      <c r="C1135" s="53">
        <v>2018</v>
      </c>
      <c r="D1135" s="52" t="s">
        <v>123</v>
      </c>
      <c r="E1135" s="52" t="s">
        <v>310</v>
      </c>
      <c r="F1135" s="595">
        <v>1248.4179999999999</v>
      </c>
      <c r="G1135" s="595">
        <v>1489.623</v>
      </c>
    </row>
    <row r="1136" spans="1:7" ht="10.050000000000001" customHeight="1">
      <c r="A1136" s="597">
        <v>43454</v>
      </c>
      <c r="B1136" s="54">
        <v>12</v>
      </c>
      <c r="C1136" s="53">
        <v>2018</v>
      </c>
      <c r="D1136" s="52" t="s">
        <v>123</v>
      </c>
      <c r="E1136" s="52" t="s">
        <v>310</v>
      </c>
      <c r="F1136" s="595">
        <v>1362.318</v>
      </c>
      <c r="G1136" s="595">
        <v>1623.319</v>
      </c>
    </row>
    <row r="1137" spans="1:7" ht="10.050000000000001" customHeight="1">
      <c r="A1137" s="597">
        <v>43485</v>
      </c>
      <c r="B1137" s="54">
        <v>1</v>
      </c>
      <c r="C1137" s="53">
        <v>2019</v>
      </c>
      <c r="D1137" s="52" t="s">
        <v>123</v>
      </c>
      <c r="E1137" s="52" t="s">
        <v>310</v>
      </c>
      <c r="F1137" s="595">
        <v>1057.932</v>
      </c>
      <c r="G1137" s="595">
        <v>1228.8109999999999</v>
      </c>
    </row>
    <row r="1138" spans="1:7" ht="10.050000000000001" customHeight="1">
      <c r="A1138" s="597">
        <v>43516</v>
      </c>
      <c r="B1138" s="54">
        <v>2</v>
      </c>
      <c r="C1138" s="53">
        <v>2019</v>
      </c>
      <c r="D1138" s="52" t="s">
        <v>123</v>
      </c>
      <c r="E1138" s="52" t="s">
        <v>310</v>
      </c>
      <c r="F1138" s="595">
        <v>1091.4159999999999</v>
      </c>
      <c r="G1138" s="595">
        <v>1263.97</v>
      </c>
    </row>
    <row r="1139" spans="1:7" ht="10.050000000000001" customHeight="1">
      <c r="A1139" s="597">
        <v>43544</v>
      </c>
      <c r="B1139" s="54">
        <v>3</v>
      </c>
      <c r="C1139" s="53">
        <v>2019</v>
      </c>
      <c r="D1139" s="52" t="s">
        <v>123</v>
      </c>
      <c r="E1139" s="52" t="s">
        <v>310</v>
      </c>
      <c r="F1139" s="595">
        <v>1014.425</v>
      </c>
      <c r="G1139" s="595">
        <v>1158.578</v>
      </c>
    </row>
    <row r="1140" spans="1:7" ht="10.050000000000001" customHeight="1">
      <c r="A1140" s="597">
        <v>43575</v>
      </c>
      <c r="B1140" s="54">
        <v>4</v>
      </c>
      <c r="C1140" s="53">
        <v>2019</v>
      </c>
      <c r="D1140" s="52" t="s">
        <v>123</v>
      </c>
      <c r="E1140" s="52" t="s">
        <v>310</v>
      </c>
      <c r="F1140" s="595">
        <v>1227.21</v>
      </c>
      <c r="G1140" s="595">
        <v>1309.508</v>
      </c>
    </row>
    <row r="1141" spans="1:7" ht="10.050000000000001" customHeight="1">
      <c r="A1141" s="597">
        <v>43605</v>
      </c>
      <c r="B1141" s="54">
        <v>5</v>
      </c>
      <c r="C1141" s="53">
        <v>2019</v>
      </c>
      <c r="D1141" s="52" t="s">
        <v>123</v>
      </c>
      <c r="E1141" s="52" t="s">
        <v>310</v>
      </c>
      <c r="F1141" s="595">
        <v>915.98599999999999</v>
      </c>
      <c r="G1141" s="595">
        <v>1190.8050000000001</v>
      </c>
    </row>
    <row r="1142" spans="1:7" ht="10.050000000000001" customHeight="1">
      <c r="A1142" s="597">
        <v>43636</v>
      </c>
      <c r="B1142" s="54">
        <v>6</v>
      </c>
      <c r="C1142" s="53">
        <v>2019</v>
      </c>
      <c r="D1142" s="52" t="s">
        <v>123</v>
      </c>
      <c r="E1142" s="52" t="s">
        <v>310</v>
      </c>
      <c r="F1142" s="595">
        <v>1195.944</v>
      </c>
      <c r="G1142" s="595">
        <v>1377.499</v>
      </c>
    </row>
    <row r="1143" spans="1:7" ht="10.050000000000001" customHeight="1">
      <c r="A1143" s="597">
        <v>43666</v>
      </c>
      <c r="B1143" s="54">
        <v>7</v>
      </c>
      <c r="C1143" s="53">
        <v>2019</v>
      </c>
      <c r="D1143" s="52" t="s">
        <v>124</v>
      </c>
      <c r="E1143" s="52" t="s">
        <v>310</v>
      </c>
      <c r="F1143" s="595">
        <v>993.90800000000002</v>
      </c>
      <c r="G1143" s="595">
        <v>1189.7249999999999</v>
      </c>
    </row>
    <row r="1144" spans="1:7" ht="10.050000000000001" customHeight="1">
      <c r="A1144" s="597">
        <v>43697</v>
      </c>
      <c r="B1144" s="54">
        <v>8</v>
      </c>
      <c r="C1144" s="53">
        <v>2019</v>
      </c>
      <c r="D1144" s="52" t="s">
        <v>124</v>
      </c>
      <c r="E1144" s="52" t="s">
        <v>310</v>
      </c>
      <c r="F1144" s="595">
        <v>1202.768</v>
      </c>
      <c r="G1144" s="595">
        <v>1324.7809999999999</v>
      </c>
    </row>
    <row r="1145" spans="1:7" ht="10.050000000000001" customHeight="1">
      <c r="A1145" s="597">
        <v>43728</v>
      </c>
      <c r="B1145" s="54">
        <v>9</v>
      </c>
      <c r="C1145" s="53">
        <v>2019</v>
      </c>
      <c r="D1145" s="52" t="s">
        <v>124</v>
      </c>
      <c r="E1145" s="52" t="s">
        <v>310</v>
      </c>
      <c r="F1145" s="595">
        <v>1115.885</v>
      </c>
      <c r="G1145" s="595">
        <v>1309.4179999999999</v>
      </c>
    </row>
    <row r="1146" spans="1:7" ht="10.050000000000001" customHeight="1">
      <c r="A1146" s="597">
        <v>43758</v>
      </c>
      <c r="B1146" s="54">
        <v>10</v>
      </c>
      <c r="C1146" s="53">
        <v>2019</v>
      </c>
      <c r="D1146" s="52" t="s">
        <v>124</v>
      </c>
      <c r="E1146" s="52" t="s">
        <v>310</v>
      </c>
      <c r="F1146" s="595">
        <v>1443.2929999999999</v>
      </c>
      <c r="G1146" s="595">
        <v>1728.3240000000001</v>
      </c>
    </row>
    <row r="1147" spans="1:7" ht="10.050000000000001" customHeight="1">
      <c r="A1147" s="597">
        <v>43789</v>
      </c>
      <c r="B1147" s="54">
        <v>11</v>
      </c>
      <c r="C1147" s="53">
        <v>2019</v>
      </c>
      <c r="D1147" s="52" t="s">
        <v>124</v>
      </c>
      <c r="E1147" s="52" t="s">
        <v>310</v>
      </c>
      <c r="F1147" s="595">
        <v>1350.09</v>
      </c>
      <c r="G1147" s="595">
        <v>1635.211</v>
      </c>
    </row>
    <row r="1148" spans="1:7" ht="10.050000000000001" customHeight="1">
      <c r="A1148" s="597">
        <v>43819</v>
      </c>
      <c r="B1148" s="54">
        <v>12</v>
      </c>
      <c r="C1148" s="53">
        <v>2019</v>
      </c>
      <c r="D1148" s="52" t="s">
        <v>124</v>
      </c>
      <c r="E1148" s="52" t="s">
        <v>310</v>
      </c>
      <c r="F1148" s="595">
        <v>1323.414</v>
      </c>
      <c r="G1148" s="595">
        <v>1509.596</v>
      </c>
    </row>
    <row r="1149" spans="1:7" ht="10.050000000000001" customHeight="1">
      <c r="A1149" s="597">
        <v>43850</v>
      </c>
      <c r="B1149" s="54">
        <v>1</v>
      </c>
      <c r="C1149" s="53">
        <v>2020</v>
      </c>
      <c r="D1149" s="52" t="s">
        <v>124</v>
      </c>
      <c r="E1149" s="52" t="s">
        <v>310</v>
      </c>
      <c r="F1149" s="595">
        <v>1272.192</v>
      </c>
      <c r="G1149" s="595">
        <v>1460.3710000000001</v>
      </c>
    </row>
    <row r="1150" spans="1:7" ht="10.050000000000001" customHeight="1">
      <c r="A1150" s="597">
        <v>43881</v>
      </c>
      <c r="B1150" s="54">
        <v>2</v>
      </c>
      <c r="C1150" s="53">
        <v>2020</v>
      </c>
      <c r="D1150" s="52" t="s">
        <v>124</v>
      </c>
      <c r="E1150" s="52" t="s">
        <v>310</v>
      </c>
      <c r="F1150" s="595">
        <v>1074.6510000000001</v>
      </c>
      <c r="G1150" s="595">
        <v>1275.0029999999999</v>
      </c>
    </row>
    <row r="1151" spans="1:7" ht="10.050000000000001" customHeight="1">
      <c r="A1151" s="597">
        <v>43910</v>
      </c>
      <c r="B1151" s="54">
        <v>3</v>
      </c>
      <c r="C1151" s="53">
        <v>2020</v>
      </c>
      <c r="D1151" s="52" t="s">
        <v>124</v>
      </c>
      <c r="E1151" s="52" t="s">
        <v>310</v>
      </c>
      <c r="F1151" s="595">
        <v>1288.1179999999999</v>
      </c>
      <c r="G1151" s="595">
        <v>1487.883</v>
      </c>
    </row>
    <row r="1152" spans="1:7" ht="10.050000000000001" customHeight="1">
      <c r="A1152" s="597">
        <v>43941</v>
      </c>
      <c r="B1152" s="54">
        <v>4</v>
      </c>
      <c r="C1152" s="53">
        <v>2020</v>
      </c>
      <c r="D1152" s="52" t="s">
        <v>124</v>
      </c>
      <c r="E1152" s="52" t="s">
        <v>310</v>
      </c>
      <c r="F1152" s="595">
        <v>865.98800000000006</v>
      </c>
      <c r="G1152" s="595">
        <v>1028.4480000000001</v>
      </c>
    </row>
    <row r="1153" spans="1:7" ht="10.050000000000001" customHeight="1">
      <c r="A1153" s="597">
        <v>43971</v>
      </c>
      <c r="B1153" s="54">
        <v>5</v>
      </c>
      <c r="C1153" s="53">
        <v>2020</v>
      </c>
      <c r="D1153" s="52" t="s">
        <v>124</v>
      </c>
      <c r="E1153" s="52" t="s">
        <v>310</v>
      </c>
      <c r="F1153" s="595">
        <v>959.755</v>
      </c>
      <c r="G1153" s="595">
        <v>1110.48</v>
      </c>
    </row>
    <row r="1154" spans="1:7" ht="10.050000000000001" customHeight="1">
      <c r="A1154" s="597">
        <v>44002</v>
      </c>
      <c r="B1154" s="54">
        <v>6</v>
      </c>
      <c r="C1154" s="53">
        <v>2020</v>
      </c>
      <c r="D1154" s="52" t="s">
        <v>124</v>
      </c>
      <c r="E1154" s="52" t="s">
        <v>310</v>
      </c>
      <c r="F1154" s="595">
        <v>1160.2339999999999</v>
      </c>
      <c r="G1154" s="595">
        <v>1394.87</v>
      </c>
    </row>
    <row r="1155" spans="1:7" ht="10.050000000000001" customHeight="1">
      <c r="A1155" s="597">
        <v>44032</v>
      </c>
      <c r="B1155" s="54">
        <v>7</v>
      </c>
      <c r="C1155" s="53">
        <v>2020</v>
      </c>
      <c r="D1155" s="52" t="s">
        <v>125</v>
      </c>
      <c r="E1155" s="52" t="s">
        <v>310</v>
      </c>
      <c r="F1155" s="595">
        <v>1226.434</v>
      </c>
      <c r="G1155" s="595">
        <v>1445.319</v>
      </c>
    </row>
    <row r="1156" spans="1:7" ht="10.050000000000001" customHeight="1">
      <c r="A1156" s="597">
        <v>44063</v>
      </c>
      <c r="B1156" s="54">
        <v>8</v>
      </c>
      <c r="C1156" s="53">
        <v>2020</v>
      </c>
      <c r="D1156" s="52" t="s">
        <v>125</v>
      </c>
      <c r="E1156" s="52" t="s">
        <v>310</v>
      </c>
      <c r="F1156" s="595">
        <v>1083.308</v>
      </c>
      <c r="G1156" s="595">
        <v>1283.0219999999999</v>
      </c>
    </row>
    <row r="1157" spans="1:7" ht="10.050000000000001" customHeight="1">
      <c r="A1157" s="597">
        <v>44094</v>
      </c>
      <c r="B1157" s="54">
        <v>9</v>
      </c>
      <c r="C1157" s="53">
        <v>2020</v>
      </c>
      <c r="D1157" s="52" t="s">
        <v>125</v>
      </c>
      <c r="E1157" s="52" t="s">
        <v>310</v>
      </c>
      <c r="F1157" s="595">
        <v>1195.9259999999999</v>
      </c>
      <c r="G1157" s="595">
        <v>1437.45</v>
      </c>
    </row>
    <row r="1158" spans="1:7" ht="10.050000000000001" customHeight="1">
      <c r="A1158" s="597">
        <v>44124</v>
      </c>
      <c r="B1158" s="54">
        <v>10</v>
      </c>
      <c r="C1158" s="53">
        <v>2020</v>
      </c>
      <c r="D1158" s="52" t="s">
        <v>125</v>
      </c>
      <c r="E1158" s="52" t="s">
        <v>310</v>
      </c>
      <c r="F1158" s="595">
        <v>1271.5540000000001</v>
      </c>
      <c r="G1158" s="595">
        <v>1476.7560000000001</v>
      </c>
    </row>
    <row r="1159" spans="1:7" ht="10.050000000000001" customHeight="1">
      <c r="A1159" s="597">
        <v>44155</v>
      </c>
      <c r="B1159" s="54">
        <v>11</v>
      </c>
      <c r="C1159" s="53">
        <v>2020</v>
      </c>
      <c r="D1159" s="52" t="s">
        <v>125</v>
      </c>
      <c r="E1159" s="52" t="s">
        <v>310</v>
      </c>
      <c r="F1159" s="595">
        <v>1288.393</v>
      </c>
      <c r="G1159" s="595">
        <v>1455.374</v>
      </c>
    </row>
    <row r="1160" spans="1:7" ht="10.050000000000001" customHeight="1">
      <c r="A1160" s="597">
        <v>44185</v>
      </c>
      <c r="B1160" s="54">
        <v>12</v>
      </c>
      <c r="C1160" s="53">
        <v>2020</v>
      </c>
      <c r="D1160" s="52" t="s">
        <v>125</v>
      </c>
      <c r="E1160" s="52" t="s">
        <v>310</v>
      </c>
      <c r="F1160" s="595">
        <v>1418.931</v>
      </c>
      <c r="G1160" s="595">
        <v>1661.1769999999999</v>
      </c>
    </row>
    <row r="1161" spans="1:7" ht="10.050000000000001" customHeight="1">
      <c r="A1161" s="597">
        <v>44216</v>
      </c>
      <c r="B1161" s="54">
        <v>1</v>
      </c>
      <c r="C1161" s="53">
        <v>2021</v>
      </c>
      <c r="D1161" s="52" t="s">
        <v>125</v>
      </c>
      <c r="E1161" s="52" t="s">
        <v>310</v>
      </c>
      <c r="F1161" s="595">
        <v>1178.2940000000001</v>
      </c>
      <c r="G1161" s="595">
        <v>1389.414</v>
      </c>
    </row>
    <row r="1162" spans="1:7" ht="10.050000000000001" customHeight="1">
      <c r="A1162" s="597">
        <v>44247</v>
      </c>
      <c r="B1162" s="54">
        <v>2</v>
      </c>
      <c r="C1162" s="53">
        <v>2021</v>
      </c>
      <c r="D1162" s="52" t="s">
        <v>125</v>
      </c>
      <c r="E1162" s="52" t="s">
        <v>310</v>
      </c>
      <c r="F1162" s="595">
        <v>1034.7170000000001</v>
      </c>
      <c r="G1162" s="595">
        <v>1193.972</v>
      </c>
    </row>
    <row r="1163" spans="1:7" ht="10.050000000000001" customHeight="1">
      <c r="A1163" s="597">
        <v>44275</v>
      </c>
      <c r="B1163" s="54">
        <v>3</v>
      </c>
      <c r="C1163" s="53">
        <v>2021</v>
      </c>
      <c r="D1163" s="52" t="s">
        <v>125</v>
      </c>
      <c r="E1163" s="52" t="s">
        <v>310</v>
      </c>
      <c r="F1163" s="595">
        <v>1376.8320000000001</v>
      </c>
      <c r="G1163" s="595">
        <v>1575.633</v>
      </c>
    </row>
    <row r="1164" spans="1:7" ht="10.050000000000001" customHeight="1">
      <c r="A1164" s="597">
        <v>44306</v>
      </c>
      <c r="B1164" s="54">
        <v>4</v>
      </c>
      <c r="C1164" s="53">
        <v>2021</v>
      </c>
      <c r="D1164" s="52" t="s">
        <v>125</v>
      </c>
      <c r="E1164" s="52" t="s">
        <v>310</v>
      </c>
      <c r="F1164" s="595">
        <v>1168.6120000000001</v>
      </c>
      <c r="G1164" s="595">
        <v>1403.9</v>
      </c>
    </row>
    <row r="1165" spans="1:7" ht="10.050000000000001" customHeight="1">
      <c r="A1165" s="597">
        <v>44336</v>
      </c>
      <c r="B1165" s="54">
        <v>5</v>
      </c>
      <c r="C1165" s="53">
        <v>2021</v>
      </c>
      <c r="D1165" s="52" t="s">
        <v>125</v>
      </c>
      <c r="E1165" s="52" t="s">
        <v>310</v>
      </c>
      <c r="F1165" s="595">
        <v>1083.0640000000001</v>
      </c>
      <c r="G1165" s="595">
        <v>1447.049</v>
      </c>
    </row>
    <row r="1166" spans="1:7" ht="10.050000000000001" customHeight="1">
      <c r="A1166" s="597">
        <v>44367</v>
      </c>
      <c r="B1166" s="54">
        <v>6</v>
      </c>
      <c r="C1166" s="53">
        <v>2021</v>
      </c>
      <c r="D1166" s="52" t="s">
        <v>125</v>
      </c>
      <c r="E1166" s="52" t="s">
        <v>310</v>
      </c>
      <c r="F1166" s="595">
        <v>1390.0840000000001</v>
      </c>
      <c r="G1166" s="595">
        <v>1608.5039999999999</v>
      </c>
    </row>
    <row r="1167" spans="1:7" ht="10.050000000000001" customHeight="1">
      <c r="A1167" s="597">
        <v>44397</v>
      </c>
      <c r="B1167" s="54">
        <v>7</v>
      </c>
      <c r="C1167" s="53">
        <v>2021</v>
      </c>
      <c r="D1167" s="52" t="s">
        <v>126</v>
      </c>
      <c r="E1167" s="52" t="s">
        <v>310</v>
      </c>
      <c r="F1167" s="595">
        <v>1214.0070000000001</v>
      </c>
      <c r="G1167" s="595">
        <v>1456.086</v>
      </c>
    </row>
    <row r="1168" spans="1:7" ht="10.050000000000001" customHeight="1">
      <c r="A1168" s="597">
        <v>44428</v>
      </c>
      <c r="B1168" s="54">
        <v>8</v>
      </c>
      <c r="C1168" s="53">
        <v>2021</v>
      </c>
      <c r="D1168" s="52" t="s">
        <v>126</v>
      </c>
      <c r="E1168" s="52" t="s">
        <v>310</v>
      </c>
      <c r="F1168" s="595">
        <v>1118.1679999999999</v>
      </c>
      <c r="G1168" s="595">
        <v>1347.248</v>
      </c>
    </row>
    <row r="1169" spans="1:7" ht="10.050000000000001" customHeight="1">
      <c r="A1169" s="597">
        <v>44459</v>
      </c>
      <c r="B1169" s="54">
        <v>9</v>
      </c>
      <c r="C1169" s="53">
        <v>2021</v>
      </c>
      <c r="D1169" s="52" t="s">
        <v>126</v>
      </c>
      <c r="E1169" s="52" t="s">
        <v>310</v>
      </c>
      <c r="F1169" s="595">
        <v>1167.318</v>
      </c>
      <c r="G1169" s="595">
        <v>1382.559</v>
      </c>
    </row>
    <row r="1170" spans="1:7" ht="10.050000000000001" customHeight="1">
      <c r="A1170" s="597">
        <v>44489</v>
      </c>
      <c r="B1170" s="54">
        <v>10</v>
      </c>
      <c r="C1170" s="53">
        <v>2021</v>
      </c>
      <c r="D1170" s="52" t="s">
        <v>126</v>
      </c>
      <c r="E1170" s="52" t="s">
        <v>310</v>
      </c>
      <c r="F1170" s="595">
        <v>1265.952</v>
      </c>
      <c r="G1170" s="595">
        <v>1490.654</v>
      </c>
    </row>
    <row r="1171" spans="1:7" ht="10.050000000000001" customHeight="1">
      <c r="A1171" s="597">
        <v>44520</v>
      </c>
      <c r="B1171" s="54">
        <v>11</v>
      </c>
      <c r="C1171" s="53">
        <v>2021</v>
      </c>
      <c r="D1171" s="52" t="s">
        <v>126</v>
      </c>
      <c r="E1171" s="52" t="s">
        <v>310</v>
      </c>
      <c r="F1171" s="595">
        <v>1309.9000000000001</v>
      </c>
      <c r="G1171" s="595">
        <v>1560.6369999999999</v>
      </c>
    </row>
    <row r="1172" spans="1:7" ht="10.050000000000001" customHeight="1">
      <c r="A1172" s="597">
        <v>44550</v>
      </c>
      <c r="B1172" s="54">
        <v>12</v>
      </c>
      <c r="C1172" s="53">
        <v>2021</v>
      </c>
      <c r="D1172" s="52" t="s">
        <v>126</v>
      </c>
      <c r="E1172" s="52" t="s">
        <v>310</v>
      </c>
      <c r="F1172" s="595">
        <v>1695.12</v>
      </c>
      <c r="G1172" s="595">
        <v>1960.3409999999999</v>
      </c>
    </row>
    <row r="1173" spans="1:7" ht="10.050000000000001" customHeight="1">
      <c r="A1173" s="597">
        <v>44581</v>
      </c>
      <c r="B1173" s="54">
        <v>1</v>
      </c>
      <c r="C1173" s="53">
        <v>2022</v>
      </c>
      <c r="D1173" s="52" t="s">
        <v>126</v>
      </c>
      <c r="E1173" s="52" t="s">
        <v>310</v>
      </c>
      <c r="F1173" s="595">
        <v>1157.424</v>
      </c>
      <c r="G1173" s="595">
        <v>1403.8510000000001</v>
      </c>
    </row>
    <row r="1174" spans="1:7" ht="10.050000000000001" customHeight="1">
      <c r="A1174" s="597">
        <v>44612</v>
      </c>
      <c r="B1174" s="54">
        <v>2</v>
      </c>
      <c r="C1174" s="53">
        <v>2022</v>
      </c>
      <c r="D1174" s="52" t="s">
        <v>126</v>
      </c>
      <c r="E1174" s="52" t="s">
        <v>310</v>
      </c>
      <c r="F1174" s="595">
        <v>1078.0309999999999</v>
      </c>
      <c r="G1174" s="595">
        <v>1303.9369999999999</v>
      </c>
    </row>
    <row r="1175" spans="1:7" ht="10.050000000000001" customHeight="1">
      <c r="A1175" s="597">
        <v>44640</v>
      </c>
      <c r="B1175" s="54">
        <v>3</v>
      </c>
      <c r="C1175" s="53">
        <v>2022</v>
      </c>
      <c r="D1175" s="52" t="s">
        <v>126</v>
      </c>
      <c r="E1175" s="52" t="s">
        <v>310</v>
      </c>
      <c r="F1175" s="595">
        <v>1374.789</v>
      </c>
      <c r="G1175" s="595">
        <v>1655.182</v>
      </c>
    </row>
    <row r="1176" spans="1:7" ht="10.050000000000001" customHeight="1">
      <c r="A1176" s="597">
        <v>44671</v>
      </c>
      <c r="B1176" s="54">
        <v>4</v>
      </c>
      <c r="C1176" s="53">
        <v>2022</v>
      </c>
      <c r="D1176" s="52" t="s">
        <v>126</v>
      </c>
      <c r="E1176" s="52" t="s">
        <v>310</v>
      </c>
      <c r="F1176" s="595">
        <v>1237.48</v>
      </c>
      <c r="G1176" s="595">
        <v>1589.1949999999999</v>
      </c>
    </row>
    <row r="1177" spans="1:7" ht="10.050000000000001" customHeight="1">
      <c r="A1177" s="597">
        <v>44701</v>
      </c>
      <c r="B1177" s="54">
        <v>5</v>
      </c>
      <c r="C1177" s="53">
        <v>2022</v>
      </c>
      <c r="D1177" s="52" t="s">
        <v>126</v>
      </c>
      <c r="E1177" s="52" t="s">
        <v>310</v>
      </c>
      <c r="F1177" s="595">
        <v>1222.5830000000001</v>
      </c>
      <c r="G1177" s="595">
        <v>1481.174</v>
      </c>
    </row>
    <row r="1178" spans="1:7" ht="10.050000000000001" customHeight="1">
      <c r="A1178" s="597">
        <v>44732</v>
      </c>
      <c r="B1178" s="54">
        <v>6</v>
      </c>
      <c r="C1178" s="53">
        <v>2022</v>
      </c>
      <c r="D1178" s="52" t="s">
        <v>126</v>
      </c>
      <c r="E1178" s="52" t="s">
        <v>310</v>
      </c>
      <c r="F1178" s="595">
        <v>1128.248</v>
      </c>
      <c r="G1178" s="595">
        <v>1375.9349999999999</v>
      </c>
    </row>
    <row r="1179" spans="1:7" ht="10.050000000000001" customHeight="1">
      <c r="A1179" s="597">
        <v>44762</v>
      </c>
      <c r="B1179" s="54">
        <v>7</v>
      </c>
      <c r="C1179" s="53">
        <v>2022</v>
      </c>
      <c r="D1179" s="52" t="s">
        <v>127</v>
      </c>
      <c r="E1179" s="52" t="s">
        <v>310</v>
      </c>
      <c r="F1179" s="595">
        <v>948.22400000000005</v>
      </c>
      <c r="G1179" s="595">
        <v>1154.9290000000001</v>
      </c>
    </row>
    <row r="1180" spans="1:7" ht="10.050000000000001" customHeight="1">
      <c r="A1180" s="597">
        <v>44793</v>
      </c>
      <c r="B1180" s="54">
        <v>8</v>
      </c>
      <c r="C1180" s="53">
        <v>2022</v>
      </c>
      <c r="D1180" s="52" t="s">
        <v>127</v>
      </c>
      <c r="E1180" s="52" t="s">
        <v>310</v>
      </c>
      <c r="F1180" s="595">
        <v>1254.902</v>
      </c>
      <c r="G1180" s="595">
        <v>1528.0930000000001</v>
      </c>
    </row>
    <row r="1181" spans="1:7" ht="10.050000000000001" customHeight="1">
      <c r="A1181" s="597">
        <v>44824</v>
      </c>
      <c r="B1181" s="54">
        <v>9</v>
      </c>
      <c r="C1181" s="53">
        <v>2022</v>
      </c>
      <c r="D1181" s="52" t="s">
        <v>127</v>
      </c>
      <c r="E1181" s="52" t="s">
        <v>310</v>
      </c>
      <c r="F1181" s="595">
        <v>1291.3440000000001</v>
      </c>
      <c r="G1181" s="595">
        <v>1525.873</v>
      </c>
    </row>
    <row r="1182" spans="1:7" ht="10.050000000000001" customHeight="1">
      <c r="A1182" s="597">
        <v>44854</v>
      </c>
      <c r="B1182" s="54">
        <v>10</v>
      </c>
      <c r="C1182" s="53">
        <v>2022</v>
      </c>
      <c r="D1182" s="52" t="s">
        <v>127</v>
      </c>
      <c r="E1182" s="52" t="s">
        <v>310</v>
      </c>
      <c r="F1182" s="595">
        <v>1267.5050000000001</v>
      </c>
      <c r="G1182" s="595">
        <v>1524.2249999999999</v>
      </c>
    </row>
    <row r="1183" spans="1:7" ht="10.050000000000001" customHeight="1">
      <c r="A1183" s="597">
        <v>44885</v>
      </c>
      <c r="B1183" s="54">
        <v>11</v>
      </c>
      <c r="C1183" s="53">
        <v>2022</v>
      </c>
      <c r="D1183" s="52" t="s">
        <v>127</v>
      </c>
      <c r="E1183" s="52" t="s">
        <v>310</v>
      </c>
      <c r="F1183" s="595">
        <v>1393.2270000000001</v>
      </c>
      <c r="G1183" s="595">
        <v>1639.4649999999999</v>
      </c>
    </row>
    <row r="1184" spans="1:7" ht="10.050000000000001" customHeight="1">
      <c r="A1184" s="597">
        <v>44915</v>
      </c>
      <c r="B1184" s="54">
        <v>12</v>
      </c>
      <c r="C1184" s="53">
        <v>2022</v>
      </c>
      <c r="D1184" s="52" t="s">
        <v>127</v>
      </c>
      <c r="E1184" s="52" t="s">
        <v>310</v>
      </c>
      <c r="F1184" s="595">
        <v>1495.9749999999999</v>
      </c>
      <c r="G1184" s="595">
        <v>1782.96</v>
      </c>
    </row>
    <row r="1185" spans="1:7" ht="10.050000000000001" customHeight="1">
      <c r="A1185" s="597">
        <v>44946</v>
      </c>
      <c r="B1185" s="54">
        <v>1</v>
      </c>
      <c r="C1185" s="53">
        <v>2023</v>
      </c>
      <c r="D1185" s="52" t="s">
        <v>127</v>
      </c>
      <c r="E1185" s="52" t="s">
        <v>310</v>
      </c>
      <c r="F1185" s="595">
        <v>1231.818</v>
      </c>
      <c r="G1185" s="595">
        <v>1460.837</v>
      </c>
    </row>
    <row r="1186" spans="1:7" ht="10.050000000000001" customHeight="1">
      <c r="A1186" s="597">
        <v>44977</v>
      </c>
      <c r="B1186" s="54">
        <v>2</v>
      </c>
      <c r="C1186" s="53">
        <v>2023</v>
      </c>
      <c r="D1186" s="52" t="s">
        <v>127</v>
      </c>
      <c r="E1186" s="52" t="s">
        <v>310</v>
      </c>
      <c r="F1186" s="595">
        <v>1084.25</v>
      </c>
      <c r="G1186" s="595">
        <v>1320.4929999999999</v>
      </c>
    </row>
    <row r="1187" spans="1:7" ht="10.050000000000001" customHeight="1">
      <c r="A1187" s="597">
        <v>45005</v>
      </c>
      <c r="B1187" s="54">
        <v>3</v>
      </c>
      <c r="C1187" s="53">
        <v>2023</v>
      </c>
      <c r="D1187" s="52" t="s">
        <v>127</v>
      </c>
      <c r="E1187" s="52" t="s">
        <v>310</v>
      </c>
      <c r="F1187" s="595">
        <v>1389.7719999999999</v>
      </c>
      <c r="G1187" s="595">
        <v>1643.2909999999999</v>
      </c>
    </row>
    <row r="1188" spans="1:7" ht="10.050000000000001" customHeight="1">
      <c r="A1188" s="597">
        <v>45036</v>
      </c>
      <c r="B1188" s="54">
        <v>4</v>
      </c>
      <c r="C1188" s="53">
        <v>2023</v>
      </c>
      <c r="D1188" s="52" t="s">
        <v>127</v>
      </c>
      <c r="E1188" s="52" t="s">
        <v>310</v>
      </c>
      <c r="F1188" s="595">
        <v>1106.684</v>
      </c>
      <c r="G1188" s="595">
        <v>1342.9079999999999</v>
      </c>
    </row>
    <row r="1189" spans="1:7" ht="10.050000000000001" customHeight="1">
      <c r="A1189" s="597">
        <v>45066</v>
      </c>
      <c r="B1189" s="54">
        <v>5</v>
      </c>
      <c r="C1189" s="53">
        <v>2023</v>
      </c>
      <c r="D1189" s="52" t="s">
        <v>127</v>
      </c>
      <c r="E1189" s="52" t="s">
        <v>310</v>
      </c>
      <c r="F1189" s="595">
        <v>958.25400000000002</v>
      </c>
      <c r="G1189" s="595">
        <v>1256.7170000000001</v>
      </c>
    </row>
    <row r="1190" spans="1:7" ht="10.050000000000001" customHeight="1">
      <c r="A1190" s="597">
        <v>45097</v>
      </c>
      <c r="B1190" s="54">
        <v>6</v>
      </c>
      <c r="C1190" s="53">
        <v>2023</v>
      </c>
      <c r="D1190" s="52" t="s">
        <v>127</v>
      </c>
      <c r="E1190" s="52" t="s">
        <v>310</v>
      </c>
      <c r="F1190" s="595">
        <v>1222.404</v>
      </c>
      <c r="G1190" s="595">
        <v>1506.9359999999999</v>
      </c>
    </row>
    <row r="1191" spans="1:7" ht="10.050000000000001" customHeight="1">
      <c r="A1191" s="597">
        <v>45127</v>
      </c>
      <c r="B1191" s="54">
        <v>7</v>
      </c>
      <c r="C1191" s="53">
        <v>2023</v>
      </c>
      <c r="D1191" s="52" t="s">
        <v>128</v>
      </c>
      <c r="E1191" s="52" t="s">
        <v>310</v>
      </c>
      <c r="F1191" s="595">
        <v>1246.7840000000001</v>
      </c>
      <c r="G1191" s="595">
        <v>1476.0070000000001</v>
      </c>
    </row>
    <row r="1192" spans="1:7" ht="10.050000000000001" customHeight="1">
      <c r="A1192" s="597">
        <v>45158</v>
      </c>
      <c r="B1192" s="54">
        <v>8</v>
      </c>
      <c r="C1192" s="53">
        <v>2023</v>
      </c>
      <c r="D1192" s="52" t="s">
        <v>128</v>
      </c>
      <c r="E1192" s="52" t="s">
        <v>310</v>
      </c>
      <c r="F1192" s="595">
        <v>1050.702</v>
      </c>
      <c r="G1192" s="595">
        <v>1260.9839999999999</v>
      </c>
    </row>
    <row r="1193" spans="1:7" ht="10.050000000000001" customHeight="1">
      <c r="A1193" s="597">
        <v>45189</v>
      </c>
      <c r="B1193" s="54">
        <v>9</v>
      </c>
      <c r="C1193" s="53">
        <v>2023</v>
      </c>
      <c r="D1193" s="52" t="s">
        <v>128</v>
      </c>
      <c r="E1193" s="52" t="s">
        <v>310</v>
      </c>
      <c r="F1193" s="595">
        <v>1232.883</v>
      </c>
      <c r="G1193" s="595">
        <v>1471.376</v>
      </c>
    </row>
    <row r="1194" spans="1:7" ht="10.050000000000001" customHeight="1">
      <c r="A1194" s="597">
        <v>45219</v>
      </c>
      <c r="B1194" s="54">
        <v>10</v>
      </c>
      <c r="C1194" s="53">
        <v>2023</v>
      </c>
      <c r="D1194" s="52" t="s">
        <v>128</v>
      </c>
      <c r="E1194" s="52" t="s">
        <v>310</v>
      </c>
      <c r="F1194" s="595">
        <v>1565.2919999999999</v>
      </c>
      <c r="G1194" s="595">
        <v>1910.652</v>
      </c>
    </row>
    <row r="1195" spans="1:7" ht="10.050000000000001" customHeight="1">
      <c r="A1195" s="597">
        <v>45250</v>
      </c>
      <c r="B1195" s="54">
        <v>11</v>
      </c>
      <c r="C1195" s="53">
        <v>2023</v>
      </c>
      <c r="D1195" s="52" t="s">
        <v>128</v>
      </c>
      <c r="E1195" s="52" t="s">
        <v>310</v>
      </c>
      <c r="F1195" s="595">
        <v>1452.2619999999999</v>
      </c>
      <c r="G1195" s="595">
        <v>1776.883</v>
      </c>
    </row>
    <row r="1196" spans="1:7" ht="10.050000000000001" customHeight="1">
      <c r="A1196" s="597">
        <v>45280</v>
      </c>
      <c r="B1196" s="54">
        <v>12</v>
      </c>
      <c r="C1196" s="53">
        <v>2023</v>
      </c>
      <c r="D1196" s="52" t="s">
        <v>128</v>
      </c>
      <c r="E1196" s="52" t="s">
        <v>310</v>
      </c>
      <c r="F1196" s="595">
        <v>1483.097</v>
      </c>
      <c r="G1196" s="595">
        <v>1765.2460000000001</v>
      </c>
    </row>
    <row r="1197" spans="1:7" ht="10.050000000000001" customHeight="1">
      <c r="A1197" s="597">
        <v>45311</v>
      </c>
      <c r="B1197" s="54">
        <v>1</v>
      </c>
      <c r="C1197" s="53">
        <v>2024</v>
      </c>
      <c r="D1197" s="52" t="s">
        <v>128</v>
      </c>
      <c r="E1197" s="52" t="s">
        <v>310</v>
      </c>
      <c r="F1197" s="595">
        <v>1365.7460000000001</v>
      </c>
      <c r="G1197" s="595">
        <v>1659.9010000000001</v>
      </c>
    </row>
    <row r="1198" spans="1:7" ht="10.050000000000001" customHeight="1">
      <c r="A1198" s="597">
        <v>45342</v>
      </c>
      <c r="B1198" s="54">
        <v>2</v>
      </c>
      <c r="C1198" s="53">
        <v>2024</v>
      </c>
      <c r="D1198" s="52" t="s">
        <v>128</v>
      </c>
      <c r="E1198" s="52" t="s">
        <v>310</v>
      </c>
      <c r="F1198" s="595">
        <v>1337.0409999999999</v>
      </c>
      <c r="G1198" s="595">
        <v>1619.1420000000001</v>
      </c>
    </row>
    <row r="1199" spans="1:7" ht="10.050000000000001" customHeight="1">
      <c r="A1199" s="597">
        <v>45371</v>
      </c>
      <c r="B1199" s="54">
        <v>3</v>
      </c>
      <c r="C1199" s="53">
        <v>2024</v>
      </c>
      <c r="D1199" s="52" t="s">
        <v>128</v>
      </c>
      <c r="E1199" s="52" t="s">
        <v>310</v>
      </c>
      <c r="F1199" s="595">
        <v>1243.7670000000001</v>
      </c>
      <c r="G1199" s="595">
        <v>1492.5239999999999</v>
      </c>
    </row>
    <row r="1200" spans="1:7" ht="10.050000000000001" customHeight="1">
      <c r="A1200" s="597">
        <v>45402</v>
      </c>
      <c r="B1200" s="54">
        <v>4</v>
      </c>
      <c r="C1200" s="53">
        <v>2024</v>
      </c>
      <c r="D1200" s="52" t="s">
        <v>128</v>
      </c>
      <c r="E1200" s="52" t="s">
        <v>310</v>
      </c>
      <c r="F1200" s="595">
        <v>1296.508</v>
      </c>
      <c r="G1200" s="595">
        <v>1562.1790000000001</v>
      </c>
    </row>
    <row r="1201" spans="1:7" ht="10.050000000000001" customHeight="1">
      <c r="A1201" s="597">
        <v>45432</v>
      </c>
      <c r="B1201" s="54">
        <v>5</v>
      </c>
      <c r="C1201" s="53">
        <v>2024</v>
      </c>
      <c r="D1201" s="52" t="s">
        <v>128</v>
      </c>
      <c r="E1201" s="52" t="s">
        <v>310</v>
      </c>
      <c r="F1201" s="595">
        <v>1353.8230000000001</v>
      </c>
      <c r="G1201" s="595">
        <v>1615.346</v>
      </c>
    </row>
    <row r="1202" spans="1:7" ht="10.050000000000001" customHeight="1">
      <c r="A1202" s="597">
        <v>45463</v>
      </c>
      <c r="B1202" s="54">
        <v>6</v>
      </c>
      <c r="C1202" s="53">
        <v>2024</v>
      </c>
      <c r="D1202" s="52" t="s">
        <v>128</v>
      </c>
      <c r="E1202" s="52" t="s">
        <v>310</v>
      </c>
      <c r="F1202" s="595">
        <v>1274.0519999999999</v>
      </c>
      <c r="G1202" s="595">
        <v>1491.0930000000001</v>
      </c>
    </row>
    <row r="1203" spans="1:7" ht="10.050000000000001" customHeight="1">
      <c r="A1203" s="597">
        <v>45493</v>
      </c>
      <c r="B1203" s="54">
        <v>7</v>
      </c>
      <c r="C1203" s="53">
        <v>2024</v>
      </c>
      <c r="D1203" s="52" t="s">
        <v>129</v>
      </c>
      <c r="E1203" s="52" t="s">
        <v>310</v>
      </c>
      <c r="F1203" s="595">
        <v>1355.1569999999999</v>
      </c>
      <c r="G1203" s="595">
        <v>1584.4059999999999</v>
      </c>
    </row>
    <row r="1204" spans="1:7" ht="10.050000000000001" customHeight="1">
      <c r="A1204" s="597">
        <v>45524</v>
      </c>
      <c r="B1204" s="54">
        <v>8</v>
      </c>
      <c r="C1204" s="53">
        <v>2024</v>
      </c>
      <c r="D1204" s="52" t="s">
        <v>129</v>
      </c>
      <c r="E1204" s="52" t="s">
        <v>310</v>
      </c>
      <c r="F1204" s="595">
        <v>1273.7260000000001</v>
      </c>
      <c r="G1204" s="595">
        <v>1510.874</v>
      </c>
    </row>
    <row r="1205" spans="1:7" ht="10.050000000000001" customHeight="1">
      <c r="A1205" s="597">
        <v>45555</v>
      </c>
      <c r="B1205" s="54">
        <v>9</v>
      </c>
      <c r="C1205" s="53">
        <v>2024</v>
      </c>
      <c r="D1205" s="52" t="s">
        <v>129</v>
      </c>
      <c r="E1205" s="52" t="s">
        <v>310</v>
      </c>
      <c r="F1205" s="595">
        <v>1249.414</v>
      </c>
      <c r="G1205" s="595">
        <v>1578.501</v>
      </c>
    </row>
    <row r="1206" spans="1:7" ht="10.050000000000001" customHeight="1">
      <c r="A1206" s="597">
        <v>45585</v>
      </c>
      <c r="B1206" s="54">
        <v>10</v>
      </c>
      <c r="C1206" s="53">
        <v>2024</v>
      </c>
      <c r="D1206" s="52" t="s">
        <v>129</v>
      </c>
      <c r="E1206" s="52" t="s">
        <v>310</v>
      </c>
      <c r="F1206" s="595">
        <v>1409.193</v>
      </c>
      <c r="G1206" s="595">
        <v>1711.3920000000001</v>
      </c>
    </row>
    <row r="1207" spans="1:7" ht="10.050000000000001" customHeight="1">
      <c r="A1207" s="597">
        <v>45616</v>
      </c>
      <c r="B1207" s="54">
        <v>11</v>
      </c>
      <c r="C1207" s="53">
        <v>2024</v>
      </c>
      <c r="D1207" s="52" t="s">
        <v>129</v>
      </c>
      <c r="E1207" s="52" t="s">
        <v>310</v>
      </c>
      <c r="F1207" s="595">
        <v>1469.317</v>
      </c>
      <c r="G1207" s="595">
        <v>1797.4090000000001</v>
      </c>
    </row>
    <row r="1208" spans="1:7" ht="10.050000000000001" customHeight="1">
      <c r="A1208" s="597">
        <v>45646</v>
      </c>
      <c r="B1208" s="54">
        <v>12</v>
      </c>
      <c r="C1208" s="53">
        <v>2024</v>
      </c>
      <c r="D1208" s="52" t="s">
        <v>129</v>
      </c>
      <c r="E1208" s="52" t="s">
        <v>310</v>
      </c>
      <c r="F1208" s="595">
        <v>1573.079</v>
      </c>
      <c r="G1208" s="595">
        <v>1921.46</v>
      </c>
    </row>
    <row r="1209" spans="1:7" ht="10.050000000000001" customHeight="1">
      <c r="A1209" s="597">
        <v>45677</v>
      </c>
      <c r="B1209" s="54">
        <v>1</v>
      </c>
      <c r="C1209" s="53">
        <v>2025</v>
      </c>
      <c r="D1209" s="52" t="s">
        <v>129</v>
      </c>
      <c r="E1209" s="52" t="s">
        <v>310</v>
      </c>
      <c r="F1209" s="595">
        <v>1490.828</v>
      </c>
      <c r="G1209" s="595">
        <v>1808.9659999999999</v>
      </c>
    </row>
    <row r="1211" spans="1:7" ht="10.95" customHeight="1">
      <c r="A1211" s="736" t="s">
        <v>146</v>
      </c>
      <c r="B1211" s="736"/>
      <c r="C1211" s="736"/>
      <c r="D1211" s="736"/>
      <c r="E1211" s="736"/>
      <c r="F1211" s="736"/>
      <c r="G1211" s="736"/>
    </row>
    <row r="1212" spans="1:7" ht="10.95" customHeight="1">
      <c r="A1212" s="736" t="s">
        <v>1538</v>
      </c>
      <c r="B1212" s="736"/>
      <c r="C1212" s="736"/>
      <c r="D1212" s="736"/>
      <c r="E1212" s="736"/>
      <c r="F1212" s="736"/>
      <c r="G1212" s="736"/>
    </row>
    <row r="1213" spans="1:7" ht="10.95" customHeight="1">
      <c r="A1213" s="736" t="s">
        <v>1539</v>
      </c>
      <c r="B1213" s="736"/>
      <c r="C1213" s="736"/>
      <c r="D1213" s="736"/>
      <c r="E1213" s="736"/>
      <c r="F1213" s="736"/>
      <c r="G1213" s="736"/>
    </row>
    <row r="1214" spans="1:7" ht="10.95" customHeight="1">
      <c r="A1214" s="736" t="s">
        <v>1540</v>
      </c>
      <c r="B1214" s="736"/>
      <c r="C1214" s="736"/>
      <c r="D1214" s="736"/>
      <c r="E1214" s="736"/>
      <c r="F1214" s="736"/>
      <c r="G1214" s="736"/>
    </row>
    <row r="1215" spans="1:7" ht="10.95" customHeight="1">
      <c r="A1215" s="736" t="s">
        <v>1541</v>
      </c>
      <c r="B1215" s="736"/>
      <c r="C1215" s="736"/>
      <c r="D1215" s="736"/>
      <c r="E1215" s="736"/>
      <c r="F1215" s="736"/>
      <c r="G1215" s="736"/>
    </row>
    <row r="1220" spans="6:7" ht="12" customHeight="1">
      <c r="F1220" s="598"/>
      <c r="G1220" s="598"/>
    </row>
  </sheetData>
  <autoFilter ref="A5:E1209" xr:uid="{00000000-0009-0000-0000-000003000000}"/>
  <mergeCells count="8">
    <mergeCell ref="A1214:G1214"/>
    <mergeCell ref="A1215:G1215"/>
    <mergeCell ref="A1:G1"/>
    <mergeCell ref="A2:G2"/>
    <mergeCell ref="A3:G3"/>
    <mergeCell ref="A1211:G1211"/>
    <mergeCell ref="A1212:G1212"/>
    <mergeCell ref="A1213:G1213"/>
  </mergeCells>
  <pageMargins left="0.2" right="0.2" top="0.2" bottom="0.2" header="0" footer="0"/>
  <pageSetup paperSize="9" scale="75"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210F-49E9-4EED-8AC9-016F7056D32B}">
  <sheetPr>
    <tabColor rgb="FF92D050"/>
  </sheetPr>
  <dimension ref="A1:S22"/>
  <sheetViews>
    <sheetView workbookViewId="0">
      <pane xSplit="2" ySplit="1" topLeftCell="C2" activePane="bottomRight" state="frozen"/>
      <selection activeCell="F19" sqref="F19"/>
      <selection pane="topRight" activeCell="F19" sqref="F19"/>
      <selection pane="bottomLeft" activeCell="F19" sqref="F19"/>
      <selection pane="bottomRight" activeCell="A22" sqref="A22"/>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1" width="12.109375" style="26" customWidth="1"/>
    <col min="12" max="17" width="14.44140625" style="26" customWidth="1"/>
    <col min="18" max="18" width="12.33203125" customWidth="1"/>
    <col min="19" max="19" width="17.44140625" customWidth="1"/>
  </cols>
  <sheetData>
    <row r="1" spans="1:19" ht="51"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Produits!$B$6</f>
        <v>Farine</v>
      </c>
      <c r="B2" t="str">
        <f>Secteurs!$B$26</f>
        <v>Boulangerie-Pâtisserie artisanale</v>
      </c>
      <c r="C2" s="569">
        <f>'Débouchés farine de blé - FAM'!Q20/10^3</f>
        <v>1243.708646</v>
      </c>
      <c r="D2" s="569"/>
      <c r="E2" t="str">
        <f>Etiquettes!$C$3</f>
        <v>kt</v>
      </c>
      <c r="F2" s="26" t="str">
        <f>Etiquettes!$H$6</f>
        <v>Blé tendre</v>
      </c>
      <c r="G2" s="26" t="str">
        <f>Etiquettes!$H$5</f>
        <v>2015-16</v>
      </c>
      <c r="H2" t="str">
        <f>Etiquettes!$C$4</f>
        <v>France entière</v>
      </c>
      <c r="I2" t="s">
        <v>1581</v>
      </c>
      <c r="J2" t="s">
        <v>1698</v>
      </c>
      <c r="K2" t="s">
        <v>1580</v>
      </c>
      <c r="L2" s="603" t="str" cm="1">
        <f t="array" aca="1" ref="L2" ca="1">[1]!NOM_FEUILLE('Débouchés farine de blé - FAM'!$A$1:$AO$1)</f>
        <v>Débouchés farine de blé - FAM</v>
      </c>
      <c r="M2" s="26" t="str">
        <f>Etiquettes!$H$11</f>
        <v>Volume</v>
      </c>
      <c r="N2" t="str">
        <f>_xlfn.CONCAT(I2,IF(ISBLANK(C2),"",_xlfn.CONCAT(" = ",MROUND(C2,1)," ",E2))," (",K2,")")</f>
        <v>Consommation de farine par la Boulangerie artisanale = 1244 kt (Etats 8 - FranceAgriMer)</v>
      </c>
      <c r="O2" s="26" t="str">
        <f>Etiquettes!$J$15</f>
        <v>Probable</v>
      </c>
      <c r="P2" s="603" t="str">
        <f>Etiquettes!$H$16</f>
        <v>Données collectées</v>
      </c>
      <c r="Q2" s="603" t="str">
        <f>Etiquettes!$H$17</f>
        <v>Donnée collectée (valeur du flux ou coefficient)</v>
      </c>
      <c r="R2" s="589"/>
      <c r="S2" s="463"/>
    </row>
    <row r="3" spans="1:19">
      <c r="A3" t="str">
        <f>Produits!$B$6</f>
        <v>Farine</v>
      </c>
      <c r="B3" t="str">
        <f>Secteurs!$B$28</f>
        <v>GMS</v>
      </c>
      <c r="C3" s="569">
        <f>('Débouchés farine de blé - FAM'!S20+'Débouchés farine de blé - FAM'!X20+'Débouchés farine de blé - FAM'!AC20)/10^3</f>
        <v>527.17012599999998</v>
      </c>
      <c r="D3" s="569"/>
      <c r="E3" t="str">
        <f>Etiquettes!$C$3</f>
        <v>kt</v>
      </c>
      <c r="F3" s="26" t="str">
        <f>Etiquettes!$H$6</f>
        <v>Blé tendre</v>
      </c>
      <c r="G3" s="26" t="str">
        <f>Etiquettes!$H$5</f>
        <v>2015-16</v>
      </c>
      <c r="H3" t="str">
        <f>Etiquettes!$C$4</f>
        <v>France entière</v>
      </c>
      <c r="I3" t="s">
        <v>1582</v>
      </c>
      <c r="J3" t="s">
        <v>1699</v>
      </c>
      <c r="K3" t="s">
        <v>1580</v>
      </c>
      <c r="L3" s="603" t="str" cm="1">
        <f t="array" aca="1" ref="L3" ca="1">[1]!NOM_FEUILLE('Débouchés farine de blé - FAM'!$A$1:$AO$1)</f>
        <v>Débouchés farine de blé - FAM</v>
      </c>
      <c r="M3" s="26" t="str">
        <f>Etiquettes!$H$11</f>
        <v>Volume</v>
      </c>
      <c r="N3" t="str">
        <f t="shared" ref="N3:N19" si="0">_xlfn.CONCAT(I3,IF(ISBLANK(C3),"",_xlfn.CONCAT(" = ",MROUND(C3,1)," ",E3))," (",K3,")")</f>
        <v>Consommation de farine par les GMS = 527 kt (Etats 8 - FranceAgriMer)</v>
      </c>
      <c r="O3" s="26" t="str">
        <f>Etiquettes!$J$15</f>
        <v>Probable</v>
      </c>
      <c r="P3" s="603" t="str">
        <f>Etiquettes!$H$16</f>
        <v>Données collectées</v>
      </c>
      <c r="Q3" s="603" t="str">
        <f>Etiquettes!$H$17</f>
        <v>Donnée collectée (valeur du flux ou coefficient)</v>
      </c>
      <c r="R3" s="589"/>
      <c r="S3" s="144"/>
    </row>
    <row r="4" spans="1:19">
      <c r="A4" t="str">
        <f>Produits!$B$6</f>
        <v>Farine</v>
      </c>
      <c r="B4" t="str">
        <f>Secteurs!$B$29</f>
        <v>RHD</v>
      </c>
      <c r="C4" s="569">
        <f>'Débouchés farine de blé - FAM'!T20/10^3</f>
        <v>1.2943230000000001</v>
      </c>
      <c r="D4" s="569"/>
      <c r="E4" t="str">
        <f>Etiquettes!$C$3</f>
        <v>kt</v>
      </c>
      <c r="F4" s="26" t="str">
        <f>Etiquettes!$H$6</f>
        <v>Blé tendre</v>
      </c>
      <c r="G4" s="26" t="str">
        <f>Etiquettes!$H$5</f>
        <v>2015-16</v>
      </c>
      <c r="H4" t="str">
        <f>Etiquettes!$C$4</f>
        <v>France entière</v>
      </c>
      <c r="I4" t="s">
        <v>1583</v>
      </c>
      <c r="J4" t="s">
        <v>1700</v>
      </c>
      <c r="K4" t="s">
        <v>1580</v>
      </c>
      <c r="L4" s="603" t="str" cm="1">
        <f t="array" aca="1" ref="L4" ca="1">[1]!NOM_FEUILLE('Débouchés farine de blé - FAM'!$A$1:$AO$1)</f>
        <v>Débouchés farine de blé - FAM</v>
      </c>
      <c r="M4" s="26" t="str">
        <f>Etiquettes!$H$11</f>
        <v>Volume</v>
      </c>
      <c r="N4" t="str">
        <f t="shared" si="0"/>
        <v>Consommation de farine par la RHD = 1 kt (Etats 8 - FranceAgriMer)</v>
      </c>
      <c r="O4" s="26" t="str">
        <f>Etiquettes!$J$15</f>
        <v>Probable</v>
      </c>
      <c r="P4" s="603" t="str">
        <f>Etiquettes!$H$16</f>
        <v>Données collectées</v>
      </c>
      <c r="Q4" s="603" t="str">
        <f>Etiquettes!$H$17</f>
        <v>Donnée collectée (valeur du flux ou coefficient)</v>
      </c>
      <c r="R4" s="589"/>
      <c r="S4" s="144"/>
    </row>
    <row r="5" spans="1:19">
      <c r="A5" t="str">
        <f>Produits!$B$6</f>
        <v>Farine</v>
      </c>
      <c r="B5" t="str">
        <f>Secteurs!$B$30</f>
        <v>Autres IAA</v>
      </c>
      <c r="C5" s="569">
        <f>('Débouchés farine de blé - FAM'!R20+'Débouchés farine de blé - FAM'!Y20+'Débouchés farine de blé - FAM'!Z20)/10^3</f>
        <v>1836.3016520000012</v>
      </c>
      <c r="D5" s="569"/>
      <c r="E5" t="str">
        <f>Etiquettes!$C$3</f>
        <v>kt</v>
      </c>
      <c r="F5" s="26" t="str">
        <f>Etiquettes!$H$6</f>
        <v>Blé tendre</v>
      </c>
      <c r="G5" s="26" t="str">
        <f>Etiquettes!$H$5</f>
        <v>2015-16</v>
      </c>
      <c r="H5" t="str">
        <f>Etiquettes!$C$4</f>
        <v>France entière</v>
      </c>
      <c r="I5" t="s">
        <v>1584</v>
      </c>
      <c r="J5" t="s">
        <v>1701</v>
      </c>
      <c r="K5" t="s">
        <v>1580</v>
      </c>
      <c r="L5" s="603" t="str" cm="1">
        <f t="array" aca="1" ref="L5" ca="1">[1]!NOM_FEUILLE('Débouchés farine de blé - FAM'!$A$1:$AO$1)</f>
        <v>Débouchés farine de blé - FAM</v>
      </c>
      <c r="M5" s="26" t="str">
        <f>Etiquettes!$H$11</f>
        <v>Volume</v>
      </c>
      <c r="N5" t="str">
        <f t="shared" si="0"/>
        <v>Consommation de farine par les autres IAA = 1836 kt (Etats 8 - FranceAgriMer)</v>
      </c>
      <c r="O5" s="26" t="str">
        <f>Etiquettes!$J$15</f>
        <v>Probable</v>
      </c>
      <c r="P5" s="603" t="str">
        <f>Etiquettes!$H$16</f>
        <v>Données collectées</v>
      </c>
      <c r="Q5" s="603" t="str">
        <f>Etiquettes!$H$17</f>
        <v>Donnée collectée (valeur du flux ou coefficient)</v>
      </c>
      <c r="R5" s="589"/>
      <c r="S5" s="144"/>
    </row>
    <row r="6" spans="1:19">
      <c r="A6" t="str">
        <f>Produits!$B$6</f>
        <v>Farine</v>
      </c>
      <c r="B6" t="str">
        <f>Secteurs!$B$9</f>
        <v>Amidonnerie / Glutennerie</v>
      </c>
      <c r="C6" s="569">
        <f>'Débouchés farine de blé - FAM'!AE20/10^3</f>
        <v>7.7258599999999999</v>
      </c>
      <c r="E6" t="str">
        <f>Etiquettes!$C$3</f>
        <v>kt</v>
      </c>
      <c r="F6" s="26" t="str">
        <f>Etiquettes!$H$6</f>
        <v>Blé tendre</v>
      </c>
      <c r="G6" s="26" t="str">
        <f>Etiquettes!$H$5</f>
        <v>2015-16</v>
      </c>
      <c r="H6" t="str">
        <f>Etiquettes!$C$4</f>
        <v>France entière</v>
      </c>
      <c r="I6" t="s">
        <v>1585</v>
      </c>
      <c r="J6"/>
      <c r="K6" t="s">
        <v>1580</v>
      </c>
      <c r="L6" s="603" t="str" cm="1">
        <f t="array" aca="1" ref="L6" ca="1">[1]!NOM_FEUILLE('Débouchés farine de blé - FAM'!$A$1:$AO$1)</f>
        <v>Débouchés farine de blé - FAM</v>
      </c>
      <c r="M6" s="26" t="str">
        <f>Etiquettes!$H$11</f>
        <v>Volume</v>
      </c>
      <c r="N6" t="str">
        <f t="shared" si="0"/>
        <v>Consommation de farine par l'Amidonnerie = 8 kt (Etats 8 - FranceAgriMer)</v>
      </c>
      <c r="O6" s="26" t="str">
        <f>Etiquettes!$J$15</f>
        <v>Probable</v>
      </c>
      <c r="P6" s="603" t="str">
        <f>Etiquettes!$H$16</f>
        <v>Données collectées</v>
      </c>
      <c r="Q6" s="603" t="str">
        <f>Etiquettes!$H$17</f>
        <v>Donnée collectée (valeur du flux ou coefficient)</v>
      </c>
      <c r="R6" s="589"/>
      <c r="S6" s="144"/>
    </row>
    <row r="7" spans="1:19">
      <c r="A7" t="str">
        <f>Produits!$B$6</f>
        <v>Farine</v>
      </c>
      <c r="B7" t="str">
        <f>Secteurs!$B$35</f>
        <v>FAF</v>
      </c>
      <c r="C7" s="569">
        <f>'Débouchés farine de blé - FAM'!AF20/10^3</f>
        <v>58.754418999999999</v>
      </c>
      <c r="E7" t="str">
        <f>Etiquettes!$C$3</f>
        <v>kt</v>
      </c>
      <c r="F7" s="26" t="str">
        <f>Etiquettes!$H$6</f>
        <v>Blé tendre</v>
      </c>
      <c r="G7" s="26" t="str">
        <f>Etiquettes!$H$5</f>
        <v>2015-16</v>
      </c>
      <c r="H7" t="str">
        <f>Etiquettes!$C$4</f>
        <v>France entière</v>
      </c>
      <c r="I7" t="s">
        <v>1586</v>
      </c>
      <c r="J7"/>
      <c r="K7" t="s">
        <v>1580</v>
      </c>
      <c r="L7" s="603" t="str" cm="1">
        <f t="array" aca="1" ref="L7" ca="1">[1]!NOM_FEUILLE('Débouchés farine de blé - FAM'!$A$1:$AO$1)</f>
        <v>Débouchés farine de blé - FAM</v>
      </c>
      <c r="M7" s="26" t="str">
        <f>Etiquettes!$H$11</f>
        <v>Volume</v>
      </c>
      <c r="N7" t="str">
        <f t="shared" si="0"/>
        <v>Consommation de farine pour l'alimentation animale = 59 kt (Etats 8 - FranceAgriMer)</v>
      </c>
      <c r="O7" s="26" t="str">
        <f>Etiquettes!$J$15</f>
        <v>Probable</v>
      </c>
      <c r="P7" s="603" t="str">
        <f>Etiquettes!$H$16</f>
        <v>Données collectées</v>
      </c>
      <c r="Q7" s="603" t="str">
        <f>Etiquettes!$H$17</f>
        <v>Donnée collectée (valeur du flux ou coefficient)</v>
      </c>
      <c r="R7" t="s">
        <v>1762</v>
      </c>
      <c r="S7" s="144"/>
    </row>
    <row r="8" spans="1:19">
      <c r="A8" t="str">
        <f>Produits!$B$6</f>
        <v>Farine</v>
      </c>
      <c r="B8" t="str">
        <f>Secteurs!$B$26</f>
        <v>Boulangerie-Pâtisserie artisanale</v>
      </c>
      <c r="C8" s="569">
        <f>'Débouchés farine de blé - FAM'!Q24/10^3</f>
        <v>1148.9370319999998</v>
      </c>
      <c r="D8" s="569"/>
      <c r="E8" t="str">
        <f>Etiquettes!$C$3</f>
        <v>kt</v>
      </c>
      <c r="F8" s="26" t="str">
        <f>Etiquettes!$H$6</f>
        <v>Blé tendre</v>
      </c>
      <c r="G8" s="26" t="str">
        <f>Etiquettes!$I$5</f>
        <v>2019-20</v>
      </c>
      <c r="H8" t="str">
        <f>Etiquettes!$C$4</f>
        <v>France entière</v>
      </c>
      <c r="I8" t="s">
        <v>1581</v>
      </c>
      <c r="J8" t="s">
        <v>1698</v>
      </c>
      <c r="K8" t="s">
        <v>1580</v>
      </c>
      <c r="L8" s="603" t="str" cm="1">
        <f t="array" aca="1" ref="L8" ca="1">[1]!NOM_FEUILLE('Débouchés farine de blé - FAM'!$A$1:$AO$1)</f>
        <v>Débouchés farine de blé - FAM</v>
      </c>
      <c r="M8" s="26" t="str">
        <f>Etiquettes!$H$11</f>
        <v>Volume</v>
      </c>
      <c r="N8" t="str">
        <f t="shared" si="0"/>
        <v>Consommation de farine par la Boulangerie artisanale = 1149 kt (Etats 8 - FranceAgriMer)</v>
      </c>
      <c r="O8" s="26" t="str">
        <f>Etiquettes!$J$15</f>
        <v>Probable</v>
      </c>
      <c r="P8" s="603" t="str">
        <f>Etiquettes!$H$16</f>
        <v>Données collectées</v>
      </c>
      <c r="Q8" s="603" t="str">
        <f>Etiquettes!$H$17</f>
        <v>Donnée collectée (valeur du flux ou coefficient)</v>
      </c>
      <c r="R8" s="589"/>
      <c r="S8" s="144"/>
    </row>
    <row r="9" spans="1:19">
      <c r="A9" t="str">
        <f>Produits!$B$6</f>
        <v>Farine</v>
      </c>
      <c r="B9" t="str">
        <f>Secteurs!$B$28</f>
        <v>GMS</v>
      </c>
      <c r="C9" s="569">
        <f>('Débouchés farine de blé - FAM'!S24+'Débouchés farine de blé - FAM'!X24+'Débouchés farine de blé - FAM'!AC24)/10^3</f>
        <v>542.91131199999995</v>
      </c>
      <c r="D9" s="569"/>
      <c r="E9" t="str">
        <f>Etiquettes!$C$3</f>
        <v>kt</v>
      </c>
      <c r="F9" s="26" t="str">
        <f>Etiquettes!$H$6</f>
        <v>Blé tendre</v>
      </c>
      <c r="G9" s="26" t="str">
        <f>Etiquettes!$I$5</f>
        <v>2019-20</v>
      </c>
      <c r="H9" t="str">
        <f>Etiquettes!$C$4</f>
        <v>France entière</v>
      </c>
      <c r="I9" t="s">
        <v>1582</v>
      </c>
      <c r="J9" t="s">
        <v>1699</v>
      </c>
      <c r="K9" t="s">
        <v>1580</v>
      </c>
      <c r="L9" s="603" t="str" cm="1">
        <f t="array" aca="1" ref="L9" ca="1">[1]!NOM_FEUILLE('Débouchés farine de blé - FAM'!$A$1:$AO$1)</f>
        <v>Débouchés farine de blé - FAM</v>
      </c>
      <c r="M9" s="26" t="str">
        <f>Etiquettes!$H$11</f>
        <v>Volume</v>
      </c>
      <c r="N9" t="str">
        <f t="shared" si="0"/>
        <v>Consommation de farine par les GMS = 543 kt (Etats 8 - FranceAgriMer)</v>
      </c>
      <c r="O9" s="26" t="str">
        <f>Etiquettes!$J$15</f>
        <v>Probable</v>
      </c>
      <c r="P9" s="603" t="str">
        <f>Etiquettes!$H$16</f>
        <v>Données collectées</v>
      </c>
      <c r="Q9" s="603" t="str">
        <f>Etiquettes!$H$17</f>
        <v>Donnée collectée (valeur du flux ou coefficient)</v>
      </c>
      <c r="R9" s="589"/>
      <c r="S9" s="144"/>
    </row>
    <row r="10" spans="1:19">
      <c r="A10" t="str">
        <f>Produits!$B$6</f>
        <v>Farine</v>
      </c>
      <c r="B10" t="str">
        <f>Secteurs!$B$29</f>
        <v>RHD</v>
      </c>
      <c r="C10" s="569">
        <f>'Débouchés farine de blé - FAM'!T24/10^3</f>
        <v>0.86020699999999994</v>
      </c>
      <c r="D10" s="569"/>
      <c r="E10" t="str">
        <f>Etiquettes!$C$3</f>
        <v>kt</v>
      </c>
      <c r="F10" s="26" t="str">
        <f>Etiquettes!$H$6</f>
        <v>Blé tendre</v>
      </c>
      <c r="G10" s="26" t="str">
        <f>Etiquettes!$I$5</f>
        <v>2019-20</v>
      </c>
      <c r="H10" t="str">
        <f>Etiquettes!$C$4</f>
        <v>France entière</v>
      </c>
      <c r="I10" t="s">
        <v>1583</v>
      </c>
      <c r="J10" t="s">
        <v>1700</v>
      </c>
      <c r="K10" t="s">
        <v>1580</v>
      </c>
      <c r="L10" s="603" t="str" cm="1">
        <f t="array" aca="1" ref="L10" ca="1">[1]!NOM_FEUILLE('Débouchés farine de blé - FAM'!$A$1:$AO$1)</f>
        <v>Débouchés farine de blé - FAM</v>
      </c>
      <c r="M10" s="26" t="str">
        <f>Etiquettes!$H$11</f>
        <v>Volume</v>
      </c>
      <c r="N10" t="str">
        <f t="shared" si="0"/>
        <v>Consommation de farine par la RHD = 1 kt (Etats 8 - FranceAgriMer)</v>
      </c>
      <c r="O10" s="26" t="str">
        <f>Etiquettes!$J$15</f>
        <v>Probable</v>
      </c>
      <c r="P10" s="603" t="str">
        <f>Etiquettes!$H$16</f>
        <v>Données collectées</v>
      </c>
      <c r="Q10" s="603" t="str">
        <f>Etiquettes!$H$17</f>
        <v>Donnée collectée (valeur du flux ou coefficient)</v>
      </c>
      <c r="R10" s="589"/>
      <c r="S10" s="144"/>
    </row>
    <row r="11" spans="1:19">
      <c r="A11" t="str">
        <f>Produits!$B$6</f>
        <v>Farine</v>
      </c>
      <c r="B11" t="str">
        <f>Secteurs!$B$30</f>
        <v>Autres IAA</v>
      </c>
      <c r="C11" s="569">
        <f>('Débouchés farine de blé - FAM'!R24+'Débouchés farine de blé - FAM'!Y24+'Débouchés farine de blé - FAM'!Z24)/10^3</f>
        <v>1776.224847</v>
      </c>
      <c r="D11" s="569"/>
      <c r="E11" t="str">
        <f>Etiquettes!$C$3</f>
        <v>kt</v>
      </c>
      <c r="F11" s="26" t="str">
        <f>Etiquettes!$H$6</f>
        <v>Blé tendre</v>
      </c>
      <c r="G11" s="26" t="str">
        <f>Etiquettes!$I$5</f>
        <v>2019-20</v>
      </c>
      <c r="H11" t="str">
        <f>Etiquettes!$C$4</f>
        <v>France entière</v>
      </c>
      <c r="I11" t="s">
        <v>1584</v>
      </c>
      <c r="J11" t="s">
        <v>1701</v>
      </c>
      <c r="K11" t="s">
        <v>1580</v>
      </c>
      <c r="L11" s="603" t="str" cm="1">
        <f t="array" aca="1" ref="L11" ca="1">[1]!NOM_FEUILLE('Débouchés farine de blé - FAM'!$A$1:$AO$1)</f>
        <v>Débouchés farine de blé - FAM</v>
      </c>
      <c r="M11" s="26" t="str">
        <f>Etiquettes!$H$11</f>
        <v>Volume</v>
      </c>
      <c r="N11" t="str">
        <f t="shared" si="0"/>
        <v>Consommation de farine par les autres IAA = 1776 kt (Etats 8 - FranceAgriMer)</v>
      </c>
      <c r="O11" s="26" t="str">
        <f>Etiquettes!$J$15</f>
        <v>Probable</v>
      </c>
      <c r="P11" s="603" t="str">
        <f>Etiquettes!$H$16</f>
        <v>Données collectées</v>
      </c>
      <c r="Q11" s="603" t="str">
        <f>Etiquettes!$H$17</f>
        <v>Donnée collectée (valeur du flux ou coefficient)</v>
      </c>
      <c r="R11" s="589"/>
      <c r="S11" s="144"/>
    </row>
    <row r="12" spans="1:19">
      <c r="A12" t="str">
        <f>Produits!$B$6</f>
        <v>Farine</v>
      </c>
      <c r="B12" t="str">
        <f>Secteurs!$B$9</f>
        <v>Amidonnerie / Glutennerie</v>
      </c>
      <c r="C12" s="569">
        <f>'Débouchés farine de blé - FAM'!AE24/10^3</f>
        <v>24.01979</v>
      </c>
      <c r="E12" t="str">
        <f>Etiquettes!$C$3</f>
        <v>kt</v>
      </c>
      <c r="F12" s="26" t="str">
        <f>Etiquettes!$H$6</f>
        <v>Blé tendre</v>
      </c>
      <c r="G12" s="26" t="str">
        <f>Etiquettes!$I$5</f>
        <v>2019-20</v>
      </c>
      <c r="H12" t="str">
        <f>Etiquettes!$C$4</f>
        <v>France entière</v>
      </c>
      <c r="I12" t="s">
        <v>1585</v>
      </c>
      <c r="J12"/>
      <c r="K12" t="s">
        <v>1580</v>
      </c>
      <c r="L12" s="603" t="str" cm="1">
        <f t="array" aca="1" ref="L12" ca="1">[1]!NOM_FEUILLE('Débouchés farine de blé - FAM'!$A$1:$AO$1)</f>
        <v>Débouchés farine de blé - FAM</v>
      </c>
      <c r="M12" s="26" t="str">
        <f>Etiquettes!$H$11</f>
        <v>Volume</v>
      </c>
      <c r="N12" t="str">
        <f t="shared" si="0"/>
        <v>Consommation de farine par l'Amidonnerie = 24 kt (Etats 8 - FranceAgriMer)</v>
      </c>
      <c r="O12" s="26" t="str">
        <f>Etiquettes!$J$15</f>
        <v>Probable</v>
      </c>
      <c r="P12" s="603" t="str">
        <f>Etiquettes!$H$16</f>
        <v>Données collectées</v>
      </c>
      <c r="Q12" s="603" t="str">
        <f>Etiquettes!$H$17</f>
        <v>Donnée collectée (valeur du flux ou coefficient)</v>
      </c>
      <c r="R12" s="589"/>
      <c r="S12" s="144"/>
    </row>
    <row r="13" spans="1:19">
      <c r="A13" t="str">
        <f>Produits!$B$6</f>
        <v>Farine</v>
      </c>
      <c r="B13" t="str">
        <f>Secteurs!$B$35</f>
        <v>FAF</v>
      </c>
      <c r="C13" s="569">
        <f>'Débouchés farine de blé - FAM'!AF24/10^3</f>
        <v>60.751967999999998</v>
      </c>
      <c r="E13" t="str">
        <f>Etiquettes!$C$3</f>
        <v>kt</v>
      </c>
      <c r="F13" s="26" t="str">
        <f>Etiquettes!$H$6</f>
        <v>Blé tendre</v>
      </c>
      <c r="G13" s="26" t="str">
        <f>Etiquettes!$I$5</f>
        <v>2019-20</v>
      </c>
      <c r="H13" t="str">
        <f>Etiquettes!$C$4</f>
        <v>France entière</v>
      </c>
      <c r="I13" t="s">
        <v>1586</v>
      </c>
      <c r="J13"/>
      <c r="K13" t="s">
        <v>1580</v>
      </c>
      <c r="L13" s="603" t="str" cm="1">
        <f t="array" aca="1" ref="L13" ca="1">[1]!NOM_FEUILLE('Débouchés farine de blé - FAM'!$A$1:$AO$1)</f>
        <v>Débouchés farine de blé - FAM</v>
      </c>
      <c r="M13" s="26" t="str">
        <f>Etiquettes!$H$11</f>
        <v>Volume</v>
      </c>
      <c r="N13" t="str">
        <f t="shared" si="0"/>
        <v>Consommation de farine pour l'alimentation animale = 61 kt (Etats 8 - FranceAgriMer)</v>
      </c>
      <c r="O13" s="26" t="str">
        <f>Etiquettes!$J$15</f>
        <v>Probable</v>
      </c>
      <c r="P13" s="603" t="str">
        <f>Etiquettes!$H$16</f>
        <v>Données collectées</v>
      </c>
      <c r="Q13" s="603" t="str">
        <f>Etiquettes!$H$17</f>
        <v>Donnée collectée (valeur du flux ou coefficient)</v>
      </c>
      <c r="R13" t="s">
        <v>1762</v>
      </c>
      <c r="S13" s="144"/>
    </row>
    <row r="14" spans="1:19">
      <c r="A14" t="str">
        <f>Produits!$B$6</f>
        <v>Farine</v>
      </c>
      <c r="B14" t="str">
        <f>Secteurs!$B$26</f>
        <v>Boulangerie-Pâtisserie artisanale</v>
      </c>
      <c r="C14" s="569">
        <f>'Débouchés farine de blé - FAM'!Q28/10^3</f>
        <v>1094.989108</v>
      </c>
      <c r="D14" s="569"/>
      <c r="E14" t="str">
        <f>Etiquettes!$C$3</f>
        <v>kt</v>
      </c>
      <c r="F14" s="26" t="str">
        <f>Etiquettes!$H$6</f>
        <v>Blé tendre</v>
      </c>
      <c r="G14" s="26" t="str">
        <f>Etiquettes!$J$5</f>
        <v>2023-24</v>
      </c>
      <c r="H14" t="str">
        <f>Etiquettes!$C$4</f>
        <v>France entière</v>
      </c>
      <c r="I14" t="s">
        <v>1581</v>
      </c>
      <c r="J14" t="s">
        <v>1698</v>
      </c>
      <c r="K14" t="s">
        <v>1580</v>
      </c>
      <c r="L14" s="603" t="str" cm="1">
        <f t="array" aca="1" ref="L14" ca="1">[1]!NOM_FEUILLE('Débouchés farine de blé - FAM'!$A$1:$AO$1)</f>
        <v>Débouchés farine de blé - FAM</v>
      </c>
      <c r="M14" s="26" t="str">
        <f>Etiquettes!$H$11</f>
        <v>Volume</v>
      </c>
      <c r="N14" t="str">
        <f t="shared" si="0"/>
        <v>Consommation de farine par la Boulangerie artisanale = 1095 kt (Etats 8 - FranceAgriMer)</v>
      </c>
      <c r="O14" s="26" t="str">
        <f>Etiquettes!$J$15</f>
        <v>Probable</v>
      </c>
      <c r="P14" s="603" t="str">
        <f>Etiquettes!$H$16</f>
        <v>Données collectées</v>
      </c>
      <c r="Q14" s="603" t="str">
        <f>Etiquettes!$H$17</f>
        <v>Donnée collectée (valeur du flux ou coefficient)</v>
      </c>
      <c r="R14" s="10"/>
      <c r="S14" s="144"/>
    </row>
    <row r="15" spans="1:19">
      <c r="A15" t="str">
        <f>Produits!$B$6</f>
        <v>Farine</v>
      </c>
      <c r="B15" t="str">
        <f>Secteurs!$B$28</f>
        <v>GMS</v>
      </c>
      <c r="C15" s="569">
        <f>('Débouchés farine de blé - FAM'!S28+'Débouchés farine de blé - FAM'!X28+'Débouchés farine de blé - FAM'!AC28)/10^3</f>
        <v>454.76244000000003</v>
      </c>
      <c r="D15" s="569"/>
      <c r="E15" t="str">
        <f>Etiquettes!$C$3</f>
        <v>kt</v>
      </c>
      <c r="F15" s="26" t="str">
        <f>Etiquettes!$H$6</f>
        <v>Blé tendre</v>
      </c>
      <c r="G15" s="26" t="str">
        <f>Etiquettes!$J$5</f>
        <v>2023-24</v>
      </c>
      <c r="H15" t="str">
        <f>Etiquettes!$C$4</f>
        <v>France entière</v>
      </c>
      <c r="I15" t="s">
        <v>1582</v>
      </c>
      <c r="J15" t="s">
        <v>1699</v>
      </c>
      <c r="K15" t="s">
        <v>1580</v>
      </c>
      <c r="L15" s="603" t="str" cm="1">
        <f t="array" aca="1" ref="L15" ca="1">[1]!NOM_FEUILLE('Débouchés farine de blé - FAM'!$A$1:$AO$1)</f>
        <v>Débouchés farine de blé - FAM</v>
      </c>
      <c r="M15" s="26" t="str">
        <f>Etiquettes!$H$11</f>
        <v>Volume</v>
      </c>
      <c r="N15" t="str">
        <f t="shared" si="0"/>
        <v>Consommation de farine par les GMS = 455 kt (Etats 8 - FranceAgriMer)</v>
      </c>
      <c r="O15" s="26" t="str">
        <f>Etiquettes!$J$15</f>
        <v>Probable</v>
      </c>
      <c r="P15" s="603" t="str">
        <f>Etiquettes!$H$16</f>
        <v>Données collectées</v>
      </c>
      <c r="Q15" s="603" t="str">
        <f>Etiquettes!$H$17</f>
        <v>Donnée collectée (valeur du flux ou coefficient)</v>
      </c>
    </row>
    <row r="16" spans="1:19">
      <c r="A16" t="str">
        <f>Produits!$B$6</f>
        <v>Farine</v>
      </c>
      <c r="B16" t="str">
        <f>Secteurs!$B$29</f>
        <v>RHD</v>
      </c>
      <c r="C16" s="569">
        <f>'Débouchés farine de blé - FAM'!T28/10^3</f>
        <v>2.9508749999999999</v>
      </c>
      <c r="D16" s="569"/>
      <c r="E16" t="str">
        <f>Etiquettes!$C$3</f>
        <v>kt</v>
      </c>
      <c r="F16" s="26" t="str">
        <f>Etiquettes!$H$6</f>
        <v>Blé tendre</v>
      </c>
      <c r="G16" s="26" t="str">
        <f>Etiquettes!$J$5</f>
        <v>2023-24</v>
      </c>
      <c r="H16" t="str">
        <f>Etiquettes!$C$4</f>
        <v>France entière</v>
      </c>
      <c r="I16" t="s">
        <v>1583</v>
      </c>
      <c r="J16" t="s">
        <v>1700</v>
      </c>
      <c r="K16" t="s">
        <v>1580</v>
      </c>
      <c r="L16" s="603" t="str" cm="1">
        <f t="array" aca="1" ref="L16" ca="1">[1]!NOM_FEUILLE('Débouchés farine de blé - FAM'!$A$1:$AO$1)</f>
        <v>Débouchés farine de blé - FAM</v>
      </c>
      <c r="M16" s="26" t="str">
        <f>Etiquettes!$H$11</f>
        <v>Volume</v>
      </c>
      <c r="N16" t="str">
        <f t="shared" si="0"/>
        <v>Consommation de farine par la RHD = 3 kt (Etats 8 - FranceAgriMer)</v>
      </c>
      <c r="O16" s="26" t="str">
        <f>Etiquettes!$J$15</f>
        <v>Probable</v>
      </c>
      <c r="P16" s="603" t="str">
        <f>Etiquettes!$H$16</f>
        <v>Données collectées</v>
      </c>
      <c r="Q16" s="603" t="str">
        <f>Etiquettes!$H$17</f>
        <v>Donnée collectée (valeur du flux ou coefficient)</v>
      </c>
    </row>
    <row r="17" spans="1:18">
      <c r="A17" t="str">
        <f>Produits!$B$6</f>
        <v>Farine</v>
      </c>
      <c r="B17" t="str">
        <f>Secteurs!$B$30</f>
        <v>Autres IAA</v>
      </c>
      <c r="C17" s="569">
        <f>('Débouchés farine de blé - FAM'!R28+'Débouchés farine de blé - FAM'!Y28+'Débouchés farine de blé - FAM'!Z28)/10^3</f>
        <v>1949.9470840000001</v>
      </c>
      <c r="D17" s="569"/>
      <c r="E17" t="str">
        <f>Etiquettes!$C$3</f>
        <v>kt</v>
      </c>
      <c r="F17" s="26" t="str">
        <f>Etiquettes!$H$6</f>
        <v>Blé tendre</v>
      </c>
      <c r="G17" s="26" t="str">
        <f>Etiquettes!$J$5</f>
        <v>2023-24</v>
      </c>
      <c r="H17" t="str">
        <f>Etiquettes!$C$4</f>
        <v>France entière</v>
      </c>
      <c r="I17" t="s">
        <v>1584</v>
      </c>
      <c r="J17" t="s">
        <v>1701</v>
      </c>
      <c r="K17" t="s">
        <v>1580</v>
      </c>
      <c r="L17" s="603" t="str" cm="1">
        <f t="array" aca="1" ref="L17" ca="1">[1]!NOM_FEUILLE('Débouchés farine de blé - FAM'!$A$1:$AO$1)</f>
        <v>Débouchés farine de blé - FAM</v>
      </c>
      <c r="M17" s="26" t="str">
        <f>Etiquettes!$H$11</f>
        <v>Volume</v>
      </c>
      <c r="N17" t="str">
        <f t="shared" si="0"/>
        <v>Consommation de farine par les autres IAA = 1950 kt (Etats 8 - FranceAgriMer)</v>
      </c>
      <c r="O17" s="26" t="str">
        <f>Etiquettes!$J$15</f>
        <v>Probable</v>
      </c>
      <c r="P17" s="603" t="str">
        <f>Etiquettes!$H$16</f>
        <v>Données collectées</v>
      </c>
      <c r="Q17" s="603" t="str">
        <f>Etiquettes!$H$17</f>
        <v>Donnée collectée (valeur du flux ou coefficient)</v>
      </c>
    </row>
    <row r="18" spans="1:18">
      <c r="A18" t="str">
        <f>Produits!$B$6</f>
        <v>Farine</v>
      </c>
      <c r="B18" t="str">
        <f>Secteurs!$B$9</f>
        <v>Amidonnerie / Glutennerie</v>
      </c>
      <c r="C18" s="569">
        <f>'Débouchés farine de blé - FAM'!AE28/10^3</f>
        <v>29.791048</v>
      </c>
      <c r="D18" s="569"/>
      <c r="E18" t="str">
        <f>Etiquettes!$C$3</f>
        <v>kt</v>
      </c>
      <c r="F18" s="26" t="str">
        <f>Etiquettes!$H$6</f>
        <v>Blé tendre</v>
      </c>
      <c r="G18" s="26" t="str">
        <f>Etiquettes!$J$5</f>
        <v>2023-24</v>
      </c>
      <c r="H18" t="str">
        <f>Etiquettes!$C$4</f>
        <v>France entière</v>
      </c>
      <c r="I18" t="s">
        <v>1585</v>
      </c>
      <c r="J18"/>
      <c r="K18" t="s">
        <v>1580</v>
      </c>
      <c r="L18" s="603" t="str" cm="1">
        <f t="array" aca="1" ref="L18" ca="1">[1]!NOM_FEUILLE('Débouchés farine de blé - FAM'!$A$1:$AO$1)</f>
        <v>Débouchés farine de blé - FAM</v>
      </c>
      <c r="M18" s="26" t="str">
        <f>Etiquettes!$H$11</f>
        <v>Volume</v>
      </c>
      <c r="N18" t="str">
        <f t="shared" si="0"/>
        <v>Consommation de farine par l'Amidonnerie = 30 kt (Etats 8 - FranceAgriMer)</v>
      </c>
      <c r="O18" s="26" t="str">
        <f>Etiquettes!$J$15</f>
        <v>Probable</v>
      </c>
      <c r="P18" s="603" t="str">
        <f>Etiquettes!$H$16</f>
        <v>Données collectées</v>
      </c>
      <c r="Q18" s="603" t="str">
        <f>Etiquettes!$H$17</f>
        <v>Donnée collectée (valeur du flux ou coefficient)</v>
      </c>
    </row>
    <row r="19" spans="1:18">
      <c r="A19" t="str">
        <f>Produits!$B$6</f>
        <v>Farine</v>
      </c>
      <c r="B19" t="str">
        <f>Secteurs!$B$35</f>
        <v>FAF</v>
      </c>
      <c r="C19" s="569">
        <f>'Débouchés farine de blé - FAM'!AF28/10^3</f>
        <v>70.174908000000002</v>
      </c>
      <c r="D19" s="569"/>
      <c r="E19" t="str">
        <f>Etiquettes!$C$3</f>
        <v>kt</v>
      </c>
      <c r="F19" s="26" t="str">
        <f>Etiquettes!$H$6</f>
        <v>Blé tendre</v>
      </c>
      <c r="G19" s="26" t="str">
        <f>Etiquettes!$J$5</f>
        <v>2023-24</v>
      </c>
      <c r="H19" t="str">
        <f>Etiquettes!$C$4</f>
        <v>France entière</v>
      </c>
      <c r="I19" t="s">
        <v>1586</v>
      </c>
      <c r="J19"/>
      <c r="K19" t="s">
        <v>1580</v>
      </c>
      <c r="L19" s="603" t="str" cm="1">
        <f t="array" aca="1" ref="L19" ca="1">[1]!NOM_FEUILLE('Débouchés farine de blé - FAM'!$A$1:$AO$1)</f>
        <v>Débouchés farine de blé - FAM</v>
      </c>
      <c r="M19" s="26" t="str">
        <f>Etiquettes!$H$11</f>
        <v>Volume</v>
      </c>
      <c r="N19" t="str">
        <f t="shared" si="0"/>
        <v>Consommation de farine pour l'alimentation animale = 70 kt (Etats 8 - FranceAgriMer)</v>
      </c>
      <c r="O19" s="26" t="str">
        <f>Etiquettes!$J$15</f>
        <v>Probable</v>
      </c>
      <c r="P19" s="603" t="str">
        <f>Etiquettes!$H$16</f>
        <v>Données collectées</v>
      </c>
      <c r="Q19" s="603" t="str">
        <f>Etiquettes!$H$17</f>
        <v>Donnée collectée (valeur du flux ou coefficient)</v>
      </c>
      <c r="R19" t="s">
        <v>1762</v>
      </c>
    </row>
    <row r="20" spans="1:18">
      <c r="A20" t="str">
        <f>Produits!$B$6</f>
        <v>Farine</v>
      </c>
      <c r="B20" t="str">
        <f>Secteurs!$B$9</f>
        <v>Amidonnerie / Glutennerie</v>
      </c>
      <c r="C20" s="571">
        <v>0</v>
      </c>
      <c r="E20" t="str">
        <f>Etiquettes!$C$3</f>
        <v>kt</v>
      </c>
      <c r="F20" s="26" t="s">
        <v>1709</v>
      </c>
      <c r="G20" s="26" t="str">
        <f>Etiquettes!$C$5</f>
        <v>2015-16:2019-20:2023-24</v>
      </c>
      <c r="H20" t="str">
        <f>Etiquettes!$C$4</f>
        <v>France entière</v>
      </c>
      <c r="I20"/>
      <c r="K20"/>
      <c r="R20" t="s">
        <v>1557</v>
      </c>
    </row>
    <row r="21" spans="1:18">
      <c r="A21" t="str">
        <f>Produits!$B$6</f>
        <v>Farine</v>
      </c>
      <c r="B21" t="str">
        <f>Secteurs!$B$35</f>
        <v>FAF</v>
      </c>
      <c r="C21" s="571">
        <v>0</v>
      </c>
      <c r="E21" t="str">
        <f>Etiquettes!$C$3</f>
        <v>kt</v>
      </c>
      <c r="F21" s="26" t="s">
        <v>1709</v>
      </c>
      <c r="G21" s="26" t="str">
        <f>Etiquettes!$C$5</f>
        <v>2015-16:2019-20:2023-24</v>
      </c>
      <c r="H21" t="str">
        <f>Etiquettes!$C$4</f>
        <v>France entière</v>
      </c>
      <c r="J21" t="s">
        <v>1777</v>
      </c>
    </row>
    <row r="22" spans="1:18">
      <c r="A22" t="str">
        <f>Produits!$B$6</f>
        <v>Farine</v>
      </c>
      <c r="B22" t="str">
        <f>Secteurs!$B$54</f>
        <v>Indéterminé - Débouchés</v>
      </c>
      <c r="C22" s="571">
        <v>0</v>
      </c>
      <c r="E22" t="str">
        <f>Etiquettes!$C$3</f>
        <v>kt</v>
      </c>
      <c r="F22" s="26" t="s">
        <v>1709</v>
      </c>
      <c r="G22" s="26" t="str">
        <f>Etiquettes!$C$5</f>
        <v>2015-16:2019-20:2023-24</v>
      </c>
      <c r="H22" t="str">
        <f>Etiquettes!$C$4</f>
        <v>France entière</v>
      </c>
      <c r="J22" t="s">
        <v>1777</v>
      </c>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084D-0E70-4A7B-AB84-EEBF73085B5F}">
  <sheetPr>
    <tabColor rgb="FFFFC000"/>
  </sheetPr>
  <dimension ref="A1:AO36"/>
  <sheetViews>
    <sheetView zoomScaleNormal="100" workbookViewId="0">
      <pane xSplit="1" ySplit="4" topLeftCell="V5" activePane="bottomRight" state="frozen"/>
      <selection activeCell="I1221" sqref="I1221"/>
      <selection pane="topRight" activeCell="I1221" sqref="I1221"/>
      <selection pane="bottomLeft" activeCell="I1221" sqref="I1221"/>
      <selection pane="bottomRight" activeCell="A33" sqref="A33:AO33"/>
    </sheetView>
  </sheetViews>
  <sheetFormatPr baseColWidth="10" defaultRowHeight="12" customHeight="1"/>
  <cols>
    <col min="1" max="1" width="12.6640625" style="49" bestFit="1" customWidth="1"/>
    <col min="2" max="2" width="8.6640625" style="49" bestFit="1" customWidth="1"/>
    <col min="3" max="3" width="9.6640625" style="49" bestFit="1" customWidth="1"/>
    <col min="4" max="4" width="12.6640625" style="49" bestFit="1" customWidth="1"/>
    <col min="5" max="5" width="10.6640625" style="49" bestFit="1" customWidth="1"/>
    <col min="6" max="7" width="9.6640625" style="49" bestFit="1" customWidth="1"/>
    <col min="8" max="8" width="8.6640625" style="49" bestFit="1" customWidth="1"/>
    <col min="9" max="9" width="9.6640625" style="49" bestFit="1" customWidth="1"/>
    <col min="10" max="11" width="8.6640625" style="49" bestFit="1" customWidth="1"/>
    <col min="12" max="12" width="9.6640625" style="49" bestFit="1" customWidth="1"/>
    <col min="13" max="13" width="14.6640625" style="49" bestFit="1" customWidth="1"/>
    <col min="14" max="14" width="8.6640625" style="49" bestFit="1" customWidth="1"/>
    <col min="15" max="15" width="9.6640625" style="49" bestFit="1" customWidth="1"/>
    <col min="16" max="16" width="10.6640625" style="49" bestFit="1" customWidth="1"/>
    <col min="17" max="19" width="11.6640625" style="49" bestFit="1" customWidth="1"/>
    <col min="20" max="20" width="7.6640625" style="49" bestFit="1" customWidth="1"/>
    <col min="21" max="21" width="11.6640625" style="49" bestFit="1" customWidth="1"/>
    <col min="22" max="22" width="15.6640625" style="49" bestFit="1" customWidth="1"/>
    <col min="23" max="24" width="8.6640625" style="49" bestFit="1" customWidth="1"/>
    <col min="25" max="26" width="12.6640625" style="49" bestFit="1" customWidth="1"/>
    <col min="27" max="27" width="10.6640625" style="49" bestFit="1" customWidth="1"/>
    <col min="28" max="28" width="11.6640625" style="49" bestFit="1" customWidth="1"/>
    <col min="29" max="29" width="8.6640625" style="49" bestFit="1" customWidth="1"/>
    <col min="30" max="30" width="11.6640625" style="49" bestFit="1" customWidth="1"/>
    <col min="31" max="32" width="12.6640625" style="49" bestFit="1" customWidth="1"/>
    <col min="33" max="33" width="9.6640625" style="49" bestFit="1" customWidth="1"/>
    <col min="34" max="35" width="12.6640625" style="49" bestFit="1" customWidth="1"/>
    <col min="36" max="36" width="14.6640625" style="49" bestFit="1" customWidth="1"/>
    <col min="37" max="37" width="12.6640625" style="49" bestFit="1" customWidth="1"/>
    <col min="38" max="38" width="9.6640625" style="49" bestFit="1" customWidth="1"/>
    <col min="39" max="39" width="8.6640625" style="49" bestFit="1" customWidth="1"/>
    <col min="40" max="40" width="9.6640625" style="49" bestFit="1" customWidth="1"/>
    <col min="41" max="41" width="8.6640625" style="49" bestFit="1" customWidth="1"/>
    <col min="42" max="16384" width="11.5546875" style="49"/>
  </cols>
  <sheetData>
    <row r="1" spans="1:41" ht="16.95" customHeight="1">
      <c r="A1" s="737" t="s">
        <v>1498</v>
      </c>
      <c r="B1" s="738"/>
      <c r="C1" s="738"/>
      <c r="D1" s="738"/>
      <c r="E1" s="738"/>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8"/>
      <c r="AG1" s="738"/>
      <c r="AH1" s="738"/>
      <c r="AI1" s="738"/>
      <c r="AJ1" s="738"/>
      <c r="AK1" s="738"/>
      <c r="AL1" s="738"/>
      <c r="AM1" s="738"/>
      <c r="AN1" s="738"/>
      <c r="AO1" s="738"/>
    </row>
    <row r="2" spans="1:41" ht="19.05" customHeight="1">
      <c r="A2" s="739" t="s">
        <v>1499</v>
      </c>
      <c r="B2" s="738"/>
      <c r="C2" s="738"/>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c r="AN2" s="738"/>
      <c r="AO2" s="738"/>
    </row>
    <row r="4" spans="1:41" ht="64.95" customHeight="1">
      <c r="A4" s="592" t="s">
        <v>93</v>
      </c>
      <c r="B4" s="593" t="s">
        <v>1500</v>
      </c>
      <c r="C4" s="593" t="s">
        <v>1501</v>
      </c>
      <c r="D4" s="592" t="s">
        <v>1025</v>
      </c>
      <c r="E4" s="592" t="s">
        <v>1502</v>
      </c>
      <c r="F4" s="593" t="s">
        <v>1503</v>
      </c>
      <c r="G4" s="593" t="s">
        <v>1504</v>
      </c>
      <c r="H4" s="593" t="s">
        <v>1505</v>
      </c>
      <c r="I4" s="593" t="s">
        <v>1506</v>
      </c>
      <c r="J4" s="593" t="s">
        <v>1507</v>
      </c>
      <c r="K4" s="593" t="s">
        <v>1508</v>
      </c>
      <c r="L4" s="593" t="s">
        <v>1509</v>
      </c>
      <c r="M4" s="592" t="s">
        <v>1510</v>
      </c>
      <c r="N4" s="593" t="s">
        <v>1511</v>
      </c>
      <c r="O4" s="592" t="s">
        <v>1512</v>
      </c>
      <c r="P4" s="593" t="s">
        <v>1513</v>
      </c>
      <c r="Q4" s="593" t="s">
        <v>1514</v>
      </c>
      <c r="R4" s="593" t="s">
        <v>1515</v>
      </c>
      <c r="S4" s="593" t="s">
        <v>1516</v>
      </c>
      <c r="T4" s="593" t="s">
        <v>1517</v>
      </c>
      <c r="U4" s="593" t="s">
        <v>1518</v>
      </c>
      <c r="V4" s="593" t="s">
        <v>1519</v>
      </c>
      <c r="W4" s="593" t="s">
        <v>1520</v>
      </c>
      <c r="X4" s="593" t="s">
        <v>1521</v>
      </c>
      <c r="Y4" s="593" t="s">
        <v>1522</v>
      </c>
      <c r="Z4" s="593" t="s">
        <v>1523</v>
      </c>
      <c r="AA4" s="593" t="s">
        <v>1524</v>
      </c>
      <c r="AB4" s="593" t="s">
        <v>1525</v>
      </c>
      <c r="AC4" s="593" t="s">
        <v>1526</v>
      </c>
      <c r="AD4" s="593" t="s">
        <v>1527</v>
      </c>
      <c r="AE4" s="593" t="s">
        <v>1528</v>
      </c>
      <c r="AF4" s="593" t="s">
        <v>1529</v>
      </c>
      <c r="AG4" s="593" t="s">
        <v>1530</v>
      </c>
      <c r="AH4" s="593" t="s">
        <v>1531</v>
      </c>
      <c r="AI4" s="593" t="s">
        <v>1532</v>
      </c>
      <c r="AJ4" s="593" t="s">
        <v>1533</v>
      </c>
      <c r="AK4" s="593" t="s">
        <v>1534</v>
      </c>
      <c r="AL4" s="593" t="s">
        <v>1535</v>
      </c>
      <c r="AM4" s="592" t="s">
        <v>1039</v>
      </c>
      <c r="AN4" s="593" t="s">
        <v>1536</v>
      </c>
      <c r="AO4" s="593" t="s">
        <v>1537</v>
      </c>
    </row>
    <row r="5" spans="1:41" ht="10.95" customHeight="1">
      <c r="A5" s="594" t="s">
        <v>105</v>
      </c>
      <c r="B5" s="595">
        <v>383389.6</v>
      </c>
      <c r="C5" s="595">
        <v>5895639.7000000002</v>
      </c>
      <c r="D5" s="595">
        <v>163193.60000000001</v>
      </c>
      <c r="E5" s="595">
        <v>7193.2</v>
      </c>
      <c r="F5" s="595">
        <v>6066026.5</v>
      </c>
      <c r="G5" s="595">
        <v>6043115.9000000004</v>
      </c>
      <c r="H5" s="595">
        <v>42830.8999999999</v>
      </c>
      <c r="I5" s="595">
        <v>6085946.7999999998</v>
      </c>
      <c r="J5" s="595">
        <v>363469.3</v>
      </c>
      <c r="K5" s="595">
        <v>107862.2</v>
      </c>
      <c r="L5" s="595">
        <v>4620753.5</v>
      </c>
      <c r="M5" s="595">
        <v>59539.6</v>
      </c>
      <c r="N5" s="595">
        <v>357602.5</v>
      </c>
      <c r="O5" s="595">
        <v>1736.1</v>
      </c>
      <c r="P5" s="595">
        <v>5039631.7</v>
      </c>
      <c r="Q5" s="595">
        <v>1565022.7</v>
      </c>
      <c r="R5" s="595">
        <v>594204.80000000005</v>
      </c>
      <c r="S5" s="595">
        <v>223129.1</v>
      </c>
      <c r="T5" s="595">
        <v>3419.9</v>
      </c>
      <c r="U5" s="595">
        <v>2385776.5</v>
      </c>
      <c r="V5" s="595">
        <v>22253.9</v>
      </c>
      <c r="W5" s="595">
        <v>156388.6</v>
      </c>
      <c r="X5" s="595">
        <v>178642.5</v>
      </c>
      <c r="Y5" s="595">
        <v>733274.9</v>
      </c>
      <c r="Z5" s="595">
        <v>171302.3</v>
      </c>
      <c r="AA5" s="595">
        <v>29580.1</v>
      </c>
      <c r="AB5" s="595">
        <v>82404.800000000003</v>
      </c>
      <c r="AC5" s="595">
        <v>111984.9</v>
      </c>
      <c r="AD5" s="595">
        <v>131863</v>
      </c>
      <c r="AE5" s="595">
        <v>74606.399999999994</v>
      </c>
      <c r="AF5" s="595">
        <v>84144.2</v>
      </c>
      <c r="AG5" s="595">
        <v>3871594.7</v>
      </c>
      <c r="AH5" s="595">
        <v>385697.2</v>
      </c>
      <c r="AI5" s="595">
        <v>534885.5</v>
      </c>
      <c r="AJ5" s="595">
        <v>0</v>
      </c>
      <c r="AK5" s="595">
        <v>920582.7</v>
      </c>
      <c r="AL5" s="595">
        <v>237322.2</v>
      </c>
      <c r="AM5" s="595">
        <v>5615.1000000160802</v>
      </c>
      <c r="AN5" s="595">
        <v>5035114.7</v>
      </c>
      <c r="AO5" s="595">
        <v>112379.2</v>
      </c>
    </row>
    <row r="6" spans="1:41" ht="10.95" customHeight="1">
      <c r="A6" s="594" t="s">
        <v>108</v>
      </c>
      <c r="B6" s="595">
        <v>363469.3</v>
      </c>
      <c r="C6" s="595">
        <v>5591957.5999999996</v>
      </c>
      <c r="D6" s="595">
        <v>195103.6</v>
      </c>
      <c r="E6" s="595">
        <v>1516.6</v>
      </c>
      <c r="F6" s="595">
        <v>5788577.7999999998</v>
      </c>
      <c r="G6" s="595">
        <v>5762385.2999999998</v>
      </c>
      <c r="H6" s="595">
        <v>55424.900000000598</v>
      </c>
      <c r="I6" s="595">
        <v>5817810.2000000002</v>
      </c>
      <c r="J6" s="595">
        <v>334236.90000000002</v>
      </c>
      <c r="K6" s="595">
        <v>112379.2</v>
      </c>
      <c r="L6" s="595">
        <v>4429959.7</v>
      </c>
      <c r="M6" s="595">
        <v>53691.7</v>
      </c>
      <c r="N6" s="595">
        <v>420863.5</v>
      </c>
      <c r="O6" s="595">
        <v>-1026.5999999999999</v>
      </c>
      <c r="P6" s="595">
        <v>4903488.3</v>
      </c>
      <c r="Q6" s="595">
        <v>1531215.8</v>
      </c>
      <c r="R6" s="595">
        <v>625222.40000000002</v>
      </c>
      <c r="S6" s="595">
        <v>230313.8</v>
      </c>
      <c r="T6" s="595">
        <v>3459.6</v>
      </c>
      <c r="U6" s="595">
        <v>2390211.6</v>
      </c>
      <c r="V6" s="595">
        <v>23607</v>
      </c>
      <c r="W6" s="595">
        <v>163683</v>
      </c>
      <c r="X6" s="595">
        <v>187290</v>
      </c>
      <c r="Y6" s="595">
        <v>731064.4</v>
      </c>
      <c r="Z6" s="595">
        <v>181786.8</v>
      </c>
      <c r="AA6" s="595">
        <v>26931.7</v>
      </c>
      <c r="AB6" s="595">
        <v>80828.3</v>
      </c>
      <c r="AC6" s="595">
        <v>107760</v>
      </c>
      <c r="AD6" s="595">
        <v>130974.8</v>
      </c>
      <c r="AE6" s="595">
        <v>56532.800000000003</v>
      </c>
      <c r="AF6" s="595">
        <v>86781.6</v>
      </c>
      <c r="AG6" s="595">
        <v>3872402</v>
      </c>
      <c r="AH6" s="595">
        <v>376550.8</v>
      </c>
      <c r="AI6" s="595">
        <v>344561.8</v>
      </c>
      <c r="AJ6" s="595">
        <v>0</v>
      </c>
      <c r="AK6" s="595">
        <v>721112.6</v>
      </c>
      <c r="AL6" s="595">
        <v>288711.09999999998</v>
      </c>
      <c r="AM6" s="595">
        <v>12748.9000000167</v>
      </c>
      <c r="AN6" s="595">
        <v>4894974.5999999996</v>
      </c>
      <c r="AO6" s="595">
        <v>120892.9</v>
      </c>
    </row>
    <row r="7" spans="1:41" ht="10.95" customHeight="1">
      <c r="A7" s="594" t="s">
        <v>109</v>
      </c>
      <c r="B7" s="595">
        <v>334236.90000000002</v>
      </c>
      <c r="C7" s="595">
        <v>5678231.2000000002</v>
      </c>
      <c r="D7" s="595">
        <v>127314.8</v>
      </c>
      <c r="E7" s="595">
        <v>2402.1</v>
      </c>
      <c r="F7" s="595">
        <v>5807948.0999999996</v>
      </c>
      <c r="G7" s="595">
        <v>5691825.9000000004</v>
      </c>
      <c r="H7" s="595">
        <v>47532.599999999497</v>
      </c>
      <c r="I7" s="595">
        <v>5739358.5</v>
      </c>
      <c r="J7" s="595">
        <v>402826.5</v>
      </c>
      <c r="K7" s="595">
        <v>120892.9</v>
      </c>
      <c r="L7" s="595">
        <v>4410214</v>
      </c>
      <c r="M7" s="595">
        <v>57150.6</v>
      </c>
      <c r="N7" s="595">
        <v>403106.4</v>
      </c>
      <c r="O7" s="595">
        <v>2933.4</v>
      </c>
      <c r="P7" s="595">
        <v>4873404.4000000004</v>
      </c>
      <c r="Q7" s="595">
        <v>1489299.2</v>
      </c>
      <c r="R7" s="595">
        <v>639209.9</v>
      </c>
      <c r="S7" s="595">
        <v>235737.9</v>
      </c>
      <c r="T7" s="595">
        <v>2915.2</v>
      </c>
      <c r="U7" s="595">
        <v>2367162.2000000002</v>
      </c>
      <c r="V7" s="595">
        <v>25812.9</v>
      </c>
      <c r="W7" s="595">
        <v>189309</v>
      </c>
      <c r="X7" s="595">
        <v>215121.9</v>
      </c>
      <c r="Y7" s="595">
        <v>714574.2</v>
      </c>
      <c r="Z7" s="595">
        <v>187424.3</v>
      </c>
      <c r="AA7" s="595">
        <v>24789.8</v>
      </c>
      <c r="AB7" s="595">
        <v>84580.4</v>
      </c>
      <c r="AC7" s="595">
        <v>109370.2</v>
      </c>
      <c r="AD7" s="595">
        <v>149299.4</v>
      </c>
      <c r="AE7" s="595">
        <v>1218.5999999999999</v>
      </c>
      <c r="AF7" s="595">
        <v>86702</v>
      </c>
      <c r="AG7" s="595">
        <v>3830872.8</v>
      </c>
      <c r="AH7" s="595">
        <v>388203.5</v>
      </c>
      <c r="AI7" s="595">
        <v>389853.7</v>
      </c>
      <c r="AJ7" s="595">
        <v>0</v>
      </c>
      <c r="AK7" s="595">
        <v>778057.2</v>
      </c>
      <c r="AL7" s="595">
        <v>264359.2</v>
      </c>
      <c r="AM7" s="595">
        <v>4670.10000001347</v>
      </c>
      <c r="AN7" s="595">
        <v>4877959.3</v>
      </c>
      <c r="AO7" s="595">
        <v>116338</v>
      </c>
    </row>
    <row r="8" spans="1:41" ht="10.95" customHeight="1">
      <c r="A8" s="594" t="s">
        <v>106</v>
      </c>
      <c r="B8" s="595">
        <v>402826.5</v>
      </c>
      <c r="C8" s="595">
        <v>5450549.7000000002</v>
      </c>
      <c r="D8" s="595">
        <v>67430.899999999994</v>
      </c>
      <c r="E8" s="595">
        <v>4181.3</v>
      </c>
      <c r="F8" s="595">
        <v>5522161.9000000004</v>
      </c>
      <c r="G8" s="595">
        <v>5550338.9000000004</v>
      </c>
      <c r="H8" s="595">
        <v>62504.299999998599</v>
      </c>
      <c r="I8" s="595">
        <v>5612843.2000000002</v>
      </c>
      <c r="J8" s="595">
        <v>312145.2</v>
      </c>
      <c r="K8" s="595">
        <v>116338</v>
      </c>
      <c r="L8" s="595">
        <v>4321769.3</v>
      </c>
      <c r="M8" s="595">
        <v>40357.699999999997</v>
      </c>
      <c r="N8" s="595">
        <v>339575</v>
      </c>
      <c r="O8" s="595">
        <v>14277.8</v>
      </c>
      <c r="P8" s="595">
        <v>4715979.8</v>
      </c>
      <c r="Q8" s="595">
        <v>1448144.9</v>
      </c>
      <c r="R8" s="595">
        <v>635213.1</v>
      </c>
      <c r="S8" s="595">
        <v>239923</v>
      </c>
      <c r="T8" s="595">
        <v>3108.2</v>
      </c>
      <c r="U8" s="595">
        <v>2326389.2000000002</v>
      </c>
      <c r="V8" s="595">
        <v>21814.400000000001</v>
      </c>
      <c r="W8" s="595">
        <v>191038.4</v>
      </c>
      <c r="X8" s="595">
        <v>212852.8</v>
      </c>
      <c r="Y8" s="595">
        <v>764316.8</v>
      </c>
      <c r="Z8" s="595">
        <v>180555</v>
      </c>
      <c r="AA8" s="595">
        <v>29846.2</v>
      </c>
      <c r="AB8" s="595">
        <v>70899.5</v>
      </c>
      <c r="AC8" s="595">
        <v>100745.7</v>
      </c>
      <c r="AD8" s="595">
        <v>88183.4</v>
      </c>
      <c r="AE8" s="595">
        <v>1313.7</v>
      </c>
      <c r="AF8" s="595">
        <v>86276.2</v>
      </c>
      <c r="AG8" s="595">
        <v>3760632.8</v>
      </c>
      <c r="AH8" s="595">
        <v>369228.4</v>
      </c>
      <c r="AI8" s="595">
        <v>303556.5</v>
      </c>
      <c r="AJ8" s="595">
        <v>0</v>
      </c>
      <c r="AK8" s="595">
        <v>672784.9</v>
      </c>
      <c r="AL8" s="595">
        <v>276151.40000000002</v>
      </c>
      <c r="AM8" s="595">
        <v>3786.1000000163499</v>
      </c>
      <c r="AN8" s="595">
        <v>4713355.2</v>
      </c>
      <c r="AO8" s="595">
        <v>118962.6</v>
      </c>
    </row>
    <row r="9" spans="1:41" ht="10.95" customHeight="1">
      <c r="A9" s="594" t="s">
        <v>110</v>
      </c>
      <c r="B9" s="595">
        <v>312145.2</v>
      </c>
      <c r="C9" s="595">
        <v>5538478.5999999996</v>
      </c>
      <c r="D9" s="595">
        <v>90270.2</v>
      </c>
      <c r="E9" s="595">
        <v>10209.9</v>
      </c>
      <c r="F9" s="595">
        <v>5638958.7000000002</v>
      </c>
      <c r="G9" s="595">
        <v>5598306.2000000002</v>
      </c>
      <c r="H9" s="595">
        <v>33333.799999999603</v>
      </c>
      <c r="I9" s="595">
        <v>5631640</v>
      </c>
      <c r="J9" s="595">
        <v>319463.90000000002</v>
      </c>
      <c r="K9" s="595">
        <v>118962.6</v>
      </c>
      <c r="L9" s="595">
        <v>4339255.9000000004</v>
      </c>
      <c r="M9" s="595">
        <v>48222.7</v>
      </c>
      <c r="N9" s="595">
        <v>287479.40000000002</v>
      </c>
      <c r="O9" s="595">
        <v>-256.5</v>
      </c>
      <c r="P9" s="595">
        <v>4674701.5</v>
      </c>
      <c r="Q9" s="595">
        <v>1427293.3</v>
      </c>
      <c r="R9" s="595">
        <v>643846.19999999995</v>
      </c>
      <c r="S9" s="595">
        <v>242028.9</v>
      </c>
      <c r="T9" s="595">
        <v>2801.5</v>
      </c>
      <c r="U9" s="595">
        <v>2315969.9</v>
      </c>
      <c r="V9" s="595">
        <v>19738.900000000001</v>
      </c>
      <c r="W9" s="595">
        <v>190848.9</v>
      </c>
      <c r="X9" s="595">
        <v>210587.8</v>
      </c>
      <c r="Y9" s="595">
        <v>802061.7</v>
      </c>
      <c r="Z9" s="595">
        <v>192511.5</v>
      </c>
      <c r="AA9" s="595">
        <v>29848.5</v>
      </c>
      <c r="AB9" s="595">
        <v>75109.5</v>
      </c>
      <c r="AC9" s="595">
        <v>104958</v>
      </c>
      <c r="AD9" s="595">
        <v>66041.600000000006</v>
      </c>
      <c r="AE9" s="595">
        <v>6508.7</v>
      </c>
      <c r="AF9" s="595">
        <v>84103.3</v>
      </c>
      <c r="AG9" s="595">
        <v>3782742.5</v>
      </c>
      <c r="AH9" s="595">
        <v>406799</v>
      </c>
      <c r="AI9" s="595">
        <v>242472.2</v>
      </c>
      <c r="AJ9" s="595">
        <v>0</v>
      </c>
      <c r="AK9" s="595">
        <v>649271.19999999995</v>
      </c>
      <c r="AL9" s="595">
        <v>239039.6</v>
      </c>
      <c r="AM9" s="595">
        <v>3821.5000000103601</v>
      </c>
      <c r="AN9" s="595">
        <v>4674874.8</v>
      </c>
      <c r="AO9" s="595">
        <v>118789.3</v>
      </c>
    </row>
    <row r="10" spans="1:41" ht="10.95" customHeight="1">
      <c r="A10" s="594" t="s">
        <v>111</v>
      </c>
      <c r="B10" s="595">
        <v>319463.90000000002</v>
      </c>
      <c r="C10" s="595">
        <v>5677530.0999999996</v>
      </c>
      <c r="D10" s="595">
        <v>103685.7</v>
      </c>
      <c r="E10" s="595">
        <v>4951.8</v>
      </c>
      <c r="F10" s="595">
        <v>5786167.5999999996</v>
      </c>
      <c r="G10" s="595">
        <v>5745085.9000000004</v>
      </c>
      <c r="H10" s="595">
        <v>34108.800000000803</v>
      </c>
      <c r="I10" s="595">
        <v>5779194.7000000002</v>
      </c>
      <c r="J10" s="595">
        <v>326436.8</v>
      </c>
      <c r="K10" s="595">
        <v>118789.3</v>
      </c>
      <c r="L10" s="595">
        <v>4428595.5</v>
      </c>
      <c r="M10" s="595">
        <v>49084.7</v>
      </c>
      <c r="N10" s="595">
        <v>317218.8</v>
      </c>
      <c r="O10" s="595">
        <v>6557.2</v>
      </c>
      <c r="P10" s="595">
        <v>4801456.2</v>
      </c>
      <c r="Q10" s="595">
        <v>1390747.5</v>
      </c>
      <c r="R10" s="595">
        <v>699937.9</v>
      </c>
      <c r="S10" s="595">
        <v>243368.3</v>
      </c>
      <c r="T10" s="595">
        <v>2275.1</v>
      </c>
      <c r="U10" s="595">
        <v>2336328.7999999998</v>
      </c>
      <c r="V10" s="595">
        <v>17528.599999999999</v>
      </c>
      <c r="W10" s="595">
        <v>222684.4</v>
      </c>
      <c r="X10" s="595">
        <v>240213</v>
      </c>
      <c r="Y10" s="595">
        <v>841385.8</v>
      </c>
      <c r="Z10" s="595">
        <v>170153.5</v>
      </c>
      <c r="AA10" s="595">
        <v>30368.6</v>
      </c>
      <c r="AB10" s="595">
        <v>86905.1</v>
      </c>
      <c r="AC10" s="595">
        <v>117273.7</v>
      </c>
      <c r="AD10" s="595">
        <v>73545.100000000006</v>
      </c>
      <c r="AE10" s="595">
        <v>16236.3</v>
      </c>
      <c r="AF10" s="595">
        <v>78608.7</v>
      </c>
      <c r="AG10" s="595">
        <v>3873744.9</v>
      </c>
      <c r="AH10" s="595">
        <v>419412.9</v>
      </c>
      <c r="AI10" s="595">
        <v>268350.3</v>
      </c>
      <c r="AJ10" s="595">
        <v>0</v>
      </c>
      <c r="AK10" s="595">
        <v>687763.2</v>
      </c>
      <c r="AL10" s="595">
        <v>237603</v>
      </c>
      <c r="AM10" s="595">
        <v>1015.00000001726</v>
      </c>
      <c r="AN10" s="595">
        <v>4800126.0999999996</v>
      </c>
      <c r="AO10" s="595">
        <v>120119.4</v>
      </c>
    </row>
    <row r="11" spans="1:41" ht="10.95" customHeight="1">
      <c r="A11" s="594" t="s">
        <v>112</v>
      </c>
      <c r="B11" s="595">
        <v>326436.8</v>
      </c>
      <c r="C11" s="595">
        <v>5552531.2000000002</v>
      </c>
      <c r="D11" s="595">
        <v>73177.5</v>
      </c>
      <c r="E11" s="595">
        <v>10660.9</v>
      </c>
      <c r="F11" s="595">
        <v>5636369.5999999996</v>
      </c>
      <c r="G11" s="595">
        <v>5620554.9000000004</v>
      </c>
      <c r="H11" s="595">
        <v>47604.4</v>
      </c>
      <c r="I11" s="595">
        <v>5668159.2999999998</v>
      </c>
      <c r="J11" s="595">
        <v>294647.09999999998</v>
      </c>
      <c r="K11" s="595">
        <v>120119.4</v>
      </c>
      <c r="L11" s="595">
        <v>4374729.2</v>
      </c>
      <c r="M11" s="595">
        <v>45059</v>
      </c>
      <c r="N11" s="595">
        <v>328639.8</v>
      </c>
      <c r="O11" s="595">
        <v>8760.4</v>
      </c>
      <c r="P11" s="595">
        <v>4757188.4000000004</v>
      </c>
      <c r="Q11" s="595">
        <v>1344375.9</v>
      </c>
      <c r="R11" s="595">
        <v>726794</v>
      </c>
      <c r="S11" s="595">
        <v>237580.79999999999</v>
      </c>
      <c r="T11" s="595">
        <v>2346.4</v>
      </c>
      <c r="U11" s="595">
        <v>2311097.1</v>
      </c>
      <c r="V11" s="595">
        <v>7719.3</v>
      </c>
      <c r="W11" s="595">
        <v>242784.9</v>
      </c>
      <c r="X11" s="595">
        <v>250504.2</v>
      </c>
      <c r="Y11" s="595">
        <v>881514.9</v>
      </c>
      <c r="Z11" s="595">
        <v>179465.4</v>
      </c>
      <c r="AA11" s="595">
        <v>35525.599999999999</v>
      </c>
      <c r="AB11" s="595">
        <v>71035</v>
      </c>
      <c r="AC11" s="595">
        <v>106560.6</v>
      </c>
      <c r="AD11" s="595">
        <v>76763</v>
      </c>
      <c r="AE11" s="595">
        <v>24986</v>
      </c>
      <c r="AF11" s="595">
        <v>75209.8</v>
      </c>
      <c r="AG11" s="595">
        <v>3906101</v>
      </c>
      <c r="AH11" s="595">
        <v>408642.7</v>
      </c>
      <c r="AI11" s="595">
        <v>186877.6</v>
      </c>
      <c r="AJ11" s="595">
        <v>0</v>
      </c>
      <c r="AK11" s="595">
        <v>595520.30000000005</v>
      </c>
      <c r="AL11" s="595">
        <v>249064.1</v>
      </c>
      <c r="AM11" s="595">
        <v>7287.8000000177199</v>
      </c>
      <c r="AN11" s="595">
        <v>4757973.2</v>
      </c>
      <c r="AO11" s="595">
        <v>119334.6</v>
      </c>
    </row>
    <row r="12" spans="1:41" ht="10.95" customHeight="1">
      <c r="A12" s="594" t="s">
        <v>113</v>
      </c>
      <c r="B12" s="595">
        <v>294647.09999999998</v>
      </c>
      <c r="C12" s="595">
        <v>5739463.2000000002</v>
      </c>
      <c r="D12" s="595">
        <v>103368.9</v>
      </c>
      <c r="E12" s="595">
        <v>4253.3</v>
      </c>
      <c r="F12" s="595">
        <v>5847085.4000000004</v>
      </c>
      <c r="G12" s="595">
        <v>5739505.5999999996</v>
      </c>
      <c r="H12" s="595">
        <v>44673.799999999603</v>
      </c>
      <c r="I12" s="595">
        <v>5784179.4000000004</v>
      </c>
      <c r="J12" s="595">
        <v>357553.1</v>
      </c>
      <c r="K12" s="595">
        <v>119334.6</v>
      </c>
      <c r="L12" s="595">
        <v>4442931.2000000002</v>
      </c>
      <c r="M12" s="595">
        <v>48877.5</v>
      </c>
      <c r="N12" s="595">
        <v>325476.8</v>
      </c>
      <c r="O12" s="595">
        <v>4353.3</v>
      </c>
      <c r="P12" s="595">
        <v>4821638.8</v>
      </c>
      <c r="Q12" s="595">
        <v>1327449.5</v>
      </c>
      <c r="R12" s="595">
        <v>732567.1</v>
      </c>
      <c r="S12" s="595">
        <v>236370.2</v>
      </c>
      <c r="T12" s="595">
        <v>2021.1</v>
      </c>
      <c r="U12" s="595">
        <v>2298407.9</v>
      </c>
      <c r="V12" s="595">
        <v>8984.2000000000007</v>
      </c>
      <c r="W12" s="595">
        <v>257455.1</v>
      </c>
      <c r="X12" s="595">
        <v>266439.3</v>
      </c>
      <c r="Y12" s="595">
        <v>900622</v>
      </c>
      <c r="Z12" s="595">
        <v>171371.6</v>
      </c>
      <c r="AA12" s="595">
        <v>31529.4</v>
      </c>
      <c r="AB12" s="595">
        <v>78958.5</v>
      </c>
      <c r="AC12" s="595">
        <v>110487.9</v>
      </c>
      <c r="AD12" s="595">
        <v>79572.5</v>
      </c>
      <c r="AE12" s="595">
        <v>7892.3</v>
      </c>
      <c r="AF12" s="595">
        <v>69795.3</v>
      </c>
      <c r="AG12" s="595">
        <v>3904588.8</v>
      </c>
      <c r="AH12" s="595">
        <v>399416.9</v>
      </c>
      <c r="AI12" s="595">
        <v>247404.3</v>
      </c>
      <c r="AJ12" s="595">
        <v>0</v>
      </c>
      <c r="AK12" s="595">
        <v>646821.19999999995</v>
      </c>
      <c r="AL12" s="595">
        <v>243966</v>
      </c>
      <c r="AM12" s="595">
        <v>11622.0000000155</v>
      </c>
      <c r="AN12" s="595">
        <v>4806998</v>
      </c>
      <c r="AO12" s="595">
        <v>133975.4</v>
      </c>
    </row>
    <row r="13" spans="1:41" ht="10.95" customHeight="1">
      <c r="A13" s="594" t="s">
        <v>107</v>
      </c>
      <c r="B13" s="595">
        <v>357553.1</v>
      </c>
      <c r="C13" s="595">
        <v>5699848.2999999998</v>
      </c>
      <c r="D13" s="595">
        <v>101236.7</v>
      </c>
      <c r="E13" s="595">
        <v>3655.1</v>
      </c>
      <c r="F13" s="595">
        <v>5804740.0999999996</v>
      </c>
      <c r="G13" s="595">
        <v>5766859</v>
      </c>
      <c r="H13" s="595">
        <v>60927.100000000501</v>
      </c>
      <c r="I13" s="595">
        <v>5827786.0999999996</v>
      </c>
      <c r="J13" s="595">
        <v>334507.09999999998</v>
      </c>
      <c r="K13" s="595">
        <v>133975.4</v>
      </c>
      <c r="L13" s="595">
        <v>4449295.3</v>
      </c>
      <c r="M13" s="595">
        <v>49551</v>
      </c>
      <c r="N13" s="595">
        <v>365986.8</v>
      </c>
      <c r="O13" s="595">
        <v>10511.2</v>
      </c>
      <c r="P13" s="595">
        <v>4875344.3</v>
      </c>
      <c r="Q13" s="595">
        <v>1318574.2</v>
      </c>
      <c r="R13" s="595">
        <v>751014.7</v>
      </c>
      <c r="S13" s="595">
        <v>232360.1</v>
      </c>
      <c r="T13" s="595">
        <v>1528.2</v>
      </c>
      <c r="U13" s="595">
        <v>2303477.2000000002</v>
      </c>
      <c r="V13" s="595">
        <v>9717.9000000000106</v>
      </c>
      <c r="W13" s="595">
        <v>254685.2</v>
      </c>
      <c r="X13" s="595">
        <v>264403.09999999998</v>
      </c>
      <c r="Y13" s="595">
        <v>890958.4</v>
      </c>
      <c r="Z13" s="595">
        <v>184083.8</v>
      </c>
      <c r="AA13" s="595">
        <v>33834.400000000001</v>
      </c>
      <c r="AB13" s="595">
        <v>83397.3</v>
      </c>
      <c r="AC13" s="595">
        <v>117231.7</v>
      </c>
      <c r="AD13" s="595">
        <v>90828.4</v>
      </c>
      <c r="AE13" s="595">
        <v>144.1</v>
      </c>
      <c r="AF13" s="595">
        <v>60002.2</v>
      </c>
      <c r="AG13" s="595">
        <v>3911128.9</v>
      </c>
      <c r="AH13" s="595">
        <v>446741.9</v>
      </c>
      <c r="AI13" s="595">
        <v>257945.1</v>
      </c>
      <c r="AJ13" s="595">
        <v>0</v>
      </c>
      <c r="AK13" s="595">
        <v>704687</v>
      </c>
      <c r="AL13" s="595">
        <v>263017.09999999998</v>
      </c>
      <c r="AM13" s="595">
        <v>4939.60000001554</v>
      </c>
      <c r="AN13" s="595">
        <v>4883772.5999999996</v>
      </c>
      <c r="AO13" s="595">
        <v>125547.1</v>
      </c>
    </row>
    <row r="14" spans="1:41" ht="10.95" customHeight="1">
      <c r="A14" s="594" t="s">
        <v>114</v>
      </c>
      <c r="B14" s="595">
        <v>334507.09999999998</v>
      </c>
      <c r="C14" s="595">
        <v>5565968.9000000004</v>
      </c>
      <c r="D14" s="595">
        <v>87714.1</v>
      </c>
      <c r="E14" s="595">
        <v>2314.6999999999998</v>
      </c>
      <c r="F14" s="595">
        <v>5655997.7000000002</v>
      </c>
      <c r="G14" s="595">
        <v>5639235.2000000002</v>
      </c>
      <c r="H14" s="595">
        <v>76938.799999999595</v>
      </c>
      <c r="I14" s="595">
        <v>5716174</v>
      </c>
      <c r="J14" s="595">
        <v>274330.8</v>
      </c>
      <c r="K14" s="595">
        <v>125547.1</v>
      </c>
      <c r="L14" s="595">
        <v>4403767.8</v>
      </c>
      <c r="M14" s="595">
        <v>48836.2</v>
      </c>
      <c r="N14" s="595">
        <v>428103.7</v>
      </c>
      <c r="O14" s="595">
        <v>5843.8</v>
      </c>
      <c r="P14" s="595">
        <v>4886551.5</v>
      </c>
      <c r="Q14" s="595">
        <v>1317905</v>
      </c>
      <c r="R14" s="595">
        <v>753499.4</v>
      </c>
      <c r="S14" s="595">
        <v>232885.9</v>
      </c>
      <c r="T14" s="595">
        <v>1317</v>
      </c>
      <c r="U14" s="595">
        <v>2305607.2999999998</v>
      </c>
      <c r="V14" s="595">
        <v>10642.3</v>
      </c>
      <c r="W14" s="595">
        <v>245863.7</v>
      </c>
      <c r="X14" s="595">
        <v>256506</v>
      </c>
      <c r="Y14" s="595">
        <v>894360.700000001</v>
      </c>
      <c r="Z14" s="595">
        <v>181754.8</v>
      </c>
      <c r="AA14" s="595">
        <v>30301.1</v>
      </c>
      <c r="AB14" s="595">
        <v>85216</v>
      </c>
      <c r="AC14" s="595">
        <v>115517.1</v>
      </c>
      <c r="AD14" s="595">
        <v>97931.4</v>
      </c>
      <c r="AE14" s="595">
        <v>107.6</v>
      </c>
      <c r="AF14" s="595">
        <v>58399.6</v>
      </c>
      <c r="AG14" s="595">
        <v>3910184.5</v>
      </c>
      <c r="AH14" s="595">
        <v>442126.6</v>
      </c>
      <c r="AI14" s="595">
        <v>221169.1</v>
      </c>
      <c r="AJ14" s="595">
        <v>0</v>
      </c>
      <c r="AK14" s="595">
        <v>663295.69999999995</v>
      </c>
      <c r="AL14" s="595">
        <v>304598</v>
      </c>
      <c r="AM14" s="595">
        <v>7775.5000000195196</v>
      </c>
      <c r="AN14" s="595">
        <v>4885853.7</v>
      </c>
      <c r="AO14" s="595">
        <v>126244.9</v>
      </c>
    </row>
    <row r="15" spans="1:41" ht="10.95" customHeight="1">
      <c r="A15" s="594" t="s">
        <v>115</v>
      </c>
      <c r="B15" s="595">
        <v>274330.8</v>
      </c>
      <c r="C15" s="595">
        <v>5498948.2189999996</v>
      </c>
      <c r="D15" s="595">
        <v>58917.82</v>
      </c>
      <c r="E15" s="595">
        <v>13298.196</v>
      </c>
      <c r="F15" s="595">
        <v>5571164.2350000003</v>
      </c>
      <c r="G15" s="595">
        <v>5513561.0829999996</v>
      </c>
      <c r="H15" s="595">
        <v>54594.83</v>
      </c>
      <c r="I15" s="595">
        <v>5568155.9129999997</v>
      </c>
      <c r="J15" s="595">
        <v>277339.12199999997</v>
      </c>
      <c r="K15" s="595">
        <v>126244.9</v>
      </c>
      <c r="L15" s="595">
        <v>4335580.9309999999</v>
      </c>
      <c r="M15" s="595">
        <v>46823.608999999997</v>
      </c>
      <c r="N15" s="595">
        <v>443878.571</v>
      </c>
      <c r="O15" s="595">
        <v>8652.6119999999992</v>
      </c>
      <c r="P15" s="595">
        <v>4834935.7230000002</v>
      </c>
      <c r="Q15" s="595">
        <v>1301922.9169999999</v>
      </c>
      <c r="R15" s="595">
        <v>727955.22</v>
      </c>
      <c r="S15" s="595">
        <v>228499.299</v>
      </c>
      <c r="T15" s="595">
        <v>1347.94</v>
      </c>
      <c r="U15" s="595">
        <v>2259725.3760000002</v>
      </c>
      <c r="V15" s="595">
        <v>13921.85</v>
      </c>
      <c r="W15" s="595">
        <v>243591.36799999999</v>
      </c>
      <c r="X15" s="595">
        <v>257513.21799999999</v>
      </c>
      <c r="Y15" s="595">
        <v>926628.52300000004</v>
      </c>
      <c r="Z15" s="595">
        <v>169321.59599999999</v>
      </c>
      <c r="AA15" s="595">
        <v>31058.403999999999</v>
      </c>
      <c r="AB15" s="595">
        <v>87865.001000000004</v>
      </c>
      <c r="AC15" s="595">
        <v>118923.405</v>
      </c>
      <c r="AD15" s="595">
        <v>100129.515</v>
      </c>
      <c r="AE15" s="595">
        <v>407.404</v>
      </c>
      <c r="AF15" s="595">
        <v>59555.078000000001</v>
      </c>
      <c r="AG15" s="595">
        <v>3892204.1150000002</v>
      </c>
      <c r="AH15" s="595">
        <v>430941.91200000001</v>
      </c>
      <c r="AI15" s="595">
        <v>170332.09899999999</v>
      </c>
      <c r="AJ15" s="595">
        <v>17893.64</v>
      </c>
      <c r="AK15" s="595">
        <v>619167.65099999995</v>
      </c>
      <c r="AL15" s="595">
        <v>314386.51</v>
      </c>
      <c r="AM15" s="595">
        <v>12297.2620000071</v>
      </c>
      <c r="AN15" s="595">
        <v>4838055.5379999997</v>
      </c>
      <c r="AO15" s="595">
        <v>123125.08500000001</v>
      </c>
    </row>
    <row r="16" spans="1:41" ht="10.95" customHeight="1">
      <c r="A16" s="594" t="s">
        <v>116</v>
      </c>
      <c r="B16" s="595">
        <v>277339.12199999997</v>
      </c>
      <c r="C16" s="595">
        <v>5569420.3289999999</v>
      </c>
      <c r="D16" s="595">
        <v>99328.792000000103</v>
      </c>
      <c r="E16" s="595">
        <v>4345.5460000000003</v>
      </c>
      <c r="F16" s="595">
        <v>5673094.6670000004</v>
      </c>
      <c r="G16" s="595">
        <v>5661002.5530000003</v>
      </c>
      <c r="H16" s="595">
        <v>46760.656999999999</v>
      </c>
      <c r="I16" s="595">
        <v>5707763.21</v>
      </c>
      <c r="J16" s="595">
        <v>242670.579</v>
      </c>
      <c r="K16" s="595">
        <v>123125.08500000001</v>
      </c>
      <c r="L16" s="595">
        <v>4439381.6900000004</v>
      </c>
      <c r="M16" s="595">
        <v>54821.493999999999</v>
      </c>
      <c r="N16" s="595">
        <v>483831.64199999999</v>
      </c>
      <c r="O16" s="595">
        <v>8564.9419999999991</v>
      </c>
      <c r="P16" s="595">
        <v>4986599.7680000002</v>
      </c>
      <c r="Q16" s="595">
        <v>1298284.55</v>
      </c>
      <c r="R16" s="595">
        <v>740215.03</v>
      </c>
      <c r="S16" s="595">
        <v>220768.87899999999</v>
      </c>
      <c r="T16" s="595">
        <v>1521.5</v>
      </c>
      <c r="U16" s="595">
        <v>2260789.9589999998</v>
      </c>
      <c r="V16" s="595">
        <v>1388.8630000000001</v>
      </c>
      <c r="W16" s="595">
        <v>254168.43900000001</v>
      </c>
      <c r="X16" s="595">
        <v>255557.302</v>
      </c>
      <c r="Y16" s="595">
        <v>967038.79599999997</v>
      </c>
      <c r="Z16" s="595">
        <v>167631.29300000001</v>
      </c>
      <c r="AA16" s="595">
        <v>26429.014999999999</v>
      </c>
      <c r="AB16" s="595">
        <v>88322.743000000002</v>
      </c>
      <c r="AC16" s="595">
        <v>114751.758</v>
      </c>
      <c r="AD16" s="595">
        <v>87103.209000000003</v>
      </c>
      <c r="AE16" s="595">
        <v>677.1</v>
      </c>
      <c r="AF16" s="595">
        <v>56025.296000000002</v>
      </c>
      <c r="AG16" s="595">
        <v>3909574.713</v>
      </c>
      <c r="AH16" s="595">
        <v>460311.32799999998</v>
      </c>
      <c r="AI16" s="595">
        <v>215306.94200000001</v>
      </c>
      <c r="AJ16" s="595">
        <v>44019.213000000003</v>
      </c>
      <c r="AK16" s="595">
        <v>719637.48300000001</v>
      </c>
      <c r="AL16" s="595">
        <v>355531.31699999998</v>
      </c>
      <c r="AM16" s="595">
        <v>-2456.6159999932001</v>
      </c>
      <c r="AN16" s="595">
        <v>4982286.8969999999</v>
      </c>
      <c r="AO16" s="595">
        <v>127437.95600000001</v>
      </c>
    </row>
    <row r="17" spans="1:41" ht="10.95" customHeight="1">
      <c r="A17" s="594" t="s">
        <v>117</v>
      </c>
      <c r="B17" s="595">
        <v>242670.579</v>
      </c>
      <c r="C17" s="595">
        <v>5482339.1260000002</v>
      </c>
      <c r="D17" s="595">
        <v>97675.944000000003</v>
      </c>
      <c r="E17" s="595">
        <v>3605.24</v>
      </c>
      <c r="F17" s="595">
        <v>5583620.3099999996</v>
      </c>
      <c r="G17" s="595">
        <v>5563888.9340000004</v>
      </c>
      <c r="H17" s="595">
        <v>33320.672999999799</v>
      </c>
      <c r="I17" s="595">
        <v>5597209.6069999998</v>
      </c>
      <c r="J17" s="595">
        <v>229081.28200000001</v>
      </c>
      <c r="K17" s="595">
        <v>127437.95600000001</v>
      </c>
      <c r="L17" s="595">
        <v>4336911.9680000003</v>
      </c>
      <c r="M17" s="595">
        <v>53901.675999999999</v>
      </c>
      <c r="N17" s="595">
        <v>418561.11700000003</v>
      </c>
      <c r="O17" s="595">
        <v>8128.5450000000001</v>
      </c>
      <c r="P17" s="595">
        <v>4817503.3059999999</v>
      </c>
      <c r="Q17" s="595">
        <v>1283175.01</v>
      </c>
      <c r="R17" s="595">
        <v>743926.00100000005</v>
      </c>
      <c r="S17" s="595">
        <v>219649.405</v>
      </c>
      <c r="T17" s="595">
        <v>1512.325</v>
      </c>
      <c r="U17" s="595">
        <v>2248262.7409999999</v>
      </c>
      <c r="V17" s="595">
        <v>407.85300000000001</v>
      </c>
      <c r="W17" s="595">
        <v>250535.872</v>
      </c>
      <c r="X17" s="595">
        <v>250943.72500000001</v>
      </c>
      <c r="Y17" s="595">
        <v>996092.37100000004</v>
      </c>
      <c r="Z17" s="595">
        <v>144341.71400000001</v>
      </c>
      <c r="AA17" s="595">
        <v>27793.237000000001</v>
      </c>
      <c r="AB17" s="595">
        <v>84564.801999999996</v>
      </c>
      <c r="AC17" s="595">
        <v>112358.039</v>
      </c>
      <c r="AD17" s="595">
        <v>78394.695999999996</v>
      </c>
      <c r="AE17" s="595">
        <v>8013.42</v>
      </c>
      <c r="AF17" s="595">
        <v>55386.216</v>
      </c>
      <c r="AG17" s="595">
        <v>3893792.9219999998</v>
      </c>
      <c r="AH17" s="595">
        <v>344619.42</v>
      </c>
      <c r="AI17" s="595">
        <v>186361.005</v>
      </c>
      <c r="AJ17" s="595">
        <v>72232.240000000005</v>
      </c>
      <c r="AK17" s="595">
        <v>603212.66500000004</v>
      </c>
      <c r="AL17" s="595">
        <v>321771.33199999999</v>
      </c>
      <c r="AM17" s="595">
        <v>-893.78999999132998</v>
      </c>
      <c r="AN17" s="595">
        <v>4817883.1289999997</v>
      </c>
      <c r="AO17" s="595">
        <v>127058.133</v>
      </c>
    </row>
    <row r="18" spans="1:41" ht="10.95" customHeight="1">
      <c r="A18" s="594" t="s">
        <v>118</v>
      </c>
      <c r="B18" s="595">
        <v>229081.28200000001</v>
      </c>
      <c r="C18" s="595">
        <v>5415314.7010000004</v>
      </c>
      <c r="D18" s="595">
        <v>131775.09599999999</v>
      </c>
      <c r="E18" s="595">
        <v>3824.3969999999999</v>
      </c>
      <c r="F18" s="595">
        <v>5550914.1940000001</v>
      </c>
      <c r="G18" s="595">
        <v>5520875.7029999997</v>
      </c>
      <c r="H18" s="595">
        <v>37086.798000000199</v>
      </c>
      <c r="I18" s="595">
        <v>5557962.5010000002</v>
      </c>
      <c r="J18" s="595">
        <v>222032.97500000001</v>
      </c>
      <c r="K18" s="595">
        <v>127058.133</v>
      </c>
      <c r="L18" s="595">
        <v>4327743.3540000003</v>
      </c>
      <c r="M18" s="595">
        <v>44771.080999999998</v>
      </c>
      <c r="N18" s="595">
        <v>385620.03600000002</v>
      </c>
      <c r="O18" s="595">
        <v>9094.3019999999997</v>
      </c>
      <c r="P18" s="595">
        <v>4767228.773</v>
      </c>
      <c r="Q18" s="595">
        <v>1290784.575</v>
      </c>
      <c r="R18" s="595">
        <v>766833.95799999998</v>
      </c>
      <c r="S18" s="595">
        <v>217953.09400000001</v>
      </c>
      <c r="T18" s="595">
        <v>1924.615</v>
      </c>
      <c r="U18" s="595">
        <v>2277496.2420000001</v>
      </c>
      <c r="V18" s="595">
        <v>298.69299999999998</v>
      </c>
      <c r="W18" s="595">
        <v>241712.36499999999</v>
      </c>
      <c r="X18" s="595">
        <v>242011.05799999999</v>
      </c>
      <c r="Y18" s="595">
        <v>967517.14599999995</v>
      </c>
      <c r="Z18" s="595">
        <v>121676.69</v>
      </c>
      <c r="AA18" s="595">
        <v>25340.477999999999</v>
      </c>
      <c r="AB18" s="595">
        <v>83500.97</v>
      </c>
      <c r="AC18" s="595">
        <v>108841.448</v>
      </c>
      <c r="AD18" s="595">
        <v>75944.092000000004</v>
      </c>
      <c r="AE18" s="595">
        <v>1229.97</v>
      </c>
      <c r="AF18" s="595">
        <v>63534.680999999997</v>
      </c>
      <c r="AG18" s="595">
        <v>3858251.327</v>
      </c>
      <c r="AH18" s="595">
        <v>295885.59999999998</v>
      </c>
      <c r="AI18" s="595">
        <v>223333.07500000001</v>
      </c>
      <c r="AJ18" s="595">
        <v>99192.34</v>
      </c>
      <c r="AK18" s="595">
        <v>618411.01500000001</v>
      </c>
      <c r="AL18" s="595">
        <v>288707.98499999999</v>
      </c>
      <c r="AM18" s="595">
        <v>443.98900000131198</v>
      </c>
      <c r="AN18" s="595">
        <v>4765814.3159999996</v>
      </c>
      <c r="AO18" s="595">
        <v>128472.59</v>
      </c>
    </row>
    <row r="19" spans="1:41" ht="10.95" customHeight="1">
      <c r="A19" s="594" t="s">
        <v>119</v>
      </c>
      <c r="B19" s="595">
        <v>222032.97500000001</v>
      </c>
      <c r="C19" s="595">
        <v>5242865.9019999998</v>
      </c>
      <c r="D19" s="595">
        <v>206113.64</v>
      </c>
      <c r="E19" s="595">
        <v>4678.5820000000003</v>
      </c>
      <c r="F19" s="595">
        <v>5453658.1239999998</v>
      </c>
      <c r="G19" s="595">
        <v>5407303.5630000001</v>
      </c>
      <c r="H19" s="595">
        <v>38078.416999999899</v>
      </c>
      <c r="I19" s="595">
        <v>5445381.9800000004</v>
      </c>
      <c r="J19" s="595">
        <v>230309.11900000001</v>
      </c>
      <c r="K19" s="595">
        <v>128472.59</v>
      </c>
      <c r="L19" s="595">
        <v>4216549.2309999997</v>
      </c>
      <c r="M19" s="595">
        <v>41393.858999999997</v>
      </c>
      <c r="N19" s="595">
        <v>353379.95</v>
      </c>
      <c r="O19" s="595">
        <v>12267.562</v>
      </c>
      <c r="P19" s="595">
        <v>4623590.602</v>
      </c>
      <c r="Q19" s="595">
        <v>1277468.2560000001</v>
      </c>
      <c r="R19" s="595">
        <v>741671.29399999999</v>
      </c>
      <c r="S19" s="595">
        <v>213125.05100000001</v>
      </c>
      <c r="T19" s="595">
        <v>1309.645</v>
      </c>
      <c r="U19" s="595">
        <v>2233574.2459999998</v>
      </c>
      <c r="V19" s="595">
        <v>1433.8610000000001</v>
      </c>
      <c r="W19" s="595">
        <v>214603.18599999999</v>
      </c>
      <c r="X19" s="595">
        <v>216037.04699999999</v>
      </c>
      <c r="Y19" s="595">
        <v>990289.23600000003</v>
      </c>
      <c r="Z19" s="595">
        <v>108634.367</v>
      </c>
      <c r="AA19" s="595">
        <v>21163.842000000001</v>
      </c>
      <c r="AB19" s="595">
        <v>86175.281000000003</v>
      </c>
      <c r="AC19" s="595">
        <v>107339.12300000001</v>
      </c>
      <c r="AD19" s="595">
        <v>70727.7</v>
      </c>
      <c r="AE19" s="595">
        <v>1946.98</v>
      </c>
      <c r="AF19" s="595">
        <v>58520.538999999997</v>
      </c>
      <c r="AG19" s="595">
        <v>3787069.2379999999</v>
      </c>
      <c r="AH19" s="595">
        <v>263802.88299999997</v>
      </c>
      <c r="AI19" s="595">
        <v>158106.834</v>
      </c>
      <c r="AJ19" s="595">
        <v>96592.812999999995</v>
      </c>
      <c r="AK19" s="595">
        <v>518502.53</v>
      </c>
      <c r="AL19" s="595">
        <v>296437.26500000001</v>
      </c>
      <c r="AM19" s="595">
        <v>29408.365999995702</v>
      </c>
      <c r="AN19" s="595">
        <v>4631417.3990000002</v>
      </c>
      <c r="AO19" s="595">
        <v>120645.79300000001</v>
      </c>
    </row>
    <row r="20" spans="1:41" ht="10.95" customHeight="1">
      <c r="A20" s="594" t="s">
        <v>120</v>
      </c>
      <c r="B20" s="595">
        <v>230309.11900000001</v>
      </c>
      <c r="C20" s="595">
        <v>5199792.585</v>
      </c>
      <c r="D20" s="595">
        <v>127114.344</v>
      </c>
      <c r="E20" s="595">
        <v>12163.212</v>
      </c>
      <c r="F20" s="595">
        <v>5339070.1409999998</v>
      </c>
      <c r="G20" s="595">
        <v>5284694.8739999998</v>
      </c>
      <c r="H20" s="595">
        <v>42122.417000000401</v>
      </c>
      <c r="I20" s="595">
        <v>5326817.2910000002</v>
      </c>
      <c r="J20" s="595">
        <v>242561.96900000001</v>
      </c>
      <c r="K20" s="595">
        <v>120645.79300000001</v>
      </c>
      <c r="L20" s="595">
        <v>4141845.2659999998</v>
      </c>
      <c r="M20" s="595">
        <v>40050.821000000004</v>
      </c>
      <c r="N20" s="595">
        <v>339603.82699999999</v>
      </c>
      <c r="O20" s="595">
        <v>17798.852999999999</v>
      </c>
      <c r="P20" s="595">
        <v>4539298.767</v>
      </c>
      <c r="Q20" s="601">
        <v>1243708.6459999999</v>
      </c>
      <c r="R20" s="601">
        <v>789790.74899999995</v>
      </c>
      <c r="S20" s="601">
        <v>209186.88399999999</v>
      </c>
      <c r="T20" s="601">
        <v>1294.3230000000001</v>
      </c>
      <c r="U20" s="595">
        <v>2243980.602</v>
      </c>
      <c r="V20" s="595">
        <v>2164.7379999999998</v>
      </c>
      <c r="W20" s="595">
        <v>216927.38200000001</v>
      </c>
      <c r="X20" s="601">
        <v>219092.12</v>
      </c>
      <c r="Y20" s="601">
        <v>940103.78900000104</v>
      </c>
      <c r="Z20" s="601">
        <v>106407.114</v>
      </c>
      <c r="AA20" s="595">
        <v>20857.531999999999</v>
      </c>
      <c r="AB20" s="595">
        <v>78033.59</v>
      </c>
      <c r="AC20" s="601">
        <v>98891.122000000003</v>
      </c>
      <c r="AD20" s="602">
        <v>56209.06</v>
      </c>
      <c r="AE20" s="601">
        <v>7725.86</v>
      </c>
      <c r="AF20" s="601">
        <v>58754.419000000002</v>
      </c>
      <c r="AG20" s="595">
        <v>3731164.0860000001</v>
      </c>
      <c r="AH20" s="595">
        <v>367222.49900000001</v>
      </c>
      <c r="AI20" s="595">
        <v>27404.805</v>
      </c>
      <c r="AJ20" s="595">
        <v>92587.497000000003</v>
      </c>
      <c r="AK20" s="595">
        <v>487214.80099999998</v>
      </c>
      <c r="AL20" s="595">
        <v>303859.22700000001</v>
      </c>
      <c r="AM20" s="595">
        <v>6501.6700000043402</v>
      </c>
      <c r="AN20" s="595">
        <v>4528739.784</v>
      </c>
      <c r="AO20" s="595">
        <v>131204.77600000001</v>
      </c>
    </row>
    <row r="21" spans="1:41" ht="10.95" customHeight="1">
      <c r="A21" s="594" t="s">
        <v>121</v>
      </c>
      <c r="B21" s="595">
        <v>242561.96900000001</v>
      </c>
      <c r="C21" s="595">
        <v>5117640.6040000003</v>
      </c>
      <c r="D21" s="595">
        <v>263577.19</v>
      </c>
      <c r="E21" s="595">
        <v>4578.4589999999998</v>
      </c>
      <c r="F21" s="595">
        <v>5385796.2529999996</v>
      </c>
      <c r="G21" s="595">
        <v>5367842.2029999997</v>
      </c>
      <c r="H21" s="595">
        <v>32048.976000000101</v>
      </c>
      <c r="I21" s="595">
        <v>5399891.1789999995</v>
      </c>
      <c r="J21" s="595">
        <v>228467.04300000001</v>
      </c>
      <c r="K21" s="595">
        <v>131204.77600000001</v>
      </c>
      <c r="L21" s="595">
        <v>4093100.5329999998</v>
      </c>
      <c r="M21" s="595">
        <v>37997.105000000003</v>
      </c>
      <c r="N21" s="595">
        <v>368646.95799999998</v>
      </c>
      <c r="O21" s="595">
        <v>2936.52</v>
      </c>
      <c r="P21" s="595">
        <v>4502681.1160000004</v>
      </c>
      <c r="Q21" s="595">
        <v>1220725.902</v>
      </c>
      <c r="R21" s="595">
        <v>801758.495</v>
      </c>
      <c r="S21" s="595">
        <v>207476.51300000001</v>
      </c>
      <c r="T21" s="595">
        <v>1338.98</v>
      </c>
      <c r="U21" s="595">
        <v>2231299.89</v>
      </c>
      <c r="V21" s="595">
        <v>582.94000000000005</v>
      </c>
      <c r="W21" s="595">
        <v>202440.503</v>
      </c>
      <c r="X21" s="595">
        <v>203023.443</v>
      </c>
      <c r="Y21" s="595">
        <v>938434.41600000102</v>
      </c>
      <c r="Z21" s="595">
        <v>100572.548</v>
      </c>
      <c r="AA21" s="595">
        <v>23051.018</v>
      </c>
      <c r="AB21" s="595">
        <v>73878.832999999999</v>
      </c>
      <c r="AC21" s="595">
        <v>96929.850999999995</v>
      </c>
      <c r="AD21" s="602">
        <v>49292.786</v>
      </c>
      <c r="AE21" s="595">
        <v>28390.78</v>
      </c>
      <c r="AF21" s="595">
        <v>63031.25</v>
      </c>
      <c r="AG21" s="595">
        <v>3710974.9640000002</v>
      </c>
      <c r="AH21" s="595">
        <v>335620.22600000002</v>
      </c>
      <c r="AI21" s="595">
        <v>34725.247000000003</v>
      </c>
      <c r="AJ21" s="595">
        <v>98846.184999999998</v>
      </c>
      <c r="AK21" s="595">
        <v>469191.658</v>
      </c>
      <c r="AL21" s="595">
        <v>332794.36</v>
      </c>
      <c r="AM21" s="595">
        <v>-413.98499999872001</v>
      </c>
      <c r="AN21" s="595">
        <v>4512546.9970000004</v>
      </c>
      <c r="AO21" s="595">
        <v>121338.895</v>
      </c>
    </row>
    <row r="22" spans="1:41" ht="10.95" customHeight="1">
      <c r="A22" s="594" t="s">
        <v>122</v>
      </c>
      <c r="B22" s="595">
        <v>228467.04300000001</v>
      </c>
      <c r="C22" s="595">
        <v>5058141.1500000004</v>
      </c>
      <c r="D22" s="595">
        <v>99971.09</v>
      </c>
      <c r="E22" s="595">
        <v>6201.3429999999998</v>
      </c>
      <c r="F22" s="595">
        <v>5164313.5829999996</v>
      </c>
      <c r="G22" s="595">
        <v>5141971.8269999996</v>
      </c>
      <c r="H22" s="595">
        <v>30379.8100000001</v>
      </c>
      <c r="I22" s="595">
        <v>5172351.6370000001</v>
      </c>
      <c r="J22" s="595">
        <v>220428.989</v>
      </c>
      <c r="K22" s="595">
        <v>121338.895</v>
      </c>
      <c r="L22" s="595">
        <v>4002008.466</v>
      </c>
      <c r="M22" s="595">
        <v>38602.714</v>
      </c>
      <c r="N22" s="595">
        <v>351367.2</v>
      </c>
      <c r="O22" s="595">
        <v>2447.0259999999998</v>
      </c>
      <c r="P22" s="595">
        <v>4394425.4060000004</v>
      </c>
      <c r="Q22" s="595">
        <v>1201795.558</v>
      </c>
      <c r="R22" s="595">
        <v>782374.09699999995</v>
      </c>
      <c r="S22" s="595">
        <v>208702.02299999999</v>
      </c>
      <c r="T22" s="595">
        <v>1503.047</v>
      </c>
      <c r="U22" s="595">
        <v>2194374.7250000001</v>
      </c>
      <c r="V22" s="595">
        <v>352.06900000000002</v>
      </c>
      <c r="W22" s="595">
        <v>212405.98</v>
      </c>
      <c r="X22" s="595">
        <v>212758.049</v>
      </c>
      <c r="Y22" s="595">
        <v>954661.87899999996</v>
      </c>
      <c r="Z22" s="595">
        <v>99153.903000000093</v>
      </c>
      <c r="AA22" s="595">
        <v>22411.235000000001</v>
      </c>
      <c r="AB22" s="595">
        <v>64753.648999999998</v>
      </c>
      <c r="AC22" s="595">
        <v>87164.884000000005</v>
      </c>
      <c r="AD22" s="602">
        <v>46048.574999999997</v>
      </c>
      <c r="AE22" s="595">
        <v>35414.58</v>
      </c>
      <c r="AF22" s="595">
        <v>62934.374000000003</v>
      </c>
      <c r="AG22" s="595">
        <v>3692510.969</v>
      </c>
      <c r="AH22" s="595">
        <v>235327.19899999999</v>
      </c>
      <c r="AI22" s="595">
        <v>13432.509</v>
      </c>
      <c r="AJ22" s="595">
        <v>125438.51300000001</v>
      </c>
      <c r="AK22" s="595">
        <v>374198.22100000002</v>
      </c>
      <c r="AL22" s="595">
        <v>303137.14799999999</v>
      </c>
      <c r="AM22" s="595">
        <v>6284.4120000026996</v>
      </c>
      <c r="AN22" s="595">
        <v>4376130.75</v>
      </c>
      <c r="AO22" s="595">
        <v>139633.55100000001</v>
      </c>
    </row>
    <row r="23" spans="1:41" ht="10.95" customHeight="1">
      <c r="A23" s="594" t="s">
        <v>123</v>
      </c>
      <c r="B23" s="595">
        <v>220428.989</v>
      </c>
      <c r="C23" s="595">
        <v>4929751.2810000004</v>
      </c>
      <c r="D23" s="595">
        <v>48722.550999999999</v>
      </c>
      <c r="E23" s="595">
        <v>5468.7790000000005</v>
      </c>
      <c r="F23" s="595">
        <v>4983942.6109999996</v>
      </c>
      <c r="G23" s="595">
        <v>4953224.9740000004</v>
      </c>
      <c r="H23" s="595">
        <v>38045.518999999898</v>
      </c>
      <c r="I23" s="595">
        <v>4991270.4929999998</v>
      </c>
      <c r="J23" s="595">
        <v>213101.10699999999</v>
      </c>
      <c r="K23" s="595">
        <v>139633.55100000001</v>
      </c>
      <c r="L23" s="595">
        <v>3909590.5460000001</v>
      </c>
      <c r="M23" s="595">
        <v>36886.394</v>
      </c>
      <c r="N23" s="595">
        <v>321268.185</v>
      </c>
      <c r="O23" s="595">
        <v>2939.1979999999999</v>
      </c>
      <c r="P23" s="595">
        <v>4270684.3229999999</v>
      </c>
      <c r="Q23" s="595">
        <v>1189840.061</v>
      </c>
      <c r="R23" s="595">
        <v>773399.39</v>
      </c>
      <c r="S23" s="595">
        <v>201755.46</v>
      </c>
      <c r="T23" s="595">
        <v>1112.69</v>
      </c>
      <c r="U23" s="595">
        <v>2166107.6009999998</v>
      </c>
      <c r="V23" s="595">
        <v>346.41</v>
      </c>
      <c r="W23" s="595">
        <v>199489.81</v>
      </c>
      <c r="X23" s="595">
        <v>199836.22</v>
      </c>
      <c r="Y23" s="595">
        <v>945723.02099999995</v>
      </c>
      <c r="Z23" s="595">
        <v>100674.30899999999</v>
      </c>
      <c r="AA23" s="595">
        <v>18335.62</v>
      </c>
      <c r="AB23" s="595">
        <v>70328.702000000005</v>
      </c>
      <c r="AC23" s="595">
        <v>88664.322</v>
      </c>
      <c r="AD23" s="602">
        <v>49348.728999999999</v>
      </c>
      <c r="AE23" s="595">
        <v>28076.41</v>
      </c>
      <c r="AF23" s="595">
        <v>64109.069000000003</v>
      </c>
      <c r="AG23" s="595">
        <v>3642539.6809999999</v>
      </c>
      <c r="AH23" s="595">
        <v>163622.421</v>
      </c>
      <c r="AI23" s="595">
        <v>18653.646000000001</v>
      </c>
      <c r="AJ23" s="595">
        <v>132805.56400000001</v>
      </c>
      <c r="AK23" s="595">
        <v>315081.63099999999</v>
      </c>
      <c r="AL23" s="595">
        <v>297768.19699999999</v>
      </c>
      <c r="AM23" s="595">
        <v>5810.5609999970302</v>
      </c>
      <c r="AN23" s="595">
        <v>4261200.07</v>
      </c>
      <c r="AO23" s="595">
        <v>149117.804</v>
      </c>
    </row>
    <row r="24" spans="1:41" ht="10.95" customHeight="1">
      <c r="A24" s="594" t="s">
        <v>124</v>
      </c>
      <c r="B24" s="595">
        <v>213101.10699999999</v>
      </c>
      <c r="C24" s="595">
        <v>4923104.7829999998</v>
      </c>
      <c r="D24" s="595">
        <v>33214.74</v>
      </c>
      <c r="E24" s="595">
        <v>5885.6009999999997</v>
      </c>
      <c r="F24" s="595">
        <v>4962205.1239999998</v>
      </c>
      <c r="G24" s="595">
        <v>4938779.6500000004</v>
      </c>
      <c r="H24" s="595">
        <v>25994.434000000201</v>
      </c>
      <c r="I24" s="595">
        <v>4964774.0839999998</v>
      </c>
      <c r="J24" s="595">
        <v>210532.147</v>
      </c>
      <c r="K24" s="595">
        <v>149117.804</v>
      </c>
      <c r="L24" s="595">
        <v>3895894.01</v>
      </c>
      <c r="M24" s="595">
        <v>34206.730000000003</v>
      </c>
      <c r="N24" s="595">
        <v>323287.56800000003</v>
      </c>
      <c r="O24" s="595">
        <v>2379.377</v>
      </c>
      <c r="P24" s="595">
        <v>4255767.6849999996</v>
      </c>
      <c r="Q24" s="601">
        <v>1148937.0319999999</v>
      </c>
      <c r="R24" s="601">
        <v>758294.03599999996</v>
      </c>
      <c r="S24" s="601">
        <v>196112.84899999999</v>
      </c>
      <c r="T24" s="601">
        <v>860.20699999999999</v>
      </c>
      <c r="U24" s="595">
        <v>2104204.1239999998</v>
      </c>
      <c r="V24" s="595">
        <v>416.911</v>
      </c>
      <c r="W24" s="595">
        <v>253630.19899999999</v>
      </c>
      <c r="X24" s="601">
        <v>254047.11</v>
      </c>
      <c r="Y24" s="601">
        <v>904931.00699999998</v>
      </c>
      <c r="Z24" s="601">
        <v>112999.804</v>
      </c>
      <c r="AA24" s="595">
        <v>18041.516</v>
      </c>
      <c r="AB24" s="595">
        <v>74709.837</v>
      </c>
      <c r="AC24" s="601">
        <v>92751.353000000003</v>
      </c>
      <c r="AD24" s="602">
        <v>56431.362999999998</v>
      </c>
      <c r="AE24" s="601">
        <v>24019.79</v>
      </c>
      <c r="AF24" s="601">
        <v>60751.968000000001</v>
      </c>
      <c r="AG24" s="595">
        <v>3610136.5189999999</v>
      </c>
      <c r="AH24" s="595">
        <v>170248.55600000001</v>
      </c>
      <c r="AI24" s="595">
        <v>28164.851999999999</v>
      </c>
      <c r="AJ24" s="595">
        <v>130706.931</v>
      </c>
      <c r="AK24" s="595">
        <v>329120.33899999998</v>
      </c>
      <c r="AL24" s="595">
        <v>306225.82699999999</v>
      </c>
      <c r="AM24" s="595">
        <v>24036.738999996101</v>
      </c>
      <c r="AN24" s="595">
        <v>4269519.4239999996</v>
      </c>
      <c r="AO24" s="595">
        <v>135366.065</v>
      </c>
    </row>
    <row r="25" spans="1:41" ht="10.95" customHeight="1">
      <c r="A25" s="594" t="s">
        <v>125</v>
      </c>
      <c r="B25" s="595">
        <v>210532.147</v>
      </c>
      <c r="C25" s="595">
        <v>4901167.5240000002</v>
      </c>
      <c r="D25" s="595">
        <v>19440.635999999999</v>
      </c>
      <c r="E25" s="595">
        <v>5404.5630000000001</v>
      </c>
      <c r="F25" s="595">
        <v>4926012.7230000002</v>
      </c>
      <c r="G25" s="595">
        <v>4903608.1710000001</v>
      </c>
      <c r="H25" s="595">
        <v>29574.413999999098</v>
      </c>
      <c r="I25" s="595">
        <v>4933182.585</v>
      </c>
      <c r="J25" s="595">
        <v>203362.285</v>
      </c>
      <c r="K25" s="595">
        <v>135366.065</v>
      </c>
      <c r="L25" s="595">
        <v>3855243.8590000002</v>
      </c>
      <c r="M25" s="595">
        <v>34333.506000000001</v>
      </c>
      <c r="N25" s="595">
        <v>299192.13699999999</v>
      </c>
      <c r="O25" s="595">
        <v>3036.8330000000001</v>
      </c>
      <c r="P25" s="595">
        <v>4191806.335</v>
      </c>
      <c r="Q25" s="595">
        <v>1149490.804</v>
      </c>
      <c r="R25" s="595">
        <v>793106.23100000003</v>
      </c>
      <c r="S25" s="595">
        <v>172395.726</v>
      </c>
      <c r="T25" s="595">
        <v>775.44100000000003</v>
      </c>
      <c r="U25" s="595">
        <v>2115768.202</v>
      </c>
      <c r="V25" s="595">
        <v>473.41300000000001</v>
      </c>
      <c r="W25" s="595">
        <v>209536.61199999999</v>
      </c>
      <c r="X25" s="595">
        <v>210010.02499999999</v>
      </c>
      <c r="Y25" s="595">
        <v>891617.14800000004</v>
      </c>
      <c r="Z25" s="595">
        <v>114443.715</v>
      </c>
      <c r="AA25" s="595">
        <v>19644.273000000001</v>
      </c>
      <c r="AB25" s="595">
        <v>83218.646999999997</v>
      </c>
      <c r="AC25" s="595">
        <v>102862.92</v>
      </c>
      <c r="AD25" s="602">
        <v>48824.055</v>
      </c>
      <c r="AE25" s="595">
        <v>17889.404999999999</v>
      </c>
      <c r="AF25" s="595">
        <v>61227.016000000003</v>
      </c>
      <c r="AG25" s="595">
        <v>3562642.486</v>
      </c>
      <c r="AH25" s="595">
        <v>144217.25099999999</v>
      </c>
      <c r="AI25" s="595">
        <v>26131.57</v>
      </c>
      <c r="AJ25" s="595">
        <v>135622.715</v>
      </c>
      <c r="AK25" s="595">
        <v>305971.53600000002</v>
      </c>
      <c r="AL25" s="595">
        <v>318551.98700000002</v>
      </c>
      <c r="AM25" s="595">
        <v>4193.4159999971598</v>
      </c>
      <c r="AN25" s="595">
        <v>4191359.4249999998</v>
      </c>
      <c r="AO25" s="595">
        <v>135812.97500000001</v>
      </c>
    </row>
    <row r="26" spans="1:41" ht="10.95" customHeight="1">
      <c r="A26" s="594" t="s">
        <v>126</v>
      </c>
      <c r="B26" s="595">
        <v>203362.285</v>
      </c>
      <c r="C26" s="595">
        <v>5205256.7769999998</v>
      </c>
      <c r="D26" s="595">
        <v>19061.808000000001</v>
      </c>
      <c r="E26" s="595">
        <v>8584.2209999999995</v>
      </c>
      <c r="F26" s="595">
        <v>5232902.8059999999</v>
      </c>
      <c r="G26" s="595">
        <v>5219560.5619999999</v>
      </c>
      <c r="H26" s="595">
        <v>28108.9340000007</v>
      </c>
      <c r="I26" s="595">
        <v>5247669.4960000003</v>
      </c>
      <c r="J26" s="595">
        <v>188595.595</v>
      </c>
      <c r="K26" s="595">
        <v>135812.97500000001</v>
      </c>
      <c r="L26" s="595">
        <v>4028581.997</v>
      </c>
      <c r="M26" s="595">
        <v>35093.659</v>
      </c>
      <c r="N26" s="595">
        <v>315302.89199999999</v>
      </c>
      <c r="O26" s="595">
        <v>2950.864</v>
      </c>
      <c r="P26" s="595">
        <v>4381929.4119999995</v>
      </c>
      <c r="Q26" s="595">
        <v>1159027.638</v>
      </c>
      <c r="R26" s="595">
        <v>860276.23899999994</v>
      </c>
      <c r="S26" s="595">
        <v>169963.93599999999</v>
      </c>
      <c r="T26" s="595">
        <v>885.81200000000001</v>
      </c>
      <c r="U26" s="595">
        <v>2190153.625</v>
      </c>
      <c r="V26" s="595">
        <v>558.21500000000003</v>
      </c>
      <c r="W26" s="595">
        <v>224423.88</v>
      </c>
      <c r="X26" s="595">
        <v>224982.095</v>
      </c>
      <c r="Y26" s="595">
        <v>918062.38899999997</v>
      </c>
      <c r="Z26" s="595">
        <v>133700.21100000001</v>
      </c>
      <c r="AA26" s="595">
        <v>22042.465</v>
      </c>
      <c r="AB26" s="595">
        <v>81919.457999999999</v>
      </c>
      <c r="AC26" s="595">
        <v>103961.923</v>
      </c>
      <c r="AD26" s="602">
        <v>53165.853999999999</v>
      </c>
      <c r="AE26" s="595">
        <v>28625.960999999999</v>
      </c>
      <c r="AF26" s="595">
        <v>69662.289000000004</v>
      </c>
      <c r="AG26" s="595">
        <v>3722314.3470000001</v>
      </c>
      <c r="AH26" s="595">
        <v>171671.30300000001</v>
      </c>
      <c r="AI26" s="595">
        <v>23305.758000000002</v>
      </c>
      <c r="AJ26" s="595">
        <v>137431.86499999999</v>
      </c>
      <c r="AK26" s="595">
        <v>332408.92599999998</v>
      </c>
      <c r="AL26" s="595">
        <v>322155.57400000002</v>
      </c>
      <c r="AM26" s="595">
        <v>8745.4289999937901</v>
      </c>
      <c r="AN26" s="595">
        <v>4385624.2759999996</v>
      </c>
      <c r="AO26" s="595">
        <v>132118.111</v>
      </c>
    </row>
    <row r="27" spans="1:41" ht="10.95" customHeight="1">
      <c r="A27" s="594" t="s">
        <v>127</v>
      </c>
      <c r="B27" s="595">
        <v>188595.595</v>
      </c>
      <c r="C27" s="595">
        <v>4987632.5159999998</v>
      </c>
      <c r="D27" s="595">
        <v>9994.2289999999994</v>
      </c>
      <c r="E27" s="595">
        <v>7523.8379999999997</v>
      </c>
      <c r="F27" s="595">
        <v>5005150.5829999996</v>
      </c>
      <c r="G27" s="595">
        <v>4976130.8269999996</v>
      </c>
      <c r="H27" s="595">
        <v>23536.176999999501</v>
      </c>
      <c r="I27" s="595">
        <v>4999667.0039999997</v>
      </c>
      <c r="J27" s="595">
        <v>194079.174</v>
      </c>
      <c r="K27" s="595">
        <v>132118.111</v>
      </c>
      <c r="L27" s="595">
        <v>3901886.6850000001</v>
      </c>
      <c r="M27" s="595">
        <v>31846.046999999999</v>
      </c>
      <c r="N27" s="595">
        <v>321864.28100000002</v>
      </c>
      <c r="O27" s="595">
        <v>1624.681</v>
      </c>
      <c r="P27" s="595">
        <v>4257221.6940000001</v>
      </c>
      <c r="Q27" s="602">
        <v>1105934.7379999999</v>
      </c>
      <c r="R27" s="602">
        <v>910356.25300000003</v>
      </c>
      <c r="S27" s="602">
        <v>167314.008</v>
      </c>
      <c r="T27" s="602">
        <v>4662.17</v>
      </c>
      <c r="U27" s="595">
        <v>2188267.1690000002</v>
      </c>
      <c r="V27" s="595">
        <v>397.197</v>
      </c>
      <c r="W27" s="595">
        <v>186947.462</v>
      </c>
      <c r="X27" s="602">
        <v>187344.65900000001</v>
      </c>
      <c r="Y27" s="602">
        <v>896090.39300000004</v>
      </c>
      <c r="Z27" s="602">
        <v>121390.63</v>
      </c>
      <c r="AA27" s="595">
        <v>19198.394</v>
      </c>
      <c r="AB27" s="602">
        <v>78605.62</v>
      </c>
      <c r="AC27" s="602">
        <v>97804.013999999996</v>
      </c>
      <c r="AD27" s="602">
        <v>53914.89</v>
      </c>
      <c r="AE27" s="602">
        <v>16779.061000000002</v>
      </c>
      <c r="AF27" s="602">
        <v>58875.773000000001</v>
      </c>
      <c r="AG27" s="595">
        <v>3620466.5890000002</v>
      </c>
      <c r="AH27" s="595">
        <v>165292.23000000001</v>
      </c>
      <c r="AI27" s="595">
        <v>17758.488000000001</v>
      </c>
      <c r="AJ27" s="595">
        <v>112755.28</v>
      </c>
      <c r="AK27" s="595">
        <v>295805.99800000002</v>
      </c>
      <c r="AL27" s="595">
        <v>323752.27600000001</v>
      </c>
      <c r="AM27" s="595">
        <v>18531.733000000699</v>
      </c>
      <c r="AN27" s="595">
        <v>4258556.5959999999</v>
      </c>
      <c r="AO27" s="595">
        <v>130783.209</v>
      </c>
    </row>
    <row r="28" spans="1:41" ht="10.95" customHeight="1">
      <c r="A28" s="594" t="s">
        <v>128</v>
      </c>
      <c r="B28" s="595">
        <v>194079.174</v>
      </c>
      <c r="C28" s="595">
        <v>5077697.25</v>
      </c>
      <c r="D28" s="595">
        <v>4157.2569999999996</v>
      </c>
      <c r="E28" s="595">
        <v>12405.778</v>
      </c>
      <c r="F28" s="595">
        <v>5094260.2850000001</v>
      </c>
      <c r="G28" s="595">
        <v>5057857.5609999998</v>
      </c>
      <c r="H28" s="595">
        <v>25757.1310000003</v>
      </c>
      <c r="I28" s="595">
        <v>5083614.6919999998</v>
      </c>
      <c r="J28" s="595">
        <v>204724.76699999999</v>
      </c>
      <c r="K28" s="595">
        <v>130783.209</v>
      </c>
      <c r="L28" s="595">
        <v>3944828.1359999999</v>
      </c>
      <c r="M28" s="595">
        <v>33377.127</v>
      </c>
      <c r="N28" s="595">
        <v>324906.84100000001</v>
      </c>
      <c r="O28" s="595">
        <v>3858.3240000000001</v>
      </c>
      <c r="P28" s="595">
        <v>4306970.4280000003</v>
      </c>
      <c r="Q28" s="601">
        <v>1094989.108</v>
      </c>
      <c r="R28" s="601">
        <v>905227.08299999998</v>
      </c>
      <c r="S28" s="601">
        <v>165242.10699999999</v>
      </c>
      <c r="T28" s="601">
        <v>2950.875</v>
      </c>
      <c r="U28" s="595">
        <v>2168409.173</v>
      </c>
      <c r="V28" s="595">
        <v>279.81900000000002</v>
      </c>
      <c r="W28" s="595">
        <v>188606.14300000001</v>
      </c>
      <c r="X28" s="601">
        <v>188885.962</v>
      </c>
      <c r="Y28" s="601">
        <v>903182.33200000005</v>
      </c>
      <c r="Z28" s="601">
        <v>141537.66899999999</v>
      </c>
      <c r="AA28" s="595">
        <v>21129.513999999999</v>
      </c>
      <c r="AB28" s="595">
        <v>79504.857000000004</v>
      </c>
      <c r="AC28" s="601">
        <v>100634.371</v>
      </c>
      <c r="AD28" s="602">
        <v>53101.478000000003</v>
      </c>
      <c r="AE28" s="601">
        <v>29791.047999999999</v>
      </c>
      <c r="AF28" s="601">
        <v>70174.907999999996</v>
      </c>
      <c r="AG28" s="595">
        <v>3655716.9410000001</v>
      </c>
      <c r="AH28" s="595">
        <v>164632.40299999999</v>
      </c>
      <c r="AI28" s="595">
        <v>14782.518</v>
      </c>
      <c r="AJ28" s="595">
        <v>149845.14199999999</v>
      </c>
      <c r="AK28" s="595">
        <v>329260.06300000002</v>
      </c>
      <c r="AL28" s="595">
        <v>309909.87699999998</v>
      </c>
      <c r="AM28" s="595">
        <v>21338.996999998799</v>
      </c>
      <c r="AN28" s="595">
        <v>4316225.8779999996</v>
      </c>
      <c r="AO28" s="595">
        <v>121527.75900000001</v>
      </c>
    </row>
    <row r="29" spans="1:41" ht="10.95" customHeight="1">
      <c r="A29" s="594" t="s">
        <v>129</v>
      </c>
      <c r="B29" s="595">
        <v>204724.76699999999</v>
      </c>
      <c r="C29" s="595">
        <v>3049660.611</v>
      </c>
      <c r="D29" s="595">
        <v>10181.501</v>
      </c>
      <c r="E29" s="595">
        <v>8092.5910000000003</v>
      </c>
      <c r="F29" s="595">
        <v>3067934.7030000002</v>
      </c>
      <c r="G29" s="595">
        <v>3086363.0120000001</v>
      </c>
      <c r="H29" s="595">
        <v>15558.1500000004</v>
      </c>
      <c r="I29" s="595">
        <v>3101921.162</v>
      </c>
      <c r="J29" s="595">
        <v>170738.30799999999</v>
      </c>
      <c r="K29" s="595">
        <v>121527.75900000001</v>
      </c>
      <c r="L29" s="595">
        <v>2398635.531</v>
      </c>
      <c r="M29" s="595">
        <v>21603.017</v>
      </c>
      <c r="N29" s="595">
        <v>176243.48</v>
      </c>
      <c r="O29" s="595">
        <v>3451.4639999999999</v>
      </c>
      <c r="P29" s="595">
        <v>2599933.4920000001</v>
      </c>
      <c r="Q29" s="595">
        <v>626744.74899999995</v>
      </c>
      <c r="R29" s="595">
        <v>547924.97100000002</v>
      </c>
      <c r="S29" s="595">
        <v>97477.706999999995</v>
      </c>
      <c r="T29" s="595">
        <v>1448.7619999999999</v>
      </c>
      <c r="U29" s="595">
        <v>1273596.189</v>
      </c>
      <c r="V29" s="595">
        <v>333.85</v>
      </c>
      <c r="W29" s="595">
        <v>101825.102</v>
      </c>
      <c r="X29" s="595">
        <v>102158.952</v>
      </c>
      <c r="Y29" s="595">
        <v>549374.71799999999</v>
      </c>
      <c r="Z29" s="595">
        <v>105817.298</v>
      </c>
      <c r="AA29" s="595">
        <v>13115.885</v>
      </c>
      <c r="AB29" s="595">
        <v>38707.972999999998</v>
      </c>
      <c r="AC29" s="595">
        <v>51823.858</v>
      </c>
      <c r="AD29" s="595">
        <v>30881.913</v>
      </c>
      <c r="AE29" s="595">
        <v>34283.841999999997</v>
      </c>
      <c r="AF29" s="595">
        <v>53481.353000000003</v>
      </c>
      <c r="AG29" s="595">
        <v>2201418.1230000001</v>
      </c>
      <c r="AH29" s="595">
        <v>101853.266</v>
      </c>
      <c r="AI29" s="595">
        <v>7376.027</v>
      </c>
      <c r="AJ29" s="595">
        <v>93403.067999999999</v>
      </c>
      <c r="AK29" s="595">
        <v>202632.361</v>
      </c>
      <c r="AL29" s="595">
        <v>170593.44099999999</v>
      </c>
      <c r="AM29" s="595">
        <v>15401.0959999972</v>
      </c>
      <c r="AN29" s="595">
        <v>2590045.0210000002</v>
      </c>
      <c r="AO29" s="595">
        <v>131416.23000000001</v>
      </c>
    </row>
    <row r="31" spans="1:41" ht="10.95" customHeight="1">
      <c r="A31" s="736" t="s">
        <v>146</v>
      </c>
      <c r="B31" s="736"/>
      <c r="C31" s="736"/>
      <c r="D31" s="736"/>
      <c r="E31" s="736"/>
      <c r="F31" s="736"/>
      <c r="G31" s="736"/>
      <c r="H31" s="736"/>
      <c r="I31" s="736"/>
      <c r="J31" s="736"/>
      <c r="K31" s="736"/>
      <c r="L31" s="736"/>
      <c r="M31" s="736"/>
      <c r="N31" s="736"/>
      <c r="O31" s="736"/>
      <c r="P31" s="736"/>
      <c r="Q31" s="736"/>
      <c r="R31" s="736"/>
      <c r="S31" s="736"/>
      <c r="T31" s="736"/>
      <c r="U31" s="736"/>
      <c r="V31" s="736"/>
      <c r="W31" s="736"/>
      <c r="X31" s="736"/>
      <c r="Y31" s="736"/>
      <c r="Z31" s="736"/>
      <c r="AA31" s="736"/>
      <c r="AB31" s="736"/>
      <c r="AC31" s="736"/>
      <c r="AD31" s="736"/>
      <c r="AE31" s="736"/>
      <c r="AF31" s="736"/>
      <c r="AG31" s="736"/>
      <c r="AH31" s="736"/>
      <c r="AI31" s="736"/>
      <c r="AJ31" s="736"/>
      <c r="AK31" s="736"/>
      <c r="AL31" s="736"/>
      <c r="AM31" s="736"/>
      <c r="AN31" s="736"/>
      <c r="AO31" s="736"/>
    </row>
    <row r="32" spans="1:41" ht="10.95" customHeight="1">
      <c r="A32" s="736" t="s">
        <v>1538</v>
      </c>
      <c r="B32" s="736"/>
      <c r="C32" s="736"/>
      <c r="D32" s="736"/>
      <c r="E32" s="736"/>
      <c r="F32" s="736"/>
      <c r="G32" s="736"/>
      <c r="H32" s="736"/>
      <c r="I32" s="736"/>
      <c r="J32" s="736"/>
      <c r="K32" s="736"/>
      <c r="L32" s="736"/>
      <c r="M32" s="736"/>
      <c r="N32" s="736"/>
      <c r="O32" s="736"/>
      <c r="P32" s="736"/>
      <c r="Q32" s="736"/>
      <c r="R32" s="736"/>
      <c r="S32" s="736"/>
      <c r="T32" s="736"/>
      <c r="U32" s="736"/>
      <c r="V32" s="736"/>
      <c r="W32" s="736"/>
      <c r="X32" s="736"/>
      <c r="Y32" s="736"/>
      <c r="Z32" s="736"/>
      <c r="AA32" s="736"/>
      <c r="AB32" s="736"/>
      <c r="AC32" s="736"/>
      <c r="AD32" s="736"/>
      <c r="AE32" s="736"/>
      <c r="AF32" s="736"/>
      <c r="AG32" s="736"/>
      <c r="AH32" s="736"/>
      <c r="AI32" s="736"/>
      <c r="AJ32" s="736"/>
      <c r="AK32" s="736"/>
      <c r="AL32" s="736"/>
      <c r="AM32" s="736"/>
      <c r="AN32" s="736"/>
      <c r="AO32" s="736"/>
    </row>
    <row r="33" spans="1:41" ht="10.95" customHeight="1">
      <c r="A33" s="736" t="s">
        <v>1539</v>
      </c>
      <c r="B33" s="736"/>
      <c r="C33" s="736"/>
      <c r="D33" s="736"/>
      <c r="E33" s="736"/>
      <c r="F33" s="736"/>
      <c r="G33" s="736"/>
      <c r="H33" s="736"/>
      <c r="I33" s="736"/>
      <c r="J33" s="736"/>
      <c r="K33" s="736"/>
      <c r="L33" s="736"/>
      <c r="M33" s="736"/>
      <c r="N33" s="736"/>
      <c r="O33" s="736"/>
      <c r="P33" s="736"/>
      <c r="Q33" s="736"/>
      <c r="R33" s="736"/>
      <c r="S33" s="736"/>
      <c r="T33" s="736"/>
      <c r="U33" s="736"/>
      <c r="V33" s="736"/>
      <c r="W33" s="736"/>
      <c r="X33" s="736"/>
      <c r="Y33" s="736"/>
      <c r="Z33" s="736"/>
      <c r="AA33" s="736"/>
      <c r="AB33" s="736"/>
      <c r="AC33" s="736"/>
      <c r="AD33" s="736"/>
      <c r="AE33" s="736"/>
      <c r="AF33" s="736"/>
      <c r="AG33" s="736"/>
      <c r="AH33" s="736"/>
      <c r="AI33" s="736"/>
      <c r="AJ33" s="736"/>
      <c r="AK33" s="736"/>
      <c r="AL33" s="736"/>
      <c r="AM33" s="736"/>
      <c r="AN33" s="736"/>
      <c r="AO33" s="736"/>
    </row>
    <row r="34" spans="1:41" ht="10.95" customHeight="1">
      <c r="A34" s="736" t="s">
        <v>1540</v>
      </c>
      <c r="B34" s="736"/>
      <c r="C34" s="736"/>
      <c r="D34" s="736"/>
      <c r="E34" s="736"/>
      <c r="F34" s="736"/>
      <c r="G34" s="736"/>
      <c r="H34" s="736"/>
      <c r="I34" s="736"/>
      <c r="J34" s="736"/>
      <c r="K34" s="736"/>
      <c r="L34" s="736"/>
      <c r="M34" s="736"/>
      <c r="N34" s="736"/>
      <c r="O34" s="736"/>
      <c r="P34" s="736"/>
      <c r="Q34" s="736"/>
      <c r="R34" s="736"/>
      <c r="S34" s="736"/>
      <c r="T34" s="736"/>
      <c r="U34" s="736"/>
      <c r="V34" s="736"/>
      <c r="W34" s="736"/>
      <c r="X34" s="736"/>
      <c r="Y34" s="736"/>
      <c r="Z34" s="736"/>
      <c r="AA34" s="736"/>
      <c r="AB34" s="736"/>
      <c r="AC34" s="736"/>
      <c r="AD34" s="736"/>
      <c r="AE34" s="736"/>
      <c r="AF34" s="736"/>
      <c r="AG34" s="736"/>
      <c r="AH34" s="736"/>
      <c r="AI34" s="736"/>
      <c r="AJ34" s="736"/>
      <c r="AK34" s="736"/>
      <c r="AL34" s="736"/>
      <c r="AM34" s="736"/>
      <c r="AN34" s="736"/>
      <c r="AO34" s="736"/>
    </row>
    <row r="35" spans="1:41" ht="10.95" customHeight="1">
      <c r="A35" s="736" t="s">
        <v>1541</v>
      </c>
      <c r="B35" s="736"/>
      <c r="C35" s="736"/>
      <c r="D35" s="736"/>
      <c r="E35" s="736"/>
      <c r="F35" s="736"/>
      <c r="G35" s="736"/>
      <c r="H35" s="736"/>
      <c r="I35" s="736"/>
      <c r="J35" s="736"/>
      <c r="K35" s="736"/>
      <c r="L35" s="736"/>
      <c r="M35" s="736"/>
      <c r="N35" s="736"/>
      <c r="O35" s="736"/>
      <c r="P35" s="736"/>
      <c r="Q35" s="736"/>
      <c r="R35" s="736"/>
      <c r="S35" s="736"/>
      <c r="T35" s="736"/>
      <c r="U35" s="736"/>
      <c r="V35" s="736"/>
      <c r="W35" s="736"/>
      <c r="X35" s="736"/>
      <c r="Y35" s="736"/>
      <c r="Z35" s="736"/>
      <c r="AA35" s="736"/>
      <c r="AB35" s="736"/>
      <c r="AC35" s="736"/>
      <c r="AD35" s="736"/>
      <c r="AE35" s="736"/>
      <c r="AF35" s="736"/>
      <c r="AG35" s="736"/>
      <c r="AH35" s="736"/>
      <c r="AI35" s="736"/>
      <c r="AJ35" s="736"/>
      <c r="AK35" s="736"/>
      <c r="AL35" s="736"/>
      <c r="AM35" s="736"/>
      <c r="AN35" s="736"/>
      <c r="AO35" s="736"/>
    </row>
    <row r="36" spans="1:41" ht="12" customHeight="1">
      <c r="Q36" s="49" t="s">
        <v>1553</v>
      </c>
      <c r="R36" s="49" t="s">
        <v>46</v>
      </c>
      <c r="S36" s="49" t="s">
        <v>10</v>
      </c>
      <c r="T36" s="49" t="s">
        <v>11</v>
      </c>
      <c r="X36" s="49" t="s">
        <v>1554</v>
      </c>
      <c r="Y36" s="49" t="s">
        <v>46</v>
      </c>
      <c r="Z36" s="49" t="s">
        <v>46</v>
      </c>
      <c r="AC36" s="49" t="s">
        <v>1554</v>
      </c>
      <c r="AD36" s="49" t="s">
        <v>1555</v>
      </c>
      <c r="AE36" s="49" t="s">
        <v>1075</v>
      </c>
      <c r="AF36" s="49" t="s">
        <v>42</v>
      </c>
      <c r="AG36" s="598">
        <f>AF28+AE28+AD28+AC28+Z28+Y28+X28+T28+S28+R28+Q28</f>
        <v>3655716.9410000001</v>
      </c>
    </row>
  </sheetData>
  <autoFilter ref="A4:A29" xr:uid="{00000000-0009-0000-0000-000001000000}"/>
  <mergeCells count="7">
    <mergeCell ref="A35:AO35"/>
    <mergeCell ref="A1:AO1"/>
    <mergeCell ref="A2:AO2"/>
    <mergeCell ref="A31:AO31"/>
    <mergeCell ref="A32:AO32"/>
    <mergeCell ref="A33:AO33"/>
    <mergeCell ref="A34:AO34"/>
  </mergeCells>
  <pageMargins left="0.2" right="0.2" top="0.2" bottom="0.2" header="0" footer="0"/>
  <pageSetup paperSize="9" scale="75"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80492-1C5E-4037-A73C-524D69290474}">
  <sheetPr>
    <tabColor rgb="FF92D050"/>
  </sheetPr>
  <dimension ref="A1:U12"/>
  <sheetViews>
    <sheetView workbookViewId="0">
      <pane xSplit="3" ySplit="1" topLeftCell="D2" activePane="bottomRight" state="frozen"/>
      <selection activeCell="G1" sqref="G1:G1048576"/>
      <selection pane="topRight" activeCell="G1" sqref="G1:G1048576"/>
      <selection pane="bottomLeft" activeCell="G1" sqref="G1:G1048576"/>
      <selection pane="bottomRight" activeCell="C7" sqref="C7"/>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2" width="26.5546875" style="10" customWidth="1"/>
    <col min="13" max="15" width="12.109375" style="10" customWidth="1"/>
    <col min="16" max="16" width="50.77734375" style="10" customWidth="1"/>
    <col min="17" max="17" width="12.109375" style="10" customWidth="1"/>
    <col min="18" max="19" width="14.44140625" style="26" customWidth="1"/>
    <col min="20" max="20" width="11.6640625" bestFit="1" customWidth="1"/>
    <col min="21" max="21" width="13.109375" customWidth="1"/>
  </cols>
  <sheetData>
    <row r="1" spans="1:21" ht="38.4"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'!A42+1</f>
        <v>49</v>
      </c>
      <c r="B2" t="str">
        <f>Secteurs!$B$8</f>
        <v>Meunerie</v>
      </c>
      <c r="C2" t="str">
        <f>Produits!$B$7</f>
        <v>Issues de meunerie</v>
      </c>
      <c r="D2" s="29">
        <f>'Coproduits meunerie - Réséda'!D12</f>
        <v>0.64012595591542965</v>
      </c>
      <c r="G2" s="10" t="str">
        <f>Etiquettes!$C$3</f>
        <v>kt</v>
      </c>
      <c r="H2" s="10" t="str">
        <f>Etiquettes!$C$6</f>
        <v>Blé tendre:Maïs:Orge:Blé dur:Triticale:Sorgho:Avoine:Seigle:Sarrasin:Riz:Epeautre:Millet</v>
      </c>
      <c r="I2" s="10" t="str">
        <f>Etiquettes!$C$5</f>
        <v>2015-16:2019-20:2023-24</v>
      </c>
      <c r="J2" s="10" t="str">
        <f>Etiquettes!$C$4</f>
        <v>France entière</v>
      </c>
      <c r="U2" s="692" t="s">
        <v>1552</v>
      </c>
    </row>
    <row r="3" spans="1:21">
      <c r="A3" s="10">
        <f>'Contraintes  '!A43+1</f>
        <v>49</v>
      </c>
      <c r="B3" t="str">
        <f>Secteurs!$B$8</f>
        <v>Meunerie</v>
      </c>
      <c r="C3" t="str">
        <f>Produits!$B$8</f>
        <v>Sons</v>
      </c>
      <c r="D3">
        <v>-1</v>
      </c>
      <c r="G3" s="10" t="str">
        <f>Etiquettes!$C$3</f>
        <v>kt</v>
      </c>
      <c r="H3" s="10" t="str">
        <f>Etiquettes!$C$6</f>
        <v>Blé tendre:Maïs:Orge:Blé dur:Triticale:Sorgho:Avoine:Seigle:Sarrasin:Riz:Epeautre:Millet</v>
      </c>
      <c r="I3" s="10" t="str">
        <f>Etiquettes!$C$5</f>
        <v>2015-16:2019-20:2023-24</v>
      </c>
      <c r="J3" s="10" t="str">
        <f>Etiquettes!$C$4</f>
        <v>France entière</v>
      </c>
      <c r="K3" s="604" t="s">
        <v>1598</v>
      </c>
      <c r="M3" s="604" t="s">
        <v>1602</v>
      </c>
      <c r="N3" s="604" t="str" cm="1">
        <f t="array" aca="1" ref="N3" ca="1">[1]!NOM_FEUILLE('Coproduits meunerie - Réséda'!$A$1:$B$1)</f>
        <v>Coproduits meunerie - Réséda</v>
      </c>
      <c r="O3" s="604" t="str">
        <f>Etiquettes!$J$11</f>
        <v>Répartition</v>
      </c>
      <c r="P3" t="str">
        <f>_xlfn.CONCAT(K3," = ",MROUND(D2*100,0.01)," % (",M3,")")</f>
        <v>Part de sons dans les issues de meuneurie = 64,01 % (Gisements et valorisations des coproduits des industries agroalimentaires - Réséda)</v>
      </c>
      <c r="Q3" s="10" t="str">
        <f>Etiquettes!$J$15</f>
        <v>Probable</v>
      </c>
      <c r="R3" s="642" t="s">
        <v>1813</v>
      </c>
      <c r="S3" s="603" t="str">
        <f>Etiquettes!$H$17</f>
        <v>Donnée collectée (valeur du flux ou coefficient)</v>
      </c>
      <c r="U3" s="693"/>
    </row>
    <row r="4" spans="1:21">
      <c r="A4" s="10">
        <f>A2+1</f>
        <v>50</v>
      </c>
      <c r="B4" t="str">
        <f>Secteurs!$B$8</f>
        <v>Meunerie</v>
      </c>
      <c r="C4" t="str">
        <f>Produits!$B$7</f>
        <v>Issues de meunerie</v>
      </c>
      <c r="D4" s="29">
        <f>'Coproduits meunerie - Réséda'!D13</f>
        <v>0.31983805668016196</v>
      </c>
      <c r="G4" s="10" t="str">
        <f>Etiquettes!$C$3</f>
        <v>kt</v>
      </c>
      <c r="H4" s="10" t="str">
        <f>Etiquettes!$C$6</f>
        <v>Blé tendre:Maïs:Orge:Blé dur:Triticale:Sorgho:Avoine:Seigle:Sarrasin:Riz:Epeautre:Millet</v>
      </c>
      <c r="I4" s="10" t="str">
        <f>Etiquettes!$C$5</f>
        <v>2015-16:2019-20:2023-24</v>
      </c>
      <c r="J4" s="10" t="str">
        <f>Etiquettes!$C$4</f>
        <v>France entière</v>
      </c>
      <c r="U4" s="693"/>
    </row>
    <row r="5" spans="1:21">
      <c r="A5" s="10">
        <f t="shared" ref="A5:A11" si="0">A3+1</f>
        <v>50</v>
      </c>
      <c r="B5" t="str">
        <f>Secteurs!$B$8</f>
        <v>Meunerie</v>
      </c>
      <c r="C5" t="str">
        <f>Produits!$B$9</f>
        <v>Remoulages</v>
      </c>
      <c r="D5">
        <v>-1</v>
      </c>
      <c r="G5" s="10" t="str">
        <f>Etiquettes!$C$3</f>
        <v>kt</v>
      </c>
      <c r="H5" s="10" t="str">
        <f>Etiquettes!$C$6</f>
        <v>Blé tendre:Maïs:Orge:Blé dur:Triticale:Sorgho:Avoine:Seigle:Sarrasin:Riz:Epeautre:Millet</v>
      </c>
      <c r="I5" s="10" t="str">
        <f>Etiquettes!$C$5</f>
        <v>2015-16:2019-20:2023-24</v>
      </c>
      <c r="J5" s="10" t="str">
        <f>Etiquettes!$C$4</f>
        <v>France entière</v>
      </c>
      <c r="K5" s="604" t="s">
        <v>1599</v>
      </c>
      <c r="M5" s="604" t="s">
        <v>1602</v>
      </c>
      <c r="N5" s="604" t="str" cm="1">
        <f t="array" aca="1" ref="N5" ca="1">[1]!NOM_FEUILLE('Coproduits meunerie - Réséda'!$A$1:$B$1)</f>
        <v>Coproduits meunerie - Réséda</v>
      </c>
      <c r="O5" s="604" t="str">
        <f>Etiquettes!$J$11</f>
        <v>Répartition</v>
      </c>
      <c r="P5" t="str">
        <f t="shared" ref="P5" si="1">_xlfn.CONCAT(K5," = ",MROUND(D4*100,0.01)," % (",M5,")")</f>
        <v>Part de remoulages dans les issues de meuneurie = 31,98 % (Gisements et valorisations des coproduits des industries agroalimentaires - Réséda)</v>
      </c>
      <c r="Q5" s="10" t="str">
        <f>Etiquettes!$J$15</f>
        <v>Probable</v>
      </c>
      <c r="R5" s="642" t="s">
        <v>1813</v>
      </c>
      <c r="S5" s="603" t="str">
        <f>Etiquettes!$H$17</f>
        <v>Donnée collectée (valeur du flux ou coefficient)</v>
      </c>
      <c r="U5" s="693"/>
    </row>
    <row r="6" spans="1:21">
      <c r="A6" s="10">
        <f t="shared" si="0"/>
        <v>51</v>
      </c>
      <c r="B6" t="str">
        <f>Secteurs!$B$8</f>
        <v>Meunerie</v>
      </c>
      <c r="C6" t="str">
        <f>Produits!$B$7</f>
        <v>Issues de meunerie</v>
      </c>
      <c r="D6" s="29">
        <f>'Coproduits meunerie - Réséda'!D14</f>
        <v>4.003598740440846E-2</v>
      </c>
      <c r="G6" s="10" t="str">
        <f>Etiquettes!$C$3</f>
        <v>kt</v>
      </c>
      <c r="H6" s="10" t="str">
        <f>Etiquettes!$C$6</f>
        <v>Blé tendre:Maïs:Orge:Blé dur:Triticale:Sorgho:Avoine:Seigle:Sarrasin:Riz:Epeautre:Millet</v>
      </c>
      <c r="I6" s="10" t="str">
        <f>Etiquettes!$C$5</f>
        <v>2015-16:2019-20:2023-24</v>
      </c>
      <c r="J6" s="10" t="str">
        <f>Etiquettes!$C$4</f>
        <v>France entière</v>
      </c>
      <c r="U6" s="693"/>
    </row>
    <row r="7" spans="1:21">
      <c r="A7" s="10">
        <f t="shared" si="0"/>
        <v>51</v>
      </c>
      <c r="B7" t="str">
        <f>Secteurs!$B$8</f>
        <v>Meunerie</v>
      </c>
      <c r="C7" t="str">
        <f>Produits!$B$10</f>
        <v>Farines basses</v>
      </c>
      <c r="D7">
        <v>-1</v>
      </c>
      <c r="G7" s="10" t="str">
        <f>Etiquettes!$C$3</f>
        <v>kt</v>
      </c>
      <c r="H7" s="10" t="str">
        <f>Etiquettes!$C$6</f>
        <v>Blé tendre:Maïs:Orge:Blé dur:Triticale:Sorgho:Avoine:Seigle:Sarrasin:Riz:Epeautre:Millet</v>
      </c>
      <c r="I7" s="10" t="str">
        <f>Etiquettes!$C$5</f>
        <v>2015-16:2019-20:2023-24</v>
      </c>
      <c r="J7" s="10" t="str">
        <f>Etiquettes!$C$4</f>
        <v>France entière</v>
      </c>
      <c r="K7" s="604" t="s">
        <v>1600</v>
      </c>
      <c r="M7" s="604" t="s">
        <v>1602</v>
      </c>
      <c r="N7" s="604" t="str" cm="1">
        <f t="array" aca="1" ref="N7" ca="1">[1]!NOM_FEUILLE('Coproduits meunerie - Réséda'!$A$1:$B$1)</f>
        <v>Coproduits meunerie - Réséda</v>
      </c>
      <c r="O7" s="604" t="str">
        <f>Etiquettes!$J$11</f>
        <v>Répartition</v>
      </c>
      <c r="P7" t="str">
        <f t="shared" ref="P7" si="2">_xlfn.CONCAT(K7," = ",MROUND(D6*100,0.01)," % (",M7,")")</f>
        <v>Part de farines basses dans les issues de meuneurie = 4 % (Gisements et valorisations des coproduits des industries agroalimentaires - Réséda)</v>
      </c>
      <c r="Q7" s="10" t="str">
        <f>Etiquettes!$J$15</f>
        <v>Probable</v>
      </c>
      <c r="R7" s="642" t="s">
        <v>1813</v>
      </c>
      <c r="S7" s="603" t="str">
        <f>Etiquettes!$H$17</f>
        <v>Donnée collectée (valeur du flux ou coefficient)</v>
      </c>
      <c r="U7" s="693"/>
    </row>
    <row r="8" spans="1:21">
      <c r="A8" s="10">
        <f t="shared" si="0"/>
        <v>52</v>
      </c>
      <c r="B8" t="str">
        <f>Produits!$B$7</f>
        <v>Issues de meunerie</v>
      </c>
      <c r="C8" t="str">
        <f>Secteurs!$B$20</f>
        <v>Débouchés</v>
      </c>
      <c r="D8" s="29">
        <f>'Coproduits meunerie - ONRB'!F28</f>
        <v>0.01</v>
      </c>
      <c r="G8" s="10" t="str">
        <f>Etiquettes!$C$3</f>
        <v>kt</v>
      </c>
      <c r="H8" s="10" t="str">
        <f>Etiquettes!$C$6</f>
        <v>Blé tendre:Maïs:Orge:Blé dur:Triticale:Sorgho:Avoine:Seigle:Sarrasin:Riz:Epeautre:Millet</v>
      </c>
      <c r="I8" s="10" t="str">
        <f>Etiquettes!$C$5</f>
        <v>2015-16:2019-20:2023-24</v>
      </c>
      <c r="J8" s="10" t="str">
        <f>Etiquettes!$C$4</f>
        <v>France entière</v>
      </c>
      <c r="U8" s="693"/>
    </row>
    <row r="9" spans="1:21">
      <c r="A9" s="10">
        <f t="shared" si="0"/>
        <v>52</v>
      </c>
      <c r="B9" t="str">
        <f>Produits!$B$7</f>
        <v>Issues de meunerie</v>
      </c>
      <c r="C9" t="str">
        <f>Secteurs!$B$30</f>
        <v>Autres IAA</v>
      </c>
      <c r="D9">
        <v>-1</v>
      </c>
      <c r="G9" s="10" t="str">
        <f>Etiquettes!$C$3</f>
        <v>kt</v>
      </c>
      <c r="H9" s="10" t="str">
        <f>Etiquettes!$C$6</f>
        <v>Blé tendre:Maïs:Orge:Blé dur:Triticale:Sorgho:Avoine:Seigle:Sarrasin:Riz:Epeautre:Millet</v>
      </c>
      <c r="I9" s="10" t="str">
        <f>Etiquettes!$C$5</f>
        <v>2015-16:2019-20:2023-24</v>
      </c>
      <c r="J9" s="10" t="str">
        <f>Etiquettes!$C$4</f>
        <v>France entière</v>
      </c>
      <c r="K9" s="604" t="s">
        <v>1601</v>
      </c>
      <c r="M9" s="604" t="s">
        <v>1603</v>
      </c>
      <c r="N9" s="604" t="str" cm="1">
        <f t="array" aca="1" ref="N9" ca="1">[1]!NOM_FEUILLE('Coproduits meunerie - ONRB'!$A$1:$B$1)</f>
        <v>Coproduits meunerie - ONRB</v>
      </c>
      <c r="O9" s="604" t="str">
        <f>Etiquettes!$J$11</f>
        <v>Répartition</v>
      </c>
      <c r="P9" t="str">
        <f t="shared" ref="P9" si="3">_xlfn.CONCAT(K9," = ",MROUND(D8*100,0.01)," % (",M9,")")</f>
        <v>Part d'issues de meunerie consommées par les autres IAA = 1 % (ONRB - FranceAgriMer)</v>
      </c>
      <c r="Q9" s="10" t="str">
        <f>Etiquettes!$J$15</f>
        <v>Probable</v>
      </c>
      <c r="R9" s="642" t="s">
        <v>1813</v>
      </c>
      <c r="S9" s="603" t="str">
        <f>Etiquettes!$H$17</f>
        <v>Donnée collectée (valeur du flux ou coefficient)</v>
      </c>
      <c r="U9" s="693"/>
    </row>
    <row r="10" spans="1:21">
      <c r="A10" s="10">
        <f t="shared" si="0"/>
        <v>53</v>
      </c>
      <c r="B10" t="str">
        <f>Produits!$B$7</f>
        <v>Issues de meunerie</v>
      </c>
      <c r="C10" t="str">
        <f>Secteurs!$B$20</f>
        <v>Débouchés</v>
      </c>
      <c r="D10" s="29">
        <f>'Coproduits meunerie - Réséda'!D17</f>
        <v>0.01</v>
      </c>
      <c r="G10" s="10" t="str">
        <f>Etiquettes!$C$3</f>
        <v>kt</v>
      </c>
      <c r="H10" s="10" t="str">
        <f>Etiquettes!$C$6</f>
        <v>Blé tendre:Maïs:Orge:Blé dur:Triticale:Sorgho:Avoine:Seigle:Sarrasin:Riz:Epeautre:Millet</v>
      </c>
      <c r="I10" s="10" t="str">
        <f>Etiquettes!$C$5</f>
        <v>2015-16:2019-20:2023-24</v>
      </c>
      <c r="J10" s="10" t="str">
        <f>Etiquettes!$C$4</f>
        <v>France entière</v>
      </c>
      <c r="U10" s="693"/>
    </row>
    <row r="11" spans="1:21">
      <c r="A11" s="10">
        <f t="shared" si="0"/>
        <v>53</v>
      </c>
      <c r="B11" t="str">
        <f>Produits!$B$7</f>
        <v>Issues de meunerie</v>
      </c>
      <c r="C11" t="str">
        <f>Secteurs!$B$45</f>
        <v>Méthanisation</v>
      </c>
      <c r="D11">
        <v>-1</v>
      </c>
      <c r="G11" s="10" t="str">
        <f>Etiquettes!$C$3</f>
        <v>kt</v>
      </c>
      <c r="H11" s="10" t="str">
        <f>Etiquettes!$C$6</f>
        <v>Blé tendre:Maïs:Orge:Blé dur:Triticale:Sorgho:Avoine:Seigle:Sarrasin:Riz:Epeautre:Millet</v>
      </c>
      <c r="I11" s="10" t="str">
        <f>Etiquettes!$C$5</f>
        <v>2015-16:2019-20:2023-24</v>
      </c>
      <c r="J11" s="10" t="str">
        <f>Etiquettes!$C$4</f>
        <v>France entière</v>
      </c>
      <c r="K11" s="604" t="s">
        <v>1764</v>
      </c>
      <c r="L11" s="604" t="s">
        <v>1765</v>
      </c>
      <c r="M11" s="604" t="s">
        <v>1763</v>
      </c>
      <c r="N11" s="604" t="str" cm="1">
        <f t="array" aca="1" ref="N11" ca="1">[1]!NOM_FEUILLE('Coproduits meunerie - Réséda'!$A$1:$B$1)</f>
        <v>Coproduits meunerie - Réséda</v>
      </c>
      <c r="O11" s="604" t="str">
        <f>Etiquettes!$J$11</f>
        <v>Répartition</v>
      </c>
      <c r="P11" t="str">
        <f t="shared" ref="P11" si="4">_xlfn.CONCAT(K11," = ",MROUND(D10*100,0.01)," % (",M11,")")</f>
        <v>Part d'issues de meunerie valorisée en méthanisation = 1 % (Hypothèse Intercéréales)</v>
      </c>
      <c r="Q11" s="10" t="str">
        <f>Etiquettes!$J$15</f>
        <v>Probable</v>
      </c>
      <c r="R11" s="642" t="s">
        <v>1813</v>
      </c>
      <c r="S11" s="603" t="str">
        <f>Etiquettes!$H$17</f>
        <v>Donnée collectée (valeur du flux ou coefficient)</v>
      </c>
      <c r="U11" s="693"/>
    </row>
    <row r="12" spans="1:21">
      <c r="E12" s="29"/>
    </row>
  </sheetData>
  <mergeCells count="1">
    <mergeCell ref="U2:U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9EEC-3FC9-412A-9859-6E1EA9967F0E}">
  <sheetPr>
    <tabColor rgb="FFFF0000"/>
  </sheetPr>
  <dimension ref="A1:S20"/>
  <sheetViews>
    <sheetView workbookViewId="0">
      <pane xSplit="3" ySplit="1" topLeftCell="D2" activePane="bottomRight" state="frozen"/>
      <selection pane="topRight" activeCell="D1" sqref="D1"/>
      <selection pane="bottomLeft" activeCell="A2" sqref="A2"/>
      <selection pane="bottomRight" activeCell="A16" sqref="A16:XFD17"/>
    </sheetView>
  </sheetViews>
  <sheetFormatPr baseColWidth="10" defaultColWidth="9.109375" defaultRowHeight="14.4"/>
  <cols>
    <col min="1" max="1" width="27.77734375" customWidth="1"/>
    <col min="2" max="2" width="18.44140625" bestFit="1" customWidth="1"/>
    <col min="3" max="3" width="50.21875" customWidth="1"/>
    <col min="4" max="4" width="8" customWidth="1"/>
    <col min="5" max="5" width="9" bestFit="1" customWidth="1"/>
    <col min="6" max="6" width="24.6640625" customWidth="1"/>
    <col min="7" max="7" width="55.109375" bestFit="1" customWidth="1"/>
    <col min="8" max="8" width="9.109375" customWidth="1"/>
    <col min="13" max="13" width="9.109375" customWidth="1"/>
    <col min="24" max="24" width="9.109375" customWidth="1"/>
    <col min="70" max="70" width="9.109375" customWidth="1"/>
  </cols>
  <sheetData>
    <row r="1" spans="1:19" ht="38.4" thickBot="1">
      <c r="A1" s="30" t="s">
        <v>27</v>
      </c>
      <c r="B1" s="31" t="s">
        <v>28</v>
      </c>
      <c r="C1" s="31" t="s">
        <v>29</v>
      </c>
      <c r="D1" s="31" t="s">
        <v>30</v>
      </c>
      <c r="E1" s="31" t="s">
        <v>31</v>
      </c>
      <c r="F1" s="32" t="s">
        <v>32</v>
      </c>
      <c r="G1" s="31" t="s">
        <v>33</v>
      </c>
    </row>
    <row r="2" spans="1:19">
      <c r="A2" t="s">
        <v>35</v>
      </c>
      <c r="B2" s="33" t="s">
        <v>34</v>
      </c>
      <c r="C2" s="11" t="s">
        <v>1778</v>
      </c>
      <c r="F2" t="s">
        <v>1779</v>
      </c>
      <c r="G2" s="12" t="s">
        <v>1780</v>
      </c>
      <c r="H2" s="628" t="s">
        <v>427</v>
      </c>
      <c r="I2" s="629" t="s">
        <v>946</v>
      </c>
      <c r="J2" s="630" t="s">
        <v>1385</v>
      </c>
      <c r="K2" s="631" t="s">
        <v>1781</v>
      </c>
      <c r="L2" s="44" t="s">
        <v>1782</v>
      </c>
      <c r="N2" s="11"/>
    </row>
    <row r="3" spans="1:19">
      <c r="A3" t="s">
        <v>17</v>
      </c>
      <c r="B3" s="34" t="s">
        <v>36</v>
      </c>
      <c r="C3" t="s">
        <v>21</v>
      </c>
      <c r="G3" s="12"/>
      <c r="N3" s="11"/>
    </row>
    <row r="4" spans="1:19">
      <c r="A4" t="s">
        <v>153</v>
      </c>
      <c r="B4" s="34" t="s">
        <v>36</v>
      </c>
      <c r="C4" s="632" t="s">
        <v>1783</v>
      </c>
      <c r="G4" s="12" t="s">
        <v>1810</v>
      </c>
    </row>
    <row r="5" spans="1:19">
      <c r="A5" s="11" t="s">
        <v>1120</v>
      </c>
      <c r="B5" s="34" t="s">
        <v>36</v>
      </c>
      <c r="C5" s="11" t="str">
        <f>_xlfn.TEXTJOIN(":",TRUE,H5:M5)</f>
        <v>2015-16:2019-20:2023-24</v>
      </c>
      <c r="G5" s="12" t="s">
        <v>37</v>
      </c>
      <c r="H5" t="s">
        <v>1130</v>
      </c>
      <c r="I5" t="s">
        <v>1131</v>
      </c>
      <c r="J5" t="s">
        <v>1132</v>
      </c>
    </row>
    <row r="6" spans="1:19">
      <c r="A6" s="11" t="s">
        <v>1105</v>
      </c>
      <c r="B6" s="34" t="s">
        <v>36</v>
      </c>
      <c r="C6" s="11" t="str">
        <f>_xlfn.TEXTJOIN(":",TRUE,H6:S6)</f>
        <v>Blé tendre:Maïs:Orge:Blé dur:Triticale:Sorgho:Avoine:Seigle:Sarrasin:Riz:Epeautre:Millet</v>
      </c>
      <c r="F6" t="s">
        <v>2013</v>
      </c>
      <c r="G6" s="12" t="s">
        <v>1119</v>
      </c>
      <c r="H6" s="451" t="s">
        <v>171</v>
      </c>
      <c r="I6" s="40" t="s">
        <v>307</v>
      </c>
      <c r="J6" s="452" t="s">
        <v>173</v>
      </c>
      <c r="K6" s="44" t="s">
        <v>172</v>
      </c>
      <c r="L6" s="43" t="s">
        <v>174</v>
      </c>
      <c r="M6" s="454" t="s">
        <v>308</v>
      </c>
      <c r="N6" s="456" t="s">
        <v>306</v>
      </c>
      <c r="O6" s="457" t="s">
        <v>310</v>
      </c>
      <c r="P6" s="455" t="s">
        <v>316</v>
      </c>
      <c r="Q6" s="453" t="s">
        <v>309</v>
      </c>
      <c r="R6" s="606" t="s">
        <v>300</v>
      </c>
      <c r="S6" s="523" t="s">
        <v>315</v>
      </c>
    </row>
    <row r="7" spans="1:19">
      <c r="A7" t="s">
        <v>1697</v>
      </c>
      <c r="B7" s="41" t="s">
        <v>38</v>
      </c>
      <c r="C7" s="11"/>
      <c r="D7" s="11"/>
      <c r="E7" s="11"/>
      <c r="G7" t="e" cm="1">
        <f t="array" aca="1" ref="G7" ca="1">IF(IF(INDIRECT("'"&amp;Etiquettes!G13&amp;"'"&amp;"!N1")=$A$7,_xlfn.TEXTJOIN(":",TRUE,_xlfn.UNIQUE(INDIRECT("'"&amp;Etiquettes!G13&amp;"'"&amp;"!N2:N1000"))),"")="0","",IF(INDIRECT("'"&amp;Etiquettes!G13&amp;"'"&amp;"!N1")=$A$7,_xlfn.TEXTJOIN(":",TRUE,_xlfn.UNIQUE(INDIRECT("'"&amp;Etiquettes!G13&amp;"'"&amp;"!N2:N1000"))),""))</f>
        <v>#REF!</v>
      </c>
    </row>
    <row r="8" spans="1:19">
      <c r="A8" t="s">
        <v>1696</v>
      </c>
      <c r="B8" s="41" t="s">
        <v>38</v>
      </c>
      <c r="C8" s="11"/>
      <c r="D8" s="11"/>
      <c r="E8" s="11"/>
      <c r="G8" t="e" cm="1">
        <f t="array" aca="1" ref="G8" ca="1">IF(IF(INDIRECT("'"&amp;Etiquettes!G13&amp;"'"&amp;"!N1")=$A$8,_xlfn.TEXTJOIN(":",TRUE,_xlfn.UNIQUE(INDIRECT("'"&amp;Etiquettes!G13&amp;"'"&amp;"!N2:N1000"))),"")="0","",IF(INDIRECT("'"&amp;Etiquettes!G13&amp;"'"&amp;"!N1")=$A$8,_xlfn.TEXTJOIN(":",TRUE,_xlfn.UNIQUE(INDIRECT("'"&amp;Etiquettes!G13&amp;"'"&amp;"!N2:N1000"))),""))</f>
        <v>#REF!</v>
      </c>
    </row>
    <row r="9" spans="1:19">
      <c r="A9" t="s">
        <v>19</v>
      </c>
      <c r="B9" s="41" t="s">
        <v>38</v>
      </c>
      <c r="C9" s="11"/>
      <c r="G9" t="e" cm="1">
        <f t="array" aca="1" ref="G9" ca="1">IF(IF(INDIRECT("'"&amp;Etiquettes!G13&amp;"'"&amp;"!K1")=$A$9,_xlfn.TEXTJOIN(":",TRUE,_xlfn.UNIQUE(INDIRECT("'"&amp;Etiquettes!G13&amp;"'"&amp;"!K2:K1000"))),"")="0","",IF(INDIRECT("'"&amp;Etiquettes!G13&amp;"'"&amp;"!K1")=$A$9,_xlfn.TEXTJOIN(":",TRUE,_xlfn.UNIQUE(INDIRECT("'"&amp;Etiquettes!G13&amp;"'"&amp;"!K2:K1000"))),""))</f>
        <v>#REF!</v>
      </c>
    </row>
    <row r="10" spans="1:19">
      <c r="A10" t="s">
        <v>4</v>
      </c>
      <c r="B10" s="41" t="s">
        <v>38</v>
      </c>
      <c r="C10" s="11"/>
      <c r="G10" t="e" cm="1">
        <f t="array" aca="1" ref="G10" ca="1">IF(IF(INDIRECT("'"&amp;Etiquettes!G13&amp;"'"&amp;"!J1")=$A$10,_xlfn.TEXTJOIN(":",TRUE,_xlfn.UNIQUE(INDIRECT("'"&amp;Etiquettes!G13&amp;"'"&amp;"!J2:J1000"))),"")="0","",IF(INDIRECT("'"&amp;Etiquettes!G13&amp;"'"&amp;"!J1")=$A$10,_xlfn.TEXTJOIN(":",TRUE,_xlfn.UNIQUE(INDIRECT("'"&amp;Etiquettes!G13&amp;"'"&amp;"!J2:J1000"))),""))</f>
        <v>#REF!</v>
      </c>
    </row>
    <row r="11" spans="1:19">
      <c r="A11" t="s">
        <v>1569</v>
      </c>
      <c r="B11" s="41" t="s">
        <v>38</v>
      </c>
      <c r="C11" s="11" t="str">
        <f>_xlfn.TEXTJOIN(":",TRUE,H11:S11)</f>
        <v>Volume:Rendement:Répartition</v>
      </c>
      <c r="F11" t="s">
        <v>1808</v>
      </c>
      <c r="G11" s="632" t="s">
        <v>1809</v>
      </c>
      <c r="H11" s="628" t="s">
        <v>1425</v>
      </c>
      <c r="I11" s="629" t="s">
        <v>333</v>
      </c>
      <c r="J11" s="44" t="s">
        <v>1695</v>
      </c>
    </row>
    <row r="12" spans="1:19">
      <c r="A12" t="s">
        <v>26</v>
      </c>
      <c r="B12" s="41" t="s">
        <v>38</v>
      </c>
      <c r="C12" s="11"/>
      <c r="G12" t="e" cm="1">
        <f t="array" aca="1" ref="G12" ca="1">IF(IF(INDIRECT("'"&amp;Etiquettes!G13&amp;"'"&amp;"!I1")=$A$12,_xlfn.TEXTJOIN(":",TRUE,_xlfn.UNIQUE(INDIRECT("'"&amp;Etiquettes!G13&amp;"'"&amp;"!I2:I1000"))),"")="0","",IF(INDIRECT("'"&amp;Etiquettes!G13&amp;"'"&amp;"!I1")=$A$12,_xlfn.TEXTJOIN(":",TRUE,_xlfn.UNIQUE(INDIRECT("'"&amp;Etiquettes!G13&amp;"'"&amp;"!I2:I1000"))),""))</f>
        <v>#REF!</v>
      </c>
    </row>
    <row r="13" spans="1:19">
      <c r="A13" t="s">
        <v>1578</v>
      </c>
      <c r="B13" s="41" t="s">
        <v>38</v>
      </c>
      <c r="C13" s="11"/>
      <c r="G13" s="632" t="s">
        <v>1817</v>
      </c>
    </row>
    <row r="14" spans="1:19">
      <c r="A14" t="s">
        <v>1617</v>
      </c>
      <c r="B14" s="41" t="s">
        <v>38</v>
      </c>
      <c r="C14" t="s">
        <v>1419</v>
      </c>
      <c r="F14" t="s">
        <v>1618</v>
      </c>
    </row>
    <row r="15" spans="1:19">
      <c r="A15" s="11" t="s">
        <v>1784</v>
      </c>
      <c r="B15" s="41" t="s">
        <v>38</v>
      </c>
      <c r="C15" s="11" t="s">
        <v>1785</v>
      </c>
      <c r="F15" t="s">
        <v>1786</v>
      </c>
      <c r="G15" s="12" t="s">
        <v>1787</v>
      </c>
      <c r="H15" s="633" t="s">
        <v>1788</v>
      </c>
      <c r="I15" s="634" t="s">
        <v>1789</v>
      </c>
      <c r="J15" s="570" t="s">
        <v>1790</v>
      </c>
      <c r="K15" s="635" t="s">
        <v>1791</v>
      </c>
      <c r="L15" s="636" t="s">
        <v>1792</v>
      </c>
    </row>
    <row r="16" spans="1:19" s="73" customFormat="1">
      <c r="A16" s="637" t="s">
        <v>1793</v>
      </c>
      <c r="B16" s="41" t="s">
        <v>38</v>
      </c>
      <c r="C16" s="11" t="s">
        <v>1794</v>
      </c>
      <c r="D16" s="637"/>
      <c r="F16" s="73" t="s">
        <v>1795</v>
      </c>
      <c r="H16" s="630" t="s">
        <v>1796</v>
      </c>
      <c r="I16" s="638" t="s">
        <v>1797</v>
      </c>
      <c r="J16" s="639" t="s">
        <v>1798</v>
      </c>
      <c r="K16" s="640" t="s">
        <v>1799</v>
      </c>
      <c r="L16" s="641" t="s">
        <v>1800</v>
      </c>
    </row>
    <row r="17" spans="1:11" s="73" customFormat="1">
      <c r="A17" s="637" t="s">
        <v>1801</v>
      </c>
      <c r="B17" s="41" t="s">
        <v>38</v>
      </c>
      <c r="C17" s="11" t="s">
        <v>1802</v>
      </c>
      <c r="D17" s="637"/>
      <c r="F17" s="73" t="s">
        <v>1803</v>
      </c>
      <c r="H17" s="630" t="s">
        <v>1804</v>
      </c>
      <c r="I17" s="639" t="s">
        <v>1805</v>
      </c>
      <c r="J17" s="640" t="s">
        <v>1806</v>
      </c>
      <c r="K17" s="641" t="s">
        <v>1807</v>
      </c>
    </row>
    <row r="18" spans="1:11">
      <c r="H18" s="11"/>
    </row>
    <row r="19" spans="1:11">
      <c r="H19" s="11"/>
    </row>
    <row r="20" spans="1:11">
      <c r="H20" s="11"/>
    </row>
  </sheetData>
  <phoneticPr fontId="43" type="noConversion"/>
  <pageMargins left="0.75" right="0.75" top="1" bottom="1" header="0.5" footer="0.5"/>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20D0-9A5B-413D-92F3-8549504BA541}">
  <sheetPr>
    <tabColor theme="1"/>
  </sheetPr>
  <dimension ref="A1:Q6"/>
  <sheetViews>
    <sheetView workbookViewId="0">
      <pane xSplit="2" ySplit="1" topLeftCell="C2" activePane="bottomRight" state="frozen"/>
      <selection activeCell="G1" sqref="G1:G1048576"/>
      <selection pane="topRight" activeCell="G1" sqref="G1:G1048576"/>
      <selection pane="bottomLeft" activeCell="G1" sqref="G1:G1048576"/>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6" ca="1">_xlfn._xlws.FILTER('Contraintes   '!G1:S198,ISTEXT('Contraintes   '!O1:O198))</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6">_xlfn._xlws.FILTER('Contraintes   '!B2:C198,ISTEXT('Contraintes   '!O2:O198))</f>
        <v>Meunerie</v>
      </c>
      <c r="B2" t="str">
        <v>Sons</v>
      </c>
      <c r="E2" t="str">
        <f ca="1"/>
        <v>kt</v>
      </c>
      <c r="F2" t="str">
        <f ca="1"/>
        <v>Blé tendre:Maïs:Orge:Blé dur:Triticale:Sorgho:Avoine:Seigle:Sarrasin:Riz:Epeautre:Millet</v>
      </c>
      <c r="G2" t="str">
        <f ca="1"/>
        <v>2015-16:2019-20:2023-24</v>
      </c>
      <c r="H2" t="str">
        <f ca="1"/>
        <v>France entière</v>
      </c>
      <c r="I2" t="str">
        <f ca="1"/>
        <v>Part de sons dans les issues de meuneurie</v>
      </c>
      <c r="J2">
        <f ca="1"/>
        <v>0</v>
      </c>
      <c r="K2" t="str">
        <f ca="1"/>
        <v>Gisements et valorisations des coproduits des industries agroalimentaires - Réséda</v>
      </c>
      <c r="L2" t="str">
        <f ca="1"/>
        <v>Coproduits meunerie - Réséda</v>
      </c>
      <c r="M2" t="str">
        <f ca="1"/>
        <v>Répartition</v>
      </c>
      <c r="N2" t="str">
        <f ca="1"/>
        <v>Part de sons dans les issues de meuneurie = 64,01 % (Gisements et valorisations des coproduits des industries agroalimentaires - Réséda)</v>
      </c>
      <c r="O2" t="str">
        <f ca="1"/>
        <v>Probable</v>
      </c>
      <c r="P2" t="str">
        <f ca="1"/>
        <v>Données collectées:Données déterminées</v>
      </c>
      <c r="Q2" t="str">
        <f ca="1"/>
        <v>Donnée collectée (valeur du flux ou coefficient)</v>
      </c>
    </row>
    <row r="3" spans="1:17">
      <c r="A3" t="str">
        <v>Meunerie</v>
      </c>
      <c r="B3" t="str">
        <v>Remoulages</v>
      </c>
      <c r="E3" t="str">
        <f ca="1"/>
        <v>kt</v>
      </c>
      <c r="F3" t="str">
        <f ca="1"/>
        <v>Blé tendre:Maïs:Orge:Blé dur:Triticale:Sorgho:Avoine:Seigle:Sarrasin:Riz:Epeautre:Millet</v>
      </c>
      <c r="G3" t="str">
        <f ca="1"/>
        <v>2015-16:2019-20:2023-24</v>
      </c>
      <c r="H3" t="str">
        <f ca="1"/>
        <v>France entière</v>
      </c>
      <c r="I3" t="str">
        <f ca="1"/>
        <v>Part de remoulages dans les issues de meuneurie</v>
      </c>
      <c r="J3">
        <f ca="1"/>
        <v>0</v>
      </c>
      <c r="K3" t="str">
        <f ca="1"/>
        <v>Gisements et valorisations des coproduits des industries agroalimentaires - Réséda</v>
      </c>
      <c r="L3" t="str">
        <f ca="1"/>
        <v>Coproduits meunerie - Réséda</v>
      </c>
      <c r="M3" t="str">
        <f ca="1"/>
        <v>Répartition</v>
      </c>
      <c r="N3" t="str">
        <f ca="1"/>
        <v>Part de remoulages dans les issues de meuneurie = 31,98 % (Gisements et valorisations des coproduits des industries agroalimentaires - Réséda)</v>
      </c>
      <c r="O3" t="str">
        <f ca="1"/>
        <v>Probable</v>
      </c>
      <c r="P3" t="str">
        <f ca="1"/>
        <v>Données collectées:Données déterminées</v>
      </c>
      <c r="Q3" t="str">
        <f ca="1"/>
        <v>Donnée collectée (valeur du flux ou coefficient)</v>
      </c>
    </row>
    <row r="4" spans="1:17">
      <c r="A4" t="str">
        <v>Meunerie</v>
      </c>
      <c r="B4" t="str">
        <v>Farines basses</v>
      </c>
      <c r="E4" t="str">
        <f ca="1"/>
        <v>kt</v>
      </c>
      <c r="F4" t="str">
        <f ca="1"/>
        <v>Blé tendre:Maïs:Orge:Blé dur:Triticale:Sorgho:Avoine:Seigle:Sarrasin:Riz:Epeautre:Millet</v>
      </c>
      <c r="G4" t="str">
        <f ca="1"/>
        <v>2015-16:2019-20:2023-24</v>
      </c>
      <c r="H4" t="str">
        <f ca="1"/>
        <v>France entière</v>
      </c>
      <c r="I4" t="str">
        <f ca="1"/>
        <v>Part de farines basses dans les issues de meuneurie</v>
      </c>
      <c r="J4">
        <f ca="1"/>
        <v>0</v>
      </c>
      <c r="K4" t="str">
        <f ca="1"/>
        <v>Gisements et valorisations des coproduits des industries agroalimentaires - Réséda</v>
      </c>
      <c r="L4" t="str">
        <f ca="1"/>
        <v>Coproduits meunerie - Réséda</v>
      </c>
      <c r="M4" t="str">
        <f ca="1"/>
        <v>Répartition</v>
      </c>
      <c r="N4" t="str">
        <f ca="1"/>
        <v>Part de farines basses dans les issues de meuneurie = 4 % (Gisements et valorisations des coproduits des industries agroalimentaires - Réséda)</v>
      </c>
      <c r="O4" t="str">
        <f ca="1"/>
        <v>Probable</v>
      </c>
      <c r="P4" t="str">
        <f ca="1"/>
        <v>Données collectées:Données déterminées</v>
      </c>
      <c r="Q4" t="str">
        <f ca="1"/>
        <v>Donnée collectée (valeur du flux ou coefficient)</v>
      </c>
    </row>
    <row r="5" spans="1:17">
      <c r="A5" t="str">
        <v>Issues de meunerie</v>
      </c>
      <c r="B5" t="str">
        <v>Autres IAA</v>
      </c>
      <c r="E5" t="str">
        <f ca="1"/>
        <v>kt</v>
      </c>
      <c r="F5" t="str">
        <f ca="1"/>
        <v>Blé tendre:Maïs:Orge:Blé dur:Triticale:Sorgho:Avoine:Seigle:Sarrasin:Riz:Epeautre:Millet</v>
      </c>
      <c r="G5" t="str">
        <f ca="1"/>
        <v>2015-16:2019-20:2023-24</v>
      </c>
      <c r="H5" t="str">
        <f ca="1"/>
        <v>France entière</v>
      </c>
      <c r="I5" t="str">
        <f ca="1"/>
        <v>Part d'issues de meunerie consommées par les autres IAA</v>
      </c>
      <c r="J5">
        <f ca="1"/>
        <v>0</v>
      </c>
      <c r="K5" t="str">
        <f ca="1"/>
        <v>ONRB - FranceAgriMer</v>
      </c>
      <c r="L5" t="str">
        <f ca="1"/>
        <v>Coproduits meunerie - ONRB</v>
      </c>
      <c r="M5" t="str">
        <f ca="1"/>
        <v>Répartition</v>
      </c>
      <c r="N5" t="str">
        <f ca="1"/>
        <v>Part d'issues de meunerie consommées par les autres IAA = 1 % (ONRB - FranceAgriMer)</v>
      </c>
      <c r="O5" t="str">
        <f ca="1"/>
        <v>Probable</v>
      </c>
      <c r="P5" t="str">
        <f ca="1"/>
        <v>Données collectées:Données déterminées</v>
      </c>
      <c r="Q5" t="str">
        <f ca="1"/>
        <v>Donnée collectée (valeur du flux ou coefficient)</v>
      </c>
    </row>
    <row r="6" spans="1:17">
      <c r="A6" t="str">
        <v>Issues de meunerie</v>
      </c>
      <c r="B6" t="str">
        <v>Méthanisation</v>
      </c>
      <c r="E6" t="str">
        <f ca="1"/>
        <v>kt</v>
      </c>
      <c r="F6" t="str">
        <f ca="1"/>
        <v>Blé tendre:Maïs:Orge:Blé dur:Triticale:Sorgho:Avoine:Seigle:Sarrasin:Riz:Epeautre:Millet</v>
      </c>
      <c r="G6" t="str">
        <f ca="1"/>
        <v>2015-16:2019-20:2023-24</v>
      </c>
      <c r="H6" t="str">
        <f ca="1"/>
        <v>France entière</v>
      </c>
      <c r="I6" t="str">
        <f ca="1"/>
        <v>Part d'issues de meunerie valorisée en méthanisation</v>
      </c>
      <c r="J6" t="str">
        <f ca="1"/>
        <v>1 % des issues de meunerie est valorisé en méthanisation</v>
      </c>
      <c r="K6" t="str">
        <f ca="1"/>
        <v>Hypothèse Intercéréales</v>
      </c>
      <c r="L6" t="str">
        <f ca="1"/>
        <v>Coproduits meunerie - Réséda</v>
      </c>
      <c r="M6" t="str">
        <f ca="1"/>
        <v>Répartition</v>
      </c>
      <c r="N6" t="str">
        <f ca="1"/>
        <v>Part d'issues de meunerie valorisée en méthanisation = 1 % (Hypothèse Intercéréales)</v>
      </c>
      <c r="O6" t="str">
        <f ca="1"/>
        <v>Probable</v>
      </c>
      <c r="P6" t="str">
        <f ca="1"/>
        <v>Données collectées:Données déterminées</v>
      </c>
      <c r="Q6" t="str">
        <f ca="1"/>
        <v>Donnée collectée (valeur du flux ou coefficient)</v>
      </c>
    </row>
  </sheetData>
  <pageMargins left="0.75" right="0.75" top="1" bottom="1" header="0.5" footer="0.5"/>
  <legacy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0B8C8-EA4B-4383-9B60-5E67F2D9DDF0}">
  <sheetPr>
    <tabColor rgb="FFFFC000"/>
  </sheetPr>
  <dimension ref="A1:E17"/>
  <sheetViews>
    <sheetView workbookViewId="0">
      <selection activeCell="C14" sqref="C14"/>
    </sheetView>
  </sheetViews>
  <sheetFormatPr baseColWidth="10" defaultRowHeight="14.4"/>
  <cols>
    <col min="1" max="1" width="11.5546875" style="57"/>
    <col min="2" max="2" width="31.88671875" style="57" bestFit="1" customWidth="1"/>
    <col min="3" max="3" width="35.6640625" bestFit="1" customWidth="1"/>
  </cols>
  <sheetData>
    <row r="1" spans="1:5" s="57" customFormat="1" ht="15" thickBot="1">
      <c r="A1" s="741" t="s">
        <v>149</v>
      </c>
      <c r="B1" s="741"/>
    </row>
    <row r="2" spans="1:5" s="57" customFormat="1">
      <c r="A2" s="58" t="s">
        <v>150</v>
      </c>
      <c r="B2" s="59" t="s">
        <v>1175</v>
      </c>
    </row>
    <row r="3" spans="1:5" s="57" customFormat="1">
      <c r="A3" s="60" t="s">
        <v>152</v>
      </c>
      <c r="B3" s="61"/>
    </row>
    <row r="4" spans="1:5" s="57" customFormat="1">
      <c r="A4" s="60" t="s">
        <v>153</v>
      </c>
      <c r="B4" s="61" t="s">
        <v>154</v>
      </c>
    </row>
    <row r="5" spans="1:5" s="57" customFormat="1">
      <c r="A5" s="60" t="s">
        <v>17</v>
      </c>
      <c r="B5" s="61"/>
    </row>
    <row r="6" spans="1:5" s="57" customFormat="1">
      <c r="A6" s="60" t="s">
        <v>19</v>
      </c>
      <c r="B6" s="61" t="s">
        <v>1176</v>
      </c>
    </row>
    <row r="7" spans="1:5" s="57" customFormat="1" ht="15" thickBot="1">
      <c r="A7" s="62" t="s">
        <v>156</v>
      </c>
      <c r="B7" s="63" t="s">
        <v>157</v>
      </c>
    </row>
    <row r="8" spans="1:5">
      <c r="C8" s="87" t="s">
        <v>19</v>
      </c>
      <c r="D8" s="87" t="s">
        <v>1177</v>
      </c>
    </row>
    <row r="10" spans="1:5">
      <c r="D10" s="11" t="s">
        <v>1178</v>
      </c>
    </row>
    <row r="11" spans="1:5">
      <c r="C11" s="11" t="s">
        <v>1199</v>
      </c>
      <c r="D11" s="476">
        <v>4.0000000000000002E-4</v>
      </c>
      <c r="E11" s="11" t="s">
        <v>1200</v>
      </c>
    </row>
    <row r="12" spans="1:5">
      <c r="C12" s="11" t="s">
        <v>1179</v>
      </c>
      <c r="D12" s="477">
        <f>14.23/22.23</f>
        <v>0.64012595591542965</v>
      </c>
    </row>
    <row r="13" spans="1:5">
      <c r="C13" s="11" t="s">
        <v>1180</v>
      </c>
      <c r="D13" s="477">
        <f>7.11/22.23</f>
        <v>0.31983805668016196</v>
      </c>
    </row>
    <row r="14" spans="1:5">
      <c r="C14" s="11" t="s">
        <v>1181</v>
      </c>
      <c r="D14" s="477">
        <f>0.89/22.23</f>
        <v>4.003598740440846E-2</v>
      </c>
    </row>
    <row r="16" spans="1:5">
      <c r="C16" s="87" t="s">
        <v>19</v>
      </c>
      <c r="D16" s="87" t="s">
        <v>1763</v>
      </c>
    </row>
    <row r="17" spans="3:5">
      <c r="C17" t="s">
        <v>1203</v>
      </c>
      <c r="D17" s="483">
        <v>0.01</v>
      </c>
      <c r="E17" t="s">
        <v>1146</v>
      </c>
    </row>
  </sheetData>
  <mergeCells count="1">
    <mergeCell ref="A1:B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947C8-86B4-4FA0-9C73-5087839B7EC8}">
  <sheetPr>
    <tabColor rgb="FFFFC000"/>
  </sheetPr>
  <dimension ref="A1:T30"/>
  <sheetViews>
    <sheetView workbookViewId="0">
      <selection activeCell="D20" sqref="D20:S20"/>
    </sheetView>
  </sheetViews>
  <sheetFormatPr baseColWidth="10" defaultRowHeight="14.4"/>
  <cols>
    <col min="1" max="1" width="11.5546875" style="57"/>
    <col min="2" max="2" width="86.88671875" style="57" bestFit="1" customWidth="1"/>
  </cols>
  <sheetData>
    <row r="1" spans="1:6" s="57" customFormat="1" ht="15" thickBot="1">
      <c r="A1" s="741" t="s">
        <v>149</v>
      </c>
      <c r="B1" s="741"/>
    </row>
    <row r="2" spans="1:6" s="57" customFormat="1">
      <c r="A2" s="58" t="s">
        <v>150</v>
      </c>
      <c r="B2" s="59" t="s">
        <v>1182</v>
      </c>
    </row>
    <row r="3" spans="1:6" s="57" customFormat="1">
      <c r="A3" s="60" t="s">
        <v>152</v>
      </c>
      <c r="B3" s="65">
        <v>2019</v>
      </c>
    </row>
    <row r="4" spans="1:6" s="57" customFormat="1">
      <c r="A4" s="60" t="s">
        <v>153</v>
      </c>
      <c r="B4" s="61" t="s">
        <v>154</v>
      </c>
    </row>
    <row r="5" spans="1:6" s="57" customFormat="1">
      <c r="A5" s="60" t="s">
        <v>17</v>
      </c>
      <c r="B5" s="61" t="s">
        <v>1183</v>
      </c>
    </row>
    <row r="6" spans="1:6" s="57" customFormat="1">
      <c r="A6" s="60" t="s">
        <v>19</v>
      </c>
      <c r="B6" s="61" t="s">
        <v>1184</v>
      </c>
    </row>
    <row r="7" spans="1:6" s="57" customFormat="1" ht="15" thickBot="1">
      <c r="A7" s="62" t="s">
        <v>156</v>
      </c>
      <c r="B7" s="63" t="s">
        <v>157</v>
      </c>
    </row>
    <row r="8" spans="1:6">
      <c r="C8" s="87" t="s">
        <v>19</v>
      </c>
      <c r="D8" s="87" t="s">
        <v>338</v>
      </c>
      <c r="E8" s="87" t="s">
        <v>339</v>
      </c>
      <c r="F8" s="87"/>
    </row>
    <row r="9" spans="1:6">
      <c r="C9" s="87"/>
      <c r="D9" s="87" t="s">
        <v>340</v>
      </c>
      <c r="E9" s="87" t="s">
        <v>341</v>
      </c>
      <c r="F9" s="87"/>
    </row>
    <row r="10" spans="1:6">
      <c r="C10" s="87"/>
      <c r="D10" s="87" t="s">
        <v>342</v>
      </c>
      <c r="E10" s="87" t="s">
        <v>1185</v>
      </c>
      <c r="F10" s="87"/>
    </row>
    <row r="11" spans="1:6">
      <c r="C11" s="87"/>
      <c r="D11" s="87" t="s">
        <v>344</v>
      </c>
      <c r="E11" s="87" t="s">
        <v>1186</v>
      </c>
      <c r="F11" s="87"/>
    </row>
    <row r="14" spans="1:6" ht="88.2">
      <c r="D14" s="89" t="s">
        <v>1187</v>
      </c>
      <c r="E14" s="89" t="s">
        <v>1188</v>
      </c>
      <c r="F14" s="89" t="s">
        <v>1189</v>
      </c>
    </row>
    <row r="15" spans="1:6">
      <c r="D15" s="93" t="s">
        <v>355</v>
      </c>
      <c r="E15" s="93" t="s">
        <v>355</v>
      </c>
      <c r="F15" s="93" t="s">
        <v>355</v>
      </c>
    </row>
    <row r="16" spans="1:6">
      <c r="D16" s="465">
        <f>E16-(E16/F16)</f>
        <v>2293.8461538461543</v>
      </c>
      <c r="E16" s="481">
        <v>9940</v>
      </c>
      <c r="F16" s="599">
        <v>1.3</v>
      </c>
    </row>
    <row r="17" spans="4:20">
      <c r="D17" s="466" t="s">
        <v>1190</v>
      </c>
      <c r="E17" s="467"/>
      <c r="F17" s="467"/>
      <c r="G17" s="468"/>
      <c r="H17" s="469"/>
      <c r="I17" s="468"/>
      <c r="J17" s="470"/>
      <c r="K17" s="468"/>
      <c r="L17" s="468"/>
      <c r="M17" s="468"/>
      <c r="N17" s="470"/>
      <c r="O17" s="468"/>
      <c r="P17" s="468"/>
      <c r="Q17" s="468"/>
      <c r="R17" s="470"/>
      <c r="S17" s="468"/>
      <c r="T17" s="471"/>
    </row>
    <row r="18" spans="4:20">
      <c r="D18" s="466"/>
      <c r="E18" s="467"/>
      <c r="F18" s="467"/>
      <c r="G18" s="468"/>
      <c r="H18" s="469"/>
      <c r="I18" s="468"/>
      <c r="J18" s="470"/>
      <c r="K18" s="468"/>
      <c r="L18" s="468"/>
      <c r="M18" s="468"/>
      <c r="N18" s="470"/>
      <c r="O18" s="468"/>
      <c r="P18" s="468"/>
      <c r="Q18" s="468"/>
      <c r="R18" s="470"/>
      <c r="S18" s="468"/>
      <c r="T18" s="471"/>
    </row>
    <row r="19" spans="4:20">
      <c r="D19" s="743" t="s">
        <v>1191</v>
      </c>
      <c r="E19" s="743"/>
      <c r="F19" s="743"/>
      <c r="G19" s="743"/>
      <c r="H19" s="743"/>
      <c r="I19" s="743"/>
      <c r="J19" s="743"/>
      <c r="K19" s="743"/>
      <c r="L19" s="743"/>
      <c r="M19" s="743"/>
      <c r="N19" s="743"/>
      <c r="O19" s="743"/>
      <c r="P19" s="743"/>
      <c r="Q19" s="743"/>
      <c r="R19" s="743"/>
      <c r="S19" s="743"/>
      <c r="T19" s="472"/>
    </row>
    <row r="20" spans="4:20">
      <c r="D20" s="743" t="s">
        <v>1192</v>
      </c>
      <c r="E20" s="743"/>
      <c r="F20" s="743"/>
      <c r="G20" s="743"/>
      <c r="H20" s="743"/>
      <c r="I20" s="743"/>
      <c r="J20" s="743"/>
      <c r="K20" s="743"/>
      <c r="L20" s="743"/>
      <c r="M20" s="743"/>
      <c r="N20" s="743"/>
      <c r="O20" s="743"/>
      <c r="P20" s="743"/>
      <c r="Q20" s="743"/>
      <c r="R20" s="743"/>
      <c r="S20" s="743"/>
      <c r="T20" s="473"/>
    </row>
    <row r="21" spans="4:20">
      <c r="D21" s="742" t="s">
        <v>1193</v>
      </c>
      <c r="E21" s="742"/>
      <c r="F21" s="742"/>
      <c r="G21" s="742"/>
      <c r="H21" s="742"/>
      <c r="I21" s="742"/>
      <c r="J21" s="742"/>
      <c r="K21" s="742"/>
      <c r="L21" s="742"/>
      <c r="M21" s="742"/>
      <c r="N21" s="742"/>
      <c r="O21" s="742"/>
      <c r="P21" s="742"/>
      <c r="Q21" s="742"/>
      <c r="R21" s="742"/>
      <c r="S21" s="742"/>
      <c r="T21" s="473"/>
    </row>
    <row r="22" spans="4:20">
      <c r="D22" s="743" t="s">
        <v>1194</v>
      </c>
      <c r="E22" s="743"/>
      <c r="F22" s="743"/>
      <c r="G22" s="743"/>
      <c r="H22" s="743"/>
      <c r="I22" s="743"/>
      <c r="J22" s="743"/>
      <c r="K22" s="743"/>
      <c r="L22" s="743"/>
      <c r="M22" s="743"/>
      <c r="N22" s="743"/>
      <c r="O22" s="743"/>
      <c r="P22" s="743"/>
      <c r="Q22" s="743"/>
      <c r="R22" s="743"/>
      <c r="S22" s="743"/>
      <c r="T22" s="473"/>
    </row>
    <row r="23" spans="4:20">
      <c r="D23" s="474"/>
      <c r="E23" s="474"/>
      <c r="F23" s="474"/>
      <c r="G23" s="474"/>
      <c r="H23" s="473"/>
      <c r="I23" s="473"/>
      <c r="J23" s="473"/>
      <c r="K23" s="473"/>
      <c r="L23" s="473"/>
      <c r="M23" s="473"/>
      <c r="N23" s="473"/>
      <c r="O23" s="473"/>
      <c r="P23" s="473"/>
      <c r="Q23" s="473"/>
      <c r="R23" s="473"/>
      <c r="S23" s="473"/>
      <c r="T23" s="473"/>
    </row>
    <row r="26" spans="4:20" ht="61.8" customHeight="1">
      <c r="D26" s="708" t="s">
        <v>365</v>
      </c>
      <c r="E26" s="744" t="s">
        <v>1195</v>
      </c>
      <c r="F26" s="745"/>
      <c r="G26" s="708" t="s">
        <v>365</v>
      </c>
      <c r="H26" s="744" t="s">
        <v>1196</v>
      </c>
      <c r="I26" s="745"/>
    </row>
    <row r="27" spans="4:20" ht="15" thickBot="1">
      <c r="D27" s="708"/>
      <c r="E27" s="105" t="s">
        <v>355</v>
      </c>
      <c r="F27" s="93" t="s">
        <v>356</v>
      </c>
      <c r="G27" s="708"/>
      <c r="H27" s="105" t="s">
        <v>355</v>
      </c>
      <c r="I27" s="93" t="s">
        <v>356</v>
      </c>
    </row>
    <row r="28" spans="4:20" ht="15" thickTop="1">
      <c r="D28" s="106" t="s">
        <v>154</v>
      </c>
      <c r="E28" s="475">
        <v>0</v>
      </c>
      <c r="F28" s="479">
        <v>0.01</v>
      </c>
      <c r="G28" s="106" t="s">
        <v>154</v>
      </c>
      <c r="H28" s="465">
        <v>0</v>
      </c>
      <c r="I28" s="480">
        <v>0.99</v>
      </c>
    </row>
    <row r="29" spans="4:20">
      <c r="D29" s="468"/>
      <c r="E29" s="468"/>
      <c r="F29" s="468"/>
      <c r="G29" s="468"/>
      <c r="H29" s="469"/>
      <c r="I29" s="468"/>
    </row>
    <row r="30" spans="4:20">
      <c r="D30" s="742" t="s">
        <v>1197</v>
      </c>
      <c r="E30" s="742"/>
      <c r="F30" s="742"/>
      <c r="G30" s="742" t="s">
        <v>1197</v>
      </c>
      <c r="H30" s="742"/>
      <c r="I30" s="742"/>
    </row>
  </sheetData>
  <mergeCells count="11">
    <mergeCell ref="D30:F30"/>
    <mergeCell ref="G30:I30"/>
    <mergeCell ref="A1:B1"/>
    <mergeCell ref="D19:S19"/>
    <mergeCell ref="D20:S20"/>
    <mergeCell ref="D21:S21"/>
    <mergeCell ref="D22:S22"/>
    <mergeCell ref="D26:D27"/>
    <mergeCell ref="E26:F26"/>
    <mergeCell ref="G26:G27"/>
    <mergeCell ref="H26:I26"/>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8639-8215-43DD-9629-1094C8E6BC70}">
  <sheetPr>
    <tabColor rgb="FF92D050"/>
  </sheetPr>
  <dimension ref="A1:U44"/>
  <sheetViews>
    <sheetView workbookViewId="0">
      <pane xSplit="3" ySplit="1" topLeftCell="D2" activePane="bottomRight" state="frozen"/>
      <selection pane="topRight" activeCell="D1" sqref="D1"/>
      <selection pane="bottomLeft" activeCell="A2" sqref="A2"/>
      <selection pane="bottomRight" activeCell="B21" sqref="B21"/>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27.109375" style="10" customWidth="1"/>
    <col min="17" max="17" width="12.109375" style="10" customWidth="1"/>
    <col min="18" max="19" width="14.44140625" style="26" customWidth="1"/>
    <col min="20" max="20" width="11.6640625" bestFit="1" customWidth="1"/>
    <col min="21" max="21" width="13.109375" customWidth="1"/>
  </cols>
  <sheetData>
    <row r="1" spans="1:21" ht="38.4"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c r="A2" s="10">
        <f>'Contraintes   '!A10+1</f>
        <v>54</v>
      </c>
      <c r="B2" t="str">
        <f>Produits!$B$4</f>
        <v>Grains collectés</v>
      </c>
      <c r="C2" t="str">
        <f>Secteurs!$B$9</f>
        <v>Amidonnerie / Glutennerie</v>
      </c>
      <c r="D2" s="462">
        <f>'Amidonnerie - Diverses'!B26</f>
        <v>0.52631578947368418</v>
      </c>
      <c r="G2" s="10" t="str">
        <f>Etiquettes!$C$3</f>
        <v>kt</v>
      </c>
      <c r="H2" s="10" t="str">
        <f>Etiquettes!$H$6</f>
        <v>Blé tendre</v>
      </c>
      <c r="I2" s="10" t="str">
        <f>Etiquettes!$C$5</f>
        <v>2015-16:2019-20:2023-24</v>
      </c>
      <c r="J2" s="10" t="str">
        <f>Etiquettes!$C$4</f>
        <v>France entière</v>
      </c>
      <c r="U2" s="692" t="s">
        <v>1227</v>
      </c>
    </row>
    <row r="3" spans="1:21">
      <c r="A3" s="10">
        <f>'Contraintes   '!A11+1</f>
        <v>54</v>
      </c>
      <c r="B3" t="str">
        <f>Produits!$B$6</f>
        <v>Farine</v>
      </c>
      <c r="C3" t="str">
        <f>Secteurs!$B$9</f>
        <v>Amidonnerie / Glutennerie</v>
      </c>
      <c r="D3" s="462">
        <f>'Amidonnerie - Diverses'!B26</f>
        <v>0.52631578947368418</v>
      </c>
      <c r="G3" s="10" t="str">
        <f>Etiquettes!$C$3</f>
        <v>kt</v>
      </c>
      <c r="H3" s="10" t="str">
        <f>Etiquettes!$H$6</f>
        <v>Blé tendre</v>
      </c>
      <c r="I3" s="10" t="str">
        <f>Etiquettes!$C$5</f>
        <v>2015-16:2019-20:2023-24</v>
      </c>
      <c r="J3" s="10" t="str">
        <f>Etiquettes!$C$4</f>
        <v>France entière</v>
      </c>
      <c r="U3" s="693"/>
    </row>
    <row r="4" spans="1:21">
      <c r="A4" s="10">
        <f>'Contraintes   '!A10+1</f>
        <v>54</v>
      </c>
      <c r="B4" t="str">
        <f>Produits!$B$50</f>
        <v>Stock initial</v>
      </c>
      <c r="C4" t="str">
        <f>Secteurs!$B$9</f>
        <v>Amidonnerie / Glutennerie</v>
      </c>
      <c r="D4" s="462">
        <f>'Amidonnerie - Diverses'!B26</f>
        <v>0.52631578947368418</v>
      </c>
      <c r="G4" s="10" t="str">
        <f>Etiquettes!$C$3</f>
        <v>kt</v>
      </c>
      <c r="H4" s="10" t="str">
        <f>Etiquettes!$H$6</f>
        <v>Blé tendre</v>
      </c>
      <c r="I4" s="10" t="str">
        <f>Etiquettes!$C$5</f>
        <v>2015-16:2019-20:2023-24</v>
      </c>
      <c r="J4" s="10" t="str">
        <f>Etiquettes!$C$4</f>
        <v>France entière</v>
      </c>
      <c r="U4" s="693"/>
    </row>
    <row r="5" spans="1:21">
      <c r="A5" s="10">
        <f>'Contraintes   '!A11+1</f>
        <v>54</v>
      </c>
      <c r="B5" t="str">
        <f>Secteurs!$B$9</f>
        <v>Amidonnerie / Glutennerie</v>
      </c>
      <c r="C5" t="str">
        <f>Produits!$B$51</f>
        <v>Stock final</v>
      </c>
      <c r="D5" s="462">
        <f>-'Amidonnerie - Diverses'!B26</f>
        <v>-0.52631578947368418</v>
      </c>
      <c r="G5" s="10" t="str">
        <f>Etiquettes!$C$3</f>
        <v>kt</v>
      </c>
      <c r="H5" s="10" t="str">
        <f>Etiquettes!$H$6</f>
        <v>Blé tendre</v>
      </c>
      <c r="I5" s="10" t="str">
        <f>Etiquettes!$C$5</f>
        <v>2015-16:2019-20:2023-24</v>
      </c>
      <c r="J5" s="10" t="str">
        <f>Etiquettes!$C$4</f>
        <v>France entière</v>
      </c>
      <c r="U5" s="693"/>
    </row>
    <row r="6" spans="1:21">
      <c r="A6" s="10">
        <f>'Contraintes   '!A10+1</f>
        <v>54</v>
      </c>
      <c r="B6" t="str">
        <f>Secteurs!$B$9</f>
        <v>Amidonnerie / Glutennerie</v>
      </c>
      <c r="C6" t="str">
        <f>Produits!$B$11</f>
        <v>Amidon</v>
      </c>
      <c r="D6">
        <v>-1</v>
      </c>
      <c r="G6" s="10" t="str">
        <f>Etiquettes!$C$3</f>
        <v>kt</v>
      </c>
      <c r="H6" s="10" t="str">
        <f>Etiquettes!$H$6</f>
        <v>Blé tendre</v>
      </c>
      <c r="I6" s="10" t="str">
        <f>Etiquettes!$C$5</f>
        <v>2015-16:2019-20:2023-24</v>
      </c>
      <c r="J6" s="10" t="str">
        <f>Etiquettes!$C$4</f>
        <v>France entière</v>
      </c>
      <c r="K6" s="604" t="s">
        <v>1604</v>
      </c>
      <c r="L6" s="604" t="s">
        <v>1627</v>
      </c>
      <c r="M6" s="604" t="s">
        <v>1614</v>
      </c>
      <c r="N6" s="604" t="str" cm="1">
        <f t="array" aca="1" ref="N6" ca="1">[1]!NOM_FEUILLE('Amidonnerie - Diverses'!$A$1)</f>
        <v>Amidonnerie - Diverses</v>
      </c>
      <c r="O6" s="10" t="str">
        <f>Etiquettes!$I$11</f>
        <v>Rendement</v>
      </c>
      <c r="P6" t="str">
        <f>_xlfn.CONCAT(K6," = ",MROUND(D3*100,0.01)," % (",M6,")")</f>
        <v>Rendement en amidon de l'Amidonnerie = 52,63 % (Chiffres clés - USIPA)</v>
      </c>
      <c r="Q6" s="10" t="str">
        <f>Etiquettes!$K$15</f>
        <v>Approximative</v>
      </c>
      <c r="R6" s="642" t="s">
        <v>1813</v>
      </c>
      <c r="S6" s="603" t="str">
        <f>Etiquettes!$H$17</f>
        <v>Donnée collectée (valeur du flux ou coefficient)</v>
      </c>
      <c r="U6" s="693"/>
    </row>
    <row r="7" spans="1:21">
      <c r="A7" s="10">
        <f>A2+1</f>
        <v>55</v>
      </c>
      <c r="B7" t="str">
        <f>Produits!$B$4</f>
        <v>Grains collectés</v>
      </c>
      <c r="C7" t="str">
        <f>Secteurs!$B$9</f>
        <v>Amidonnerie / Glutennerie</v>
      </c>
      <c r="D7" s="29">
        <f>'Amidonnerie - Diverses'!G9</f>
        <v>0.625</v>
      </c>
      <c r="G7" s="10" t="str">
        <f>Etiquettes!$C$3</f>
        <v>kt</v>
      </c>
      <c r="H7" s="10" t="str">
        <f>Etiquettes!$I$6</f>
        <v>Maïs</v>
      </c>
      <c r="I7" s="10" t="str">
        <f>Etiquettes!$C$5</f>
        <v>2015-16:2019-20:2023-24</v>
      </c>
      <c r="J7" s="10" t="str">
        <f>Etiquettes!$C$4</f>
        <v>France entière</v>
      </c>
      <c r="K7" s="604"/>
      <c r="L7" s="604"/>
      <c r="M7" s="604"/>
      <c r="N7" s="604"/>
      <c r="U7" s="693"/>
    </row>
    <row r="8" spans="1:21">
      <c r="A8" s="10">
        <f t="shared" ref="A8:A9" si="0">A3+1</f>
        <v>55</v>
      </c>
      <c r="B8" t="str">
        <f>Produits!$B$50</f>
        <v>Stock initial</v>
      </c>
      <c r="C8" t="str">
        <f>Secteurs!$B$9</f>
        <v>Amidonnerie / Glutennerie</v>
      </c>
      <c r="D8" s="462">
        <f>'Amidonnerie - Diverses'!G9</f>
        <v>0.625</v>
      </c>
      <c r="G8" s="10" t="str">
        <f>Etiquettes!$C$3</f>
        <v>kt</v>
      </c>
      <c r="H8" s="10" t="str">
        <f>Etiquettes!$I$6</f>
        <v>Maïs</v>
      </c>
      <c r="I8" s="10" t="str">
        <f>Etiquettes!$C$5</f>
        <v>2015-16:2019-20:2023-24</v>
      </c>
      <c r="J8" s="10" t="str">
        <f>Etiquettes!$C$4</f>
        <v>France entière</v>
      </c>
      <c r="U8" s="693"/>
    </row>
    <row r="9" spans="1:21">
      <c r="A9" s="10">
        <f t="shared" si="0"/>
        <v>55</v>
      </c>
      <c r="B9" t="str">
        <f>Secteurs!$B$9</f>
        <v>Amidonnerie / Glutennerie</v>
      </c>
      <c r="C9" t="str">
        <f>Produits!$B$51</f>
        <v>Stock final</v>
      </c>
      <c r="D9" s="462">
        <f>-'Amidonnerie - Diverses'!G9</f>
        <v>-0.625</v>
      </c>
      <c r="G9" s="10" t="str">
        <f>Etiquettes!$C$3</f>
        <v>kt</v>
      </c>
      <c r="H9" s="10" t="str">
        <f>Etiquettes!$I$6</f>
        <v>Maïs</v>
      </c>
      <c r="I9" s="10" t="str">
        <f>Etiquettes!$C$5</f>
        <v>2015-16:2019-20:2023-24</v>
      </c>
      <c r="J9" s="10" t="str">
        <f>Etiquettes!$C$4</f>
        <v>France entière</v>
      </c>
      <c r="U9" s="693"/>
    </row>
    <row r="10" spans="1:21">
      <c r="A10" s="10">
        <f>A6+1</f>
        <v>55</v>
      </c>
      <c r="B10" t="str">
        <f>Secteurs!$B$9</f>
        <v>Amidonnerie / Glutennerie</v>
      </c>
      <c r="C10" t="str">
        <f>Produits!$B$11</f>
        <v>Amidon</v>
      </c>
      <c r="D10">
        <v>-1</v>
      </c>
      <c r="G10" s="10" t="str">
        <f>Etiquettes!$C$3</f>
        <v>kt</v>
      </c>
      <c r="H10" s="10" t="str">
        <f>Etiquettes!$I$6</f>
        <v>Maïs</v>
      </c>
      <c r="I10" s="10" t="str">
        <f>Etiquettes!$C$5</f>
        <v>2015-16:2019-20:2023-24</v>
      </c>
      <c r="J10" s="10" t="str">
        <f>Etiquettes!$C$4</f>
        <v>France entière</v>
      </c>
      <c r="K10" s="604" t="s">
        <v>1604</v>
      </c>
      <c r="L10" s="604"/>
      <c r="M10" s="604" t="s">
        <v>1614</v>
      </c>
      <c r="N10" s="604" t="str" cm="1">
        <f t="array" aca="1" ref="N10" ca="1">[1]!NOM_FEUILLE('Amidonnerie - Diverses'!$A$1)</f>
        <v>Amidonnerie - Diverses</v>
      </c>
      <c r="O10" s="10" t="str">
        <f>Etiquettes!$I$11</f>
        <v>Rendement</v>
      </c>
      <c r="P10" t="str">
        <f>_xlfn.CONCAT(K10," = ",MROUND(D7*100,0.01)," % (",M10,")")</f>
        <v>Rendement en amidon de l'Amidonnerie = 62,5 % (Chiffres clés - USIPA)</v>
      </c>
      <c r="Q10" s="10" t="str">
        <f>Etiquettes!$K$15</f>
        <v>Approximative</v>
      </c>
      <c r="R10" s="642" t="s">
        <v>1813</v>
      </c>
      <c r="S10" s="603" t="str">
        <f>Etiquettes!$H$17</f>
        <v>Donnée collectée (valeur du flux ou coefficient)</v>
      </c>
      <c r="U10" s="693"/>
    </row>
    <row r="11" spans="1:21">
      <c r="A11" s="10">
        <f>A7+1</f>
        <v>56</v>
      </c>
      <c r="B11" t="str">
        <f>Produits!$B$4</f>
        <v>Grains collectés</v>
      </c>
      <c r="C11" t="str">
        <f>Secteurs!$B$9</f>
        <v>Amidonnerie / Glutennerie</v>
      </c>
      <c r="D11" s="29">
        <f>'Amidonnerie - Diverses'!B28</f>
        <v>7.4999999999999997E-2</v>
      </c>
      <c r="G11" s="10" t="str">
        <f>Etiquettes!$C$3</f>
        <v>kt</v>
      </c>
      <c r="H11" s="10" t="str">
        <f>Etiquettes!$H$6</f>
        <v>Blé tendre</v>
      </c>
      <c r="I11" s="10" t="str">
        <f>Etiquettes!$C$5</f>
        <v>2015-16:2019-20:2023-24</v>
      </c>
      <c r="J11" s="10" t="str">
        <f>Etiquettes!$C$4</f>
        <v>France entière</v>
      </c>
      <c r="K11" s="604"/>
      <c r="L11" s="604"/>
      <c r="M11" s="604"/>
      <c r="N11" s="604"/>
      <c r="U11" s="693"/>
    </row>
    <row r="12" spans="1:21">
      <c r="A12" s="10">
        <f t="shared" ref="A12:A14" si="1">A8+1</f>
        <v>56</v>
      </c>
      <c r="B12" t="str">
        <f>Produits!$B$6</f>
        <v>Farine</v>
      </c>
      <c r="C12" t="str">
        <f>Secteurs!$B$9</f>
        <v>Amidonnerie / Glutennerie</v>
      </c>
      <c r="D12" s="29">
        <f>'Amidonnerie - Diverses'!B28</f>
        <v>7.4999999999999997E-2</v>
      </c>
      <c r="G12" s="10" t="str">
        <f>Etiquettes!$C$3</f>
        <v>kt</v>
      </c>
      <c r="H12" s="10" t="str">
        <f>Etiquettes!$H$6</f>
        <v>Blé tendre</v>
      </c>
      <c r="I12" s="10" t="str">
        <f>Etiquettes!$C$5</f>
        <v>2015-16:2019-20:2023-24</v>
      </c>
      <c r="J12" s="10" t="str">
        <f>Etiquettes!$C$4</f>
        <v>France entière</v>
      </c>
      <c r="K12" s="604"/>
      <c r="L12" s="604"/>
      <c r="M12" s="604"/>
      <c r="N12" s="604"/>
      <c r="P12"/>
      <c r="U12" s="693"/>
    </row>
    <row r="13" spans="1:21">
      <c r="A13" s="10">
        <f t="shared" si="1"/>
        <v>56</v>
      </c>
      <c r="B13" t="str">
        <f>Produits!$B$50</f>
        <v>Stock initial</v>
      </c>
      <c r="C13" t="str">
        <f>Secteurs!$B$9</f>
        <v>Amidonnerie / Glutennerie</v>
      </c>
      <c r="D13" s="462">
        <f>'Amidonnerie - Diverses'!B28</f>
        <v>7.4999999999999997E-2</v>
      </c>
      <c r="G13" s="10" t="str">
        <f>Etiquettes!$C$3</f>
        <v>kt</v>
      </c>
      <c r="H13" s="10" t="str">
        <f>Etiquettes!$H$6</f>
        <v>Blé tendre</v>
      </c>
      <c r="I13" s="10" t="str">
        <f>Etiquettes!$C$5</f>
        <v>2015-16:2019-20:2023-24</v>
      </c>
      <c r="J13" s="10" t="str">
        <f>Etiquettes!$C$4</f>
        <v>France entière</v>
      </c>
      <c r="U13" s="693"/>
    </row>
    <row r="14" spans="1:21">
      <c r="A14" s="10">
        <f t="shared" si="1"/>
        <v>56</v>
      </c>
      <c r="B14" t="str">
        <f>Secteurs!$B$9</f>
        <v>Amidonnerie / Glutennerie</v>
      </c>
      <c r="C14" t="str">
        <f>Produits!$B$51</f>
        <v>Stock final</v>
      </c>
      <c r="D14" s="462">
        <f>-'Amidonnerie - Diverses'!B28</f>
        <v>-7.4999999999999997E-2</v>
      </c>
      <c r="G14" s="10" t="str">
        <f>Etiquettes!$C$3</f>
        <v>kt</v>
      </c>
      <c r="H14" s="10" t="str">
        <f>Etiquettes!$H$6</f>
        <v>Blé tendre</v>
      </c>
      <c r="I14" s="10" t="str">
        <f>Etiquettes!$C$5</f>
        <v>2015-16:2019-20:2023-24</v>
      </c>
      <c r="J14" s="10" t="str">
        <f>Etiquettes!$C$4</f>
        <v>France entière</v>
      </c>
      <c r="U14" s="693"/>
    </row>
    <row r="15" spans="1:21">
      <c r="A15" s="10">
        <f>A10+1</f>
        <v>56</v>
      </c>
      <c r="B15" t="str">
        <f>Secteurs!$B$9</f>
        <v>Amidonnerie / Glutennerie</v>
      </c>
      <c r="C15" t="str">
        <f>Produits!$B$12</f>
        <v>Gluten</v>
      </c>
      <c r="D15">
        <v>-1</v>
      </c>
      <c r="G15" s="10" t="str">
        <f>Etiquettes!$C$3</f>
        <v>kt</v>
      </c>
      <c r="H15" s="10" t="str">
        <f>Etiquettes!$H$6</f>
        <v>Blé tendre</v>
      </c>
      <c r="I15" s="10" t="str">
        <f>Etiquettes!$C$5</f>
        <v>2015-16:2019-20:2023-24</v>
      </c>
      <c r="J15" s="10" t="str">
        <f>Etiquettes!$C$4</f>
        <v>France entière</v>
      </c>
      <c r="K15" s="604" t="s">
        <v>1605</v>
      </c>
      <c r="L15" s="604" t="s">
        <v>1627</v>
      </c>
      <c r="M15" s="604" t="s">
        <v>1628</v>
      </c>
      <c r="N15" s="604" t="str" cm="1">
        <f t="array" aca="1" ref="N15" ca="1">[1]!NOM_FEUILLE('Amidonnerie - Diverses'!$A$1)</f>
        <v>Amidonnerie - Diverses</v>
      </c>
      <c r="O15" s="10" t="str">
        <f>Etiquettes!$I$11</f>
        <v>Rendement</v>
      </c>
      <c r="P15" t="str">
        <f t="shared" ref="P15" si="2">_xlfn.CONCAT(K15," = ",MROUND(D12*100,0.01)," % (",M15,")")</f>
        <v>Rendement en gluten de l'Amidonnerie = 7,5 % (CRC Normandie - Tereos)</v>
      </c>
      <c r="Q15" s="10" t="str">
        <f>Etiquettes!$K$15</f>
        <v>Approximative</v>
      </c>
      <c r="R15" s="642" t="s">
        <v>1813</v>
      </c>
      <c r="S15" s="603" t="str">
        <f>Etiquettes!$H$17</f>
        <v>Donnée collectée (valeur du flux ou coefficient)</v>
      </c>
      <c r="U15" s="693"/>
    </row>
    <row r="16" spans="1:21">
      <c r="A16" s="10">
        <f>A11+1</f>
        <v>57</v>
      </c>
      <c r="B16" t="str">
        <f>Produits!$B$4</f>
        <v>Grains collectés</v>
      </c>
      <c r="C16" t="str">
        <f>Secteurs!$B$9</f>
        <v>Amidonnerie / Glutennerie</v>
      </c>
      <c r="D16" s="29">
        <f>'Amidonnerie - Diverses'!G11</f>
        <v>4.4999999999999998E-2</v>
      </c>
      <c r="G16" s="10" t="str">
        <f>Etiquettes!$C$3</f>
        <v>kt</v>
      </c>
      <c r="H16" s="10" t="str">
        <f>Etiquettes!$I$6</f>
        <v>Maïs</v>
      </c>
      <c r="I16" s="10" t="str">
        <f>Etiquettes!$C$5</f>
        <v>2015-16:2019-20:2023-24</v>
      </c>
      <c r="J16" s="10" t="str">
        <f>Etiquettes!$C$4</f>
        <v>France entière</v>
      </c>
      <c r="K16" s="604"/>
      <c r="L16" s="604"/>
      <c r="M16" s="604"/>
      <c r="N16" s="604"/>
      <c r="P16"/>
      <c r="U16" s="693"/>
    </row>
    <row r="17" spans="1:21">
      <c r="A17" s="10">
        <f t="shared" ref="A17:A18" si="3">A12+1</f>
        <v>57</v>
      </c>
      <c r="B17" t="str">
        <f>Produits!$B$50</f>
        <v>Stock initial</v>
      </c>
      <c r="C17" t="str">
        <f>Secteurs!$B$9</f>
        <v>Amidonnerie / Glutennerie</v>
      </c>
      <c r="D17" s="462">
        <f>'Amidonnerie - Diverses'!G11</f>
        <v>4.4999999999999998E-2</v>
      </c>
      <c r="G17" s="10" t="str">
        <f>Etiquettes!$C$3</f>
        <v>kt</v>
      </c>
      <c r="H17" s="10" t="str">
        <f>Etiquettes!$I$6</f>
        <v>Maïs</v>
      </c>
      <c r="I17" s="10" t="str">
        <f>Etiquettes!$C$5</f>
        <v>2015-16:2019-20:2023-24</v>
      </c>
      <c r="J17" s="10" t="str">
        <f>Etiquettes!$C$4</f>
        <v>France entière</v>
      </c>
      <c r="U17" s="693"/>
    </row>
    <row r="18" spans="1:21">
      <c r="A18" s="10">
        <f t="shared" si="3"/>
        <v>57</v>
      </c>
      <c r="B18" t="str">
        <f>Secteurs!$B$9</f>
        <v>Amidonnerie / Glutennerie</v>
      </c>
      <c r="C18" t="str">
        <f>Produits!$B$51</f>
        <v>Stock final</v>
      </c>
      <c r="D18" s="462">
        <f>-'Amidonnerie - Diverses'!G11</f>
        <v>-4.4999999999999998E-2</v>
      </c>
      <c r="G18" s="10" t="str">
        <f>Etiquettes!$C$3</f>
        <v>kt</v>
      </c>
      <c r="H18" s="10" t="str">
        <f>Etiquettes!$I$6</f>
        <v>Maïs</v>
      </c>
      <c r="I18" s="10" t="str">
        <f>Etiquettes!$C$5</f>
        <v>2015-16:2019-20:2023-24</v>
      </c>
      <c r="J18" s="10" t="str">
        <f>Etiquettes!$C$4</f>
        <v>France entière</v>
      </c>
      <c r="U18" s="693"/>
    </row>
    <row r="19" spans="1:21">
      <c r="A19" s="10">
        <f>A15+1</f>
        <v>57</v>
      </c>
      <c r="B19" t="str">
        <f>Secteurs!$B$9</f>
        <v>Amidonnerie / Glutennerie</v>
      </c>
      <c r="C19" t="str">
        <f>Produits!$B$12</f>
        <v>Gluten</v>
      </c>
      <c r="D19">
        <v>-1</v>
      </c>
      <c r="G19" s="10" t="str">
        <f>Etiquettes!$C$3</f>
        <v>kt</v>
      </c>
      <c r="H19" s="10" t="str">
        <f>Etiquettes!$I$6</f>
        <v>Maïs</v>
      </c>
      <c r="I19" s="10" t="str">
        <f>Etiquettes!$C$5</f>
        <v>2015-16:2019-20:2023-24</v>
      </c>
      <c r="J19" s="10" t="str">
        <f>Etiquettes!$C$4</f>
        <v>France entière</v>
      </c>
      <c r="K19" s="604" t="s">
        <v>1605</v>
      </c>
      <c r="L19" s="604"/>
      <c r="M19" s="604" t="s">
        <v>1592</v>
      </c>
      <c r="N19" s="604" t="str" cm="1">
        <f t="array" aca="1" ref="N19" ca="1">[1]!NOM_FEUILLE('Amidonnerie - Diverses'!$A$1)</f>
        <v>Amidonnerie - Diverses</v>
      </c>
      <c r="O19" s="10" t="str">
        <f>Etiquettes!$I$11</f>
        <v>Rendement</v>
      </c>
      <c r="P19" t="str">
        <f>_xlfn.CONCAT(K19," = ",MROUND(D16*100,0.01)," % (",M19,")")</f>
        <v>Rendement en gluten de l'Amidonnerie = 4,5 % (Bilans d'approvisionnement agroalimentaire - SSP)</v>
      </c>
      <c r="Q19" s="10" t="str">
        <f>Etiquettes!$K$15</f>
        <v>Approximative</v>
      </c>
      <c r="R19" s="642" t="s">
        <v>1813</v>
      </c>
      <c r="S19" s="603" t="str">
        <f>Etiquettes!$H$17</f>
        <v>Donnée collectée (valeur du flux ou coefficient)</v>
      </c>
      <c r="U19" s="693"/>
    </row>
    <row r="20" spans="1:21">
      <c r="A20" s="10">
        <f>A16+1</f>
        <v>58</v>
      </c>
      <c r="B20" t="str">
        <f>Produits!$B$4</f>
        <v>Grains collectés</v>
      </c>
      <c r="C20" t="str">
        <f>Secteurs!$B$9</f>
        <v>Amidonnerie / Glutennerie</v>
      </c>
      <c r="D20" s="29">
        <f>'Amidonnerie - Diverses'!B29</f>
        <v>0.39868421052631581</v>
      </c>
      <c r="G20" s="10" t="str">
        <f>Etiquettes!$C$3</f>
        <v>kt</v>
      </c>
      <c r="H20" s="10" t="str">
        <f>Etiquettes!$H$6</f>
        <v>Blé tendre</v>
      </c>
      <c r="I20" s="10" t="str">
        <f>Etiquettes!$C$5</f>
        <v>2015-16:2019-20:2023-24</v>
      </c>
      <c r="J20" s="10" t="str">
        <f>Etiquettes!$C$4</f>
        <v>France entière</v>
      </c>
      <c r="K20" s="604"/>
      <c r="L20" s="604"/>
      <c r="M20" s="604"/>
      <c r="N20" s="604"/>
      <c r="P20"/>
      <c r="U20" s="693"/>
    </row>
    <row r="21" spans="1:21">
      <c r="A21" s="10">
        <f t="shared" ref="A21:A44" si="4">A19+1</f>
        <v>58</v>
      </c>
      <c r="B21" t="str">
        <f>Produits!$B$6</f>
        <v>Farine</v>
      </c>
      <c r="C21" t="str">
        <f>Secteurs!$B$9</f>
        <v>Amidonnerie / Glutennerie</v>
      </c>
      <c r="D21" s="29">
        <f>'Amidonnerie - Diverses'!B29</f>
        <v>0.39868421052631581</v>
      </c>
      <c r="G21" s="10" t="str">
        <f>Etiquettes!$C$3</f>
        <v>kt</v>
      </c>
      <c r="H21" s="10" t="str">
        <f>Etiquettes!$H$6</f>
        <v>Blé tendre</v>
      </c>
      <c r="I21" s="10" t="str">
        <f>Etiquettes!$C$5</f>
        <v>2015-16:2019-20:2023-24</v>
      </c>
      <c r="J21" s="10" t="str">
        <f>Etiquettes!$C$4</f>
        <v>France entière</v>
      </c>
      <c r="K21" s="604"/>
      <c r="L21" s="604"/>
      <c r="M21" s="604"/>
      <c r="N21" s="604"/>
      <c r="U21" s="693"/>
    </row>
    <row r="22" spans="1:21">
      <c r="A22" s="10">
        <f>A16+1</f>
        <v>58</v>
      </c>
      <c r="B22" t="str">
        <f>Produits!$B$50</f>
        <v>Stock initial</v>
      </c>
      <c r="C22" t="str">
        <f>Secteurs!$B$9</f>
        <v>Amidonnerie / Glutennerie</v>
      </c>
      <c r="D22" s="462">
        <f>'Amidonnerie - Diverses'!B29</f>
        <v>0.39868421052631581</v>
      </c>
      <c r="G22" s="10" t="str">
        <f>Etiquettes!$C$3</f>
        <v>kt</v>
      </c>
      <c r="H22" s="10" t="str">
        <f>Etiquettes!$H$6</f>
        <v>Blé tendre</v>
      </c>
      <c r="I22" s="10" t="str">
        <f>Etiquettes!$C$5</f>
        <v>2015-16:2019-20:2023-24</v>
      </c>
      <c r="J22" s="10" t="str">
        <f>Etiquettes!$C$4</f>
        <v>France entière</v>
      </c>
      <c r="U22" s="693"/>
    </row>
    <row r="23" spans="1:21">
      <c r="A23" s="10">
        <f>A19+1</f>
        <v>58</v>
      </c>
      <c r="B23" t="str">
        <f>Secteurs!$B$9</f>
        <v>Amidonnerie / Glutennerie</v>
      </c>
      <c r="C23" t="str">
        <f>Produits!$B$51</f>
        <v>Stock final</v>
      </c>
      <c r="D23" s="462">
        <f>-'Amidonnerie - Diverses'!B29</f>
        <v>-0.39868421052631581</v>
      </c>
      <c r="G23" s="10" t="str">
        <f>Etiquettes!$C$3</f>
        <v>kt</v>
      </c>
      <c r="H23" s="10" t="str">
        <f>Etiquettes!$H$6</f>
        <v>Blé tendre</v>
      </c>
      <c r="I23" s="10" t="str">
        <f>Etiquettes!$C$5</f>
        <v>2015-16:2019-20:2023-24</v>
      </c>
      <c r="J23" s="10" t="str">
        <f>Etiquettes!$C$4</f>
        <v>France entière</v>
      </c>
      <c r="U23" s="693"/>
    </row>
    <row r="24" spans="1:21">
      <c r="A24" s="10">
        <f>A19+1</f>
        <v>58</v>
      </c>
      <c r="B24" t="str">
        <f>Secteurs!$B$9</f>
        <v>Amidonnerie / Glutennerie</v>
      </c>
      <c r="C24" t="str">
        <f>Produits!$B$13</f>
        <v>Wheat gluten feed et sons</v>
      </c>
      <c r="D24">
        <v>-1</v>
      </c>
      <c r="G24" s="10" t="str">
        <f>Etiquettes!$C$3</f>
        <v>kt</v>
      </c>
      <c r="H24" s="10" t="str">
        <f>Etiquettes!$H$6</f>
        <v>Blé tendre</v>
      </c>
      <c r="I24" s="10" t="str">
        <f>Etiquettes!$C$5</f>
        <v>2015-16:2019-20:2023-24</v>
      </c>
      <c r="J24" s="10" t="str">
        <f>Etiquettes!$C$4</f>
        <v>France entière</v>
      </c>
      <c r="K24" s="604" t="s">
        <v>1606</v>
      </c>
      <c r="L24" s="604" t="s">
        <v>1627</v>
      </c>
      <c r="M24" s="604" t="s">
        <v>1614</v>
      </c>
      <c r="N24" s="604" t="str" cm="1">
        <f t="array" aca="1" ref="N24" ca="1">[1]!NOM_FEUILLE('Amidonnerie - Diverses'!$A$1)</f>
        <v>Amidonnerie - Diverses</v>
      </c>
      <c r="O24" s="10" t="str">
        <f>Etiquettes!$I$11</f>
        <v>Rendement</v>
      </c>
      <c r="P24" t="str">
        <f>_xlfn.CONCAT(K24," = ",MROUND(D21*100,0.01)," % (",M24,")")</f>
        <v>Rendement en Wheat gluten feed et sons de l'Amidonnerie = 39,87 % (Chiffres clés - USIPA)</v>
      </c>
      <c r="Q24" s="10" t="str">
        <f>Etiquettes!$K$15</f>
        <v>Approximative</v>
      </c>
      <c r="R24" s="642" t="s">
        <v>1813</v>
      </c>
      <c r="S24" s="603" t="str">
        <f>Etiquettes!$H$17</f>
        <v>Donnée collectée (valeur du flux ou coefficient)</v>
      </c>
      <c r="U24" s="693"/>
    </row>
    <row r="25" spans="1:21">
      <c r="A25" s="10">
        <f>A20+1</f>
        <v>59</v>
      </c>
      <c r="B25" t="str">
        <f>Produits!$B$4</f>
        <v>Grains collectés</v>
      </c>
      <c r="C25" t="str">
        <f>Secteurs!$B$9</f>
        <v>Amidonnerie / Glutennerie</v>
      </c>
      <c r="D25" s="29">
        <f>'Amidonnerie - Diverses'!G8</f>
        <v>0.26900000000000002</v>
      </c>
      <c r="G25" s="10" t="str">
        <f>Etiquettes!$C$3</f>
        <v>kt</v>
      </c>
      <c r="H25" s="10" t="str">
        <f>Etiquettes!$I$6</f>
        <v>Maïs</v>
      </c>
      <c r="I25" s="10" t="str">
        <f>Etiquettes!$C$5</f>
        <v>2015-16:2019-20:2023-24</v>
      </c>
      <c r="J25" s="10" t="str">
        <f>Etiquettes!$C$4</f>
        <v>France entière</v>
      </c>
      <c r="K25" s="604"/>
      <c r="L25" s="604"/>
      <c r="M25" s="604"/>
      <c r="N25" s="604"/>
      <c r="U25" s="693"/>
    </row>
    <row r="26" spans="1:21">
      <c r="A26" s="10">
        <f t="shared" ref="A26:A27" si="5">A21+1</f>
        <v>59</v>
      </c>
      <c r="B26" t="str">
        <f>Produits!$B$50</f>
        <v>Stock initial</v>
      </c>
      <c r="C26" t="str">
        <f>Secteurs!$B$9</f>
        <v>Amidonnerie / Glutennerie</v>
      </c>
      <c r="D26" s="462">
        <f>'Amidonnerie - Diverses'!G8</f>
        <v>0.26900000000000002</v>
      </c>
      <c r="G26" s="10" t="str">
        <f>Etiquettes!$C$3</f>
        <v>kt</v>
      </c>
      <c r="H26" s="10" t="str">
        <f>Etiquettes!$I$6</f>
        <v>Maïs</v>
      </c>
      <c r="I26" s="10" t="str">
        <f>Etiquettes!$C$5</f>
        <v>2015-16:2019-20:2023-24</v>
      </c>
      <c r="J26" s="10" t="str">
        <f>Etiquettes!$C$4</f>
        <v>France entière</v>
      </c>
      <c r="U26" s="693"/>
    </row>
    <row r="27" spans="1:21">
      <c r="A27" s="10">
        <f t="shared" si="5"/>
        <v>59</v>
      </c>
      <c r="B27" t="str">
        <f>Secteurs!$B$9</f>
        <v>Amidonnerie / Glutennerie</v>
      </c>
      <c r="C27" t="str">
        <f>Produits!$B$51</f>
        <v>Stock final</v>
      </c>
      <c r="D27" s="462">
        <f>-'Amidonnerie - Diverses'!G8</f>
        <v>-0.26900000000000002</v>
      </c>
      <c r="G27" s="10" t="str">
        <f>Etiquettes!$C$3</f>
        <v>kt</v>
      </c>
      <c r="H27" s="10" t="str">
        <f>Etiquettes!$I$6</f>
        <v>Maïs</v>
      </c>
      <c r="I27" s="10" t="str">
        <f>Etiquettes!$C$5</f>
        <v>2015-16:2019-20:2023-24</v>
      </c>
      <c r="J27" s="10" t="str">
        <f>Etiquettes!$C$4</f>
        <v>France entière</v>
      </c>
      <c r="U27" s="693"/>
    </row>
    <row r="28" spans="1:21">
      <c r="A28" s="10">
        <f>A24+1</f>
        <v>59</v>
      </c>
      <c r="B28" t="str">
        <f>Secteurs!$B$9</f>
        <v>Amidonnerie / Glutennerie</v>
      </c>
      <c r="C28" t="str">
        <f>Produits!$B$14</f>
        <v>Corn gluten feed, drèches et solubles</v>
      </c>
      <c r="D28">
        <v>-1</v>
      </c>
      <c r="G28" s="10" t="str">
        <f>Etiquettes!$C$3</f>
        <v>kt</v>
      </c>
      <c r="H28" s="10" t="str">
        <f>Etiquettes!$I$6</f>
        <v>Maïs</v>
      </c>
      <c r="I28" s="10" t="str">
        <f>Etiquettes!$C$5</f>
        <v>2015-16:2019-20:2023-24</v>
      </c>
      <c r="J28" s="10" t="str">
        <f>Etiquettes!$C$4</f>
        <v>France entière</v>
      </c>
      <c r="K28" s="604" t="s">
        <v>1607</v>
      </c>
      <c r="L28" s="604"/>
      <c r="M28" s="604" t="s">
        <v>1592</v>
      </c>
      <c r="N28" s="604" t="str" cm="1">
        <f t="array" aca="1" ref="N28" ca="1">[1]!NOM_FEUILLE('Amidonnerie - Diverses'!$A$1)</f>
        <v>Amidonnerie - Diverses</v>
      </c>
      <c r="O28" s="10" t="str">
        <f>Etiquettes!$I$11</f>
        <v>Rendement</v>
      </c>
      <c r="P28" t="str">
        <f>_xlfn.CONCAT(K28," = ",MROUND(D25*100,0.01)," % (",M28,")")</f>
        <v>Rendement en corn gluten feed, drèches et solubles de l'Amidonnerie = 26,9 % (Bilans d'approvisionnement agroalimentaire - SSP)</v>
      </c>
      <c r="Q28" s="10" t="str">
        <f>Etiquettes!$K$15</f>
        <v>Approximative</v>
      </c>
      <c r="R28" s="642" t="s">
        <v>1813</v>
      </c>
      <c r="S28" s="603" t="str">
        <f>Etiquettes!$H$17</f>
        <v>Donnée collectée (valeur du flux ou coefficient)</v>
      </c>
      <c r="U28" s="693"/>
    </row>
    <row r="29" spans="1:21">
      <c r="A29" s="10">
        <f>A25+1</f>
        <v>60</v>
      </c>
      <c r="B29" t="str">
        <f>Produits!$B$4</f>
        <v>Grains collectés</v>
      </c>
      <c r="C29" t="str">
        <f>Secteurs!$B$9</f>
        <v>Amidonnerie / Glutennerie</v>
      </c>
      <c r="D29" s="29">
        <f>'Amidonnerie - Diverses'!G13</f>
        <v>2.9000000000000001E-2</v>
      </c>
      <c r="G29" s="10" t="str">
        <f>Etiquettes!$C$3</f>
        <v>kt</v>
      </c>
      <c r="H29" s="10" t="str">
        <f>Etiquettes!$I$6</f>
        <v>Maïs</v>
      </c>
      <c r="I29" s="10" t="str">
        <f>Etiquettes!$C$5</f>
        <v>2015-16:2019-20:2023-24</v>
      </c>
      <c r="J29" s="10" t="str">
        <f>Etiquettes!$C$4</f>
        <v>France entière</v>
      </c>
      <c r="K29" s="604"/>
      <c r="L29" s="604"/>
      <c r="M29" s="604"/>
      <c r="N29" s="604"/>
      <c r="U29" s="693"/>
    </row>
    <row r="30" spans="1:21">
      <c r="A30" s="10">
        <f t="shared" ref="A30:A31" si="6">A25+1</f>
        <v>60</v>
      </c>
      <c r="B30" t="str">
        <f>Produits!$B$50</f>
        <v>Stock initial</v>
      </c>
      <c r="C30" t="str">
        <f>Secteurs!$B$9</f>
        <v>Amidonnerie / Glutennerie</v>
      </c>
      <c r="D30" s="462">
        <f>'Amidonnerie - Diverses'!G13</f>
        <v>2.9000000000000001E-2</v>
      </c>
      <c r="G30" s="10" t="str">
        <f>Etiquettes!$C$3</f>
        <v>kt</v>
      </c>
      <c r="H30" s="10" t="str">
        <f>Etiquettes!$I$6</f>
        <v>Maïs</v>
      </c>
      <c r="I30" s="10" t="str">
        <f>Etiquettes!$C$5</f>
        <v>2015-16:2019-20:2023-24</v>
      </c>
      <c r="J30" s="10" t="str">
        <f>Etiquettes!$C$4</f>
        <v>France entière</v>
      </c>
      <c r="U30" s="693"/>
    </row>
    <row r="31" spans="1:21">
      <c r="A31" s="10">
        <f t="shared" si="6"/>
        <v>60</v>
      </c>
      <c r="B31" t="str">
        <f>Secteurs!$B$9</f>
        <v>Amidonnerie / Glutennerie</v>
      </c>
      <c r="C31" t="str">
        <f>Produits!$B$51</f>
        <v>Stock final</v>
      </c>
      <c r="D31" s="462">
        <f>-'Amidonnerie - Diverses'!G13</f>
        <v>-2.9000000000000001E-2</v>
      </c>
      <c r="G31" s="10" t="str">
        <f>Etiquettes!$C$3</f>
        <v>kt</v>
      </c>
      <c r="H31" s="10" t="str">
        <f>Etiquettes!$I$6</f>
        <v>Maïs</v>
      </c>
      <c r="I31" s="10" t="str">
        <f>Etiquettes!$C$5</f>
        <v>2015-16:2019-20:2023-24</v>
      </c>
      <c r="J31" s="10" t="str">
        <f>Etiquettes!$C$4</f>
        <v>France entière</v>
      </c>
      <c r="U31" s="693"/>
    </row>
    <row r="32" spans="1:21">
      <c r="A32" s="10">
        <f>A28+1</f>
        <v>60</v>
      </c>
      <c r="B32" t="str">
        <f>Secteurs!$B$9</f>
        <v>Amidonnerie / Glutennerie</v>
      </c>
      <c r="C32" t="str">
        <f>Produits!$B$15</f>
        <v>Huile</v>
      </c>
      <c r="D32">
        <v>-1</v>
      </c>
      <c r="G32" s="10" t="str">
        <f>Etiquettes!$C$3</f>
        <v>kt</v>
      </c>
      <c r="H32" s="10" t="str">
        <f>Etiquettes!$I$6</f>
        <v>Maïs</v>
      </c>
      <c r="I32" s="10" t="str">
        <f>Etiquettes!$C$5</f>
        <v>2015-16:2019-20:2023-24</v>
      </c>
      <c r="J32" s="10" t="str">
        <f>Etiquettes!$C$4</f>
        <v>France entière</v>
      </c>
      <c r="K32" s="604" t="s">
        <v>1608</v>
      </c>
      <c r="L32" s="604"/>
      <c r="M32" s="604" t="s">
        <v>1592</v>
      </c>
      <c r="N32" s="604" t="str" cm="1">
        <f t="array" aca="1" ref="N32" ca="1">[1]!NOM_FEUILLE('Amidonnerie - Diverses'!$A$1)</f>
        <v>Amidonnerie - Diverses</v>
      </c>
      <c r="O32" s="10" t="str">
        <f>Etiquettes!$I$11</f>
        <v>Rendement</v>
      </c>
      <c r="P32" t="str">
        <f t="shared" ref="P32" si="7">_xlfn.CONCAT(K32," = ",MROUND(D29*100,0.01)," % (",M32,")")</f>
        <v>Rendement en huile de l'Amidonnerie = 2,9 % (Bilans d'approvisionnement agroalimentaire - SSP)</v>
      </c>
      <c r="Q32" s="10" t="str">
        <f>Etiquettes!$K$15</f>
        <v>Approximative</v>
      </c>
      <c r="R32" s="642" t="s">
        <v>1813</v>
      </c>
      <c r="S32" s="603" t="str">
        <f>Etiquettes!$H$17</f>
        <v>Donnée collectée (valeur du flux ou coefficient)</v>
      </c>
      <c r="U32" s="693"/>
    </row>
    <row r="33" spans="1:21">
      <c r="A33" s="10">
        <f>A29+1</f>
        <v>61</v>
      </c>
      <c r="B33" t="str">
        <f>Produits!$B$4</f>
        <v>Grains collectés</v>
      </c>
      <c r="C33" t="str">
        <f>Secteurs!$B$9</f>
        <v>Amidonnerie / Glutennerie</v>
      </c>
      <c r="D33" s="29">
        <f>'Amidonnerie - Diverses'!G12</f>
        <v>3.2000000000000001E-2</v>
      </c>
      <c r="G33" s="10" t="str">
        <f>Etiquettes!$C$3</f>
        <v>kt</v>
      </c>
      <c r="H33" s="10" t="str">
        <f>Etiquettes!$I$6</f>
        <v>Maïs</v>
      </c>
      <c r="I33" s="10" t="str">
        <f>Etiquettes!$C$5</f>
        <v>2015-16:2019-20:2023-24</v>
      </c>
      <c r="J33" s="10" t="str">
        <f>Etiquettes!$C$4</f>
        <v>France entière</v>
      </c>
      <c r="K33" s="604"/>
      <c r="L33" s="604"/>
      <c r="M33" s="604"/>
      <c r="N33" s="604"/>
      <c r="U33" s="693"/>
    </row>
    <row r="34" spans="1:21">
      <c r="A34" s="10">
        <f t="shared" ref="A34:A35" si="8">A29+1</f>
        <v>61</v>
      </c>
      <c r="B34" t="str">
        <f>Produits!$B$50</f>
        <v>Stock initial</v>
      </c>
      <c r="C34" t="str">
        <f>Secteurs!$B$9</f>
        <v>Amidonnerie / Glutennerie</v>
      </c>
      <c r="D34" s="462">
        <f>'Amidonnerie - Diverses'!G12</f>
        <v>3.2000000000000001E-2</v>
      </c>
      <c r="G34" s="10" t="str">
        <f>Etiquettes!$C$3</f>
        <v>kt</v>
      </c>
      <c r="H34" s="10" t="str">
        <f>Etiquettes!$I$6</f>
        <v>Maïs</v>
      </c>
      <c r="I34" s="10" t="str">
        <f>Etiquettes!$C$5</f>
        <v>2015-16:2019-20:2023-24</v>
      </c>
      <c r="J34" s="10" t="str">
        <f>Etiquettes!$C$4</f>
        <v>France entière</v>
      </c>
      <c r="U34" s="693"/>
    </row>
    <row r="35" spans="1:21">
      <c r="A35" s="10">
        <f t="shared" si="8"/>
        <v>61</v>
      </c>
      <c r="B35" t="str">
        <f>Secteurs!$B$9</f>
        <v>Amidonnerie / Glutennerie</v>
      </c>
      <c r="C35" t="str">
        <f>Produits!$B$51</f>
        <v>Stock final</v>
      </c>
      <c r="D35" s="462">
        <f>-'Amidonnerie - Diverses'!G12</f>
        <v>-3.2000000000000001E-2</v>
      </c>
      <c r="G35" s="10" t="str">
        <f>Etiquettes!$C$3</f>
        <v>kt</v>
      </c>
      <c r="H35" s="10" t="str">
        <f>Etiquettes!$I$6</f>
        <v>Maïs</v>
      </c>
      <c r="I35" s="10" t="str">
        <f>Etiquettes!$C$5</f>
        <v>2015-16:2019-20:2023-24</v>
      </c>
      <c r="J35" s="10" t="str">
        <f>Etiquettes!$C$4</f>
        <v>France entière</v>
      </c>
      <c r="U35" s="693"/>
    </row>
    <row r="36" spans="1:21">
      <c r="A36" s="10">
        <f>A32+1</f>
        <v>61</v>
      </c>
      <c r="B36" t="str">
        <f>Secteurs!$B$9</f>
        <v>Amidonnerie / Glutennerie</v>
      </c>
      <c r="C36" t="str">
        <f>Produits!$B$16</f>
        <v>Tourteaux</v>
      </c>
      <c r="D36">
        <v>-1</v>
      </c>
      <c r="G36" s="10" t="str">
        <f>Etiquettes!$C$3</f>
        <v>kt</v>
      </c>
      <c r="H36" s="10" t="str">
        <f>Etiquettes!$I$6</f>
        <v>Maïs</v>
      </c>
      <c r="I36" s="10" t="str">
        <f>Etiquettes!$C$5</f>
        <v>2015-16:2019-20:2023-24</v>
      </c>
      <c r="J36" s="10" t="str">
        <f>Etiquettes!$C$4</f>
        <v>France entière</v>
      </c>
      <c r="K36" s="604" t="s">
        <v>1609</v>
      </c>
      <c r="L36" s="604"/>
      <c r="M36" s="604" t="s">
        <v>1592</v>
      </c>
      <c r="N36" s="604" t="str" cm="1">
        <f t="array" aca="1" ref="N36" ca="1">[1]!NOM_FEUILLE('Amidonnerie - Diverses'!$A$1)</f>
        <v>Amidonnerie - Diverses</v>
      </c>
      <c r="O36" s="10" t="str">
        <f>Etiquettes!$I$11</f>
        <v>Rendement</v>
      </c>
      <c r="P36" t="str">
        <f t="shared" ref="P36" si="9">_xlfn.CONCAT(K36," = ",MROUND(D33*100,0.01)," % (",M36,")")</f>
        <v>Rendement tourteaux de l'Amidonnerie = 3,2 % (Bilans d'approvisionnement agroalimentaire - SSP)</v>
      </c>
      <c r="Q36" s="10" t="str">
        <f>Etiquettes!$K$15</f>
        <v>Approximative</v>
      </c>
      <c r="R36" s="642" t="s">
        <v>1813</v>
      </c>
      <c r="S36" s="603" t="str">
        <f>Etiquettes!$H$17</f>
        <v>Donnée collectée (valeur du flux ou coefficient)</v>
      </c>
      <c r="U36" s="693"/>
    </row>
    <row r="37" spans="1:21" ht="14.4" customHeight="1">
      <c r="A37" s="10">
        <f>A33+1</f>
        <v>62</v>
      </c>
      <c r="B37" t="str">
        <f>Produits!$B$11</f>
        <v>Amidon</v>
      </c>
      <c r="C37" t="str">
        <f>Secteurs!$B$20</f>
        <v>Débouchés</v>
      </c>
      <c r="D37" s="29">
        <f>'Amidonnerie - Diverses'!I9</f>
        <v>0.55000000000000004</v>
      </c>
      <c r="G37" s="10" t="str">
        <f>Etiquettes!$C$3</f>
        <v>kt</v>
      </c>
      <c r="H37" s="10" t="s">
        <v>1245</v>
      </c>
      <c r="I37" s="10" t="str">
        <f>Etiquettes!$C$5</f>
        <v>2015-16:2019-20:2023-24</v>
      </c>
      <c r="J37" s="10" t="str">
        <f>Etiquettes!$C$4</f>
        <v>France entière</v>
      </c>
      <c r="K37" s="604"/>
      <c r="L37" s="604"/>
      <c r="M37" s="604"/>
      <c r="N37" s="604"/>
      <c r="U37" s="693" t="s">
        <v>1228</v>
      </c>
    </row>
    <row r="38" spans="1:21">
      <c r="A38" s="10">
        <f t="shared" si="4"/>
        <v>62</v>
      </c>
      <c r="B38" t="str">
        <f>Produits!$B$11</f>
        <v>Amidon</v>
      </c>
      <c r="C38" t="str">
        <f>Secteurs!$B$30</f>
        <v>Autres IAA</v>
      </c>
      <c r="D38">
        <v>-1</v>
      </c>
      <c r="G38" s="10" t="str">
        <f>Etiquettes!$C$3</f>
        <v>kt</v>
      </c>
      <c r="H38" s="10" t="s">
        <v>1245</v>
      </c>
      <c r="I38" s="10" t="str">
        <f>Etiquettes!$C$5</f>
        <v>2015-16:2019-20:2023-24</v>
      </c>
      <c r="J38" s="10" t="str">
        <f>Etiquettes!$C$4</f>
        <v>France entière</v>
      </c>
      <c r="K38" s="604" t="s">
        <v>1610</v>
      </c>
      <c r="L38" s="604"/>
      <c r="M38" s="604" t="s">
        <v>1614</v>
      </c>
      <c r="N38" s="604" t="str" cm="1">
        <f t="array" aca="1" ref="N38" ca="1">[1]!NOM_FEUILLE('Amidonnerie - Diverses'!$A$1)</f>
        <v>Amidonnerie - Diverses</v>
      </c>
      <c r="O38" s="10" t="str">
        <f>Etiquettes!$J$11</f>
        <v>Répartition</v>
      </c>
      <c r="P38" t="str">
        <f t="shared" ref="P38" si="10">_xlfn.CONCAT(K38," = ",MROUND(D37*100,0.01)," % (",M38,")")</f>
        <v>Part de consommation d'amidon par les autres IAA = 55 % (Chiffres clés - USIPA)</v>
      </c>
      <c r="Q38" s="10" t="str">
        <f>Etiquettes!$K$15</f>
        <v>Approximative</v>
      </c>
      <c r="R38" s="642" t="s">
        <v>1813</v>
      </c>
      <c r="S38" s="603" t="str">
        <f>Etiquettes!$H$17</f>
        <v>Donnée collectée (valeur du flux ou coefficient)</v>
      </c>
      <c r="U38" s="693"/>
    </row>
    <row r="39" spans="1:21">
      <c r="A39" s="10">
        <f t="shared" si="4"/>
        <v>63</v>
      </c>
      <c r="B39" t="str">
        <f>Produits!$B$11</f>
        <v>Amidon</v>
      </c>
      <c r="C39" t="str">
        <f>Secteurs!$B$20</f>
        <v>Débouchés</v>
      </c>
      <c r="D39" s="29">
        <f>'Amidonnerie - Diverses'!I10</f>
        <v>0.45</v>
      </c>
      <c r="G39" s="10" t="str">
        <f>Etiquettes!$C$3</f>
        <v>kt</v>
      </c>
      <c r="H39" s="10" t="s">
        <v>1245</v>
      </c>
      <c r="I39" s="10" t="str">
        <f>Etiquettes!$C$5</f>
        <v>2015-16:2019-20:2023-24</v>
      </c>
      <c r="J39" s="10" t="str">
        <f>Etiquettes!$C$4</f>
        <v>France entière</v>
      </c>
      <c r="K39" s="604"/>
      <c r="L39" s="604"/>
      <c r="M39" s="604"/>
      <c r="N39" s="604"/>
      <c r="U39" s="693"/>
    </row>
    <row r="40" spans="1:21">
      <c r="A40" s="10">
        <f t="shared" si="4"/>
        <v>63</v>
      </c>
      <c r="B40" t="str">
        <f>Produits!$B$11</f>
        <v>Amidon</v>
      </c>
      <c r="C40" t="str">
        <f>Secteurs!$B$50</f>
        <v>Autres industries</v>
      </c>
      <c r="D40">
        <v>-1</v>
      </c>
      <c r="G40" s="10" t="str">
        <f>Etiquettes!$C$3</f>
        <v>kt</v>
      </c>
      <c r="H40" s="10" t="s">
        <v>1245</v>
      </c>
      <c r="I40" s="10" t="str">
        <f>Etiquettes!$C$5</f>
        <v>2015-16:2019-20:2023-24</v>
      </c>
      <c r="J40" s="10" t="str">
        <f>Etiquettes!$C$4</f>
        <v>France entière</v>
      </c>
      <c r="K40" s="604" t="s">
        <v>1611</v>
      </c>
      <c r="L40" s="604"/>
      <c r="M40" s="604" t="s">
        <v>1614</v>
      </c>
      <c r="N40" s="604" t="str" cm="1">
        <f t="array" aca="1" ref="N40" ca="1">[1]!NOM_FEUILLE('Amidonnerie - Diverses'!$A$1)</f>
        <v>Amidonnerie - Diverses</v>
      </c>
      <c r="O40" s="10" t="str">
        <f>Etiquettes!$J$11</f>
        <v>Répartition</v>
      </c>
      <c r="P40" t="str">
        <f t="shared" ref="P40" si="11">_xlfn.CONCAT(K40," = ",MROUND(D39*100,0.01)," % (",M40,")")</f>
        <v>Part de consommation d'amidon par les autres industries = 45 % (Chiffres clés - USIPA)</v>
      </c>
      <c r="Q40" s="10" t="str">
        <f>Etiquettes!$K$15</f>
        <v>Approximative</v>
      </c>
      <c r="R40" s="642" t="s">
        <v>1813</v>
      </c>
      <c r="S40" s="603" t="str">
        <f>Etiquettes!$H$17</f>
        <v>Donnée collectée (valeur du flux ou coefficient)</v>
      </c>
      <c r="U40" s="693"/>
    </row>
    <row r="41" spans="1:21">
      <c r="A41" s="10">
        <f t="shared" si="4"/>
        <v>64</v>
      </c>
      <c r="B41" t="str">
        <f>Produits!$B$12</f>
        <v>Gluten</v>
      </c>
      <c r="C41" t="str">
        <f>Secteurs!$B$20</f>
        <v>Débouchés</v>
      </c>
      <c r="D41" s="29">
        <f>'Amidonnerie - Diverses'!D28</f>
        <v>1</v>
      </c>
      <c r="G41" s="10" t="str">
        <f>Etiquettes!$C$3</f>
        <v>kt</v>
      </c>
      <c r="H41" s="10" t="str">
        <f>Etiquettes!$H$6</f>
        <v>Blé tendre</v>
      </c>
      <c r="I41" s="10" t="str">
        <f>Etiquettes!$C$5</f>
        <v>2015-16:2019-20:2023-24</v>
      </c>
      <c r="J41" s="10" t="str">
        <f>Etiquettes!$C$4</f>
        <v>France entière</v>
      </c>
      <c r="K41" s="604"/>
      <c r="L41" s="604"/>
      <c r="M41" s="604"/>
      <c r="N41" s="604"/>
      <c r="U41" s="693"/>
    </row>
    <row r="42" spans="1:21">
      <c r="A42" s="10">
        <f t="shared" si="4"/>
        <v>64</v>
      </c>
      <c r="B42" t="str">
        <f>Produits!$B$12</f>
        <v>Gluten</v>
      </c>
      <c r="C42" t="str">
        <f>Secteurs!$B$30</f>
        <v>Autres IAA</v>
      </c>
      <c r="D42">
        <v>-1</v>
      </c>
      <c r="G42" s="10" t="str">
        <f>Etiquettes!$C$3</f>
        <v>kt</v>
      </c>
      <c r="H42" s="10" t="str">
        <f>Etiquettes!$H$6</f>
        <v>Blé tendre</v>
      </c>
      <c r="I42" s="10" t="str">
        <f>Etiquettes!$C$5</f>
        <v>2015-16:2019-20:2023-24</v>
      </c>
      <c r="J42" s="10" t="str">
        <f>Etiquettes!$C$4</f>
        <v>France entière</v>
      </c>
      <c r="K42" s="604" t="s">
        <v>1612</v>
      </c>
      <c r="L42" s="604"/>
      <c r="M42" s="604" t="s">
        <v>1155</v>
      </c>
      <c r="N42" s="604" t="str" cm="1">
        <f t="array" aca="1" ref="N42" ca="1">[1]!NOM_FEUILLE('Amidonnerie - Diverses'!$A$1)</f>
        <v>Amidonnerie - Diverses</v>
      </c>
      <c r="O42" s="10" t="str">
        <f>Etiquettes!$J$11</f>
        <v>Répartition</v>
      </c>
      <c r="P42" t="str">
        <f t="shared" ref="P42" si="12">_xlfn.CONCAT(K42," = ",MROUND(D41*100,0.01)," % (",M42,")")</f>
        <v>Part de consommation de gluten par les autres IAA = 100 % (Valeur arbitraire)</v>
      </c>
      <c r="Q42" s="10" t="str">
        <f>Etiquettes!$K$15</f>
        <v>Approximative</v>
      </c>
      <c r="R42" s="642" t="s">
        <v>1813</v>
      </c>
      <c r="S42" s="603" t="str">
        <f>Etiquettes!$H$17</f>
        <v>Donnée collectée (valeur du flux ou coefficient)</v>
      </c>
      <c r="U42" s="693"/>
    </row>
    <row r="43" spans="1:21">
      <c r="A43" s="10">
        <f t="shared" si="4"/>
        <v>65</v>
      </c>
      <c r="B43" t="str">
        <f>Produits!$B$12</f>
        <v>Gluten</v>
      </c>
      <c r="C43" t="str">
        <f>Secteurs!$B$20</f>
        <v>Débouchés</v>
      </c>
      <c r="D43" s="29">
        <f>'Amidonnerie - Diverses'!I11</f>
        <v>1</v>
      </c>
      <c r="G43" s="10" t="str">
        <f>Etiquettes!$C$3</f>
        <v>kt</v>
      </c>
      <c r="H43" s="10" t="str">
        <f>Etiquettes!$I$6</f>
        <v>Maïs</v>
      </c>
      <c r="I43" s="10" t="str">
        <f>Etiquettes!$C$5</f>
        <v>2015-16:2019-20:2023-24</v>
      </c>
      <c r="J43" s="10" t="str">
        <f>Etiquettes!$C$4</f>
        <v>France entière</v>
      </c>
      <c r="K43" s="604"/>
      <c r="L43" s="604"/>
      <c r="M43" s="604"/>
      <c r="N43" s="604"/>
      <c r="U43" s="693"/>
    </row>
    <row r="44" spans="1:21">
      <c r="A44" s="10">
        <f t="shared" si="4"/>
        <v>65</v>
      </c>
      <c r="B44" t="str">
        <f>Produits!$B$12</f>
        <v>Gluten</v>
      </c>
      <c r="C44" t="str">
        <f>Secteurs!$B$33</f>
        <v>FAB</v>
      </c>
      <c r="D44">
        <v>-1</v>
      </c>
      <c r="G44" s="10" t="str">
        <f>Etiquettes!$C$3</f>
        <v>kt</v>
      </c>
      <c r="H44" s="10" t="str">
        <f>Etiquettes!$I$6</f>
        <v>Maïs</v>
      </c>
      <c r="I44" s="10" t="str">
        <f>Etiquettes!$C$5</f>
        <v>2015-16:2019-20:2023-24</v>
      </c>
      <c r="J44" s="10" t="str">
        <f>Etiquettes!$C$4</f>
        <v>France entière</v>
      </c>
      <c r="K44" s="604" t="s">
        <v>1613</v>
      </c>
      <c r="L44" s="604"/>
      <c r="M44" s="604" t="s">
        <v>1602</v>
      </c>
      <c r="N44" s="604" t="str" cm="1">
        <f t="array" aca="1" ref="N44" ca="1">[1]!NOM_FEUILLE('Amidonnerie - Diverses'!$A$1)</f>
        <v>Amidonnerie - Diverses</v>
      </c>
      <c r="O44" s="10" t="str">
        <f>Etiquettes!$J$11</f>
        <v>Répartition</v>
      </c>
      <c r="P44" t="str">
        <f t="shared" ref="P44" si="13">_xlfn.CONCAT(K44," = ",MROUND(D43*100,0.01)," % (",M44,")")</f>
        <v>Part de consommation de gluten par les FAB = 100 % (Gisements et valorisations des coproduits des industries agroalimentaires - Réséda)</v>
      </c>
      <c r="Q44" s="10" t="str">
        <f>Etiquettes!$K$15</f>
        <v>Approximative</v>
      </c>
      <c r="R44" s="642" t="s">
        <v>1813</v>
      </c>
      <c r="S44" s="603" t="str">
        <f>Etiquettes!$H$17</f>
        <v>Donnée collectée (valeur du flux ou coefficient)</v>
      </c>
      <c r="U44" s="693"/>
    </row>
  </sheetData>
  <mergeCells count="2">
    <mergeCell ref="U2:U36"/>
    <mergeCell ref="U37:U44"/>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8CC0-9119-44C1-8BF2-AC28FEC3B221}">
  <sheetPr>
    <tabColor theme="1"/>
  </sheetPr>
  <dimension ref="A1:Q1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13" ca="1">_xlfn._xlws.FILTER('Contraintes    '!G1:S219,ISTEXT('Contraintes    '!O1:O219))</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3">_xlfn._xlws.FILTER('Contraintes    '!B2:C219,ISTEXT('Contraintes    '!O2:O219))</f>
        <v>Amidonnerie / Glutennerie</v>
      </c>
      <c r="B2" t="str">
        <v>Amidon</v>
      </c>
      <c r="E2" t="str">
        <f ca="1"/>
        <v>kt</v>
      </c>
      <c r="F2" t="str">
        <f ca="1"/>
        <v>Blé tendre</v>
      </c>
      <c r="G2" t="str">
        <f ca="1"/>
        <v>2015-16:2019-20:2023-24</v>
      </c>
      <c r="H2" t="str">
        <f ca="1"/>
        <v>France entière</v>
      </c>
      <c r="I2" t="str">
        <f ca="1"/>
        <v>Rendement en amidon de l'Amidonnerie</v>
      </c>
      <c r="J2" t="str">
        <f ca="1"/>
        <v>Même rendement de transformation à partir de farine qu'à partir de grains (alors qu'en réalité le rendement devrait être un peu meilleur car les sons ont déjà été séparés des grains)</v>
      </c>
      <c r="K2" t="str">
        <f ca="1"/>
        <v>Chiffres clés - USIPA</v>
      </c>
      <c r="L2" t="str">
        <f ca="1"/>
        <v>Amidonnerie - Diverses</v>
      </c>
      <c r="M2" t="str">
        <f ca="1"/>
        <v>Rendement</v>
      </c>
      <c r="N2" t="str">
        <f ca="1"/>
        <v>Rendement en amidon de l'Amidonnerie = 52,63 % (Chiffres clés - USIPA)</v>
      </c>
      <c r="O2" t="str">
        <f ca="1"/>
        <v>Approximative</v>
      </c>
      <c r="P2" t="str">
        <f ca="1"/>
        <v>Données collectées:Données déterminées</v>
      </c>
      <c r="Q2" t="str">
        <f ca="1"/>
        <v>Donnée collectée (valeur du flux ou coefficient)</v>
      </c>
    </row>
    <row r="3" spans="1:17">
      <c r="A3" t="str">
        <v>Amidonnerie / Glutennerie</v>
      </c>
      <c r="B3" t="str">
        <v>Amidon</v>
      </c>
      <c r="E3" t="str">
        <f ca="1"/>
        <v>kt</v>
      </c>
      <c r="F3" t="str">
        <f ca="1"/>
        <v>Maïs</v>
      </c>
      <c r="G3" t="str">
        <f ca="1"/>
        <v>2015-16:2019-20:2023-24</v>
      </c>
      <c r="H3" t="str">
        <f ca="1"/>
        <v>France entière</v>
      </c>
      <c r="I3" t="str">
        <f ca="1"/>
        <v>Rendement en amidon de l'Amidonnerie</v>
      </c>
      <c r="J3">
        <f ca="1"/>
        <v>0</v>
      </c>
      <c r="K3" t="str">
        <f ca="1"/>
        <v>Chiffres clés - USIPA</v>
      </c>
      <c r="L3" t="str">
        <f ca="1"/>
        <v>Amidonnerie - Diverses</v>
      </c>
      <c r="M3" t="str">
        <f ca="1"/>
        <v>Rendement</v>
      </c>
      <c r="N3" t="str">
        <f ca="1"/>
        <v>Rendement en amidon de l'Amidonnerie = 62,5 % (Chiffres clés - USIPA)</v>
      </c>
      <c r="O3" t="str">
        <f ca="1"/>
        <v>Approximative</v>
      </c>
      <c r="P3" t="str">
        <f ca="1"/>
        <v>Données collectées:Données déterminées</v>
      </c>
      <c r="Q3" t="str">
        <f ca="1"/>
        <v>Donnée collectée (valeur du flux ou coefficient)</v>
      </c>
    </row>
    <row r="4" spans="1:17">
      <c r="A4" t="str">
        <v>Amidonnerie / Glutennerie</v>
      </c>
      <c r="B4" t="str">
        <v>Gluten</v>
      </c>
      <c r="E4" t="str">
        <f ca="1"/>
        <v>kt</v>
      </c>
      <c r="F4" t="str">
        <f ca="1"/>
        <v>Blé tendre</v>
      </c>
      <c r="G4" t="str">
        <f ca="1"/>
        <v>2015-16:2019-20:2023-24</v>
      </c>
      <c r="H4" t="str">
        <f ca="1"/>
        <v>France entière</v>
      </c>
      <c r="I4" t="str">
        <f ca="1"/>
        <v>Rendement en gluten de l'Amidonnerie</v>
      </c>
      <c r="J4" t="str">
        <f ca="1"/>
        <v>Même rendement de transformation à partir de farine qu'à partir de grains (alors qu'en réalité le rendement devrait être un peu meilleur car les sons ont déjà été séparés des grains)</v>
      </c>
      <c r="K4" t="str">
        <f ca="1"/>
        <v>CRC Normandie - Tereos</v>
      </c>
      <c r="L4" t="str">
        <f ca="1"/>
        <v>Amidonnerie - Diverses</v>
      </c>
      <c r="M4" t="str">
        <f ca="1"/>
        <v>Rendement</v>
      </c>
      <c r="N4" t="str">
        <f ca="1"/>
        <v>Rendement en gluten de l'Amidonnerie = 7,5 % (CRC Normandie - Tereos)</v>
      </c>
      <c r="O4" t="str">
        <f ca="1"/>
        <v>Approximative</v>
      </c>
      <c r="P4" t="str">
        <f ca="1"/>
        <v>Données collectées:Données déterminées</v>
      </c>
      <c r="Q4" t="str">
        <f ca="1"/>
        <v>Donnée collectée (valeur du flux ou coefficient)</v>
      </c>
    </row>
    <row r="5" spans="1:17">
      <c r="A5" t="str">
        <v>Amidonnerie / Glutennerie</v>
      </c>
      <c r="B5" t="str">
        <v>Gluten</v>
      </c>
      <c r="E5" t="str">
        <f ca="1"/>
        <v>kt</v>
      </c>
      <c r="F5" t="str">
        <f ca="1"/>
        <v>Maïs</v>
      </c>
      <c r="G5" t="str">
        <f ca="1"/>
        <v>2015-16:2019-20:2023-24</v>
      </c>
      <c r="H5" t="str">
        <f ca="1"/>
        <v>France entière</v>
      </c>
      <c r="I5" t="str">
        <f ca="1"/>
        <v>Rendement en gluten de l'Amidonnerie</v>
      </c>
      <c r="J5">
        <f ca="1"/>
        <v>0</v>
      </c>
      <c r="K5" t="str">
        <f ca="1"/>
        <v>Bilans d'approvisionnement agroalimentaire - SSP</v>
      </c>
      <c r="L5" t="str">
        <f ca="1"/>
        <v>Amidonnerie - Diverses</v>
      </c>
      <c r="M5" t="str">
        <f ca="1"/>
        <v>Rendement</v>
      </c>
      <c r="N5" t="str">
        <f ca="1"/>
        <v>Rendement en gluten de l'Amidonnerie = 4,5 % (Bilans d'approvisionnement agroalimentaire - SSP)</v>
      </c>
      <c r="O5" t="str">
        <f ca="1"/>
        <v>Approximative</v>
      </c>
      <c r="P5" t="str">
        <f ca="1"/>
        <v>Données collectées:Données déterminées</v>
      </c>
      <c r="Q5" t="str">
        <f ca="1"/>
        <v>Donnée collectée (valeur du flux ou coefficient)</v>
      </c>
    </row>
    <row r="6" spans="1:17">
      <c r="A6" t="str">
        <v>Amidonnerie / Glutennerie</v>
      </c>
      <c r="B6" t="str">
        <v>Wheat gluten feed et sons</v>
      </c>
      <c r="E6" t="str">
        <f ca="1"/>
        <v>kt</v>
      </c>
      <c r="F6" t="str">
        <f ca="1"/>
        <v>Blé tendre</v>
      </c>
      <c r="G6" t="str">
        <f ca="1"/>
        <v>2015-16:2019-20:2023-24</v>
      </c>
      <c r="H6" t="str">
        <f ca="1"/>
        <v>France entière</v>
      </c>
      <c r="I6" t="str">
        <f ca="1"/>
        <v>Rendement en Wheat gluten feed et sons de l'Amidonnerie</v>
      </c>
      <c r="J6" t="str">
        <f ca="1"/>
        <v>Même rendement de transformation à partir de farine qu'à partir de grains (alors qu'en réalité le rendement devrait être un peu meilleur car les sons ont déjà été séparés des grains)</v>
      </c>
      <c r="K6" t="str">
        <f ca="1"/>
        <v>Chiffres clés - USIPA</v>
      </c>
      <c r="L6" t="str">
        <f ca="1"/>
        <v>Amidonnerie - Diverses</v>
      </c>
      <c r="M6" t="str">
        <f ca="1"/>
        <v>Rendement</v>
      </c>
      <c r="N6" t="str">
        <f ca="1"/>
        <v>Rendement en Wheat gluten feed et sons de l'Amidonnerie = 39,87 % (Chiffres clés - USIPA)</v>
      </c>
      <c r="O6" t="str">
        <f ca="1"/>
        <v>Approximative</v>
      </c>
      <c r="P6" t="str">
        <f ca="1"/>
        <v>Données collectées:Données déterminées</v>
      </c>
      <c r="Q6" t="str">
        <f ca="1"/>
        <v>Donnée collectée (valeur du flux ou coefficient)</v>
      </c>
    </row>
    <row r="7" spans="1:17">
      <c r="A7" t="str">
        <v>Amidonnerie / Glutennerie</v>
      </c>
      <c r="B7" t="str">
        <v>Corn gluten feed, drèches et solubles</v>
      </c>
      <c r="E7" t="str">
        <f ca="1"/>
        <v>kt</v>
      </c>
      <c r="F7" t="str">
        <f ca="1"/>
        <v>Maïs</v>
      </c>
      <c r="G7" t="str">
        <f ca="1"/>
        <v>2015-16:2019-20:2023-24</v>
      </c>
      <c r="H7" t="str">
        <f ca="1"/>
        <v>France entière</v>
      </c>
      <c r="I7" t="str">
        <f ca="1"/>
        <v>Rendement en corn gluten feed, drèches et solubles de l'Amidonnerie</v>
      </c>
      <c r="J7">
        <f ca="1"/>
        <v>0</v>
      </c>
      <c r="K7" t="str">
        <f ca="1"/>
        <v>Bilans d'approvisionnement agroalimentaire - SSP</v>
      </c>
      <c r="L7" t="str">
        <f ca="1"/>
        <v>Amidonnerie - Diverses</v>
      </c>
      <c r="M7" t="str">
        <f ca="1"/>
        <v>Rendement</v>
      </c>
      <c r="N7" t="str">
        <f ca="1"/>
        <v>Rendement en corn gluten feed, drèches et solubles de l'Amidonnerie = 26,9 % (Bilans d'approvisionnement agroalimentaire - SSP)</v>
      </c>
      <c r="O7" t="str">
        <f ca="1"/>
        <v>Approximative</v>
      </c>
      <c r="P7" t="str">
        <f ca="1"/>
        <v>Données collectées:Données déterminées</v>
      </c>
      <c r="Q7" t="str">
        <f ca="1"/>
        <v>Donnée collectée (valeur du flux ou coefficient)</v>
      </c>
    </row>
    <row r="8" spans="1:17">
      <c r="A8" t="str">
        <v>Amidonnerie / Glutennerie</v>
      </c>
      <c r="B8" t="str">
        <v>Huile</v>
      </c>
      <c r="E8" t="str">
        <f ca="1"/>
        <v>kt</v>
      </c>
      <c r="F8" t="str">
        <f ca="1"/>
        <v>Maïs</v>
      </c>
      <c r="G8" t="str">
        <f ca="1"/>
        <v>2015-16:2019-20:2023-24</v>
      </c>
      <c r="H8" t="str">
        <f ca="1"/>
        <v>France entière</v>
      </c>
      <c r="I8" t="str">
        <f ca="1"/>
        <v>Rendement en huile de l'Amidonnerie</v>
      </c>
      <c r="J8">
        <f ca="1"/>
        <v>0</v>
      </c>
      <c r="K8" t="str">
        <f ca="1"/>
        <v>Bilans d'approvisionnement agroalimentaire - SSP</v>
      </c>
      <c r="L8" t="str">
        <f ca="1"/>
        <v>Amidonnerie - Diverses</v>
      </c>
      <c r="M8" t="str">
        <f ca="1"/>
        <v>Rendement</v>
      </c>
      <c r="N8" t="str">
        <f ca="1"/>
        <v>Rendement en huile de l'Amidonnerie = 2,9 % (Bilans d'approvisionnement agroalimentaire - SSP)</v>
      </c>
      <c r="O8" t="str">
        <f ca="1"/>
        <v>Approximative</v>
      </c>
      <c r="P8" t="str">
        <f ca="1"/>
        <v>Données collectées:Données déterminées</v>
      </c>
      <c r="Q8" t="str">
        <f ca="1"/>
        <v>Donnée collectée (valeur du flux ou coefficient)</v>
      </c>
    </row>
    <row r="9" spans="1:17">
      <c r="A9" t="str">
        <v>Amidonnerie / Glutennerie</v>
      </c>
      <c r="B9" t="str">
        <v>Tourteaux</v>
      </c>
      <c r="E9" t="str">
        <f ca="1"/>
        <v>kt</v>
      </c>
      <c r="F9" t="str">
        <f ca="1"/>
        <v>Maïs</v>
      </c>
      <c r="G9" t="str">
        <f ca="1"/>
        <v>2015-16:2019-20:2023-24</v>
      </c>
      <c r="H9" t="str">
        <f ca="1"/>
        <v>France entière</v>
      </c>
      <c r="I9" t="str">
        <f ca="1"/>
        <v>Rendement tourteaux de l'Amidonnerie</v>
      </c>
      <c r="J9">
        <f ca="1"/>
        <v>0</v>
      </c>
      <c r="K9" t="str">
        <f ca="1"/>
        <v>Bilans d'approvisionnement agroalimentaire - SSP</v>
      </c>
      <c r="L9" t="str">
        <f ca="1"/>
        <v>Amidonnerie - Diverses</v>
      </c>
      <c r="M9" t="str">
        <f ca="1"/>
        <v>Rendement</v>
      </c>
      <c r="N9" t="str">
        <f ca="1"/>
        <v>Rendement tourteaux de l'Amidonnerie = 3,2 % (Bilans d'approvisionnement agroalimentaire - SSP)</v>
      </c>
      <c r="O9" t="str">
        <f ca="1"/>
        <v>Approximative</v>
      </c>
      <c r="P9" t="str">
        <f ca="1"/>
        <v>Données collectées:Données déterminées</v>
      </c>
      <c r="Q9" t="str">
        <f ca="1"/>
        <v>Donnée collectée (valeur du flux ou coefficient)</v>
      </c>
    </row>
    <row r="10" spans="1:17">
      <c r="A10" t="str">
        <v>Amidon</v>
      </c>
      <c r="B10" t="str">
        <v>Autres IAA</v>
      </c>
      <c r="E10" t="str">
        <f ca="1"/>
        <v>kt</v>
      </c>
      <c r="F10" t="str">
        <f ca="1"/>
        <v>Blé tendre:Maïs</v>
      </c>
      <c r="G10" t="str">
        <f ca="1"/>
        <v>2015-16:2019-20:2023-24</v>
      </c>
      <c r="H10" t="str">
        <f ca="1"/>
        <v>France entière</v>
      </c>
      <c r="I10" t="str">
        <f ca="1"/>
        <v>Part de consommation d'amidon par les autres IAA</v>
      </c>
      <c r="J10">
        <f ca="1"/>
        <v>0</v>
      </c>
      <c r="K10" t="str">
        <f ca="1"/>
        <v>Chiffres clés - USIPA</v>
      </c>
      <c r="L10" t="str">
        <f ca="1"/>
        <v>Amidonnerie - Diverses</v>
      </c>
      <c r="M10" t="str">
        <f ca="1"/>
        <v>Répartition</v>
      </c>
      <c r="N10" t="str">
        <f ca="1"/>
        <v>Part de consommation d'amidon par les autres IAA = 55 % (Chiffres clés - USIPA)</v>
      </c>
      <c r="O10" t="str">
        <f ca="1"/>
        <v>Approximative</v>
      </c>
      <c r="P10" t="str">
        <f ca="1"/>
        <v>Données collectées:Données déterminées</v>
      </c>
      <c r="Q10" t="str">
        <f ca="1"/>
        <v>Donnée collectée (valeur du flux ou coefficient)</v>
      </c>
    </row>
    <row r="11" spans="1:17">
      <c r="A11" t="str">
        <v>Amidon</v>
      </c>
      <c r="B11" t="str">
        <v>Autres industries</v>
      </c>
      <c r="E11" t="str">
        <f ca="1"/>
        <v>kt</v>
      </c>
      <c r="F11" t="str">
        <f ca="1"/>
        <v>Blé tendre:Maïs</v>
      </c>
      <c r="G11" t="str">
        <f ca="1"/>
        <v>2015-16:2019-20:2023-24</v>
      </c>
      <c r="H11" t="str">
        <f ca="1"/>
        <v>France entière</v>
      </c>
      <c r="I11" t="str">
        <f ca="1"/>
        <v>Part de consommation d'amidon par les autres industries</v>
      </c>
      <c r="J11">
        <f ca="1"/>
        <v>0</v>
      </c>
      <c r="K11" t="str">
        <f ca="1"/>
        <v>Chiffres clés - USIPA</v>
      </c>
      <c r="L11" t="str">
        <f ca="1"/>
        <v>Amidonnerie - Diverses</v>
      </c>
      <c r="M11" t="str">
        <f ca="1"/>
        <v>Répartition</v>
      </c>
      <c r="N11" t="str">
        <f ca="1"/>
        <v>Part de consommation d'amidon par les autres industries = 45 % (Chiffres clés - USIPA)</v>
      </c>
      <c r="O11" t="str">
        <f ca="1"/>
        <v>Approximative</v>
      </c>
      <c r="P11" t="str">
        <f ca="1"/>
        <v>Données collectées:Données déterminées</v>
      </c>
      <c r="Q11" t="str">
        <f ca="1"/>
        <v>Donnée collectée (valeur du flux ou coefficient)</v>
      </c>
    </row>
    <row r="12" spans="1:17">
      <c r="A12" t="str">
        <v>Gluten</v>
      </c>
      <c r="B12" t="str">
        <v>Autres IAA</v>
      </c>
      <c r="E12" t="str">
        <f ca="1"/>
        <v>kt</v>
      </c>
      <c r="F12" t="str">
        <f ca="1"/>
        <v>Blé tendre</v>
      </c>
      <c r="G12" t="str">
        <f ca="1"/>
        <v>2015-16:2019-20:2023-24</v>
      </c>
      <c r="H12" t="str">
        <f ca="1"/>
        <v>France entière</v>
      </c>
      <c r="I12" t="str">
        <f ca="1"/>
        <v>Part de consommation de gluten par les autres IAA</v>
      </c>
      <c r="J12">
        <f ca="1"/>
        <v>0</v>
      </c>
      <c r="K12" t="str">
        <f ca="1"/>
        <v>Valeur arbitraire</v>
      </c>
      <c r="L12" t="str">
        <f ca="1"/>
        <v>Amidonnerie - Diverses</v>
      </c>
      <c r="M12" t="str">
        <f ca="1"/>
        <v>Répartition</v>
      </c>
      <c r="N12" t="str">
        <f ca="1"/>
        <v>Part de consommation de gluten par les autres IAA = 100 % (Valeur arbitraire)</v>
      </c>
      <c r="O12" t="str">
        <f ca="1"/>
        <v>Approximative</v>
      </c>
      <c r="P12" t="str">
        <f ca="1"/>
        <v>Données collectées:Données déterminées</v>
      </c>
      <c r="Q12" t="str">
        <f ca="1"/>
        <v>Donnée collectée (valeur du flux ou coefficient)</v>
      </c>
    </row>
    <row r="13" spans="1:17">
      <c r="A13" t="str">
        <v>Gluten</v>
      </c>
      <c r="B13" t="str">
        <v>FAB</v>
      </c>
      <c r="E13" t="str">
        <f ca="1"/>
        <v>kt</v>
      </c>
      <c r="F13" t="str">
        <f ca="1"/>
        <v>Maïs</v>
      </c>
      <c r="G13" t="str">
        <f ca="1"/>
        <v>2015-16:2019-20:2023-24</v>
      </c>
      <c r="H13" t="str">
        <f ca="1"/>
        <v>France entière</v>
      </c>
      <c r="I13" t="str">
        <f ca="1"/>
        <v>Part de consommation de gluten par les FAB</v>
      </c>
      <c r="J13">
        <f ca="1"/>
        <v>0</v>
      </c>
      <c r="K13" t="str">
        <f ca="1"/>
        <v>Gisements et valorisations des coproduits des industries agroalimentaires - Réséda</v>
      </c>
      <c r="L13" t="str">
        <f ca="1"/>
        <v>Amidonnerie - Diverses</v>
      </c>
      <c r="M13" t="str">
        <f ca="1"/>
        <v>Répartition</v>
      </c>
      <c r="N13" t="str">
        <f ca="1"/>
        <v>Part de consommation de gluten par les FAB = 100 % (Gisements et valorisations des coproduits des industries agroalimentaires - Réséda)</v>
      </c>
      <c r="O13" t="str">
        <f ca="1"/>
        <v>Approximative</v>
      </c>
      <c r="P13" t="str">
        <f ca="1"/>
        <v>Données collectées:Données déterminées</v>
      </c>
      <c r="Q13" t="str">
        <f ca="1"/>
        <v>Donnée collectée (valeur du flux ou coefficient)</v>
      </c>
    </row>
  </sheetData>
  <pageMargins left="0.75" right="0.75" top="1" bottom="1" header="0.5" footer="0.5"/>
  <legacy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EC04-183C-44C5-B13C-D7DFE4370060}">
  <sheetPr>
    <tabColor rgb="FFFFC000"/>
  </sheetPr>
  <dimension ref="B2:J29"/>
  <sheetViews>
    <sheetView workbookViewId="0">
      <selection activeCell="G12" sqref="G12"/>
    </sheetView>
  </sheetViews>
  <sheetFormatPr baseColWidth="10" defaultRowHeight="14.4"/>
  <sheetData>
    <row r="2" spans="2:10">
      <c r="B2" t="s">
        <v>20</v>
      </c>
    </row>
    <row r="7" spans="2:10">
      <c r="G7" t="s">
        <v>307</v>
      </c>
      <c r="I7" t="s">
        <v>7</v>
      </c>
    </row>
    <row r="8" spans="2:10">
      <c r="G8" s="482">
        <v>0.26900000000000002</v>
      </c>
      <c r="H8" t="s">
        <v>1211</v>
      </c>
      <c r="I8" t="s">
        <v>1702</v>
      </c>
    </row>
    <row r="9" spans="2:10">
      <c r="G9" s="747">
        <v>0.625</v>
      </c>
      <c r="H9" s="746" t="s">
        <v>975</v>
      </c>
      <c r="I9" s="483">
        <v>0.55000000000000004</v>
      </c>
      <c r="J9" t="s">
        <v>1213</v>
      </c>
    </row>
    <row r="10" spans="2:10">
      <c r="G10" s="747"/>
      <c r="H10" s="746"/>
      <c r="I10" s="483">
        <v>0.45</v>
      </c>
      <c r="J10" t="s">
        <v>1214</v>
      </c>
    </row>
    <row r="11" spans="2:10">
      <c r="G11" s="482">
        <v>4.4999999999999998E-2</v>
      </c>
      <c r="H11" t="s">
        <v>976</v>
      </c>
      <c r="I11" s="483">
        <v>1</v>
      </c>
      <c r="J11" t="s">
        <v>1209</v>
      </c>
    </row>
    <row r="12" spans="2:10">
      <c r="G12" s="482">
        <v>3.2000000000000001E-2</v>
      </c>
      <c r="H12" t="s">
        <v>991</v>
      </c>
      <c r="I12" t="s">
        <v>42</v>
      </c>
    </row>
    <row r="13" spans="2:10">
      <c r="G13" s="482">
        <v>2.9000000000000001E-2</v>
      </c>
      <c r="H13" t="s">
        <v>977</v>
      </c>
      <c r="I13" t="s">
        <v>8</v>
      </c>
    </row>
    <row r="17" spans="2:5">
      <c r="B17" t="s">
        <v>1207</v>
      </c>
    </row>
    <row r="25" spans="2:5">
      <c r="B25" s="116" t="s">
        <v>171</v>
      </c>
    </row>
    <row r="26" spans="2:5">
      <c r="B26" s="747">
        <f>1/1.9</f>
        <v>0.52631578947368418</v>
      </c>
      <c r="C26" s="746" t="s">
        <v>975</v>
      </c>
      <c r="D26" s="483">
        <v>0.55000000000000004</v>
      </c>
      <c r="E26" t="s">
        <v>1213</v>
      </c>
    </row>
    <row r="27" spans="2:5">
      <c r="B27" s="747"/>
      <c r="C27" s="746"/>
      <c r="D27" s="483">
        <v>0.45</v>
      </c>
      <c r="E27" t="s">
        <v>1214</v>
      </c>
    </row>
    <row r="28" spans="2:5">
      <c r="B28" s="482">
        <f>75/1000</f>
        <v>7.4999999999999997E-2</v>
      </c>
      <c r="C28" t="s">
        <v>976</v>
      </c>
      <c r="D28" s="483">
        <v>1</v>
      </c>
      <c r="E28" t="s">
        <v>1212</v>
      </c>
    </row>
    <row r="29" spans="2:5">
      <c r="B29" s="483">
        <f>1-B26-B28</f>
        <v>0.39868421052631581</v>
      </c>
      <c r="C29" t="s">
        <v>1208</v>
      </c>
      <c r="D29" t="s">
        <v>1210</v>
      </c>
    </row>
  </sheetData>
  <mergeCells count="4">
    <mergeCell ref="H9:H10"/>
    <mergeCell ref="G9:G10"/>
    <mergeCell ref="C26:C27"/>
    <mergeCell ref="B26:B2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E740-0249-4B24-8C91-8B9FA1A76F52}">
  <sheetPr>
    <tabColor rgb="FF92D050"/>
  </sheetPr>
  <dimension ref="A1:U23"/>
  <sheetViews>
    <sheetView workbookViewId="0">
      <pane xSplit="3" ySplit="1" topLeftCell="D2" activePane="bottomRight" state="frozen"/>
      <selection pane="topRight" activeCell="D1" sqref="D1"/>
      <selection pane="bottomLeft" activeCell="A2" sqref="A2"/>
      <selection pane="bottomRight" activeCell="P13" sqref="P13"/>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26.33203125" style="10" customWidth="1"/>
    <col min="17" max="17" width="12.109375" style="10" customWidth="1"/>
    <col min="18" max="19" width="14.44140625" style="26" customWidth="1"/>
    <col min="20" max="20" width="11.6640625" bestFit="1" customWidth="1"/>
    <col min="21" max="21" width="13.109375" customWidth="1"/>
  </cols>
  <sheetData>
    <row r="1" spans="1:21" ht="38.4"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c r="A2" s="10">
        <f>'Contraintes    '!A43+1</f>
        <v>66</v>
      </c>
      <c r="B2" t="str">
        <f>Produits!$B$4</f>
        <v>Grains collectés</v>
      </c>
      <c r="C2" t="str">
        <f>Secteurs!$B$10</f>
        <v>Semoulerie</v>
      </c>
      <c r="D2" s="462">
        <f>'Semoulerie maïs- Diverses'!G8</f>
        <v>0.55500000000000005</v>
      </c>
      <c r="G2" s="10" t="str">
        <f>Etiquettes!$C$3</f>
        <v>kt</v>
      </c>
      <c r="H2" s="10" t="str">
        <f>Etiquettes!$I$6</f>
        <v>Maïs</v>
      </c>
      <c r="I2" s="10" t="str">
        <f>Etiquettes!$C$5</f>
        <v>2015-16:2019-20:2023-24</v>
      </c>
      <c r="J2" s="10" t="str">
        <f>Etiquettes!$C$4</f>
        <v>France entière</v>
      </c>
      <c r="K2" s="604"/>
      <c r="L2" s="604"/>
      <c r="M2" s="604"/>
      <c r="N2" s="604"/>
      <c r="U2" s="692" t="s">
        <v>1230</v>
      </c>
    </row>
    <row r="3" spans="1:21">
      <c r="A3" s="10">
        <f>'Contraintes    '!A44+1</f>
        <v>66</v>
      </c>
      <c r="B3" t="str">
        <f>Produits!$B$50</f>
        <v>Stock initial</v>
      </c>
      <c r="C3" t="str">
        <f>Secteurs!$B$10</f>
        <v>Semoulerie</v>
      </c>
      <c r="D3" s="462">
        <f>'Semoulerie maïs- Diverses'!G8</f>
        <v>0.55500000000000005</v>
      </c>
      <c r="G3" s="10" t="str">
        <f>Etiquettes!$C$3</f>
        <v>kt</v>
      </c>
      <c r="H3" s="10" t="str">
        <f>Etiquettes!$I$6</f>
        <v>Maïs</v>
      </c>
      <c r="I3" s="10" t="str">
        <f>Etiquettes!$C$5</f>
        <v>2015-16:2019-20:2023-24</v>
      </c>
      <c r="J3" s="10" t="str">
        <f>Etiquettes!$C$4</f>
        <v>France entière</v>
      </c>
      <c r="U3" s="693"/>
    </row>
    <row r="4" spans="1:21">
      <c r="A4" s="10">
        <f>'Contraintes    '!A43+1</f>
        <v>66</v>
      </c>
      <c r="B4" t="str">
        <f>Secteurs!$B$10</f>
        <v>Semoulerie</v>
      </c>
      <c r="C4" t="str">
        <f>Produits!$B$51</f>
        <v>Stock final</v>
      </c>
      <c r="D4" s="462">
        <f>-'Semoulerie maïs- Diverses'!G8</f>
        <v>-0.55500000000000005</v>
      </c>
      <c r="G4" s="10" t="str">
        <f>Etiquettes!$C$3</f>
        <v>kt</v>
      </c>
      <c r="H4" s="10" t="str">
        <f>Etiquettes!$I$6</f>
        <v>Maïs</v>
      </c>
      <c r="I4" s="10" t="str">
        <f>Etiquettes!$C$5</f>
        <v>2015-16:2019-20:2023-24</v>
      </c>
      <c r="J4" s="10" t="str">
        <f>Etiquettes!$C$4</f>
        <v>France entière</v>
      </c>
      <c r="U4" s="693"/>
    </row>
    <row r="5" spans="1:21">
      <c r="A5" s="10">
        <f>'Contraintes    '!A44+1</f>
        <v>66</v>
      </c>
      <c r="B5" t="str">
        <f>Secteurs!$B$10</f>
        <v>Semoulerie</v>
      </c>
      <c r="C5" t="str">
        <f>Produits!$B$17</f>
        <v>Semoule</v>
      </c>
      <c r="D5">
        <v>-1</v>
      </c>
      <c r="G5" s="10" t="str">
        <f>Etiquettes!$C$3</f>
        <v>kt</v>
      </c>
      <c r="H5" s="10" t="str">
        <f>Etiquettes!$I$6</f>
        <v>Maïs</v>
      </c>
      <c r="I5" s="10" t="str">
        <f>Etiquettes!$C$5</f>
        <v>2015-16:2019-20:2023-24</v>
      </c>
      <c r="J5" s="10" t="str">
        <f>Etiquettes!$C$4</f>
        <v>France entière</v>
      </c>
      <c r="K5" s="604" t="s">
        <v>1629</v>
      </c>
      <c r="L5" s="604"/>
      <c r="M5" s="604" t="s">
        <v>1634</v>
      </c>
      <c r="N5" s="604" t="str" cm="1">
        <f t="array" aca="1" ref="N5" ca="1">[1]!NOM_FEUILLE('Semoulerie maïs- Diverses'!$A$1)</f>
        <v>Semoulerie maïs- Diverses</v>
      </c>
      <c r="O5" s="10" t="str">
        <f>Etiquettes!$I$11</f>
        <v>Rendement</v>
      </c>
      <c r="P5" t="str">
        <f>_xlfn.CONCAT(K5," = ",MROUND(D2*100,0.01)," % (",M5,")")</f>
        <v>Rendement en semoule de maïs de la Semoulerie = 55,5 % (Bilan d'approvisionnement agroalimentaire - SSP)</v>
      </c>
      <c r="Q5" s="10" t="str">
        <f>Etiquettes!$K$15</f>
        <v>Approximative</v>
      </c>
      <c r="R5" s="642" t="s">
        <v>1813</v>
      </c>
      <c r="S5" s="603" t="str">
        <f>Etiquettes!$H$17</f>
        <v>Donnée collectée (valeur du flux ou coefficient)</v>
      </c>
      <c r="U5" s="693"/>
    </row>
    <row r="6" spans="1:21">
      <c r="A6" s="10">
        <f>A2+1</f>
        <v>67</v>
      </c>
      <c r="B6" t="str">
        <f>Produits!$B$4</f>
        <v>Grains collectés</v>
      </c>
      <c r="C6" t="str">
        <f>Secteurs!$B$10</f>
        <v>Semoulerie</v>
      </c>
      <c r="D6" s="29">
        <f>'Semoulerie maïs- Diverses'!G7</f>
        <v>0.15</v>
      </c>
      <c r="G6" s="10" t="str">
        <f>Etiquettes!$C$3</f>
        <v>kt</v>
      </c>
      <c r="H6" s="10" t="str">
        <f>Etiquettes!$I$6</f>
        <v>Maïs</v>
      </c>
      <c r="I6" s="10" t="str">
        <f>Etiquettes!$C$5</f>
        <v>2015-16:2019-20:2023-24</v>
      </c>
      <c r="J6" s="10" t="str">
        <f>Etiquettes!$C$4</f>
        <v>France entière</v>
      </c>
      <c r="K6" s="604"/>
      <c r="L6" s="604"/>
      <c r="M6" s="604"/>
      <c r="N6" s="604"/>
      <c r="U6" s="693"/>
    </row>
    <row r="7" spans="1:21">
      <c r="A7" s="10">
        <f t="shared" ref="A7:A8" si="0">A3+1</f>
        <v>67</v>
      </c>
      <c r="B7" t="str">
        <f>Produits!$B$50</f>
        <v>Stock initial</v>
      </c>
      <c r="C7" t="str">
        <f>Secteurs!$B$10</f>
        <v>Semoulerie</v>
      </c>
      <c r="D7" s="462">
        <f>'Semoulerie maïs- Diverses'!G7</f>
        <v>0.15</v>
      </c>
      <c r="G7" s="10" t="str">
        <f>Etiquettes!$C$3</f>
        <v>kt</v>
      </c>
      <c r="H7" s="10" t="str">
        <f>Etiquettes!$I$6</f>
        <v>Maïs</v>
      </c>
      <c r="I7" s="10" t="str">
        <f>Etiquettes!$C$5</f>
        <v>2015-16:2019-20:2023-24</v>
      </c>
      <c r="J7" s="10" t="str">
        <f>Etiquettes!$C$4</f>
        <v>France entière</v>
      </c>
      <c r="U7" s="693"/>
    </row>
    <row r="8" spans="1:21">
      <c r="A8" s="10">
        <f t="shared" si="0"/>
        <v>67</v>
      </c>
      <c r="B8" t="str">
        <f>Secteurs!$B$10</f>
        <v>Semoulerie</v>
      </c>
      <c r="C8" t="str">
        <f>Produits!$B$51</f>
        <v>Stock final</v>
      </c>
      <c r="D8" s="462">
        <f>-'Semoulerie maïs- Diverses'!G7</f>
        <v>-0.15</v>
      </c>
      <c r="G8" s="10" t="str">
        <f>Etiquettes!$C$3</f>
        <v>kt</v>
      </c>
      <c r="H8" s="10" t="str">
        <f>Etiquettes!$I$6</f>
        <v>Maïs</v>
      </c>
      <c r="I8" s="10" t="str">
        <f>Etiquettes!$C$5</f>
        <v>2015-16:2019-20:2023-24</v>
      </c>
      <c r="J8" s="10" t="str">
        <f>Etiquettes!$C$4</f>
        <v>France entière</v>
      </c>
      <c r="U8" s="693"/>
    </row>
    <row r="9" spans="1:21">
      <c r="A9" s="10">
        <f>A5+1</f>
        <v>67</v>
      </c>
      <c r="B9" t="str">
        <f>Secteurs!$B$10</f>
        <v>Semoulerie</v>
      </c>
      <c r="C9" t="str">
        <f>Produits!$B$18</f>
        <v>Farine alimentaire</v>
      </c>
      <c r="D9">
        <v>-1</v>
      </c>
      <c r="G9" s="10" t="str">
        <f>Etiquettes!$C$3</f>
        <v>kt</v>
      </c>
      <c r="H9" s="10" t="str">
        <f>Etiquettes!$I$6</f>
        <v>Maïs</v>
      </c>
      <c r="I9" s="10" t="str">
        <f>Etiquettes!$C$5</f>
        <v>2015-16:2019-20:2023-24</v>
      </c>
      <c r="J9" s="10" t="str">
        <f>Etiquettes!$C$4</f>
        <v>France entière</v>
      </c>
      <c r="K9" s="604" t="s">
        <v>1630</v>
      </c>
      <c r="L9" s="604"/>
      <c r="M9" s="604" t="s">
        <v>1634</v>
      </c>
      <c r="N9" s="604" t="str" cm="1">
        <f t="array" aca="1" ref="N9" ca="1">[1]!NOM_FEUILLE('Semoulerie maïs- Diverses'!$A$1)</f>
        <v>Semoulerie maïs- Diverses</v>
      </c>
      <c r="O9" s="10" t="str">
        <f>Etiquettes!$I$11</f>
        <v>Rendement</v>
      </c>
      <c r="P9" t="str">
        <f>_xlfn.CONCAT(K9," = ",MROUND(D6*100,0.01)," % (",M9,")")</f>
        <v>Rendement en farine alimentaire de la Semoulerie = 15 % (Bilan d'approvisionnement agroalimentaire - SSP)</v>
      </c>
      <c r="Q9" s="10" t="str">
        <f>Etiquettes!$K$15</f>
        <v>Approximative</v>
      </c>
      <c r="R9" s="642" t="s">
        <v>1813</v>
      </c>
      <c r="S9" s="603" t="str">
        <f>Etiquettes!$H$17</f>
        <v>Donnée collectée (valeur du flux ou coefficient)</v>
      </c>
      <c r="U9" s="693"/>
    </row>
    <row r="10" spans="1:21">
      <c r="A10" s="10">
        <f>A6+1</f>
        <v>68</v>
      </c>
      <c r="B10" t="str">
        <f>Produits!$B$4</f>
        <v>Grains collectés</v>
      </c>
      <c r="C10" t="str">
        <f>Secteurs!$B$10</f>
        <v>Semoulerie</v>
      </c>
      <c r="D10" s="29">
        <f>'Semoulerie maïs- Diverses'!G6</f>
        <v>0.16500000000000001</v>
      </c>
      <c r="G10" s="10" t="str">
        <f>Etiquettes!$C$3</f>
        <v>kt</v>
      </c>
      <c r="H10" s="10" t="str">
        <f>Etiquettes!$I$6</f>
        <v>Maïs</v>
      </c>
      <c r="I10" s="10" t="str">
        <f>Etiquettes!$C$5</f>
        <v>2015-16:2019-20:2023-24</v>
      </c>
      <c r="J10" s="10" t="str">
        <f>Etiquettes!$C$4</f>
        <v>France entière</v>
      </c>
      <c r="K10" s="604"/>
      <c r="L10" s="604"/>
      <c r="M10" s="604"/>
      <c r="N10" s="604"/>
      <c r="U10" s="693"/>
    </row>
    <row r="11" spans="1:21">
      <c r="A11" s="10">
        <f t="shared" ref="A11:A12" si="1">A7+1</f>
        <v>68</v>
      </c>
      <c r="B11" t="str">
        <f>Produits!$B$50</f>
        <v>Stock initial</v>
      </c>
      <c r="C11" t="str">
        <f>Secteurs!$B$10</f>
        <v>Semoulerie</v>
      </c>
      <c r="D11" s="462">
        <f>'Semoulerie maïs- Diverses'!G6</f>
        <v>0.16500000000000001</v>
      </c>
      <c r="G11" s="10" t="str">
        <f>Etiquettes!$C$3</f>
        <v>kt</v>
      </c>
      <c r="H11" s="10" t="str">
        <f>Etiquettes!$I$6</f>
        <v>Maïs</v>
      </c>
      <c r="I11" s="10" t="str">
        <f>Etiquettes!$C$5</f>
        <v>2015-16:2019-20:2023-24</v>
      </c>
      <c r="J11" s="10" t="str">
        <f>Etiquettes!$C$4</f>
        <v>France entière</v>
      </c>
      <c r="U11" s="693"/>
    </row>
    <row r="12" spans="1:21">
      <c r="A12" s="10">
        <f t="shared" si="1"/>
        <v>68</v>
      </c>
      <c r="B12" t="str">
        <f>Secteurs!$B$10</f>
        <v>Semoulerie</v>
      </c>
      <c r="C12" t="str">
        <f>Produits!$B$51</f>
        <v>Stock final</v>
      </c>
      <c r="D12" s="462">
        <f>-'Semoulerie maïs- Diverses'!G6</f>
        <v>-0.16500000000000001</v>
      </c>
      <c r="G12" s="10" t="str">
        <f>Etiquettes!$C$3</f>
        <v>kt</v>
      </c>
      <c r="H12" s="10" t="str">
        <f>Etiquettes!$I$6</f>
        <v>Maïs</v>
      </c>
      <c r="I12" s="10" t="str">
        <f>Etiquettes!$C$5</f>
        <v>2015-16:2019-20:2023-24</v>
      </c>
      <c r="J12" s="10" t="str">
        <f>Etiquettes!$C$4</f>
        <v>France entière</v>
      </c>
      <c r="U12" s="693"/>
    </row>
    <row r="13" spans="1:21">
      <c r="A13" s="10">
        <f>A9+1</f>
        <v>68</v>
      </c>
      <c r="B13" t="str">
        <f>Secteurs!$B$10</f>
        <v>Semoulerie</v>
      </c>
      <c r="C13" t="str">
        <f>Produits!$B$19</f>
        <v>Farine fourragère</v>
      </c>
      <c r="D13">
        <v>-1</v>
      </c>
      <c r="G13" s="10" t="str">
        <f>Etiquettes!$C$3</f>
        <v>kt</v>
      </c>
      <c r="H13" s="10" t="str">
        <f>Etiquettes!$I$6</f>
        <v>Maïs</v>
      </c>
      <c r="I13" s="10" t="str">
        <f>Etiquettes!$C$5</f>
        <v>2015-16:2019-20:2023-24</v>
      </c>
      <c r="J13" s="10" t="str">
        <f>Etiquettes!$C$4</f>
        <v>France entière</v>
      </c>
      <c r="K13" s="604" t="s">
        <v>1631</v>
      </c>
      <c r="L13" s="604"/>
      <c r="M13" s="604" t="s">
        <v>1634</v>
      </c>
      <c r="N13" s="604" t="str" cm="1">
        <f t="array" aca="1" ref="N13" ca="1">[1]!NOM_FEUILLE('Semoulerie maïs- Diverses'!$A$1)</f>
        <v>Semoulerie maïs- Diverses</v>
      </c>
      <c r="O13" s="10" t="str">
        <f>Etiquettes!$I$11</f>
        <v>Rendement</v>
      </c>
      <c r="P13" t="str">
        <f>_xlfn.CONCAT(K13," = ",MROUND(D10*100,0.01)," % (",M13,")")</f>
        <v>Rendement en farine fourragère de la Semoulerie = 16,5 % (Bilan d'approvisionnement agroalimentaire - SSP)</v>
      </c>
      <c r="Q13" s="10" t="str">
        <f>Etiquettes!$K$15</f>
        <v>Approximative</v>
      </c>
      <c r="R13" s="642" t="s">
        <v>1813</v>
      </c>
      <c r="S13" s="603" t="str">
        <f>Etiquettes!$H$17</f>
        <v>Donnée collectée (valeur du flux ou coefficient)</v>
      </c>
      <c r="U13" s="693"/>
    </row>
    <row r="14" spans="1:21">
      <c r="A14" s="10">
        <f>A10+1</f>
        <v>69</v>
      </c>
      <c r="B14" t="str">
        <f>Produits!$B$4</f>
        <v>Grains collectés</v>
      </c>
      <c r="C14" t="str">
        <f>Secteurs!$B$10</f>
        <v>Semoulerie</v>
      </c>
      <c r="D14" s="29">
        <f>'Semoulerie maïs- Diverses'!G10</f>
        <v>1.4999999999999999E-2</v>
      </c>
      <c r="G14" s="10" t="str">
        <f>Etiquettes!$C$3</f>
        <v>kt</v>
      </c>
      <c r="H14" s="10" t="str">
        <f>Etiquettes!$I$6</f>
        <v>Maïs</v>
      </c>
      <c r="I14" s="10" t="str">
        <f>Etiquettes!$C$5</f>
        <v>2015-16:2019-20:2023-24</v>
      </c>
      <c r="J14" s="10" t="str">
        <f>Etiquettes!$C$4</f>
        <v>France entière</v>
      </c>
      <c r="K14" s="604"/>
      <c r="L14" s="604"/>
      <c r="M14" s="604"/>
      <c r="N14" s="604"/>
      <c r="U14" s="693"/>
    </row>
    <row r="15" spans="1:21">
      <c r="A15" s="10">
        <f t="shared" ref="A15:A16" si="2">A11+1</f>
        <v>69</v>
      </c>
      <c r="B15" t="str">
        <f>Produits!$B$50</f>
        <v>Stock initial</v>
      </c>
      <c r="C15" t="str">
        <f>Secteurs!$B$10</f>
        <v>Semoulerie</v>
      </c>
      <c r="D15" s="462">
        <f>'Semoulerie maïs- Diverses'!G10</f>
        <v>1.4999999999999999E-2</v>
      </c>
      <c r="G15" s="10" t="str">
        <f>Etiquettes!$C$3</f>
        <v>kt</v>
      </c>
      <c r="H15" s="10" t="str">
        <f>Etiquettes!$I$6</f>
        <v>Maïs</v>
      </c>
      <c r="I15" s="10" t="str">
        <f>Etiquettes!$C$5</f>
        <v>2015-16:2019-20:2023-24</v>
      </c>
      <c r="J15" s="10" t="str">
        <f>Etiquettes!$C$4</f>
        <v>France entière</v>
      </c>
      <c r="U15" s="693"/>
    </row>
    <row r="16" spans="1:21">
      <c r="A16" s="10">
        <f t="shared" si="2"/>
        <v>69</v>
      </c>
      <c r="B16" t="str">
        <f>Secteurs!$B$10</f>
        <v>Semoulerie</v>
      </c>
      <c r="C16" t="str">
        <f>Produits!$B$51</f>
        <v>Stock final</v>
      </c>
      <c r="D16" s="462">
        <f>-'Semoulerie maïs- Diverses'!G10</f>
        <v>-1.4999999999999999E-2</v>
      </c>
      <c r="G16" s="10" t="str">
        <f>Etiquettes!$C$3</f>
        <v>kt</v>
      </c>
      <c r="H16" s="10" t="str">
        <f>Etiquettes!$I$6</f>
        <v>Maïs</v>
      </c>
      <c r="I16" s="10" t="str">
        <f>Etiquettes!$C$5</f>
        <v>2015-16:2019-20:2023-24</v>
      </c>
      <c r="J16" s="10" t="str">
        <f>Etiquettes!$C$4</f>
        <v>France entière</v>
      </c>
      <c r="U16" s="693"/>
    </row>
    <row r="17" spans="1:21">
      <c r="A17" s="10">
        <f>A13+1</f>
        <v>69</v>
      </c>
      <c r="B17" t="str">
        <f>Secteurs!$B$10</f>
        <v>Semoulerie</v>
      </c>
      <c r="C17" t="str">
        <f>Produits!$B$15</f>
        <v>Huile</v>
      </c>
      <c r="D17">
        <v>-1</v>
      </c>
      <c r="G17" s="10" t="str">
        <f>Etiquettes!$C$3</f>
        <v>kt</v>
      </c>
      <c r="H17" s="10" t="str">
        <f>Etiquettes!$I$6</f>
        <v>Maïs</v>
      </c>
      <c r="I17" s="10" t="str">
        <f>Etiquettes!$C$5</f>
        <v>2015-16:2019-20:2023-24</v>
      </c>
      <c r="J17" s="10" t="str">
        <f>Etiquettes!$C$4</f>
        <v>France entière</v>
      </c>
      <c r="K17" s="604" t="s">
        <v>1632</v>
      </c>
      <c r="L17" s="604"/>
      <c r="M17" s="604" t="s">
        <v>1634</v>
      </c>
      <c r="N17" s="604" t="str" cm="1">
        <f t="array" aca="1" ref="N17" ca="1">[1]!NOM_FEUILLE('Semoulerie maïs- Diverses'!$A$1)</f>
        <v>Semoulerie maïs- Diverses</v>
      </c>
      <c r="O17" s="10" t="str">
        <f>Etiquettes!$I$11</f>
        <v>Rendement</v>
      </c>
      <c r="P17" t="str">
        <f>_xlfn.CONCAT(K17," = ",MROUND(D14*100,0.01)," % (",M17,")")</f>
        <v>Rendement en huile de la Semoulerie = 1,5 % (Bilan d'approvisionnement agroalimentaire - SSP)</v>
      </c>
      <c r="Q17" s="10" t="str">
        <f>Etiquettes!$K$15</f>
        <v>Approximative</v>
      </c>
      <c r="R17" s="642" t="s">
        <v>1813</v>
      </c>
      <c r="S17" s="603" t="str">
        <f>Etiquettes!$H$17</f>
        <v>Donnée collectée (valeur du flux ou coefficient)</v>
      </c>
      <c r="U17" s="693"/>
    </row>
    <row r="18" spans="1:21">
      <c r="A18" s="10">
        <f>A14+1</f>
        <v>70</v>
      </c>
      <c r="B18" t="str">
        <f>Produits!$B$4</f>
        <v>Grains collectés</v>
      </c>
      <c r="C18" t="str">
        <f>Secteurs!$B$10</f>
        <v>Semoulerie</v>
      </c>
      <c r="D18" s="29">
        <f>'Semoulerie maïs- Diverses'!G9</f>
        <v>0.115</v>
      </c>
      <c r="G18" s="10" t="str">
        <f>Etiquettes!$C$3</f>
        <v>kt</v>
      </c>
      <c r="H18" s="10" t="str">
        <f>Etiquettes!$I$6</f>
        <v>Maïs</v>
      </c>
      <c r="I18" s="10" t="str">
        <f>Etiquettes!$C$5</f>
        <v>2015-16:2019-20:2023-24</v>
      </c>
      <c r="J18" s="10" t="str">
        <f>Etiquettes!$C$4</f>
        <v>France entière</v>
      </c>
      <c r="K18" s="604"/>
      <c r="L18" s="604"/>
      <c r="M18" s="604"/>
      <c r="N18" s="604"/>
      <c r="U18" s="693"/>
    </row>
    <row r="19" spans="1:21">
      <c r="A19" s="10">
        <f t="shared" ref="A19:A20" si="3">A15+1</f>
        <v>70</v>
      </c>
      <c r="B19" t="str">
        <f>Produits!$B$50</f>
        <v>Stock initial</v>
      </c>
      <c r="C19" t="str">
        <f>Secteurs!$B$10</f>
        <v>Semoulerie</v>
      </c>
      <c r="D19" s="462">
        <f>'Semoulerie maïs- Diverses'!G9</f>
        <v>0.115</v>
      </c>
      <c r="G19" s="10" t="str">
        <f>Etiquettes!$C$3</f>
        <v>kt</v>
      </c>
      <c r="H19" s="10" t="str">
        <f>Etiquettes!$I$6</f>
        <v>Maïs</v>
      </c>
      <c r="I19" s="10" t="str">
        <f>Etiquettes!$C$5</f>
        <v>2015-16:2019-20:2023-24</v>
      </c>
      <c r="J19" s="10" t="str">
        <f>Etiquettes!$C$4</f>
        <v>France entière</v>
      </c>
      <c r="U19" s="693"/>
    </row>
    <row r="20" spans="1:21">
      <c r="A20" s="10">
        <f t="shared" si="3"/>
        <v>70</v>
      </c>
      <c r="B20" t="str">
        <f>Secteurs!$B$10</f>
        <v>Semoulerie</v>
      </c>
      <c r="C20" t="str">
        <f>Produits!$B$51</f>
        <v>Stock final</v>
      </c>
      <c r="D20" s="462">
        <f>-'Semoulerie maïs- Diverses'!G9</f>
        <v>-0.115</v>
      </c>
      <c r="G20" s="10" t="str">
        <f>Etiquettes!$C$3</f>
        <v>kt</v>
      </c>
      <c r="H20" s="10" t="str">
        <f>Etiquettes!$I$6</f>
        <v>Maïs</v>
      </c>
      <c r="I20" s="10" t="str">
        <f>Etiquettes!$C$5</f>
        <v>2015-16:2019-20:2023-24</v>
      </c>
      <c r="J20" s="10" t="str">
        <f>Etiquettes!$C$4</f>
        <v>France entière</v>
      </c>
      <c r="U20" s="693"/>
    </row>
    <row r="21" spans="1:21">
      <c r="A21" s="10">
        <f>A17+1</f>
        <v>70</v>
      </c>
      <c r="B21" t="str">
        <f>Secteurs!$B$10</f>
        <v>Semoulerie</v>
      </c>
      <c r="C21" t="str">
        <f>Produits!$B$16</f>
        <v>Tourteaux</v>
      </c>
      <c r="D21">
        <v>-1</v>
      </c>
      <c r="G21" s="10" t="str">
        <f>Etiquettes!$C$3</f>
        <v>kt</v>
      </c>
      <c r="H21" s="10" t="str">
        <f>Etiquettes!$I$6</f>
        <v>Maïs</v>
      </c>
      <c r="I21" s="10" t="str">
        <f>Etiquettes!$C$5</f>
        <v>2015-16:2019-20:2023-24</v>
      </c>
      <c r="J21" s="10" t="str">
        <f>Etiquettes!$C$4</f>
        <v>France entière</v>
      </c>
      <c r="K21" s="604" t="s">
        <v>1633</v>
      </c>
      <c r="L21" s="604"/>
      <c r="M21" s="604" t="s">
        <v>1634</v>
      </c>
      <c r="N21" s="604" t="str" cm="1">
        <f t="array" aca="1" ref="N21" ca="1">[1]!NOM_FEUILLE('Semoulerie maïs- Diverses'!$A$1)</f>
        <v>Semoulerie maïs- Diverses</v>
      </c>
      <c r="O21" s="10" t="str">
        <f>Etiquettes!$I$11</f>
        <v>Rendement</v>
      </c>
      <c r="P21" t="str">
        <f>_xlfn.CONCAT(K21," = ",MROUND(D18*100,0.01)," % (",M21,")")</f>
        <v>Rendement en tourteaux de la Semoulerie = 11,5 % (Bilan d'approvisionnement agroalimentaire - SSP)</v>
      </c>
      <c r="Q21" s="10" t="str">
        <f>Etiquettes!$K$15</f>
        <v>Approximative</v>
      </c>
      <c r="R21" s="642" t="s">
        <v>1813</v>
      </c>
      <c r="S21" s="603" t="str">
        <f>Etiquettes!$H$17</f>
        <v>Donnée collectée (valeur du flux ou coefficient)</v>
      </c>
      <c r="U21" s="693"/>
    </row>
    <row r="22" spans="1:21">
      <c r="A22" s="10">
        <f>A18+1</f>
        <v>71</v>
      </c>
      <c r="B22" t="str">
        <f>Produits!$B$17</f>
        <v>Semoule</v>
      </c>
      <c r="C22" t="str">
        <f>Secteurs!$B$20</f>
        <v>Débouchés</v>
      </c>
      <c r="D22" s="29">
        <f>'Semoulerie maïs- Diverses'!I8</f>
        <v>0</v>
      </c>
      <c r="G22" s="10" t="str">
        <f>Etiquettes!$C$3</f>
        <v>kt</v>
      </c>
      <c r="H22" s="10" t="str">
        <f>Etiquettes!$I$6</f>
        <v>Maïs</v>
      </c>
      <c r="I22" s="10" t="str">
        <f>Etiquettes!$C$5</f>
        <v>2015-16:2019-20:2023-24</v>
      </c>
      <c r="J22" s="10" t="str">
        <f>Etiquettes!$C$4</f>
        <v>France entière</v>
      </c>
      <c r="K22" s="604"/>
      <c r="L22" s="604"/>
      <c r="M22" s="604"/>
      <c r="N22" s="604"/>
      <c r="T22" s="693" t="s">
        <v>1415</v>
      </c>
      <c r="U22" s="693" t="s">
        <v>1393</v>
      </c>
    </row>
    <row r="23" spans="1:21">
      <c r="A23" s="10">
        <f t="shared" ref="A23" si="4">A21+1</f>
        <v>71</v>
      </c>
      <c r="B23" t="str">
        <f>Produits!$B$17</f>
        <v>Semoule</v>
      </c>
      <c r="C23" t="str">
        <f>Secteurs!$B$11</f>
        <v>Indus. pâtes &amp; couscous</v>
      </c>
      <c r="D23">
        <v>-1</v>
      </c>
      <c r="G23" s="10" t="str">
        <f>Etiquettes!$C$3</f>
        <v>kt</v>
      </c>
      <c r="H23" s="10" t="str">
        <f>Etiquettes!$I$6</f>
        <v>Maïs</v>
      </c>
      <c r="I23" s="10" t="str">
        <f>Etiquettes!$C$5</f>
        <v>2015-16:2019-20:2023-24</v>
      </c>
      <c r="J23" s="10" t="str">
        <f>Etiquettes!$C$4</f>
        <v>France entière</v>
      </c>
      <c r="K23" s="604"/>
      <c r="L23" s="604"/>
      <c r="M23" s="604"/>
      <c r="N23" s="604"/>
      <c r="T23" s="693"/>
      <c r="U23" s="693"/>
    </row>
  </sheetData>
  <mergeCells count="3">
    <mergeCell ref="U2:U21"/>
    <mergeCell ref="U22:U23"/>
    <mergeCell ref="T22:T2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A716-7D87-48AD-A97D-75B8BD574198}">
  <sheetPr>
    <tabColor theme="1"/>
  </sheetPr>
  <dimension ref="A1:Q6"/>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6" ca="1">_xlfn._xlws.FILTER('Contraintes     '!G1:S210,ISTEXT('Contraintes     '!P1:P210))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6">_xlfn._xlws.FILTER('Contraintes     '!B2:C210,ISTEXT('Contraintes     '!P2:P210))</f>
        <v>Semoulerie</v>
      </c>
      <c r="B2" t="str">
        <v>Semoule</v>
      </c>
      <c r="E2" t="str">
        <f ca="1"/>
        <v>kt</v>
      </c>
      <c r="F2" t="str">
        <f ca="1"/>
        <v>Maïs</v>
      </c>
      <c r="G2" t="str">
        <f ca="1"/>
        <v>2015-16:2019-20:2023-24</v>
      </c>
      <c r="H2" t="str">
        <f ca="1"/>
        <v>France entière</v>
      </c>
      <c r="I2" t="str">
        <f ca="1"/>
        <v>Rendement en semoule de maïs de la Semoulerie</v>
      </c>
      <c r="J2">
        <f ca="1"/>
        <v>0</v>
      </c>
      <c r="K2" t="str">
        <f ca="1"/>
        <v>Bilan d'approvisionnement agroalimentaire - SSP</v>
      </c>
      <c r="L2" t="str">
        <f ca="1"/>
        <v>Semoulerie maïs- Diverses</v>
      </c>
      <c r="M2" t="str">
        <f ca="1"/>
        <v>Rendement</v>
      </c>
      <c r="N2" t="str">
        <f ca="1"/>
        <v>Rendement en semoule de maïs de la Semoulerie = 55,5 % (Bilan d'approvisionnement agroalimentaire - SSP)</v>
      </c>
      <c r="O2" t="str">
        <f ca="1"/>
        <v>Approximative</v>
      </c>
      <c r="P2" t="str">
        <f ca="1"/>
        <v>Données collectées:Données déterminées</v>
      </c>
      <c r="Q2" t="str">
        <f ca="1"/>
        <v>Donnée collectée (valeur du flux ou coefficient)</v>
      </c>
    </row>
    <row r="3" spans="1:17">
      <c r="A3" t="str">
        <v>Semoulerie</v>
      </c>
      <c r="B3" t="str">
        <v>Farine alimentaire</v>
      </c>
      <c r="E3" t="str">
        <f ca="1"/>
        <v>kt</v>
      </c>
      <c r="F3" t="str">
        <f ca="1"/>
        <v>Maïs</v>
      </c>
      <c r="G3" t="str">
        <f ca="1"/>
        <v>2015-16:2019-20:2023-24</v>
      </c>
      <c r="H3" t="str">
        <f ca="1"/>
        <v>France entière</v>
      </c>
      <c r="I3" t="str">
        <f ca="1"/>
        <v>Rendement en farine alimentaire de la Semoulerie</v>
      </c>
      <c r="J3">
        <f ca="1"/>
        <v>0</v>
      </c>
      <c r="K3" t="str">
        <f ca="1"/>
        <v>Bilan d'approvisionnement agroalimentaire - SSP</v>
      </c>
      <c r="L3" t="str">
        <f ca="1"/>
        <v>Semoulerie maïs- Diverses</v>
      </c>
      <c r="M3" t="str">
        <f ca="1"/>
        <v>Rendement</v>
      </c>
      <c r="N3" t="str">
        <f ca="1"/>
        <v>Rendement en farine alimentaire de la Semoulerie = 15 % (Bilan d'approvisionnement agroalimentaire - SSP)</v>
      </c>
      <c r="O3" t="str">
        <f ca="1"/>
        <v>Approximative</v>
      </c>
      <c r="P3" t="str">
        <f ca="1"/>
        <v>Données collectées:Données déterminées</v>
      </c>
      <c r="Q3" t="str">
        <f ca="1"/>
        <v>Donnée collectée (valeur du flux ou coefficient)</v>
      </c>
    </row>
    <row r="4" spans="1:17">
      <c r="A4" t="str">
        <v>Semoulerie</v>
      </c>
      <c r="B4" t="str">
        <v>Farine fourragère</v>
      </c>
      <c r="E4" t="str">
        <f ca="1"/>
        <v>kt</v>
      </c>
      <c r="F4" t="str">
        <f ca="1"/>
        <v>Maïs</v>
      </c>
      <c r="G4" t="str">
        <f ca="1"/>
        <v>2015-16:2019-20:2023-24</v>
      </c>
      <c r="H4" t="str">
        <f ca="1"/>
        <v>France entière</v>
      </c>
      <c r="I4" t="str">
        <f ca="1"/>
        <v>Rendement en farine fourragère de la Semoulerie</v>
      </c>
      <c r="J4">
        <f ca="1"/>
        <v>0</v>
      </c>
      <c r="K4" t="str">
        <f ca="1"/>
        <v>Bilan d'approvisionnement agroalimentaire - SSP</v>
      </c>
      <c r="L4" t="str">
        <f ca="1"/>
        <v>Semoulerie maïs- Diverses</v>
      </c>
      <c r="M4" t="str">
        <f ca="1"/>
        <v>Rendement</v>
      </c>
      <c r="N4" t="str">
        <f ca="1"/>
        <v>Rendement en farine fourragère de la Semoulerie = 16,5 % (Bilan d'approvisionnement agroalimentaire - SSP)</v>
      </c>
      <c r="O4" t="str">
        <f ca="1"/>
        <v>Approximative</v>
      </c>
      <c r="P4" t="str">
        <f ca="1"/>
        <v>Données collectées:Données déterminées</v>
      </c>
      <c r="Q4" t="str">
        <f ca="1"/>
        <v>Donnée collectée (valeur du flux ou coefficient)</v>
      </c>
    </row>
    <row r="5" spans="1:17">
      <c r="A5" t="str">
        <v>Semoulerie</v>
      </c>
      <c r="B5" t="str">
        <v>Huile</v>
      </c>
      <c r="E5" t="str">
        <f ca="1"/>
        <v>kt</v>
      </c>
      <c r="F5" t="str">
        <f ca="1"/>
        <v>Maïs</v>
      </c>
      <c r="G5" t="str">
        <f ca="1"/>
        <v>2015-16:2019-20:2023-24</v>
      </c>
      <c r="H5" t="str">
        <f ca="1"/>
        <v>France entière</v>
      </c>
      <c r="I5" t="str">
        <f ca="1"/>
        <v>Rendement en huile de la Semoulerie</v>
      </c>
      <c r="J5">
        <f ca="1"/>
        <v>0</v>
      </c>
      <c r="K5" t="str">
        <f ca="1"/>
        <v>Bilan d'approvisionnement agroalimentaire - SSP</v>
      </c>
      <c r="L5" t="str">
        <f ca="1"/>
        <v>Semoulerie maïs- Diverses</v>
      </c>
      <c r="M5" t="str">
        <f ca="1"/>
        <v>Rendement</v>
      </c>
      <c r="N5" t="str">
        <f ca="1"/>
        <v>Rendement en huile de la Semoulerie = 1,5 % (Bilan d'approvisionnement agroalimentaire - SSP)</v>
      </c>
      <c r="O5" t="str">
        <f ca="1"/>
        <v>Approximative</v>
      </c>
      <c r="P5" t="str">
        <f ca="1"/>
        <v>Données collectées:Données déterminées</v>
      </c>
      <c r="Q5" t="str">
        <f ca="1"/>
        <v>Donnée collectée (valeur du flux ou coefficient)</v>
      </c>
    </row>
    <row r="6" spans="1:17">
      <c r="A6" t="str">
        <v>Semoulerie</v>
      </c>
      <c r="B6" t="str">
        <v>Tourteaux</v>
      </c>
      <c r="E6" t="str">
        <f ca="1"/>
        <v>kt</v>
      </c>
      <c r="F6" t="str">
        <f ca="1"/>
        <v>Maïs</v>
      </c>
      <c r="G6" t="str">
        <f ca="1"/>
        <v>2015-16:2019-20:2023-24</v>
      </c>
      <c r="H6" t="str">
        <f ca="1"/>
        <v>France entière</v>
      </c>
      <c r="I6" t="str">
        <f ca="1"/>
        <v>Rendement en tourteaux de la Semoulerie</v>
      </c>
      <c r="J6">
        <f ca="1"/>
        <v>0</v>
      </c>
      <c r="K6" t="str">
        <f ca="1"/>
        <v>Bilan d'approvisionnement agroalimentaire - SSP</v>
      </c>
      <c r="L6" t="str">
        <f ca="1"/>
        <v>Semoulerie maïs- Diverses</v>
      </c>
      <c r="M6" t="str">
        <f ca="1"/>
        <v>Rendement</v>
      </c>
      <c r="N6" t="str">
        <f ca="1"/>
        <v>Rendement en tourteaux de la Semoulerie = 11,5 % (Bilan d'approvisionnement agroalimentaire - SSP)</v>
      </c>
      <c r="O6" t="str">
        <f ca="1"/>
        <v>Approximative</v>
      </c>
      <c r="P6" t="str">
        <f ca="1"/>
        <v>Données collectées:Données déterminées</v>
      </c>
      <c r="Q6" t="str">
        <f ca="1"/>
        <v>Donnée collectée (valeur du flux ou coefficient)</v>
      </c>
    </row>
  </sheetData>
  <pageMargins left="0.75" right="0.75" top="1" bottom="1" header="0.5" footer="0.5"/>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96E9C-B7F4-405E-A189-B843AE3D428E}">
  <sheetPr>
    <tabColor rgb="FFFFC000"/>
  </sheetPr>
  <dimension ref="B2:J10"/>
  <sheetViews>
    <sheetView workbookViewId="0">
      <selection activeCell="H7" sqref="H7"/>
    </sheetView>
  </sheetViews>
  <sheetFormatPr baseColWidth="10" defaultRowHeight="14.4"/>
  <sheetData>
    <row r="2" spans="2:10">
      <c r="B2" t="s">
        <v>20</v>
      </c>
    </row>
    <row r="6" spans="2:10">
      <c r="G6" s="482">
        <v>0.16500000000000001</v>
      </c>
      <c r="H6" t="s">
        <v>1215</v>
      </c>
      <c r="I6" t="s">
        <v>1217</v>
      </c>
    </row>
    <row r="7" spans="2:10">
      <c r="G7" s="482">
        <v>0.15</v>
      </c>
      <c r="H7" t="s">
        <v>1216</v>
      </c>
      <c r="I7" t="s">
        <v>1217</v>
      </c>
    </row>
    <row r="8" spans="2:10">
      <c r="G8" s="482">
        <v>0.55500000000000005</v>
      </c>
      <c r="H8" t="s">
        <v>967</v>
      </c>
      <c r="I8" s="483">
        <v>0</v>
      </c>
      <c r="J8" t="s">
        <v>1394</v>
      </c>
    </row>
    <row r="9" spans="2:10">
      <c r="G9" s="482">
        <v>0.115</v>
      </c>
      <c r="H9" t="s">
        <v>991</v>
      </c>
      <c r="I9" t="s">
        <v>1217</v>
      </c>
    </row>
    <row r="10" spans="2:10">
      <c r="G10" s="482">
        <v>1.4999999999999999E-2</v>
      </c>
      <c r="H10" t="s">
        <v>977</v>
      </c>
      <c r="I10" t="s">
        <v>8</v>
      </c>
    </row>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B425F-7747-470B-8DB3-CE78CB0DDFFE}">
  <sheetPr>
    <tabColor rgb="FF92D050"/>
  </sheetPr>
  <dimension ref="A1:U13"/>
  <sheetViews>
    <sheetView workbookViewId="0">
      <pane xSplit="3" ySplit="1" topLeftCell="D2" activePane="bottomRight" state="frozen"/>
      <selection pane="topRight" activeCell="D1" sqref="D1"/>
      <selection pane="bottomLeft" activeCell="A2" sqref="A2"/>
      <selection pane="bottomRight" activeCell="T10" sqref="T10:T13"/>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15.6640625" style="10" customWidth="1"/>
    <col min="17" max="17" width="12.109375" style="10" customWidth="1"/>
    <col min="18" max="19" width="14.44140625" style="26" customWidth="1"/>
    <col min="20" max="20" width="11.6640625" bestFit="1" customWidth="1"/>
    <col min="21" max="21" width="13.109375" customWidth="1"/>
  </cols>
  <sheetData>
    <row r="1" spans="1:21" ht="63.6"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'!A22+1</f>
        <v>72</v>
      </c>
      <c r="B2" t="str">
        <f>Produits!$B$4</f>
        <v>Grains collectés</v>
      </c>
      <c r="C2" t="str">
        <f>Secteurs!$B$10</f>
        <v>Semoulerie</v>
      </c>
      <c r="D2" s="462">
        <f>'Semoulerie blé dur - CFSI'!Z10</f>
        <v>0.76923076923076916</v>
      </c>
      <c r="G2" s="10" t="str">
        <f>Etiquettes!$C$3</f>
        <v>kt</v>
      </c>
      <c r="H2" s="10" t="str">
        <f>Etiquettes!$K$6</f>
        <v>Blé dur</v>
      </c>
      <c r="I2" s="10" t="str">
        <f>Etiquettes!$C$5</f>
        <v>2015-16:2019-20:2023-24</v>
      </c>
      <c r="J2" s="10" t="str">
        <f>Etiquettes!$C$4</f>
        <v>France entière</v>
      </c>
      <c r="K2" s="604"/>
      <c r="L2" s="604"/>
      <c r="M2" s="604"/>
      <c r="N2" s="604"/>
      <c r="U2" s="463"/>
    </row>
    <row r="3" spans="1:21">
      <c r="A3" s="10">
        <f>'Contraintes     '!A23+1</f>
        <v>72</v>
      </c>
      <c r="B3" t="str">
        <f>Produits!$B$50</f>
        <v>Stock initial</v>
      </c>
      <c r="C3" t="str">
        <f>Secteurs!$B$10</f>
        <v>Semoulerie</v>
      </c>
      <c r="D3" s="462">
        <f>'Semoulerie blé dur - CFSI'!Z10</f>
        <v>0.76923076923076916</v>
      </c>
      <c r="G3" s="10" t="str">
        <f>Etiquettes!$C$3</f>
        <v>kt</v>
      </c>
      <c r="H3" s="10" t="str">
        <f>Etiquettes!$K$6</f>
        <v>Blé dur</v>
      </c>
      <c r="I3" s="10" t="str">
        <f>Etiquettes!$C$5</f>
        <v>2015-16:2019-20:2023-24</v>
      </c>
      <c r="J3" s="10" t="str">
        <f>Etiquettes!$C$4</f>
        <v>France entière</v>
      </c>
      <c r="U3" s="144"/>
    </row>
    <row r="4" spans="1:21">
      <c r="A4" s="10">
        <f>'Contraintes     '!A22+1</f>
        <v>72</v>
      </c>
      <c r="B4" t="str">
        <f>Secteurs!$B$10</f>
        <v>Semoulerie</v>
      </c>
      <c r="C4" t="str">
        <f>Produits!$B$51</f>
        <v>Stock final</v>
      </c>
      <c r="D4" s="462">
        <f>-'Semoulerie blé dur - CFSI'!Z10</f>
        <v>-0.76923076923076916</v>
      </c>
      <c r="G4" s="10" t="str">
        <f>Etiquettes!$C$3</f>
        <v>kt</v>
      </c>
      <c r="H4" s="10" t="str">
        <f>Etiquettes!$K$6</f>
        <v>Blé dur</v>
      </c>
      <c r="I4" s="10" t="str">
        <f>Etiquettes!$C$5</f>
        <v>2015-16:2019-20:2023-24</v>
      </c>
      <c r="J4" s="10" t="str">
        <f>Etiquettes!$C$4</f>
        <v>France entière</v>
      </c>
      <c r="U4" s="144"/>
    </row>
    <row r="5" spans="1:21">
      <c r="A5" s="10">
        <f>'Contraintes     '!A23+1</f>
        <v>72</v>
      </c>
      <c r="B5" t="str">
        <f>Secteurs!$B$10</f>
        <v>Semoulerie</v>
      </c>
      <c r="C5" t="str">
        <f>Produits!$B$17</f>
        <v>Semoule</v>
      </c>
      <c r="D5">
        <v>-1</v>
      </c>
      <c r="G5" s="10" t="str">
        <f>Etiquettes!$C$3</f>
        <v>kt</v>
      </c>
      <c r="H5" s="10" t="str">
        <f>Etiquettes!$K$6</f>
        <v>Blé dur</v>
      </c>
      <c r="I5" s="10" t="str">
        <f>Etiquettes!$C$5</f>
        <v>2015-16:2019-20:2023-24</v>
      </c>
      <c r="J5" s="10" t="str">
        <f>Etiquettes!$C$4</f>
        <v>France entière</v>
      </c>
      <c r="K5" s="604" t="s">
        <v>1635</v>
      </c>
      <c r="L5" s="604"/>
      <c r="M5" s="604" t="s">
        <v>1637</v>
      </c>
      <c r="N5" s="604" t="str" cm="1">
        <f t="array" aca="1" ref="N5" ca="1">[1]!NOM_FEUILLE('Semoulerie blé dur - CFSI'!$A$1)</f>
        <v>Semoulerie blé dur - CFSI</v>
      </c>
      <c r="O5" s="10" t="str">
        <f>Etiquettes!$I$11</f>
        <v>Rendement</v>
      </c>
      <c r="P5" t="str">
        <f>_xlfn.CONCAT(K5," = ",MROUND(D2*100,0.01)," % (",M5,")")</f>
        <v>Rendement en semoule de blé dur de la Semoulerie = 76,92 % (Chiffres clé - CFSI)</v>
      </c>
      <c r="Q5" s="10" t="str">
        <f>Etiquettes!$K$15</f>
        <v>Approximative</v>
      </c>
      <c r="R5" s="642" t="s">
        <v>1813</v>
      </c>
      <c r="S5" s="603" t="str">
        <f>Etiquettes!$H$17</f>
        <v>Donnée collectée (valeur du flux ou coefficient)</v>
      </c>
      <c r="U5" s="144"/>
    </row>
    <row r="6" spans="1:21">
      <c r="A6" s="10">
        <f>A2+1</f>
        <v>73</v>
      </c>
      <c r="B6" t="str">
        <f>Secteurs!$B$10</f>
        <v>Semoulerie</v>
      </c>
      <c r="C6" t="str">
        <f>Produits!$B$17</f>
        <v>Semoule</v>
      </c>
      <c r="D6" s="29">
        <f>'Semoulerie blé dur - CFSI'!Z11</f>
        <v>0.81</v>
      </c>
      <c r="G6" s="10" t="str">
        <f>Etiquettes!$C$3</f>
        <v>kt</v>
      </c>
      <c r="H6" s="10" t="str">
        <f>Etiquettes!$K$6</f>
        <v>Blé dur</v>
      </c>
      <c r="I6" s="10" t="str">
        <f>Etiquettes!$C$5</f>
        <v>2015-16:2019-20:2023-24</v>
      </c>
      <c r="J6" s="10" t="str">
        <f>Etiquettes!$C$4</f>
        <v>France entière</v>
      </c>
      <c r="K6" s="604"/>
      <c r="L6" s="604"/>
      <c r="M6" s="604"/>
      <c r="N6" s="604"/>
      <c r="U6" s="144"/>
    </row>
    <row r="7" spans="1:21">
      <c r="A7" s="10">
        <f t="shared" ref="A7:A8" si="0">A3+1</f>
        <v>73</v>
      </c>
      <c r="B7" t="str">
        <f>Produits!$B$50</f>
        <v>Stock initial</v>
      </c>
      <c r="C7" t="str">
        <f>Secteurs!$B$10</f>
        <v>Semoulerie</v>
      </c>
      <c r="D7" s="462">
        <f>'Semoulerie blé dur - CFSI'!Z11</f>
        <v>0.81</v>
      </c>
      <c r="G7" s="10" t="str">
        <f>Etiquettes!$C$3</f>
        <v>kt</v>
      </c>
      <c r="H7" s="10" t="str">
        <f>Etiquettes!$K$6</f>
        <v>Blé dur</v>
      </c>
      <c r="I7" s="10" t="str">
        <f>Etiquettes!$C$5</f>
        <v>2015-16:2019-20:2023-24</v>
      </c>
      <c r="J7" s="10" t="str">
        <f>Etiquettes!$C$4</f>
        <v>France entière</v>
      </c>
      <c r="U7" s="144"/>
    </row>
    <row r="8" spans="1:21">
      <c r="A8" s="10">
        <f t="shared" si="0"/>
        <v>73</v>
      </c>
      <c r="B8" t="str">
        <f>Secteurs!$B$10</f>
        <v>Semoulerie</v>
      </c>
      <c r="C8" t="str">
        <f>Produits!$B$51</f>
        <v>Stock final</v>
      </c>
      <c r="D8" s="462">
        <f>-'Semoulerie blé dur - CFSI'!Z11</f>
        <v>-0.81</v>
      </c>
      <c r="G8" s="10" t="str">
        <f>Etiquettes!$C$3</f>
        <v>kt</v>
      </c>
      <c r="H8" s="10" t="str">
        <f>Etiquettes!$K$6</f>
        <v>Blé dur</v>
      </c>
      <c r="I8" s="10" t="str">
        <f>Etiquettes!$C$5</f>
        <v>2015-16:2019-20:2023-24</v>
      </c>
      <c r="J8" s="10" t="str">
        <f>Etiquettes!$C$4</f>
        <v>France entière</v>
      </c>
      <c r="U8" s="144"/>
    </row>
    <row r="9" spans="1:21">
      <c r="A9" s="10">
        <f t="shared" ref="A9:A12" si="1">A5+1</f>
        <v>73</v>
      </c>
      <c r="B9" t="str">
        <f>Produits!$B$17</f>
        <v>Semoule</v>
      </c>
      <c r="C9" t="str">
        <f>Secteurs!$B$11</f>
        <v>Indus. pâtes &amp; couscous</v>
      </c>
      <c r="D9">
        <v>-1</v>
      </c>
      <c r="G9" s="10" t="str">
        <f>Etiquettes!$C$3</f>
        <v>kt</v>
      </c>
      <c r="H9" s="10" t="str">
        <f>Etiquettes!$K$6</f>
        <v>Blé dur</v>
      </c>
      <c r="I9" s="10" t="str">
        <f>Etiquettes!$C$5</f>
        <v>2015-16:2019-20:2023-24</v>
      </c>
      <c r="J9" s="10" t="str">
        <f>Etiquettes!$C$4</f>
        <v>France entière</v>
      </c>
      <c r="K9" s="604" t="s">
        <v>1636</v>
      </c>
      <c r="L9" s="604"/>
      <c r="M9" s="604" t="s">
        <v>1637</v>
      </c>
      <c r="N9" s="604" t="str" cm="1">
        <f t="array" aca="1" ref="N9" ca="1">[1]!NOM_FEUILLE('Semoulerie blé dur - CFSI'!$A$1)</f>
        <v>Semoulerie blé dur - CFSI</v>
      </c>
      <c r="O9" s="10" t="str">
        <f>Etiquettes!$J$11</f>
        <v>Répartition</v>
      </c>
      <c r="P9" t="str">
        <f>_xlfn.CONCAT(K9," = ",MROUND(D6*100,0.01)," % (",M9,")")</f>
        <v>Part de semoule de blé dur consommée par l'industrie des pâtes et couscous = 81 % (Chiffres clé - CFSI)</v>
      </c>
      <c r="Q9" s="10" t="str">
        <f>Etiquettes!$K$15</f>
        <v>Approximative</v>
      </c>
      <c r="R9" s="642" t="s">
        <v>1813</v>
      </c>
      <c r="S9" s="603" t="str">
        <f>Etiquettes!$H$17</f>
        <v>Donnée collectée (valeur du flux ou coefficient)</v>
      </c>
      <c r="U9" s="144"/>
    </row>
    <row r="10" spans="1:21">
      <c r="A10" s="10">
        <f t="shared" si="1"/>
        <v>74</v>
      </c>
      <c r="B10" t="str">
        <f>Produits!$B$4</f>
        <v>Grains collectés</v>
      </c>
      <c r="C10" t="str">
        <f>Secteurs!$B$10</f>
        <v>Semoulerie</v>
      </c>
      <c r="D10" s="462">
        <f>1-D2</f>
        <v>0.23076923076923084</v>
      </c>
      <c r="G10" s="10" t="str">
        <f>Etiquettes!$C$3</f>
        <v>kt</v>
      </c>
      <c r="H10" s="10" t="str">
        <f>Etiquettes!$K$6</f>
        <v>Blé dur</v>
      </c>
      <c r="I10" s="10" t="str">
        <f>Etiquettes!$C$5</f>
        <v>2015-16:2019-20:2023-24</v>
      </c>
      <c r="J10" s="10" t="str">
        <f>Etiquettes!$C$4</f>
        <v>France entière</v>
      </c>
      <c r="K10" s="604"/>
      <c r="L10" s="604"/>
      <c r="M10" s="604"/>
      <c r="N10" s="604"/>
      <c r="T10" s="693" t="s">
        <v>1414</v>
      </c>
    </row>
    <row r="11" spans="1:21">
      <c r="A11" s="10">
        <f t="shared" si="1"/>
        <v>74</v>
      </c>
      <c r="B11" t="str">
        <f>Produits!$B$50</f>
        <v>Stock initial</v>
      </c>
      <c r="C11" t="str">
        <f>Secteurs!$B$10</f>
        <v>Semoulerie</v>
      </c>
      <c r="D11" s="462">
        <f>1-D2</f>
        <v>0.23076923076923084</v>
      </c>
      <c r="G11" s="10" t="str">
        <f>Etiquettes!$C$3</f>
        <v>kt</v>
      </c>
      <c r="H11" s="10" t="str">
        <f>Etiquettes!$K$6</f>
        <v>Blé dur</v>
      </c>
      <c r="I11" s="10" t="str">
        <f>Etiquettes!$C$5</f>
        <v>2015-16:2019-20:2023-24</v>
      </c>
      <c r="J11" s="10" t="str">
        <f>Etiquettes!$C$4</f>
        <v>France entière</v>
      </c>
      <c r="T11" s="693"/>
      <c r="U11" s="144"/>
    </row>
    <row r="12" spans="1:21">
      <c r="A12" s="10">
        <f t="shared" si="1"/>
        <v>74</v>
      </c>
      <c r="B12" t="str">
        <f>Secteurs!$B$10</f>
        <v>Semoulerie</v>
      </c>
      <c r="C12" t="str">
        <f>Produits!$B$51</f>
        <v>Stock final</v>
      </c>
      <c r="D12" s="462">
        <f>-(1-D2)</f>
        <v>-0.23076923076923084</v>
      </c>
      <c r="G12" s="10" t="str">
        <f>Etiquettes!$C$3</f>
        <v>kt</v>
      </c>
      <c r="H12" s="10" t="str">
        <f>Etiquettes!$K$6</f>
        <v>Blé dur</v>
      </c>
      <c r="I12" s="10" t="str">
        <f>Etiquettes!$C$5</f>
        <v>2015-16:2019-20:2023-24</v>
      </c>
      <c r="J12" s="10" t="str">
        <f>Etiquettes!$C$4</f>
        <v>France entière</v>
      </c>
      <c r="T12" s="693"/>
      <c r="U12" s="144"/>
    </row>
    <row r="13" spans="1:21">
      <c r="A13" s="10">
        <f>A9+1</f>
        <v>74</v>
      </c>
      <c r="B13" t="str">
        <f>Secteurs!$B$10</f>
        <v>Semoulerie</v>
      </c>
      <c r="C13" t="str">
        <f>Produits!$B$20</f>
        <v>Coproduits semoulerie de blé dur</v>
      </c>
      <c r="D13">
        <v>-1</v>
      </c>
      <c r="G13" s="10" t="str">
        <f>Etiquettes!$C$3</f>
        <v>kt</v>
      </c>
      <c r="H13" s="10" t="str">
        <f>Etiquettes!$K$6</f>
        <v>Blé dur</v>
      </c>
      <c r="I13" s="10" t="str">
        <f>Etiquettes!$C$5</f>
        <v>2015-16:2019-20:2023-24</v>
      </c>
      <c r="J13" s="10" t="str">
        <f>Etiquettes!$C$4</f>
        <v>France entière</v>
      </c>
      <c r="K13" s="604"/>
      <c r="L13" s="604"/>
      <c r="M13" s="604"/>
      <c r="N13" s="604"/>
      <c r="T13" s="693"/>
    </row>
  </sheetData>
  <mergeCells count="1">
    <mergeCell ref="T10:T1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B731-5E5B-4C09-B604-6B0DA7DF674B}">
  <sheetPr>
    <tabColor rgb="FF0070C0"/>
  </sheetPr>
  <dimension ref="A1:D51"/>
  <sheetViews>
    <sheetView workbookViewId="0">
      <pane xSplit="2" ySplit="1" topLeftCell="C2" activePane="bottomRight" state="frozen"/>
      <selection activeCell="B15" sqref="B15"/>
      <selection pane="topRight" activeCell="B15" sqref="B15"/>
      <selection pane="bottomLeft" activeCell="B15" sqref="B15"/>
      <selection pane="bottomRight" activeCell="C52" sqref="C52"/>
    </sheetView>
  </sheetViews>
  <sheetFormatPr baseColWidth="10" defaultColWidth="9.109375" defaultRowHeight="14.4"/>
  <cols>
    <col min="1" max="1" width="15.6640625" style="10" customWidth="1"/>
    <col min="2" max="2" width="61.6640625" bestFit="1" customWidth="1"/>
    <col min="3" max="3" width="17.109375" style="10" customWidth="1"/>
  </cols>
  <sheetData>
    <row r="1" spans="1:4" ht="38.4" thickBot="1">
      <c r="A1" s="1" t="s">
        <v>0</v>
      </c>
      <c r="B1" s="2" t="s">
        <v>1</v>
      </c>
      <c r="C1" s="2" t="s">
        <v>2</v>
      </c>
      <c r="D1" t="str">
        <f>Etiquettes!$A$2</f>
        <v>Type de matière</v>
      </c>
    </row>
    <row r="2" spans="1:4" s="513" customFormat="1">
      <c r="A2" s="512">
        <v>1</v>
      </c>
      <c r="B2" s="513" t="s">
        <v>1109</v>
      </c>
      <c r="C2" s="512">
        <v>1</v>
      </c>
      <c r="D2" s="513" t="str">
        <f>Etiquettes!$H$2</f>
        <v>Matière première</v>
      </c>
    </row>
    <row r="3" spans="1:4" s="513" customFormat="1">
      <c r="A3" s="512">
        <v>1</v>
      </c>
      <c r="B3" s="513" t="s">
        <v>1110</v>
      </c>
      <c r="C3" s="512">
        <v>1</v>
      </c>
      <c r="D3" s="513" t="str">
        <f>Etiquettes!$H$2</f>
        <v>Matière première</v>
      </c>
    </row>
    <row r="4" spans="1:4" s="513" customFormat="1">
      <c r="A4" s="512">
        <v>1</v>
      </c>
      <c r="B4" s="513" t="s">
        <v>1111</v>
      </c>
      <c r="C4" s="512">
        <v>1</v>
      </c>
      <c r="D4" s="513" t="str">
        <f>Etiquettes!$H$2</f>
        <v>Matière première</v>
      </c>
    </row>
    <row r="5" spans="1:4" s="513" customFormat="1">
      <c r="A5" s="512">
        <v>1</v>
      </c>
      <c r="B5" s="513" t="s">
        <v>1112</v>
      </c>
      <c r="C5" s="512">
        <v>1</v>
      </c>
      <c r="D5" s="513" t="str">
        <f>Etiquettes!$J$2</f>
        <v>Coproduit</v>
      </c>
    </row>
    <row r="6" spans="1:4" s="515" customFormat="1">
      <c r="A6" s="514">
        <v>1</v>
      </c>
      <c r="B6" s="515" t="s">
        <v>963</v>
      </c>
      <c r="C6" s="514">
        <v>1</v>
      </c>
      <c r="D6" s="515" t="str">
        <f>Etiquettes!$I$2</f>
        <v>Produit</v>
      </c>
    </row>
    <row r="7" spans="1:4" s="515" customFormat="1">
      <c r="A7" s="514">
        <v>1</v>
      </c>
      <c r="B7" s="515" t="s">
        <v>1203</v>
      </c>
      <c r="C7" s="514">
        <v>1</v>
      </c>
      <c r="D7" s="515" t="str">
        <f>Etiquettes!$J$2</f>
        <v>Coproduit</v>
      </c>
    </row>
    <row r="8" spans="1:4" s="515" customFormat="1">
      <c r="A8" s="514">
        <v>2</v>
      </c>
      <c r="B8" s="515" t="s">
        <v>1485</v>
      </c>
      <c r="C8" s="514">
        <v>1</v>
      </c>
      <c r="D8" s="515" t="str">
        <f>Etiquettes!$J$2</f>
        <v>Coproduit</v>
      </c>
    </row>
    <row r="9" spans="1:4" s="515" customFormat="1">
      <c r="A9" s="514">
        <v>2</v>
      </c>
      <c r="B9" s="515" t="s">
        <v>1201</v>
      </c>
      <c r="C9" s="514">
        <v>1</v>
      </c>
      <c r="D9" s="515" t="str">
        <f>Etiquettes!$J$2</f>
        <v>Coproduit</v>
      </c>
    </row>
    <row r="10" spans="1:4" s="515" customFormat="1">
      <c r="A10" s="514">
        <v>2</v>
      </c>
      <c r="B10" s="515" t="s">
        <v>1202</v>
      </c>
      <c r="C10" s="514">
        <v>1</v>
      </c>
      <c r="D10" s="515" t="str">
        <f>Etiquettes!$J$2</f>
        <v>Coproduit</v>
      </c>
    </row>
    <row r="11" spans="1:4" s="37" customFormat="1">
      <c r="A11" s="35">
        <v>1</v>
      </c>
      <c r="B11" s="37" t="s">
        <v>975</v>
      </c>
      <c r="C11" s="35">
        <v>1</v>
      </c>
      <c r="D11" s="37" t="str">
        <f>Etiquettes!$I$2</f>
        <v>Produit</v>
      </c>
    </row>
    <row r="12" spans="1:4" s="37" customFormat="1">
      <c r="A12" s="35">
        <v>1</v>
      </c>
      <c r="B12" s="37" t="s">
        <v>976</v>
      </c>
      <c r="C12" s="35">
        <v>1</v>
      </c>
      <c r="D12" s="37" t="str">
        <f>Etiquettes!$I$2</f>
        <v>Produit</v>
      </c>
    </row>
    <row r="13" spans="1:4" s="37" customFormat="1">
      <c r="A13" s="35">
        <v>1</v>
      </c>
      <c r="B13" s="37" t="s">
        <v>1225</v>
      </c>
      <c r="C13" s="35">
        <v>1</v>
      </c>
      <c r="D13" s="37" t="str">
        <f>Etiquettes!$J$2</f>
        <v>Coproduit</v>
      </c>
    </row>
    <row r="14" spans="1:4" s="37" customFormat="1">
      <c r="A14" s="35">
        <v>1</v>
      </c>
      <c r="B14" s="37" t="s">
        <v>1226</v>
      </c>
      <c r="C14" s="35">
        <v>1</v>
      </c>
      <c r="D14" s="37" t="str">
        <f>Etiquettes!$J$2</f>
        <v>Coproduit</v>
      </c>
    </row>
    <row r="15" spans="1:4" s="517" customFormat="1">
      <c r="A15" s="516">
        <v>1</v>
      </c>
      <c r="B15" s="517" t="s">
        <v>977</v>
      </c>
      <c r="C15" s="516">
        <v>1</v>
      </c>
      <c r="D15" s="517" t="str">
        <f>Etiquettes!$I$2</f>
        <v>Produit</v>
      </c>
    </row>
    <row r="16" spans="1:4" s="517" customFormat="1">
      <c r="A16" s="516">
        <v>1</v>
      </c>
      <c r="B16" s="517" t="s">
        <v>991</v>
      </c>
      <c r="C16" s="516">
        <v>1</v>
      </c>
      <c r="D16" s="517" t="str">
        <f>Etiquettes!$J$2</f>
        <v>Coproduit</v>
      </c>
    </row>
    <row r="17" spans="1:4" s="519" customFormat="1">
      <c r="A17" s="518">
        <v>1</v>
      </c>
      <c r="B17" s="519" t="s">
        <v>967</v>
      </c>
      <c r="C17" s="518">
        <v>1</v>
      </c>
      <c r="D17" s="519" t="str">
        <f>Etiquettes!$I$2</f>
        <v>Produit</v>
      </c>
    </row>
    <row r="18" spans="1:4" s="519" customFormat="1">
      <c r="A18" s="518">
        <v>1</v>
      </c>
      <c r="B18" s="519" t="s">
        <v>1216</v>
      </c>
      <c r="C18" s="518">
        <v>1</v>
      </c>
      <c r="D18" s="519" t="str">
        <f>Etiquettes!$J$2</f>
        <v>Coproduit</v>
      </c>
    </row>
    <row r="19" spans="1:4" s="519" customFormat="1">
      <c r="A19" s="518">
        <v>1</v>
      </c>
      <c r="B19" s="519" t="s">
        <v>1215</v>
      </c>
      <c r="C19" s="518">
        <v>1</v>
      </c>
      <c r="D19" s="519" t="str">
        <f>Etiquettes!$J$2</f>
        <v>Coproduit</v>
      </c>
    </row>
    <row r="20" spans="1:4" s="519" customFormat="1">
      <c r="A20" s="518">
        <v>1</v>
      </c>
      <c r="B20" s="519" t="s">
        <v>1237</v>
      </c>
      <c r="C20" s="518">
        <v>1</v>
      </c>
      <c r="D20" s="519" t="str">
        <f>Etiquettes!$J$2</f>
        <v>Coproduit</v>
      </c>
    </row>
    <row r="21" spans="1:4" s="519" customFormat="1">
      <c r="A21" s="518">
        <v>2</v>
      </c>
      <c r="B21" s="519" t="s">
        <v>1231</v>
      </c>
      <c r="C21" s="518">
        <v>1</v>
      </c>
      <c r="D21" s="519" t="str">
        <f>Etiquettes!$J$2</f>
        <v>Coproduit</v>
      </c>
    </row>
    <row r="22" spans="1:4" s="519" customFormat="1">
      <c r="A22" s="518">
        <v>2</v>
      </c>
      <c r="B22" s="519" t="s">
        <v>1232</v>
      </c>
      <c r="C22" s="518">
        <v>1</v>
      </c>
      <c r="D22" s="519" t="str">
        <f>Etiquettes!$J$2</f>
        <v>Coproduit</v>
      </c>
    </row>
    <row r="23" spans="1:4" s="521" customFormat="1">
      <c r="A23" s="520">
        <v>1</v>
      </c>
      <c r="B23" s="521" t="s">
        <v>1233</v>
      </c>
      <c r="C23" s="520">
        <v>1</v>
      </c>
      <c r="D23" s="521" t="str">
        <f>Etiquettes!$I$2</f>
        <v>Produit</v>
      </c>
    </row>
    <row r="24" spans="1:4" s="521" customFormat="1">
      <c r="A24" s="520">
        <v>1</v>
      </c>
      <c r="B24" s="521" t="s">
        <v>1234</v>
      </c>
      <c r="C24" s="520">
        <v>1</v>
      </c>
      <c r="D24" s="521" t="s">
        <v>946</v>
      </c>
    </row>
    <row r="25" spans="1:4" s="521" customFormat="1">
      <c r="A25" s="520">
        <v>1</v>
      </c>
      <c r="B25" s="521" t="s">
        <v>1229</v>
      </c>
      <c r="C25" s="520">
        <v>1</v>
      </c>
      <c r="D25" s="521" t="str">
        <f>Etiquettes!$J$2</f>
        <v>Coproduit</v>
      </c>
    </row>
    <row r="26" spans="1:4" s="523" customFormat="1">
      <c r="A26" s="522">
        <v>1</v>
      </c>
      <c r="B26" s="523" t="s">
        <v>1239</v>
      </c>
      <c r="C26" s="522">
        <v>1</v>
      </c>
      <c r="D26" s="523" t="str">
        <f>Etiquettes!$I$2</f>
        <v>Produit</v>
      </c>
    </row>
    <row r="27" spans="1:4" s="523" customFormat="1">
      <c r="A27" s="522">
        <v>1</v>
      </c>
      <c r="B27" s="523" t="s">
        <v>1241</v>
      </c>
      <c r="C27" s="522">
        <v>1</v>
      </c>
      <c r="D27" s="523" t="str">
        <f>Etiquettes!$J$2</f>
        <v>Coproduit</v>
      </c>
    </row>
    <row r="28" spans="1:4" s="523" customFormat="1">
      <c r="A28" s="522">
        <v>1</v>
      </c>
      <c r="B28" s="523" t="s">
        <v>1243</v>
      </c>
      <c r="C28" s="522">
        <v>0</v>
      </c>
      <c r="D28" s="523" t="str">
        <f>Etiquettes!$L$2</f>
        <v>Rejet</v>
      </c>
    </row>
    <row r="29" spans="1:4" s="558" customFormat="1">
      <c r="A29" s="557">
        <v>1</v>
      </c>
      <c r="B29" s="558" t="s">
        <v>972</v>
      </c>
      <c r="C29" s="557">
        <v>1</v>
      </c>
      <c r="D29" s="558" t="str">
        <f>Etiquettes!$I$2</f>
        <v>Produit</v>
      </c>
    </row>
    <row r="30" spans="1:4" s="558" customFormat="1">
      <c r="A30" s="557">
        <v>1</v>
      </c>
      <c r="B30" s="558" t="s">
        <v>1334</v>
      </c>
      <c r="C30" s="557">
        <v>1</v>
      </c>
      <c r="D30" s="558" t="str">
        <f>Etiquettes!$J$2</f>
        <v>Coproduit</v>
      </c>
    </row>
    <row r="31" spans="1:4" s="558" customFormat="1">
      <c r="A31" s="557">
        <v>1</v>
      </c>
      <c r="B31" s="558" t="s">
        <v>1335</v>
      </c>
      <c r="C31" s="557">
        <v>1</v>
      </c>
      <c r="D31" s="558" t="str">
        <f>Etiquettes!$J$2</f>
        <v>Coproduit</v>
      </c>
    </row>
    <row r="32" spans="1:4" s="558" customFormat="1">
      <c r="A32" s="557">
        <v>1</v>
      </c>
      <c r="B32" s="558" t="s">
        <v>1336</v>
      </c>
      <c r="C32" s="557">
        <v>1</v>
      </c>
      <c r="D32" s="558" t="str">
        <f>Etiquettes!$J$2</f>
        <v>Coproduit</v>
      </c>
    </row>
    <row r="33" spans="1:4" s="558" customFormat="1">
      <c r="A33" s="557">
        <v>1</v>
      </c>
      <c r="B33" s="558" t="s">
        <v>1337</v>
      </c>
      <c r="C33" s="557">
        <v>1</v>
      </c>
      <c r="D33" s="558" t="str">
        <f>Etiquettes!$J$2</f>
        <v>Coproduit</v>
      </c>
    </row>
    <row r="34" spans="1:4" s="558" customFormat="1">
      <c r="A34" s="557">
        <v>1</v>
      </c>
      <c r="B34" s="558" t="s">
        <v>1338</v>
      </c>
      <c r="C34" s="557">
        <v>1</v>
      </c>
      <c r="D34" s="558" t="str">
        <f>Etiquettes!$J$2</f>
        <v>Coproduit</v>
      </c>
    </row>
    <row r="35" spans="1:4" s="566" customFormat="1">
      <c r="A35" s="565">
        <v>1</v>
      </c>
      <c r="B35" s="566" t="s">
        <v>1371</v>
      </c>
      <c r="C35" s="565">
        <v>0</v>
      </c>
      <c r="D35" s="566" t="str">
        <f>Etiquettes!$K$2</f>
        <v>Intrant externe</v>
      </c>
    </row>
    <row r="36" spans="1:4" s="566" customFormat="1">
      <c r="A36" s="565">
        <v>1</v>
      </c>
      <c r="B36" s="566" t="s">
        <v>1373</v>
      </c>
      <c r="C36" s="565">
        <v>0</v>
      </c>
      <c r="D36" s="566" t="str">
        <f>Etiquettes!$K$2</f>
        <v>Intrant externe</v>
      </c>
    </row>
    <row r="37" spans="1:4" s="566" customFormat="1">
      <c r="A37" s="565">
        <v>1</v>
      </c>
      <c r="B37" s="566" t="s">
        <v>1366</v>
      </c>
      <c r="C37" s="565">
        <v>0</v>
      </c>
      <c r="D37" s="566" t="str">
        <f>Etiquettes!$K$2</f>
        <v>Intrant externe</v>
      </c>
    </row>
    <row r="38" spans="1:4" s="566" customFormat="1">
      <c r="A38" s="565">
        <v>1</v>
      </c>
      <c r="B38" s="566" t="s">
        <v>985</v>
      </c>
      <c r="C38" s="565">
        <v>1</v>
      </c>
      <c r="D38" s="566" t="str">
        <f>Etiquettes!$I$2</f>
        <v>Produit</v>
      </c>
    </row>
    <row r="39" spans="1:4" s="566" customFormat="1">
      <c r="A39" s="565">
        <v>1</v>
      </c>
      <c r="B39" s="566" t="s">
        <v>1206</v>
      </c>
      <c r="C39" s="565">
        <v>1</v>
      </c>
      <c r="D39" s="566" t="str">
        <f>Etiquettes!$J$2</f>
        <v>Coproduit</v>
      </c>
    </row>
    <row r="40" spans="1:4" s="566" customFormat="1">
      <c r="A40" s="565">
        <v>1</v>
      </c>
      <c r="B40" s="566" t="s">
        <v>1372</v>
      </c>
      <c r="C40" s="565">
        <v>1</v>
      </c>
      <c r="D40" s="566" t="str">
        <f>Etiquettes!$J$2</f>
        <v>Coproduit</v>
      </c>
    </row>
    <row r="41" spans="1:4" s="566" customFormat="1">
      <c r="A41" s="565">
        <v>1</v>
      </c>
      <c r="B41" s="566" t="s">
        <v>1347</v>
      </c>
      <c r="C41" s="565">
        <v>1</v>
      </c>
      <c r="D41" s="566" t="str">
        <f>Etiquettes!$J$2</f>
        <v>Coproduit</v>
      </c>
    </row>
    <row r="42" spans="1:4" s="566" customFormat="1">
      <c r="A42" s="565">
        <v>1</v>
      </c>
      <c r="B42" s="566" t="s">
        <v>1374</v>
      </c>
      <c r="C42" s="565">
        <v>0</v>
      </c>
      <c r="D42" s="566" t="str">
        <f>Etiquettes!$L$2</f>
        <v>Rejet</v>
      </c>
    </row>
    <row r="43" spans="1:4" s="573" customFormat="1">
      <c r="A43" s="572">
        <v>1</v>
      </c>
      <c r="B43" s="573" t="s">
        <v>1406</v>
      </c>
      <c r="C43" s="572">
        <v>1</v>
      </c>
      <c r="D43" s="573" t="str">
        <f>Etiquettes!$I$2</f>
        <v>Produit</v>
      </c>
    </row>
    <row r="44" spans="1:4" s="573" customFormat="1">
      <c r="A44" s="572">
        <v>1</v>
      </c>
      <c r="B44" s="573" t="s">
        <v>1407</v>
      </c>
      <c r="C44" s="572">
        <v>0</v>
      </c>
      <c r="D44" s="573" t="str">
        <f>Etiquettes!$L$2</f>
        <v>Rejet</v>
      </c>
    </row>
    <row r="45" spans="1:4" s="586" customFormat="1">
      <c r="A45" s="585">
        <v>1</v>
      </c>
      <c r="B45" s="586" t="s">
        <v>1472</v>
      </c>
      <c r="C45" s="585">
        <v>1</v>
      </c>
      <c r="D45" s="586" t="str">
        <f>Etiquettes!$I$2</f>
        <v>Produit</v>
      </c>
    </row>
    <row r="46" spans="1:4" s="586" customFormat="1">
      <c r="A46" s="585">
        <v>1</v>
      </c>
      <c r="B46" s="586" t="s">
        <v>1476</v>
      </c>
      <c r="C46" s="585">
        <v>1</v>
      </c>
      <c r="D46" s="586" t="str">
        <f>Etiquettes!$J$2</f>
        <v>Coproduit</v>
      </c>
    </row>
    <row r="47" spans="1:4" s="588" customFormat="1">
      <c r="A47" s="587">
        <v>1</v>
      </c>
      <c r="B47" s="588" t="s">
        <v>1473</v>
      </c>
      <c r="C47" s="587">
        <v>1</v>
      </c>
      <c r="D47" s="588" t="str">
        <f>Etiquettes!$I$2</f>
        <v>Produit</v>
      </c>
    </row>
    <row r="48" spans="1:4" s="588" customFormat="1">
      <c r="A48" s="587">
        <v>1</v>
      </c>
      <c r="B48" s="588" t="s">
        <v>1477</v>
      </c>
      <c r="C48" s="587">
        <v>1</v>
      </c>
      <c r="D48" s="588" t="str">
        <f>Etiquettes!$J$2</f>
        <v>Coproduit</v>
      </c>
    </row>
    <row r="49" spans="1:4" s="588" customFormat="1">
      <c r="A49" s="587">
        <v>1</v>
      </c>
      <c r="B49" s="588" t="s">
        <v>962</v>
      </c>
      <c r="C49" s="587">
        <v>1</v>
      </c>
      <c r="D49" s="588" t="str">
        <f>Etiquettes!$J$2</f>
        <v>Coproduit</v>
      </c>
    </row>
    <row r="50" spans="1:4" s="511" customFormat="1">
      <c r="A50" s="510">
        <v>1</v>
      </c>
      <c r="B50" s="511" t="s">
        <v>1118</v>
      </c>
      <c r="C50" s="510">
        <v>0</v>
      </c>
      <c r="D50" s="511" t="str">
        <f>Etiquettes!$H$2</f>
        <v>Matière première</v>
      </c>
    </row>
    <row r="51" spans="1:4" s="511" customFormat="1">
      <c r="A51" s="510">
        <v>1</v>
      </c>
      <c r="B51" s="511" t="s">
        <v>1117</v>
      </c>
      <c r="C51" s="510">
        <v>0</v>
      </c>
      <c r="D51" s="511" t="str">
        <f>Etiquettes!$H$2</f>
        <v>Matière première</v>
      </c>
    </row>
  </sheetData>
  <pageMargins left="0.75" right="0.75" top="1" bottom="1" header="0.5" footer="0.5"/>
  <pageSetup paperSize="9" orientation="portrait"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FAFF5-A48C-4E05-A5C0-6A7C326A23D1}">
  <sheetPr>
    <tabColor theme="1"/>
  </sheetPr>
  <dimension ref="A1:Q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3" ca="1">_xlfn._xlws.FILTER('Contraintes      '!G1:S206,ISTEXT('Contraintes      '!O1:O206))</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3">_xlfn._xlws.FILTER('Contraintes      '!B2:C206,ISTEXT('Contraintes      '!O2:O206))</f>
        <v>Semoulerie</v>
      </c>
      <c r="B2" t="str">
        <v>Semoule</v>
      </c>
      <c r="E2" t="str">
        <f ca="1"/>
        <v>kt</v>
      </c>
      <c r="F2" t="str">
        <f ca="1"/>
        <v>Blé dur</v>
      </c>
      <c r="G2" t="str">
        <f ca="1"/>
        <v>2015-16:2019-20:2023-24</v>
      </c>
      <c r="H2" t="str">
        <f ca="1"/>
        <v>France entière</v>
      </c>
      <c r="I2" t="str">
        <f ca="1"/>
        <v>Rendement en semoule de blé dur de la Semoulerie</v>
      </c>
      <c r="J2">
        <f ca="1"/>
        <v>0</v>
      </c>
      <c r="K2" t="str">
        <f ca="1"/>
        <v>Chiffres clé - CFSI</v>
      </c>
      <c r="L2" t="str">
        <f ca="1"/>
        <v>Semoulerie blé dur - CFSI</v>
      </c>
      <c r="M2" t="str">
        <f ca="1"/>
        <v>Rendement</v>
      </c>
      <c r="N2" t="str">
        <f ca="1"/>
        <v>Rendement en semoule de blé dur de la Semoulerie = 76,92 % (Chiffres clé - CFSI)</v>
      </c>
      <c r="O2" t="str">
        <f ca="1"/>
        <v>Approximative</v>
      </c>
      <c r="P2" t="str">
        <f ca="1"/>
        <v>Données collectées:Données déterminées</v>
      </c>
      <c r="Q2" t="str">
        <f ca="1"/>
        <v>Donnée collectée (valeur du flux ou coefficient)</v>
      </c>
    </row>
    <row r="3" spans="1:17">
      <c r="A3" t="str">
        <v>Semoule</v>
      </c>
      <c r="B3" t="str">
        <v>Indus. pâtes &amp; couscous</v>
      </c>
      <c r="E3" t="str">
        <f ca="1"/>
        <v>kt</v>
      </c>
      <c r="F3" t="str">
        <f ca="1"/>
        <v>Blé dur</v>
      </c>
      <c r="G3" t="str">
        <f ca="1"/>
        <v>2015-16:2019-20:2023-24</v>
      </c>
      <c r="H3" t="str">
        <f ca="1"/>
        <v>France entière</v>
      </c>
      <c r="I3" t="str">
        <f ca="1"/>
        <v>Part de semoule de blé dur consommée par l'industrie des pâtes et couscous</v>
      </c>
      <c r="J3">
        <f ca="1"/>
        <v>0</v>
      </c>
      <c r="K3" t="str">
        <f ca="1"/>
        <v>Chiffres clé - CFSI</v>
      </c>
      <c r="L3" t="str">
        <f ca="1"/>
        <v>Semoulerie blé dur - CFSI</v>
      </c>
      <c r="M3" t="str">
        <f ca="1"/>
        <v>Répartition</v>
      </c>
      <c r="N3" t="str">
        <f ca="1"/>
        <v>Part de semoule de blé dur consommée par l'industrie des pâtes et couscous = 81 % (Chiffres clé - CFSI)</v>
      </c>
      <c r="O3" t="str">
        <f ca="1"/>
        <v>Approximative</v>
      </c>
      <c r="P3" t="str">
        <f ca="1"/>
        <v>Données collectées:Données déterminées</v>
      </c>
      <c r="Q3" t="str">
        <f ca="1"/>
        <v>Donnée collectée (valeur du flux ou coefficient)</v>
      </c>
    </row>
  </sheetData>
  <pageMargins left="0.75" right="0.75" top="1" bottom="1" header="0.5" footer="0.5"/>
  <legacy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D97B-E4D3-40AD-BFFF-2FD0E9CA941E}">
  <sheetPr>
    <tabColor rgb="FFFFC000"/>
  </sheetPr>
  <dimension ref="B2:AA11"/>
  <sheetViews>
    <sheetView workbookViewId="0">
      <selection activeCell="P42" sqref="P42"/>
    </sheetView>
  </sheetViews>
  <sheetFormatPr baseColWidth="10" defaultRowHeight="14.4"/>
  <sheetData>
    <row r="2" spans="2:27">
      <c r="B2" t="s">
        <v>1218</v>
      </c>
    </row>
    <row r="4" spans="2:27">
      <c r="B4">
        <v>2015</v>
      </c>
      <c r="H4">
        <v>2019</v>
      </c>
      <c r="N4">
        <v>2023</v>
      </c>
      <c r="U4">
        <v>2015</v>
      </c>
      <c r="V4">
        <v>2019</v>
      </c>
      <c r="W4">
        <v>2023</v>
      </c>
    </row>
    <row r="5" spans="2:27">
      <c r="T5" t="s">
        <v>1219</v>
      </c>
      <c r="U5" s="86">
        <v>597540</v>
      </c>
      <c r="V5" s="86">
        <v>592747</v>
      </c>
      <c r="W5" s="86">
        <v>576803</v>
      </c>
    </row>
    <row r="6" spans="2:27">
      <c r="T6" t="s">
        <v>967</v>
      </c>
      <c r="U6" s="86">
        <v>491741</v>
      </c>
      <c r="V6" s="86">
        <v>453736</v>
      </c>
      <c r="W6" s="86">
        <v>437459</v>
      </c>
      <c r="Y6" s="462">
        <f>U6/U5</f>
        <v>0.82294239716169626</v>
      </c>
      <c r="Z6" s="462">
        <f t="shared" ref="Z6:AA6" si="0">V6/V5</f>
        <v>0.76548004460587737</v>
      </c>
      <c r="AA6" s="462">
        <f t="shared" si="0"/>
        <v>0.75842011917413743</v>
      </c>
    </row>
    <row r="7" spans="2:27">
      <c r="T7" t="s">
        <v>40</v>
      </c>
      <c r="U7" s="86">
        <v>143410</v>
      </c>
      <c r="V7" s="86">
        <v>142259</v>
      </c>
      <c r="W7" s="86">
        <v>138433</v>
      </c>
      <c r="Y7" s="462">
        <f>U7/U5</f>
        <v>0.24000066941125281</v>
      </c>
      <c r="Z7" s="462">
        <f t="shared" ref="Z7:AA7" si="1">V7/V5</f>
        <v>0.23999952762308371</v>
      </c>
      <c r="AA7" s="462">
        <f t="shared" si="1"/>
        <v>0.24000048543436842</v>
      </c>
    </row>
    <row r="8" spans="2:27">
      <c r="T8" t="s">
        <v>1222</v>
      </c>
      <c r="U8" s="86">
        <v>397446</v>
      </c>
      <c r="V8" s="86">
        <v>361566</v>
      </c>
      <c r="W8" s="86">
        <v>356101</v>
      </c>
      <c r="Y8" s="462">
        <f>U8/U6</f>
        <v>0.80824255044830506</v>
      </c>
      <c r="Z8" s="462">
        <f t="shared" ref="Z8:AA8" si="2">V8/V6</f>
        <v>0.79686425586684773</v>
      </c>
      <c r="AA8" s="462">
        <f t="shared" si="2"/>
        <v>0.81402142829385149</v>
      </c>
    </row>
    <row r="10" spans="2:27">
      <c r="V10" t="s">
        <v>1221</v>
      </c>
      <c r="Z10" s="482">
        <f>1/1.3</f>
        <v>0.76923076923076916</v>
      </c>
    </row>
    <row r="11" spans="2:27">
      <c r="V11" t="s">
        <v>1223</v>
      </c>
      <c r="Z11" s="483">
        <v>0.81</v>
      </c>
    </row>
  </sheetData>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3CAB2-8068-4EF2-9190-6BC72DE65946}">
  <sheetPr>
    <tabColor rgb="FF92D050"/>
  </sheetPr>
  <dimension ref="A1:U5"/>
  <sheetViews>
    <sheetView workbookViewId="0">
      <pane xSplit="3" ySplit="1" topLeftCell="D2" activePane="bottomRight" state="frozen"/>
      <selection pane="topRight" activeCell="D1" sqref="D1"/>
      <selection pane="bottomLeft" activeCell="A2" sqref="A2"/>
      <selection pane="bottomRight" activeCell="Q5" sqref="Q5:S5"/>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7" width="12.109375" style="10" customWidth="1"/>
    <col min="18" max="19" width="14.44140625" style="26" customWidth="1"/>
    <col min="20" max="20" width="11.6640625" bestFit="1" customWidth="1"/>
    <col min="21" max="21" width="13.109375" customWidth="1"/>
  </cols>
  <sheetData>
    <row r="1" spans="1:21" ht="88.8"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'!A10+1</f>
        <v>75</v>
      </c>
      <c r="B2" t="str">
        <f>Secteurs!$B$10</f>
        <v>Semoulerie</v>
      </c>
      <c r="C2" t="str">
        <f>Produits!$B$20</f>
        <v>Coproduits semoulerie de blé dur</v>
      </c>
      <c r="D2" s="462">
        <f>'Coproduits Semoulerie blé -ONRB'!B3</f>
        <v>0.23</v>
      </c>
      <c r="G2" s="10" t="str">
        <f>Etiquettes!$C$3</f>
        <v>kt</v>
      </c>
      <c r="H2" s="10" t="str">
        <f>Etiquettes!$K$6</f>
        <v>Blé dur</v>
      </c>
      <c r="I2" s="10" t="str">
        <f>Etiquettes!$C$5</f>
        <v>2015-16:2019-20:2023-24</v>
      </c>
      <c r="J2" s="10" t="str">
        <f>Etiquettes!$C$4</f>
        <v>France entière</v>
      </c>
      <c r="U2" s="463"/>
    </row>
    <row r="3" spans="1:21">
      <c r="A3" s="10">
        <f>'Contraintes      '!A13+1</f>
        <v>75</v>
      </c>
      <c r="B3" t="str">
        <f>Secteurs!$B$10</f>
        <v>Semoulerie</v>
      </c>
      <c r="C3" t="str">
        <f>Produits!$B$21</f>
        <v>Gruau D</v>
      </c>
      <c r="D3">
        <v>-1</v>
      </c>
      <c r="G3" s="10" t="str">
        <f>Etiquettes!$C$3</f>
        <v>kt</v>
      </c>
      <c r="H3" s="10" t="str">
        <f>Etiquettes!$K$6</f>
        <v>Blé dur</v>
      </c>
      <c r="I3" s="10" t="str">
        <f>Etiquettes!$C$5</f>
        <v>2015-16:2019-20:2023-24</v>
      </c>
      <c r="J3" s="10" t="str">
        <f>Etiquettes!$C$4</f>
        <v>France entière</v>
      </c>
      <c r="K3" s="10" t="s">
        <v>1638</v>
      </c>
      <c r="M3" s="10" t="s">
        <v>1603</v>
      </c>
      <c r="N3" s="10" t="str" cm="1">
        <f t="array" aca="1" ref="N3" ca="1">[1]!NOM_FEUILLE('Coproduits Semoulerie blé -ONRB'!$A$1)</f>
        <v>Coproduits Semoulerie blé -ONRB</v>
      </c>
      <c r="O3" s="10" t="str">
        <f>Etiquettes!$J$11</f>
        <v>Répartition</v>
      </c>
      <c r="P3" t="str">
        <f>_xlfn.CONCAT(K3," = ",MROUND(D2*100,0.01)," % (",M3,")")</f>
        <v>Part de gruau D dans les coproduits de semoulerie = 23 % (ONRB - FranceAgriMer)</v>
      </c>
      <c r="Q3" s="10" t="str">
        <f>Etiquettes!$K$15</f>
        <v>Approximative</v>
      </c>
      <c r="R3" s="642" t="s">
        <v>1813</v>
      </c>
      <c r="S3" s="603" t="str">
        <f>Etiquettes!$H$17</f>
        <v>Donnée collectée (valeur du flux ou coefficient)</v>
      </c>
      <c r="U3" s="144"/>
    </row>
    <row r="4" spans="1:21">
      <c r="A4" s="10">
        <f>'Contraintes       '!A2+1</f>
        <v>76</v>
      </c>
      <c r="B4" t="str">
        <f>Secteurs!$B$10</f>
        <v>Semoulerie</v>
      </c>
      <c r="C4" t="str">
        <f>Produits!$B$20</f>
        <v>Coproduits semoulerie de blé dur</v>
      </c>
      <c r="D4" s="29">
        <f>'Coproduits Semoulerie blé -ONRB'!B4</f>
        <v>0.77</v>
      </c>
      <c r="G4" s="10" t="str">
        <f>Etiquettes!$C$3</f>
        <v>kt</v>
      </c>
      <c r="H4" s="10" t="str">
        <f>Etiquettes!$K$6</f>
        <v>Blé dur</v>
      </c>
      <c r="I4" s="10" t="str">
        <f>Etiquettes!$C$5</f>
        <v>2015-16:2019-20:2023-24</v>
      </c>
      <c r="J4" s="10" t="str">
        <f>Etiquettes!$C$4</f>
        <v>France entière</v>
      </c>
      <c r="U4" s="144"/>
    </row>
    <row r="5" spans="1:21">
      <c r="A5" s="10">
        <f>'Contraintes       '!A3+1</f>
        <v>76</v>
      </c>
      <c r="B5" t="str">
        <f>Secteurs!$B$10</f>
        <v>Semoulerie</v>
      </c>
      <c r="C5" t="str">
        <f>Produits!$B$22</f>
        <v>Sons, remoulages et écarts de nettoyage</v>
      </c>
      <c r="D5">
        <v>-1</v>
      </c>
      <c r="G5" s="10" t="str">
        <f>Etiquettes!$C$3</f>
        <v>kt</v>
      </c>
      <c r="H5" s="10" t="str">
        <f>Etiquettes!$K$6</f>
        <v>Blé dur</v>
      </c>
      <c r="I5" s="10" t="str">
        <f>Etiquettes!$C$5</f>
        <v>2015-16:2019-20:2023-24</v>
      </c>
      <c r="J5" s="10" t="str">
        <f>Etiquettes!$C$4</f>
        <v>France entière</v>
      </c>
      <c r="K5" s="10" t="s">
        <v>1639</v>
      </c>
      <c r="M5" s="10" t="s">
        <v>1603</v>
      </c>
      <c r="N5" s="10" t="str" cm="1">
        <f t="array" aca="1" ref="N5" ca="1">[1]!NOM_FEUILLE('Coproduits Semoulerie blé -ONRB'!$A$1)</f>
        <v>Coproduits Semoulerie blé -ONRB</v>
      </c>
      <c r="O5" s="10" t="str">
        <f>Etiquettes!$J$11</f>
        <v>Répartition</v>
      </c>
      <c r="P5" t="str">
        <f>_xlfn.CONCAT(K5," = ",MROUND(D4*100,0.01)," % (",M5,")")</f>
        <v>Part de sons, remoulages et écarts dans les coproduits de semoulerie = 77 % (ONRB - FranceAgriMer)</v>
      </c>
      <c r="Q5" s="10" t="str">
        <f>Etiquettes!$K$15</f>
        <v>Approximative</v>
      </c>
      <c r="R5" s="642" t="s">
        <v>1813</v>
      </c>
      <c r="S5" s="603" t="str">
        <f>Etiquettes!$H$17</f>
        <v>Donnée collectée (valeur du flux ou coefficient)</v>
      </c>
      <c r="U5" s="144"/>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D43F-3BD8-45CF-9E1C-82AB99852679}">
  <sheetPr>
    <tabColor theme="1"/>
  </sheetPr>
  <dimension ref="A1:Q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3"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3">_xlfn._xlws.FILTER('Contraintes       '!B2:C200,ISTEXT('Contraintes       '!O2:O200))</f>
        <v>Semoulerie</v>
      </c>
      <c r="B2" t="str">
        <v>Gruau D</v>
      </c>
      <c r="E2" t="str">
        <f ca="1"/>
        <v>kt</v>
      </c>
      <c r="F2" t="str">
        <f ca="1"/>
        <v>Blé dur</v>
      </c>
      <c r="G2" t="str">
        <f ca="1"/>
        <v>2015-16:2019-20:2023-24</v>
      </c>
      <c r="H2" t="str">
        <f ca="1"/>
        <v>France entière</v>
      </c>
      <c r="I2" t="str">
        <f ca="1"/>
        <v>Part de gruau D dans les coproduits de semoulerie</v>
      </c>
      <c r="J2">
        <f ca="1"/>
        <v>0</v>
      </c>
      <c r="K2" t="str">
        <f ca="1"/>
        <v>ONRB - FranceAgriMer</v>
      </c>
      <c r="L2" t="str">
        <f ca="1"/>
        <v>Coproduits Semoulerie blé -ONRB</v>
      </c>
      <c r="M2" t="str">
        <f ca="1"/>
        <v>Répartition</v>
      </c>
      <c r="N2" t="str">
        <f ca="1"/>
        <v>Part de gruau D dans les coproduits de semoulerie = 23 % (ONRB - FranceAgriMer)</v>
      </c>
      <c r="O2" t="str">
        <f ca="1"/>
        <v>Approximative</v>
      </c>
      <c r="P2" t="str">
        <f ca="1"/>
        <v>Données collectées:Données déterminées</v>
      </c>
      <c r="Q2" t="str">
        <f ca="1"/>
        <v>Donnée collectée (valeur du flux ou coefficient)</v>
      </c>
    </row>
    <row r="3" spans="1:17">
      <c r="A3" t="str">
        <v>Semoulerie</v>
      </c>
      <c r="B3" t="str">
        <v>Sons, remoulages et écarts de nettoyage</v>
      </c>
      <c r="E3" t="str">
        <f ca="1"/>
        <v>kt</v>
      </c>
      <c r="F3" t="str">
        <f ca="1"/>
        <v>Blé dur</v>
      </c>
      <c r="G3" t="str">
        <f ca="1"/>
        <v>2015-16:2019-20:2023-24</v>
      </c>
      <c r="H3" t="str">
        <f ca="1"/>
        <v>France entière</v>
      </c>
      <c r="I3" t="str">
        <f ca="1"/>
        <v>Part de sons, remoulages et écarts dans les coproduits de semoulerie</v>
      </c>
      <c r="J3">
        <f ca="1"/>
        <v>0</v>
      </c>
      <c r="K3" t="str">
        <f ca="1"/>
        <v>ONRB - FranceAgriMer</v>
      </c>
      <c r="L3" t="str">
        <f ca="1"/>
        <v>Coproduits Semoulerie blé -ONRB</v>
      </c>
      <c r="M3" t="str">
        <f ca="1"/>
        <v>Répartition</v>
      </c>
      <c r="N3" t="str">
        <f ca="1"/>
        <v>Part de sons, remoulages et écarts dans les coproduits de semoulerie = 77 % (ONRB - FranceAgriMer)</v>
      </c>
      <c r="O3" t="str">
        <f ca="1"/>
        <v>Approximative</v>
      </c>
      <c r="P3" t="str">
        <f ca="1"/>
        <v>Données collectées:Données déterminées</v>
      </c>
      <c r="Q3" t="str">
        <f ca="1"/>
        <v>Donnée collectée (valeur du flux ou coefficient)</v>
      </c>
    </row>
  </sheetData>
  <pageMargins left="0.75" right="0.75" top="1" bottom="1" header="0.5" footer="0.5"/>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E9046-AC88-4E22-9CF6-D6193AA91F9B}">
  <sheetPr>
    <tabColor rgb="FFFFC000"/>
  </sheetPr>
  <dimension ref="B2:D4"/>
  <sheetViews>
    <sheetView workbookViewId="0">
      <selection activeCell="P42" sqref="P42"/>
    </sheetView>
  </sheetViews>
  <sheetFormatPr baseColWidth="10" defaultRowHeight="14.4"/>
  <cols>
    <col min="3" max="3" width="36.33203125" bestFit="1" customWidth="1"/>
  </cols>
  <sheetData>
    <row r="2" spans="2:4">
      <c r="B2" t="s">
        <v>1205</v>
      </c>
    </row>
    <row r="3" spans="2:4">
      <c r="B3" s="483">
        <v>0.23</v>
      </c>
      <c r="C3" t="s">
        <v>1231</v>
      </c>
      <c r="D3" t="s">
        <v>48</v>
      </c>
    </row>
    <row r="4" spans="2:4">
      <c r="B4" s="483">
        <v>0.77</v>
      </c>
      <c r="C4" t="s">
        <v>1232</v>
      </c>
      <c r="D4" t="s">
        <v>1125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C17F-C8DD-4939-B631-842974240E0C}">
  <sheetPr>
    <tabColor rgb="FF92D050"/>
  </sheetPr>
  <dimension ref="A1:U7"/>
  <sheetViews>
    <sheetView workbookViewId="0">
      <pane xSplit="3" ySplit="1" topLeftCell="D2" activePane="bottomRight" state="frozen"/>
      <selection pane="topRight" activeCell="D1" sqref="D1"/>
      <selection pane="bottomLeft" activeCell="A2" sqref="A2"/>
      <selection pane="bottomRight" activeCell="B4" sqref="B4:C4"/>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7" width="12.109375" style="10" customWidth="1"/>
    <col min="18" max="19" width="14.44140625" style="26" customWidth="1"/>
    <col min="20" max="20" width="11.6640625" bestFit="1" customWidth="1"/>
    <col min="21" max="21" width="13.109375" customWidth="1"/>
  </cols>
  <sheetData>
    <row r="1" spans="1:21" ht="88.8"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'!A4+1</f>
        <v>77</v>
      </c>
      <c r="B2" t="str">
        <f>Secteurs!$B$11</f>
        <v>Indus. pâtes &amp; couscous</v>
      </c>
      <c r="C2" t="str">
        <f>Produits!$B$23</f>
        <v>Pâtes alimentaires sèches non préparées</v>
      </c>
      <c r="D2" s="462">
        <f>'Indus. pâtes - SIFPAF'!O8</f>
        <v>0.38618299270103773</v>
      </c>
      <c r="G2" s="10" t="str">
        <f>Etiquettes!$C$3</f>
        <v>kt</v>
      </c>
      <c r="H2" s="10" t="str">
        <f>Etiquettes!$K$6</f>
        <v>Blé dur</v>
      </c>
      <c r="I2" s="10" t="str">
        <f>Etiquettes!$H$5</f>
        <v>2015-16</v>
      </c>
      <c r="J2" s="10" t="str">
        <f>Etiquettes!$C$4</f>
        <v>France entière</v>
      </c>
      <c r="U2" s="463"/>
    </row>
    <row r="3" spans="1:21">
      <c r="A3" s="10">
        <f>'Contraintes       '!A5+1</f>
        <v>77</v>
      </c>
      <c r="B3" t="str">
        <f>Secteurs!$B$11</f>
        <v>Indus. pâtes &amp; couscous</v>
      </c>
      <c r="C3" t="str">
        <f>Produits!$B$24</f>
        <v>Couscous non préparé</v>
      </c>
      <c r="D3">
        <v>-1</v>
      </c>
      <c r="G3" s="10" t="str">
        <f>Etiquettes!$C$3</f>
        <v>kt</v>
      </c>
      <c r="H3" s="10" t="str">
        <f>Etiquettes!$K$6</f>
        <v>Blé dur</v>
      </c>
      <c r="I3" s="10" t="str">
        <f>Etiquettes!$H$5</f>
        <v>2015-16</v>
      </c>
      <c r="J3" s="10" t="str">
        <f>Etiquettes!$C$4</f>
        <v>France entière</v>
      </c>
      <c r="K3" s="10" t="s">
        <v>1640</v>
      </c>
      <c r="M3" s="10" t="s">
        <v>1641</v>
      </c>
      <c r="N3" s="10" t="str" cm="1">
        <f t="array" aca="1" ref="N3" ca="1">[1]!NOM_FEUILLE('Indus. pâtes - SIFPAF'!$A$1)</f>
        <v>Indus. pâtes - SIFPAF</v>
      </c>
      <c r="O3" s="10" t="str">
        <f>Etiquettes!$J$11</f>
        <v>Répartition</v>
      </c>
      <c r="P3" t="str">
        <f>_xlfn.CONCAT(K3," = ",MROUND(D2*100,0.01)," % (",M3,")")</f>
        <v>Part de production de couscous (par rapport aux pâtes) = 38,62 % (Chiffres clés - SIFPAF)</v>
      </c>
      <c r="Q3" s="10" t="str">
        <f>Etiquettes!$J$15</f>
        <v>Probable</v>
      </c>
      <c r="R3" s="642" t="s">
        <v>1813</v>
      </c>
      <c r="S3" s="603" t="str">
        <f>Etiquettes!$H$17</f>
        <v>Donnée collectée (valeur du flux ou coefficient)</v>
      </c>
      <c r="U3" s="144"/>
    </row>
    <row r="4" spans="1:21">
      <c r="A4" s="10">
        <f>A2+1</f>
        <v>78</v>
      </c>
      <c r="B4" t="str">
        <f>Secteurs!$B$11</f>
        <v>Indus. pâtes &amp; couscous</v>
      </c>
      <c r="C4" t="str">
        <f>Produits!$B$23</f>
        <v>Pâtes alimentaires sèches non préparées</v>
      </c>
      <c r="D4" s="29">
        <f>'Indus. pâtes - SIFPAF'!P8</f>
        <v>0.35451159203495197</v>
      </c>
      <c r="G4" s="10" t="str">
        <f>Etiquettes!$C$3</f>
        <v>kt</v>
      </c>
      <c r="H4" s="10" t="str">
        <f>Etiquettes!$K$6</f>
        <v>Blé dur</v>
      </c>
      <c r="I4" s="10" t="str">
        <f>Etiquettes!$I$5</f>
        <v>2019-20</v>
      </c>
      <c r="J4" s="10" t="str">
        <f>Etiquettes!$C$4</f>
        <v>France entière</v>
      </c>
      <c r="U4" s="144"/>
    </row>
    <row r="5" spans="1:21">
      <c r="A5" s="10">
        <f t="shared" ref="A5:A7" si="0">A3+1</f>
        <v>78</v>
      </c>
      <c r="B5" t="str">
        <f>Secteurs!$B$11</f>
        <v>Indus. pâtes &amp; couscous</v>
      </c>
      <c r="C5" t="str">
        <f>Produits!$B$24</f>
        <v>Couscous non préparé</v>
      </c>
      <c r="D5">
        <v>-1</v>
      </c>
      <c r="G5" s="10" t="str">
        <f>Etiquettes!$C$3</f>
        <v>kt</v>
      </c>
      <c r="H5" s="10" t="str">
        <f>Etiquettes!$K$6</f>
        <v>Blé dur</v>
      </c>
      <c r="I5" s="10" t="str">
        <f>Etiquettes!$I$5</f>
        <v>2019-20</v>
      </c>
      <c r="J5" s="10" t="str">
        <f>Etiquettes!$C$4</f>
        <v>France entière</v>
      </c>
      <c r="K5" s="10" t="s">
        <v>1640</v>
      </c>
      <c r="M5" s="10" t="s">
        <v>1641</v>
      </c>
      <c r="N5" s="10" t="str" cm="1">
        <f t="array" aca="1" ref="N5" ca="1">[1]!NOM_FEUILLE('Indus. pâtes - SIFPAF'!$A$1)</f>
        <v>Indus. pâtes - SIFPAF</v>
      </c>
      <c r="O5" s="10" t="str">
        <f>Etiquettes!$J$11</f>
        <v>Répartition</v>
      </c>
      <c r="P5" t="str">
        <f t="shared" ref="P5" si="1">_xlfn.CONCAT(K5," = ",MROUND(D4*100,0.01)," % (",M5,")")</f>
        <v>Part de production de couscous (par rapport aux pâtes) = 35,45 % (Chiffres clés - SIFPAF)</v>
      </c>
      <c r="Q5" s="10" t="str">
        <f>Etiquettes!$J$15</f>
        <v>Probable</v>
      </c>
      <c r="R5" s="642" t="s">
        <v>1813</v>
      </c>
      <c r="S5" s="603" t="str">
        <f>Etiquettes!$H$17</f>
        <v>Donnée collectée (valeur du flux ou coefficient)</v>
      </c>
      <c r="U5" s="144"/>
    </row>
    <row r="6" spans="1:21">
      <c r="A6" s="10">
        <f t="shared" si="0"/>
        <v>79</v>
      </c>
      <c r="B6" t="str">
        <f>Secteurs!$B$11</f>
        <v>Indus. pâtes &amp; couscous</v>
      </c>
      <c r="C6" t="str">
        <f>Produits!$B$23</f>
        <v>Pâtes alimentaires sèches non préparées</v>
      </c>
      <c r="D6" s="29">
        <f>'Indus. pâtes - SIFPAF'!Q8</f>
        <v>0.30211265231827145</v>
      </c>
      <c r="G6" s="10" t="str">
        <f>Etiquettes!$C$3</f>
        <v>kt</v>
      </c>
      <c r="H6" s="10" t="str">
        <f>Etiquettes!$K$6</f>
        <v>Blé dur</v>
      </c>
      <c r="I6" s="10" t="str">
        <f>Etiquettes!$J$5</f>
        <v>2023-24</v>
      </c>
      <c r="J6" s="10" t="str">
        <f>Etiquettes!$C$4</f>
        <v>France entière</v>
      </c>
    </row>
    <row r="7" spans="1:21">
      <c r="A7" s="10">
        <f t="shared" si="0"/>
        <v>79</v>
      </c>
      <c r="B7" t="str">
        <f>Secteurs!$B$11</f>
        <v>Indus. pâtes &amp; couscous</v>
      </c>
      <c r="C7" t="str">
        <f>Produits!$B$24</f>
        <v>Couscous non préparé</v>
      </c>
      <c r="D7">
        <v>-1</v>
      </c>
      <c r="G7" s="10" t="str">
        <f>Etiquettes!$C$3</f>
        <v>kt</v>
      </c>
      <c r="H7" s="10" t="str">
        <f>Etiquettes!$K$6</f>
        <v>Blé dur</v>
      </c>
      <c r="I7" s="10" t="str">
        <f>Etiquettes!$J$5</f>
        <v>2023-24</v>
      </c>
      <c r="J7" s="10" t="str">
        <f>Etiquettes!$C$4</f>
        <v>France entière</v>
      </c>
      <c r="K7" s="10" t="s">
        <v>1640</v>
      </c>
      <c r="M7" s="10" t="s">
        <v>1641</v>
      </c>
      <c r="N7" s="10" t="str" cm="1">
        <f t="array" aca="1" ref="N7" ca="1">[1]!NOM_FEUILLE('Indus. pâtes - SIFPAF'!$A$1)</f>
        <v>Indus. pâtes - SIFPAF</v>
      </c>
      <c r="O7" s="10" t="str">
        <f>Etiquettes!$J$11</f>
        <v>Répartition</v>
      </c>
      <c r="P7" t="str">
        <f>_xlfn.CONCAT(K7," = ",MROUND(D6*100,0.01)," % (",M7,")")</f>
        <v>Part de production de couscous (par rapport aux pâtes) = 30,21 % (Chiffres clés - SIFPAF)</v>
      </c>
      <c r="Q7" s="10" t="str">
        <f>Etiquettes!$J$15</f>
        <v>Probable</v>
      </c>
      <c r="R7" s="642" t="s">
        <v>1813</v>
      </c>
      <c r="S7" s="603" t="str">
        <f>Etiquettes!$H$17</f>
        <v>Donnée collectée (valeur du flux ou coefficient)</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64BB-5EA8-4455-81F5-19EE42F2F910}">
  <sheetPr>
    <tabColor theme="1"/>
  </sheetPr>
  <dimension ref="A1:Q4"/>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4"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4">_xlfn._xlws.FILTER('Contraintes        '!B2:C200,ISTEXT('Contraintes        '!O2:O200))</f>
        <v>Indus. pâtes &amp; couscous</v>
      </c>
      <c r="B2" t="str">
        <v>Couscous non préparé</v>
      </c>
      <c r="E2" t="str">
        <f ca="1"/>
        <v>kt</v>
      </c>
      <c r="F2" t="str">
        <f ca="1"/>
        <v>Blé dur</v>
      </c>
      <c r="G2" t="str">
        <f ca="1"/>
        <v>2015-16</v>
      </c>
      <c r="H2" t="str">
        <f ca="1"/>
        <v>France entière</v>
      </c>
      <c r="I2" t="str">
        <f ca="1"/>
        <v>Part de production de couscous (par rapport aux pâtes)</v>
      </c>
      <c r="J2">
        <f ca="1"/>
        <v>0</v>
      </c>
      <c r="K2" t="str">
        <f ca="1"/>
        <v>Chiffres clés - SIFPAF</v>
      </c>
      <c r="L2" t="str">
        <f ca="1"/>
        <v>Indus. pâtes - SIFPAF</v>
      </c>
      <c r="M2" t="str">
        <f ca="1"/>
        <v>Répartition</v>
      </c>
      <c r="N2" t="str">
        <f ca="1"/>
        <v>Part de production de couscous (par rapport aux pâtes) = 38,62 % (Chiffres clés - SIFPAF)</v>
      </c>
      <c r="O2" t="str">
        <f ca="1"/>
        <v>Probable</v>
      </c>
      <c r="P2" t="str">
        <f ca="1"/>
        <v>Données collectées:Données déterminées</v>
      </c>
      <c r="Q2" t="str">
        <f ca="1"/>
        <v>Donnée collectée (valeur du flux ou coefficient)</v>
      </c>
    </row>
    <row r="3" spans="1:17">
      <c r="A3" t="str">
        <v>Indus. pâtes &amp; couscous</v>
      </c>
      <c r="B3" t="str">
        <v>Couscous non préparé</v>
      </c>
      <c r="E3" t="str">
        <f ca="1"/>
        <v>kt</v>
      </c>
      <c r="F3" t="str">
        <f ca="1"/>
        <v>Blé dur</v>
      </c>
      <c r="G3" t="str">
        <f ca="1"/>
        <v>2019-20</v>
      </c>
      <c r="H3" t="str">
        <f ca="1"/>
        <v>France entière</v>
      </c>
      <c r="I3" t="str">
        <f ca="1"/>
        <v>Part de production de couscous (par rapport aux pâtes)</v>
      </c>
      <c r="J3">
        <f ca="1"/>
        <v>0</v>
      </c>
      <c r="K3" t="str">
        <f ca="1"/>
        <v>Chiffres clés - SIFPAF</v>
      </c>
      <c r="L3" t="str">
        <f ca="1"/>
        <v>Indus. pâtes - SIFPAF</v>
      </c>
      <c r="M3" t="str">
        <f ca="1"/>
        <v>Répartition</v>
      </c>
      <c r="N3" t="str">
        <f ca="1"/>
        <v>Part de production de couscous (par rapport aux pâtes) = 35,45 % (Chiffres clés - SIFPAF)</v>
      </c>
      <c r="O3" t="str">
        <f ca="1"/>
        <v>Probable</v>
      </c>
      <c r="P3" t="str">
        <f ca="1"/>
        <v>Données collectées:Données déterminées</v>
      </c>
      <c r="Q3" t="str">
        <f ca="1"/>
        <v>Donnée collectée (valeur du flux ou coefficient)</v>
      </c>
    </row>
    <row r="4" spans="1:17">
      <c r="A4" t="str">
        <v>Indus. pâtes &amp; couscous</v>
      </c>
      <c r="B4" t="str">
        <v>Couscous non préparé</v>
      </c>
      <c r="E4" t="str">
        <f ca="1"/>
        <v>kt</v>
      </c>
      <c r="F4" t="str">
        <f ca="1"/>
        <v>Blé dur</v>
      </c>
      <c r="G4" t="str">
        <f ca="1"/>
        <v>2023-24</v>
      </c>
      <c r="H4" t="str">
        <f ca="1"/>
        <v>France entière</v>
      </c>
      <c r="I4" t="str">
        <f ca="1"/>
        <v>Part de production de couscous (par rapport aux pâtes)</v>
      </c>
      <c r="J4">
        <f ca="1"/>
        <v>0</v>
      </c>
      <c r="K4" t="str">
        <f ca="1"/>
        <v>Chiffres clés - SIFPAF</v>
      </c>
      <c r="L4" t="str">
        <f ca="1"/>
        <v>Indus. pâtes - SIFPAF</v>
      </c>
      <c r="M4" t="str">
        <f ca="1"/>
        <v>Répartition</v>
      </c>
      <c r="N4" t="str">
        <f ca="1"/>
        <v>Part de production de couscous (par rapport aux pâtes) = 30,21 % (Chiffres clés - SIFPAF)</v>
      </c>
      <c r="O4" t="str">
        <f ca="1"/>
        <v>Probable</v>
      </c>
      <c r="P4" t="str">
        <f ca="1"/>
        <v>Données collectées:Données déterminées</v>
      </c>
      <c r="Q4" t="str">
        <f ca="1"/>
        <v>Donnée collectée (valeur du flux ou coefficient)</v>
      </c>
    </row>
  </sheetData>
  <pageMargins left="0.75" right="0.75" top="1" bottom="1" header="0.5" footer="0.5"/>
  <legacy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C5486-A9E1-4C2C-BCA8-462926FECF15}">
  <sheetPr>
    <tabColor rgb="FFFFC000"/>
  </sheetPr>
  <dimension ref="B2:U50"/>
  <sheetViews>
    <sheetView workbookViewId="0">
      <selection activeCell="O9" sqref="O9"/>
    </sheetView>
  </sheetViews>
  <sheetFormatPr baseColWidth="10" defaultRowHeight="14.4"/>
  <cols>
    <col min="14" max="14" width="20.109375" customWidth="1"/>
  </cols>
  <sheetData>
    <row r="2" spans="2:21">
      <c r="B2" t="s">
        <v>1220</v>
      </c>
    </row>
    <row r="4" spans="2:21">
      <c r="B4">
        <v>2015</v>
      </c>
    </row>
    <row r="5" spans="2:21">
      <c r="O5">
        <v>2015</v>
      </c>
      <c r="P5">
        <v>2019</v>
      </c>
      <c r="Q5">
        <v>2023</v>
      </c>
    </row>
    <row r="6" spans="2:21">
      <c r="N6" t="s">
        <v>978</v>
      </c>
      <c r="O6" s="86">
        <v>237157</v>
      </c>
      <c r="P6" s="86">
        <v>235981</v>
      </c>
      <c r="Q6" s="86">
        <v>237332</v>
      </c>
    </row>
    <row r="7" spans="2:21">
      <c r="N7" t="s">
        <v>920</v>
      </c>
      <c r="O7" s="86">
        <v>91586</v>
      </c>
      <c r="P7" s="86">
        <v>83658</v>
      </c>
      <c r="Q7" s="86">
        <v>71701</v>
      </c>
    </row>
    <row r="8" spans="2:21">
      <c r="N8" t="s">
        <v>1224</v>
      </c>
      <c r="O8" s="482">
        <f>O7/O6</f>
        <v>0.38618299270103773</v>
      </c>
      <c r="P8" s="482">
        <f>P7/P6</f>
        <v>0.35451159203495197</v>
      </c>
      <c r="Q8" s="482">
        <f>Q7/Q6</f>
        <v>0.30211265231827145</v>
      </c>
    </row>
    <row r="9" spans="2:21">
      <c r="P9" s="462"/>
      <c r="Q9" s="462"/>
      <c r="S9" s="462"/>
      <c r="T9" s="462"/>
      <c r="U9" s="462"/>
    </row>
    <row r="27" spans="2:2">
      <c r="B27">
        <v>2019</v>
      </c>
    </row>
    <row r="50" spans="2:2">
      <c r="B50">
        <v>2023</v>
      </c>
    </row>
  </sheetData>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D793-A57C-428B-A472-8ACE32658022}">
  <sheetPr>
    <tabColor rgb="FF92D050"/>
  </sheetPr>
  <dimension ref="A1:U3"/>
  <sheetViews>
    <sheetView workbookViewId="0">
      <pane xSplit="3" ySplit="1" topLeftCell="D2" activePane="bottomRight" state="frozen"/>
      <selection pane="topRight" activeCell="D1" sqref="D1"/>
      <selection pane="bottomLeft" activeCell="A2" sqref="A2"/>
      <selection pane="bottomRight" activeCell="Q3" sqref="Q3:S3"/>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22.88671875" style="10" customWidth="1"/>
    <col min="17" max="17" width="12.109375" style="10" customWidth="1"/>
    <col min="18" max="19" width="14.44140625" style="26" customWidth="1"/>
    <col min="20" max="20" width="11.6640625" bestFit="1" customWidth="1"/>
    <col min="21" max="21" width="13.109375" customWidth="1"/>
  </cols>
  <sheetData>
    <row r="1" spans="1:21" ht="51"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'!A6+1</f>
        <v>80</v>
      </c>
      <c r="B2" t="str">
        <f>Produits!$B$17</f>
        <v>Semoule</v>
      </c>
      <c r="C2" t="str">
        <f>Secteurs!$B$11</f>
        <v>Indus. pâtes &amp; couscous</v>
      </c>
      <c r="D2" s="462">
        <f>'Coproduits Indus. - Réséda'!C2</f>
        <v>0.01</v>
      </c>
      <c r="G2" s="10" t="str">
        <f>Etiquettes!$C$3</f>
        <v>kt</v>
      </c>
      <c r="H2" s="10" t="str">
        <f>Etiquettes!$K$6</f>
        <v>Blé dur</v>
      </c>
      <c r="I2" s="10" t="str">
        <f>Etiquettes!$C$5</f>
        <v>2015-16:2019-20:2023-24</v>
      </c>
      <c r="J2" s="10" t="str">
        <f>Etiquettes!$C$4</f>
        <v>France entière</v>
      </c>
      <c r="U2" s="463"/>
    </row>
    <row r="3" spans="1:21">
      <c r="A3" s="10">
        <f>'Contraintes        '!A7+1</f>
        <v>80</v>
      </c>
      <c r="B3" t="str">
        <f>Secteurs!$B$11</f>
        <v>Indus. pâtes &amp; couscous</v>
      </c>
      <c r="C3" t="str">
        <f>Produits!$B$25</f>
        <v>Coproduits humides</v>
      </c>
      <c r="D3">
        <v>-1</v>
      </c>
      <c r="G3" s="10" t="str">
        <f>Etiquettes!$C$3</f>
        <v>kt</v>
      </c>
      <c r="H3" s="10" t="str">
        <f>Etiquettes!$K$6</f>
        <v>Blé dur</v>
      </c>
      <c r="I3" s="10" t="str">
        <f>Etiquettes!$C$5</f>
        <v>2015-16:2019-20:2023-24</v>
      </c>
      <c r="J3" s="10" t="str">
        <f>Etiquettes!$C$4</f>
        <v>France entière</v>
      </c>
      <c r="K3" s="604" t="s">
        <v>1642</v>
      </c>
      <c r="L3" s="604"/>
      <c r="M3" s="604" t="s">
        <v>1602</v>
      </c>
      <c r="N3" s="604" t="str" cm="1">
        <f t="array" aca="1" ref="N3" ca="1">[1]!NOM_FEUILLE('Coproduits Indus. - Réséda'!$A$1)</f>
        <v>Coproduits Indus. - Réséda</v>
      </c>
      <c r="O3" s="10" t="str">
        <f>Etiquettes!$I$11</f>
        <v>Rendement</v>
      </c>
      <c r="P3" t="str">
        <f>_xlfn.CONCAT(K3," = ",MROUND(D2*100,0.01)," % (",M3,")")</f>
        <v>Rendement en coproduits humides de l'industrie des pâtes et couscous = 1 % (Gisements et valorisations des coproduits des industries agroalimentaires - Réséda)</v>
      </c>
      <c r="Q3" s="10" t="str">
        <f>Etiquettes!$K$15</f>
        <v>Approximative</v>
      </c>
      <c r="R3" s="642" t="s">
        <v>1813</v>
      </c>
      <c r="S3" s="603" t="str">
        <f>Etiquettes!$H$17</f>
        <v>Donnée collectée (valeur du flux ou coefficient)</v>
      </c>
      <c r="U3" s="144"/>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AB1B5-5DD2-4150-9498-49760B7C7DCB}">
  <sheetPr>
    <tabColor theme="1"/>
  </sheetPr>
  <dimension ref="A1:Q2"/>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2" ca="1">_xlfn._xlws.FILTER('Contraintes         '!G1:S198,ISTEXT('Contraintes         '!O1:O198))</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2">_xlfn._xlws.FILTER('Contraintes         '!B2:C198,ISTEXT('Contraintes         '!O2:O198))</f>
        <v>Indus. pâtes &amp; couscous</v>
      </c>
      <c r="B2" t="str">
        <v>Coproduits humides</v>
      </c>
      <c r="E2" t="str">
        <f ca="1"/>
        <v>kt</v>
      </c>
      <c r="F2" t="str">
        <f ca="1"/>
        <v>Blé dur</v>
      </c>
      <c r="G2" t="str">
        <f ca="1"/>
        <v>2015-16:2019-20:2023-24</v>
      </c>
      <c r="H2" t="str">
        <f ca="1"/>
        <v>France entière</v>
      </c>
      <c r="I2" t="str">
        <f ca="1"/>
        <v>Rendement en coproduits humides de l'industrie des pâtes et couscous</v>
      </c>
      <c r="J2">
        <f ca="1"/>
        <v>0</v>
      </c>
      <c r="K2" t="str">
        <f ca="1"/>
        <v>Gisements et valorisations des coproduits des industries agroalimentaires - Réséda</v>
      </c>
      <c r="L2" t="str">
        <f ca="1"/>
        <v>Coproduits Indus. - Réséda</v>
      </c>
      <c r="M2" t="str">
        <f ca="1"/>
        <v>Rendement</v>
      </c>
      <c r="N2" t="str">
        <f ca="1"/>
        <v>Rendement en coproduits humides de l'industrie des pâtes et couscous = 1 % (Gisements et valorisations des coproduits des industries agroalimentaires - Réséda)</v>
      </c>
      <c r="O2" t="str">
        <f ca="1"/>
        <v>Approximative</v>
      </c>
      <c r="P2" t="str">
        <f ca="1"/>
        <v>Données collectées:Données déterminées</v>
      </c>
      <c r="Q2" t="str">
        <f ca="1"/>
        <v>Donnée collectée (valeur du flux ou coefficient)</v>
      </c>
    </row>
  </sheetData>
  <pageMargins left="0.75" right="0.75" top="1" bottom="1" header="0.5" footer="0.5"/>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93295-B42F-44DD-9054-BF9CF00738C1}">
  <sheetPr>
    <tabColor rgb="FF0070C0"/>
  </sheetPr>
  <dimension ref="A1:D56"/>
  <sheetViews>
    <sheetView workbookViewId="0">
      <pane xSplit="2" ySplit="1" topLeftCell="C15" activePane="bottomRight" state="frozen"/>
      <selection activeCell="B15" sqref="B15"/>
      <selection pane="topRight" activeCell="B15" sqref="B15"/>
      <selection pane="bottomLeft" activeCell="B15" sqref="B15"/>
      <selection pane="bottomRight" activeCell="A37" sqref="A37:XFD37"/>
    </sheetView>
  </sheetViews>
  <sheetFormatPr baseColWidth="10" defaultColWidth="9.109375" defaultRowHeight="14.4"/>
  <cols>
    <col min="1" max="1" width="16.6640625" style="10" customWidth="1"/>
    <col min="2" max="2" width="39.88671875" bestFit="1" customWidth="1"/>
    <col min="3" max="3" width="18.5546875" style="10" customWidth="1"/>
  </cols>
  <sheetData>
    <row r="1" spans="1:4" ht="38.4" thickBot="1">
      <c r="A1" s="1" t="s">
        <v>0</v>
      </c>
      <c r="B1" s="2" t="s">
        <v>6</v>
      </c>
      <c r="C1" s="2" t="s">
        <v>2</v>
      </c>
    </row>
    <row r="2" spans="1:4" s="5" customFormat="1">
      <c r="A2" s="3">
        <v>1</v>
      </c>
      <c r="B2" s="5" t="s">
        <v>1106</v>
      </c>
      <c r="C2" s="3">
        <v>0</v>
      </c>
      <c r="D2" s="4"/>
    </row>
    <row r="3" spans="1:4" s="8" customFormat="1">
      <c r="A3" s="6">
        <v>1</v>
      </c>
      <c r="B3" s="7" t="s">
        <v>1107</v>
      </c>
      <c r="C3" s="6">
        <v>1</v>
      </c>
      <c r="D3" s="9"/>
    </row>
    <row r="4" spans="1:4" s="8" customFormat="1">
      <c r="A4" s="6">
        <v>1</v>
      </c>
      <c r="B4" s="8" t="s">
        <v>1108</v>
      </c>
      <c r="C4" s="6">
        <v>1</v>
      </c>
      <c r="D4" s="9"/>
    </row>
    <row r="5" spans="1:4" s="573" customFormat="1">
      <c r="A5" s="572">
        <v>1</v>
      </c>
      <c r="B5" s="573" t="s">
        <v>1038</v>
      </c>
      <c r="C5" s="572">
        <v>0</v>
      </c>
      <c r="D5" s="574"/>
    </row>
    <row r="6" spans="1:4" s="573" customFormat="1">
      <c r="A6" s="572">
        <v>2</v>
      </c>
      <c r="B6" s="573" t="s">
        <v>1113</v>
      </c>
      <c r="C6" s="572">
        <v>0</v>
      </c>
      <c r="D6" s="574"/>
    </row>
    <row r="7" spans="1:4" s="573" customFormat="1">
      <c r="A7" s="572">
        <v>2</v>
      </c>
      <c r="B7" s="573" t="s">
        <v>1114</v>
      </c>
      <c r="C7" s="572">
        <v>0</v>
      </c>
      <c r="D7" s="574"/>
    </row>
    <row r="8" spans="1:4" s="14" customFormat="1">
      <c r="A8" s="13">
        <v>1</v>
      </c>
      <c r="B8" s="38" t="s">
        <v>1129</v>
      </c>
      <c r="C8" s="13">
        <v>1</v>
      </c>
      <c r="D8" s="15"/>
    </row>
    <row r="9" spans="1:4" s="14" customFormat="1">
      <c r="A9" s="13">
        <v>1</v>
      </c>
      <c r="B9" s="14" t="s">
        <v>1122</v>
      </c>
      <c r="C9" s="13">
        <v>1</v>
      </c>
      <c r="D9" s="15"/>
    </row>
    <row r="10" spans="1:4" s="14" customFormat="1">
      <c r="A10" s="13">
        <v>1</v>
      </c>
      <c r="B10" s="38" t="s">
        <v>1076</v>
      </c>
      <c r="C10" s="13">
        <v>1</v>
      </c>
      <c r="D10" s="15"/>
    </row>
    <row r="11" spans="1:4" s="14" customFormat="1">
      <c r="A11" s="13">
        <v>1</v>
      </c>
      <c r="B11" s="38" t="s">
        <v>1235</v>
      </c>
      <c r="C11" s="13">
        <v>1</v>
      </c>
      <c r="D11" s="15"/>
    </row>
    <row r="12" spans="1:4" s="14" customFormat="1">
      <c r="A12" s="13">
        <v>1</v>
      </c>
      <c r="B12" s="38" t="s">
        <v>1063</v>
      </c>
      <c r="C12" s="13">
        <v>1</v>
      </c>
      <c r="D12" s="15"/>
    </row>
    <row r="13" spans="1:4" s="14" customFormat="1">
      <c r="A13" s="13">
        <v>1</v>
      </c>
      <c r="B13" s="38" t="s">
        <v>964</v>
      </c>
      <c r="C13" s="13">
        <v>1</v>
      </c>
      <c r="D13" s="15"/>
    </row>
    <row r="14" spans="1:4" s="14" customFormat="1">
      <c r="A14" s="13">
        <v>1</v>
      </c>
      <c r="B14" s="38" t="s">
        <v>1124</v>
      </c>
      <c r="C14" s="13">
        <v>1</v>
      </c>
      <c r="D14" s="15"/>
    </row>
    <row r="15" spans="1:4" s="14" customFormat="1">
      <c r="A15" s="13">
        <v>1</v>
      </c>
      <c r="B15" s="38" t="s">
        <v>1408</v>
      </c>
      <c r="C15" s="13">
        <v>1</v>
      </c>
      <c r="D15" s="15"/>
    </row>
    <row r="16" spans="1:4" s="14" customFormat="1">
      <c r="A16" s="13">
        <v>1</v>
      </c>
      <c r="B16" s="14" t="s">
        <v>1464</v>
      </c>
      <c r="C16" s="13">
        <v>1</v>
      </c>
      <c r="D16" s="15"/>
    </row>
    <row r="17" spans="1:4" s="14" customFormat="1">
      <c r="A17" s="13">
        <v>1</v>
      </c>
      <c r="B17" s="14" t="s">
        <v>1466</v>
      </c>
      <c r="C17" s="13">
        <v>1</v>
      </c>
      <c r="D17" s="15"/>
    </row>
    <row r="18" spans="1:4" s="14" customFormat="1">
      <c r="A18" s="13">
        <v>2</v>
      </c>
      <c r="B18" s="14" t="s">
        <v>1495</v>
      </c>
      <c r="C18" s="13">
        <v>1</v>
      </c>
      <c r="D18" s="15"/>
    </row>
    <row r="19" spans="1:4" s="14" customFormat="1">
      <c r="A19" s="13">
        <v>2</v>
      </c>
      <c r="B19" s="14" t="s">
        <v>1496</v>
      </c>
      <c r="C19" s="13">
        <v>1</v>
      </c>
      <c r="D19" s="15"/>
    </row>
    <row r="20" spans="1:4" s="37" customFormat="1">
      <c r="A20" s="35">
        <v>1</v>
      </c>
      <c r="B20" s="36" t="s">
        <v>7</v>
      </c>
      <c r="C20" s="35">
        <v>0</v>
      </c>
      <c r="D20" s="42"/>
    </row>
    <row r="21" spans="1:4" s="37" customFormat="1">
      <c r="A21" s="35">
        <v>2</v>
      </c>
      <c r="B21" s="36" t="s">
        <v>41</v>
      </c>
      <c r="C21" s="35">
        <v>0</v>
      </c>
      <c r="D21" s="42"/>
    </row>
    <row r="22" spans="1:4" s="37" customFormat="1">
      <c r="A22" s="35">
        <v>3</v>
      </c>
      <c r="B22" s="36" t="s">
        <v>8</v>
      </c>
      <c r="C22" s="35">
        <v>0</v>
      </c>
      <c r="D22" s="42"/>
    </row>
    <row r="23" spans="1:4" s="37" customFormat="1">
      <c r="A23" s="35">
        <v>4</v>
      </c>
      <c r="B23" s="36" t="s">
        <v>9</v>
      </c>
      <c r="C23" s="35">
        <v>0</v>
      </c>
      <c r="D23" s="42"/>
    </row>
    <row r="24" spans="1:4" s="37" customFormat="1">
      <c r="A24" s="35">
        <v>4</v>
      </c>
      <c r="B24" s="36" t="s">
        <v>43</v>
      </c>
      <c r="C24" s="35">
        <v>0</v>
      </c>
      <c r="D24" s="42"/>
    </row>
    <row r="25" spans="1:4" s="37" customFormat="1">
      <c r="A25" s="35">
        <v>5</v>
      </c>
      <c r="B25" s="36" t="s">
        <v>45</v>
      </c>
      <c r="C25" s="35">
        <v>0</v>
      </c>
      <c r="D25" s="42"/>
    </row>
    <row r="26" spans="1:4" s="37" customFormat="1">
      <c r="A26" s="35">
        <v>6</v>
      </c>
      <c r="B26" s="37" t="s">
        <v>1556</v>
      </c>
      <c r="C26" s="35">
        <v>0</v>
      </c>
      <c r="D26" s="42"/>
    </row>
    <row r="27" spans="1:4" s="37" customFormat="1">
      <c r="A27" s="35">
        <v>5</v>
      </c>
      <c r="B27" s="36" t="s">
        <v>44</v>
      </c>
      <c r="C27" s="35">
        <v>0</v>
      </c>
      <c r="D27" s="42"/>
    </row>
    <row r="28" spans="1:4" s="37" customFormat="1">
      <c r="A28" s="35">
        <v>6</v>
      </c>
      <c r="B28" s="36" t="s">
        <v>10</v>
      </c>
      <c r="C28" s="35">
        <v>0</v>
      </c>
      <c r="D28" s="42"/>
    </row>
    <row r="29" spans="1:4" s="37" customFormat="1">
      <c r="A29" s="35">
        <v>4</v>
      </c>
      <c r="B29" s="36" t="s">
        <v>11</v>
      </c>
      <c r="C29" s="35">
        <v>0</v>
      </c>
      <c r="D29" s="42"/>
    </row>
    <row r="30" spans="1:4" s="37" customFormat="1">
      <c r="A30" s="35">
        <v>4</v>
      </c>
      <c r="B30" s="37" t="s">
        <v>46</v>
      </c>
      <c r="C30" s="35">
        <v>0</v>
      </c>
      <c r="D30" s="42"/>
    </row>
    <row r="31" spans="1:4" s="37" customFormat="1">
      <c r="A31" s="35">
        <v>3</v>
      </c>
      <c r="B31" s="36" t="s">
        <v>42</v>
      </c>
      <c r="C31" s="35">
        <v>0</v>
      </c>
      <c r="D31" s="42"/>
    </row>
    <row r="32" spans="1:4" s="37" customFormat="1">
      <c r="A32" s="35">
        <v>4</v>
      </c>
      <c r="B32" s="36" t="s">
        <v>47</v>
      </c>
      <c r="C32" s="35">
        <v>0</v>
      </c>
      <c r="D32" s="42"/>
    </row>
    <row r="33" spans="1:4" s="37" customFormat="1">
      <c r="A33" s="35">
        <v>5</v>
      </c>
      <c r="B33" s="36" t="s">
        <v>1125</v>
      </c>
      <c r="C33" s="35">
        <v>0</v>
      </c>
      <c r="D33" s="42"/>
    </row>
    <row r="34" spans="1:4" s="37" customFormat="1">
      <c r="A34" s="35">
        <v>5</v>
      </c>
      <c r="B34" s="36" t="s">
        <v>1126</v>
      </c>
      <c r="C34" s="35">
        <v>0</v>
      </c>
      <c r="D34" s="42"/>
    </row>
    <row r="35" spans="1:4" s="37" customFormat="1">
      <c r="A35" s="35">
        <v>6</v>
      </c>
      <c r="B35" s="36" t="s">
        <v>1142</v>
      </c>
      <c r="C35" s="35">
        <v>0</v>
      </c>
      <c r="D35" s="42"/>
    </row>
    <row r="36" spans="1:4" s="37" customFormat="1">
      <c r="A36" s="35">
        <v>6</v>
      </c>
      <c r="B36" s="36" t="s">
        <v>1150</v>
      </c>
      <c r="C36" s="35">
        <v>0</v>
      </c>
      <c r="D36" s="42"/>
    </row>
    <row r="37" spans="1:4" s="37" customFormat="1">
      <c r="A37" s="35">
        <v>4</v>
      </c>
      <c r="B37" s="36" t="s">
        <v>48</v>
      </c>
      <c r="C37" s="35">
        <v>0</v>
      </c>
      <c r="D37" s="42"/>
    </row>
    <row r="38" spans="1:4" s="37" customFormat="1">
      <c r="A38" s="35">
        <v>4</v>
      </c>
      <c r="B38" s="36" t="s">
        <v>49</v>
      </c>
      <c r="C38" s="35">
        <v>0</v>
      </c>
      <c r="D38" s="42"/>
    </row>
    <row r="39" spans="1:4" s="37" customFormat="1">
      <c r="A39" s="35">
        <v>2</v>
      </c>
      <c r="B39" s="36" t="s">
        <v>50</v>
      </c>
      <c r="C39" s="35">
        <v>0</v>
      </c>
      <c r="D39" s="42"/>
    </row>
    <row r="40" spans="1:4" s="37" customFormat="1">
      <c r="A40" s="35">
        <v>3</v>
      </c>
      <c r="B40" s="36" t="s">
        <v>51</v>
      </c>
      <c r="C40" s="35">
        <v>0</v>
      </c>
      <c r="D40" s="42"/>
    </row>
    <row r="41" spans="1:4" s="37" customFormat="1">
      <c r="A41" s="35">
        <v>4</v>
      </c>
      <c r="B41" s="36" t="s">
        <v>1143</v>
      </c>
      <c r="C41" s="35">
        <v>0</v>
      </c>
      <c r="D41" s="42"/>
    </row>
    <row r="42" spans="1:4" s="37" customFormat="1">
      <c r="A42" s="35">
        <v>4</v>
      </c>
      <c r="B42" s="36" t="s">
        <v>1145</v>
      </c>
      <c r="C42" s="35">
        <v>0</v>
      </c>
      <c r="D42" s="42"/>
    </row>
    <row r="43" spans="1:4" s="37" customFormat="1">
      <c r="A43" s="35">
        <v>3</v>
      </c>
      <c r="B43" s="36" t="s">
        <v>52</v>
      </c>
      <c r="C43" s="35">
        <v>0</v>
      </c>
      <c r="D43" s="42"/>
    </row>
    <row r="44" spans="1:4" s="37" customFormat="1">
      <c r="A44" s="35">
        <v>4</v>
      </c>
      <c r="B44" s="36" t="s">
        <v>1244</v>
      </c>
      <c r="C44" s="35">
        <v>0</v>
      </c>
      <c r="D44" s="42"/>
    </row>
    <row r="45" spans="1:4" s="37" customFormat="1">
      <c r="A45" s="35">
        <v>4</v>
      </c>
      <c r="B45" s="36" t="s">
        <v>1146</v>
      </c>
      <c r="C45" s="35">
        <v>0</v>
      </c>
      <c r="D45" s="42"/>
    </row>
    <row r="46" spans="1:4" s="37" customFormat="1">
      <c r="A46" s="35">
        <v>4</v>
      </c>
      <c r="B46" s="36" t="s">
        <v>1147</v>
      </c>
      <c r="C46" s="35">
        <v>0</v>
      </c>
      <c r="D46" s="42"/>
    </row>
    <row r="47" spans="1:4" s="37" customFormat="1">
      <c r="A47" s="35">
        <v>3</v>
      </c>
      <c r="B47" s="36" t="s">
        <v>53</v>
      </c>
      <c r="C47" s="35">
        <v>0</v>
      </c>
      <c r="D47" s="42"/>
    </row>
    <row r="48" spans="1:4" s="37" customFormat="1">
      <c r="A48" s="35">
        <v>4</v>
      </c>
      <c r="B48" s="36" t="s">
        <v>1151</v>
      </c>
      <c r="C48" s="35">
        <v>0</v>
      </c>
      <c r="D48" s="42"/>
    </row>
    <row r="49" spans="1:4" s="37" customFormat="1">
      <c r="A49" s="35">
        <v>4</v>
      </c>
      <c r="B49" s="36" t="s">
        <v>1144</v>
      </c>
      <c r="C49" s="35">
        <v>0</v>
      </c>
      <c r="D49" s="42"/>
    </row>
    <row r="50" spans="1:4" s="37" customFormat="1">
      <c r="A50" s="35">
        <v>3</v>
      </c>
      <c r="B50" s="36" t="s">
        <v>54</v>
      </c>
      <c r="C50" s="35">
        <v>0</v>
      </c>
      <c r="D50" s="42"/>
    </row>
    <row r="51" spans="1:4" s="37" customFormat="1">
      <c r="A51" s="35">
        <v>2</v>
      </c>
      <c r="B51" s="37" t="s">
        <v>1174</v>
      </c>
      <c r="C51" s="35">
        <v>0</v>
      </c>
      <c r="D51" s="42"/>
    </row>
    <row r="52" spans="1:4" s="37" customFormat="1">
      <c r="A52" s="35">
        <v>3</v>
      </c>
      <c r="B52" s="37" t="s">
        <v>1152</v>
      </c>
      <c r="C52" s="35">
        <v>0</v>
      </c>
      <c r="D52" s="42"/>
    </row>
    <row r="53" spans="1:4" s="37" customFormat="1">
      <c r="A53" s="35">
        <v>3</v>
      </c>
      <c r="B53" s="37" t="s">
        <v>1818</v>
      </c>
      <c r="C53" s="35">
        <v>0</v>
      </c>
      <c r="D53" s="42"/>
    </row>
    <row r="54" spans="1:4" s="37" customFormat="1">
      <c r="A54" s="35">
        <v>3</v>
      </c>
      <c r="B54" s="37" t="s">
        <v>1819</v>
      </c>
      <c r="C54" s="35">
        <v>0</v>
      </c>
      <c r="D54" s="42"/>
    </row>
    <row r="55" spans="1:4">
      <c r="A55" s="10">
        <v>1</v>
      </c>
      <c r="B55" t="s">
        <v>1025</v>
      </c>
      <c r="C55" s="10">
        <v>0</v>
      </c>
    </row>
    <row r="56" spans="1:4">
      <c r="A56" s="10">
        <v>1</v>
      </c>
      <c r="B56" t="s">
        <v>1811</v>
      </c>
      <c r="C56" s="10">
        <v>0</v>
      </c>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FCF72-5592-43F8-9117-3092A9D26B48}">
  <sheetPr>
    <tabColor rgb="FFFFC000"/>
  </sheetPr>
  <dimension ref="B2:E2"/>
  <sheetViews>
    <sheetView workbookViewId="0">
      <selection activeCell="F14" sqref="F14"/>
    </sheetView>
  </sheetViews>
  <sheetFormatPr baseColWidth="10" defaultRowHeight="14.4"/>
  <cols>
    <col min="2" max="2" width="18.44140625" bestFit="1" customWidth="1"/>
    <col min="3" max="3" width="3.44140625" bestFit="1" customWidth="1"/>
  </cols>
  <sheetData>
    <row r="2" spans="2:5">
      <c r="B2" t="s">
        <v>1229</v>
      </c>
      <c r="C2" s="483">
        <v>0.01</v>
      </c>
      <c r="D2" t="s">
        <v>1176</v>
      </c>
      <c r="E2" t="s">
        <v>1236</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54E1-029C-4279-A299-6FA294A3FF29}">
  <sheetPr>
    <tabColor rgb="FF92D050"/>
  </sheetPr>
  <dimension ref="A1:U10"/>
  <sheetViews>
    <sheetView workbookViewId="0">
      <pane xSplit="3" ySplit="1" topLeftCell="D2" activePane="bottomRight" state="frozen"/>
      <selection pane="topRight" activeCell="D1" sqref="D1"/>
      <selection pane="bottomLeft" activeCell="A2" sqref="A2"/>
      <selection pane="bottomRight" activeCell="T8" sqref="T8:T10"/>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28.6640625" style="10" customWidth="1"/>
    <col min="17" max="17" width="12.109375" style="10" customWidth="1"/>
    <col min="18" max="19" width="14.44140625" style="26" customWidth="1"/>
    <col min="20" max="20" width="11.6640625" bestFit="1" customWidth="1"/>
    <col min="21" max="21" width="13.109375" customWidth="1"/>
  </cols>
  <sheetData>
    <row r="1" spans="1:21" ht="38.4"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'!A2+1</f>
        <v>81</v>
      </c>
      <c r="B2" t="str">
        <f>Produits!$B$4</f>
        <v>Grains collectés</v>
      </c>
      <c r="C2" t="str">
        <f>Secteurs!$B$14</f>
        <v>Distillerie</v>
      </c>
      <c r="D2" s="462">
        <f>'Distillerie - Agreste'!F10</f>
        <v>0.33333333333333331</v>
      </c>
      <c r="G2" s="10" t="str">
        <f>Etiquettes!$C$3</f>
        <v>kt</v>
      </c>
      <c r="H2" s="10" t="s">
        <v>1245</v>
      </c>
      <c r="I2" s="10" t="str">
        <f>Etiquettes!$C$5</f>
        <v>2015-16:2019-20:2023-24</v>
      </c>
      <c r="J2" s="10" t="str">
        <f>Etiquettes!$C$4</f>
        <v>France entière</v>
      </c>
      <c r="U2" s="463"/>
    </row>
    <row r="3" spans="1:21">
      <c r="A3" s="10">
        <f>'Contraintes         '!A3+1</f>
        <v>81</v>
      </c>
      <c r="B3" t="str">
        <f>Secteurs!$B$14</f>
        <v>Distillerie</v>
      </c>
      <c r="C3" t="str">
        <f>Produits!$B$26</f>
        <v>Ethanol</v>
      </c>
      <c r="D3">
        <v>-1</v>
      </c>
      <c r="G3" s="10" t="str">
        <f>Etiquettes!$C$3</f>
        <v>kt</v>
      </c>
      <c r="H3" s="10" t="s">
        <v>1245</v>
      </c>
      <c r="I3" s="10" t="str">
        <f>Etiquettes!$C$5</f>
        <v>2015-16:2019-20:2023-24</v>
      </c>
      <c r="J3" s="10" t="str">
        <f>Etiquettes!$C$4</f>
        <v>France entière</v>
      </c>
      <c r="K3" s="604" t="s">
        <v>1644</v>
      </c>
      <c r="L3" s="604"/>
      <c r="M3" s="604" t="s">
        <v>1646</v>
      </c>
      <c r="N3" s="604" t="str" cm="1">
        <f t="array" aca="1" ref="N3" ca="1">[1]!NOM_FEUILLE('Distillerie - Agreste'!$A$1:$B$1)</f>
        <v>Distillerie - Agreste</v>
      </c>
      <c r="O3" s="10" t="str">
        <f>Etiquettes!$I$11</f>
        <v>Rendement</v>
      </c>
      <c r="P3" t="str">
        <f>_xlfn.CONCAT(K3," = ",MROUND(D2*100,0.01)," % (",M3,")")</f>
        <v>Rendement en éthanol de la Distillerie = 33,33 % (Des chiffres et des céréales - Intercéréales)</v>
      </c>
      <c r="Q3" s="10" t="str">
        <f>Etiquettes!$K$15</f>
        <v>Approximative</v>
      </c>
      <c r="R3" s="642" t="s">
        <v>1813</v>
      </c>
      <c r="S3" s="603" t="str">
        <f>Etiquettes!$H$17</f>
        <v>Donnée collectée (valeur du flux ou coefficient)</v>
      </c>
      <c r="U3" s="144"/>
    </row>
    <row r="4" spans="1:21">
      <c r="A4" s="10">
        <f>A2+1</f>
        <v>82</v>
      </c>
      <c r="B4" t="str">
        <f>Produits!$B$4</f>
        <v>Grains collectés</v>
      </c>
      <c r="C4" t="str">
        <f>Secteurs!$B$14</f>
        <v>Distillerie</v>
      </c>
      <c r="D4" s="29">
        <f>'Distillerie - Agreste'!F11</f>
        <v>0.33333333333333331</v>
      </c>
      <c r="G4" s="10" t="str">
        <f>Etiquettes!$C$3</f>
        <v>kt</v>
      </c>
      <c r="H4" s="10" t="s">
        <v>1245</v>
      </c>
      <c r="I4" s="10" t="str">
        <f>Etiquettes!$C$5</f>
        <v>2015-16:2019-20:2023-24</v>
      </c>
      <c r="J4" s="10" t="str">
        <f>Etiquettes!$C$4</f>
        <v>France entière</v>
      </c>
      <c r="K4" s="604"/>
      <c r="L4" s="604"/>
      <c r="M4" s="604"/>
      <c r="N4" s="604"/>
      <c r="U4" s="144"/>
    </row>
    <row r="5" spans="1:21">
      <c r="A5" s="10">
        <f t="shared" ref="A5:A9" si="0">A3+1</f>
        <v>82</v>
      </c>
      <c r="B5" t="str">
        <f>Secteurs!$B$14</f>
        <v>Distillerie</v>
      </c>
      <c r="C5" t="str">
        <f>Produits!$B$27</f>
        <v>Drèches et solubles</v>
      </c>
      <c r="D5">
        <v>-1</v>
      </c>
      <c r="G5" s="10" t="str">
        <f>Etiquettes!$C$3</f>
        <v>kt</v>
      </c>
      <c r="H5" s="10" t="s">
        <v>1245</v>
      </c>
      <c r="I5" s="10" t="str">
        <f>Etiquettes!$C$5</f>
        <v>2015-16:2019-20:2023-24</v>
      </c>
      <c r="J5" s="10" t="str">
        <f>Etiquettes!$C$4</f>
        <v>France entière</v>
      </c>
      <c r="K5" s="604" t="s">
        <v>1643</v>
      </c>
      <c r="L5" s="604"/>
      <c r="M5" s="604" t="s">
        <v>1646</v>
      </c>
      <c r="N5" s="604" t="str" cm="1">
        <f t="array" aca="1" ref="N5" ca="1">[1]!NOM_FEUILLE('Distillerie - Agreste'!$A$1:$B$1)</f>
        <v>Distillerie - Agreste</v>
      </c>
      <c r="O5" s="10" t="str">
        <f>Etiquettes!$I$11</f>
        <v>Rendement</v>
      </c>
      <c r="P5" t="str">
        <f t="shared" ref="P5" si="1">_xlfn.CONCAT(K5," = ",MROUND(D4*100,0.01)," % (",M5,")")</f>
        <v>Rendement en drèches et solubles de la Distillerie = 33,33 % (Des chiffres et des céréales - Intercéréales)</v>
      </c>
      <c r="Q5" s="10" t="str">
        <f>Etiquettes!$K$15</f>
        <v>Approximative</v>
      </c>
      <c r="R5" s="642" t="s">
        <v>1813</v>
      </c>
      <c r="S5" s="603" t="str">
        <f>Etiquettes!$H$17</f>
        <v>Donnée collectée (valeur du flux ou coefficient)</v>
      </c>
      <c r="U5" s="144"/>
    </row>
    <row r="6" spans="1:21">
      <c r="A6" s="10">
        <f t="shared" si="0"/>
        <v>83</v>
      </c>
      <c r="B6" t="str">
        <f>Produits!$B$4</f>
        <v>Grains collectés</v>
      </c>
      <c r="C6" t="str">
        <f>Secteurs!$B$14</f>
        <v>Distillerie</v>
      </c>
      <c r="D6" s="29">
        <f>'Distillerie - Agreste'!F12</f>
        <v>0.33333333333333331</v>
      </c>
      <c r="G6" s="10" t="str">
        <f>Etiquettes!$C$3</f>
        <v>kt</v>
      </c>
      <c r="H6" s="10" t="s">
        <v>1245</v>
      </c>
      <c r="I6" s="10" t="str">
        <f>Etiquettes!$C$5</f>
        <v>2015-16:2019-20:2023-24</v>
      </c>
      <c r="J6" s="10" t="str">
        <f>Etiquettes!$C$4</f>
        <v>France entière</v>
      </c>
      <c r="K6" s="604"/>
      <c r="L6" s="604"/>
      <c r="M6" s="604"/>
      <c r="N6" s="604"/>
    </row>
    <row r="7" spans="1:21">
      <c r="A7" s="10">
        <f t="shared" si="0"/>
        <v>83</v>
      </c>
      <c r="B7" t="str">
        <f>Secteurs!$B$14</f>
        <v>Distillerie</v>
      </c>
      <c r="C7" t="str">
        <f>Produits!$B$28</f>
        <v>CO2</v>
      </c>
      <c r="D7">
        <v>-1</v>
      </c>
      <c r="G7" s="10" t="str">
        <f>Etiquettes!$C$3</f>
        <v>kt</v>
      </c>
      <c r="H7" s="10" t="s">
        <v>1245</v>
      </c>
      <c r="I7" s="10" t="str">
        <f>Etiquettes!$C$5</f>
        <v>2015-16:2019-20:2023-24</v>
      </c>
      <c r="J7" s="10" t="str">
        <f>Etiquettes!$C$4</f>
        <v>France entière</v>
      </c>
      <c r="K7" s="604" t="s">
        <v>1645</v>
      </c>
      <c r="L7" s="604"/>
      <c r="M7" s="604" t="s">
        <v>1646</v>
      </c>
      <c r="N7" s="604" t="str" cm="1">
        <f t="array" aca="1" ref="N7" ca="1">[1]!NOM_FEUILLE('Distillerie - Agreste'!$A$1:$B$1)</f>
        <v>Distillerie - Agreste</v>
      </c>
      <c r="O7" s="10" t="str">
        <f>Etiquettes!$I$11</f>
        <v>Rendement</v>
      </c>
      <c r="P7" t="str">
        <f t="shared" ref="P7" si="2">_xlfn.CONCAT(K7," = ",MROUND(D6*100,0.01)," % (",M7,")")</f>
        <v>Rendement en CO2 de la Distillerie = 33,33 % (Des chiffres et des céréales - Intercéréales)</v>
      </c>
      <c r="Q7" s="10" t="str">
        <f>Etiquettes!$K$15</f>
        <v>Approximative</v>
      </c>
      <c r="R7" s="642" t="s">
        <v>1813</v>
      </c>
      <c r="S7" s="603" t="str">
        <f>Etiquettes!$H$17</f>
        <v>Donnée collectée (valeur du flux ou coefficient)</v>
      </c>
    </row>
    <row r="8" spans="1:21">
      <c r="A8" s="10">
        <f>A6+1</f>
        <v>84</v>
      </c>
      <c r="B8" t="str">
        <f>Produits!$B$26</f>
        <v>Ethanol</v>
      </c>
      <c r="C8" t="str">
        <f>Secteurs!$B$20</f>
        <v>Débouchés</v>
      </c>
      <c r="D8" s="29">
        <f>'Distillerie - Agreste'!J27</f>
        <v>0</v>
      </c>
      <c r="G8" s="10" t="str">
        <f>Etiquettes!$C$3</f>
        <v>kt</v>
      </c>
      <c r="H8" s="10" t="s">
        <v>1245</v>
      </c>
      <c r="I8" s="10" t="str">
        <f>Etiquettes!$C$5</f>
        <v>2015-16:2019-20:2023-24</v>
      </c>
      <c r="J8" s="10" t="str">
        <f>Etiquettes!$C$4</f>
        <v>France entière</v>
      </c>
      <c r="K8" s="604"/>
      <c r="L8" s="604"/>
      <c r="M8" s="604"/>
      <c r="N8" s="604"/>
      <c r="T8" s="693" t="s">
        <v>1392</v>
      </c>
    </row>
    <row r="9" spans="1:21">
      <c r="A9" s="10">
        <f t="shared" si="0"/>
        <v>84</v>
      </c>
      <c r="B9" t="str">
        <f>Produits!$B$26</f>
        <v>Ethanol</v>
      </c>
      <c r="C9" t="str">
        <f>Secteurs!$B$21</f>
        <v>Usages alimentaires</v>
      </c>
      <c r="D9">
        <v>-1</v>
      </c>
      <c r="G9" s="10" t="str">
        <f>Etiquettes!$C$3</f>
        <v>kt</v>
      </c>
      <c r="H9" s="10" t="s">
        <v>1245</v>
      </c>
      <c r="I9" s="10" t="str">
        <f>Etiquettes!$C$5</f>
        <v>2015-16:2019-20:2023-24</v>
      </c>
      <c r="J9" s="10" t="str">
        <f>Etiquettes!$C$4</f>
        <v>France entière</v>
      </c>
      <c r="K9" s="604" t="s">
        <v>1647</v>
      </c>
      <c r="L9" s="604"/>
      <c r="M9" s="604" t="s">
        <v>1649</v>
      </c>
      <c r="N9" s="604" t="str" cm="1">
        <f t="array" aca="1" ref="N9" ca="1">[1]!NOM_FEUILLE('Distillerie - Agreste'!$A$1:$B$1)</f>
        <v>Distillerie - Agreste</v>
      </c>
      <c r="O9" s="10" t="str">
        <f>Etiquettes!$J$11</f>
        <v>Répartition</v>
      </c>
      <c r="P9" t="str">
        <f>_xlfn.CONCAT(K9," = ",MROUND(D8*100,0.01)," % (",M9,")")</f>
        <v>Part d'éthanol consommée pour un usage alimentaire = 0 % (Fiche bioéthanol - FranceAgriMer)</v>
      </c>
      <c r="T9" s="693"/>
    </row>
    <row r="10" spans="1:21">
      <c r="A10" s="10">
        <f>A7+1</f>
        <v>84</v>
      </c>
      <c r="B10" t="str">
        <f>Produits!$B$26</f>
        <v>Ethanol</v>
      </c>
      <c r="C10" t="str">
        <f>Secteurs!$B$50</f>
        <v>Autres industries</v>
      </c>
      <c r="D10">
        <v>-1</v>
      </c>
      <c r="G10" s="10" t="str">
        <f>Etiquettes!$C$3</f>
        <v>kt</v>
      </c>
      <c r="H10" s="10" t="s">
        <v>1245</v>
      </c>
      <c r="I10" s="10" t="str">
        <f>Etiquettes!$C$5</f>
        <v>2015-16:2019-20:2023-24</v>
      </c>
      <c r="J10" s="10" t="str">
        <f>Etiquettes!$C$4</f>
        <v>France entière</v>
      </c>
      <c r="K10" s="604" t="s">
        <v>1648</v>
      </c>
      <c r="L10" s="604"/>
      <c r="M10" s="604" t="s">
        <v>1649</v>
      </c>
      <c r="N10" s="604" t="str" cm="1">
        <f t="array" aca="1" ref="N10" ca="1">[1]!NOM_FEUILLE('Distillerie - Agreste'!$A$1:$B$1)</f>
        <v>Distillerie - Agreste</v>
      </c>
      <c r="O10" s="10" t="str">
        <f>Etiquettes!$J$11</f>
        <v>Répartition</v>
      </c>
      <c r="P10" t="str">
        <f>_xlfn.CONCAT(K10," = ",MROUND(D8*100,0.01)," % (",M10,")")</f>
        <v>Part d'éthanol consommée par les autres industries = 0 % (Fiche bioéthanol - FranceAgriMer)</v>
      </c>
      <c r="T10" s="693"/>
    </row>
  </sheetData>
  <mergeCells count="1">
    <mergeCell ref="T8:T10"/>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80604-567C-478B-AD6B-17BA181B5AB0}">
  <sheetPr>
    <tabColor theme="1"/>
  </sheetPr>
  <dimension ref="A1:Q6"/>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6"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6">_xlfn._xlws.FILTER('Contraintes          '!B2:C200,ISTEXT('Contraintes          '!O2:O200))</f>
        <v>Distillerie</v>
      </c>
      <c r="B2" t="str">
        <v>Ethanol</v>
      </c>
      <c r="E2" t="str">
        <f ca="1"/>
        <v>kt</v>
      </c>
      <c r="F2" t="str">
        <f ca="1"/>
        <v>Blé tendre:Maïs</v>
      </c>
      <c r="G2" t="str">
        <f ca="1"/>
        <v>2015-16:2019-20:2023-24</v>
      </c>
      <c r="H2" t="str">
        <f ca="1"/>
        <v>France entière</v>
      </c>
      <c r="I2" t="str">
        <f ca="1"/>
        <v>Rendement en éthanol de la Distillerie</v>
      </c>
      <c r="J2">
        <f ca="1"/>
        <v>0</v>
      </c>
      <c r="K2" t="str">
        <f ca="1"/>
        <v>Des chiffres et des céréales - Intercéréales</v>
      </c>
      <c r="L2" t="str">
        <f ca="1"/>
        <v>Distillerie - Agreste</v>
      </c>
      <c r="M2" t="str">
        <f ca="1"/>
        <v>Rendement</v>
      </c>
      <c r="N2" t="str">
        <f ca="1"/>
        <v>Rendement en éthanol de la Distillerie = 33,33 % (Des chiffres et des céréales - Intercéréales)</v>
      </c>
      <c r="O2" t="str">
        <f ca="1"/>
        <v>Approximative</v>
      </c>
      <c r="P2" t="str">
        <f ca="1"/>
        <v>Données collectées:Données déterminées</v>
      </c>
      <c r="Q2" t="str">
        <f ca="1"/>
        <v>Donnée collectée (valeur du flux ou coefficient)</v>
      </c>
    </row>
    <row r="3" spans="1:17">
      <c r="A3" t="str">
        <v>Distillerie</v>
      </c>
      <c r="B3" t="str">
        <v>Drèches et solubles</v>
      </c>
      <c r="E3" t="str">
        <f ca="1"/>
        <v>kt</v>
      </c>
      <c r="F3" t="str">
        <f ca="1"/>
        <v>Blé tendre:Maïs</v>
      </c>
      <c r="G3" t="str">
        <f ca="1"/>
        <v>2015-16:2019-20:2023-24</v>
      </c>
      <c r="H3" t="str">
        <f ca="1"/>
        <v>France entière</v>
      </c>
      <c r="I3" t="str">
        <f ca="1"/>
        <v>Rendement en drèches et solubles de la Distillerie</v>
      </c>
      <c r="J3">
        <f ca="1"/>
        <v>0</v>
      </c>
      <c r="K3" t="str">
        <f ca="1"/>
        <v>Des chiffres et des céréales - Intercéréales</v>
      </c>
      <c r="L3" t="str">
        <f ca="1"/>
        <v>Distillerie - Agreste</v>
      </c>
      <c r="M3" t="str">
        <f ca="1"/>
        <v>Rendement</v>
      </c>
      <c r="N3" t="str">
        <f ca="1"/>
        <v>Rendement en drèches et solubles de la Distillerie = 33,33 % (Des chiffres et des céréales - Intercéréales)</v>
      </c>
      <c r="O3" t="str">
        <f ca="1"/>
        <v>Approximative</v>
      </c>
      <c r="P3" t="str">
        <f ca="1"/>
        <v>Données collectées:Données déterminées</v>
      </c>
      <c r="Q3" t="str">
        <f ca="1"/>
        <v>Donnée collectée (valeur du flux ou coefficient)</v>
      </c>
    </row>
    <row r="4" spans="1:17">
      <c r="A4" t="str">
        <v>Distillerie</v>
      </c>
      <c r="B4" t="str">
        <v>CO2</v>
      </c>
      <c r="E4" t="str">
        <f ca="1"/>
        <v>kt</v>
      </c>
      <c r="F4" t="str">
        <f ca="1"/>
        <v>Blé tendre:Maïs</v>
      </c>
      <c r="G4" t="str">
        <f ca="1"/>
        <v>2015-16:2019-20:2023-24</v>
      </c>
      <c r="H4" t="str">
        <f ca="1"/>
        <v>France entière</v>
      </c>
      <c r="I4" t="str">
        <f ca="1"/>
        <v>Rendement en CO2 de la Distillerie</v>
      </c>
      <c r="J4">
        <f ca="1"/>
        <v>0</v>
      </c>
      <c r="K4" t="str">
        <f ca="1"/>
        <v>Des chiffres et des céréales - Intercéréales</v>
      </c>
      <c r="L4" t="str">
        <f ca="1"/>
        <v>Distillerie - Agreste</v>
      </c>
      <c r="M4" t="str">
        <f ca="1"/>
        <v>Rendement</v>
      </c>
      <c r="N4" t="str">
        <f ca="1"/>
        <v>Rendement en CO2 de la Distillerie = 33,33 % (Des chiffres et des céréales - Intercéréales)</v>
      </c>
      <c r="O4" t="str">
        <f ca="1"/>
        <v>Approximative</v>
      </c>
      <c r="P4" t="str">
        <f ca="1"/>
        <v>Données collectées:Données déterminées</v>
      </c>
      <c r="Q4" t="str">
        <f ca="1"/>
        <v>Donnée collectée (valeur du flux ou coefficient)</v>
      </c>
    </row>
    <row r="5" spans="1:17">
      <c r="A5" t="str">
        <v>Ethanol</v>
      </c>
      <c r="B5" t="str">
        <v>Usages alimentaires</v>
      </c>
      <c r="E5" t="str">
        <f ca="1"/>
        <v>kt</v>
      </c>
      <c r="F5" t="str">
        <f ca="1"/>
        <v>Blé tendre:Maïs</v>
      </c>
      <c r="G5" t="str">
        <f ca="1"/>
        <v>2015-16:2019-20:2023-24</v>
      </c>
      <c r="H5" t="str">
        <f ca="1"/>
        <v>France entière</v>
      </c>
      <c r="I5" t="str">
        <f ca="1"/>
        <v>Part d'éthanol consommée pour un usage alimentaire</v>
      </c>
      <c r="J5">
        <f ca="1"/>
        <v>0</v>
      </c>
      <c r="K5" t="str">
        <f ca="1"/>
        <v>Fiche bioéthanol - FranceAgriMer</v>
      </c>
      <c r="L5" t="str">
        <f ca="1"/>
        <v>Distillerie - Agreste</v>
      </c>
      <c r="M5" t="str">
        <f ca="1"/>
        <v>Répartition</v>
      </c>
      <c r="N5" t="str">
        <f ca="1"/>
        <v>Part d'éthanol consommée pour un usage alimentaire = 0 % (Fiche bioéthanol - FranceAgriMer)</v>
      </c>
      <c r="O5">
        <f ca="1"/>
        <v>0</v>
      </c>
      <c r="P5">
        <f ca="1"/>
        <v>0</v>
      </c>
      <c r="Q5">
        <f ca="1"/>
        <v>0</v>
      </c>
    </row>
    <row r="6" spans="1:17">
      <c r="A6" t="str">
        <v>Ethanol</v>
      </c>
      <c r="B6" t="str">
        <v>Autres industries</v>
      </c>
      <c r="E6" t="str">
        <f ca="1"/>
        <v>kt</v>
      </c>
      <c r="F6" t="str">
        <f ca="1"/>
        <v>Blé tendre:Maïs</v>
      </c>
      <c r="G6" t="str">
        <f ca="1"/>
        <v>2015-16:2019-20:2023-24</v>
      </c>
      <c r="H6" t="str">
        <f ca="1"/>
        <v>France entière</v>
      </c>
      <c r="I6" t="str">
        <f ca="1"/>
        <v>Part d'éthanol consommée par les autres industries</v>
      </c>
      <c r="J6">
        <f ca="1"/>
        <v>0</v>
      </c>
      <c r="K6" t="str">
        <f ca="1"/>
        <v>Fiche bioéthanol - FranceAgriMer</v>
      </c>
      <c r="L6" t="str">
        <f ca="1"/>
        <v>Distillerie - Agreste</v>
      </c>
      <c r="M6" t="str">
        <f ca="1"/>
        <v>Répartition</v>
      </c>
      <c r="N6" t="str">
        <f ca="1"/>
        <v>Part d'éthanol consommée par les autres industries = 0 % (Fiche bioéthanol - FranceAgriMer)</v>
      </c>
      <c r="O6">
        <f ca="1"/>
        <v>0</v>
      </c>
      <c r="P6">
        <f ca="1"/>
        <v>0</v>
      </c>
      <c r="Q6">
        <f ca="1"/>
        <v>0</v>
      </c>
    </row>
  </sheetData>
  <pageMargins left="0.75" right="0.75" top="1" bottom="1" header="0.5" footer="0.5"/>
  <legacy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3BB6C-2B38-44CE-9791-39198543ECAD}">
  <sheetPr>
    <tabColor rgb="FFFFC000"/>
  </sheetPr>
  <dimension ref="A1:K27"/>
  <sheetViews>
    <sheetView workbookViewId="0">
      <selection activeCell="J27" sqref="J27"/>
    </sheetView>
  </sheetViews>
  <sheetFormatPr baseColWidth="10" defaultRowHeight="14.4"/>
  <cols>
    <col min="1" max="1" width="11.5546875" style="57"/>
    <col min="2" max="2" width="20.77734375" style="57" bestFit="1" customWidth="1"/>
    <col min="4" max="4" width="21" customWidth="1"/>
  </cols>
  <sheetData>
    <row r="1" spans="1:8" s="57" customFormat="1" ht="15" thickBot="1">
      <c r="A1" s="741" t="s">
        <v>149</v>
      </c>
      <c r="B1" s="741"/>
    </row>
    <row r="2" spans="1:8" s="57" customFormat="1">
      <c r="A2" s="58" t="s">
        <v>150</v>
      </c>
      <c r="B2" s="59" t="s">
        <v>1238</v>
      </c>
    </row>
    <row r="3" spans="1:8" s="57" customFormat="1">
      <c r="A3" s="60" t="s">
        <v>152</v>
      </c>
      <c r="B3" s="65"/>
    </row>
    <row r="4" spans="1:8" s="57" customFormat="1">
      <c r="A4" s="60" t="s">
        <v>153</v>
      </c>
      <c r="B4" s="61" t="s">
        <v>154</v>
      </c>
    </row>
    <row r="5" spans="1:8" s="57" customFormat="1">
      <c r="A5" s="60" t="s">
        <v>17</v>
      </c>
      <c r="B5" s="61"/>
    </row>
    <row r="6" spans="1:8" s="57" customFormat="1">
      <c r="A6" s="60" t="s">
        <v>19</v>
      </c>
      <c r="B6" s="61" t="s">
        <v>20</v>
      </c>
    </row>
    <row r="7" spans="1:8" s="57" customFormat="1" ht="15" thickBot="1">
      <c r="A7" s="62" t="s">
        <v>156</v>
      </c>
      <c r="B7" s="63" t="s">
        <v>157</v>
      </c>
    </row>
    <row r="8" spans="1:8">
      <c r="C8" s="87" t="s">
        <v>19</v>
      </c>
      <c r="D8" s="87" t="s">
        <v>1386</v>
      </c>
    </row>
    <row r="10" spans="1:8">
      <c r="F10" s="477">
        <f>1/3</f>
        <v>0.33333333333333331</v>
      </c>
      <c r="G10" s="11" t="s">
        <v>1239</v>
      </c>
      <c r="H10" t="s">
        <v>1288</v>
      </c>
    </row>
    <row r="11" spans="1:8">
      <c r="D11" s="11" t="s">
        <v>1240</v>
      </c>
      <c r="E11" s="116" t="s">
        <v>1124</v>
      </c>
      <c r="F11" s="477">
        <f t="shared" ref="F11:F12" si="0">1/3</f>
        <v>0.33333333333333331</v>
      </c>
      <c r="G11" s="11" t="s">
        <v>1241</v>
      </c>
      <c r="H11" t="s">
        <v>1287</v>
      </c>
    </row>
    <row r="12" spans="1:8">
      <c r="F12" s="477">
        <f t="shared" si="0"/>
        <v>0.33333333333333331</v>
      </c>
      <c r="G12" s="11" t="s">
        <v>1242</v>
      </c>
    </row>
    <row r="24" spans="4:11">
      <c r="D24" s="87" t="s">
        <v>1389</v>
      </c>
    </row>
    <row r="25" spans="4:11">
      <c r="E25" t="s">
        <v>1387</v>
      </c>
      <c r="G25">
        <v>2023</v>
      </c>
      <c r="J25" t="s">
        <v>1390</v>
      </c>
    </row>
    <row r="26" spans="4:11">
      <c r="D26" s="748" t="s">
        <v>1388</v>
      </c>
      <c r="E26" s="748">
        <v>1100</v>
      </c>
      <c r="F26">
        <f>E26*G26</f>
        <v>517</v>
      </c>
      <c r="G26" s="29">
        <v>0.47</v>
      </c>
      <c r="H26" t="s">
        <v>171</v>
      </c>
      <c r="J26" t="s">
        <v>1391</v>
      </c>
    </row>
    <row r="27" spans="4:11">
      <c r="D27" s="748"/>
      <c r="E27" s="748"/>
      <c r="F27">
        <f>E26*G27</f>
        <v>253</v>
      </c>
      <c r="G27" s="29">
        <v>0.23</v>
      </c>
      <c r="H27" t="s">
        <v>307</v>
      </c>
      <c r="J27" s="483">
        <v>0</v>
      </c>
      <c r="K27" t="s">
        <v>1395</v>
      </c>
    </row>
  </sheetData>
  <mergeCells count="3">
    <mergeCell ref="A1:B1"/>
    <mergeCell ref="D26:D27"/>
    <mergeCell ref="E26:E27"/>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23A04-A49B-442A-9DAD-EBDDB53CD0DE}">
  <sheetPr>
    <tabColor rgb="FF92D050"/>
  </sheetPr>
  <dimension ref="A1:S4"/>
  <sheetViews>
    <sheetView workbookViewId="0">
      <pane xSplit="2" ySplit="1" topLeftCell="C2" activePane="bottomRight" state="frozen"/>
      <selection activeCell="F19" sqref="F19"/>
      <selection pane="topRight" activeCell="F19" sqref="F19"/>
      <selection pane="bottomLeft" activeCell="F19" sqref="F19"/>
      <selection pane="bottomRight" activeCell="N5" sqref="N5"/>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0" width="12.109375" style="26" customWidth="1"/>
    <col min="11" max="11" width="20.21875" style="26" bestFit="1" customWidth="1"/>
    <col min="12" max="13" width="14.44140625" style="26" customWidth="1"/>
    <col min="14" max="14" width="12.109375" style="26" customWidth="1"/>
    <col min="15" max="17" width="14.44140625" style="26" customWidth="1"/>
    <col min="18" max="18" width="12.33203125" customWidth="1"/>
    <col min="19" max="19" width="17.44140625" customWidth="1"/>
  </cols>
  <sheetData>
    <row r="1" spans="1:19" ht="63.6"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Produits!$B$4</f>
        <v>Grains collectés</v>
      </c>
      <c r="B2" t="str">
        <f>Secteurs!$B$12</f>
        <v>Malterie</v>
      </c>
      <c r="C2">
        <f>'Malterie - ONRB'!H12</f>
        <v>29</v>
      </c>
      <c r="E2" t="str">
        <f>Etiquettes!$C$3</f>
        <v>kt</v>
      </c>
      <c r="F2" s="26" t="str">
        <f>Etiquettes!$H$6</f>
        <v>Blé tendre</v>
      </c>
      <c r="G2" s="26" t="str">
        <f>Etiquettes!$H$5</f>
        <v>2015-16</v>
      </c>
      <c r="H2" t="str">
        <f>Etiquettes!$C$4</f>
        <v>France entière</v>
      </c>
      <c r="I2" t="s">
        <v>1565</v>
      </c>
      <c r="J2" t="s">
        <v>1333</v>
      </c>
      <c r="K2" s="604" t="s">
        <v>1603</v>
      </c>
      <c r="L2" s="10" t="str" cm="1">
        <f t="array" aca="1" ref="L2" ca="1">[1]!NOM_FEUILLE('Malterie - ONRB'!$A$1:$B$1)</f>
        <v>Malterie - ONRB</v>
      </c>
      <c r="M2" s="10" t="str">
        <f>Etiquettes!$H$11</f>
        <v>Volume</v>
      </c>
      <c r="N2" t="str">
        <f>_xlfn.CONCAT(I2,IF(ISBLANK(C2),"",_xlfn.CONCAT(" = ",MROUND(C2,1)," ",E2))," (",K2,")")</f>
        <v>Consommation de grains par la Malterie = 29 kt (ONRB - FranceAgriMer)</v>
      </c>
      <c r="O2" s="26" t="str">
        <f>Etiquettes!$K$15</f>
        <v>Approximative</v>
      </c>
      <c r="P2" s="603" t="str">
        <f>Etiquettes!$H$16</f>
        <v>Données collectées</v>
      </c>
      <c r="Q2" s="603" t="str">
        <f>Etiquettes!$H$17</f>
        <v>Donnée collectée (valeur du flux ou coefficient)</v>
      </c>
    </row>
    <row r="3" spans="1:19">
      <c r="A3" t="str">
        <f>Produits!$B$4</f>
        <v>Grains collectés</v>
      </c>
      <c r="B3" t="str">
        <f>Secteurs!$B$12</f>
        <v>Malterie</v>
      </c>
      <c r="C3" s="459">
        <f>'Malterie - ONRB'!T34/10^3</f>
        <v>17.969000000000001</v>
      </c>
      <c r="E3" t="str">
        <f>Etiquettes!$C$3</f>
        <v>kt</v>
      </c>
      <c r="F3" s="26" t="str">
        <f>Etiquettes!$H$6</f>
        <v>Blé tendre</v>
      </c>
      <c r="G3" s="26" t="str">
        <f>Etiquettes!$I$5</f>
        <v>2019-20</v>
      </c>
      <c r="H3" t="str">
        <f>Etiquettes!$C$4</f>
        <v>France entière</v>
      </c>
      <c r="I3" t="s">
        <v>1565</v>
      </c>
      <c r="J3"/>
      <c r="K3" s="604" t="s">
        <v>1603</v>
      </c>
      <c r="L3" s="10" t="str" cm="1">
        <f t="array" aca="1" ref="L3" ca="1">[1]!NOM_FEUILLE('Malterie - ONRB'!$A$1:$B$1)</f>
        <v>Malterie - ONRB</v>
      </c>
      <c r="M3" s="10" t="str">
        <f>Etiquettes!$H$11</f>
        <v>Volume</v>
      </c>
      <c r="N3" t="str">
        <f t="shared" ref="N3" si="0">_xlfn.CONCAT(I3,IF(ISBLANK(C3),"",_xlfn.CONCAT(" = ",MROUND(C3,1)," ",E3))," (",K3,")")</f>
        <v>Consommation de grains par la Malterie = 18 kt (ONRB - FranceAgriMer)</v>
      </c>
      <c r="O3" s="26" t="str">
        <f>Etiquettes!$K$15</f>
        <v>Approximative</v>
      </c>
      <c r="P3" s="603" t="str">
        <f>Etiquettes!$H$16</f>
        <v>Données collectées</v>
      </c>
      <c r="Q3" s="603" t="str">
        <f>Etiquettes!$H$17</f>
        <v>Donnée collectée (valeur du flux ou coefficient)</v>
      </c>
    </row>
    <row r="4" spans="1:19">
      <c r="A4" t="str">
        <f>Produits!$B$4</f>
        <v>Grains collectés</v>
      </c>
      <c r="B4" t="str">
        <f>Secteurs!$B$12</f>
        <v>Malterie</v>
      </c>
      <c r="C4" s="459">
        <f>'Malterie - ONRB'!C52/10^3</f>
        <v>23.437999999999999</v>
      </c>
      <c r="E4" t="str">
        <f>Etiquettes!$C$3</f>
        <v>kt</v>
      </c>
      <c r="F4" s="26" t="str">
        <f>Etiquettes!$H$6</f>
        <v>Blé tendre</v>
      </c>
      <c r="G4" s="26" t="str">
        <f>Etiquettes!$J$5</f>
        <v>2023-24</v>
      </c>
      <c r="H4" t="str">
        <f>Etiquettes!$C$4</f>
        <v>France entière</v>
      </c>
      <c r="I4" t="s">
        <v>1565</v>
      </c>
      <c r="J4" t="s">
        <v>1692</v>
      </c>
      <c r="K4" s="604" t="s">
        <v>1603</v>
      </c>
      <c r="L4" s="10" t="str" cm="1">
        <f t="array" aca="1" ref="L4" ca="1">[1]!NOM_FEUILLE('Malterie - ONRB'!$A$1:$B$1)</f>
        <v>Malterie - ONRB</v>
      </c>
      <c r="M4" s="10" t="str">
        <f>Etiquettes!$H$11</f>
        <v>Volume</v>
      </c>
      <c r="N4" t="str">
        <f>_xlfn.CONCAT(I4,IF(ISBLANK(C4),"",_xlfn.CONCAT(" = ",MROUND(C4,1)," ",E4))," (",K4,")")</f>
        <v>Consommation de grains par la Malterie = 23 kt (ONRB - FranceAgriMer)</v>
      </c>
      <c r="O4" s="26" t="str">
        <f>Etiquettes!$K$15</f>
        <v>Approximative</v>
      </c>
      <c r="P4" s="603" t="str">
        <f>Etiquettes!$H$16</f>
        <v>Données collectées</v>
      </c>
      <c r="Q4" s="603" t="str">
        <f>Etiquettes!$H$17</f>
        <v>Donnée collectée (valeur du flux ou coefficient)</v>
      </c>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88AF-029C-479A-8CE5-E44ADE9A6012}">
  <sheetPr>
    <tabColor rgb="FF92D050"/>
  </sheetPr>
  <dimension ref="A1:U39"/>
  <sheetViews>
    <sheetView workbookViewId="0">
      <pane xSplit="3" ySplit="1" topLeftCell="D2" activePane="bottomRight" state="frozen"/>
      <selection pane="topRight" activeCell="D1" sqref="D1"/>
      <selection pane="bottomLeft" activeCell="A2" sqref="A2"/>
      <selection pane="bottomRight" activeCell="C39" sqref="C39"/>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5" width="12.109375" style="10" customWidth="1"/>
    <col min="16" max="16" width="18.77734375" style="10" customWidth="1"/>
    <col min="17" max="17" width="12.109375" style="10" customWidth="1"/>
    <col min="18" max="19" width="14.44140625" style="26" customWidth="1"/>
    <col min="20" max="20" width="11.6640625" bestFit="1" customWidth="1"/>
    <col min="21" max="21" width="13.109375" customWidth="1"/>
  </cols>
  <sheetData>
    <row r="1" spans="1:21" ht="63.6"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'!A9+1</f>
        <v>85</v>
      </c>
      <c r="B2" t="str">
        <f>Produits!$B$4</f>
        <v>Grains collectés</v>
      </c>
      <c r="C2" t="str">
        <f>Secteurs!$B$12</f>
        <v>Malterie</v>
      </c>
      <c r="D2" s="462">
        <f>1/'Malterie - ONRB'!V34</f>
        <v>0.78740157480314954</v>
      </c>
      <c r="G2" s="10" t="str">
        <f>Etiquettes!$C$3</f>
        <v>kt</v>
      </c>
      <c r="H2" s="10" t="s">
        <v>1340</v>
      </c>
      <c r="I2" s="10" t="str">
        <f>Etiquettes!$C$5</f>
        <v>2015-16:2019-20:2023-24</v>
      </c>
      <c r="J2" s="10" t="str">
        <f>Etiquettes!$C$4</f>
        <v>France entière</v>
      </c>
      <c r="U2" s="692" t="s">
        <v>1339</v>
      </c>
    </row>
    <row r="3" spans="1:21">
      <c r="A3" s="10">
        <f>'Contraintes          '!A10+1</f>
        <v>85</v>
      </c>
      <c r="B3" t="str">
        <f>Produits!$B$50</f>
        <v>Stock initial</v>
      </c>
      <c r="C3" t="str">
        <f>Secteurs!$B$12</f>
        <v>Malterie</v>
      </c>
      <c r="D3" s="462">
        <f>1/'Malterie - ONRB'!V34</f>
        <v>0.78740157480314954</v>
      </c>
      <c r="G3" s="10" t="str">
        <f>Etiquettes!$C$3</f>
        <v>kt</v>
      </c>
      <c r="H3" s="10" t="s">
        <v>1340</v>
      </c>
      <c r="I3" s="10" t="str">
        <f>Etiquettes!$C$5</f>
        <v>2015-16:2019-20:2023-24</v>
      </c>
      <c r="J3" s="10" t="str">
        <f>Etiquettes!$C$4</f>
        <v>France entière</v>
      </c>
      <c r="U3" s="693"/>
    </row>
    <row r="4" spans="1:21">
      <c r="A4" s="10">
        <f>'Contraintes          '!A9+1</f>
        <v>85</v>
      </c>
      <c r="B4" t="str">
        <f>Secteurs!$B$12</f>
        <v>Malterie</v>
      </c>
      <c r="C4" t="str">
        <f>Produits!$B$51</f>
        <v>Stock final</v>
      </c>
      <c r="D4" s="462">
        <f>-1/'Malterie - ONRB'!V34</f>
        <v>-0.78740157480314954</v>
      </c>
      <c r="G4" s="10" t="str">
        <f>Etiquettes!$C$3</f>
        <v>kt</v>
      </c>
      <c r="H4" s="10" t="s">
        <v>1340</v>
      </c>
      <c r="I4" s="10" t="str">
        <f>Etiquettes!$C$5</f>
        <v>2015-16:2019-20:2023-24</v>
      </c>
      <c r="J4" s="10" t="str">
        <f>Etiquettes!$C$4</f>
        <v>France entière</v>
      </c>
      <c r="U4" s="693"/>
    </row>
    <row r="5" spans="1:21">
      <c r="A5" s="10">
        <f>'Contraintes          '!A10+1</f>
        <v>85</v>
      </c>
      <c r="B5" t="str">
        <f>Secteurs!$B$12</f>
        <v>Malterie</v>
      </c>
      <c r="C5" t="str">
        <f>Produits!$B$29</f>
        <v>Malt</v>
      </c>
      <c r="D5">
        <v>-1</v>
      </c>
      <c r="G5" s="10" t="str">
        <f>Etiquettes!$C$3</f>
        <v>kt</v>
      </c>
      <c r="H5" s="10" t="s">
        <v>1340</v>
      </c>
      <c r="I5" s="10" t="str">
        <f>Etiquettes!$C$5</f>
        <v>2015-16:2019-20:2023-24</v>
      </c>
      <c r="J5" s="10" t="str">
        <f>Etiquettes!$C$4</f>
        <v>France entière</v>
      </c>
      <c r="K5" s="604" t="s">
        <v>1650</v>
      </c>
      <c r="L5" s="604"/>
      <c r="M5" s="604" t="s">
        <v>1603</v>
      </c>
      <c r="N5" s="604" t="str" cm="1">
        <f t="array" aca="1" ref="N5" ca="1">[1]!NOM_FEUILLE('Malterie - ONRB'!$A$1:$B$1)</f>
        <v>Malterie - ONRB</v>
      </c>
      <c r="O5" s="10" t="str">
        <f>Etiquettes!$I$11</f>
        <v>Rendement</v>
      </c>
      <c r="P5" t="str">
        <f>_xlfn.CONCAT(K5," = ",MROUND(D2*100,0.01)," % (",M5,")")</f>
        <v>Rendement en malt de la Malterie = 78,74 % (ONRB - FranceAgriMer)</v>
      </c>
      <c r="Q5" s="10" t="str">
        <f>Etiquettes!$K$15</f>
        <v>Approximative</v>
      </c>
      <c r="R5" s="642" t="s">
        <v>1813</v>
      </c>
      <c r="S5" s="603" t="str">
        <f>Etiquettes!$H$17</f>
        <v>Donnée collectée (valeur du flux ou coefficient)</v>
      </c>
      <c r="U5" s="693"/>
    </row>
    <row r="6" spans="1:21">
      <c r="A6" s="10">
        <f>A2+1</f>
        <v>86</v>
      </c>
      <c r="B6" t="str">
        <f>Produits!$B$4</f>
        <v>Grains collectés</v>
      </c>
      <c r="C6" t="str">
        <f>Secteurs!$B$12</f>
        <v>Malterie</v>
      </c>
      <c r="D6" s="462">
        <f>'Malterie - ONRB'!K34</f>
        <v>2.7900000000000001E-2</v>
      </c>
      <c r="G6" s="10" t="str">
        <f>Etiquettes!$C$3</f>
        <v>kt</v>
      </c>
      <c r="H6" s="10" t="str">
        <f>Etiquettes!$J$6</f>
        <v>Orge</v>
      </c>
      <c r="I6" s="10" t="str">
        <f>Etiquettes!$C$5</f>
        <v>2015-16:2019-20:2023-24</v>
      </c>
      <c r="J6" s="10" t="str">
        <f>Etiquettes!$C$4</f>
        <v>France entière</v>
      </c>
      <c r="K6" s="604"/>
      <c r="L6" s="604"/>
      <c r="M6" s="604"/>
      <c r="N6" s="604"/>
      <c r="U6" s="693"/>
    </row>
    <row r="7" spans="1:21">
      <c r="A7" s="10">
        <f t="shared" ref="A7:A8" si="0">A3+1</f>
        <v>86</v>
      </c>
      <c r="B7" t="str">
        <f>Produits!$B$50</f>
        <v>Stock initial</v>
      </c>
      <c r="C7" t="str">
        <f>Secteurs!$B$12</f>
        <v>Malterie</v>
      </c>
      <c r="D7" s="462">
        <f>'Malterie - ONRB'!K34</f>
        <v>2.7900000000000001E-2</v>
      </c>
      <c r="G7" s="10" t="str">
        <f>Etiquettes!$C$3</f>
        <v>kt</v>
      </c>
      <c r="H7" s="10" t="str">
        <f>Etiquettes!$J$6</f>
        <v>Orge</v>
      </c>
      <c r="I7" s="10" t="str">
        <f>Etiquettes!$C$5</f>
        <v>2015-16:2019-20:2023-24</v>
      </c>
      <c r="J7" s="10" t="str">
        <f>Etiquettes!$C$4</f>
        <v>France entière</v>
      </c>
      <c r="K7" s="604"/>
      <c r="L7" s="604"/>
      <c r="M7" s="604"/>
      <c r="N7" s="604"/>
      <c r="U7" s="693"/>
    </row>
    <row r="8" spans="1:21">
      <c r="A8" s="10">
        <f t="shared" si="0"/>
        <v>86</v>
      </c>
      <c r="B8" t="str">
        <f>Secteurs!$B$12</f>
        <v>Malterie</v>
      </c>
      <c r="C8" t="str">
        <f>Produits!$B$51</f>
        <v>Stock final</v>
      </c>
      <c r="D8" s="462">
        <f>-'Malterie - ONRB'!K34</f>
        <v>-2.7900000000000001E-2</v>
      </c>
      <c r="G8" s="10" t="str">
        <f>Etiquettes!$C$3</f>
        <v>kt</v>
      </c>
      <c r="H8" s="10" t="str">
        <f>Etiquettes!$J$6</f>
        <v>Orge</v>
      </c>
      <c r="I8" s="10" t="str">
        <f>Etiquettes!$C$5</f>
        <v>2015-16:2019-20:2023-24</v>
      </c>
      <c r="J8" s="10" t="str">
        <f>Etiquettes!$C$4</f>
        <v>France entière</v>
      </c>
      <c r="K8" s="604"/>
      <c r="L8" s="604"/>
      <c r="M8" s="604"/>
      <c r="N8" s="604"/>
      <c r="U8" s="693"/>
    </row>
    <row r="9" spans="1:21">
      <c r="A9" s="10">
        <f>A5+1</f>
        <v>86</v>
      </c>
      <c r="B9" t="str">
        <f>Secteurs!$B$12</f>
        <v>Malterie</v>
      </c>
      <c r="C9" t="str">
        <f>Produits!$B$30</f>
        <v>Radicelles</v>
      </c>
      <c r="D9">
        <v>-1</v>
      </c>
      <c r="G9" s="10" t="str">
        <f>Etiquettes!$C$3</f>
        <v>kt</v>
      </c>
      <c r="H9" s="10" t="str">
        <f>Etiquettes!$J$6</f>
        <v>Orge</v>
      </c>
      <c r="I9" s="10" t="str">
        <f>Etiquettes!$C$5</f>
        <v>2015-16:2019-20:2023-24</v>
      </c>
      <c r="J9" s="10" t="str">
        <f>Etiquettes!$C$4</f>
        <v>France entière</v>
      </c>
      <c r="K9" s="604" t="s">
        <v>1651</v>
      </c>
      <c r="L9" s="604"/>
      <c r="M9" s="604" t="s">
        <v>1603</v>
      </c>
      <c r="N9" s="604" t="str" cm="1">
        <f t="array" aca="1" ref="N9" ca="1">[1]!NOM_FEUILLE('Malterie - ONRB'!$A$1:$B$1)</f>
        <v>Malterie - ONRB</v>
      </c>
      <c r="O9" s="10" t="str">
        <f>Etiquettes!$I$11</f>
        <v>Rendement</v>
      </c>
      <c r="P9" t="str">
        <f t="shared" ref="P9" si="1">_xlfn.CONCAT(K9," = ",MROUND(D6*100,0.01)," % (",M9,")")</f>
        <v>Rendement en radicelles de la Malterie = 2,79 % (ONRB - FranceAgriMer)</v>
      </c>
      <c r="Q9" s="10" t="str">
        <f>Etiquettes!$K$15</f>
        <v>Approximative</v>
      </c>
      <c r="R9" s="642" t="s">
        <v>1813</v>
      </c>
      <c r="S9" s="603" t="str">
        <f>Etiquettes!$H$17</f>
        <v>Donnée collectée (valeur du flux ou coefficient)</v>
      </c>
      <c r="U9" s="693"/>
    </row>
    <row r="10" spans="1:21">
      <c r="A10" s="10">
        <f>A6+1</f>
        <v>87</v>
      </c>
      <c r="B10" t="str">
        <f>Produits!$B$4</f>
        <v>Grains collectés</v>
      </c>
      <c r="C10" t="str">
        <f>Secteurs!$B$12</f>
        <v>Malterie</v>
      </c>
      <c r="D10" s="462">
        <f>'Malterie - ONRB'!H34</f>
        <v>3.8999999999999998E-3</v>
      </c>
      <c r="G10" s="10" t="str">
        <f>Etiquettes!$C$3</f>
        <v>kt</v>
      </c>
      <c r="H10" s="10" t="str">
        <f>Etiquettes!$J$6</f>
        <v>Orge</v>
      </c>
      <c r="I10" s="10" t="str">
        <f>Etiquettes!$C$5</f>
        <v>2015-16:2019-20:2023-24</v>
      </c>
      <c r="J10" s="10" t="str">
        <f>Etiquettes!$C$4</f>
        <v>France entière</v>
      </c>
      <c r="K10" s="604"/>
      <c r="L10" s="604"/>
      <c r="M10" s="604"/>
      <c r="N10" s="604"/>
      <c r="U10" s="693"/>
    </row>
    <row r="11" spans="1:21">
      <c r="A11" s="10">
        <f t="shared" ref="A11:A12" si="2">A7+1</f>
        <v>87</v>
      </c>
      <c r="B11" t="str">
        <f>Produits!$B$50</f>
        <v>Stock initial</v>
      </c>
      <c r="C11" t="str">
        <f>Secteurs!$B$12</f>
        <v>Malterie</v>
      </c>
      <c r="D11" s="462">
        <f>'Malterie - ONRB'!H34</f>
        <v>3.8999999999999998E-3</v>
      </c>
      <c r="G11" s="10" t="str">
        <f>Etiquettes!$C$3</f>
        <v>kt</v>
      </c>
      <c r="H11" s="10" t="str">
        <f>Etiquettes!$J$6</f>
        <v>Orge</v>
      </c>
      <c r="I11" s="10" t="str">
        <f>Etiquettes!$C$5</f>
        <v>2015-16:2019-20:2023-24</v>
      </c>
      <c r="J11" s="10" t="str">
        <f>Etiquettes!$C$4</f>
        <v>France entière</v>
      </c>
      <c r="K11" s="604"/>
      <c r="L11" s="604"/>
      <c r="M11" s="604"/>
      <c r="N11" s="604"/>
      <c r="U11" s="693"/>
    </row>
    <row r="12" spans="1:21">
      <c r="A12" s="10">
        <f t="shared" si="2"/>
        <v>87</v>
      </c>
      <c r="B12" t="str">
        <f>Secteurs!$B$12</f>
        <v>Malterie</v>
      </c>
      <c r="C12" t="str">
        <f>Produits!$B$51</f>
        <v>Stock final</v>
      </c>
      <c r="D12" s="462">
        <f>-'Malterie - ONRB'!H34</f>
        <v>-3.8999999999999998E-3</v>
      </c>
      <c r="G12" s="10" t="str">
        <f>Etiquettes!$C$3</f>
        <v>kt</v>
      </c>
      <c r="H12" s="10" t="str">
        <f>Etiquettes!$J$6</f>
        <v>Orge</v>
      </c>
      <c r="I12" s="10" t="str">
        <f>Etiquettes!$C$5</f>
        <v>2015-16:2019-20:2023-24</v>
      </c>
      <c r="J12" s="10" t="str">
        <f>Etiquettes!$C$4</f>
        <v>France entière</v>
      </c>
      <c r="K12" s="604"/>
      <c r="L12" s="604"/>
      <c r="M12" s="604"/>
      <c r="N12" s="604"/>
      <c r="U12" s="693"/>
    </row>
    <row r="13" spans="1:21">
      <c r="A13" s="10">
        <f>A9+1</f>
        <v>87</v>
      </c>
      <c r="B13" t="str">
        <f>Secteurs!$B$12</f>
        <v>Malterie</v>
      </c>
      <c r="C13" t="str">
        <f>Produits!$B$31</f>
        <v>Orgettes</v>
      </c>
      <c r="D13">
        <v>-1</v>
      </c>
      <c r="G13" s="10" t="str">
        <f>Etiquettes!$C$3</f>
        <v>kt</v>
      </c>
      <c r="H13" s="10" t="str">
        <f>Etiquettes!$J$6</f>
        <v>Orge</v>
      </c>
      <c r="I13" s="10" t="str">
        <f>Etiquettes!$C$5</f>
        <v>2015-16:2019-20:2023-24</v>
      </c>
      <c r="J13" s="10" t="str">
        <f>Etiquettes!$C$4</f>
        <v>France entière</v>
      </c>
      <c r="K13" s="604" t="s">
        <v>1652</v>
      </c>
      <c r="L13" s="604"/>
      <c r="M13" s="604" t="s">
        <v>1603</v>
      </c>
      <c r="N13" s="604" t="str" cm="1">
        <f t="array" aca="1" ref="N13" ca="1">[1]!NOM_FEUILLE('Malterie - ONRB'!$A$1:$B$1)</f>
        <v>Malterie - ONRB</v>
      </c>
      <c r="O13" s="10" t="str">
        <f>Etiquettes!$I$11</f>
        <v>Rendement</v>
      </c>
      <c r="P13" t="str">
        <f t="shared" ref="P13" si="3">_xlfn.CONCAT(K13," = ",MROUND(D10*100,0.01)," % (",M13,")")</f>
        <v>Rendement en orgettes de la Malterie = 0,39 % (ONRB - FranceAgriMer)</v>
      </c>
      <c r="Q13" s="10" t="str">
        <f>Etiquettes!$K$15</f>
        <v>Approximative</v>
      </c>
      <c r="R13" s="642" t="s">
        <v>1813</v>
      </c>
      <c r="S13" s="603" t="str">
        <f>Etiquettes!$H$17</f>
        <v>Donnée collectée (valeur du flux ou coefficient)</v>
      </c>
      <c r="U13" s="693"/>
    </row>
    <row r="14" spans="1:21">
      <c r="A14" s="10">
        <f>A10+1</f>
        <v>88</v>
      </c>
      <c r="B14" t="str">
        <f>Produits!$B$4</f>
        <v>Grains collectés</v>
      </c>
      <c r="C14" t="str">
        <f>Secteurs!$B$12</f>
        <v>Malterie</v>
      </c>
      <c r="D14" s="29">
        <f>1-D2-D6-D10</f>
        <v>0.18079842519685047</v>
      </c>
      <c r="G14" s="10" t="str">
        <f>Etiquettes!$C$3</f>
        <v>kt</v>
      </c>
      <c r="H14" s="10" t="str">
        <f>Etiquettes!$J$6</f>
        <v>Orge</v>
      </c>
      <c r="I14" s="10" t="str">
        <f>Etiquettes!$C$5</f>
        <v>2015-16:2019-20:2023-24</v>
      </c>
      <c r="J14" s="10" t="str">
        <f>Etiquettes!$C$4</f>
        <v>France entière</v>
      </c>
      <c r="K14" s="604"/>
      <c r="L14" s="604"/>
      <c r="M14" s="604"/>
      <c r="N14" s="604"/>
      <c r="U14" s="693"/>
    </row>
    <row r="15" spans="1:21">
      <c r="A15" s="10">
        <f t="shared" ref="A15:A16" si="4">A11+1</f>
        <v>88</v>
      </c>
      <c r="B15" t="str">
        <f>Produits!$B$50</f>
        <v>Stock initial</v>
      </c>
      <c r="C15" t="str">
        <f>Secteurs!$B$12</f>
        <v>Malterie</v>
      </c>
      <c r="D15" s="462">
        <f>1-D2-D6-D10</f>
        <v>0.18079842519685047</v>
      </c>
      <c r="G15" s="10" t="str">
        <f>Etiquettes!$C$3</f>
        <v>kt</v>
      </c>
      <c r="H15" s="10" t="str">
        <f>Etiquettes!$J$6</f>
        <v>Orge</v>
      </c>
      <c r="I15" s="10" t="str">
        <f>Etiquettes!$C$5</f>
        <v>2015-16:2019-20:2023-24</v>
      </c>
      <c r="J15" s="10" t="str">
        <f>Etiquettes!$C$4</f>
        <v>France entière</v>
      </c>
      <c r="K15" s="604"/>
      <c r="L15" s="604"/>
      <c r="M15" s="604"/>
      <c r="N15" s="604"/>
      <c r="U15" s="693"/>
    </row>
    <row r="16" spans="1:21">
      <c r="A16" s="10">
        <f t="shared" si="4"/>
        <v>88</v>
      </c>
      <c r="B16" t="str">
        <f>Secteurs!$B$12</f>
        <v>Malterie</v>
      </c>
      <c r="C16" t="str">
        <f>Produits!$B$51</f>
        <v>Stock final</v>
      </c>
      <c r="D16" s="462">
        <f>-(1-D2-D6-D10)</f>
        <v>-0.18079842519685047</v>
      </c>
      <c r="G16" s="10" t="str">
        <f>Etiquettes!$C$3</f>
        <v>kt</v>
      </c>
      <c r="H16" s="10" t="str">
        <f>Etiquettes!$J$6</f>
        <v>Orge</v>
      </c>
      <c r="I16" s="10" t="str">
        <f>Etiquettes!$C$5</f>
        <v>2015-16:2019-20:2023-24</v>
      </c>
      <c r="J16" s="10" t="str">
        <f>Etiquettes!$C$4</f>
        <v>France entière</v>
      </c>
      <c r="K16" s="604"/>
      <c r="L16" s="604"/>
      <c r="M16" s="604"/>
      <c r="N16" s="604"/>
      <c r="U16" s="693"/>
    </row>
    <row r="17" spans="1:21">
      <c r="A17" s="10">
        <f>A13+1</f>
        <v>88</v>
      </c>
      <c r="B17" t="str">
        <f>Secteurs!$B$12</f>
        <v>Malterie</v>
      </c>
      <c r="C17" t="str">
        <f>Produits!$B$34</f>
        <v>Autres résidus</v>
      </c>
      <c r="D17">
        <v>-1</v>
      </c>
      <c r="G17" s="10" t="str">
        <f>Etiquettes!$C$3</f>
        <v>kt</v>
      </c>
      <c r="H17" s="10" t="str">
        <f>Etiquettes!$J$6</f>
        <v>Orge</v>
      </c>
      <c r="I17" s="10" t="str">
        <f>Etiquettes!$C$5</f>
        <v>2015-16:2019-20:2023-24</v>
      </c>
      <c r="J17" s="10" t="str">
        <f>Etiquettes!$C$4</f>
        <v>France entière</v>
      </c>
      <c r="K17" s="604" t="s">
        <v>1656</v>
      </c>
      <c r="L17" s="604"/>
      <c r="M17" s="604" t="s">
        <v>1603</v>
      </c>
      <c r="N17" s="604" t="str" cm="1">
        <f t="array" aca="1" ref="N17" ca="1">[1]!NOM_FEUILLE('Malterie - ONRB'!$A$1:$B$1)</f>
        <v>Malterie - ONRB</v>
      </c>
      <c r="O17" s="10" t="str">
        <f>Etiquettes!$I$11</f>
        <v>Rendement</v>
      </c>
      <c r="P17" t="str">
        <f t="shared" ref="P17" si="5">_xlfn.CONCAT(K17," = ",MROUND(D14*100,0.01)," % (",M17,")")</f>
        <v>Rendement en autres résidus d'orge de la Malterie = 18,08 % (ONRB - FranceAgriMer)</v>
      </c>
      <c r="Q17" s="10" t="str">
        <f>Etiquettes!$K$15</f>
        <v>Approximative</v>
      </c>
      <c r="R17" s="642" t="s">
        <v>1813</v>
      </c>
      <c r="S17" s="603" t="str">
        <f>Etiquettes!$H$17</f>
        <v>Donnée collectée (valeur du flux ou coefficient)</v>
      </c>
      <c r="U17" s="693"/>
    </row>
    <row r="18" spans="1:21">
      <c r="A18" s="10">
        <f>A14+1</f>
        <v>89</v>
      </c>
      <c r="B18" t="str">
        <f>Produits!$B$4</f>
        <v>Grains collectés</v>
      </c>
      <c r="C18" t="str">
        <f>Secteurs!$B$12</f>
        <v>Malterie</v>
      </c>
      <c r="D18" s="462">
        <f>(1-D2)*'Malterie - ONRB'!N34</f>
        <v>0.16578425196850399</v>
      </c>
      <c r="G18" s="10" t="str">
        <f>Etiquettes!$C$3</f>
        <v>kt</v>
      </c>
      <c r="H18" s="10" t="str">
        <f>Etiquettes!$H$6</f>
        <v>Blé tendre</v>
      </c>
      <c r="I18" s="10" t="str">
        <f>Etiquettes!$C$5</f>
        <v>2015-16:2019-20:2023-24</v>
      </c>
      <c r="J18" s="10" t="str">
        <f>Etiquettes!$C$4</f>
        <v>France entière</v>
      </c>
      <c r="K18" s="604"/>
      <c r="L18" s="604"/>
      <c r="M18" s="604"/>
      <c r="N18" s="604"/>
      <c r="T18" s="693" t="s">
        <v>1341</v>
      </c>
      <c r="U18" s="693"/>
    </row>
    <row r="19" spans="1:21">
      <c r="A19" s="10">
        <f t="shared" ref="A19:A20" si="6">A15+1</f>
        <v>89</v>
      </c>
      <c r="B19" t="str">
        <f>Produits!$B$50</f>
        <v>Stock initial</v>
      </c>
      <c r="C19" t="str">
        <f>Secteurs!$B$12</f>
        <v>Malterie</v>
      </c>
      <c r="D19" s="462">
        <f>(1-D2)*'Malterie - ONRB'!N34</f>
        <v>0.16578425196850399</v>
      </c>
      <c r="G19" s="10" t="str">
        <f>Etiquettes!$C$3</f>
        <v>kt</v>
      </c>
      <c r="H19" s="10" t="str">
        <f>Etiquettes!$H$6</f>
        <v>Blé tendre</v>
      </c>
      <c r="I19" s="10" t="str">
        <f>Etiquettes!$C$5</f>
        <v>2015-16:2019-20:2023-24</v>
      </c>
      <c r="J19" s="10" t="str">
        <f>Etiquettes!$C$4</f>
        <v>France entière</v>
      </c>
      <c r="K19" s="604"/>
      <c r="L19" s="604"/>
      <c r="M19" s="604"/>
      <c r="N19" s="604"/>
      <c r="T19" s="693"/>
      <c r="U19" s="693"/>
    </row>
    <row r="20" spans="1:21">
      <c r="A20" s="10">
        <f t="shared" si="6"/>
        <v>89</v>
      </c>
      <c r="B20" t="str">
        <f>Secteurs!$B$12</f>
        <v>Malterie</v>
      </c>
      <c r="C20" t="str">
        <f>Produits!$B$51</f>
        <v>Stock final</v>
      </c>
      <c r="D20" s="462">
        <f>-(1-D2)*'Malterie - ONRB'!N34</f>
        <v>-0.16578425196850399</v>
      </c>
      <c r="G20" s="10" t="str">
        <f>Etiquettes!$C$3</f>
        <v>kt</v>
      </c>
      <c r="H20" s="10" t="str">
        <f>Etiquettes!$H$6</f>
        <v>Blé tendre</v>
      </c>
      <c r="I20" s="10" t="str">
        <f>Etiquettes!$C$5</f>
        <v>2015-16:2019-20:2023-24</v>
      </c>
      <c r="J20" s="10" t="str">
        <f>Etiquettes!$C$4</f>
        <v>France entière</v>
      </c>
      <c r="K20" s="604"/>
      <c r="L20" s="604"/>
      <c r="M20" s="604"/>
      <c r="N20" s="604"/>
      <c r="T20" s="693"/>
      <c r="U20" s="693"/>
    </row>
    <row r="21" spans="1:21">
      <c r="A21" s="10">
        <f>A17+1</f>
        <v>89</v>
      </c>
      <c r="B21" t="str">
        <f>Secteurs!$B$12</f>
        <v>Malterie</v>
      </c>
      <c r="C21" t="str">
        <f>Produits!$B$32</f>
        <v>Particules d'enveloppes</v>
      </c>
      <c r="D21">
        <v>-1</v>
      </c>
      <c r="G21" s="10" t="str">
        <f>Etiquettes!$C$3</f>
        <v>kt</v>
      </c>
      <c r="H21" s="10" t="str">
        <f>Etiquettes!$H$6</f>
        <v>Blé tendre</v>
      </c>
      <c r="I21" s="10" t="str">
        <f>Etiquettes!$C$5</f>
        <v>2015-16:2019-20:2023-24</v>
      </c>
      <c r="J21" s="10" t="str">
        <f>Etiquettes!$C$4</f>
        <v>France entière</v>
      </c>
      <c r="K21" s="604" t="s">
        <v>1653</v>
      </c>
      <c r="L21" s="604"/>
      <c r="M21" s="604" t="s">
        <v>1603</v>
      </c>
      <c r="N21" s="604" t="str" cm="1">
        <f t="array" aca="1" ref="N21" ca="1">[1]!NOM_FEUILLE('Malterie - ONRB'!$A$1:$B$1)</f>
        <v>Malterie - ONRB</v>
      </c>
      <c r="O21" s="10" t="str">
        <f>Etiquettes!$I$11</f>
        <v>Rendement</v>
      </c>
      <c r="P21" t="str">
        <f t="shared" ref="P21" si="7">_xlfn.CONCAT(K21," = ",MROUND(D18*100,0.01)," % (",M21,")")</f>
        <v>Rendement en particules d'enveloppes de la Malterie = 16,58 % (ONRB - FranceAgriMer)</v>
      </c>
      <c r="Q21" s="10" t="str">
        <f>Etiquettes!$K$15</f>
        <v>Approximative</v>
      </c>
      <c r="R21" s="642" t="s">
        <v>1813</v>
      </c>
      <c r="S21" s="603" t="str">
        <f>Etiquettes!$H$17</f>
        <v>Donnée collectée (valeur du flux ou coefficient)</v>
      </c>
      <c r="T21" s="693"/>
      <c r="U21" s="693"/>
    </row>
    <row r="22" spans="1:21">
      <c r="A22" s="10">
        <f>A18+1</f>
        <v>90</v>
      </c>
      <c r="B22" t="str">
        <f>Produits!$B$4</f>
        <v>Grains collectés</v>
      </c>
      <c r="C22" t="str">
        <f>Secteurs!$B$12</f>
        <v>Malterie</v>
      </c>
      <c r="D22" s="462">
        <f>'Malterie - ONRB'!Q34</f>
        <v>8.8000000000000005E-3</v>
      </c>
      <c r="G22" s="10" t="str">
        <f>Etiquettes!$C$3</f>
        <v>kt</v>
      </c>
      <c r="H22" s="10" t="str">
        <f>Etiquettes!$H$6</f>
        <v>Blé tendre</v>
      </c>
      <c r="I22" s="10" t="str">
        <f>Etiquettes!$C$5</f>
        <v>2015-16:2019-20:2023-24</v>
      </c>
      <c r="J22" s="10" t="str">
        <f>Etiquettes!$C$4</f>
        <v>France entière</v>
      </c>
      <c r="K22" s="604"/>
      <c r="L22" s="604"/>
      <c r="M22" s="604"/>
      <c r="N22" s="604"/>
      <c r="U22" s="693"/>
    </row>
    <row r="23" spans="1:21">
      <c r="A23" s="10">
        <f t="shared" ref="A23:A24" si="8">A19+1</f>
        <v>90</v>
      </c>
      <c r="B23" t="str">
        <f>Produits!$B$50</f>
        <v>Stock initial</v>
      </c>
      <c r="C23" t="str">
        <f>Secteurs!$B$12</f>
        <v>Malterie</v>
      </c>
      <c r="D23" s="462">
        <f>'Malterie - ONRB'!Q34</f>
        <v>8.8000000000000005E-3</v>
      </c>
      <c r="G23" s="10" t="str">
        <f>Etiquettes!$C$3</f>
        <v>kt</v>
      </c>
      <c r="H23" s="10" t="str">
        <f>Etiquettes!$H$6</f>
        <v>Blé tendre</v>
      </c>
      <c r="I23" s="10" t="str">
        <f>Etiquettes!$C$5</f>
        <v>2015-16:2019-20:2023-24</v>
      </c>
      <c r="J23" s="10" t="str">
        <f>Etiquettes!$C$4</f>
        <v>France entière</v>
      </c>
      <c r="K23" s="604"/>
      <c r="L23" s="604"/>
      <c r="M23" s="604"/>
      <c r="N23" s="604"/>
      <c r="U23" s="693"/>
    </row>
    <row r="24" spans="1:21">
      <c r="A24" s="10">
        <f t="shared" si="8"/>
        <v>90</v>
      </c>
      <c r="B24" t="str">
        <f>Secteurs!$B$12</f>
        <v>Malterie</v>
      </c>
      <c r="C24" t="str">
        <f>Produits!$B$51</f>
        <v>Stock final</v>
      </c>
      <c r="D24" s="462">
        <f>-'Malterie - ONRB'!Q34</f>
        <v>-8.8000000000000005E-3</v>
      </c>
      <c r="G24" s="10" t="str">
        <f>Etiquettes!$C$3</f>
        <v>kt</v>
      </c>
      <c r="H24" s="10" t="str">
        <f>Etiquettes!$H$6</f>
        <v>Blé tendre</v>
      </c>
      <c r="I24" s="10" t="str">
        <f>Etiquettes!$C$5</f>
        <v>2015-16:2019-20:2023-24</v>
      </c>
      <c r="J24" s="10" t="str">
        <f>Etiquettes!$C$4</f>
        <v>France entière</v>
      </c>
      <c r="K24" s="604"/>
      <c r="L24" s="604"/>
      <c r="M24" s="604"/>
      <c r="N24" s="604"/>
      <c r="U24" s="693"/>
    </row>
    <row r="25" spans="1:21">
      <c r="A25" s="10">
        <f>A21+1</f>
        <v>90</v>
      </c>
      <c r="B25" t="str">
        <f>Secteurs!$B$12</f>
        <v>Malterie</v>
      </c>
      <c r="C25" t="str">
        <f>Produits!$B$33</f>
        <v>Petits blés</v>
      </c>
      <c r="D25">
        <v>-1</v>
      </c>
      <c r="G25" s="10" t="str">
        <f>Etiquettes!$C$3</f>
        <v>kt</v>
      </c>
      <c r="H25" s="10" t="str">
        <f>Etiquettes!$H$6</f>
        <v>Blé tendre</v>
      </c>
      <c r="I25" s="10" t="str">
        <f>Etiquettes!$C$5</f>
        <v>2015-16:2019-20:2023-24</v>
      </c>
      <c r="J25" s="10" t="str">
        <f>Etiquettes!$C$4</f>
        <v>France entière</v>
      </c>
      <c r="K25" s="604" t="s">
        <v>1654</v>
      </c>
      <c r="L25" s="604"/>
      <c r="M25" s="604" t="s">
        <v>1603</v>
      </c>
      <c r="N25" s="604" t="str" cm="1">
        <f t="array" aca="1" ref="N25" ca="1">[1]!NOM_FEUILLE('Malterie - ONRB'!$A$1:$B$1)</f>
        <v>Malterie - ONRB</v>
      </c>
      <c r="O25" s="10" t="str">
        <f>Etiquettes!$I$11</f>
        <v>Rendement</v>
      </c>
      <c r="P25" t="str">
        <f t="shared" ref="P25" si="9">_xlfn.CONCAT(K25," = ",MROUND(D22*100,0.01)," % (",M25,")")</f>
        <v>Rendement en petits blés de la Malterie = 0,88 % (ONRB - FranceAgriMer)</v>
      </c>
      <c r="Q25" s="10" t="str">
        <f>Etiquettes!$K$15</f>
        <v>Approximative</v>
      </c>
      <c r="R25" s="642" t="s">
        <v>1813</v>
      </c>
      <c r="S25" s="603" t="str">
        <f>Etiquettes!$H$17</f>
        <v>Donnée collectée (valeur du flux ou coefficient)</v>
      </c>
      <c r="U25" s="693"/>
    </row>
    <row r="26" spans="1:21">
      <c r="A26" s="10">
        <f>A22+1</f>
        <v>91</v>
      </c>
      <c r="B26" t="str">
        <f>Produits!$B$4</f>
        <v>Grains collectés</v>
      </c>
      <c r="C26" t="str">
        <f>Secteurs!$B$12</f>
        <v>Malterie</v>
      </c>
      <c r="D26" s="29">
        <f>1-D2-D18-D22</f>
        <v>3.8014173228346465E-2</v>
      </c>
      <c r="G26" s="10" t="str">
        <f>Etiquettes!$C$3</f>
        <v>kt</v>
      </c>
      <c r="H26" s="10" t="str">
        <f>Etiquettes!$H$6</f>
        <v>Blé tendre</v>
      </c>
      <c r="I26" s="10" t="str">
        <f>Etiquettes!$C$5</f>
        <v>2015-16:2019-20:2023-24</v>
      </c>
      <c r="J26" s="10" t="str">
        <f>Etiquettes!$C$4</f>
        <v>France entière</v>
      </c>
      <c r="K26" s="604"/>
      <c r="L26" s="604"/>
      <c r="M26" s="604"/>
      <c r="N26" s="604"/>
      <c r="U26" s="693"/>
    </row>
    <row r="27" spans="1:21">
      <c r="A27" s="10">
        <f t="shared" ref="A27:A28" si="10">A23+1</f>
        <v>91</v>
      </c>
      <c r="B27" t="str">
        <f>Produits!$B$50</f>
        <v>Stock initial</v>
      </c>
      <c r="C27" t="str">
        <f>Secteurs!$B$12</f>
        <v>Malterie</v>
      </c>
      <c r="D27" s="462">
        <f>1-D2-D18-D22</f>
        <v>3.8014173228346465E-2</v>
      </c>
      <c r="G27" s="10" t="str">
        <f>Etiquettes!$C$3</f>
        <v>kt</v>
      </c>
      <c r="H27" s="10" t="str">
        <f>Etiquettes!$H$6</f>
        <v>Blé tendre</v>
      </c>
      <c r="I27" s="10" t="str">
        <f>Etiquettes!$C$5</f>
        <v>2015-16:2019-20:2023-24</v>
      </c>
      <c r="J27" s="10" t="str">
        <f>Etiquettes!$C$4</f>
        <v>France entière</v>
      </c>
      <c r="K27" s="604"/>
      <c r="L27" s="604"/>
      <c r="M27" s="604"/>
      <c r="N27" s="604"/>
      <c r="U27" s="693"/>
    </row>
    <row r="28" spans="1:21">
      <c r="A28" s="10">
        <f t="shared" si="10"/>
        <v>91</v>
      </c>
      <c r="B28" t="str">
        <f>Secteurs!$B$12</f>
        <v>Malterie</v>
      </c>
      <c r="C28" t="str">
        <f>Produits!$B$51</f>
        <v>Stock final</v>
      </c>
      <c r="D28" s="462">
        <f>-(1-D2-D18-D22)</f>
        <v>-3.8014173228346465E-2</v>
      </c>
      <c r="G28" s="10" t="str">
        <f>Etiquettes!$C$3</f>
        <v>kt</v>
      </c>
      <c r="H28" s="10" t="str">
        <f>Etiquettes!$H$6</f>
        <v>Blé tendre</v>
      </c>
      <c r="I28" s="10" t="str">
        <f>Etiquettes!$C$5</f>
        <v>2015-16:2019-20:2023-24</v>
      </c>
      <c r="J28" s="10" t="str">
        <f>Etiquettes!$C$4</f>
        <v>France entière</v>
      </c>
      <c r="K28" s="604"/>
      <c r="L28" s="604"/>
      <c r="M28" s="604"/>
      <c r="N28" s="604"/>
      <c r="U28" s="693"/>
    </row>
    <row r="29" spans="1:21">
      <c r="A29" s="10">
        <f>A25+1</f>
        <v>91</v>
      </c>
      <c r="B29" t="str">
        <f>Secteurs!$B$12</f>
        <v>Malterie</v>
      </c>
      <c r="C29" t="str">
        <f>Produits!$B$34</f>
        <v>Autres résidus</v>
      </c>
      <c r="D29">
        <v>-1</v>
      </c>
      <c r="G29" s="10" t="str">
        <f>Etiquettes!$C$3</f>
        <v>kt</v>
      </c>
      <c r="H29" s="10" t="str">
        <f>Etiquettes!$H$6</f>
        <v>Blé tendre</v>
      </c>
      <c r="I29" s="10" t="str">
        <f>Etiquettes!$C$5</f>
        <v>2015-16:2019-20:2023-24</v>
      </c>
      <c r="J29" s="10" t="str">
        <f>Etiquettes!$C$4</f>
        <v>France entière</v>
      </c>
      <c r="K29" s="604" t="s">
        <v>1655</v>
      </c>
      <c r="L29" s="604"/>
      <c r="M29" s="604" t="s">
        <v>1603</v>
      </c>
      <c r="N29" s="604" t="str" cm="1">
        <f t="array" aca="1" ref="N29" ca="1">[1]!NOM_FEUILLE('Malterie - ONRB'!$A$1:$B$1)</f>
        <v>Malterie - ONRB</v>
      </c>
      <c r="O29" s="10" t="str">
        <f>Etiquettes!$I$11</f>
        <v>Rendement</v>
      </c>
      <c r="P29" t="str">
        <f t="shared" ref="P29" si="11">_xlfn.CONCAT(K29," = ",MROUND(D26*100,0.01)," % (",M29,")")</f>
        <v>Rendement en autres résidus de blé tendre de la Malterie = 3,8 % (ONRB - FranceAgriMer)</v>
      </c>
      <c r="Q29" s="10" t="str">
        <f>Etiquettes!$K$15</f>
        <v>Approximative</v>
      </c>
      <c r="R29" s="642" t="s">
        <v>1813</v>
      </c>
      <c r="S29" s="603" t="str">
        <f>Etiquettes!$H$17</f>
        <v>Donnée collectée (valeur du flux ou coefficient)</v>
      </c>
      <c r="U29" s="693"/>
    </row>
    <row r="30" spans="1:21">
      <c r="A30" s="10">
        <f>A26+1</f>
        <v>92</v>
      </c>
      <c r="B30" t="str">
        <f>Produits!$B$30</f>
        <v>Radicelles</v>
      </c>
      <c r="C30" t="str">
        <f>Secteurs!$B$20</f>
        <v>Débouchés</v>
      </c>
      <c r="D30" s="110">
        <f>'Malterie - ONRB'!F47</f>
        <v>4.7600000000000003E-2</v>
      </c>
      <c r="G30" s="10" t="str">
        <f>Etiquettes!$C$3</f>
        <v>kt</v>
      </c>
      <c r="H30" s="10" t="str">
        <f>Etiquettes!$J$6</f>
        <v>Orge</v>
      </c>
      <c r="I30" s="10" t="str">
        <f>Etiquettes!$C$5</f>
        <v>2015-16:2019-20:2023-24</v>
      </c>
      <c r="J30" s="10" t="str">
        <f>Etiquettes!$C$4</f>
        <v>France entière</v>
      </c>
      <c r="K30" s="604"/>
      <c r="L30" s="604"/>
      <c r="M30" s="604"/>
      <c r="N30" s="604"/>
      <c r="U30" s="693" t="s">
        <v>1342</v>
      </c>
    </row>
    <row r="31" spans="1:21">
      <c r="A31" s="10">
        <f t="shared" ref="A31:A39" si="12">A29+1</f>
        <v>92</v>
      </c>
      <c r="B31" t="str">
        <f>Produits!$B$30</f>
        <v>Radicelles</v>
      </c>
      <c r="C31" t="str">
        <f>Secteurs!$B$35</f>
        <v>FAF</v>
      </c>
      <c r="D31">
        <v>-1</v>
      </c>
      <c r="G31" s="10" t="str">
        <f>Etiquettes!$C$3</f>
        <v>kt</v>
      </c>
      <c r="H31" s="10" t="str">
        <f>Etiquettes!$J$6</f>
        <v>Orge</v>
      </c>
      <c r="I31" s="10" t="str">
        <f>Etiquettes!$C$5</f>
        <v>2015-16:2019-20:2023-24</v>
      </c>
      <c r="J31" s="10" t="str">
        <f>Etiquettes!$C$4</f>
        <v>France entière</v>
      </c>
      <c r="K31" s="604" t="s">
        <v>1657</v>
      </c>
      <c r="L31" s="604"/>
      <c r="M31" s="604" t="s">
        <v>1603</v>
      </c>
      <c r="N31" s="604" t="str" cm="1">
        <f t="array" aca="1" ref="N31" ca="1">[1]!NOM_FEUILLE('Malterie - ONRB'!$A$1:$B$1)</f>
        <v>Malterie - ONRB</v>
      </c>
      <c r="O31" s="10" t="str">
        <f>Etiquettes!$J$11</f>
        <v>Répartition</v>
      </c>
      <c r="P31" t="str">
        <f t="shared" ref="P31" si="13">_xlfn.CONCAT(K31," = ",MROUND(D30*100,0.01)," % (",M31,")")</f>
        <v>Part de radicelles consommée par les FAF = 4,76 % (ONRB - FranceAgriMer)</v>
      </c>
      <c r="Q31" s="10" t="str">
        <f>Etiquettes!$K$15</f>
        <v>Approximative</v>
      </c>
      <c r="R31" s="642" t="s">
        <v>1813</v>
      </c>
      <c r="S31" s="603" t="str">
        <f>Etiquettes!$H$17</f>
        <v>Donnée collectée (valeur du flux ou coefficient)</v>
      </c>
      <c r="U31" s="693"/>
    </row>
    <row r="32" spans="1:21">
      <c r="A32" s="10">
        <f t="shared" si="12"/>
        <v>93</v>
      </c>
      <c r="B32" t="str">
        <f>Produits!$B$30</f>
        <v>Radicelles</v>
      </c>
      <c r="C32" t="str">
        <f>Secteurs!$B$20</f>
        <v>Débouchés</v>
      </c>
      <c r="D32" s="110">
        <f>'Malterie - ONRB'!K47</f>
        <v>0.90239999999999998</v>
      </c>
      <c r="G32" s="10" t="str">
        <f>Etiquettes!$C$3</f>
        <v>kt</v>
      </c>
      <c r="H32" s="10" t="str">
        <f>Etiquettes!$J$6</f>
        <v>Orge</v>
      </c>
      <c r="I32" s="10" t="str">
        <f>Etiquettes!$C$5</f>
        <v>2015-16:2019-20:2023-24</v>
      </c>
      <c r="J32" s="10" t="str">
        <f>Etiquettes!$C$4</f>
        <v>France entière</v>
      </c>
      <c r="K32" s="604"/>
      <c r="L32" s="604"/>
      <c r="M32" s="604"/>
      <c r="N32" s="604"/>
      <c r="U32" s="693"/>
    </row>
    <row r="33" spans="1:21">
      <c r="A33" s="10">
        <f t="shared" si="12"/>
        <v>93</v>
      </c>
      <c r="B33" t="str">
        <f>Produits!$B$30</f>
        <v>Radicelles</v>
      </c>
      <c r="C33" t="str">
        <f>Secteurs!$B$33</f>
        <v>FAB</v>
      </c>
      <c r="D33">
        <v>-1</v>
      </c>
      <c r="G33" s="10" t="str">
        <f>Etiquettes!$C$3</f>
        <v>kt</v>
      </c>
      <c r="H33" s="10" t="str">
        <f>Etiquettes!$J$6</f>
        <v>Orge</v>
      </c>
      <c r="I33" s="10" t="str">
        <f>Etiquettes!$C$5</f>
        <v>2015-16:2019-20:2023-24</v>
      </c>
      <c r="J33" s="10" t="str">
        <f>Etiquettes!$C$4</f>
        <v>France entière</v>
      </c>
      <c r="K33" s="604" t="s">
        <v>1658</v>
      </c>
      <c r="L33" s="604"/>
      <c r="M33" s="604" t="s">
        <v>1603</v>
      </c>
      <c r="N33" s="604" t="str" cm="1">
        <f t="array" aca="1" ref="N33" ca="1">[1]!NOM_FEUILLE('Malterie - ONRB'!$A$1:$B$1)</f>
        <v>Malterie - ONRB</v>
      </c>
      <c r="O33" s="10" t="str">
        <f>Etiquettes!$J$11</f>
        <v>Répartition</v>
      </c>
      <c r="P33" t="str">
        <f t="shared" ref="P33" si="14">_xlfn.CONCAT(K33," = ",MROUND(D32*100,0.01)," % (",M33,")")</f>
        <v>Part de radicelles consommée par les FAB = 90,24 % (ONRB - FranceAgriMer)</v>
      </c>
      <c r="Q33" s="10" t="str">
        <f>Etiquettes!$K$15</f>
        <v>Approximative</v>
      </c>
      <c r="R33" s="642" t="s">
        <v>1813</v>
      </c>
      <c r="S33" s="603" t="str">
        <f>Etiquettes!$H$17</f>
        <v>Donnée collectée (valeur du flux ou coefficient)</v>
      </c>
      <c r="U33" s="693"/>
    </row>
    <row r="34" spans="1:21">
      <c r="A34" s="10">
        <f t="shared" si="12"/>
        <v>94</v>
      </c>
      <c r="B34" t="str">
        <f>Produits!$B$30</f>
        <v>Radicelles</v>
      </c>
      <c r="C34" t="str">
        <f>Secteurs!$B$20</f>
        <v>Débouchés</v>
      </c>
      <c r="D34" s="110">
        <f>'Malterie - ONRB'!N47</f>
        <v>0.05</v>
      </c>
      <c r="G34" s="10" t="str">
        <f>Etiquettes!$C$3</f>
        <v>kt</v>
      </c>
      <c r="H34" s="10" t="str">
        <f>Etiquettes!$J$6</f>
        <v>Orge</v>
      </c>
      <c r="I34" s="10" t="str">
        <f>Etiquettes!$C$5</f>
        <v>2015-16:2019-20:2023-24</v>
      </c>
      <c r="J34" s="10" t="str">
        <f>Etiquettes!$C$4</f>
        <v>France entière</v>
      </c>
      <c r="K34" s="604"/>
      <c r="L34" s="604"/>
      <c r="M34" s="604"/>
      <c r="N34" s="604"/>
      <c r="U34" s="693"/>
    </row>
    <row r="35" spans="1:21">
      <c r="A35" s="10">
        <f t="shared" si="12"/>
        <v>94</v>
      </c>
      <c r="B35" t="str">
        <f>Produits!$B$30</f>
        <v>Radicelles</v>
      </c>
      <c r="C35" t="str">
        <f>Secteurs!$B$50</f>
        <v>Autres industries</v>
      </c>
      <c r="D35">
        <v>-1</v>
      </c>
      <c r="G35" s="10" t="str">
        <f>Etiquettes!$C$3</f>
        <v>kt</v>
      </c>
      <c r="H35" s="10" t="str">
        <f>Etiquettes!$J$6</f>
        <v>Orge</v>
      </c>
      <c r="I35" s="10" t="str">
        <f>Etiquettes!$C$5</f>
        <v>2015-16:2019-20:2023-24</v>
      </c>
      <c r="J35" s="10" t="str">
        <f>Etiquettes!$C$4</f>
        <v>France entière</v>
      </c>
      <c r="K35" s="604" t="s">
        <v>1659</v>
      </c>
      <c r="L35" s="604"/>
      <c r="M35" s="604" t="s">
        <v>1603</v>
      </c>
      <c r="N35" s="604" t="str" cm="1">
        <f t="array" aca="1" ref="N35" ca="1">[1]!NOM_FEUILLE('Malterie - ONRB'!$A$1:$B$1)</f>
        <v>Malterie - ONRB</v>
      </c>
      <c r="O35" s="10" t="str">
        <f>Etiquettes!$J$11</f>
        <v>Répartition</v>
      </c>
      <c r="P35" t="str">
        <f t="shared" ref="P35" si="15">_xlfn.CONCAT(K35," = ",MROUND(D34*100,0.01)," % (",M35,")")</f>
        <v>Part de radicelles consommée par les autres industries = 5 % (ONRB - FranceAgriMer)</v>
      </c>
      <c r="Q35" s="10" t="str">
        <f>Etiquettes!$K$15</f>
        <v>Approximative</v>
      </c>
      <c r="R35" s="642" t="s">
        <v>1813</v>
      </c>
      <c r="S35" s="603" t="str">
        <f>Etiquettes!$H$17</f>
        <v>Donnée collectée (valeur du flux ou coefficient)</v>
      </c>
      <c r="U35" s="693"/>
    </row>
    <row r="36" spans="1:21">
      <c r="A36" s="10">
        <f t="shared" si="12"/>
        <v>95</v>
      </c>
      <c r="B36" t="str">
        <f>Produits!$B$31</f>
        <v>Orgettes</v>
      </c>
      <c r="C36" t="str">
        <f>Secteurs!$B$20</f>
        <v>Débouchés</v>
      </c>
      <c r="D36" s="110">
        <f>'Malterie - ONRB'!E47</f>
        <v>0.16669999999999999</v>
      </c>
      <c r="G36" s="10" t="str">
        <f>Etiquettes!$C$3</f>
        <v>kt</v>
      </c>
      <c r="H36" s="10" t="str">
        <f>Etiquettes!$J$6</f>
        <v>Orge</v>
      </c>
      <c r="I36" s="10" t="str">
        <f>Etiquettes!$C$5</f>
        <v>2015-16:2019-20:2023-24</v>
      </c>
      <c r="J36" s="10" t="str">
        <f>Etiquettes!$C$4</f>
        <v>France entière</v>
      </c>
      <c r="K36" s="604"/>
      <c r="L36" s="604"/>
      <c r="M36" s="604"/>
      <c r="N36" s="604"/>
      <c r="U36" s="693"/>
    </row>
    <row r="37" spans="1:21">
      <c r="A37" s="10">
        <f t="shared" si="12"/>
        <v>95</v>
      </c>
      <c r="B37" t="str">
        <f>Produits!$B$31</f>
        <v>Orgettes</v>
      </c>
      <c r="C37" t="str">
        <f>Secteurs!$B$35</f>
        <v>FAF</v>
      </c>
      <c r="D37">
        <v>-1</v>
      </c>
      <c r="G37" s="10" t="str">
        <f>Etiquettes!$C$3</f>
        <v>kt</v>
      </c>
      <c r="H37" s="10" t="str">
        <f>Etiquettes!$J$6</f>
        <v>Orge</v>
      </c>
      <c r="I37" s="10" t="str">
        <f>Etiquettes!$C$5</f>
        <v>2015-16:2019-20:2023-24</v>
      </c>
      <c r="J37" s="10" t="str">
        <f>Etiquettes!$C$4</f>
        <v>France entière</v>
      </c>
      <c r="K37" s="604" t="s">
        <v>1660</v>
      </c>
      <c r="L37" s="604"/>
      <c r="M37" s="604" t="s">
        <v>1603</v>
      </c>
      <c r="N37" s="604" t="str" cm="1">
        <f t="array" aca="1" ref="N37" ca="1">[1]!NOM_FEUILLE('Malterie - ONRB'!$A$1:$B$1)</f>
        <v>Malterie - ONRB</v>
      </c>
      <c r="O37" s="10" t="str">
        <f>Etiquettes!$J$11</f>
        <v>Répartition</v>
      </c>
      <c r="P37" t="str">
        <f t="shared" ref="P37" si="16">_xlfn.CONCAT(K37," = ",MROUND(D36*100,0.01)," % (",M37,")")</f>
        <v>Part d'orgettes consommée par les FAF = 16,67 % (ONRB - FranceAgriMer)</v>
      </c>
      <c r="Q37" s="10" t="str">
        <f>Etiquettes!$K$15</f>
        <v>Approximative</v>
      </c>
      <c r="R37" s="642" t="s">
        <v>1813</v>
      </c>
      <c r="S37" s="603" t="str">
        <f>Etiquettes!$H$17</f>
        <v>Donnée collectée (valeur du flux ou coefficient)</v>
      </c>
      <c r="U37" s="693"/>
    </row>
    <row r="38" spans="1:21">
      <c r="A38" s="10">
        <f t="shared" si="12"/>
        <v>96</v>
      </c>
      <c r="B38" t="str">
        <f>Produits!$B$31</f>
        <v>Orgettes</v>
      </c>
      <c r="C38" t="str">
        <f>Secteurs!$B$20</f>
        <v>Débouchés</v>
      </c>
      <c r="D38" s="110">
        <f>'Malterie - ONRB'!J47</f>
        <v>0.83330000000000004</v>
      </c>
      <c r="G38" s="10" t="str">
        <f>Etiquettes!$C$3</f>
        <v>kt</v>
      </c>
      <c r="H38" s="10" t="str">
        <f>Etiquettes!$J$6</f>
        <v>Orge</v>
      </c>
      <c r="I38" s="10" t="str">
        <f>Etiquettes!$C$5</f>
        <v>2015-16:2019-20:2023-24</v>
      </c>
      <c r="J38" s="10" t="str">
        <f>Etiquettes!$C$4</f>
        <v>France entière</v>
      </c>
      <c r="K38" s="604"/>
      <c r="L38" s="604"/>
      <c r="M38" s="604"/>
      <c r="N38" s="604"/>
      <c r="U38" s="693"/>
    </row>
    <row r="39" spans="1:21">
      <c r="A39" s="10">
        <f t="shared" si="12"/>
        <v>96</v>
      </c>
      <c r="B39" t="str">
        <f>Produits!$B$31</f>
        <v>Orgettes</v>
      </c>
      <c r="C39" t="str">
        <f>Secteurs!$B$33</f>
        <v>FAB</v>
      </c>
      <c r="D39">
        <v>-1</v>
      </c>
      <c r="G39" s="10" t="str">
        <f>Etiquettes!$C$3</f>
        <v>kt</v>
      </c>
      <c r="H39" s="10" t="str">
        <f>Etiquettes!$J$6</f>
        <v>Orge</v>
      </c>
      <c r="I39" s="10" t="str">
        <f>Etiquettes!$C$5</f>
        <v>2015-16:2019-20:2023-24</v>
      </c>
      <c r="J39" s="10" t="str">
        <f>Etiquettes!$C$4</f>
        <v>France entière</v>
      </c>
      <c r="K39" s="604" t="s">
        <v>1661</v>
      </c>
      <c r="L39" s="604"/>
      <c r="M39" s="604" t="s">
        <v>1603</v>
      </c>
      <c r="N39" s="604" t="str" cm="1">
        <f t="array" aca="1" ref="N39" ca="1">[1]!NOM_FEUILLE('Malterie - ONRB'!$A$1:$B$1)</f>
        <v>Malterie - ONRB</v>
      </c>
      <c r="O39" s="10" t="str">
        <f>Etiquettes!$J$11</f>
        <v>Répartition</v>
      </c>
      <c r="P39" t="str">
        <f t="shared" ref="P39" si="17">_xlfn.CONCAT(K39," = ",MROUND(D38*100,0.01)," % (",M39,")")</f>
        <v>Part d'orgettes consommée par les FAB = 83,33 % (ONRB - FranceAgriMer)</v>
      </c>
      <c r="Q39" s="10" t="str">
        <f>Etiquettes!$K$15</f>
        <v>Approximative</v>
      </c>
      <c r="R39" s="642" t="s">
        <v>1813</v>
      </c>
      <c r="S39" s="603" t="str">
        <f>Etiquettes!$H$17</f>
        <v>Donnée collectée (valeur du flux ou coefficient)</v>
      </c>
      <c r="U39" s="693"/>
    </row>
  </sheetData>
  <mergeCells count="3">
    <mergeCell ref="U2:U29"/>
    <mergeCell ref="U30:U39"/>
    <mergeCell ref="T18:T2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52EB2-C212-43B3-AAAA-3F27F6BF0658}">
  <sheetPr>
    <tabColor theme="1"/>
  </sheetPr>
  <dimension ref="A1:Q1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13" ca="1">_xlfn._xlws.FILTER('Contraintes           '!G1:S214,ISTEXT('Contraintes           '!O1:O214))</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3">_xlfn._xlws.FILTER('Contraintes           '!B2:C214,ISTEXT('Contraintes           '!O2:O214))</f>
        <v>Malterie</v>
      </c>
      <c r="B2" t="str">
        <v>Malt</v>
      </c>
      <c r="E2" t="str">
        <f ca="1"/>
        <v>kt</v>
      </c>
      <c r="F2" t="str">
        <f ca="1"/>
        <v>Blé tendre:Orge</v>
      </c>
      <c r="G2" t="str">
        <f ca="1"/>
        <v>2015-16:2019-20:2023-24</v>
      </c>
      <c r="H2" t="str">
        <f ca="1"/>
        <v>France entière</v>
      </c>
      <c r="I2" t="str">
        <f ca="1"/>
        <v>Rendement en malt de la Malterie</v>
      </c>
      <c r="J2">
        <f ca="1"/>
        <v>0</v>
      </c>
      <c r="K2" t="str">
        <f ca="1"/>
        <v>ONRB - FranceAgriMer</v>
      </c>
      <c r="L2" t="str">
        <f ca="1"/>
        <v>Malterie - ONRB</v>
      </c>
      <c r="M2" t="str">
        <f ca="1"/>
        <v>Rendement</v>
      </c>
      <c r="N2" t="str">
        <f ca="1"/>
        <v>Rendement en malt de la Malterie = 78,74 % (ONRB - FranceAgriMer)</v>
      </c>
      <c r="O2" t="str">
        <f ca="1"/>
        <v>Approximative</v>
      </c>
      <c r="P2" t="str">
        <f ca="1"/>
        <v>Données collectées:Données déterminées</v>
      </c>
      <c r="Q2" t="str">
        <f ca="1"/>
        <v>Donnée collectée (valeur du flux ou coefficient)</v>
      </c>
    </row>
    <row r="3" spans="1:17">
      <c r="A3" t="str">
        <v>Malterie</v>
      </c>
      <c r="B3" t="str">
        <v>Radicelles</v>
      </c>
      <c r="E3" t="str">
        <f ca="1"/>
        <v>kt</v>
      </c>
      <c r="F3" t="str">
        <f ca="1"/>
        <v>Orge</v>
      </c>
      <c r="G3" t="str">
        <f ca="1"/>
        <v>2015-16:2019-20:2023-24</v>
      </c>
      <c r="H3" t="str">
        <f ca="1"/>
        <v>France entière</v>
      </c>
      <c r="I3" t="str">
        <f ca="1"/>
        <v>Rendement en radicelles de la Malterie</v>
      </c>
      <c r="J3">
        <f ca="1"/>
        <v>0</v>
      </c>
      <c r="K3" t="str">
        <f ca="1"/>
        <v>ONRB - FranceAgriMer</v>
      </c>
      <c r="L3" t="str">
        <f ca="1"/>
        <v>Malterie - ONRB</v>
      </c>
      <c r="M3" t="str">
        <f ca="1"/>
        <v>Rendement</v>
      </c>
      <c r="N3" t="str">
        <f ca="1"/>
        <v>Rendement en radicelles de la Malterie = 2,79 % (ONRB - FranceAgriMer)</v>
      </c>
      <c r="O3" t="str">
        <f ca="1"/>
        <v>Approximative</v>
      </c>
      <c r="P3" t="str">
        <f ca="1"/>
        <v>Données collectées:Données déterminées</v>
      </c>
      <c r="Q3" t="str">
        <f ca="1"/>
        <v>Donnée collectée (valeur du flux ou coefficient)</v>
      </c>
    </row>
    <row r="4" spans="1:17">
      <c r="A4" t="str">
        <v>Malterie</v>
      </c>
      <c r="B4" t="str">
        <v>Orgettes</v>
      </c>
      <c r="E4" t="str">
        <f ca="1"/>
        <v>kt</v>
      </c>
      <c r="F4" t="str">
        <f ca="1"/>
        <v>Orge</v>
      </c>
      <c r="G4" t="str">
        <f ca="1"/>
        <v>2015-16:2019-20:2023-24</v>
      </c>
      <c r="H4" t="str">
        <f ca="1"/>
        <v>France entière</v>
      </c>
      <c r="I4" t="str">
        <f ca="1"/>
        <v>Rendement en orgettes de la Malterie</v>
      </c>
      <c r="J4">
        <f ca="1"/>
        <v>0</v>
      </c>
      <c r="K4" t="str">
        <f ca="1"/>
        <v>ONRB - FranceAgriMer</v>
      </c>
      <c r="L4" t="str">
        <f ca="1"/>
        <v>Malterie - ONRB</v>
      </c>
      <c r="M4" t="str">
        <f ca="1"/>
        <v>Rendement</v>
      </c>
      <c r="N4" t="str">
        <f ca="1"/>
        <v>Rendement en orgettes de la Malterie = 0,39 % (ONRB - FranceAgriMer)</v>
      </c>
      <c r="O4" t="str">
        <f ca="1"/>
        <v>Approximative</v>
      </c>
      <c r="P4" t="str">
        <f ca="1"/>
        <v>Données collectées:Données déterminées</v>
      </c>
      <c r="Q4" t="str">
        <f ca="1"/>
        <v>Donnée collectée (valeur du flux ou coefficient)</v>
      </c>
    </row>
    <row r="5" spans="1:17">
      <c r="A5" t="str">
        <v>Malterie</v>
      </c>
      <c r="B5" t="str">
        <v>Autres résidus</v>
      </c>
      <c r="E5" t="str">
        <f ca="1"/>
        <v>kt</v>
      </c>
      <c r="F5" t="str">
        <f ca="1"/>
        <v>Orge</v>
      </c>
      <c r="G5" t="str">
        <f ca="1"/>
        <v>2015-16:2019-20:2023-24</v>
      </c>
      <c r="H5" t="str">
        <f ca="1"/>
        <v>France entière</v>
      </c>
      <c r="I5" t="str">
        <f ca="1"/>
        <v>Rendement en autres résidus d'orge de la Malterie</v>
      </c>
      <c r="J5">
        <f ca="1"/>
        <v>0</v>
      </c>
      <c r="K5" t="str">
        <f ca="1"/>
        <v>ONRB - FranceAgriMer</v>
      </c>
      <c r="L5" t="str">
        <f ca="1"/>
        <v>Malterie - ONRB</v>
      </c>
      <c r="M5" t="str">
        <f ca="1"/>
        <v>Rendement</v>
      </c>
      <c r="N5" t="str">
        <f ca="1"/>
        <v>Rendement en autres résidus d'orge de la Malterie = 18,08 % (ONRB - FranceAgriMer)</v>
      </c>
      <c r="O5" t="str">
        <f ca="1"/>
        <v>Approximative</v>
      </c>
      <c r="P5" t="str">
        <f ca="1"/>
        <v>Données collectées:Données déterminées</v>
      </c>
      <c r="Q5" t="str">
        <f ca="1"/>
        <v>Donnée collectée (valeur du flux ou coefficient)</v>
      </c>
    </row>
    <row r="6" spans="1:17">
      <c r="A6" t="str">
        <v>Malterie</v>
      </c>
      <c r="B6" t="str">
        <v>Particules d'enveloppes</v>
      </c>
      <c r="E6" t="str">
        <f ca="1"/>
        <v>kt</v>
      </c>
      <c r="F6" t="str">
        <f ca="1"/>
        <v>Blé tendre</v>
      </c>
      <c r="G6" t="str">
        <f ca="1"/>
        <v>2015-16:2019-20:2023-24</v>
      </c>
      <c r="H6" t="str">
        <f ca="1"/>
        <v>France entière</v>
      </c>
      <c r="I6" t="str">
        <f ca="1"/>
        <v>Rendement en particules d'enveloppes de la Malterie</v>
      </c>
      <c r="J6">
        <f ca="1"/>
        <v>0</v>
      </c>
      <c r="K6" t="str">
        <f ca="1"/>
        <v>ONRB - FranceAgriMer</v>
      </c>
      <c r="L6" t="str">
        <f ca="1"/>
        <v>Malterie - ONRB</v>
      </c>
      <c r="M6" t="str">
        <f ca="1"/>
        <v>Rendement</v>
      </c>
      <c r="N6" t="str">
        <f ca="1"/>
        <v>Rendement en particules d'enveloppes de la Malterie = 16,58 % (ONRB - FranceAgriMer)</v>
      </c>
      <c r="O6" t="str">
        <f ca="1"/>
        <v>Approximative</v>
      </c>
      <c r="P6" t="str">
        <f ca="1"/>
        <v>Données collectées:Données déterminées</v>
      </c>
      <c r="Q6" t="str">
        <f ca="1"/>
        <v>Donnée collectée (valeur du flux ou coefficient)</v>
      </c>
    </row>
    <row r="7" spans="1:17">
      <c r="A7" t="str">
        <v>Malterie</v>
      </c>
      <c r="B7" t="str">
        <v>Petits blés</v>
      </c>
      <c r="E7" t="str">
        <f ca="1"/>
        <v>kt</v>
      </c>
      <c r="F7" t="str">
        <f ca="1"/>
        <v>Blé tendre</v>
      </c>
      <c r="G7" t="str">
        <f ca="1"/>
        <v>2015-16:2019-20:2023-24</v>
      </c>
      <c r="H7" t="str">
        <f ca="1"/>
        <v>France entière</v>
      </c>
      <c r="I7" t="str">
        <f ca="1"/>
        <v>Rendement en petits blés de la Malterie</v>
      </c>
      <c r="J7">
        <f ca="1"/>
        <v>0</v>
      </c>
      <c r="K7" t="str">
        <f ca="1"/>
        <v>ONRB - FranceAgriMer</v>
      </c>
      <c r="L7" t="str">
        <f ca="1"/>
        <v>Malterie - ONRB</v>
      </c>
      <c r="M7" t="str">
        <f ca="1"/>
        <v>Rendement</v>
      </c>
      <c r="N7" t="str">
        <f ca="1"/>
        <v>Rendement en petits blés de la Malterie = 0,88 % (ONRB - FranceAgriMer)</v>
      </c>
      <c r="O7" t="str">
        <f ca="1"/>
        <v>Approximative</v>
      </c>
      <c r="P7" t="str">
        <f ca="1"/>
        <v>Données collectées:Données déterminées</v>
      </c>
      <c r="Q7" t="str">
        <f ca="1"/>
        <v>Donnée collectée (valeur du flux ou coefficient)</v>
      </c>
    </row>
    <row r="8" spans="1:17">
      <c r="A8" t="str">
        <v>Malterie</v>
      </c>
      <c r="B8" t="str">
        <v>Autres résidus</v>
      </c>
      <c r="E8" t="str">
        <f ca="1"/>
        <v>kt</v>
      </c>
      <c r="F8" t="str">
        <f ca="1"/>
        <v>Blé tendre</v>
      </c>
      <c r="G8" t="str">
        <f ca="1"/>
        <v>2015-16:2019-20:2023-24</v>
      </c>
      <c r="H8" t="str">
        <f ca="1"/>
        <v>France entière</v>
      </c>
      <c r="I8" t="str">
        <f ca="1"/>
        <v>Rendement en autres résidus de blé tendre de la Malterie</v>
      </c>
      <c r="J8">
        <f ca="1"/>
        <v>0</v>
      </c>
      <c r="K8" t="str">
        <f ca="1"/>
        <v>ONRB - FranceAgriMer</v>
      </c>
      <c r="L8" t="str">
        <f ca="1"/>
        <v>Malterie - ONRB</v>
      </c>
      <c r="M8" t="str">
        <f ca="1"/>
        <v>Rendement</v>
      </c>
      <c r="N8" t="str">
        <f ca="1"/>
        <v>Rendement en autres résidus de blé tendre de la Malterie = 3,8 % (ONRB - FranceAgriMer)</v>
      </c>
      <c r="O8" t="str">
        <f ca="1"/>
        <v>Approximative</v>
      </c>
      <c r="P8" t="str">
        <f ca="1"/>
        <v>Données collectées:Données déterminées</v>
      </c>
      <c r="Q8" t="str">
        <f ca="1"/>
        <v>Donnée collectée (valeur du flux ou coefficient)</v>
      </c>
    </row>
    <row r="9" spans="1:17">
      <c r="A9" t="str">
        <v>Radicelles</v>
      </c>
      <c r="B9" t="str">
        <v>FAF</v>
      </c>
      <c r="E9" t="str">
        <f ca="1"/>
        <v>kt</v>
      </c>
      <c r="F9" t="str">
        <f ca="1"/>
        <v>Orge</v>
      </c>
      <c r="G9" t="str">
        <f ca="1"/>
        <v>2015-16:2019-20:2023-24</v>
      </c>
      <c r="H9" t="str">
        <f ca="1"/>
        <v>France entière</v>
      </c>
      <c r="I9" t="str">
        <f ca="1"/>
        <v>Part de radicelles consommée par les FAF</v>
      </c>
      <c r="J9">
        <f ca="1"/>
        <v>0</v>
      </c>
      <c r="K9" t="str">
        <f ca="1"/>
        <v>ONRB - FranceAgriMer</v>
      </c>
      <c r="L9" t="str">
        <f ca="1"/>
        <v>Malterie - ONRB</v>
      </c>
      <c r="M9" t="str">
        <f ca="1"/>
        <v>Répartition</v>
      </c>
      <c r="N9" t="str">
        <f ca="1"/>
        <v>Part de radicelles consommée par les FAF = 4,76 % (ONRB - FranceAgriMer)</v>
      </c>
      <c r="O9" t="str">
        <f ca="1"/>
        <v>Approximative</v>
      </c>
      <c r="P9" t="str">
        <f ca="1"/>
        <v>Données collectées:Données déterminées</v>
      </c>
      <c r="Q9" t="str">
        <f ca="1"/>
        <v>Donnée collectée (valeur du flux ou coefficient)</v>
      </c>
    </row>
    <row r="10" spans="1:17">
      <c r="A10" t="str">
        <v>Radicelles</v>
      </c>
      <c r="B10" t="str">
        <v>FAB</v>
      </c>
      <c r="E10" t="str">
        <f ca="1"/>
        <v>kt</v>
      </c>
      <c r="F10" t="str">
        <f ca="1"/>
        <v>Orge</v>
      </c>
      <c r="G10" t="str">
        <f ca="1"/>
        <v>2015-16:2019-20:2023-24</v>
      </c>
      <c r="H10" t="str">
        <f ca="1"/>
        <v>France entière</v>
      </c>
      <c r="I10" t="str">
        <f ca="1"/>
        <v>Part de radicelles consommée par les FAB</v>
      </c>
      <c r="J10">
        <f ca="1"/>
        <v>0</v>
      </c>
      <c r="K10" t="str">
        <f ca="1"/>
        <v>ONRB - FranceAgriMer</v>
      </c>
      <c r="L10" t="str">
        <f ca="1"/>
        <v>Malterie - ONRB</v>
      </c>
      <c r="M10" t="str">
        <f ca="1"/>
        <v>Répartition</v>
      </c>
      <c r="N10" t="str">
        <f ca="1"/>
        <v>Part de radicelles consommée par les FAB = 90,24 % (ONRB - FranceAgriMer)</v>
      </c>
      <c r="O10" t="str">
        <f ca="1"/>
        <v>Approximative</v>
      </c>
      <c r="P10" t="str">
        <f ca="1"/>
        <v>Données collectées:Données déterminées</v>
      </c>
      <c r="Q10" t="str">
        <f ca="1"/>
        <v>Donnée collectée (valeur du flux ou coefficient)</v>
      </c>
    </row>
    <row r="11" spans="1:17">
      <c r="A11" t="str">
        <v>Radicelles</v>
      </c>
      <c r="B11" t="str">
        <v>Autres industries</v>
      </c>
      <c r="E11" t="str">
        <f ca="1"/>
        <v>kt</v>
      </c>
      <c r="F11" t="str">
        <f ca="1"/>
        <v>Orge</v>
      </c>
      <c r="G11" t="str">
        <f ca="1"/>
        <v>2015-16:2019-20:2023-24</v>
      </c>
      <c r="H11" t="str">
        <f ca="1"/>
        <v>France entière</v>
      </c>
      <c r="I11" t="str">
        <f ca="1"/>
        <v>Part de radicelles consommée par les autres industries</v>
      </c>
      <c r="J11">
        <f ca="1"/>
        <v>0</v>
      </c>
      <c r="K11" t="str">
        <f ca="1"/>
        <v>ONRB - FranceAgriMer</v>
      </c>
      <c r="L11" t="str">
        <f ca="1"/>
        <v>Malterie - ONRB</v>
      </c>
      <c r="M11" t="str">
        <f ca="1"/>
        <v>Répartition</v>
      </c>
      <c r="N11" t="str">
        <f ca="1"/>
        <v>Part de radicelles consommée par les autres industries = 5 % (ONRB - FranceAgriMer)</v>
      </c>
      <c r="O11" t="str">
        <f ca="1"/>
        <v>Approximative</v>
      </c>
      <c r="P11" t="str">
        <f ca="1"/>
        <v>Données collectées:Données déterminées</v>
      </c>
      <c r="Q11" t="str">
        <f ca="1"/>
        <v>Donnée collectée (valeur du flux ou coefficient)</v>
      </c>
    </row>
    <row r="12" spans="1:17">
      <c r="A12" t="str">
        <v>Orgettes</v>
      </c>
      <c r="B12" t="str">
        <v>FAF</v>
      </c>
      <c r="E12" t="str">
        <f ca="1"/>
        <v>kt</v>
      </c>
      <c r="F12" t="str">
        <f ca="1"/>
        <v>Orge</v>
      </c>
      <c r="G12" t="str">
        <f ca="1"/>
        <v>2015-16:2019-20:2023-24</v>
      </c>
      <c r="H12" t="str">
        <f ca="1"/>
        <v>France entière</v>
      </c>
      <c r="I12" t="str">
        <f ca="1"/>
        <v>Part d'orgettes consommée par les FAF</v>
      </c>
      <c r="J12">
        <f ca="1"/>
        <v>0</v>
      </c>
      <c r="K12" t="str">
        <f ca="1"/>
        <v>ONRB - FranceAgriMer</v>
      </c>
      <c r="L12" t="str">
        <f ca="1"/>
        <v>Malterie - ONRB</v>
      </c>
      <c r="M12" t="str">
        <f ca="1"/>
        <v>Répartition</v>
      </c>
      <c r="N12" t="str">
        <f ca="1"/>
        <v>Part d'orgettes consommée par les FAF = 16,67 % (ONRB - FranceAgriMer)</v>
      </c>
      <c r="O12" t="str">
        <f ca="1"/>
        <v>Approximative</v>
      </c>
      <c r="P12" t="str">
        <f ca="1"/>
        <v>Données collectées:Données déterminées</v>
      </c>
      <c r="Q12" t="str">
        <f ca="1"/>
        <v>Donnée collectée (valeur du flux ou coefficient)</v>
      </c>
    </row>
    <row r="13" spans="1:17">
      <c r="A13" t="str">
        <v>Orgettes</v>
      </c>
      <c r="B13" t="str">
        <v>FAB</v>
      </c>
      <c r="E13" t="str">
        <f ca="1"/>
        <v>kt</v>
      </c>
      <c r="F13" t="str">
        <f ca="1"/>
        <v>Orge</v>
      </c>
      <c r="G13" t="str">
        <f ca="1"/>
        <v>2015-16:2019-20:2023-24</v>
      </c>
      <c r="H13" t="str">
        <f ca="1"/>
        <v>France entière</v>
      </c>
      <c r="I13" t="str">
        <f ca="1"/>
        <v>Part d'orgettes consommée par les FAB</v>
      </c>
      <c r="J13">
        <f ca="1"/>
        <v>0</v>
      </c>
      <c r="K13" t="str">
        <f ca="1"/>
        <v>ONRB - FranceAgriMer</v>
      </c>
      <c r="L13" t="str">
        <f ca="1"/>
        <v>Malterie - ONRB</v>
      </c>
      <c r="M13" t="str">
        <f ca="1"/>
        <v>Répartition</v>
      </c>
      <c r="N13" t="str">
        <f ca="1"/>
        <v>Part d'orgettes consommée par les FAB = 83,33 % (ONRB - FranceAgriMer)</v>
      </c>
      <c r="O13" t="str">
        <f ca="1"/>
        <v>Approximative</v>
      </c>
      <c r="P13" t="str">
        <f ca="1"/>
        <v>Données collectées:Données déterminées</v>
      </c>
      <c r="Q13" t="str">
        <f ca="1"/>
        <v>Donnée collectée (valeur du flux ou coefficient)</v>
      </c>
    </row>
  </sheetData>
  <pageMargins left="0.75" right="0.75" top="1" bottom="1" header="0.5" footer="0.5"/>
  <legacy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A527-4F83-41A1-8FFD-E67A6FEE0AEA}">
  <sheetPr>
    <tabColor rgb="FFFFC000"/>
  </sheetPr>
  <dimension ref="A1:X56"/>
  <sheetViews>
    <sheetView workbookViewId="0">
      <selection activeCell="H34" sqref="H34"/>
    </sheetView>
  </sheetViews>
  <sheetFormatPr baseColWidth="10" defaultRowHeight="14.4"/>
  <cols>
    <col min="1" max="1" width="11.5546875" style="57"/>
    <col min="2" max="2" width="69.6640625" style="57" bestFit="1" customWidth="1"/>
    <col min="3" max="3" width="21" bestFit="1" customWidth="1"/>
    <col min="4" max="4" width="29.5546875" bestFit="1" customWidth="1"/>
    <col min="5" max="5" width="19.44140625" bestFit="1" customWidth="1"/>
  </cols>
  <sheetData>
    <row r="1" spans="1:8" s="57" customFormat="1" ht="15" thickBot="1">
      <c r="A1" s="741" t="s">
        <v>149</v>
      </c>
      <c r="B1" s="741"/>
    </row>
    <row r="2" spans="1:8" s="57" customFormat="1">
      <c r="A2" s="58" t="s">
        <v>150</v>
      </c>
      <c r="B2" s="59" t="s">
        <v>1289</v>
      </c>
    </row>
    <row r="3" spans="1:8" s="57" customFormat="1">
      <c r="A3" s="60" t="s">
        <v>152</v>
      </c>
      <c r="B3" s="65" t="s">
        <v>1332</v>
      </c>
    </row>
    <row r="4" spans="1:8" s="57" customFormat="1">
      <c r="A4" s="60" t="s">
        <v>153</v>
      </c>
      <c r="B4" s="61" t="s">
        <v>154</v>
      </c>
    </row>
    <row r="5" spans="1:8" s="57" customFormat="1">
      <c r="A5" s="60" t="s">
        <v>17</v>
      </c>
      <c r="B5" s="61" t="s">
        <v>21</v>
      </c>
    </row>
    <row r="6" spans="1:8" s="57" customFormat="1">
      <c r="A6" s="60" t="s">
        <v>19</v>
      </c>
      <c r="B6" s="61" t="s">
        <v>1198</v>
      </c>
    </row>
    <row r="7" spans="1:8" s="57" customFormat="1" ht="15" thickBot="1">
      <c r="A7" s="62" t="s">
        <v>156</v>
      </c>
      <c r="B7" s="63" t="s">
        <v>157</v>
      </c>
    </row>
    <row r="8" spans="1:8">
      <c r="C8" s="87" t="s">
        <v>19</v>
      </c>
      <c r="D8" s="87" t="s">
        <v>1290</v>
      </c>
    </row>
    <row r="11" spans="1:8">
      <c r="H11" s="11" t="s">
        <v>1291</v>
      </c>
    </row>
    <row r="12" spans="1:8">
      <c r="H12" s="507">
        <v>29</v>
      </c>
    </row>
    <row r="19" spans="1:22">
      <c r="C19" s="87" t="s">
        <v>19</v>
      </c>
      <c r="D19" s="87" t="s">
        <v>338</v>
      </c>
      <c r="E19" s="87" t="s">
        <v>339</v>
      </c>
    </row>
    <row r="20" spans="1:22">
      <c r="C20" s="87"/>
      <c r="D20" s="87" t="s">
        <v>340</v>
      </c>
      <c r="E20" s="87" t="s">
        <v>341</v>
      </c>
    </row>
    <row r="21" spans="1:22">
      <c r="C21" s="87"/>
      <c r="D21" s="87" t="s">
        <v>342</v>
      </c>
      <c r="E21" s="87" t="s">
        <v>1292</v>
      </c>
    </row>
    <row r="22" spans="1:22">
      <c r="C22" s="87"/>
      <c r="D22" s="87" t="s">
        <v>344</v>
      </c>
      <c r="E22" s="87" t="s">
        <v>1293</v>
      </c>
    </row>
    <row r="24" spans="1:22" s="468" customFormat="1" ht="15" thickBot="1">
      <c r="A24" s="524"/>
      <c r="B24" s="524"/>
    </row>
    <row r="25" spans="1:22" s="468" customFormat="1" ht="15.75" customHeight="1" thickBot="1">
      <c r="A25" s="524"/>
      <c r="B25" s="524"/>
      <c r="C25" s="525" t="s">
        <v>1294</v>
      </c>
      <c r="D25" s="526"/>
      <c r="E25" s="526"/>
      <c r="F25" s="526"/>
      <c r="G25" s="527"/>
      <c r="H25" s="527"/>
      <c r="I25" s="527"/>
    </row>
    <row r="26" spans="1:22" s="468" customFormat="1" ht="18" customHeight="1" thickBot="1">
      <c r="A26" s="524"/>
      <c r="B26" s="524"/>
      <c r="C26" s="525" t="s">
        <v>1295</v>
      </c>
      <c r="D26" s="526"/>
      <c r="E26" s="526"/>
      <c r="F26" s="526"/>
      <c r="G26" s="527"/>
      <c r="H26" s="527"/>
      <c r="I26" s="527"/>
    </row>
    <row r="27" spans="1:22" s="468" customFormat="1" ht="19.5" customHeight="1" thickBot="1">
      <c r="A27" s="524"/>
      <c r="B27" s="524"/>
      <c r="C27" s="528" t="s">
        <v>1296</v>
      </c>
      <c r="D27" s="529"/>
      <c r="E27" s="529"/>
      <c r="F27" s="529"/>
    </row>
    <row r="28" spans="1:22" s="468" customFormat="1" ht="7.5" customHeight="1">
      <c r="A28" s="524"/>
      <c r="B28" s="524"/>
    </row>
    <row r="29" spans="1:22" s="468" customFormat="1" ht="6" customHeight="1" thickBot="1">
      <c r="A29" s="524"/>
      <c r="B29" s="524"/>
    </row>
    <row r="30" spans="1:22" s="468" customFormat="1" ht="15" thickBot="1">
      <c r="A30" s="524"/>
      <c r="B30" s="524"/>
      <c r="C30" s="530" t="s">
        <v>1297</v>
      </c>
      <c r="D30" s="531"/>
      <c r="E30" s="531"/>
      <c r="F30" s="531"/>
      <c r="G30" s="532"/>
      <c r="H30" s="532"/>
      <c r="I30" s="532"/>
      <c r="J30" s="533"/>
      <c r="K30" s="534"/>
      <c r="L30" s="534"/>
    </row>
    <row r="31" spans="1:22" s="468" customFormat="1" ht="6.75" customHeight="1">
      <c r="A31" s="524"/>
      <c r="B31" s="524"/>
      <c r="F31" s="535"/>
      <c r="G31" s="535"/>
      <c r="H31" s="535"/>
      <c r="I31" s="535"/>
      <c r="J31" s="535"/>
      <c r="K31" s="535"/>
      <c r="L31" s="535"/>
      <c r="M31" s="535"/>
      <c r="N31" s="535"/>
    </row>
    <row r="32" spans="1:22" s="468" customFormat="1" ht="72" customHeight="1">
      <c r="A32" s="524"/>
      <c r="B32" s="524"/>
      <c r="C32" s="705" t="s">
        <v>387</v>
      </c>
      <c r="D32" s="89" t="s">
        <v>1298</v>
      </c>
      <c r="E32" s="89" t="s">
        <v>1299</v>
      </c>
      <c r="F32" s="749" t="s">
        <v>1300</v>
      </c>
      <c r="G32" s="750"/>
      <c r="H32" s="751"/>
      <c r="I32" s="749" t="s">
        <v>1301</v>
      </c>
      <c r="J32" s="750"/>
      <c r="K32" s="751"/>
      <c r="L32" s="749" t="s">
        <v>1302</v>
      </c>
      <c r="M32" s="750"/>
      <c r="N32" s="751"/>
      <c r="O32" s="749" t="s">
        <v>1303</v>
      </c>
      <c r="P32" s="750"/>
      <c r="Q32" s="751"/>
      <c r="R32" s="89" t="s">
        <v>1304</v>
      </c>
      <c r="S32" s="89" t="s">
        <v>1305</v>
      </c>
      <c r="T32" s="89" t="s">
        <v>1306</v>
      </c>
      <c r="U32" s="89" t="s">
        <v>1307</v>
      </c>
      <c r="V32" s="89" t="s">
        <v>1308</v>
      </c>
    </row>
    <row r="33" spans="1:24" s="472" customFormat="1" ht="57.75" customHeight="1">
      <c r="A33" s="536"/>
      <c r="B33" s="536"/>
      <c r="C33" s="705"/>
      <c r="D33" s="93" t="s">
        <v>355</v>
      </c>
      <c r="E33" s="93" t="s">
        <v>355</v>
      </c>
      <c r="F33" s="89" t="s">
        <v>1309</v>
      </c>
      <c r="G33" s="93" t="s">
        <v>355</v>
      </c>
      <c r="H33" s="89" t="s">
        <v>1310</v>
      </c>
      <c r="I33" s="89" t="s">
        <v>1311</v>
      </c>
      <c r="J33" s="93" t="s">
        <v>355</v>
      </c>
      <c r="K33" s="89" t="s">
        <v>1310</v>
      </c>
      <c r="L33" s="89" t="s">
        <v>1312</v>
      </c>
      <c r="M33" s="93" t="s">
        <v>355</v>
      </c>
      <c r="N33" s="89" t="s">
        <v>1313</v>
      </c>
      <c r="O33" s="89" t="s">
        <v>1314</v>
      </c>
      <c r="P33" s="93" t="s">
        <v>355</v>
      </c>
      <c r="Q33" s="89" t="s">
        <v>1313</v>
      </c>
      <c r="R33" s="104" t="s">
        <v>355</v>
      </c>
      <c r="S33" s="104" t="s">
        <v>355</v>
      </c>
      <c r="T33" s="104" t="s">
        <v>355</v>
      </c>
      <c r="U33" s="104" t="s">
        <v>355</v>
      </c>
      <c r="V33" s="93"/>
    </row>
    <row r="34" spans="1:24" s="468" customFormat="1" ht="18" customHeight="1">
      <c r="A34" s="524"/>
      <c r="B34" s="524"/>
      <c r="C34" s="96" t="s">
        <v>154</v>
      </c>
      <c r="D34" s="465">
        <f>P34+M34+J34+G34+E34</f>
        <v>356065.33858267713</v>
      </c>
      <c r="E34" s="465">
        <f>(S34+T34)-P34-M34-J34-G34</f>
        <v>291323.28618267714</v>
      </c>
      <c r="F34" s="465">
        <f>G34*0.86</f>
        <v>5333.8829699999997</v>
      </c>
      <c r="G34" s="465">
        <f>H34*U34</f>
        <v>6202.1894999999995</v>
      </c>
      <c r="H34" s="551">
        <v>3.8999999999999998E-3</v>
      </c>
      <c r="I34" s="465">
        <f>J34*0.89</f>
        <v>39488.863454999999</v>
      </c>
      <c r="J34" s="465">
        <f>K34*U34</f>
        <v>44369.5095</v>
      </c>
      <c r="K34" s="551">
        <v>2.7900000000000001E-2</v>
      </c>
      <c r="L34" s="465">
        <f>M34*0.88</f>
        <v>12330.759056000001</v>
      </c>
      <c r="M34" s="465">
        <f>N34*T34</f>
        <v>14012.226200000001</v>
      </c>
      <c r="N34" s="551">
        <v>0.77980000000000005</v>
      </c>
      <c r="O34" s="465">
        <f>P34*0.878</f>
        <v>138.83568160000002</v>
      </c>
      <c r="P34" s="465">
        <f>Q34*T34</f>
        <v>158.12720000000002</v>
      </c>
      <c r="Q34" s="551">
        <v>8.8000000000000005E-3</v>
      </c>
      <c r="R34" s="465">
        <f>T34-(T34/V34)</f>
        <v>3820.1811023622049</v>
      </c>
      <c r="S34" s="465">
        <f>U34-(U34/V34)</f>
        <v>338096.33858267707</v>
      </c>
      <c r="T34" s="552">
        <v>17969</v>
      </c>
      <c r="U34" s="465">
        <v>1590305</v>
      </c>
      <c r="V34" s="478">
        <v>1.27</v>
      </c>
    </row>
    <row r="35" spans="1:24" s="468" customFormat="1" ht="18" customHeight="1">
      <c r="A35" s="524"/>
      <c r="B35" s="524"/>
      <c r="C35" s="537" t="s">
        <v>1315</v>
      </c>
      <c r="D35" s="467"/>
      <c r="E35" s="467"/>
      <c r="F35" s="467"/>
      <c r="G35" s="538"/>
      <c r="H35" s="539"/>
      <c r="I35" s="540"/>
      <c r="J35" s="538"/>
      <c r="K35" s="541"/>
      <c r="L35" s="541"/>
      <c r="M35" s="538"/>
      <c r="N35" s="541"/>
      <c r="O35" s="541"/>
      <c r="P35" s="538"/>
      <c r="Q35" s="541"/>
      <c r="R35" s="538"/>
    </row>
    <row r="36" spans="1:24" s="468" customFormat="1" ht="21.75" customHeight="1">
      <c r="A36" s="524"/>
      <c r="B36" s="524"/>
      <c r="C36" s="537" t="s">
        <v>1316</v>
      </c>
      <c r="D36" s="537"/>
      <c r="E36" s="537"/>
      <c r="F36" s="537"/>
      <c r="G36" s="537"/>
      <c r="H36" s="537"/>
      <c r="I36" s="537"/>
      <c r="J36" s="537"/>
      <c r="K36" s="537"/>
      <c r="L36" s="537"/>
      <c r="M36" s="537"/>
      <c r="N36" s="537"/>
      <c r="O36" s="537"/>
      <c r="P36" s="537"/>
      <c r="Q36" s="537"/>
      <c r="R36" s="537"/>
      <c r="S36" s="537"/>
      <c r="T36" s="537"/>
      <c r="U36" s="537"/>
      <c r="V36" s="537"/>
    </row>
    <row r="37" spans="1:24" s="468" customFormat="1" ht="18" customHeight="1">
      <c r="A37" s="524"/>
      <c r="B37" s="524"/>
      <c r="C37" s="537"/>
      <c r="D37" s="467"/>
      <c r="E37" s="467"/>
      <c r="F37" s="467"/>
      <c r="G37" s="538"/>
      <c r="H37" s="539"/>
      <c r="I37" s="540"/>
      <c r="J37" s="538"/>
      <c r="K37" s="541"/>
      <c r="L37" s="541"/>
      <c r="M37" s="538"/>
      <c r="N37" s="541"/>
      <c r="O37" s="541"/>
      <c r="P37" s="538"/>
      <c r="Q37" s="541"/>
      <c r="R37" s="538"/>
    </row>
    <row r="38" spans="1:24" s="468" customFormat="1" ht="18" customHeight="1" thickBot="1">
      <c r="A38" s="524"/>
      <c r="B38" s="524"/>
      <c r="C38" s="542"/>
      <c r="D38" s="543"/>
      <c r="E38" s="543"/>
      <c r="F38" s="543"/>
      <c r="G38" s="544"/>
      <c r="H38" s="545"/>
      <c r="I38" s="546"/>
      <c r="J38" s="544"/>
      <c r="K38" s="547"/>
      <c r="L38" s="547"/>
      <c r="M38" s="544"/>
      <c r="N38" s="547"/>
      <c r="O38" s="547"/>
      <c r="P38" s="544"/>
      <c r="Q38" s="547"/>
      <c r="R38" s="544"/>
      <c r="S38" s="535"/>
      <c r="T38" s="535"/>
      <c r="U38" s="535"/>
      <c r="V38" s="535"/>
    </row>
    <row r="39" spans="1:24" s="472" customFormat="1" ht="17.25" customHeight="1" thickBot="1">
      <c r="A39" s="536"/>
      <c r="B39" s="536"/>
      <c r="C39" s="752" t="s">
        <v>1191</v>
      </c>
      <c r="D39" s="707"/>
      <c r="E39" s="707"/>
      <c r="F39" s="707"/>
      <c r="G39" s="707"/>
      <c r="H39" s="707"/>
      <c r="I39" s="707"/>
      <c r="J39" s="752"/>
      <c r="K39" s="707"/>
      <c r="L39" s="707"/>
      <c r="M39" s="707"/>
      <c r="N39" s="707"/>
      <c r="O39" s="707"/>
      <c r="P39" s="707"/>
      <c r="Q39" s="752"/>
      <c r="R39" s="707"/>
      <c r="S39" s="707"/>
      <c r="T39" s="707"/>
      <c r="U39" s="707"/>
      <c r="V39" s="707"/>
    </row>
    <row r="40" spans="1:24" s="472" customFormat="1" ht="43.5" customHeight="1" thickBot="1">
      <c r="A40" s="536"/>
      <c r="B40" s="536"/>
      <c r="C40" s="707" t="s">
        <v>1317</v>
      </c>
      <c r="D40" s="707"/>
      <c r="E40" s="707"/>
      <c r="F40" s="707"/>
      <c r="G40" s="707"/>
      <c r="H40" s="707"/>
      <c r="I40" s="707"/>
      <c r="J40" s="707"/>
      <c r="K40" s="707"/>
      <c r="L40" s="707"/>
      <c r="M40" s="707"/>
      <c r="N40" s="707"/>
      <c r="O40" s="707"/>
      <c r="P40" s="707"/>
      <c r="Q40" s="707"/>
      <c r="R40" s="707"/>
      <c r="S40" s="707"/>
      <c r="T40" s="707"/>
      <c r="U40" s="707"/>
      <c r="V40" s="707"/>
    </row>
    <row r="41" spans="1:24" s="468" customFormat="1" ht="19.5" customHeight="1" thickBot="1">
      <c r="A41" s="524"/>
      <c r="B41" s="524"/>
      <c r="C41" s="706" t="s">
        <v>1318</v>
      </c>
      <c r="D41" s="707"/>
      <c r="E41" s="707"/>
      <c r="F41" s="707"/>
      <c r="G41" s="707"/>
      <c r="H41" s="707"/>
      <c r="I41" s="707"/>
      <c r="J41" s="706"/>
      <c r="K41" s="707"/>
      <c r="L41" s="707"/>
      <c r="M41" s="707"/>
      <c r="N41" s="707"/>
      <c r="O41" s="707"/>
      <c r="P41" s="707"/>
      <c r="Q41" s="706"/>
      <c r="R41" s="707"/>
      <c r="S41" s="707"/>
      <c r="T41" s="707"/>
      <c r="U41" s="707"/>
      <c r="V41" s="707"/>
      <c r="W41" s="474"/>
      <c r="X41" s="474"/>
    </row>
    <row r="42" spans="1:24" s="468" customFormat="1" ht="20.25" customHeight="1" thickBot="1">
      <c r="A42" s="524"/>
      <c r="B42" s="524"/>
      <c r="C42" s="706" t="s">
        <v>1319</v>
      </c>
      <c r="D42" s="707"/>
      <c r="E42" s="707"/>
      <c r="F42" s="707"/>
      <c r="G42" s="707"/>
      <c r="H42" s="707"/>
      <c r="I42" s="707"/>
      <c r="J42" s="706"/>
      <c r="K42" s="707"/>
      <c r="L42" s="707"/>
      <c r="M42" s="707"/>
      <c r="N42" s="707"/>
      <c r="O42" s="707"/>
      <c r="P42" s="707"/>
      <c r="Q42" s="706"/>
      <c r="R42" s="707"/>
      <c r="S42" s="707"/>
      <c r="T42" s="707"/>
      <c r="U42" s="707"/>
      <c r="V42" s="707"/>
      <c r="W42" s="548"/>
      <c r="X42" s="548"/>
    </row>
    <row r="45" spans="1:24" ht="43.8" customHeight="1">
      <c r="C45" s="756" t="s">
        <v>365</v>
      </c>
      <c r="D45" s="757" t="s">
        <v>1330</v>
      </c>
      <c r="E45" s="758"/>
      <c r="F45" s="758"/>
      <c r="G45" s="759"/>
      <c r="H45" s="756" t="s">
        <v>365</v>
      </c>
      <c r="I45" s="760" t="s">
        <v>1320</v>
      </c>
      <c r="J45" s="761"/>
      <c r="K45" s="761"/>
      <c r="L45" s="762"/>
      <c r="M45" s="756" t="s">
        <v>365</v>
      </c>
      <c r="N45" s="556" t="s">
        <v>1331</v>
      </c>
    </row>
    <row r="46" spans="1:24" ht="88.2">
      <c r="C46" s="756"/>
      <c r="D46" s="549" t="s">
        <v>354</v>
      </c>
      <c r="E46" s="550" t="s">
        <v>1321</v>
      </c>
      <c r="F46" s="549" t="s">
        <v>1322</v>
      </c>
      <c r="G46" s="549" t="s">
        <v>1323</v>
      </c>
      <c r="H46" s="756"/>
      <c r="I46" s="549" t="s">
        <v>354</v>
      </c>
      <c r="J46" s="550" t="s">
        <v>1324</v>
      </c>
      <c r="K46" s="549" t="s">
        <v>1325</v>
      </c>
      <c r="L46" s="549" t="s">
        <v>1326</v>
      </c>
      <c r="M46" s="756"/>
      <c r="N46" s="549" t="s">
        <v>1327</v>
      </c>
    </row>
    <row r="47" spans="1:24">
      <c r="C47" s="468"/>
      <c r="D47" s="468"/>
      <c r="E47" s="553">
        <v>0.16669999999999999</v>
      </c>
      <c r="F47" s="554">
        <v>4.7600000000000003E-2</v>
      </c>
      <c r="G47" s="554">
        <v>1</v>
      </c>
      <c r="J47" s="555">
        <v>0.83330000000000004</v>
      </c>
      <c r="K47" s="555">
        <v>0.90239999999999998</v>
      </c>
      <c r="L47" s="555">
        <v>1</v>
      </c>
      <c r="N47" s="555">
        <v>0.05</v>
      </c>
    </row>
    <row r="48" spans="1:24">
      <c r="C48" s="753" t="s">
        <v>1328</v>
      </c>
      <c r="D48" s="754"/>
      <c r="E48" s="754"/>
      <c r="F48" s="754"/>
      <c r="G48" s="755"/>
    </row>
    <row r="51" spans="3:9" ht="37.799999999999997">
      <c r="C51" s="89" t="s">
        <v>1329</v>
      </c>
    </row>
    <row r="52" spans="3:9">
      <c r="C52" s="552">
        <v>23438</v>
      </c>
    </row>
    <row r="56" spans="3:9">
      <c r="I56" s="110"/>
    </row>
  </sheetData>
  <mergeCells count="24">
    <mergeCell ref="C48:G48"/>
    <mergeCell ref="C41:I41"/>
    <mergeCell ref="J41:P41"/>
    <mergeCell ref="Q41:V41"/>
    <mergeCell ref="C42:I42"/>
    <mergeCell ref="J42:P42"/>
    <mergeCell ref="Q42:V42"/>
    <mergeCell ref="C45:C46"/>
    <mergeCell ref="D45:G45"/>
    <mergeCell ref="H45:H46"/>
    <mergeCell ref="I45:L45"/>
    <mergeCell ref="M45:M46"/>
    <mergeCell ref="C39:I39"/>
    <mergeCell ref="J39:P39"/>
    <mergeCell ref="Q39:V39"/>
    <mergeCell ref="C40:I40"/>
    <mergeCell ref="J40:P40"/>
    <mergeCell ref="Q40:V40"/>
    <mergeCell ref="O32:Q32"/>
    <mergeCell ref="A1:B1"/>
    <mergeCell ref="C32:C33"/>
    <mergeCell ref="F32:H32"/>
    <mergeCell ref="I32:K32"/>
    <mergeCell ref="L32:N32"/>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E991-F210-4C02-9DA1-DCDE0226EFA1}">
  <sheetPr>
    <tabColor rgb="FF92D050"/>
  </sheetPr>
  <dimension ref="A1:U31"/>
  <sheetViews>
    <sheetView workbookViewId="0">
      <pane xSplit="3" ySplit="1" topLeftCell="D2" activePane="bottomRight" state="frozen"/>
      <selection activeCell="G1" sqref="G1:G1048576"/>
      <selection pane="topRight" activeCell="G1" sqref="G1:G1048576"/>
      <selection pane="bottomLeft" activeCell="G1" sqref="G1:G1048576"/>
      <selection pane="bottomRight" activeCell="U16" sqref="B16:U27"/>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7" width="12.109375" style="10" customWidth="1"/>
    <col min="18" max="19" width="14.44140625" style="26" customWidth="1"/>
    <col min="20" max="20" width="11.6640625" bestFit="1" customWidth="1"/>
    <col min="21" max="21" width="13.109375" customWidth="1"/>
  </cols>
  <sheetData>
    <row r="1" spans="1:21" ht="88.8"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'!A38+1</f>
        <v>97</v>
      </c>
      <c r="B2" t="str">
        <f>Secteurs!$B$13</f>
        <v>Brasserie</v>
      </c>
      <c r="C2" t="str">
        <f>Produits!$B$38</f>
        <v>Bière</v>
      </c>
      <c r="D2" s="462">
        <f>'Brasserie - Diverses'!J56</f>
        <v>0.17499999999999999</v>
      </c>
      <c r="G2" s="10" t="str">
        <f>Etiquettes!$C$3</f>
        <v>kt</v>
      </c>
      <c r="H2" s="10" t="s">
        <v>1340</v>
      </c>
      <c r="I2" s="10" t="str">
        <f>Etiquettes!$C$5</f>
        <v>2015-16:2019-20:2023-24</v>
      </c>
      <c r="J2" s="10" t="str">
        <f>Etiquettes!$C$4</f>
        <v>France entière</v>
      </c>
      <c r="K2" s="604" t="s">
        <v>1662</v>
      </c>
      <c r="L2" s="604"/>
      <c r="M2" s="604" t="s">
        <v>1646</v>
      </c>
      <c r="N2" s="604" t="str" cm="1">
        <f t="array" aca="1" ref="N2" ca="1">[1]!NOM_FEUILLE('Brasserie - Diverses'!$A$1:$B$1)</f>
        <v>Brasserie - Diverses</v>
      </c>
      <c r="O2" s="10" t="str">
        <f>Etiquettes!$I$11</f>
        <v>Rendement</v>
      </c>
      <c r="P2" t="str">
        <f>_xlfn.CONCAT(K2," = ",MROUND(D2*100,0.01)," % (",M2,")")</f>
        <v>Rendement en bière de la Brasserie = 17,5 % (Des chiffres et des céréales - Intercéréales)</v>
      </c>
      <c r="Q2" s="10" t="str">
        <f>Etiquettes!$K$15</f>
        <v>Approximative</v>
      </c>
      <c r="R2" s="642" t="s">
        <v>1813</v>
      </c>
      <c r="S2" s="603" t="str">
        <f>Etiquettes!$H$17</f>
        <v>Donnée collectée (valeur du flux ou coefficient)</v>
      </c>
      <c r="U2" s="692" t="s">
        <v>1814</v>
      </c>
    </row>
    <row r="3" spans="1:21">
      <c r="A3" s="10">
        <f>'Contraintes           '!A39+1</f>
        <v>97</v>
      </c>
      <c r="B3" t="str">
        <f>Produits!$B$29</f>
        <v>Malt</v>
      </c>
      <c r="C3" t="str">
        <f>Secteurs!$B$13</f>
        <v>Brasserie</v>
      </c>
      <c r="D3">
        <v>-1</v>
      </c>
      <c r="G3" s="10" t="str">
        <f>Etiquettes!$C$3</f>
        <v>kt</v>
      </c>
      <c r="H3" s="10" t="s">
        <v>1340</v>
      </c>
      <c r="I3" s="10" t="str">
        <f>Etiquettes!$C$5</f>
        <v>2015-16:2019-20:2023-24</v>
      </c>
      <c r="J3" s="10" t="str">
        <f>Etiquettes!$C$4</f>
        <v>France entière</v>
      </c>
      <c r="K3" s="604"/>
      <c r="L3" s="604"/>
      <c r="M3" s="604"/>
      <c r="N3" s="604"/>
      <c r="U3" s="693"/>
    </row>
    <row r="4" spans="1:21">
      <c r="A4" s="10">
        <f>A2+1</f>
        <v>98</v>
      </c>
      <c r="B4" t="str">
        <f>Secteurs!$B$13</f>
        <v>Brasserie</v>
      </c>
      <c r="C4" t="str">
        <f>Produits!$B$38</f>
        <v>Bière</v>
      </c>
      <c r="D4" s="462">
        <f>'Brasserie - Diverses'!J57</f>
        <v>4</v>
      </c>
      <c r="G4" s="10" t="str">
        <f>Etiquettes!$C$3</f>
        <v>kt</v>
      </c>
      <c r="H4" s="10" t="s">
        <v>1340</v>
      </c>
      <c r="I4" s="10" t="str">
        <f>Etiquettes!$C$5</f>
        <v>2015-16:2019-20:2023-24</v>
      </c>
      <c r="J4" s="10" t="str">
        <f>Etiquettes!$C$4</f>
        <v>France entière</v>
      </c>
      <c r="K4" s="604"/>
      <c r="L4" s="604"/>
      <c r="M4" s="604"/>
      <c r="N4" s="604"/>
      <c r="U4" s="693"/>
    </row>
    <row r="5" spans="1:21">
      <c r="A5" s="10">
        <f t="shared" ref="A5:A31" si="0">A3+1</f>
        <v>98</v>
      </c>
      <c r="B5" t="str">
        <f>Produits!$B$35</f>
        <v>Eau - MP</v>
      </c>
      <c r="C5" t="str">
        <f>Secteurs!$B$13</f>
        <v>Brasserie</v>
      </c>
      <c r="D5">
        <v>-1</v>
      </c>
      <c r="G5" s="10" t="str">
        <f>Etiquettes!$C$3</f>
        <v>kt</v>
      </c>
      <c r="H5" s="10" t="s">
        <v>1340</v>
      </c>
      <c r="I5" s="10" t="str">
        <f>Etiquettes!$C$5</f>
        <v>2015-16:2019-20:2023-24</v>
      </c>
      <c r="J5" s="10" t="str">
        <f>Etiquettes!$C$4</f>
        <v>France entière</v>
      </c>
      <c r="K5" s="604" t="s">
        <v>1663</v>
      </c>
      <c r="L5" s="604"/>
      <c r="M5" s="604" t="s">
        <v>1646</v>
      </c>
      <c r="N5" s="604" t="str" cm="1">
        <f t="array" aca="1" ref="N5" ca="1">[1]!NOM_FEUILLE('Brasserie - Diverses'!$A$1:$B$1)</f>
        <v>Brasserie - Diverses</v>
      </c>
      <c r="O5" s="10" t="str">
        <f>Etiquettes!$I$11</f>
        <v>Rendement</v>
      </c>
      <c r="P5" t="str">
        <f>_xlfn.CONCAT(K5," = ",MROUND(D4*100,0.01)," % (",M5,")")</f>
        <v>Approvisionnement en eau de la Brasserie = 400 % (Des chiffres et des céréales - Intercéréales)</v>
      </c>
      <c r="Q5" s="10" t="str">
        <f>Etiquettes!$K$15</f>
        <v>Approximative</v>
      </c>
      <c r="R5" s="642" t="s">
        <v>1813</v>
      </c>
      <c r="S5" s="603" t="str">
        <f>Etiquettes!$H$17</f>
        <v>Donnée collectée (valeur du flux ou coefficient)</v>
      </c>
      <c r="U5" s="693"/>
    </row>
    <row r="6" spans="1:21">
      <c r="A6" s="10">
        <f t="shared" si="0"/>
        <v>99</v>
      </c>
      <c r="B6" t="str">
        <f>Secteurs!$B$13</f>
        <v>Brasserie</v>
      </c>
      <c r="C6" t="str">
        <f>Produits!$B$38</f>
        <v>Bière</v>
      </c>
      <c r="D6" s="462">
        <f>'Brasserie - Diverses'!J59</f>
        <v>2.5167195767195769E-2</v>
      </c>
      <c r="G6" s="10" t="str">
        <f>Etiquettes!$C$3</f>
        <v>kt</v>
      </c>
      <c r="H6" s="10" t="s">
        <v>1340</v>
      </c>
      <c r="I6" s="10" t="str">
        <f>Etiquettes!$C$5</f>
        <v>2015-16:2019-20:2023-24</v>
      </c>
      <c r="J6" s="10" t="str">
        <f>Etiquettes!$C$4</f>
        <v>France entière</v>
      </c>
      <c r="K6" s="604"/>
      <c r="L6" s="604"/>
      <c r="M6" s="604"/>
      <c r="N6" s="604"/>
      <c r="U6" s="693"/>
    </row>
    <row r="7" spans="1:21">
      <c r="A7" s="10">
        <f t="shared" si="0"/>
        <v>99</v>
      </c>
      <c r="B7" t="str">
        <f>Produits!$B$36</f>
        <v>Levures - MP</v>
      </c>
      <c r="C7" t="str">
        <f>Secteurs!$B$13</f>
        <v>Brasserie</v>
      </c>
      <c r="D7">
        <v>-1</v>
      </c>
      <c r="G7" s="10" t="str">
        <f>Etiquettes!$C$3</f>
        <v>kt</v>
      </c>
      <c r="H7" s="10" t="s">
        <v>1340</v>
      </c>
      <c r="I7" s="10" t="str">
        <f>Etiquettes!$C$5</f>
        <v>2015-16:2019-20:2023-24</v>
      </c>
      <c r="J7" s="10" t="str">
        <f>Etiquettes!$C$4</f>
        <v>France entière</v>
      </c>
      <c r="K7" s="604" t="s">
        <v>1664</v>
      </c>
      <c r="L7" s="604"/>
      <c r="M7" s="604" t="s">
        <v>1646</v>
      </c>
      <c r="N7" s="604" t="str" cm="1">
        <f t="array" aca="1" ref="N7" ca="1">[1]!NOM_FEUILLE('Brasserie - Diverses'!$A$1:$B$1)</f>
        <v>Brasserie - Diverses</v>
      </c>
      <c r="O7" s="10" t="str">
        <f>Etiquettes!$I$11</f>
        <v>Rendement</v>
      </c>
      <c r="P7" t="str">
        <f t="shared" ref="P7" si="1">_xlfn.CONCAT(K7," = ",MROUND(D6*100,0.01)," % (",M7,")")</f>
        <v>Approvisionnement levures de la Brasserie = 2,52 % (Des chiffres et des céréales - Intercéréales)</v>
      </c>
      <c r="Q7" s="10" t="str">
        <f>Etiquettes!$K$15</f>
        <v>Approximative</v>
      </c>
      <c r="R7" s="642" t="s">
        <v>1813</v>
      </c>
      <c r="S7" s="603" t="str">
        <f>Etiquettes!$H$17</f>
        <v>Donnée collectée (valeur du flux ou coefficient)</v>
      </c>
      <c r="U7" s="693"/>
    </row>
    <row r="8" spans="1:21">
      <c r="A8" s="10">
        <f t="shared" si="0"/>
        <v>100</v>
      </c>
      <c r="B8" t="str">
        <f>Secteurs!$B$13</f>
        <v>Brasserie</v>
      </c>
      <c r="C8" t="str">
        <f>Produits!$B$38</f>
        <v>Bière</v>
      </c>
      <c r="D8" s="29">
        <f>'Brasserie - Diverses'!J58</f>
        <v>1.5E-3</v>
      </c>
      <c r="G8" s="10" t="str">
        <f>Etiquettes!$C$3</f>
        <v>kt</v>
      </c>
      <c r="H8" s="10" t="s">
        <v>1340</v>
      </c>
      <c r="I8" s="10" t="str">
        <f>Etiquettes!$C$5</f>
        <v>2015-16:2019-20:2023-24</v>
      </c>
      <c r="J8" s="10" t="str">
        <f>Etiquettes!$C$4</f>
        <v>France entière</v>
      </c>
      <c r="K8" s="604"/>
      <c r="L8" s="604"/>
      <c r="M8" s="604"/>
      <c r="N8" s="604"/>
      <c r="U8" s="693"/>
    </row>
    <row r="9" spans="1:21">
      <c r="A9" s="10">
        <f t="shared" si="0"/>
        <v>100</v>
      </c>
      <c r="B9" t="str">
        <f>Produits!$B$37</f>
        <v>Houblon</v>
      </c>
      <c r="C9" t="str">
        <f>Secteurs!$B$13</f>
        <v>Brasserie</v>
      </c>
      <c r="D9">
        <v>-1</v>
      </c>
      <c r="G9" s="10" t="str">
        <f>Etiquettes!$C$3</f>
        <v>kt</v>
      </c>
      <c r="H9" s="10" t="s">
        <v>1340</v>
      </c>
      <c r="I9" s="10" t="str">
        <f>Etiquettes!$C$5</f>
        <v>2015-16:2019-20:2023-24</v>
      </c>
      <c r="J9" s="10" t="str">
        <f>Etiquettes!$C$4</f>
        <v>France entière</v>
      </c>
      <c r="K9" s="604" t="s">
        <v>1665</v>
      </c>
      <c r="L9" s="604"/>
      <c r="M9" s="604" t="s">
        <v>1646</v>
      </c>
      <c r="N9" s="604" t="str" cm="1">
        <f t="array" aca="1" ref="N9" ca="1">[1]!NOM_FEUILLE('Brasserie - Diverses'!$A$1:$B$1)</f>
        <v>Brasserie - Diverses</v>
      </c>
      <c r="O9" s="10" t="str">
        <f>Etiquettes!$I$11</f>
        <v>Rendement</v>
      </c>
      <c r="P9" t="str">
        <f t="shared" ref="P9" si="2">_xlfn.CONCAT(K9," = ",MROUND(D8*100,0.01)," % (",M9,")")</f>
        <v>Approvisionnement en houblon de la Brasserie = 0,15 % (Des chiffres et des céréales - Intercéréales)</v>
      </c>
      <c r="Q9" s="10" t="str">
        <f>Etiquettes!$K$15</f>
        <v>Approximative</v>
      </c>
      <c r="R9" s="642" t="s">
        <v>1813</v>
      </c>
      <c r="S9" s="603" t="str">
        <f>Etiquettes!$H$17</f>
        <v>Donnée collectée (valeur du flux ou coefficient)</v>
      </c>
      <c r="U9" s="693"/>
    </row>
    <row r="10" spans="1:21">
      <c r="A10" s="10">
        <f t="shared" si="0"/>
        <v>101</v>
      </c>
      <c r="B10" t="str">
        <f>Secteurs!$B$13</f>
        <v>Brasserie</v>
      </c>
      <c r="C10" t="str">
        <f>Produits!$B$38</f>
        <v>Bière</v>
      </c>
      <c r="D10" s="462">
        <f>'Brasserie - Diverses'!M11</f>
        <v>0.14975449735449736</v>
      </c>
      <c r="G10" s="10" t="str">
        <f>Etiquettes!$C$3</f>
        <v>kt</v>
      </c>
      <c r="H10" s="10" t="s">
        <v>1340</v>
      </c>
      <c r="I10" s="10" t="str">
        <f>Etiquettes!$C$5</f>
        <v>2015-16:2019-20:2023-24</v>
      </c>
      <c r="J10" s="10" t="str">
        <f>Etiquettes!$C$4</f>
        <v>France entière</v>
      </c>
      <c r="K10" s="604"/>
      <c r="L10" s="604"/>
      <c r="M10" s="604"/>
      <c r="N10" s="604"/>
      <c r="U10" s="693"/>
    </row>
    <row r="11" spans="1:21">
      <c r="A11" s="10">
        <f t="shared" si="0"/>
        <v>101</v>
      </c>
      <c r="B11" t="str">
        <f>Secteurs!$B$13</f>
        <v>Brasserie</v>
      </c>
      <c r="C11" t="str">
        <f>Produits!$B$39</f>
        <v>Drèches</v>
      </c>
      <c r="D11">
        <v>-1</v>
      </c>
      <c r="G11" s="10" t="str">
        <f>Etiquettes!$C$3</f>
        <v>kt</v>
      </c>
      <c r="H11" s="10" t="s">
        <v>1340</v>
      </c>
      <c r="I11" s="10" t="str">
        <f>Etiquettes!$C$5</f>
        <v>2015-16:2019-20:2023-24</v>
      </c>
      <c r="J11" s="10" t="str">
        <f>Etiquettes!$C$4</f>
        <v>France entière</v>
      </c>
      <c r="K11" s="604" t="s">
        <v>1667</v>
      </c>
      <c r="L11" s="604"/>
      <c r="M11" s="604" t="s">
        <v>1602</v>
      </c>
      <c r="N11" s="604" t="str" cm="1">
        <f t="array" aca="1" ref="N11" ca="1">[1]!NOM_FEUILLE('Brasserie - Diverses'!$A$1:$B$1)</f>
        <v>Brasserie - Diverses</v>
      </c>
      <c r="O11" s="10" t="str">
        <f>Etiquettes!$J$11</f>
        <v>Répartition</v>
      </c>
      <c r="P11" t="str">
        <f t="shared" ref="P11" si="3">_xlfn.CONCAT(K11," = ",MROUND(D10*100,0.01)," % (",M11,")")</f>
        <v>Part de drèches produites (par rapport à la bière) = 14,98 % (Gisements et valorisations des coproduits des industries agroalimentaires - Réséda)</v>
      </c>
      <c r="Q11" s="10" t="str">
        <f>Etiquettes!$K$15</f>
        <v>Approximative</v>
      </c>
      <c r="R11" s="642" t="s">
        <v>1813</v>
      </c>
      <c r="S11" s="603" t="str">
        <f>Etiquettes!$H$17</f>
        <v>Donnée collectée (valeur du flux ou coefficient)</v>
      </c>
      <c r="U11" s="693"/>
    </row>
    <row r="12" spans="1:21">
      <c r="A12" s="10">
        <f t="shared" si="0"/>
        <v>102</v>
      </c>
      <c r="B12" t="str">
        <f>Secteurs!$B$13</f>
        <v>Brasserie</v>
      </c>
      <c r="C12" t="str">
        <f>Produits!$B$38</f>
        <v>Bière</v>
      </c>
      <c r="D12" s="462">
        <f>'Brasserie - Diverses'!M12</f>
        <v>2.5167195767195769E-2</v>
      </c>
      <c r="G12" s="10" t="str">
        <f>Etiquettes!$C$3</f>
        <v>kt</v>
      </c>
      <c r="H12" s="10" t="s">
        <v>1340</v>
      </c>
      <c r="I12" s="10" t="str">
        <f>Etiquettes!$C$5</f>
        <v>2015-16:2019-20:2023-24</v>
      </c>
      <c r="J12" s="10" t="str">
        <f>Etiquettes!$C$4</f>
        <v>France entière</v>
      </c>
      <c r="K12" s="604"/>
      <c r="L12" s="604"/>
      <c r="M12" s="604"/>
      <c r="N12" s="604"/>
      <c r="U12" s="693"/>
    </row>
    <row r="13" spans="1:21">
      <c r="A13" s="10">
        <f t="shared" si="0"/>
        <v>102</v>
      </c>
      <c r="B13" t="str">
        <f>Secteurs!$B$13</f>
        <v>Brasserie</v>
      </c>
      <c r="C13" t="str">
        <f>Produits!$B$40</f>
        <v>Levures - CP</v>
      </c>
      <c r="D13">
        <v>-1</v>
      </c>
      <c r="G13" s="10" t="str">
        <f>Etiquettes!$C$3</f>
        <v>kt</v>
      </c>
      <c r="H13" s="10" t="s">
        <v>1340</v>
      </c>
      <c r="I13" s="10" t="str">
        <f>Etiquettes!$C$5</f>
        <v>2015-16:2019-20:2023-24</v>
      </c>
      <c r="J13" s="10" t="str">
        <f>Etiquettes!$C$4</f>
        <v>France entière</v>
      </c>
      <c r="K13" s="604" t="s">
        <v>1666</v>
      </c>
      <c r="L13" s="604"/>
      <c r="M13" s="604" t="s">
        <v>1602</v>
      </c>
      <c r="N13" s="604" t="str" cm="1">
        <f t="array" aca="1" ref="N13" ca="1">[1]!NOM_FEUILLE('Brasserie - Diverses'!$A$1:$B$1)</f>
        <v>Brasserie - Diverses</v>
      </c>
      <c r="O13" s="10" t="str">
        <f>Etiquettes!$J$11</f>
        <v>Répartition</v>
      </c>
      <c r="P13" t="str">
        <f t="shared" ref="P13" si="4">_xlfn.CONCAT(K13," = ",MROUND(D12*100,0.01)," % (",M13,")")</f>
        <v>Part de levures produites (par rapport à la bière) = 2,52 % (Gisements et valorisations des coproduits des industries agroalimentaires - Réséda)</v>
      </c>
      <c r="Q13" s="10" t="str">
        <f>Etiquettes!$K$15</f>
        <v>Approximative</v>
      </c>
      <c r="R13" s="642" t="s">
        <v>1813</v>
      </c>
      <c r="S13" s="603" t="str">
        <f>Etiquettes!$H$17</f>
        <v>Donnée collectée (valeur du flux ou coefficient)</v>
      </c>
      <c r="U13" s="693"/>
    </row>
    <row r="14" spans="1:21">
      <c r="A14" s="10">
        <f t="shared" si="0"/>
        <v>103</v>
      </c>
      <c r="B14" t="str">
        <f>Secteurs!$B$13</f>
        <v>Brasserie</v>
      </c>
      <c r="C14" t="str">
        <f>Produits!$B$38</f>
        <v>Bière</v>
      </c>
      <c r="D14" s="29">
        <f>'Brasserie - Diverses'!M13</f>
        <v>2.7957671957671956E-3</v>
      </c>
      <c r="G14" s="10" t="str">
        <f>Etiquettes!$C$3</f>
        <v>kt</v>
      </c>
      <c r="H14" s="10" t="s">
        <v>1340</v>
      </c>
      <c r="I14" s="10" t="str">
        <f>Etiquettes!$C$5</f>
        <v>2015-16:2019-20:2023-24</v>
      </c>
      <c r="J14" s="10" t="str">
        <f>Etiquettes!$C$4</f>
        <v>France entière</v>
      </c>
      <c r="K14" s="604"/>
      <c r="L14" s="604"/>
      <c r="M14" s="604"/>
      <c r="N14" s="604"/>
      <c r="U14" s="693"/>
    </row>
    <row r="15" spans="1:21">
      <c r="A15" s="10">
        <f t="shared" si="0"/>
        <v>103</v>
      </c>
      <c r="B15" t="str">
        <f>Secteurs!$B$13</f>
        <v>Brasserie</v>
      </c>
      <c r="C15" t="str">
        <f>Produits!$B$41</f>
        <v>Kieselguhr</v>
      </c>
      <c r="D15">
        <v>-1</v>
      </c>
      <c r="G15" s="10" t="str">
        <f>Etiquettes!$C$3</f>
        <v>kt</v>
      </c>
      <c r="H15" s="10" t="s">
        <v>1340</v>
      </c>
      <c r="I15" s="10" t="str">
        <f>Etiquettes!$C$5</f>
        <v>2015-16:2019-20:2023-24</v>
      </c>
      <c r="J15" s="10" t="str">
        <f>Etiquettes!$C$4</f>
        <v>France entière</v>
      </c>
      <c r="K15" s="604" t="s">
        <v>1668</v>
      </c>
      <c r="L15" s="604"/>
      <c r="M15" s="604" t="s">
        <v>1602</v>
      </c>
      <c r="N15" s="604" t="str" cm="1">
        <f t="array" aca="1" ref="N15" ca="1">[1]!NOM_FEUILLE('Brasserie - Diverses'!$A$1:$B$1)</f>
        <v>Brasserie - Diverses</v>
      </c>
      <c r="O15" s="10" t="str">
        <f>Etiquettes!$J$11</f>
        <v>Répartition</v>
      </c>
      <c r="P15" t="str">
        <f t="shared" ref="P15" si="5">_xlfn.CONCAT(K15," = ",MROUND(D14*100,0.01)," % (",M15,")")</f>
        <v>Part de kieselghur produit (par rapport à la bière) = 0,28 % (Gisements et valorisations des coproduits des industries agroalimentaires - Réséda)</v>
      </c>
      <c r="Q15" s="10" t="str">
        <f>Etiquettes!$K$15</f>
        <v>Approximative</v>
      </c>
      <c r="R15" s="642" t="s">
        <v>1813</v>
      </c>
      <c r="S15" s="603" t="str">
        <f>Etiquettes!$H$17</f>
        <v>Donnée collectée (valeur du flux ou coefficient)</v>
      </c>
      <c r="U15" s="693"/>
    </row>
    <row r="16" spans="1:21" ht="14.4" customHeight="1">
      <c r="A16" s="10">
        <f t="shared" si="0"/>
        <v>104</v>
      </c>
      <c r="B16" t="str">
        <f>Produits!$B$40</f>
        <v>Levures - CP</v>
      </c>
      <c r="C16" t="str">
        <f>Secteurs!$B$20</f>
        <v>Débouchés</v>
      </c>
      <c r="D16" s="29">
        <f>'Brasserie - Diverses'!I22</f>
        <v>2.0833333333333332E-2</v>
      </c>
      <c r="G16" s="10" t="str">
        <f>Etiquettes!$C$3</f>
        <v>kt</v>
      </c>
      <c r="H16" s="10" t="s">
        <v>1340</v>
      </c>
      <c r="I16" s="10" t="str">
        <f>Etiquettes!$C$5</f>
        <v>2015-16:2019-20:2023-24</v>
      </c>
      <c r="J16" s="10" t="str">
        <f>Etiquettes!$C$4</f>
        <v>France entière</v>
      </c>
      <c r="K16" s="604"/>
      <c r="L16" s="604"/>
      <c r="M16" s="604"/>
      <c r="N16" s="604"/>
      <c r="U16" s="693" t="s">
        <v>1342</v>
      </c>
    </row>
    <row r="17" spans="1:21">
      <c r="A17" s="10">
        <f t="shared" si="0"/>
        <v>104</v>
      </c>
      <c r="B17" t="str">
        <f>Produits!$B$40</f>
        <v>Levures - CP</v>
      </c>
      <c r="C17" t="str">
        <f>Secteurs!$B$36</f>
        <v>Direct élevage</v>
      </c>
      <c r="D17">
        <v>-1</v>
      </c>
      <c r="G17" s="10" t="str">
        <f>Etiquettes!$C$3</f>
        <v>kt</v>
      </c>
      <c r="H17" s="10" t="s">
        <v>1340</v>
      </c>
      <c r="I17" s="10" t="str">
        <f>Etiquettes!$C$5</f>
        <v>2015-16:2019-20:2023-24</v>
      </c>
      <c r="J17" s="10" t="str">
        <f>Etiquettes!$C$4</f>
        <v>France entière</v>
      </c>
      <c r="K17" s="604" t="s">
        <v>1669</v>
      </c>
      <c r="L17" s="604"/>
      <c r="M17" s="604" t="s">
        <v>1602</v>
      </c>
      <c r="N17" s="604" t="str" cm="1">
        <f t="array" aca="1" ref="N17" ca="1">[1]!NOM_FEUILLE('Brasserie - Diverses'!$A$1:$B$1)</f>
        <v>Brasserie - Diverses</v>
      </c>
      <c r="O17" s="10" t="str">
        <f>Etiquettes!$J$11</f>
        <v>Répartition</v>
      </c>
      <c r="P17" t="str">
        <f t="shared" ref="P17" si="6">_xlfn.CONCAT(K17," = ",MROUND(D16*100,0.01)," % (",M17,")")</f>
        <v>Part de consommation de levures en direct élevage = 2,08 % (Gisements et valorisations des coproduits des industries agroalimentaires - Réséda)</v>
      </c>
      <c r="Q17" s="10" t="str">
        <f>Etiquettes!$K$15</f>
        <v>Approximative</v>
      </c>
      <c r="R17" s="642" t="s">
        <v>1813</v>
      </c>
      <c r="S17" s="603" t="str">
        <f>Etiquettes!$H$17</f>
        <v>Donnée collectée (valeur du flux ou coefficient)</v>
      </c>
      <c r="U17" s="693"/>
    </row>
    <row r="18" spans="1:21">
      <c r="A18" s="10">
        <f t="shared" si="0"/>
        <v>105</v>
      </c>
      <c r="B18" t="str">
        <f>Produits!$B$40</f>
        <v>Levures - CP</v>
      </c>
      <c r="C18" t="str">
        <f>Secteurs!$B$20</f>
        <v>Débouchés</v>
      </c>
      <c r="D18" s="29">
        <f>'Brasserie - Diverses'!I23</f>
        <v>0.97916666666666663</v>
      </c>
      <c r="G18" s="10" t="str">
        <f>Etiquettes!$C$3</f>
        <v>kt</v>
      </c>
      <c r="H18" s="10" t="s">
        <v>1340</v>
      </c>
      <c r="I18" s="10" t="str">
        <f>Etiquettes!$C$5</f>
        <v>2015-16:2019-20:2023-24</v>
      </c>
      <c r="J18" s="10" t="str">
        <f>Etiquettes!$C$4</f>
        <v>France entière</v>
      </c>
      <c r="K18" s="604"/>
      <c r="L18" s="604"/>
      <c r="M18" s="604"/>
      <c r="N18" s="604"/>
      <c r="U18" s="693"/>
    </row>
    <row r="19" spans="1:21">
      <c r="A19" s="10">
        <f t="shared" si="0"/>
        <v>105</v>
      </c>
      <c r="B19" t="str">
        <f>Produits!$B$40</f>
        <v>Levures - CP</v>
      </c>
      <c r="C19" t="str">
        <f>Secteurs!$B$33</f>
        <v>FAB</v>
      </c>
      <c r="D19">
        <v>-1</v>
      </c>
      <c r="G19" s="10" t="str">
        <f>Etiquettes!$C$3</f>
        <v>kt</v>
      </c>
      <c r="H19" s="10" t="s">
        <v>1340</v>
      </c>
      <c r="I19" s="10" t="str">
        <f>Etiquettes!$C$5</f>
        <v>2015-16:2019-20:2023-24</v>
      </c>
      <c r="J19" s="10" t="str">
        <f>Etiquettes!$C$4</f>
        <v>France entière</v>
      </c>
      <c r="K19" s="604" t="s">
        <v>1670</v>
      </c>
      <c r="L19" s="604"/>
      <c r="M19" s="604" t="s">
        <v>1602</v>
      </c>
      <c r="N19" s="604" t="str" cm="1">
        <f t="array" aca="1" ref="N19" ca="1">[1]!NOM_FEUILLE('Brasserie - Diverses'!$A$1:$B$1)</f>
        <v>Brasserie - Diverses</v>
      </c>
      <c r="O19" s="10" t="str">
        <f>Etiquettes!$J$11</f>
        <v>Répartition</v>
      </c>
      <c r="P19" t="str">
        <f t="shared" ref="P19" si="7">_xlfn.CONCAT(K19," = ",MROUND(D18*100,0.01)," % (",M19,")")</f>
        <v>Part de consommation de levures par les FAB = 97,92 % (Gisements et valorisations des coproduits des industries agroalimentaires - Réséda)</v>
      </c>
      <c r="Q19" s="10" t="str">
        <f>Etiquettes!$K$15</f>
        <v>Approximative</v>
      </c>
      <c r="R19" s="642" t="s">
        <v>1813</v>
      </c>
      <c r="S19" s="603" t="str">
        <f>Etiquettes!$H$17</f>
        <v>Donnée collectée (valeur du flux ou coefficient)</v>
      </c>
      <c r="U19" s="693"/>
    </row>
    <row r="20" spans="1:21">
      <c r="A20" s="10">
        <f t="shared" si="0"/>
        <v>106</v>
      </c>
      <c r="B20" t="str">
        <f>Produits!$B$39</f>
        <v>Drèches</v>
      </c>
      <c r="C20" t="str">
        <f>Secteurs!$B$20</f>
        <v>Débouchés</v>
      </c>
      <c r="D20" s="462">
        <f>'Brasserie - Diverses'!E47</f>
        <v>0.42402826855123676</v>
      </c>
      <c r="G20" s="10" t="str">
        <f>Etiquettes!$C$3</f>
        <v>kt</v>
      </c>
      <c r="H20" s="10" t="s">
        <v>1340</v>
      </c>
      <c r="I20" s="10" t="str">
        <f>Etiquettes!$C$5</f>
        <v>2015-16:2019-20:2023-24</v>
      </c>
      <c r="J20" s="10" t="str">
        <f>Etiquettes!$C$4</f>
        <v>France entière</v>
      </c>
      <c r="K20" s="604"/>
      <c r="L20" s="604"/>
      <c r="M20" s="604"/>
      <c r="N20" s="604"/>
      <c r="U20" s="693"/>
    </row>
    <row r="21" spans="1:21">
      <c r="A21" s="10">
        <f t="shared" si="0"/>
        <v>106</v>
      </c>
      <c r="B21" t="str">
        <f>Produits!$B$39</f>
        <v>Drèches</v>
      </c>
      <c r="C21" t="str">
        <f>Secteurs!$B$35</f>
        <v>FAF</v>
      </c>
      <c r="D21">
        <v>-1</v>
      </c>
      <c r="G21" s="10" t="str">
        <f>Etiquettes!$C$3</f>
        <v>kt</v>
      </c>
      <c r="H21" s="10" t="s">
        <v>1340</v>
      </c>
      <c r="I21" s="10" t="str">
        <f>Etiquettes!$C$5</f>
        <v>2015-16:2019-20:2023-24</v>
      </c>
      <c r="J21" s="10" t="str">
        <f>Etiquettes!$C$4</f>
        <v>France entière</v>
      </c>
      <c r="K21" s="604" t="s">
        <v>1671</v>
      </c>
      <c r="L21" s="604"/>
      <c r="M21" s="604" t="s">
        <v>1603</v>
      </c>
      <c r="N21" s="604" t="str" cm="1">
        <f t="array" aca="1" ref="N21" ca="1">[1]!NOM_FEUILLE('Brasserie - Diverses'!$A$1:$B$1)</f>
        <v>Brasserie - Diverses</v>
      </c>
      <c r="O21" s="10" t="str">
        <f>Etiquettes!$J$11</f>
        <v>Répartition</v>
      </c>
      <c r="P21" t="str">
        <f t="shared" ref="P21" si="8">_xlfn.CONCAT(K21," = ",MROUND(D20*100,0.01)," % (",M21,")")</f>
        <v>Part de consommation des drèches par les FAF = 42,4 % (ONRB - FranceAgriMer)</v>
      </c>
      <c r="Q21" s="10" t="str">
        <f>Etiquettes!$K$15</f>
        <v>Approximative</v>
      </c>
      <c r="R21" s="642" t="s">
        <v>1813</v>
      </c>
      <c r="S21" s="603" t="str">
        <f>Etiquettes!$H$17</f>
        <v>Donnée collectée (valeur du flux ou coefficient)</v>
      </c>
      <c r="U21" s="693"/>
    </row>
    <row r="22" spans="1:21">
      <c r="A22" s="10">
        <f t="shared" si="0"/>
        <v>107</v>
      </c>
      <c r="B22" t="str">
        <f>Produits!$B$39</f>
        <v>Drèches</v>
      </c>
      <c r="C22" t="str">
        <f>Secteurs!$B$20</f>
        <v>Débouchés</v>
      </c>
      <c r="D22" s="462">
        <f>'Brasserie - Diverses'!J47</f>
        <v>0.56183745583038869</v>
      </c>
      <c r="G22" s="10" t="str">
        <f>Etiquettes!$C$3</f>
        <v>kt</v>
      </c>
      <c r="H22" s="10" t="s">
        <v>1340</v>
      </c>
      <c r="I22" s="10" t="str">
        <f>Etiquettes!$C$5</f>
        <v>2015-16:2019-20:2023-24</v>
      </c>
      <c r="J22" s="10" t="str">
        <f>Etiquettes!$C$4</f>
        <v>France entière</v>
      </c>
      <c r="K22" s="604"/>
      <c r="L22" s="604"/>
      <c r="M22" s="604"/>
      <c r="N22" s="604"/>
      <c r="U22" s="693"/>
    </row>
    <row r="23" spans="1:21">
      <c r="A23" s="10">
        <f t="shared" si="0"/>
        <v>107</v>
      </c>
      <c r="B23" t="str">
        <f>Produits!$B$39</f>
        <v>Drèches</v>
      </c>
      <c r="C23" t="str">
        <f>Secteurs!$B$33</f>
        <v>FAB</v>
      </c>
      <c r="D23">
        <v>-1</v>
      </c>
      <c r="G23" s="10" t="str">
        <f>Etiquettes!$C$3</f>
        <v>kt</v>
      </c>
      <c r="H23" s="10" t="s">
        <v>1340</v>
      </c>
      <c r="I23" s="10" t="str">
        <f>Etiquettes!$C$5</f>
        <v>2015-16:2019-20:2023-24</v>
      </c>
      <c r="J23" s="10" t="str">
        <f>Etiquettes!$C$4</f>
        <v>France entière</v>
      </c>
      <c r="K23" s="604" t="s">
        <v>1672</v>
      </c>
      <c r="L23" s="604"/>
      <c r="M23" s="604" t="s">
        <v>1603</v>
      </c>
      <c r="N23" s="604" t="str" cm="1">
        <f t="array" aca="1" ref="N23" ca="1">[1]!NOM_FEUILLE('Brasserie - Diverses'!$A$1:$B$1)</f>
        <v>Brasserie - Diverses</v>
      </c>
      <c r="O23" s="10" t="str">
        <f>Etiquettes!$J$11</f>
        <v>Répartition</v>
      </c>
      <c r="P23" t="str">
        <f t="shared" ref="P23" si="9">_xlfn.CONCAT(K23," = ",MROUND(D22*100,0.01)," % (",M23,")")</f>
        <v>Part de consommation des drèches par les FAB = 56,18 % (ONRB - FranceAgriMer)</v>
      </c>
      <c r="Q23" s="10" t="str">
        <f>Etiquettes!$K$15</f>
        <v>Approximative</v>
      </c>
      <c r="R23" s="642" t="s">
        <v>1813</v>
      </c>
      <c r="S23" s="603" t="str">
        <f>Etiquettes!$H$17</f>
        <v>Donnée collectée (valeur du flux ou coefficient)</v>
      </c>
      <c r="U23" s="693"/>
    </row>
    <row r="24" spans="1:21">
      <c r="A24" s="10">
        <f t="shared" si="0"/>
        <v>108</v>
      </c>
      <c r="B24" t="str">
        <f>Produits!$B$39</f>
        <v>Drèches</v>
      </c>
      <c r="C24" t="str">
        <f>Secteurs!$B$20</f>
        <v>Débouchés</v>
      </c>
      <c r="D24" s="462">
        <f>'Brasserie - Diverses'!O47</f>
        <v>1.0600706713780919E-2</v>
      </c>
      <c r="G24" s="10" t="str">
        <f>Etiquettes!$C$3</f>
        <v>kt</v>
      </c>
      <c r="H24" s="10" t="s">
        <v>1340</v>
      </c>
      <c r="I24" s="10" t="str">
        <f>Etiquettes!$C$5</f>
        <v>2015-16:2019-20:2023-24</v>
      </c>
      <c r="J24" s="10" t="str">
        <f>Etiquettes!$C$4</f>
        <v>France entière</v>
      </c>
      <c r="K24" s="604"/>
      <c r="L24" s="604"/>
      <c r="M24" s="604"/>
      <c r="N24" s="604"/>
      <c r="U24" s="693"/>
    </row>
    <row r="25" spans="1:21">
      <c r="A25" s="10">
        <f t="shared" si="0"/>
        <v>108</v>
      </c>
      <c r="B25" t="str">
        <f>Produits!$B$39</f>
        <v>Drèches</v>
      </c>
      <c r="C25" t="str">
        <f>Secteurs!$B$49</f>
        <v>Compostage</v>
      </c>
      <c r="D25">
        <v>-1</v>
      </c>
      <c r="G25" s="10" t="str">
        <f>Etiquettes!$C$3</f>
        <v>kt</v>
      </c>
      <c r="H25" s="10" t="s">
        <v>1340</v>
      </c>
      <c r="I25" s="10" t="str">
        <f>Etiquettes!$C$5</f>
        <v>2015-16:2019-20:2023-24</v>
      </c>
      <c r="J25" s="10" t="str">
        <f>Etiquettes!$C$4</f>
        <v>France entière</v>
      </c>
      <c r="K25" s="604" t="s">
        <v>1673</v>
      </c>
      <c r="L25" s="604"/>
      <c r="M25" s="604" t="s">
        <v>1603</v>
      </c>
      <c r="N25" s="604" t="str" cm="1">
        <f t="array" aca="1" ref="N25" ca="1">[1]!NOM_FEUILLE('Brasserie - Diverses'!$A$1:$B$1)</f>
        <v>Brasserie - Diverses</v>
      </c>
      <c r="O25" s="10" t="str">
        <f>Etiquettes!$J$11</f>
        <v>Répartition</v>
      </c>
      <c r="P25" t="str">
        <f t="shared" ref="P25" si="10">_xlfn.CONCAT(K25," = ",MROUND(D24*100,0.01)," % (",M25,")")</f>
        <v>Part de consommation des drèches en compostage = 1,06 % (ONRB - FranceAgriMer)</v>
      </c>
      <c r="Q25" s="10" t="str">
        <f>Etiquettes!$K$15</f>
        <v>Approximative</v>
      </c>
      <c r="R25" s="642" t="s">
        <v>1813</v>
      </c>
      <c r="S25" s="603" t="str">
        <f>Etiquettes!$H$17</f>
        <v>Donnée collectée (valeur du flux ou coefficient)</v>
      </c>
      <c r="U25" s="693"/>
    </row>
    <row r="26" spans="1:21">
      <c r="A26" s="10">
        <f t="shared" si="0"/>
        <v>109</v>
      </c>
      <c r="B26" t="str">
        <f>Produits!$B$39</f>
        <v>Drèches</v>
      </c>
      <c r="C26" t="str">
        <f>Secteurs!$B$20</f>
        <v>Débouchés</v>
      </c>
      <c r="D26" s="462">
        <f>'Brasserie - Diverses'!T47</f>
        <v>3.5335689045936395E-3</v>
      </c>
      <c r="G26" s="10" t="str">
        <f>Etiquettes!$C$3</f>
        <v>kt</v>
      </c>
      <c r="H26" s="10" t="s">
        <v>1340</v>
      </c>
      <c r="I26" s="10" t="str">
        <f>Etiquettes!$C$5</f>
        <v>2015-16:2019-20:2023-24</v>
      </c>
      <c r="J26" s="10" t="str">
        <f>Etiquettes!$C$4</f>
        <v>France entière</v>
      </c>
      <c r="K26" s="604"/>
      <c r="L26" s="604"/>
      <c r="M26" s="604"/>
      <c r="N26" s="604"/>
      <c r="U26" s="693"/>
    </row>
    <row r="27" spans="1:21">
      <c r="A27" s="10">
        <f t="shared" si="0"/>
        <v>109</v>
      </c>
      <c r="B27" t="str">
        <f>Produits!$B$39</f>
        <v>Drèches</v>
      </c>
      <c r="C27" t="str">
        <f>Secteurs!$B$45</f>
        <v>Méthanisation</v>
      </c>
      <c r="D27">
        <v>-1</v>
      </c>
      <c r="G27" s="10" t="str">
        <f>Etiquettes!$C$3</f>
        <v>kt</v>
      </c>
      <c r="H27" s="10" t="s">
        <v>1340</v>
      </c>
      <c r="I27" s="10" t="str">
        <f>Etiquettes!$C$5</f>
        <v>2015-16:2019-20:2023-24</v>
      </c>
      <c r="J27" s="10" t="str">
        <f>Etiquettes!$C$4</f>
        <v>France entière</v>
      </c>
      <c r="K27" s="604" t="s">
        <v>1674</v>
      </c>
      <c r="L27" s="604"/>
      <c r="M27" s="604" t="s">
        <v>1603</v>
      </c>
      <c r="N27" s="604" t="str" cm="1">
        <f t="array" aca="1" ref="N27" ca="1">[1]!NOM_FEUILLE('Brasserie - Diverses'!$A$1:$B$1)</f>
        <v>Brasserie - Diverses</v>
      </c>
      <c r="O27" s="10" t="str">
        <f>Etiquettes!$J$11</f>
        <v>Répartition</v>
      </c>
      <c r="P27" t="str">
        <f t="shared" ref="P27" si="11">_xlfn.CONCAT(K27," = ",MROUND(D26*100,0.01)," % (",M27,")")</f>
        <v>Part de consommation des drèches en méthanisation = 0,35 % (ONRB - FranceAgriMer)</v>
      </c>
      <c r="Q27" s="10" t="str">
        <f>Etiquettes!$K$15</f>
        <v>Approximative</v>
      </c>
      <c r="R27" s="642" t="s">
        <v>1813</v>
      </c>
      <c r="S27" s="603" t="str">
        <f>Etiquettes!$H$17</f>
        <v>Donnée collectée (valeur du flux ou coefficient)</v>
      </c>
      <c r="U27" s="693"/>
    </row>
    <row r="28" spans="1:21">
      <c r="A28" s="10">
        <f t="shared" si="0"/>
        <v>110</v>
      </c>
      <c r="B28" t="str">
        <f>Produits!$B$38</f>
        <v>Bière</v>
      </c>
      <c r="C28" t="str">
        <f>Secteurs!$B$20</f>
        <v>Débouchés</v>
      </c>
      <c r="D28" s="462">
        <f>'Brasserie - Diverses'!E74</f>
        <v>0.5</v>
      </c>
      <c r="G28" s="10" t="str">
        <f>Etiquettes!$C$3</f>
        <v>kt</v>
      </c>
      <c r="H28" s="10" t="s">
        <v>1340</v>
      </c>
      <c r="I28" s="10" t="str">
        <f>Etiquettes!$C$5</f>
        <v>2015-16:2019-20:2023-24</v>
      </c>
      <c r="J28" s="10" t="str">
        <f>Etiquettes!$C$4</f>
        <v>France entière</v>
      </c>
      <c r="K28" s="604"/>
      <c r="L28" s="604"/>
      <c r="M28" s="604"/>
      <c r="N28" s="604"/>
      <c r="U28" s="693" t="s">
        <v>1773</v>
      </c>
    </row>
    <row r="29" spans="1:21">
      <c r="A29" s="10">
        <f t="shared" si="0"/>
        <v>110</v>
      </c>
      <c r="B29" t="str">
        <f>Produits!$B$38</f>
        <v>Bière</v>
      </c>
      <c r="C29" t="str">
        <f>Secteurs!$B$24</f>
        <v>Ménages</v>
      </c>
      <c r="D29">
        <v>-1</v>
      </c>
      <c r="G29" s="10" t="str">
        <f>Etiquettes!$C$3</f>
        <v>kt</v>
      </c>
      <c r="H29" s="10" t="s">
        <v>1340</v>
      </c>
      <c r="I29" s="10" t="str">
        <f>Etiquettes!$C$5</f>
        <v>2015-16:2019-20:2023-24</v>
      </c>
      <c r="J29" s="10" t="str">
        <f>Etiquettes!$C$4</f>
        <v>France entière</v>
      </c>
      <c r="K29" s="604" t="s">
        <v>1770</v>
      </c>
      <c r="L29" s="604"/>
      <c r="M29" s="604" t="s">
        <v>1772</v>
      </c>
      <c r="N29" s="604" t="str" cm="1">
        <f t="array" aca="1" ref="N29" ca="1">[1]!NOM_FEUILLE('Brasserie - Diverses'!$A$1:$B$1)</f>
        <v>Brasserie - Diverses</v>
      </c>
      <c r="O29" s="10" t="str">
        <f>Etiquettes!$J$11</f>
        <v>Répartition</v>
      </c>
      <c r="P29" t="str">
        <f t="shared" ref="P29" si="12">_xlfn.CONCAT(K29," = ",MROUND(D28*100,0.01)," % (",M29,")")</f>
        <v>Part de consommation de bière par les ménages = 50 % (Brasseurs de France)</v>
      </c>
      <c r="Q29" s="10" t="str">
        <f>Etiquettes!$L$15</f>
        <v>Indicative</v>
      </c>
      <c r="R29" s="642" t="s">
        <v>1813</v>
      </c>
      <c r="S29" s="603" t="str">
        <f>Etiquettes!$H$17</f>
        <v>Donnée collectée (valeur du flux ou coefficient)</v>
      </c>
      <c r="U29" s="693"/>
    </row>
    <row r="30" spans="1:21">
      <c r="A30" s="10">
        <f t="shared" si="0"/>
        <v>111</v>
      </c>
      <c r="B30" t="str">
        <f>Produits!$B$38</f>
        <v>Bière</v>
      </c>
      <c r="C30" t="str">
        <f>Secteurs!$B$20</f>
        <v>Débouchés</v>
      </c>
      <c r="D30" s="462">
        <f>'Brasserie - Diverses'!E75</f>
        <v>0.5</v>
      </c>
      <c r="G30" s="10" t="str">
        <f>Etiquettes!$C$3</f>
        <v>kt</v>
      </c>
      <c r="H30" s="10" t="s">
        <v>1340</v>
      </c>
      <c r="I30" s="10" t="str">
        <f>Etiquettes!$C$5</f>
        <v>2015-16:2019-20:2023-24</v>
      </c>
      <c r="J30" s="10" t="str">
        <f>Etiquettes!$C$4</f>
        <v>France entière</v>
      </c>
      <c r="K30" s="604"/>
      <c r="L30" s="604"/>
      <c r="M30" s="604"/>
      <c r="N30" s="604"/>
      <c r="U30" s="693"/>
    </row>
    <row r="31" spans="1:21">
      <c r="A31" s="10">
        <f t="shared" si="0"/>
        <v>111</v>
      </c>
      <c r="B31" t="str">
        <f>Produits!$B$38</f>
        <v>Bière</v>
      </c>
      <c r="C31" t="str">
        <f>Secteurs!$B$29</f>
        <v>RHD</v>
      </c>
      <c r="D31">
        <v>-1</v>
      </c>
      <c r="G31" s="10" t="str">
        <f>Etiquettes!$C$3</f>
        <v>kt</v>
      </c>
      <c r="H31" s="10" t="s">
        <v>1340</v>
      </c>
      <c r="I31" s="10" t="str">
        <f>Etiquettes!$C$5</f>
        <v>2015-16:2019-20:2023-24</v>
      </c>
      <c r="J31" s="10" t="str">
        <f>Etiquettes!$C$4</f>
        <v>France entière</v>
      </c>
      <c r="K31" s="604" t="s">
        <v>1771</v>
      </c>
      <c r="L31" s="604"/>
      <c r="M31" s="604" t="s">
        <v>1772</v>
      </c>
      <c r="N31" s="604" t="str" cm="1">
        <f t="array" aca="1" ref="N31" ca="1">[1]!NOM_FEUILLE('Brasserie - Diverses'!$A$1:$B$1)</f>
        <v>Brasserie - Diverses</v>
      </c>
      <c r="O31" s="10" t="str">
        <f>Etiquettes!$J$11</f>
        <v>Répartition</v>
      </c>
      <c r="P31" t="str">
        <f t="shared" ref="P31" si="13">_xlfn.CONCAT(K31," = ",MROUND(D30*100,0.01)," % (",M31,")")</f>
        <v>Part de consommation de bière en RHD = 50 % (Brasseurs de France)</v>
      </c>
      <c r="Q31" s="10" t="str">
        <f>Etiquettes!$L$15</f>
        <v>Indicative</v>
      </c>
      <c r="R31" s="642" t="s">
        <v>1813</v>
      </c>
      <c r="S31" s="603" t="str">
        <f>Etiquettes!$H$17</f>
        <v>Donnée collectée (valeur du flux ou coefficient)</v>
      </c>
      <c r="U31" s="693"/>
    </row>
  </sheetData>
  <mergeCells count="3">
    <mergeCell ref="U2:U15"/>
    <mergeCell ref="U16:U27"/>
    <mergeCell ref="U28:U3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E9169-6A84-421F-AE84-0D65CD915369}">
  <sheetPr>
    <tabColor theme="1"/>
  </sheetPr>
  <dimension ref="A1:Q16"/>
  <sheetViews>
    <sheetView workbookViewId="0">
      <pane xSplit="2" ySplit="1" topLeftCell="C2" activePane="bottomRight" state="frozen"/>
      <selection activeCell="G1" sqref="G1:G1048576"/>
      <selection pane="topRight" activeCell="G1" sqref="G1:G1048576"/>
      <selection pane="bottomLeft" activeCell="G1" sqref="G1:G1048576"/>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16"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6">_xlfn._xlws.FILTER('Contraintes            '!B2:C200,ISTEXT('Contraintes            '!O2:O200))</f>
        <v>Brasserie</v>
      </c>
      <c r="B2" t="str">
        <v>Bière</v>
      </c>
      <c r="E2" t="str">
        <f ca="1"/>
        <v>kt</v>
      </c>
      <c r="F2" t="str">
        <f ca="1"/>
        <v>Blé tendre:Orge</v>
      </c>
      <c r="G2" t="str">
        <f ca="1"/>
        <v>2015-16:2019-20:2023-24</v>
      </c>
      <c r="H2" t="str">
        <f ca="1"/>
        <v>France entière</v>
      </c>
      <c r="I2" t="str">
        <f ca="1"/>
        <v>Rendement en bière de la Brasserie</v>
      </c>
      <c r="J2">
        <f ca="1"/>
        <v>0</v>
      </c>
      <c r="K2" t="str">
        <f ca="1"/>
        <v>Des chiffres et des céréales - Intercéréales</v>
      </c>
      <c r="L2" t="str">
        <f ca="1"/>
        <v>Brasserie - Diverses</v>
      </c>
      <c r="M2" t="str">
        <f ca="1"/>
        <v>Rendement</v>
      </c>
      <c r="N2" t="str">
        <f ca="1"/>
        <v>Rendement en bière de la Brasserie = 17,5 % (Des chiffres et des céréales - Intercéréales)</v>
      </c>
      <c r="O2" t="str">
        <f ca="1"/>
        <v>Approximative</v>
      </c>
      <c r="P2" t="str">
        <f ca="1"/>
        <v>Données collectées:Données déterminées</v>
      </c>
      <c r="Q2" t="str">
        <f ca="1"/>
        <v>Donnée collectée (valeur du flux ou coefficient)</v>
      </c>
    </row>
    <row r="3" spans="1:17">
      <c r="A3" t="str">
        <v>Eau - MP</v>
      </c>
      <c r="B3" t="str">
        <v>Brasserie</v>
      </c>
      <c r="E3" t="str">
        <f ca="1"/>
        <v>kt</v>
      </c>
      <c r="F3" t="str">
        <f ca="1"/>
        <v>Blé tendre:Orge</v>
      </c>
      <c r="G3" t="str">
        <f ca="1"/>
        <v>2015-16:2019-20:2023-24</v>
      </c>
      <c r="H3" t="str">
        <f ca="1"/>
        <v>France entière</v>
      </c>
      <c r="I3" t="str">
        <f ca="1"/>
        <v>Approvisionnement en eau de la Brasserie</v>
      </c>
      <c r="J3">
        <f ca="1"/>
        <v>0</v>
      </c>
      <c r="K3" t="str">
        <f ca="1"/>
        <v>Des chiffres et des céréales - Intercéréales</v>
      </c>
      <c r="L3" t="str">
        <f ca="1"/>
        <v>Brasserie - Diverses</v>
      </c>
      <c r="M3" t="str">
        <f ca="1"/>
        <v>Rendement</v>
      </c>
      <c r="N3" t="str">
        <f ca="1"/>
        <v>Approvisionnement en eau de la Brasserie = 400 % (Des chiffres et des céréales - Intercéréales)</v>
      </c>
      <c r="O3" t="str">
        <f ca="1"/>
        <v>Approximative</v>
      </c>
      <c r="P3" t="str">
        <f ca="1"/>
        <v>Données collectées:Données déterminées</v>
      </c>
      <c r="Q3" t="str">
        <f ca="1"/>
        <v>Donnée collectée (valeur du flux ou coefficient)</v>
      </c>
    </row>
    <row r="4" spans="1:17">
      <c r="A4" t="str">
        <v>Levures - MP</v>
      </c>
      <c r="B4" t="str">
        <v>Brasserie</v>
      </c>
      <c r="E4" t="str">
        <f ca="1"/>
        <v>kt</v>
      </c>
      <c r="F4" t="str">
        <f ca="1"/>
        <v>Blé tendre:Orge</v>
      </c>
      <c r="G4" t="str">
        <f ca="1"/>
        <v>2015-16:2019-20:2023-24</v>
      </c>
      <c r="H4" t="str">
        <f ca="1"/>
        <v>France entière</v>
      </c>
      <c r="I4" t="str">
        <f ca="1"/>
        <v>Approvisionnement levures de la Brasserie</v>
      </c>
      <c r="J4">
        <f ca="1"/>
        <v>0</v>
      </c>
      <c r="K4" t="str">
        <f ca="1"/>
        <v>Des chiffres et des céréales - Intercéréales</v>
      </c>
      <c r="L4" t="str">
        <f ca="1"/>
        <v>Brasserie - Diverses</v>
      </c>
      <c r="M4" t="str">
        <f ca="1"/>
        <v>Rendement</v>
      </c>
      <c r="N4" t="str">
        <f ca="1"/>
        <v>Approvisionnement levures de la Brasserie = 2,52 % (Des chiffres et des céréales - Intercéréales)</v>
      </c>
      <c r="O4" t="str">
        <f ca="1"/>
        <v>Approximative</v>
      </c>
      <c r="P4" t="str">
        <f ca="1"/>
        <v>Données collectées:Données déterminées</v>
      </c>
      <c r="Q4" t="str">
        <f ca="1"/>
        <v>Donnée collectée (valeur du flux ou coefficient)</v>
      </c>
    </row>
    <row r="5" spans="1:17">
      <c r="A5" t="str">
        <v>Houblon</v>
      </c>
      <c r="B5" t="str">
        <v>Brasserie</v>
      </c>
      <c r="E5" t="str">
        <f ca="1"/>
        <v>kt</v>
      </c>
      <c r="F5" t="str">
        <f ca="1"/>
        <v>Blé tendre:Orge</v>
      </c>
      <c r="G5" t="str">
        <f ca="1"/>
        <v>2015-16:2019-20:2023-24</v>
      </c>
      <c r="H5" t="str">
        <f ca="1"/>
        <v>France entière</v>
      </c>
      <c r="I5" t="str">
        <f ca="1"/>
        <v>Approvisionnement en houblon de la Brasserie</v>
      </c>
      <c r="J5">
        <f ca="1"/>
        <v>0</v>
      </c>
      <c r="K5" t="str">
        <f ca="1"/>
        <v>Des chiffres et des céréales - Intercéréales</v>
      </c>
      <c r="L5" t="str">
        <f ca="1"/>
        <v>Brasserie - Diverses</v>
      </c>
      <c r="M5" t="str">
        <f ca="1"/>
        <v>Rendement</v>
      </c>
      <c r="N5" t="str">
        <f ca="1"/>
        <v>Approvisionnement en houblon de la Brasserie = 0,15 % (Des chiffres et des céréales - Intercéréales)</v>
      </c>
      <c r="O5" t="str">
        <f ca="1"/>
        <v>Approximative</v>
      </c>
      <c r="P5" t="str">
        <f ca="1"/>
        <v>Données collectées:Données déterminées</v>
      </c>
      <c r="Q5" t="str">
        <f ca="1"/>
        <v>Donnée collectée (valeur du flux ou coefficient)</v>
      </c>
    </row>
    <row r="6" spans="1:17">
      <c r="A6" t="str">
        <v>Brasserie</v>
      </c>
      <c r="B6" t="str">
        <v>Drèches</v>
      </c>
      <c r="E6" t="str">
        <f ca="1"/>
        <v>kt</v>
      </c>
      <c r="F6" t="str">
        <f ca="1"/>
        <v>Blé tendre:Orge</v>
      </c>
      <c r="G6" t="str">
        <f ca="1"/>
        <v>2015-16:2019-20:2023-24</v>
      </c>
      <c r="H6" t="str">
        <f ca="1"/>
        <v>France entière</v>
      </c>
      <c r="I6" t="str">
        <f ca="1"/>
        <v>Part de drèches produites (par rapport à la bière)</v>
      </c>
      <c r="J6">
        <f ca="1"/>
        <v>0</v>
      </c>
      <c r="K6" t="str">
        <f ca="1"/>
        <v>Gisements et valorisations des coproduits des industries agroalimentaires - Réséda</v>
      </c>
      <c r="L6" t="str">
        <f ca="1"/>
        <v>Brasserie - Diverses</v>
      </c>
      <c r="M6" t="str">
        <f ca="1"/>
        <v>Répartition</v>
      </c>
      <c r="N6" t="str">
        <f ca="1"/>
        <v>Part de drèches produites (par rapport à la bière) = 14,98 % (Gisements et valorisations des coproduits des industries agroalimentaires - Réséda)</v>
      </c>
      <c r="O6" t="str">
        <f ca="1"/>
        <v>Approximative</v>
      </c>
      <c r="P6" t="str">
        <f ca="1"/>
        <v>Données collectées:Données déterminées</v>
      </c>
      <c r="Q6" t="str">
        <f ca="1"/>
        <v>Donnée collectée (valeur du flux ou coefficient)</v>
      </c>
    </row>
    <row r="7" spans="1:17">
      <c r="A7" t="str">
        <v>Brasserie</v>
      </c>
      <c r="B7" t="str">
        <v>Levures - CP</v>
      </c>
      <c r="E7" t="str">
        <f ca="1"/>
        <v>kt</v>
      </c>
      <c r="F7" t="str">
        <f ca="1"/>
        <v>Blé tendre:Orge</v>
      </c>
      <c r="G7" t="str">
        <f ca="1"/>
        <v>2015-16:2019-20:2023-24</v>
      </c>
      <c r="H7" t="str">
        <f ca="1"/>
        <v>France entière</v>
      </c>
      <c r="I7" t="str">
        <f ca="1"/>
        <v>Part de levures produites (par rapport à la bière)</v>
      </c>
      <c r="J7">
        <f ca="1"/>
        <v>0</v>
      </c>
      <c r="K7" t="str">
        <f ca="1"/>
        <v>Gisements et valorisations des coproduits des industries agroalimentaires - Réséda</v>
      </c>
      <c r="L7" t="str">
        <f ca="1"/>
        <v>Brasserie - Diverses</v>
      </c>
      <c r="M7" t="str">
        <f ca="1"/>
        <v>Répartition</v>
      </c>
      <c r="N7" t="str">
        <f ca="1"/>
        <v>Part de levures produites (par rapport à la bière) = 2,52 % (Gisements et valorisations des coproduits des industries agroalimentaires - Réséda)</v>
      </c>
      <c r="O7" t="str">
        <f ca="1"/>
        <v>Approximative</v>
      </c>
      <c r="P7" t="str">
        <f ca="1"/>
        <v>Données collectées:Données déterminées</v>
      </c>
      <c r="Q7" t="str">
        <f ca="1"/>
        <v>Donnée collectée (valeur du flux ou coefficient)</v>
      </c>
    </row>
    <row r="8" spans="1:17">
      <c r="A8" t="str">
        <v>Brasserie</v>
      </c>
      <c r="B8" t="str">
        <v>Kieselguhr</v>
      </c>
      <c r="E8" t="str">
        <f ca="1"/>
        <v>kt</v>
      </c>
      <c r="F8" t="str">
        <f ca="1"/>
        <v>Blé tendre:Orge</v>
      </c>
      <c r="G8" t="str">
        <f ca="1"/>
        <v>2015-16:2019-20:2023-24</v>
      </c>
      <c r="H8" t="str">
        <f ca="1"/>
        <v>France entière</v>
      </c>
      <c r="I8" t="str">
        <f ca="1"/>
        <v>Part de kieselghur produit (par rapport à la bière)</v>
      </c>
      <c r="J8">
        <f ca="1"/>
        <v>0</v>
      </c>
      <c r="K8" t="str">
        <f ca="1"/>
        <v>Gisements et valorisations des coproduits des industries agroalimentaires - Réséda</v>
      </c>
      <c r="L8" t="str">
        <f ca="1"/>
        <v>Brasserie - Diverses</v>
      </c>
      <c r="M8" t="str">
        <f ca="1"/>
        <v>Répartition</v>
      </c>
      <c r="N8" t="str">
        <f ca="1"/>
        <v>Part de kieselghur produit (par rapport à la bière) = 0,28 % (Gisements et valorisations des coproduits des industries agroalimentaires - Réséda)</v>
      </c>
      <c r="O8" t="str">
        <f ca="1"/>
        <v>Approximative</v>
      </c>
      <c r="P8" t="str">
        <f ca="1"/>
        <v>Données collectées:Données déterminées</v>
      </c>
      <c r="Q8" t="str">
        <f ca="1"/>
        <v>Donnée collectée (valeur du flux ou coefficient)</v>
      </c>
    </row>
    <row r="9" spans="1:17">
      <c r="A9" t="str">
        <v>Levures - CP</v>
      </c>
      <c r="B9" t="str">
        <v>Direct élevage</v>
      </c>
      <c r="E9" t="str">
        <f ca="1"/>
        <v>kt</v>
      </c>
      <c r="F9" t="str">
        <f ca="1"/>
        <v>Blé tendre:Orge</v>
      </c>
      <c r="G9" t="str">
        <f ca="1"/>
        <v>2015-16:2019-20:2023-24</v>
      </c>
      <c r="H9" t="str">
        <f ca="1"/>
        <v>France entière</v>
      </c>
      <c r="I9" t="str">
        <f ca="1"/>
        <v>Part de consommation de levures en direct élevage</v>
      </c>
      <c r="J9">
        <f ca="1"/>
        <v>0</v>
      </c>
      <c r="K9" t="str">
        <f ca="1"/>
        <v>Gisements et valorisations des coproduits des industries agroalimentaires - Réséda</v>
      </c>
      <c r="L9" t="str">
        <f ca="1"/>
        <v>Brasserie - Diverses</v>
      </c>
      <c r="M9" t="str">
        <f ca="1"/>
        <v>Répartition</v>
      </c>
      <c r="N9" t="str">
        <f ca="1"/>
        <v>Part de consommation de levures en direct élevage = 2,08 % (Gisements et valorisations des coproduits des industries agroalimentaires - Réséda)</v>
      </c>
      <c r="O9" t="str">
        <f ca="1"/>
        <v>Approximative</v>
      </c>
      <c r="P9" t="str">
        <f ca="1"/>
        <v>Données collectées:Données déterminées</v>
      </c>
      <c r="Q9" t="str">
        <f ca="1"/>
        <v>Donnée collectée (valeur du flux ou coefficient)</v>
      </c>
    </row>
    <row r="10" spans="1:17">
      <c r="A10" t="str">
        <v>Levures - CP</v>
      </c>
      <c r="B10" t="str">
        <v>FAB</v>
      </c>
      <c r="E10" t="str">
        <f ca="1"/>
        <v>kt</v>
      </c>
      <c r="F10" t="str">
        <f ca="1"/>
        <v>Blé tendre:Orge</v>
      </c>
      <c r="G10" t="str">
        <f ca="1"/>
        <v>2015-16:2019-20:2023-24</v>
      </c>
      <c r="H10" t="str">
        <f ca="1"/>
        <v>France entière</v>
      </c>
      <c r="I10" t="str">
        <f ca="1"/>
        <v>Part de consommation de levures par les FAB</v>
      </c>
      <c r="J10">
        <f ca="1"/>
        <v>0</v>
      </c>
      <c r="K10" t="str">
        <f ca="1"/>
        <v>Gisements et valorisations des coproduits des industries agroalimentaires - Réséda</v>
      </c>
      <c r="L10" t="str">
        <f ca="1"/>
        <v>Brasserie - Diverses</v>
      </c>
      <c r="M10" t="str">
        <f ca="1"/>
        <v>Répartition</v>
      </c>
      <c r="N10" t="str">
        <f ca="1"/>
        <v>Part de consommation de levures par les FAB = 97,92 % (Gisements et valorisations des coproduits des industries agroalimentaires - Réséda)</v>
      </c>
      <c r="O10" t="str">
        <f ca="1"/>
        <v>Approximative</v>
      </c>
      <c r="P10" t="str">
        <f ca="1"/>
        <v>Données collectées:Données déterminées</v>
      </c>
      <c r="Q10" t="str">
        <f ca="1"/>
        <v>Donnée collectée (valeur du flux ou coefficient)</v>
      </c>
    </row>
    <row r="11" spans="1:17">
      <c r="A11" t="str">
        <v>Drèches</v>
      </c>
      <c r="B11" t="str">
        <v>FAF</v>
      </c>
      <c r="E11" t="str">
        <f ca="1"/>
        <v>kt</v>
      </c>
      <c r="F11" t="str">
        <f ca="1"/>
        <v>Blé tendre:Orge</v>
      </c>
      <c r="G11" t="str">
        <f ca="1"/>
        <v>2015-16:2019-20:2023-24</v>
      </c>
      <c r="H11" t="str">
        <f ca="1"/>
        <v>France entière</v>
      </c>
      <c r="I11" t="str">
        <f ca="1"/>
        <v>Part de consommation des drèches par les FAF</v>
      </c>
      <c r="J11">
        <f ca="1"/>
        <v>0</v>
      </c>
      <c r="K11" t="str">
        <f ca="1"/>
        <v>ONRB - FranceAgriMer</v>
      </c>
      <c r="L11" t="str">
        <f ca="1"/>
        <v>Brasserie - Diverses</v>
      </c>
      <c r="M11" t="str">
        <f ca="1"/>
        <v>Répartition</v>
      </c>
      <c r="N11" t="str">
        <f ca="1"/>
        <v>Part de consommation des drèches par les FAF = 42,4 % (ONRB - FranceAgriMer)</v>
      </c>
      <c r="O11" t="str">
        <f ca="1"/>
        <v>Approximative</v>
      </c>
      <c r="P11" t="str">
        <f ca="1"/>
        <v>Données collectées:Données déterminées</v>
      </c>
      <c r="Q11" t="str">
        <f ca="1"/>
        <v>Donnée collectée (valeur du flux ou coefficient)</v>
      </c>
    </row>
    <row r="12" spans="1:17">
      <c r="A12" t="str">
        <v>Drèches</v>
      </c>
      <c r="B12" t="str">
        <v>FAB</v>
      </c>
      <c r="E12" t="str">
        <f ca="1"/>
        <v>kt</v>
      </c>
      <c r="F12" t="str">
        <f ca="1"/>
        <v>Blé tendre:Orge</v>
      </c>
      <c r="G12" t="str">
        <f ca="1"/>
        <v>2015-16:2019-20:2023-24</v>
      </c>
      <c r="H12" t="str">
        <f ca="1"/>
        <v>France entière</v>
      </c>
      <c r="I12" t="str">
        <f ca="1"/>
        <v>Part de consommation des drèches par les FAB</v>
      </c>
      <c r="J12">
        <f ca="1"/>
        <v>0</v>
      </c>
      <c r="K12" t="str">
        <f ca="1"/>
        <v>ONRB - FranceAgriMer</v>
      </c>
      <c r="L12" t="str">
        <f ca="1"/>
        <v>Brasserie - Diverses</v>
      </c>
      <c r="M12" t="str">
        <f ca="1"/>
        <v>Répartition</v>
      </c>
      <c r="N12" t="str">
        <f ca="1"/>
        <v>Part de consommation des drèches par les FAB = 56,18 % (ONRB - FranceAgriMer)</v>
      </c>
      <c r="O12" t="str">
        <f ca="1"/>
        <v>Approximative</v>
      </c>
      <c r="P12" t="str">
        <f ca="1"/>
        <v>Données collectées:Données déterminées</v>
      </c>
      <c r="Q12" t="str">
        <f ca="1"/>
        <v>Donnée collectée (valeur du flux ou coefficient)</v>
      </c>
    </row>
    <row r="13" spans="1:17">
      <c r="A13" t="str">
        <v>Drèches</v>
      </c>
      <c r="B13" t="str">
        <v>Compostage</v>
      </c>
      <c r="E13" t="str">
        <f ca="1"/>
        <v>kt</v>
      </c>
      <c r="F13" t="str">
        <f ca="1"/>
        <v>Blé tendre:Orge</v>
      </c>
      <c r="G13" t="str">
        <f ca="1"/>
        <v>2015-16:2019-20:2023-24</v>
      </c>
      <c r="H13" t="str">
        <f ca="1"/>
        <v>France entière</v>
      </c>
      <c r="I13" t="str">
        <f ca="1"/>
        <v>Part de consommation des drèches en compostage</v>
      </c>
      <c r="J13">
        <f ca="1"/>
        <v>0</v>
      </c>
      <c r="K13" t="str">
        <f ca="1"/>
        <v>ONRB - FranceAgriMer</v>
      </c>
      <c r="L13" t="str">
        <f ca="1"/>
        <v>Brasserie - Diverses</v>
      </c>
      <c r="M13" t="str">
        <f ca="1"/>
        <v>Répartition</v>
      </c>
      <c r="N13" t="str">
        <f ca="1"/>
        <v>Part de consommation des drèches en compostage = 1,06 % (ONRB - FranceAgriMer)</v>
      </c>
      <c r="O13" t="str">
        <f ca="1"/>
        <v>Approximative</v>
      </c>
      <c r="P13" t="str">
        <f ca="1"/>
        <v>Données collectées:Données déterminées</v>
      </c>
      <c r="Q13" t="str">
        <f ca="1"/>
        <v>Donnée collectée (valeur du flux ou coefficient)</v>
      </c>
    </row>
    <row r="14" spans="1:17">
      <c r="A14" t="str">
        <v>Drèches</v>
      </c>
      <c r="B14" t="str">
        <v>Méthanisation</v>
      </c>
      <c r="E14" t="str">
        <f ca="1"/>
        <v>kt</v>
      </c>
      <c r="F14" t="str">
        <f ca="1"/>
        <v>Blé tendre:Orge</v>
      </c>
      <c r="G14" t="str">
        <f ca="1"/>
        <v>2015-16:2019-20:2023-24</v>
      </c>
      <c r="H14" t="str">
        <f ca="1"/>
        <v>France entière</v>
      </c>
      <c r="I14" t="str">
        <f ca="1"/>
        <v>Part de consommation des drèches en méthanisation</v>
      </c>
      <c r="J14">
        <f ca="1"/>
        <v>0</v>
      </c>
      <c r="K14" t="str">
        <f ca="1"/>
        <v>ONRB - FranceAgriMer</v>
      </c>
      <c r="L14" t="str">
        <f ca="1"/>
        <v>Brasserie - Diverses</v>
      </c>
      <c r="M14" t="str">
        <f ca="1"/>
        <v>Répartition</v>
      </c>
      <c r="N14" t="str">
        <f ca="1"/>
        <v>Part de consommation des drèches en méthanisation = 0,35 % (ONRB - FranceAgriMer)</v>
      </c>
      <c r="O14" t="str">
        <f ca="1"/>
        <v>Approximative</v>
      </c>
      <c r="P14" t="str">
        <f ca="1"/>
        <v>Données collectées:Données déterminées</v>
      </c>
      <c r="Q14" t="str">
        <f ca="1"/>
        <v>Donnée collectée (valeur du flux ou coefficient)</v>
      </c>
    </row>
    <row r="15" spans="1:17">
      <c r="A15" t="str">
        <v>Bière</v>
      </c>
      <c r="B15" t="str">
        <v>Ménages</v>
      </c>
      <c r="E15" t="str">
        <f ca="1"/>
        <v>kt</v>
      </c>
      <c r="F15" t="str">
        <f ca="1"/>
        <v>Blé tendre:Orge</v>
      </c>
      <c r="G15" t="str">
        <f ca="1"/>
        <v>2015-16:2019-20:2023-24</v>
      </c>
      <c r="H15" t="str">
        <f ca="1"/>
        <v>France entière</v>
      </c>
      <c r="I15" t="str">
        <f ca="1"/>
        <v>Part de consommation de bière par les ménages</v>
      </c>
      <c r="J15">
        <f ca="1"/>
        <v>0</v>
      </c>
      <c r="K15" t="str">
        <f ca="1"/>
        <v>Brasseurs de France</v>
      </c>
      <c r="L15" t="str">
        <f ca="1"/>
        <v>Brasserie - Diverses</v>
      </c>
      <c r="M15" t="str">
        <f ca="1"/>
        <v>Répartition</v>
      </c>
      <c r="N15" t="str">
        <f ca="1"/>
        <v>Part de consommation de bière par les ménages = 50 % (Brasseurs de France)</v>
      </c>
      <c r="O15" t="str">
        <f ca="1"/>
        <v>Indicative</v>
      </c>
      <c r="P15" t="str">
        <f ca="1"/>
        <v>Données collectées:Données déterminées</v>
      </c>
      <c r="Q15" t="str">
        <f ca="1"/>
        <v>Donnée collectée (valeur du flux ou coefficient)</v>
      </c>
    </row>
    <row r="16" spans="1:17">
      <c r="A16" t="str">
        <v>Bière</v>
      </c>
      <c r="B16" t="str">
        <v>RHD</v>
      </c>
      <c r="E16" t="str">
        <f ca="1"/>
        <v>kt</v>
      </c>
      <c r="F16" t="str">
        <f ca="1"/>
        <v>Blé tendre:Orge</v>
      </c>
      <c r="G16" t="str">
        <f ca="1"/>
        <v>2015-16:2019-20:2023-24</v>
      </c>
      <c r="H16" t="str">
        <f ca="1"/>
        <v>France entière</v>
      </c>
      <c r="I16" t="str">
        <f ca="1"/>
        <v>Part de consommation de bière en RHD</v>
      </c>
      <c r="J16">
        <f ca="1"/>
        <v>0</v>
      </c>
      <c r="K16" t="str">
        <f ca="1"/>
        <v>Brasseurs de France</v>
      </c>
      <c r="L16" t="str">
        <f ca="1"/>
        <v>Brasserie - Diverses</v>
      </c>
      <c r="M16" t="str">
        <f ca="1"/>
        <v>Répartition</v>
      </c>
      <c r="N16" t="str">
        <f ca="1"/>
        <v>Part de consommation de bière en RHD = 50 % (Brasseurs de France)</v>
      </c>
      <c r="O16" t="str">
        <f ca="1"/>
        <v>Indicative</v>
      </c>
      <c r="P16" t="str">
        <f ca="1"/>
        <v>Données collectées:Données déterminées</v>
      </c>
      <c r="Q16" t="str">
        <f ca="1"/>
        <v>Donnée collectée (valeur du flux ou coefficient)</v>
      </c>
    </row>
  </sheetData>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3214-3403-444D-B24B-56F310EA20DF}">
  <sheetPr>
    <tabColor rgb="FF0070C0"/>
  </sheetPr>
  <dimension ref="A1:BC99"/>
  <sheetViews>
    <sheetView topLeftCell="B2" workbookViewId="0">
      <pane xSplit="1" ySplit="1" topLeftCell="C66" activePane="bottomRight" state="frozen"/>
      <selection activeCell="B2" sqref="B2"/>
      <selection pane="topRight" activeCell="C2" sqref="C2"/>
      <selection pane="bottomLeft" activeCell="B3" sqref="B3"/>
      <selection pane="bottomRight" activeCell="A77" sqref="A1:BC99"/>
    </sheetView>
  </sheetViews>
  <sheetFormatPr baseColWidth="10" defaultColWidth="9.109375" defaultRowHeight="14.4"/>
  <cols>
    <col min="1" max="1" width="9.109375" hidden="1" customWidth="1"/>
    <col min="2" max="2" width="36.6640625" customWidth="1"/>
    <col min="3" max="55" width="2.6640625" customWidth="1"/>
  </cols>
  <sheetData>
    <row r="1" spans="2:55" hidden="1"/>
    <row r="2" spans="2:55" ht="135.6" customHeight="1">
      <c r="B2" s="16" t="s">
        <v>12</v>
      </c>
      <c r="C2" s="17" t="str">
        <f>Secteurs!B2</f>
        <v>Récolte</v>
      </c>
      <c r="D2" s="17" t="str">
        <f>Secteurs!B3</f>
        <v>Ferme</v>
      </c>
      <c r="E2" s="17" t="str">
        <f>Secteurs!B4</f>
        <v>OS</v>
      </c>
      <c r="F2" s="17" t="str">
        <f>Secteurs!B5</f>
        <v>Semences</v>
      </c>
      <c r="G2" s="17" t="str">
        <f>Secteurs!B6</f>
        <v>Semences fermières</v>
      </c>
      <c r="H2" s="17" t="str">
        <f>Secteurs!B7</f>
        <v>Semences certifiées</v>
      </c>
      <c r="I2" s="17" t="str">
        <f>Secteurs!B8</f>
        <v>Meunerie</v>
      </c>
      <c r="J2" s="17" t="str">
        <f>Secteurs!B9</f>
        <v>Amidonnerie / Glutennerie</v>
      </c>
      <c r="K2" s="17" t="str">
        <f>Secteurs!B10</f>
        <v>Semoulerie</v>
      </c>
      <c r="L2" s="17" t="str">
        <f>Secteurs!B11</f>
        <v>Indus. pâtes &amp; couscous</v>
      </c>
      <c r="M2" s="17" t="str">
        <f>Secteurs!B12</f>
        <v>Malterie</v>
      </c>
      <c r="N2" s="17" t="str">
        <f>Secteurs!B13</f>
        <v>Brasserie</v>
      </c>
      <c r="O2" s="17" t="str">
        <f>Secteurs!B14</f>
        <v>Distillerie</v>
      </c>
      <c r="P2" s="17" t="str">
        <f>Secteurs!B15</f>
        <v>Indus. popcorn</v>
      </c>
      <c r="Q2" s="17" t="str">
        <f>Secteurs!B16</f>
        <v>Décorticage</v>
      </c>
      <c r="R2" s="17" t="str">
        <f>Secteurs!B17</f>
        <v>Usinage</v>
      </c>
      <c r="S2" s="17" t="str">
        <f>Secteurs!B18</f>
        <v>Usinage - Riz paddy</v>
      </c>
      <c r="T2" s="17" t="str">
        <f>Secteurs!B19</f>
        <v>Usinage - Riz décortiqué</v>
      </c>
      <c r="U2" s="17" t="str">
        <f>Secteurs!B20</f>
        <v>Débouchés</v>
      </c>
      <c r="V2" s="17" t="str">
        <f>Secteurs!B21</f>
        <v>Usages alimentaires</v>
      </c>
      <c r="W2" s="17" t="str">
        <f>Secteurs!B22</f>
        <v>Alimentation humaine</v>
      </c>
      <c r="X2" s="17" t="str">
        <f>Secteurs!B23</f>
        <v>Vente directe et autoconsommation</v>
      </c>
      <c r="Y2" s="17" t="str">
        <f>Secteurs!B24</f>
        <v>Ménages</v>
      </c>
      <c r="Z2" s="17" t="str">
        <f>Secteurs!B25</f>
        <v>Circuits spécialisés</v>
      </c>
      <c r="AA2" s="17" t="str">
        <f>Secteurs!B26</f>
        <v>Boulangerie-Pâtisserie artisanale</v>
      </c>
      <c r="AB2" s="17" t="str">
        <f>Secteurs!B27</f>
        <v>Circuits généralistes</v>
      </c>
      <c r="AC2" s="17" t="str">
        <f>Secteurs!B28</f>
        <v>GMS</v>
      </c>
      <c r="AD2" s="17" t="str">
        <f>Secteurs!B29</f>
        <v>RHD</v>
      </c>
      <c r="AE2" s="17" t="str">
        <f>Secteurs!B30</f>
        <v>Autres IAA</v>
      </c>
      <c r="AF2" s="17" t="str">
        <f>Secteurs!B31</f>
        <v>Alimentation animale</v>
      </c>
      <c r="AG2" s="17" t="str">
        <f>Secteurs!B32</f>
        <v>Alimentation animale rente</v>
      </c>
      <c r="AH2" s="17" t="str">
        <f>Secteurs!B33</f>
        <v>FAB</v>
      </c>
      <c r="AI2" s="17" t="str">
        <f>Secteurs!B34</f>
        <v>Hors FAB</v>
      </c>
      <c r="AJ2" s="17" t="str">
        <f>Secteurs!B35</f>
        <v>FAF</v>
      </c>
      <c r="AK2" s="17" t="str">
        <f>Secteurs!B36</f>
        <v>Direct élevage</v>
      </c>
      <c r="AL2" s="17" t="str">
        <f>Secteurs!B37</f>
        <v>Petfood</v>
      </c>
      <c r="AM2" s="17" t="str">
        <f>Secteurs!B38</f>
        <v>Aquaculture</v>
      </c>
      <c r="AN2" s="17" t="str">
        <f>Secteurs!B39</f>
        <v>Usages non-alimentaires</v>
      </c>
      <c r="AO2" s="17" t="str">
        <f>Secteurs!B40</f>
        <v>Biomatériaux</v>
      </c>
      <c r="AP2" s="17" t="str">
        <f>Secteurs!B41</f>
        <v>Litière</v>
      </c>
      <c r="AQ2" s="17" t="str">
        <f>Secteurs!B42</f>
        <v>Autres biomatériaux</v>
      </c>
      <c r="AR2" s="17" t="str">
        <f>Secteurs!B43</f>
        <v>Energie</v>
      </c>
      <c r="AS2" s="17" t="str">
        <f>Secteurs!B44</f>
        <v>Biocarburants</v>
      </c>
      <c r="AT2" s="17" t="str">
        <f>Secteurs!B45</f>
        <v>Méthanisation</v>
      </c>
      <c r="AU2" s="17" t="str">
        <f>Secteurs!B46</f>
        <v>Combustion</v>
      </c>
      <c r="AV2" s="17" t="str">
        <f>Secteurs!B47</f>
        <v>Fertilisation</v>
      </c>
      <c r="AW2" s="17" t="str">
        <f>Secteurs!B48</f>
        <v>Epandage</v>
      </c>
      <c r="AX2" s="17" t="str">
        <f>Secteurs!B49</f>
        <v>Compostage</v>
      </c>
      <c r="AY2" s="17" t="str">
        <f>Secteurs!B50</f>
        <v>Autres industries</v>
      </c>
      <c r="AZ2" s="17" t="str">
        <f>Secteurs!B51</f>
        <v>Autres usages (ou usages indéfinis)</v>
      </c>
      <c r="BA2" s="17" t="str">
        <f>Secteurs!B52</f>
        <v>Elimination/Pertes</v>
      </c>
      <c r="BB2" s="17" t="str">
        <f>Secteurs!B55</f>
        <v>Importations</v>
      </c>
      <c r="BC2" s="17" t="str">
        <f>Secteurs!B56</f>
        <v>Exportations</v>
      </c>
    </row>
    <row r="3" spans="2:55">
      <c r="B3" s="39" t="str">
        <f>Produits!B2</f>
        <v>Grains récoltés</v>
      </c>
      <c r="C3" s="18">
        <v>1</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row>
    <row r="4" spans="2:55">
      <c r="B4" s="39" t="str">
        <f>Produits!B3</f>
        <v>Grains autoconsommés</v>
      </c>
      <c r="C4" s="18"/>
      <c r="D4" s="18">
        <v>1</v>
      </c>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row>
    <row r="5" spans="2:55">
      <c r="B5" s="39" t="str">
        <f>Produits!B4</f>
        <v>Grains collectés</v>
      </c>
      <c r="C5" s="18"/>
      <c r="D5" s="18"/>
      <c r="E5" s="18">
        <v>1</v>
      </c>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row>
    <row r="6" spans="2:55">
      <c r="B6" s="39" t="str">
        <f>Produits!B5</f>
        <v>Issues de silo</v>
      </c>
      <c r="C6" s="18"/>
      <c r="D6" s="18"/>
      <c r="E6" s="18">
        <v>1</v>
      </c>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row>
    <row r="7" spans="2:55">
      <c r="B7" s="39" t="str">
        <f>Produits!B6</f>
        <v>Farine</v>
      </c>
      <c r="C7" s="18"/>
      <c r="D7" s="18"/>
      <c r="E7" s="18"/>
      <c r="F7" s="18"/>
      <c r="G7" s="18"/>
      <c r="H7" s="18"/>
      <c r="I7" s="18">
        <v>1</v>
      </c>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row>
    <row r="8" spans="2:55">
      <c r="B8" s="39" t="str">
        <f>Produits!B7</f>
        <v>Issues de meunerie</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row>
    <row r="9" spans="2:55">
      <c r="B9" s="39" t="str">
        <f>Produits!B8</f>
        <v>Sons</v>
      </c>
      <c r="C9" s="18"/>
      <c r="D9" s="18"/>
      <c r="E9" s="18"/>
      <c r="F9" s="18"/>
      <c r="G9" s="18"/>
      <c r="H9" s="18"/>
      <c r="I9" s="18">
        <v>1</v>
      </c>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v>1</v>
      </c>
      <c r="BC9" s="18"/>
    </row>
    <row r="10" spans="2:55">
      <c r="B10" s="39" t="str">
        <f>Produits!B9</f>
        <v>Remoulages</v>
      </c>
      <c r="C10" s="18"/>
      <c r="D10" s="18"/>
      <c r="E10" s="18"/>
      <c r="F10" s="18"/>
      <c r="G10" s="18"/>
      <c r="H10" s="18"/>
      <c r="I10" s="18">
        <v>1</v>
      </c>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v>1</v>
      </c>
      <c r="BC10" s="18"/>
    </row>
    <row r="11" spans="2:55">
      <c r="B11" s="39" t="str">
        <f>Produits!B10</f>
        <v>Farines basses</v>
      </c>
      <c r="C11" s="18"/>
      <c r="D11" s="18"/>
      <c r="E11" s="18"/>
      <c r="F11" s="18"/>
      <c r="G11" s="18"/>
      <c r="H11" s="18"/>
      <c r="I11" s="18">
        <v>1</v>
      </c>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v>1</v>
      </c>
      <c r="BC11" s="18"/>
    </row>
    <row r="12" spans="2:55">
      <c r="B12" s="39" t="str">
        <f>Produits!B11</f>
        <v>Amidon</v>
      </c>
      <c r="C12" s="18"/>
      <c r="D12" s="18"/>
      <c r="E12" s="18"/>
      <c r="F12" s="18"/>
      <c r="G12" s="18"/>
      <c r="H12" s="18"/>
      <c r="I12" s="18"/>
      <c r="J12" s="18">
        <v>1</v>
      </c>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row>
    <row r="13" spans="2:55">
      <c r="B13" s="39" t="str">
        <f>Produits!B12</f>
        <v>Gluten</v>
      </c>
      <c r="C13" s="18"/>
      <c r="D13" s="18"/>
      <c r="E13" s="18"/>
      <c r="F13" s="18"/>
      <c r="G13" s="18"/>
      <c r="H13" s="18"/>
      <c r="I13" s="18"/>
      <c r="J13" s="18">
        <v>1</v>
      </c>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row>
    <row r="14" spans="2:55">
      <c r="B14" s="39" t="str">
        <f>Produits!B13</f>
        <v>Wheat gluten feed et sons</v>
      </c>
      <c r="C14" s="18"/>
      <c r="D14" s="18"/>
      <c r="E14" s="18"/>
      <c r="F14" s="18"/>
      <c r="G14" s="18"/>
      <c r="H14" s="18"/>
      <c r="I14" s="18"/>
      <c r="J14" s="18">
        <v>1</v>
      </c>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row>
    <row r="15" spans="2:55">
      <c r="B15" s="39" t="str">
        <f>Produits!B14</f>
        <v>Corn gluten feed, drèches et solubles</v>
      </c>
      <c r="C15" s="18"/>
      <c r="D15" s="18"/>
      <c r="E15" s="18"/>
      <c r="F15" s="18"/>
      <c r="G15" s="18"/>
      <c r="H15" s="18"/>
      <c r="I15" s="18"/>
      <c r="J15" s="18">
        <v>1</v>
      </c>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row>
    <row r="16" spans="2:55">
      <c r="B16" s="39" t="str">
        <f>Produits!B15</f>
        <v>Huile</v>
      </c>
      <c r="C16" s="18"/>
      <c r="D16" s="18"/>
      <c r="E16" s="18"/>
      <c r="F16" s="18"/>
      <c r="G16" s="18"/>
      <c r="H16" s="18"/>
      <c r="I16" s="18"/>
      <c r="J16" s="18">
        <v>1</v>
      </c>
      <c r="K16" s="18">
        <v>1</v>
      </c>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row>
    <row r="17" spans="2:55">
      <c r="B17" s="39" t="str">
        <f>Produits!B16</f>
        <v>Tourteaux</v>
      </c>
      <c r="C17" s="18"/>
      <c r="D17" s="18"/>
      <c r="E17" s="18"/>
      <c r="F17" s="18"/>
      <c r="G17" s="18"/>
      <c r="H17" s="18"/>
      <c r="I17" s="18"/>
      <c r="J17" s="18">
        <v>1</v>
      </c>
      <c r="K17" s="18">
        <v>1</v>
      </c>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row>
    <row r="18" spans="2:55">
      <c r="B18" s="39" t="str">
        <f>Produits!B17</f>
        <v>Semoule</v>
      </c>
      <c r="C18" s="18"/>
      <c r="D18" s="18"/>
      <c r="E18" s="18"/>
      <c r="F18" s="18"/>
      <c r="G18" s="18"/>
      <c r="H18" s="18"/>
      <c r="I18" s="18"/>
      <c r="J18" s="18"/>
      <c r="K18" s="18">
        <v>1</v>
      </c>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row>
    <row r="19" spans="2:55">
      <c r="B19" s="39" t="str">
        <f>Produits!B18</f>
        <v>Farine alimentaire</v>
      </c>
      <c r="C19" s="18"/>
      <c r="D19" s="18"/>
      <c r="E19" s="18"/>
      <c r="F19" s="18"/>
      <c r="G19" s="18"/>
      <c r="H19" s="18"/>
      <c r="I19" s="18"/>
      <c r="J19" s="18"/>
      <c r="K19" s="18">
        <v>1</v>
      </c>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row>
    <row r="20" spans="2:55">
      <c r="B20" s="39" t="str">
        <f>Produits!B19</f>
        <v>Farine fourragère</v>
      </c>
      <c r="C20" s="18"/>
      <c r="D20" s="18"/>
      <c r="E20" s="18"/>
      <c r="F20" s="18"/>
      <c r="G20" s="18"/>
      <c r="H20" s="18"/>
      <c r="I20" s="18"/>
      <c r="J20" s="18"/>
      <c r="K20" s="18">
        <v>1</v>
      </c>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row>
    <row r="21" spans="2:55">
      <c r="B21" s="39" t="str">
        <f>Produits!B21</f>
        <v>Gruau D</v>
      </c>
      <c r="C21" s="18"/>
      <c r="D21" s="18"/>
      <c r="E21" s="18"/>
      <c r="F21" s="18"/>
      <c r="G21" s="18"/>
      <c r="H21" s="18"/>
      <c r="I21" s="18"/>
      <c r="J21" s="18"/>
      <c r="K21" s="18">
        <v>1</v>
      </c>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row>
    <row r="22" spans="2:55">
      <c r="B22" s="39" t="str">
        <f>Produits!B22</f>
        <v>Sons, remoulages et écarts de nettoyage</v>
      </c>
      <c r="C22" s="18"/>
      <c r="D22" s="18"/>
      <c r="E22" s="18"/>
      <c r="F22" s="18"/>
      <c r="G22" s="18"/>
      <c r="H22" s="18"/>
      <c r="I22" s="18"/>
      <c r="J22" s="18"/>
      <c r="K22" s="18">
        <v>1</v>
      </c>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row>
    <row r="23" spans="2:55">
      <c r="B23" s="39" t="str">
        <f>Produits!B23</f>
        <v>Pâtes alimentaires sèches non préparées</v>
      </c>
      <c r="C23" s="18"/>
      <c r="D23" s="18"/>
      <c r="E23" s="18"/>
      <c r="F23" s="18"/>
      <c r="G23" s="18"/>
      <c r="H23" s="18"/>
      <c r="I23" s="18"/>
      <c r="J23" s="18"/>
      <c r="K23" s="18"/>
      <c r="L23" s="18">
        <v>1</v>
      </c>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row>
    <row r="24" spans="2:55">
      <c r="B24" s="39" t="str">
        <f>Produits!B24</f>
        <v>Couscous non préparé</v>
      </c>
      <c r="C24" s="18"/>
      <c r="D24" s="18"/>
      <c r="E24" s="18"/>
      <c r="F24" s="18"/>
      <c r="G24" s="18"/>
      <c r="H24" s="18"/>
      <c r="I24" s="18"/>
      <c r="J24" s="18"/>
      <c r="K24" s="18"/>
      <c r="L24" s="18">
        <v>1</v>
      </c>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row>
    <row r="25" spans="2:55">
      <c r="B25" s="39" t="str">
        <f>Produits!B25</f>
        <v>Coproduits humides</v>
      </c>
      <c r="C25" s="18"/>
      <c r="D25" s="18"/>
      <c r="E25" s="18"/>
      <c r="F25" s="18"/>
      <c r="G25" s="18"/>
      <c r="H25" s="18"/>
      <c r="I25" s="18"/>
      <c r="J25" s="18"/>
      <c r="K25" s="18"/>
      <c r="L25" s="18">
        <v>1</v>
      </c>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row>
    <row r="26" spans="2:55">
      <c r="B26" s="39" t="str">
        <f>Produits!B26</f>
        <v>Ethanol</v>
      </c>
      <c r="C26" s="18"/>
      <c r="D26" s="18"/>
      <c r="E26" s="18"/>
      <c r="F26" s="18"/>
      <c r="G26" s="18"/>
      <c r="H26" s="18"/>
      <c r="I26" s="18"/>
      <c r="J26" s="18"/>
      <c r="K26" s="18"/>
      <c r="L26" s="18"/>
      <c r="M26" s="18"/>
      <c r="N26" s="18"/>
      <c r="O26" s="18">
        <v>1</v>
      </c>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row>
    <row r="27" spans="2:55">
      <c r="B27" s="39" t="str">
        <f>Produits!B27</f>
        <v>Drèches et solubles</v>
      </c>
      <c r="C27" s="18"/>
      <c r="D27" s="18"/>
      <c r="E27" s="18"/>
      <c r="F27" s="18"/>
      <c r="G27" s="18"/>
      <c r="H27" s="18"/>
      <c r="I27" s="18"/>
      <c r="J27" s="18"/>
      <c r="K27" s="18"/>
      <c r="L27" s="18"/>
      <c r="M27" s="18"/>
      <c r="N27" s="18"/>
      <c r="O27" s="18">
        <v>1</v>
      </c>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row>
    <row r="28" spans="2:55">
      <c r="B28" s="39" t="str">
        <f>Produits!B28</f>
        <v>CO2</v>
      </c>
      <c r="C28" s="18"/>
      <c r="D28" s="18"/>
      <c r="E28" s="18"/>
      <c r="F28" s="18"/>
      <c r="G28" s="18"/>
      <c r="H28" s="18"/>
      <c r="I28" s="18"/>
      <c r="J28" s="18"/>
      <c r="K28" s="18"/>
      <c r="L28" s="18"/>
      <c r="M28" s="18"/>
      <c r="N28" s="18"/>
      <c r="O28" s="18">
        <v>1</v>
      </c>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row>
    <row r="29" spans="2:55">
      <c r="B29" s="39" t="str">
        <f>Produits!B29</f>
        <v>Malt</v>
      </c>
      <c r="C29" s="18"/>
      <c r="D29" s="18"/>
      <c r="E29" s="18"/>
      <c r="F29" s="18"/>
      <c r="G29" s="18"/>
      <c r="H29" s="18"/>
      <c r="I29" s="18"/>
      <c r="J29" s="18"/>
      <c r="K29" s="18"/>
      <c r="L29" s="18"/>
      <c r="M29" s="18">
        <v>1</v>
      </c>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row>
    <row r="30" spans="2:55">
      <c r="B30" s="39" t="str">
        <f>Produits!B30</f>
        <v>Radicelles</v>
      </c>
      <c r="C30" s="18"/>
      <c r="D30" s="18"/>
      <c r="E30" s="18"/>
      <c r="F30" s="18"/>
      <c r="G30" s="18"/>
      <c r="H30" s="18"/>
      <c r="I30" s="18"/>
      <c r="J30" s="18"/>
      <c r="K30" s="18"/>
      <c r="L30" s="18"/>
      <c r="M30" s="18">
        <v>1</v>
      </c>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row>
    <row r="31" spans="2:55">
      <c r="B31" s="39" t="str">
        <f>Produits!B31</f>
        <v>Orgettes</v>
      </c>
      <c r="C31" s="18"/>
      <c r="D31" s="18"/>
      <c r="E31" s="18"/>
      <c r="F31" s="18"/>
      <c r="G31" s="18"/>
      <c r="H31" s="18"/>
      <c r="I31" s="18"/>
      <c r="J31" s="18"/>
      <c r="K31" s="18"/>
      <c r="L31" s="18"/>
      <c r="M31" s="18">
        <v>1</v>
      </c>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row>
    <row r="32" spans="2:55">
      <c r="B32" s="39" t="str">
        <f>Produits!B32</f>
        <v>Particules d'enveloppes</v>
      </c>
      <c r="C32" s="18"/>
      <c r="D32" s="18"/>
      <c r="E32" s="18"/>
      <c r="F32" s="18"/>
      <c r="G32" s="18"/>
      <c r="H32" s="18"/>
      <c r="I32" s="18"/>
      <c r="J32" s="18"/>
      <c r="K32" s="18"/>
      <c r="L32" s="18"/>
      <c r="M32" s="18">
        <v>1</v>
      </c>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row>
    <row r="33" spans="2:55">
      <c r="B33" s="39" t="str">
        <f>Produits!B33</f>
        <v>Petits blés</v>
      </c>
      <c r="C33" s="18"/>
      <c r="D33" s="18"/>
      <c r="E33" s="18"/>
      <c r="F33" s="18"/>
      <c r="G33" s="18"/>
      <c r="H33" s="18"/>
      <c r="I33" s="18"/>
      <c r="J33" s="18"/>
      <c r="K33" s="18"/>
      <c r="L33" s="18"/>
      <c r="M33" s="18">
        <v>1</v>
      </c>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row>
    <row r="34" spans="2:55">
      <c r="B34" s="39" t="str">
        <f>Produits!B34</f>
        <v>Autres résidus</v>
      </c>
      <c r="C34" s="18"/>
      <c r="D34" s="18"/>
      <c r="E34" s="18"/>
      <c r="F34" s="18"/>
      <c r="G34" s="18"/>
      <c r="H34" s="18"/>
      <c r="I34" s="18"/>
      <c r="J34" s="18"/>
      <c r="K34" s="18"/>
      <c r="L34" s="18"/>
      <c r="M34" s="18">
        <v>1</v>
      </c>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row>
    <row r="35" spans="2:55">
      <c r="B35" s="39" t="str">
        <f>Produits!B35</f>
        <v>Eau - MP</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row>
    <row r="36" spans="2:55">
      <c r="B36" s="39" t="str">
        <f>Produits!B36</f>
        <v>Levures - MP</v>
      </c>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row>
    <row r="37" spans="2:55">
      <c r="B37" s="39" t="str">
        <f>Produits!B37</f>
        <v>Houblon</v>
      </c>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row>
    <row r="38" spans="2:55">
      <c r="B38" s="39" t="str">
        <f>Produits!B38</f>
        <v>Bière</v>
      </c>
      <c r="C38" s="18"/>
      <c r="D38" s="18"/>
      <c r="E38" s="18"/>
      <c r="F38" s="18"/>
      <c r="G38" s="18"/>
      <c r="H38" s="18"/>
      <c r="I38" s="18"/>
      <c r="J38" s="18"/>
      <c r="K38" s="18"/>
      <c r="L38" s="18"/>
      <c r="M38" s="18"/>
      <c r="N38" s="18">
        <v>1</v>
      </c>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row>
    <row r="39" spans="2:55">
      <c r="B39" s="39" t="str">
        <f>Produits!B39</f>
        <v>Drèches</v>
      </c>
      <c r="C39" s="18"/>
      <c r="D39" s="18"/>
      <c r="E39" s="18"/>
      <c r="F39" s="18"/>
      <c r="G39" s="18"/>
      <c r="H39" s="18"/>
      <c r="I39" s="18"/>
      <c r="J39" s="18"/>
      <c r="K39" s="18"/>
      <c r="L39" s="18"/>
      <c r="M39" s="18"/>
      <c r="N39" s="18">
        <v>1</v>
      </c>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row>
    <row r="40" spans="2:55">
      <c r="B40" s="39" t="str">
        <f>Produits!B40</f>
        <v>Levures - CP</v>
      </c>
      <c r="C40" s="18"/>
      <c r="D40" s="18"/>
      <c r="E40" s="18"/>
      <c r="F40" s="18"/>
      <c r="G40" s="18"/>
      <c r="H40" s="18"/>
      <c r="I40" s="18"/>
      <c r="J40" s="18"/>
      <c r="K40" s="18"/>
      <c r="L40" s="18"/>
      <c r="M40" s="18"/>
      <c r="N40" s="18">
        <v>1</v>
      </c>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row>
    <row r="41" spans="2:55">
      <c r="B41" s="39" t="str">
        <f>Produits!B41</f>
        <v>Kieselguhr</v>
      </c>
      <c r="C41" s="18"/>
      <c r="D41" s="18"/>
      <c r="E41" s="18"/>
      <c r="F41" s="18"/>
      <c r="G41" s="18"/>
      <c r="H41" s="18"/>
      <c r="I41" s="18"/>
      <c r="J41" s="18"/>
      <c r="K41" s="18"/>
      <c r="L41" s="18"/>
      <c r="M41" s="18"/>
      <c r="N41" s="18">
        <v>1</v>
      </c>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row>
    <row r="42" spans="2:55">
      <c r="B42" s="39" t="str">
        <f>Produits!B42</f>
        <v>Eau - CP</v>
      </c>
      <c r="C42" s="18"/>
      <c r="D42" s="18"/>
      <c r="E42" s="18"/>
      <c r="F42" s="18"/>
      <c r="G42" s="18"/>
      <c r="H42" s="18"/>
      <c r="I42" s="18"/>
      <c r="J42" s="18"/>
      <c r="K42" s="18"/>
      <c r="L42" s="18"/>
      <c r="M42" s="18"/>
      <c r="N42" s="18">
        <v>1</v>
      </c>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row>
    <row r="43" spans="2:55">
      <c r="B43" s="39" t="str">
        <f>Produits!B43</f>
        <v>Popcorn</v>
      </c>
      <c r="C43" s="18"/>
      <c r="D43" s="18"/>
      <c r="E43" s="18"/>
      <c r="F43" s="18"/>
      <c r="G43" s="18"/>
      <c r="H43" s="18"/>
      <c r="I43" s="18"/>
      <c r="J43" s="18"/>
      <c r="K43" s="18"/>
      <c r="L43" s="18"/>
      <c r="M43" s="18"/>
      <c r="N43" s="18"/>
      <c r="O43" s="18"/>
      <c r="P43" s="18">
        <v>1</v>
      </c>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row>
    <row r="44" spans="2:55">
      <c r="B44" s="39" t="str">
        <f>Produits!B44</f>
        <v>Eau - CP2</v>
      </c>
      <c r="C44" s="18"/>
      <c r="D44" s="18"/>
      <c r="E44" s="18"/>
      <c r="F44" s="18"/>
      <c r="G44" s="18"/>
      <c r="H44" s="18"/>
      <c r="I44" s="18"/>
      <c r="J44" s="18"/>
      <c r="K44" s="18"/>
      <c r="L44" s="18"/>
      <c r="M44" s="18"/>
      <c r="N44" s="18"/>
      <c r="O44" s="18"/>
      <c r="P44" s="18">
        <v>1</v>
      </c>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row>
    <row r="45" spans="2:55">
      <c r="B45" s="39" t="str">
        <f>Produits!B45</f>
        <v>Riz décortiqué</v>
      </c>
      <c r="C45" s="18"/>
      <c r="D45" s="18"/>
      <c r="E45" s="18"/>
      <c r="F45" s="18"/>
      <c r="G45" s="18"/>
      <c r="H45" s="18"/>
      <c r="I45" s="18"/>
      <c r="J45" s="18"/>
      <c r="K45" s="18"/>
      <c r="L45" s="18"/>
      <c r="M45" s="18"/>
      <c r="N45" s="18"/>
      <c r="O45" s="18"/>
      <c r="P45" s="18"/>
      <c r="Q45" s="18">
        <v>1</v>
      </c>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row>
    <row r="46" spans="2:55">
      <c r="B46" s="39" t="str">
        <f>Produits!B46</f>
        <v>Balles de riz</v>
      </c>
      <c r="C46" s="18"/>
      <c r="D46" s="18"/>
      <c r="E46" s="18"/>
      <c r="F46" s="18"/>
      <c r="G46" s="18"/>
      <c r="H46" s="18"/>
      <c r="I46" s="18"/>
      <c r="J46" s="18"/>
      <c r="K46" s="18"/>
      <c r="L46" s="18"/>
      <c r="M46" s="18"/>
      <c r="N46" s="18"/>
      <c r="O46" s="18"/>
      <c r="P46" s="18"/>
      <c r="Q46" s="18">
        <v>1</v>
      </c>
      <c r="R46" s="18">
        <v>1</v>
      </c>
      <c r="S46" s="18">
        <v>1</v>
      </c>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row>
    <row r="47" spans="2:55">
      <c r="B47" s="39" t="str">
        <f>Produits!B47</f>
        <v>Riz usiné</v>
      </c>
      <c r="C47" s="18"/>
      <c r="D47" s="18"/>
      <c r="E47" s="18"/>
      <c r="F47" s="18"/>
      <c r="G47" s="18"/>
      <c r="H47" s="18"/>
      <c r="I47" s="18"/>
      <c r="J47" s="18"/>
      <c r="K47" s="18"/>
      <c r="L47" s="18"/>
      <c r="M47" s="18"/>
      <c r="N47" s="18"/>
      <c r="O47" s="18"/>
      <c r="P47" s="18"/>
      <c r="Q47" s="18"/>
      <c r="R47" s="18">
        <v>1</v>
      </c>
      <c r="S47" s="18">
        <v>1</v>
      </c>
      <c r="T47" s="18">
        <v>1</v>
      </c>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row>
    <row r="48" spans="2:55">
      <c r="B48" s="39" t="str">
        <f>Produits!B48</f>
        <v>Sons de riz</v>
      </c>
      <c r="C48" s="18"/>
      <c r="D48" s="18"/>
      <c r="E48" s="18"/>
      <c r="F48" s="18"/>
      <c r="G48" s="18"/>
      <c r="H48" s="18"/>
      <c r="I48" s="18"/>
      <c r="J48" s="18"/>
      <c r="K48" s="18"/>
      <c r="L48" s="18"/>
      <c r="M48" s="18"/>
      <c r="N48" s="18"/>
      <c r="O48" s="18"/>
      <c r="P48" s="18"/>
      <c r="Q48" s="18"/>
      <c r="R48" s="18">
        <v>1</v>
      </c>
      <c r="S48" s="18">
        <v>1</v>
      </c>
      <c r="T48" s="18">
        <v>1</v>
      </c>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row>
    <row r="49" spans="2:55">
      <c r="B49" s="39" t="str">
        <f>Produits!B49</f>
        <v>Brisures de riz</v>
      </c>
      <c r="C49" s="18"/>
      <c r="D49" s="18"/>
      <c r="E49" s="18"/>
      <c r="F49" s="18"/>
      <c r="G49" s="18"/>
      <c r="H49" s="18"/>
      <c r="I49" s="18"/>
      <c r="J49" s="18"/>
      <c r="K49" s="18"/>
      <c r="L49" s="18"/>
      <c r="M49" s="18"/>
      <c r="N49" s="18"/>
      <c r="O49" s="18"/>
      <c r="P49" s="18"/>
      <c r="Q49" s="18"/>
      <c r="R49" s="18">
        <v>1</v>
      </c>
      <c r="S49" s="18">
        <v>1</v>
      </c>
      <c r="T49" s="18">
        <v>1</v>
      </c>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row>
    <row r="50" spans="2:55">
      <c r="B50" s="19"/>
    </row>
    <row r="51" spans="2:55">
      <c r="B51" s="19"/>
    </row>
    <row r="52" spans="2:55">
      <c r="B52" s="20" t="s">
        <v>13</v>
      </c>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row>
    <row r="53" spans="2:55">
      <c r="B53" s="39" t="str">
        <f t="shared" ref="B53:B99" si="0">B3</f>
        <v>Grains récoltés</v>
      </c>
      <c r="C53" s="18"/>
      <c r="D53" s="18">
        <v>1</v>
      </c>
      <c r="E53" s="18">
        <v>1</v>
      </c>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row>
    <row r="54" spans="2:55">
      <c r="B54" s="39" t="str">
        <f t="shared" si="0"/>
        <v>Grains autoconsommés</v>
      </c>
      <c r="C54" s="18"/>
      <c r="D54" s="18"/>
      <c r="E54" s="18"/>
      <c r="F54" s="18">
        <v>1</v>
      </c>
      <c r="G54" s="18">
        <v>1</v>
      </c>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v>1</v>
      </c>
      <c r="AJ54" s="18">
        <v>1</v>
      </c>
      <c r="AK54" s="18">
        <v>1</v>
      </c>
      <c r="AL54" s="18"/>
      <c r="AM54" s="18"/>
      <c r="AN54" s="18"/>
      <c r="AO54" s="18"/>
      <c r="AP54" s="18"/>
      <c r="AQ54" s="18"/>
      <c r="AR54" s="18"/>
      <c r="AS54" s="18"/>
      <c r="AT54" s="18"/>
      <c r="AU54" s="18"/>
      <c r="AV54" s="18"/>
      <c r="AW54" s="18"/>
      <c r="AX54" s="18"/>
      <c r="AY54" s="18"/>
      <c r="AZ54" s="18"/>
      <c r="BA54" s="18">
        <v>1</v>
      </c>
      <c r="BB54" s="18"/>
      <c r="BC54" s="18"/>
    </row>
    <row r="55" spans="2:55">
      <c r="B55" s="39" t="str">
        <f t="shared" si="0"/>
        <v>Grains collectés</v>
      </c>
      <c r="C55" s="18"/>
      <c r="D55" s="18"/>
      <c r="E55" s="18"/>
      <c r="F55" s="18">
        <v>1</v>
      </c>
      <c r="G55" s="18"/>
      <c r="H55" s="18">
        <v>1</v>
      </c>
      <c r="I55" s="18">
        <v>1</v>
      </c>
      <c r="J55" s="18">
        <v>1</v>
      </c>
      <c r="K55" s="18">
        <v>1</v>
      </c>
      <c r="L55" s="18"/>
      <c r="M55" s="18">
        <v>1</v>
      </c>
      <c r="N55" s="18"/>
      <c r="O55" s="18">
        <v>1</v>
      </c>
      <c r="P55" s="18">
        <v>1</v>
      </c>
      <c r="Q55" s="18">
        <v>1</v>
      </c>
      <c r="R55" s="18">
        <v>1</v>
      </c>
      <c r="S55" s="18">
        <v>1</v>
      </c>
      <c r="T55" s="18"/>
      <c r="U55" s="18">
        <v>1</v>
      </c>
      <c r="V55" s="18">
        <v>1</v>
      </c>
      <c r="W55" s="18">
        <v>1</v>
      </c>
      <c r="X55" s="18"/>
      <c r="Y55" s="18"/>
      <c r="Z55" s="18"/>
      <c r="AA55" s="18"/>
      <c r="AB55" s="18"/>
      <c r="AC55" s="18"/>
      <c r="AD55" s="18"/>
      <c r="AE55" s="18">
        <v>1</v>
      </c>
      <c r="AF55" s="18"/>
      <c r="AG55" s="18"/>
      <c r="AH55" s="18">
        <v>1</v>
      </c>
      <c r="AI55" s="18"/>
      <c r="AJ55" s="18"/>
      <c r="AK55" s="18"/>
      <c r="AL55" s="18"/>
      <c r="AM55" s="18"/>
      <c r="AN55" s="18"/>
      <c r="AO55" s="18"/>
      <c r="AP55" s="18"/>
      <c r="AQ55" s="18"/>
      <c r="AR55" s="18"/>
      <c r="AS55" s="18"/>
      <c r="AT55" s="18"/>
      <c r="AU55" s="18"/>
      <c r="AV55" s="18"/>
      <c r="AW55" s="18"/>
      <c r="AX55" s="18"/>
      <c r="AY55" s="18"/>
      <c r="AZ55" s="18"/>
      <c r="BA55" s="18"/>
      <c r="BB55" s="18"/>
      <c r="BC55" s="18"/>
    </row>
    <row r="56" spans="2:55">
      <c r="B56" s="39" t="str">
        <f t="shared" si="0"/>
        <v>Issues de silo</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v>1</v>
      </c>
      <c r="AJ56" s="18">
        <v>1</v>
      </c>
      <c r="AK56" s="18"/>
      <c r="AL56" s="18"/>
      <c r="AM56" s="18"/>
      <c r="AN56" s="18"/>
      <c r="AO56" s="18"/>
      <c r="AP56" s="18">
        <v>1</v>
      </c>
      <c r="AQ56" s="18">
        <v>1</v>
      </c>
      <c r="AR56" s="18"/>
      <c r="AS56" s="18"/>
      <c r="AT56" s="18">
        <v>1</v>
      </c>
      <c r="AU56" s="18">
        <v>1</v>
      </c>
      <c r="AV56" s="18"/>
      <c r="AW56" s="18"/>
      <c r="AX56" s="18">
        <v>1</v>
      </c>
      <c r="AY56" s="18"/>
      <c r="AZ56" s="18"/>
      <c r="BA56" s="18">
        <v>1</v>
      </c>
      <c r="BB56" s="18"/>
      <c r="BC56" s="18"/>
    </row>
    <row r="57" spans="2:55">
      <c r="B57" s="39" t="str">
        <f t="shared" si="0"/>
        <v>Farine</v>
      </c>
      <c r="C57" s="18"/>
      <c r="D57" s="18"/>
      <c r="E57" s="18"/>
      <c r="F57" s="18"/>
      <c r="G57" s="18"/>
      <c r="H57" s="18"/>
      <c r="I57" s="18"/>
      <c r="J57" s="18">
        <v>1</v>
      </c>
      <c r="K57" s="18"/>
      <c r="L57" s="18"/>
      <c r="M57" s="18"/>
      <c r="N57" s="18"/>
      <c r="O57" s="18"/>
      <c r="P57" s="18"/>
      <c r="Q57" s="18"/>
      <c r="R57" s="18"/>
      <c r="S57" s="18"/>
      <c r="T57" s="18"/>
      <c r="U57" s="18"/>
      <c r="V57" s="18"/>
      <c r="W57" s="18"/>
      <c r="X57" s="18"/>
      <c r="Y57" s="18"/>
      <c r="Z57" s="18"/>
      <c r="AA57" s="18">
        <v>1</v>
      </c>
      <c r="AB57" s="18"/>
      <c r="AC57" s="18">
        <v>1</v>
      </c>
      <c r="AD57" s="18">
        <v>1</v>
      </c>
      <c r="AE57" s="18">
        <v>1</v>
      </c>
      <c r="AF57" s="18">
        <v>1</v>
      </c>
      <c r="AG57" s="18">
        <v>1</v>
      </c>
      <c r="AH57" s="18"/>
      <c r="AI57" s="18">
        <v>1</v>
      </c>
      <c r="AJ57" s="18">
        <v>1</v>
      </c>
      <c r="AK57" s="18"/>
      <c r="AL57" s="18"/>
      <c r="AM57" s="18"/>
      <c r="AN57" s="18"/>
      <c r="AO57" s="18"/>
      <c r="AP57" s="18"/>
      <c r="AQ57" s="18"/>
      <c r="AR57" s="18"/>
      <c r="AS57" s="18"/>
      <c r="AT57" s="18"/>
      <c r="AU57" s="18"/>
      <c r="AV57" s="18"/>
      <c r="AW57" s="18"/>
      <c r="AX57" s="18"/>
      <c r="AY57" s="18"/>
      <c r="AZ57" s="18"/>
      <c r="BA57" s="18"/>
      <c r="BB57" s="18"/>
      <c r="BC57" s="18"/>
    </row>
    <row r="58" spans="2:55">
      <c r="B58" s="39" t="str">
        <f t="shared" si="0"/>
        <v>Issues de meunerie</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row>
    <row r="59" spans="2:55">
      <c r="B59" s="39" t="str">
        <f t="shared" si="0"/>
        <v>Sons</v>
      </c>
      <c r="C59" s="18"/>
      <c r="D59" s="18"/>
      <c r="E59" s="18"/>
      <c r="F59" s="18"/>
      <c r="G59" s="18"/>
      <c r="H59" s="18"/>
      <c r="I59" s="18"/>
      <c r="J59" s="18"/>
      <c r="K59" s="18"/>
      <c r="L59" s="18"/>
      <c r="M59" s="18"/>
      <c r="N59" s="18"/>
      <c r="O59" s="18"/>
      <c r="P59" s="18"/>
      <c r="Q59" s="18"/>
      <c r="R59" s="18"/>
      <c r="S59" s="18"/>
      <c r="T59" s="18"/>
      <c r="U59" s="18">
        <v>1</v>
      </c>
      <c r="V59" s="18">
        <v>1</v>
      </c>
      <c r="W59" s="18">
        <v>1</v>
      </c>
      <c r="X59" s="18"/>
      <c r="Y59" s="18"/>
      <c r="Z59" s="18"/>
      <c r="AA59" s="18"/>
      <c r="AB59" s="18"/>
      <c r="AC59" s="18"/>
      <c r="AD59" s="18"/>
      <c r="AE59" s="18">
        <v>1</v>
      </c>
      <c r="AF59" s="18">
        <v>1</v>
      </c>
      <c r="AG59" s="18">
        <v>1</v>
      </c>
      <c r="AH59" s="18">
        <v>1</v>
      </c>
      <c r="AI59" s="18"/>
      <c r="AJ59" s="18"/>
      <c r="AK59" s="18"/>
      <c r="AL59" s="18"/>
      <c r="AM59" s="18"/>
      <c r="AN59" s="18">
        <v>1</v>
      </c>
      <c r="AO59" s="18"/>
      <c r="AP59" s="18"/>
      <c r="AQ59" s="18"/>
      <c r="AR59" s="18">
        <v>1</v>
      </c>
      <c r="AS59" s="18"/>
      <c r="AT59" s="18">
        <v>1</v>
      </c>
      <c r="AU59" s="18"/>
      <c r="AV59" s="18"/>
      <c r="AW59" s="18"/>
      <c r="AX59" s="18"/>
      <c r="AY59" s="18"/>
      <c r="AZ59" s="18"/>
      <c r="BA59" s="18"/>
      <c r="BB59" s="18"/>
      <c r="BC59" s="18">
        <v>1</v>
      </c>
    </row>
    <row r="60" spans="2:55">
      <c r="B60" s="39" t="str">
        <f t="shared" si="0"/>
        <v>Remoulages</v>
      </c>
      <c r="C60" s="18"/>
      <c r="D60" s="18"/>
      <c r="E60" s="18"/>
      <c r="F60" s="18"/>
      <c r="G60" s="18"/>
      <c r="H60" s="18"/>
      <c r="I60" s="18"/>
      <c r="J60" s="18"/>
      <c r="K60" s="18"/>
      <c r="L60" s="18"/>
      <c r="M60" s="18"/>
      <c r="N60" s="18"/>
      <c r="O60" s="18"/>
      <c r="P60" s="18"/>
      <c r="Q60" s="18"/>
      <c r="R60" s="18"/>
      <c r="S60" s="18"/>
      <c r="T60" s="18"/>
      <c r="U60" s="18">
        <v>1</v>
      </c>
      <c r="V60" s="18">
        <v>1</v>
      </c>
      <c r="W60" s="18"/>
      <c r="X60" s="18"/>
      <c r="Y60" s="18"/>
      <c r="Z60" s="18"/>
      <c r="AA60" s="18"/>
      <c r="AB60" s="18"/>
      <c r="AC60" s="18"/>
      <c r="AD60" s="18"/>
      <c r="AE60" s="18"/>
      <c r="AF60" s="18">
        <v>1</v>
      </c>
      <c r="AG60" s="18">
        <v>1</v>
      </c>
      <c r="AH60" s="18">
        <v>1</v>
      </c>
      <c r="AI60" s="18"/>
      <c r="AJ60" s="18"/>
      <c r="AK60" s="18"/>
      <c r="AL60" s="18"/>
      <c r="AM60" s="18"/>
      <c r="AN60" s="18">
        <v>1</v>
      </c>
      <c r="AO60" s="18"/>
      <c r="AP60" s="18"/>
      <c r="AQ60" s="18"/>
      <c r="AR60" s="18">
        <v>1</v>
      </c>
      <c r="AS60" s="18"/>
      <c r="AT60" s="18">
        <v>1</v>
      </c>
      <c r="AU60" s="18"/>
      <c r="AV60" s="18"/>
      <c r="AW60" s="18"/>
      <c r="AX60" s="18"/>
      <c r="AY60" s="18"/>
      <c r="AZ60" s="18"/>
      <c r="BA60" s="18"/>
      <c r="BB60" s="18"/>
      <c r="BC60" s="18">
        <v>1</v>
      </c>
    </row>
    <row r="61" spans="2:55">
      <c r="B61" s="39" t="str">
        <f t="shared" si="0"/>
        <v>Farines basses</v>
      </c>
      <c r="C61" s="18"/>
      <c r="D61" s="18"/>
      <c r="E61" s="18"/>
      <c r="F61" s="18"/>
      <c r="G61" s="18"/>
      <c r="H61" s="18"/>
      <c r="I61" s="18"/>
      <c r="J61" s="18"/>
      <c r="K61" s="18"/>
      <c r="L61" s="18"/>
      <c r="M61" s="18"/>
      <c r="N61" s="18"/>
      <c r="O61" s="18"/>
      <c r="P61" s="18"/>
      <c r="Q61" s="18"/>
      <c r="R61" s="18"/>
      <c r="S61" s="18"/>
      <c r="T61" s="18"/>
      <c r="U61" s="18">
        <v>1</v>
      </c>
      <c r="V61" s="18">
        <v>1</v>
      </c>
      <c r="W61" s="18"/>
      <c r="X61" s="18"/>
      <c r="Y61" s="18"/>
      <c r="Z61" s="18"/>
      <c r="AA61" s="18"/>
      <c r="AB61" s="18"/>
      <c r="AC61" s="18"/>
      <c r="AD61" s="18"/>
      <c r="AE61" s="18"/>
      <c r="AF61" s="18">
        <v>1</v>
      </c>
      <c r="AG61" s="18">
        <v>1</v>
      </c>
      <c r="AH61" s="18">
        <v>1</v>
      </c>
      <c r="AI61" s="18"/>
      <c r="AJ61" s="18"/>
      <c r="AK61" s="18"/>
      <c r="AL61" s="18"/>
      <c r="AM61" s="18"/>
      <c r="AN61" s="18">
        <v>1</v>
      </c>
      <c r="AO61" s="18"/>
      <c r="AP61" s="18"/>
      <c r="AQ61" s="18"/>
      <c r="AR61" s="18">
        <v>1</v>
      </c>
      <c r="AS61" s="18"/>
      <c r="AT61" s="18">
        <v>1</v>
      </c>
      <c r="AU61" s="18"/>
      <c r="AV61" s="18"/>
      <c r="AW61" s="18"/>
      <c r="AX61" s="18"/>
      <c r="AY61" s="18"/>
      <c r="AZ61" s="18"/>
      <c r="BA61" s="18"/>
      <c r="BB61" s="18"/>
      <c r="BC61" s="18">
        <v>1</v>
      </c>
    </row>
    <row r="62" spans="2:55">
      <c r="B62" s="39" t="str">
        <f t="shared" si="0"/>
        <v>Amidon</v>
      </c>
      <c r="C62" s="18"/>
      <c r="D62" s="18"/>
      <c r="E62" s="18"/>
      <c r="F62" s="18"/>
      <c r="G62" s="18"/>
      <c r="H62" s="18"/>
      <c r="I62" s="18"/>
      <c r="J62" s="18"/>
      <c r="K62" s="18"/>
      <c r="L62" s="18"/>
      <c r="M62" s="18"/>
      <c r="N62" s="18"/>
      <c r="O62" s="18"/>
      <c r="P62" s="18"/>
      <c r="Q62" s="18"/>
      <c r="R62" s="18"/>
      <c r="S62" s="18"/>
      <c r="T62" s="18"/>
      <c r="U62" s="18">
        <v>1</v>
      </c>
      <c r="V62" s="18">
        <v>1</v>
      </c>
      <c r="W62" s="18">
        <v>1</v>
      </c>
      <c r="X62" s="18"/>
      <c r="Y62" s="18"/>
      <c r="Z62" s="18"/>
      <c r="AA62" s="18"/>
      <c r="AB62" s="18"/>
      <c r="AC62" s="18"/>
      <c r="AD62" s="18"/>
      <c r="AE62" s="18">
        <v>1</v>
      </c>
      <c r="AF62" s="18"/>
      <c r="AG62" s="18"/>
      <c r="AH62" s="18"/>
      <c r="AI62" s="18"/>
      <c r="AJ62" s="18"/>
      <c r="AK62" s="18"/>
      <c r="AL62" s="18"/>
      <c r="AM62" s="18"/>
      <c r="AN62" s="18"/>
      <c r="AO62" s="18"/>
      <c r="AP62" s="18"/>
      <c r="AQ62" s="18"/>
      <c r="AR62" s="18"/>
      <c r="AS62" s="18"/>
      <c r="AT62" s="18"/>
      <c r="AU62" s="18"/>
      <c r="AV62" s="18"/>
      <c r="AW62" s="18"/>
      <c r="AX62" s="18"/>
      <c r="AY62" s="18">
        <v>1</v>
      </c>
      <c r="AZ62" s="18"/>
      <c r="BA62" s="18"/>
      <c r="BB62" s="18"/>
      <c r="BC62" s="18"/>
    </row>
    <row r="63" spans="2:55">
      <c r="B63" s="39" t="str">
        <f t="shared" si="0"/>
        <v>Gluten</v>
      </c>
      <c r="C63" s="18"/>
      <c r="D63" s="18"/>
      <c r="E63" s="18"/>
      <c r="F63" s="18"/>
      <c r="G63" s="18"/>
      <c r="H63" s="18"/>
      <c r="I63" s="18"/>
      <c r="J63" s="18"/>
      <c r="K63" s="18"/>
      <c r="L63" s="18"/>
      <c r="M63" s="18"/>
      <c r="N63" s="18"/>
      <c r="O63" s="18"/>
      <c r="P63" s="18"/>
      <c r="Q63" s="18"/>
      <c r="R63" s="18"/>
      <c r="S63" s="18"/>
      <c r="T63" s="18"/>
      <c r="U63" s="18">
        <v>1</v>
      </c>
      <c r="V63" s="18">
        <v>1</v>
      </c>
      <c r="W63" s="18">
        <v>1</v>
      </c>
      <c r="X63" s="18"/>
      <c r="Y63" s="18"/>
      <c r="Z63" s="18"/>
      <c r="AA63" s="18"/>
      <c r="AB63" s="18"/>
      <c r="AC63" s="18"/>
      <c r="AD63" s="18"/>
      <c r="AE63" s="18">
        <v>1</v>
      </c>
      <c r="AF63" s="18">
        <v>1</v>
      </c>
      <c r="AG63" s="18">
        <v>1</v>
      </c>
      <c r="AH63" s="18">
        <v>1</v>
      </c>
      <c r="AI63" s="18"/>
      <c r="AJ63" s="18"/>
      <c r="AK63" s="18"/>
      <c r="AL63" s="18"/>
      <c r="AM63" s="18"/>
      <c r="AN63" s="18"/>
      <c r="AO63" s="18"/>
      <c r="AP63" s="18"/>
      <c r="AQ63" s="18"/>
      <c r="AR63" s="18"/>
      <c r="AS63" s="18"/>
      <c r="AT63" s="18"/>
      <c r="AU63" s="18"/>
      <c r="AV63" s="18"/>
      <c r="AW63" s="18"/>
      <c r="AX63" s="18"/>
      <c r="AY63" s="18"/>
      <c r="AZ63" s="18"/>
      <c r="BA63" s="18"/>
      <c r="BB63" s="18"/>
      <c r="BC63" s="18"/>
    </row>
    <row r="64" spans="2:55">
      <c r="B64" s="39" t="str">
        <f t="shared" si="0"/>
        <v>Wheat gluten feed et sons</v>
      </c>
      <c r="C64" s="18"/>
      <c r="D64" s="18"/>
      <c r="E64" s="18"/>
      <c r="F64" s="18"/>
      <c r="G64" s="18"/>
      <c r="H64" s="18"/>
      <c r="I64" s="18"/>
      <c r="J64" s="18"/>
      <c r="K64" s="18"/>
      <c r="L64" s="18"/>
      <c r="M64" s="18"/>
      <c r="N64" s="18"/>
      <c r="O64" s="18"/>
      <c r="P64" s="18"/>
      <c r="Q64" s="18"/>
      <c r="R64" s="18"/>
      <c r="S64" s="18"/>
      <c r="T64" s="18"/>
      <c r="U64" s="18">
        <v>1</v>
      </c>
      <c r="V64" s="18">
        <v>1</v>
      </c>
      <c r="W64" s="18"/>
      <c r="X64" s="18"/>
      <c r="Y64" s="18"/>
      <c r="Z64" s="18"/>
      <c r="AA64" s="18"/>
      <c r="AB64" s="18"/>
      <c r="AC64" s="18"/>
      <c r="AD64" s="18"/>
      <c r="AE64" s="18"/>
      <c r="AF64" s="18">
        <v>1</v>
      </c>
      <c r="AG64" s="18">
        <v>1</v>
      </c>
      <c r="AH64" s="18">
        <v>1</v>
      </c>
      <c r="AI64" s="18"/>
      <c r="AJ64" s="18"/>
      <c r="AK64" s="18"/>
      <c r="AL64" s="18"/>
      <c r="AM64" s="18"/>
      <c r="AN64" s="18"/>
      <c r="AO64" s="18"/>
      <c r="AP64" s="18"/>
      <c r="AQ64" s="18"/>
      <c r="AR64" s="18"/>
      <c r="AS64" s="18"/>
      <c r="AT64" s="18"/>
      <c r="AU64" s="18"/>
      <c r="AV64" s="18"/>
      <c r="AW64" s="18"/>
      <c r="AX64" s="18"/>
      <c r="AY64" s="18"/>
      <c r="AZ64" s="18"/>
      <c r="BA64" s="18"/>
      <c r="BB64" s="18"/>
      <c r="BC64" s="18"/>
    </row>
    <row r="65" spans="2:55">
      <c r="B65" s="39" t="str">
        <f t="shared" si="0"/>
        <v>Corn gluten feed, drèches et solubles</v>
      </c>
      <c r="C65" s="18"/>
      <c r="D65" s="18"/>
      <c r="E65" s="18"/>
      <c r="F65" s="18"/>
      <c r="G65" s="18"/>
      <c r="H65" s="18"/>
      <c r="I65" s="18"/>
      <c r="J65" s="18"/>
      <c r="K65" s="18"/>
      <c r="L65" s="18"/>
      <c r="M65" s="18"/>
      <c r="N65" s="18"/>
      <c r="O65" s="18"/>
      <c r="P65" s="18"/>
      <c r="Q65" s="18"/>
      <c r="R65" s="18"/>
      <c r="S65" s="18"/>
      <c r="T65" s="18"/>
      <c r="U65" s="18">
        <v>1</v>
      </c>
      <c r="V65" s="18">
        <v>1</v>
      </c>
      <c r="W65" s="18"/>
      <c r="X65" s="18"/>
      <c r="Y65" s="18"/>
      <c r="Z65" s="18"/>
      <c r="AA65" s="18"/>
      <c r="AB65" s="18"/>
      <c r="AC65" s="18"/>
      <c r="AD65" s="18"/>
      <c r="AE65" s="18"/>
      <c r="AF65" s="18">
        <v>1</v>
      </c>
      <c r="AG65" s="18">
        <v>1</v>
      </c>
      <c r="AH65" s="18">
        <v>1</v>
      </c>
      <c r="AI65" s="18"/>
      <c r="AJ65" s="18"/>
      <c r="AK65" s="18"/>
      <c r="AL65" s="18"/>
      <c r="AM65" s="18"/>
      <c r="AN65" s="18"/>
      <c r="AO65" s="18"/>
      <c r="AP65" s="18"/>
      <c r="AQ65" s="18"/>
      <c r="AR65" s="18"/>
      <c r="AS65" s="18"/>
      <c r="AT65" s="18"/>
      <c r="AU65" s="18"/>
      <c r="AV65" s="18"/>
      <c r="AW65" s="18"/>
      <c r="AX65" s="18"/>
      <c r="AY65" s="18"/>
      <c r="AZ65" s="18"/>
      <c r="BA65" s="18"/>
      <c r="BB65" s="18"/>
      <c r="BC65" s="18"/>
    </row>
    <row r="66" spans="2:55">
      <c r="B66" s="39" t="str">
        <f t="shared" si="0"/>
        <v>Huile</v>
      </c>
      <c r="C66" s="18"/>
      <c r="D66" s="18"/>
      <c r="E66" s="18"/>
      <c r="F66" s="18"/>
      <c r="G66" s="18"/>
      <c r="H66" s="18"/>
      <c r="I66" s="18"/>
      <c r="J66" s="18"/>
      <c r="K66" s="18"/>
      <c r="L66" s="18"/>
      <c r="M66" s="18"/>
      <c r="N66" s="18"/>
      <c r="O66" s="18"/>
      <c r="P66" s="18"/>
      <c r="Q66" s="18"/>
      <c r="R66" s="18"/>
      <c r="S66" s="18"/>
      <c r="T66" s="18"/>
      <c r="U66" s="18">
        <v>1</v>
      </c>
      <c r="V66" s="18">
        <v>1</v>
      </c>
      <c r="W66" s="18">
        <v>1</v>
      </c>
      <c r="X66" s="18">
        <v>1</v>
      </c>
      <c r="Y66" s="18">
        <v>1</v>
      </c>
      <c r="Z66" s="18">
        <v>1</v>
      </c>
      <c r="AA66" s="18">
        <v>1</v>
      </c>
      <c r="AB66" s="18">
        <v>1</v>
      </c>
      <c r="AC66" s="18">
        <v>1</v>
      </c>
      <c r="AD66" s="18">
        <v>1</v>
      </c>
      <c r="AE66" s="18">
        <v>1</v>
      </c>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row>
    <row r="67" spans="2:55">
      <c r="B67" s="39" t="str">
        <f t="shared" si="0"/>
        <v>Tourteaux</v>
      </c>
      <c r="C67" s="18"/>
      <c r="D67" s="18"/>
      <c r="E67" s="18"/>
      <c r="F67" s="18"/>
      <c r="G67" s="18"/>
      <c r="H67" s="18"/>
      <c r="I67" s="18"/>
      <c r="J67" s="18"/>
      <c r="K67" s="18"/>
      <c r="L67" s="18"/>
      <c r="M67" s="18"/>
      <c r="N67" s="18"/>
      <c r="O67" s="18"/>
      <c r="P67" s="18"/>
      <c r="Q67" s="18"/>
      <c r="R67" s="18"/>
      <c r="S67" s="18"/>
      <c r="T67" s="18"/>
      <c r="U67" s="18">
        <v>1</v>
      </c>
      <c r="V67" s="18">
        <v>1</v>
      </c>
      <c r="W67" s="18"/>
      <c r="X67" s="18"/>
      <c r="Y67" s="18"/>
      <c r="Z67" s="18"/>
      <c r="AA67" s="18"/>
      <c r="AB67" s="18"/>
      <c r="AC67" s="18"/>
      <c r="AD67" s="18"/>
      <c r="AE67" s="18"/>
      <c r="AF67" s="18">
        <v>1</v>
      </c>
      <c r="AG67" s="18">
        <v>1</v>
      </c>
      <c r="AH67" s="18">
        <v>1</v>
      </c>
      <c r="AI67" s="18"/>
      <c r="AJ67" s="18"/>
      <c r="AK67" s="18"/>
      <c r="AL67" s="18"/>
      <c r="AM67" s="18"/>
      <c r="AN67" s="18"/>
      <c r="AO67" s="18"/>
      <c r="AP67" s="18"/>
      <c r="AQ67" s="18"/>
      <c r="AR67" s="18"/>
      <c r="AS67" s="18"/>
      <c r="AT67" s="18"/>
      <c r="AU67" s="18"/>
      <c r="AV67" s="18"/>
      <c r="AW67" s="18"/>
      <c r="AX67" s="18"/>
      <c r="AY67" s="18"/>
      <c r="AZ67" s="18"/>
      <c r="BA67" s="18"/>
      <c r="BB67" s="18"/>
      <c r="BC67" s="18"/>
    </row>
    <row r="68" spans="2:55">
      <c r="B68" s="39" t="str">
        <f t="shared" si="0"/>
        <v>Semoule</v>
      </c>
      <c r="C68" s="18"/>
      <c r="D68" s="18"/>
      <c r="E68" s="18"/>
      <c r="F68" s="18"/>
      <c r="G68" s="18"/>
      <c r="H68" s="18"/>
      <c r="I68" s="18"/>
      <c r="J68" s="18"/>
      <c r="K68" s="18"/>
      <c r="L68" s="18">
        <v>1</v>
      </c>
      <c r="M68" s="18"/>
      <c r="N68" s="18"/>
      <c r="O68" s="18"/>
      <c r="P68" s="18"/>
      <c r="Q68" s="18"/>
      <c r="R68" s="18"/>
      <c r="S68" s="18"/>
      <c r="T68" s="18"/>
      <c r="U68" s="18">
        <v>1</v>
      </c>
      <c r="V68" s="18">
        <v>1</v>
      </c>
      <c r="W68" s="18">
        <v>1</v>
      </c>
      <c r="X68" s="18">
        <v>1</v>
      </c>
      <c r="Y68" s="18">
        <v>1</v>
      </c>
      <c r="Z68" s="18">
        <v>1</v>
      </c>
      <c r="AA68" s="18">
        <v>1</v>
      </c>
      <c r="AB68" s="18">
        <v>1</v>
      </c>
      <c r="AC68" s="18">
        <v>1</v>
      </c>
      <c r="AD68" s="18">
        <v>1</v>
      </c>
      <c r="AE68" s="18">
        <v>1</v>
      </c>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row>
    <row r="69" spans="2:55">
      <c r="B69" s="39" t="str">
        <f t="shared" si="0"/>
        <v>Farine alimentaire</v>
      </c>
      <c r="C69" s="18"/>
      <c r="D69" s="18"/>
      <c r="E69" s="18"/>
      <c r="F69" s="18"/>
      <c r="G69" s="18"/>
      <c r="H69" s="18"/>
      <c r="I69" s="18"/>
      <c r="J69" s="18"/>
      <c r="K69" s="18"/>
      <c r="L69" s="18"/>
      <c r="M69" s="18"/>
      <c r="N69" s="18"/>
      <c r="O69" s="18"/>
      <c r="P69" s="18"/>
      <c r="Q69" s="18"/>
      <c r="R69" s="18"/>
      <c r="S69" s="18"/>
      <c r="T69" s="18"/>
      <c r="U69" s="18">
        <v>1</v>
      </c>
      <c r="V69" s="18">
        <v>1</v>
      </c>
      <c r="W69" s="18"/>
      <c r="X69" s="18"/>
      <c r="Y69" s="18"/>
      <c r="Z69" s="18"/>
      <c r="AA69" s="18"/>
      <c r="AB69" s="18"/>
      <c r="AC69" s="18"/>
      <c r="AD69" s="18"/>
      <c r="AE69" s="18"/>
      <c r="AF69" s="18">
        <v>1</v>
      </c>
      <c r="AG69" s="18">
        <v>1</v>
      </c>
      <c r="AH69" s="18">
        <v>1</v>
      </c>
      <c r="AI69" s="18"/>
      <c r="AJ69" s="18"/>
      <c r="AK69" s="18"/>
      <c r="AL69" s="18"/>
      <c r="AM69" s="18"/>
      <c r="AN69" s="18"/>
      <c r="AO69" s="18"/>
      <c r="AP69" s="18"/>
      <c r="AQ69" s="18"/>
      <c r="AR69" s="18"/>
      <c r="AS69" s="18"/>
      <c r="AT69" s="18"/>
      <c r="AU69" s="18"/>
      <c r="AV69" s="18"/>
      <c r="AW69" s="18"/>
      <c r="AX69" s="18"/>
      <c r="AY69" s="18"/>
      <c r="AZ69" s="18"/>
      <c r="BA69" s="18"/>
      <c r="BB69" s="18"/>
      <c r="BC69" s="18"/>
    </row>
    <row r="70" spans="2:55">
      <c r="B70" s="39" t="str">
        <f t="shared" si="0"/>
        <v>Farine fourragère</v>
      </c>
      <c r="C70" s="18"/>
      <c r="D70" s="18"/>
      <c r="E70" s="18"/>
      <c r="F70" s="18"/>
      <c r="G70" s="18"/>
      <c r="H70" s="18"/>
      <c r="I70" s="18"/>
      <c r="J70" s="18"/>
      <c r="K70" s="18"/>
      <c r="L70" s="18"/>
      <c r="M70" s="18"/>
      <c r="N70" s="18"/>
      <c r="O70" s="18"/>
      <c r="P70" s="18"/>
      <c r="Q70" s="18"/>
      <c r="R70" s="18"/>
      <c r="S70" s="18"/>
      <c r="T70" s="18"/>
      <c r="U70" s="18">
        <v>1</v>
      </c>
      <c r="V70" s="18">
        <v>1</v>
      </c>
      <c r="W70" s="18"/>
      <c r="X70" s="18"/>
      <c r="Y70" s="18"/>
      <c r="Z70" s="18"/>
      <c r="AA70" s="18"/>
      <c r="AB70" s="18"/>
      <c r="AC70" s="18"/>
      <c r="AD70" s="18"/>
      <c r="AE70" s="18"/>
      <c r="AF70" s="18">
        <v>1</v>
      </c>
      <c r="AG70" s="18">
        <v>1</v>
      </c>
      <c r="AH70" s="18">
        <v>1</v>
      </c>
      <c r="AI70" s="18"/>
      <c r="AJ70" s="18"/>
      <c r="AK70" s="18"/>
      <c r="AL70" s="18"/>
      <c r="AM70" s="18"/>
      <c r="AN70" s="18"/>
      <c r="AO70" s="18"/>
      <c r="AP70" s="18"/>
      <c r="AQ70" s="18"/>
      <c r="AR70" s="18"/>
      <c r="AS70" s="18"/>
      <c r="AT70" s="18"/>
      <c r="AU70" s="18"/>
      <c r="AV70" s="18"/>
      <c r="AW70" s="18"/>
      <c r="AX70" s="18"/>
      <c r="AY70" s="18"/>
      <c r="AZ70" s="18"/>
      <c r="BA70" s="18"/>
      <c r="BB70" s="18"/>
      <c r="BC70" s="18"/>
    </row>
    <row r="71" spans="2:55">
      <c r="B71" s="39" t="str">
        <f t="shared" si="0"/>
        <v>Gruau D</v>
      </c>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v>1</v>
      </c>
      <c r="AM71" s="18"/>
      <c r="AN71" s="18"/>
      <c r="AO71" s="18"/>
      <c r="AP71" s="18"/>
      <c r="AQ71" s="18"/>
      <c r="AR71" s="18"/>
      <c r="AS71" s="18"/>
      <c r="AT71" s="18"/>
      <c r="AU71" s="18"/>
      <c r="AV71" s="18"/>
      <c r="AW71" s="18"/>
      <c r="AX71" s="18"/>
      <c r="AY71" s="18"/>
      <c r="AZ71" s="18"/>
      <c r="BA71" s="18"/>
      <c r="BB71" s="18"/>
      <c r="BC71" s="18"/>
    </row>
    <row r="72" spans="2:55">
      <c r="B72" s="39" t="str">
        <f t="shared" si="0"/>
        <v>Sons, remoulages et écarts de nettoyage</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v>1</v>
      </c>
      <c r="AI72" s="18"/>
      <c r="AJ72" s="18"/>
      <c r="AK72" s="18"/>
      <c r="AL72" s="18"/>
      <c r="AM72" s="18"/>
      <c r="AN72" s="18"/>
      <c r="AO72" s="18"/>
      <c r="AP72" s="18"/>
      <c r="AQ72" s="18"/>
      <c r="AR72" s="18"/>
      <c r="AS72" s="18"/>
      <c r="AT72" s="18"/>
      <c r="AU72" s="18"/>
      <c r="AV72" s="18"/>
      <c r="AW72" s="18"/>
      <c r="AX72" s="18"/>
      <c r="AY72" s="18"/>
      <c r="AZ72" s="18"/>
      <c r="BA72" s="18"/>
      <c r="BB72" s="18"/>
      <c r="BC72" s="18"/>
    </row>
    <row r="73" spans="2:55">
      <c r="B73" s="39" t="str">
        <f t="shared" si="0"/>
        <v>Pâtes alimentaires sèches non préparées</v>
      </c>
      <c r="C73" s="18"/>
      <c r="D73" s="18"/>
      <c r="E73" s="18"/>
      <c r="F73" s="18"/>
      <c r="G73" s="18"/>
      <c r="H73" s="18"/>
      <c r="I73" s="18"/>
      <c r="J73" s="18"/>
      <c r="K73" s="18"/>
      <c r="L73" s="18"/>
      <c r="M73" s="18"/>
      <c r="N73" s="18"/>
      <c r="O73" s="18"/>
      <c r="P73" s="18"/>
      <c r="Q73" s="18"/>
      <c r="R73" s="18"/>
      <c r="S73" s="18"/>
      <c r="T73" s="18"/>
      <c r="U73" s="18">
        <v>1</v>
      </c>
      <c r="V73" s="18">
        <v>1</v>
      </c>
      <c r="W73" s="18">
        <v>1</v>
      </c>
      <c r="X73" s="18">
        <v>1</v>
      </c>
      <c r="Y73" s="18">
        <v>1</v>
      </c>
      <c r="Z73" s="18">
        <v>1</v>
      </c>
      <c r="AA73" s="18">
        <v>1</v>
      </c>
      <c r="AB73" s="18">
        <v>1</v>
      </c>
      <c r="AC73" s="18">
        <v>1</v>
      </c>
      <c r="AD73" s="18">
        <v>1</v>
      </c>
      <c r="AE73" s="18">
        <v>1</v>
      </c>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row>
    <row r="74" spans="2:55">
      <c r="B74" s="39" t="str">
        <f t="shared" si="0"/>
        <v>Couscous non préparé</v>
      </c>
      <c r="C74" s="18"/>
      <c r="D74" s="18"/>
      <c r="E74" s="18"/>
      <c r="F74" s="18"/>
      <c r="G74" s="18"/>
      <c r="H74" s="18"/>
      <c r="I74" s="18"/>
      <c r="J74" s="18"/>
      <c r="K74" s="18"/>
      <c r="L74" s="18"/>
      <c r="M74" s="18"/>
      <c r="N74" s="18"/>
      <c r="O74" s="18"/>
      <c r="P74" s="18"/>
      <c r="Q74" s="18"/>
      <c r="R74" s="18"/>
      <c r="S74" s="18"/>
      <c r="T74" s="18"/>
      <c r="U74" s="18">
        <v>1</v>
      </c>
      <c r="V74" s="18">
        <v>1</v>
      </c>
      <c r="W74" s="18">
        <v>1</v>
      </c>
      <c r="X74" s="18">
        <v>1</v>
      </c>
      <c r="Y74" s="18">
        <v>1</v>
      </c>
      <c r="Z74" s="18">
        <v>1</v>
      </c>
      <c r="AA74" s="18">
        <v>1</v>
      </c>
      <c r="AB74" s="18">
        <v>1</v>
      </c>
      <c r="AC74" s="18">
        <v>1</v>
      </c>
      <c r="AD74" s="18">
        <v>1</v>
      </c>
      <c r="AE74" s="18">
        <v>1</v>
      </c>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row>
    <row r="75" spans="2:55">
      <c r="B75" s="39" t="str">
        <f t="shared" si="0"/>
        <v>Coproduits humides</v>
      </c>
      <c r="C75" s="18"/>
      <c r="D75" s="18"/>
      <c r="E75" s="18"/>
      <c r="F75" s="18"/>
      <c r="G75" s="18"/>
      <c r="H75" s="18"/>
      <c r="I75" s="18"/>
      <c r="J75" s="18"/>
      <c r="K75" s="18"/>
      <c r="L75" s="18"/>
      <c r="M75" s="18"/>
      <c r="N75" s="18"/>
      <c r="O75" s="18"/>
      <c r="P75" s="18"/>
      <c r="Q75" s="18"/>
      <c r="R75" s="18"/>
      <c r="S75" s="18"/>
      <c r="T75" s="18"/>
      <c r="U75" s="18">
        <v>1</v>
      </c>
      <c r="V75" s="18">
        <v>1</v>
      </c>
      <c r="W75" s="18"/>
      <c r="X75" s="18"/>
      <c r="Y75" s="18"/>
      <c r="Z75" s="18"/>
      <c r="AA75" s="18"/>
      <c r="AB75" s="18"/>
      <c r="AC75" s="18"/>
      <c r="AD75" s="18"/>
      <c r="AE75" s="18"/>
      <c r="AF75" s="18">
        <v>1</v>
      </c>
      <c r="AG75" s="18">
        <v>1</v>
      </c>
      <c r="AH75" s="18"/>
      <c r="AI75" s="18">
        <v>1</v>
      </c>
      <c r="AJ75" s="18">
        <v>1</v>
      </c>
      <c r="AK75" s="18"/>
      <c r="AL75" s="18"/>
      <c r="AM75" s="18"/>
      <c r="AN75" s="18"/>
      <c r="AO75" s="18"/>
      <c r="AP75" s="18"/>
      <c r="AQ75" s="18"/>
      <c r="AR75" s="18"/>
      <c r="AS75" s="18"/>
      <c r="AT75" s="18"/>
      <c r="AU75" s="18"/>
      <c r="AV75" s="18"/>
      <c r="AW75" s="18"/>
      <c r="AX75" s="18"/>
      <c r="AY75" s="18"/>
      <c r="AZ75" s="18"/>
      <c r="BA75" s="18"/>
      <c r="BB75" s="18"/>
      <c r="BC75" s="18"/>
    </row>
    <row r="76" spans="2:55">
      <c r="B76" s="39" t="str">
        <f t="shared" si="0"/>
        <v>Ethanol</v>
      </c>
      <c r="C76" s="18"/>
      <c r="D76" s="18"/>
      <c r="E76" s="18"/>
      <c r="F76" s="18"/>
      <c r="G76" s="18"/>
      <c r="H76" s="18"/>
      <c r="I76" s="18"/>
      <c r="J76" s="18"/>
      <c r="K76" s="18"/>
      <c r="L76" s="18"/>
      <c r="M76" s="18"/>
      <c r="N76" s="18"/>
      <c r="O76" s="18"/>
      <c r="P76" s="18"/>
      <c r="Q76" s="18"/>
      <c r="R76" s="18"/>
      <c r="S76" s="18"/>
      <c r="T76" s="18"/>
      <c r="U76" s="18">
        <v>1</v>
      </c>
      <c r="V76" s="18">
        <v>1</v>
      </c>
      <c r="W76" s="18">
        <v>1</v>
      </c>
      <c r="X76" s="18">
        <v>1</v>
      </c>
      <c r="Y76" s="18">
        <v>1</v>
      </c>
      <c r="Z76" s="18">
        <v>1</v>
      </c>
      <c r="AA76" s="18">
        <v>1</v>
      </c>
      <c r="AB76" s="18">
        <v>1</v>
      </c>
      <c r="AC76" s="18">
        <v>1</v>
      </c>
      <c r="AD76" s="18">
        <v>1</v>
      </c>
      <c r="AE76" s="18">
        <v>1</v>
      </c>
      <c r="AF76" s="18"/>
      <c r="AG76" s="18"/>
      <c r="AH76" s="18"/>
      <c r="AI76" s="18"/>
      <c r="AJ76" s="18"/>
      <c r="AK76" s="18"/>
      <c r="AL76" s="18"/>
      <c r="AM76" s="18"/>
      <c r="AN76" s="18">
        <v>1</v>
      </c>
      <c r="AO76" s="18"/>
      <c r="AP76" s="18"/>
      <c r="AQ76" s="18"/>
      <c r="AR76" s="18">
        <v>1</v>
      </c>
      <c r="AS76" s="18">
        <v>1</v>
      </c>
      <c r="AT76" s="18"/>
      <c r="AU76" s="18"/>
      <c r="AV76" s="18"/>
      <c r="AW76" s="18"/>
      <c r="AX76" s="18"/>
      <c r="AY76" s="18">
        <v>1</v>
      </c>
      <c r="AZ76" s="18"/>
      <c r="BA76" s="18"/>
      <c r="BB76" s="18"/>
      <c r="BC76" s="18"/>
    </row>
    <row r="77" spans="2:55">
      <c r="B77" s="39" t="str">
        <f t="shared" si="0"/>
        <v>Drèches et solubles</v>
      </c>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v>1</v>
      </c>
      <c r="AI77" s="18"/>
      <c r="AJ77" s="18"/>
      <c r="AK77" s="18"/>
      <c r="AL77" s="18"/>
      <c r="AM77" s="18"/>
      <c r="AN77" s="18"/>
      <c r="AO77" s="18"/>
      <c r="AP77" s="18"/>
      <c r="AQ77" s="18"/>
      <c r="AR77" s="18"/>
      <c r="AS77" s="18"/>
      <c r="AT77" s="18"/>
      <c r="AU77" s="18"/>
      <c r="AV77" s="18"/>
      <c r="AW77" s="18"/>
      <c r="AX77" s="18"/>
      <c r="AY77" s="18"/>
      <c r="AZ77" s="18"/>
      <c r="BA77" s="18"/>
      <c r="BB77" s="18"/>
      <c r="BC77" s="18"/>
    </row>
    <row r="78" spans="2:55">
      <c r="B78" s="39" t="str">
        <f t="shared" si="0"/>
        <v>CO2</v>
      </c>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row>
    <row r="79" spans="2:55">
      <c r="B79" s="39" t="str">
        <f t="shared" si="0"/>
        <v>Malt</v>
      </c>
      <c r="C79" s="18"/>
      <c r="D79" s="18"/>
      <c r="E79" s="18"/>
      <c r="F79" s="18"/>
      <c r="G79" s="18"/>
      <c r="H79" s="18"/>
      <c r="I79" s="18"/>
      <c r="J79" s="18"/>
      <c r="K79" s="18"/>
      <c r="L79" s="18"/>
      <c r="M79" s="18"/>
      <c r="N79" s="18">
        <v>1</v>
      </c>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row>
    <row r="80" spans="2:55">
      <c r="B80" s="39" t="str">
        <f t="shared" si="0"/>
        <v>Radicelles</v>
      </c>
      <c r="C80" s="18"/>
      <c r="D80" s="18"/>
      <c r="E80" s="18"/>
      <c r="F80" s="18"/>
      <c r="G80" s="18"/>
      <c r="H80" s="18"/>
      <c r="I80" s="18"/>
      <c r="J80" s="18"/>
      <c r="K80" s="18"/>
      <c r="L80" s="18"/>
      <c r="M80" s="18"/>
      <c r="N80" s="18"/>
      <c r="O80" s="18"/>
      <c r="P80" s="18"/>
      <c r="Q80" s="18"/>
      <c r="R80" s="18"/>
      <c r="S80" s="18"/>
      <c r="T80" s="18"/>
      <c r="U80" s="18">
        <v>1</v>
      </c>
      <c r="V80" s="18">
        <v>1</v>
      </c>
      <c r="W80" s="18"/>
      <c r="X80" s="18"/>
      <c r="Y80" s="18"/>
      <c r="Z80" s="18"/>
      <c r="AA80" s="18"/>
      <c r="AB80" s="18"/>
      <c r="AC80" s="18"/>
      <c r="AD80" s="18"/>
      <c r="AE80" s="18"/>
      <c r="AF80" s="18">
        <v>1</v>
      </c>
      <c r="AG80" s="18">
        <v>1</v>
      </c>
      <c r="AH80" s="18">
        <v>1</v>
      </c>
      <c r="AI80" s="18">
        <v>1</v>
      </c>
      <c r="AJ80" s="18">
        <v>1</v>
      </c>
      <c r="AK80" s="18"/>
      <c r="AL80" s="18"/>
      <c r="AM80" s="18"/>
      <c r="AN80" s="18">
        <v>1</v>
      </c>
      <c r="AO80" s="18"/>
      <c r="AP80" s="18"/>
      <c r="AQ80" s="18"/>
      <c r="AR80" s="18"/>
      <c r="AS80" s="18"/>
      <c r="AT80" s="18"/>
      <c r="AU80" s="18"/>
      <c r="AV80" s="18"/>
      <c r="AW80" s="18"/>
      <c r="AX80" s="18"/>
      <c r="AY80" s="18">
        <v>1</v>
      </c>
      <c r="AZ80" s="18"/>
      <c r="BA80" s="18"/>
      <c r="BB80" s="18"/>
      <c r="BC80" s="18"/>
    </row>
    <row r="81" spans="2:55">
      <c r="B81" s="39" t="str">
        <f t="shared" si="0"/>
        <v>Orgettes</v>
      </c>
      <c r="C81" s="18"/>
      <c r="D81" s="18"/>
      <c r="E81" s="18"/>
      <c r="F81" s="18"/>
      <c r="G81" s="18"/>
      <c r="H81" s="18"/>
      <c r="I81" s="18"/>
      <c r="J81" s="18"/>
      <c r="K81" s="18"/>
      <c r="L81" s="18"/>
      <c r="M81" s="18"/>
      <c r="N81" s="18"/>
      <c r="O81" s="18"/>
      <c r="P81" s="18"/>
      <c r="Q81" s="18"/>
      <c r="R81" s="18"/>
      <c r="S81" s="18"/>
      <c r="T81" s="18"/>
      <c r="U81" s="18">
        <v>1</v>
      </c>
      <c r="V81" s="18">
        <v>1</v>
      </c>
      <c r="W81" s="18"/>
      <c r="X81" s="18"/>
      <c r="Y81" s="18"/>
      <c r="Z81" s="18"/>
      <c r="AA81" s="18"/>
      <c r="AB81" s="18"/>
      <c r="AC81" s="18"/>
      <c r="AD81" s="18"/>
      <c r="AE81" s="18"/>
      <c r="AF81" s="18">
        <v>1</v>
      </c>
      <c r="AG81" s="18">
        <v>1</v>
      </c>
      <c r="AH81" s="18">
        <v>1</v>
      </c>
      <c r="AI81" s="18">
        <v>1</v>
      </c>
      <c r="AJ81" s="18">
        <v>1</v>
      </c>
      <c r="AK81" s="18"/>
      <c r="AL81" s="18"/>
      <c r="AM81" s="18"/>
      <c r="AN81" s="18"/>
      <c r="AO81" s="18"/>
      <c r="AP81" s="18"/>
      <c r="AQ81" s="18"/>
      <c r="AR81" s="18"/>
      <c r="AS81" s="18"/>
      <c r="AT81" s="18"/>
      <c r="AU81" s="18"/>
      <c r="AV81" s="18"/>
      <c r="AW81" s="18"/>
      <c r="AX81" s="18"/>
      <c r="AY81" s="18"/>
      <c r="AZ81" s="18"/>
      <c r="BA81" s="18"/>
      <c r="BB81" s="18"/>
      <c r="BC81" s="18"/>
    </row>
    <row r="82" spans="2:55">
      <c r="B82" s="39" t="str">
        <f t="shared" si="0"/>
        <v>Particules d'enveloppes</v>
      </c>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v>1</v>
      </c>
      <c r="AI82" s="18"/>
      <c r="AJ82" s="18"/>
      <c r="AK82" s="18"/>
      <c r="AL82" s="18"/>
      <c r="AM82" s="18"/>
      <c r="AN82" s="18"/>
      <c r="AO82" s="18"/>
      <c r="AP82" s="18"/>
      <c r="AQ82" s="18"/>
      <c r="AR82" s="18"/>
      <c r="AS82" s="18"/>
      <c r="AT82" s="18"/>
      <c r="AU82" s="18"/>
      <c r="AV82" s="18"/>
      <c r="AW82" s="18"/>
      <c r="AX82" s="18"/>
      <c r="AY82" s="18"/>
      <c r="AZ82" s="18"/>
      <c r="BA82" s="18"/>
      <c r="BB82" s="18"/>
      <c r="BC82" s="18"/>
    </row>
    <row r="83" spans="2:55">
      <c r="B83" s="39" t="str">
        <f t="shared" si="0"/>
        <v>Petits blés</v>
      </c>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v>1</v>
      </c>
      <c r="AJ83" s="18">
        <v>1</v>
      </c>
      <c r="AK83" s="18"/>
      <c r="AL83" s="18"/>
      <c r="AM83" s="18"/>
      <c r="AN83" s="18"/>
      <c r="AO83" s="18"/>
      <c r="AP83" s="18"/>
      <c r="AQ83" s="18"/>
      <c r="AR83" s="18"/>
      <c r="AS83" s="18"/>
      <c r="AT83" s="18"/>
      <c r="AU83" s="18"/>
      <c r="AV83" s="18"/>
      <c r="AW83" s="18"/>
      <c r="AX83" s="18"/>
      <c r="AY83" s="18"/>
      <c r="AZ83" s="18"/>
      <c r="BA83" s="18"/>
      <c r="BB83" s="18"/>
      <c r="BC83" s="18"/>
    </row>
    <row r="84" spans="2:55">
      <c r="B84" s="39" t="str">
        <f t="shared" si="0"/>
        <v>Autres résidus</v>
      </c>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row>
    <row r="85" spans="2:55">
      <c r="B85" s="39" t="str">
        <f t="shared" si="0"/>
        <v>Eau - MP</v>
      </c>
      <c r="C85" s="18"/>
      <c r="D85" s="18"/>
      <c r="E85" s="18"/>
      <c r="F85" s="18"/>
      <c r="G85" s="18"/>
      <c r="H85" s="18"/>
      <c r="I85" s="18"/>
      <c r="J85" s="18"/>
      <c r="K85" s="18"/>
      <c r="L85" s="18"/>
      <c r="M85" s="18"/>
      <c r="N85" s="18">
        <v>1</v>
      </c>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row>
    <row r="86" spans="2:55">
      <c r="B86" s="39" t="str">
        <f t="shared" si="0"/>
        <v>Levures - MP</v>
      </c>
      <c r="C86" s="18"/>
      <c r="D86" s="18"/>
      <c r="E86" s="18"/>
      <c r="F86" s="18"/>
      <c r="G86" s="18"/>
      <c r="H86" s="18"/>
      <c r="I86" s="18"/>
      <c r="J86" s="18"/>
      <c r="K86" s="18"/>
      <c r="L86" s="18"/>
      <c r="M86" s="18"/>
      <c r="N86" s="18">
        <v>1</v>
      </c>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row>
    <row r="87" spans="2:55">
      <c r="B87" s="39" t="str">
        <f t="shared" si="0"/>
        <v>Houblon</v>
      </c>
      <c r="C87" s="18"/>
      <c r="D87" s="18"/>
      <c r="E87" s="18"/>
      <c r="F87" s="18"/>
      <c r="G87" s="18"/>
      <c r="H87" s="18"/>
      <c r="I87" s="18"/>
      <c r="J87" s="18"/>
      <c r="K87" s="18"/>
      <c r="L87" s="18"/>
      <c r="M87" s="18"/>
      <c r="N87" s="18">
        <v>1</v>
      </c>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row>
    <row r="88" spans="2:55">
      <c r="B88" s="39" t="str">
        <f t="shared" si="0"/>
        <v>Bière</v>
      </c>
      <c r="C88" s="18"/>
      <c r="D88" s="18"/>
      <c r="E88" s="18"/>
      <c r="F88" s="18"/>
      <c r="G88" s="18"/>
      <c r="H88" s="18"/>
      <c r="I88" s="18"/>
      <c r="J88" s="18"/>
      <c r="K88" s="18"/>
      <c r="L88" s="18"/>
      <c r="M88" s="18"/>
      <c r="N88" s="18"/>
      <c r="O88" s="18"/>
      <c r="P88" s="18"/>
      <c r="Q88" s="18"/>
      <c r="R88" s="18"/>
      <c r="S88" s="18"/>
      <c r="T88" s="18"/>
      <c r="U88" s="18">
        <v>1</v>
      </c>
      <c r="V88" s="18">
        <v>1</v>
      </c>
      <c r="W88" s="18">
        <v>1</v>
      </c>
      <c r="X88" s="18">
        <v>1</v>
      </c>
      <c r="Y88" s="18">
        <v>1</v>
      </c>
      <c r="Z88" s="18">
        <v>1</v>
      </c>
      <c r="AA88" s="18">
        <v>1</v>
      </c>
      <c r="AB88" s="18">
        <v>1</v>
      </c>
      <c r="AC88" s="18">
        <v>1</v>
      </c>
      <c r="AD88" s="18">
        <v>1</v>
      </c>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row>
    <row r="89" spans="2:55">
      <c r="B89" s="39" t="str">
        <f t="shared" si="0"/>
        <v>Drèches</v>
      </c>
      <c r="C89" s="18"/>
      <c r="D89" s="18"/>
      <c r="E89" s="18"/>
      <c r="F89" s="18"/>
      <c r="G89" s="18"/>
      <c r="H89" s="18"/>
      <c r="I89" s="18"/>
      <c r="J89" s="18"/>
      <c r="K89" s="18"/>
      <c r="L89" s="18"/>
      <c r="M89" s="18"/>
      <c r="N89" s="18"/>
      <c r="O89" s="18"/>
      <c r="P89" s="18"/>
      <c r="Q89" s="18"/>
      <c r="R89" s="18"/>
      <c r="S89" s="18"/>
      <c r="T89" s="18"/>
      <c r="U89" s="18">
        <v>1</v>
      </c>
      <c r="V89" s="18">
        <v>1</v>
      </c>
      <c r="W89" s="18"/>
      <c r="X89" s="18"/>
      <c r="Y89" s="18"/>
      <c r="Z89" s="18"/>
      <c r="AA89" s="18"/>
      <c r="AB89" s="18"/>
      <c r="AC89" s="18"/>
      <c r="AD89" s="18"/>
      <c r="AE89" s="18"/>
      <c r="AF89" s="18">
        <v>1</v>
      </c>
      <c r="AG89" s="18">
        <v>1</v>
      </c>
      <c r="AH89" s="18">
        <v>1</v>
      </c>
      <c r="AI89" s="18">
        <v>1</v>
      </c>
      <c r="AJ89" s="18">
        <v>1</v>
      </c>
      <c r="AK89" s="18"/>
      <c r="AL89" s="18"/>
      <c r="AM89" s="18"/>
      <c r="AN89" s="18"/>
      <c r="AO89" s="18"/>
      <c r="AP89" s="18"/>
      <c r="AQ89" s="18"/>
      <c r="AR89" s="18">
        <v>1</v>
      </c>
      <c r="AS89" s="18"/>
      <c r="AT89" s="18">
        <v>1</v>
      </c>
      <c r="AU89" s="18"/>
      <c r="AV89" s="18">
        <v>1</v>
      </c>
      <c r="AW89" s="18"/>
      <c r="AX89" s="18">
        <v>1</v>
      </c>
      <c r="AY89" s="18"/>
      <c r="AZ89" s="18"/>
      <c r="BA89" s="18"/>
      <c r="BB89" s="18"/>
      <c r="BC89" s="18"/>
    </row>
    <row r="90" spans="2:55">
      <c r="B90" s="39" t="str">
        <f t="shared" si="0"/>
        <v>Levures - CP</v>
      </c>
      <c r="C90" s="18"/>
      <c r="D90" s="18"/>
      <c r="E90" s="18"/>
      <c r="F90" s="18"/>
      <c r="G90" s="18"/>
      <c r="H90" s="18"/>
      <c r="I90" s="18"/>
      <c r="J90" s="18"/>
      <c r="K90" s="18"/>
      <c r="L90" s="18"/>
      <c r="M90" s="18"/>
      <c r="N90" s="18"/>
      <c r="O90" s="18"/>
      <c r="P90" s="18"/>
      <c r="Q90" s="18"/>
      <c r="R90" s="18"/>
      <c r="S90" s="18"/>
      <c r="T90" s="18"/>
      <c r="U90" s="18">
        <v>1</v>
      </c>
      <c r="V90" s="18">
        <v>1</v>
      </c>
      <c r="W90" s="18"/>
      <c r="X90" s="18"/>
      <c r="Y90" s="18"/>
      <c r="Z90" s="18"/>
      <c r="AA90" s="18"/>
      <c r="AB90" s="18"/>
      <c r="AC90" s="18"/>
      <c r="AD90" s="18"/>
      <c r="AE90" s="18"/>
      <c r="AF90" s="18">
        <v>1</v>
      </c>
      <c r="AG90" s="18">
        <v>1</v>
      </c>
      <c r="AH90" s="18">
        <v>1</v>
      </c>
      <c r="AI90" s="18">
        <v>1</v>
      </c>
      <c r="AJ90" s="18"/>
      <c r="AK90" s="18">
        <v>1</v>
      </c>
      <c r="AL90" s="18"/>
      <c r="AM90" s="18"/>
      <c r="AN90" s="18"/>
      <c r="AO90" s="18"/>
      <c r="AP90" s="18"/>
      <c r="AQ90" s="18"/>
      <c r="AR90" s="18"/>
      <c r="AS90" s="18"/>
      <c r="AT90" s="18"/>
      <c r="AU90" s="18"/>
      <c r="AV90" s="18"/>
      <c r="AW90" s="18"/>
      <c r="AX90" s="18"/>
      <c r="AY90" s="18"/>
      <c r="AZ90" s="18"/>
      <c r="BA90" s="18"/>
      <c r="BB90" s="18"/>
      <c r="BC90" s="18"/>
    </row>
    <row r="91" spans="2:55">
      <c r="B91" s="39" t="str">
        <f t="shared" si="0"/>
        <v>Kieselguhr</v>
      </c>
      <c r="C91" s="18"/>
      <c r="D91" s="18"/>
      <c r="E91" s="18"/>
      <c r="F91" s="18"/>
      <c r="G91" s="18"/>
      <c r="H91" s="18"/>
      <c r="I91" s="18"/>
      <c r="J91" s="18"/>
      <c r="K91" s="18"/>
      <c r="L91" s="18"/>
      <c r="M91" s="18"/>
      <c r="N91" s="18"/>
      <c r="O91" s="18"/>
      <c r="P91" s="18"/>
      <c r="Q91" s="18"/>
      <c r="R91" s="18"/>
      <c r="S91" s="18"/>
      <c r="T91" s="18"/>
      <c r="U91" s="18">
        <v>1</v>
      </c>
      <c r="V91" s="18"/>
      <c r="W91" s="18"/>
      <c r="X91" s="18"/>
      <c r="Y91" s="18"/>
      <c r="Z91" s="18"/>
      <c r="AA91" s="18"/>
      <c r="AB91" s="18"/>
      <c r="AC91" s="18"/>
      <c r="AD91" s="18"/>
      <c r="AE91" s="18"/>
      <c r="AF91" s="18"/>
      <c r="AG91" s="18"/>
      <c r="AH91" s="18"/>
      <c r="AI91" s="18"/>
      <c r="AJ91" s="18"/>
      <c r="AK91" s="18"/>
      <c r="AL91" s="18"/>
      <c r="AM91" s="18"/>
      <c r="AN91" s="18">
        <v>1</v>
      </c>
      <c r="AO91" s="18"/>
      <c r="AP91" s="18"/>
      <c r="AQ91" s="18"/>
      <c r="AR91" s="18"/>
      <c r="AS91" s="18"/>
      <c r="AT91" s="18"/>
      <c r="AU91" s="18"/>
      <c r="AV91" s="18">
        <v>1</v>
      </c>
      <c r="AW91" s="18"/>
      <c r="AX91" s="18">
        <v>1</v>
      </c>
      <c r="AY91" s="18"/>
      <c r="AZ91" s="18"/>
      <c r="BA91" s="18"/>
      <c r="BB91" s="18"/>
      <c r="BC91" s="18"/>
    </row>
    <row r="92" spans="2:55">
      <c r="B92" s="39" t="str">
        <f t="shared" si="0"/>
        <v>Eau - CP</v>
      </c>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row>
    <row r="93" spans="2:55">
      <c r="B93" s="39" t="str">
        <f t="shared" si="0"/>
        <v>Popcorn</v>
      </c>
      <c r="C93" s="18"/>
      <c r="D93" s="18"/>
      <c r="E93" s="18"/>
      <c r="F93" s="18"/>
      <c r="G93" s="18"/>
      <c r="H93" s="18"/>
      <c r="I93" s="18"/>
      <c r="J93" s="18"/>
      <c r="K93" s="18"/>
      <c r="L93" s="18"/>
      <c r="M93" s="18"/>
      <c r="N93" s="18"/>
      <c r="O93" s="18"/>
      <c r="P93" s="18"/>
      <c r="Q93" s="18"/>
      <c r="R93" s="18"/>
      <c r="S93" s="18"/>
      <c r="T93" s="18"/>
      <c r="U93" s="18">
        <v>1</v>
      </c>
      <c r="V93" s="18">
        <v>1</v>
      </c>
      <c r="W93" s="18">
        <v>1</v>
      </c>
      <c r="X93" s="18">
        <v>1</v>
      </c>
      <c r="Y93" s="18">
        <v>1</v>
      </c>
      <c r="Z93" s="18">
        <v>1</v>
      </c>
      <c r="AA93" s="18">
        <v>1</v>
      </c>
      <c r="AB93" s="18">
        <v>1</v>
      </c>
      <c r="AC93" s="18">
        <v>1</v>
      </c>
      <c r="AD93" s="18">
        <v>1</v>
      </c>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row>
    <row r="94" spans="2:55">
      <c r="B94" s="39" t="str">
        <f t="shared" si="0"/>
        <v>Eau - CP2</v>
      </c>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row>
    <row r="95" spans="2:55">
      <c r="B95" s="39" t="str">
        <f t="shared" si="0"/>
        <v>Riz décortiqué</v>
      </c>
      <c r="C95" s="18"/>
      <c r="D95" s="18"/>
      <c r="E95" s="18"/>
      <c r="F95" s="18"/>
      <c r="G95" s="18"/>
      <c r="H95" s="18"/>
      <c r="I95" s="18"/>
      <c r="J95" s="18"/>
      <c r="K95" s="18"/>
      <c r="L95" s="18"/>
      <c r="M95" s="18"/>
      <c r="N95" s="18"/>
      <c r="O95" s="18"/>
      <c r="P95" s="18"/>
      <c r="Q95" s="18"/>
      <c r="R95" s="18">
        <v>1</v>
      </c>
      <c r="S95" s="18"/>
      <c r="T95" s="18">
        <v>1</v>
      </c>
      <c r="U95" s="18">
        <v>1</v>
      </c>
      <c r="V95" s="18">
        <v>1</v>
      </c>
      <c r="W95" s="18">
        <v>1</v>
      </c>
      <c r="X95" s="18">
        <v>1</v>
      </c>
      <c r="Y95" s="18">
        <v>1</v>
      </c>
      <c r="Z95" s="18">
        <v>1</v>
      </c>
      <c r="AA95" s="18">
        <v>1</v>
      </c>
      <c r="AB95" s="18">
        <v>1</v>
      </c>
      <c r="AC95" s="18">
        <v>1</v>
      </c>
      <c r="AD95" s="18">
        <v>1</v>
      </c>
      <c r="AE95" s="18">
        <v>1</v>
      </c>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row>
    <row r="96" spans="2:55">
      <c r="B96" s="39" t="str">
        <f t="shared" si="0"/>
        <v>Balles de riz</v>
      </c>
      <c r="C96" s="18"/>
      <c r="D96" s="18"/>
      <c r="E96" s="18"/>
      <c r="F96" s="18"/>
      <c r="G96" s="18"/>
      <c r="H96" s="18"/>
      <c r="I96" s="18"/>
      <c r="J96" s="18"/>
      <c r="K96" s="18"/>
      <c r="L96" s="18"/>
      <c r="M96" s="18"/>
      <c r="N96" s="18"/>
      <c r="O96" s="18"/>
      <c r="P96" s="18"/>
      <c r="Q96" s="18"/>
      <c r="R96" s="18"/>
      <c r="S96" s="18"/>
      <c r="T96" s="18"/>
      <c r="U96" s="18">
        <v>1</v>
      </c>
      <c r="V96" s="18">
        <v>1</v>
      </c>
      <c r="W96" s="18">
        <v>1</v>
      </c>
      <c r="X96" s="18"/>
      <c r="Y96" s="18"/>
      <c r="Z96" s="18"/>
      <c r="AA96" s="18"/>
      <c r="AB96" s="18"/>
      <c r="AC96" s="18"/>
      <c r="AD96" s="18"/>
      <c r="AE96" s="18">
        <v>1</v>
      </c>
      <c r="AF96" s="18">
        <v>1</v>
      </c>
      <c r="AG96" s="18">
        <v>1</v>
      </c>
      <c r="AH96" s="18">
        <v>1</v>
      </c>
      <c r="AI96" s="18"/>
      <c r="AJ96" s="18"/>
      <c r="AK96" s="18"/>
      <c r="AL96" s="18"/>
      <c r="AM96" s="18"/>
      <c r="AN96" s="18">
        <v>1</v>
      </c>
      <c r="AO96" s="18"/>
      <c r="AP96" s="18"/>
      <c r="AQ96" s="18"/>
      <c r="AR96" s="18">
        <v>1</v>
      </c>
      <c r="AS96" s="18"/>
      <c r="AT96" s="18">
        <v>1</v>
      </c>
      <c r="AU96" s="18"/>
      <c r="AV96" s="18">
        <v>1</v>
      </c>
      <c r="AW96" s="18">
        <v>1</v>
      </c>
      <c r="AX96" s="18"/>
      <c r="AY96" s="18"/>
      <c r="AZ96" s="18"/>
      <c r="BA96" s="18"/>
      <c r="BB96" s="18"/>
      <c r="BC96" s="18"/>
    </row>
    <row r="97" spans="2:55">
      <c r="B97" s="39" t="str">
        <f t="shared" si="0"/>
        <v>Riz usiné</v>
      </c>
      <c r="C97" s="18"/>
      <c r="D97" s="18"/>
      <c r="E97" s="18"/>
      <c r="F97" s="18"/>
      <c r="G97" s="18"/>
      <c r="H97" s="18"/>
      <c r="I97" s="18"/>
      <c r="J97" s="18"/>
      <c r="K97" s="18"/>
      <c r="L97" s="18"/>
      <c r="M97" s="18"/>
      <c r="N97" s="18"/>
      <c r="O97" s="18"/>
      <c r="P97" s="18"/>
      <c r="Q97" s="18"/>
      <c r="R97" s="18"/>
      <c r="S97" s="18"/>
      <c r="T97" s="18"/>
      <c r="U97" s="18">
        <v>1</v>
      </c>
      <c r="V97" s="18">
        <v>1</v>
      </c>
      <c r="W97" s="18">
        <v>1</v>
      </c>
      <c r="X97" s="18">
        <v>1</v>
      </c>
      <c r="Y97" s="18">
        <v>1</v>
      </c>
      <c r="Z97" s="18">
        <v>1</v>
      </c>
      <c r="AA97" s="18">
        <v>1</v>
      </c>
      <c r="AB97" s="18">
        <v>1</v>
      </c>
      <c r="AC97" s="18">
        <v>1</v>
      </c>
      <c r="AD97" s="18">
        <v>1</v>
      </c>
      <c r="AE97" s="18">
        <v>1</v>
      </c>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row>
    <row r="98" spans="2:55">
      <c r="B98" s="39" t="str">
        <f t="shared" si="0"/>
        <v>Sons de riz</v>
      </c>
      <c r="C98" s="18"/>
      <c r="D98" s="18"/>
      <c r="E98" s="18"/>
      <c r="F98" s="18"/>
      <c r="G98" s="18"/>
      <c r="H98" s="18"/>
      <c r="I98" s="18"/>
      <c r="J98" s="18"/>
      <c r="K98" s="18"/>
      <c r="L98" s="18"/>
      <c r="M98" s="18"/>
      <c r="N98" s="18"/>
      <c r="O98" s="18"/>
      <c r="P98" s="18"/>
      <c r="Q98" s="18"/>
      <c r="R98" s="18"/>
      <c r="S98" s="18"/>
      <c r="T98" s="18"/>
      <c r="U98" s="18">
        <v>1</v>
      </c>
      <c r="V98" s="18">
        <v>1</v>
      </c>
      <c r="W98" s="18">
        <v>1</v>
      </c>
      <c r="X98" s="18"/>
      <c r="Y98" s="18"/>
      <c r="Z98" s="18"/>
      <c r="AA98" s="18"/>
      <c r="AB98" s="18"/>
      <c r="AC98" s="18"/>
      <c r="AD98" s="18"/>
      <c r="AE98" s="18">
        <v>1</v>
      </c>
      <c r="AF98" s="18">
        <v>1</v>
      </c>
      <c r="AG98" s="18">
        <v>1</v>
      </c>
      <c r="AH98" s="18">
        <v>1</v>
      </c>
      <c r="AI98" s="18"/>
      <c r="AJ98" s="18"/>
      <c r="AK98" s="18"/>
      <c r="AL98" s="18"/>
      <c r="AM98" s="18"/>
      <c r="AN98" s="18">
        <v>1</v>
      </c>
      <c r="AO98" s="18"/>
      <c r="AP98" s="18"/>
      <c r="AQ98" s="18"/>
      <c r="AR98" s="18">
        <v>1</v>
      </c>
      <c r="AS98" s="18"/>
      <c r="AT98" s="18">
        <v>1</v>
      </c>
      <c r="AU98" s="18"/>
      <c r="AV98" s="18">
        <v>1</v>
      </c>
      <c r="AW98" s="18">
        <v>1</v>
      </c>
      <c r="AX98" s="18"/>
      <c r="AY98" s="18"/>
      <c r="AZ98" s="18"/>
      <c r="BA98" s="18"/>
      <c r="BB98" s="18"/>
      <c r="BC98" s="18"/>
    </row>
    <row r="99" spans="2:55">
      <c r="B99" s="39" t="str">
        <f t="shared" si="0"/>
        <v>Brisures de riz</v>
      </c>
      <c r="C99" s="18"/>
      <c r="D99" s="18"/>
      <c r="E99" s="18"/>
      <c r="F99" s="18"/>
      <c r="G99" s="18"/>
      <c r="H99" s="18"/>
      <c r="I99" s="18"/>
      <c r="J99" s="18"/>
      <c r="K99" s="18"/>
      <c r="L99" s="18"/>
      <c r="M99" s="18"/>
      <c r="N99" s="18"/>
      <c r="O99" s="18"/>
      <c r="P99" s="18"/>
      <c r="Q99" s="18"/>
      <c r="R99" s="18"/>
      <c r="S99" s="18"/>
      <c r="T99" s="18"/>
      <c r="U99" s="18">
        <v>1</v>
      </c>
      <c r="V99" s="18">
        <v>1</v>
      </c>
      <c r="W99" s="18"/>
      <c r="X99" s="18"/>
      <c r="Y99" s="18"/>
      <c r="Z99" s="18"/>
      <c r="AA99" s="18"/>
      <c r="AB99" s="18"/>
      <c r="AC99" s="18"/>
      <c r="AD99" s="18"/>
      <c r="AE99" s="18"/>
      <c r="AF99" s="18">
        <v>1</v>
      </c>
      <c r="AG99" s="18">
        <v>1</v>
      </c>
      <c r="AH99" s="18">
        <v>1</v>
      </c>
      <c r="AI99" s="18">
        <v>1</v>
      </c>
      <c r="AJ99" s="18">
        <v>1</v>
      </c>
      <c r="AK99" s="18">
        <v>1</v>
      </c>
      <c r="AL99" s="18">
        <v>1</v>
      </c>
      <c r="AM99" s="18"/>
      <c r="AN99" s="18"/>
      <c r="AO99" s="18"/>
      <c r="AP99" s="18"/>
      <c r="AQ99" s="18"/>
      <c r="AR99" s="18"/>
      <c r="AS99" s="18"/>
      <c r="AT99" s="18"/>
      <c r="AU99" s="18"/>
      <c r="AV99" s="18"/>
      <c r="AW99" s="18"/>
      <c r="AX99" s="18"/>
      <c r="AY99" s="18"/>
      <c r="AZ99" s="18"/>
      <c r="BA99" s="18"/>
      <c r="BB99" s="18"/>
      <c r="BC99" s="18"/>
    </row>
  </sheetData>
  <conditionalFormatting sqref="C3:BC49 C53:BC99">
    <cfRule type="cellIs" dxfId="0" priority="1" operator="equal">
      <formula>0</formula>
    </cfRule>
  </conditionalFormatting>
  <pageMargins left="0.75" right="0.75" top="1" bottom="1" header="0.5" footer="0.5"/>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BDE0-6B2F-4200-A6C9-EB31AB3328EC}">
  <sheetPr>
    <tabColor rgb="FFFFC000"/>
  </sheetPr>
  <dimension ref="A1:U75"/>
  <sheetViews>
    <sheetView workbookViewId="0">
      <selection activeCell="G78" sqref="G78"/>
    </sheetView>
  </sheetViews>
  <sheetFormatPr baseColWidth="10" defaultRowHeight="14.4"/>
  <cols>
    <col min="1" max="1" width="11.5546875" style="57"/>
    <col min="2" max="2" width="51.33203125" style="57" bestFit="1" customWidth="1"/>
  </cols>
  <sheetData>
    <row r="1" spans="1:14" s="57" customFormat="1" ht="15" thickBot="1">
      <c r="A1" s="741" t="s">
        <v>149</v>
      </c>
      <c r="B1" s="741"/>
    </row>
    <row r="2" spans="1:14" s="57" customFormat="1">
      <c r="A2" s="58" t="s">
        <v>150</v>
      </c>
      <c r="B2" s="59" t="s">
        <v>1343</v>
      </c>
    </row>
    <row r="3" spans="1:14" s="57" customFormat="1">
      <c r="A3" s="60" t="s">
        <v>152</v>
      </c>
      <c r="B3" s="65">
        <v>2016</v>
      </c>
    </row>
    <row r="4" spans="1:14" s="57" customFormat="1">
      <c r="A4" s="60" t="s">
        <v>153</v>
      </c>
      <c r="B4" s="61" t="s">
        <v>154</v>
      </c>
    </row>
    <row r="5" spans="1:14" s="57" customFormat="1">
      <c r="A5" s="60" t="s">
        <v>17</v>
      </c>
      <c r="B5" s="61" t="s">
        <v>21</v>
      </c>
    </row>
    <row r="6" spans="1:14" s="57" customFormat="1">
      <c r="A6" s="60" t="s">
        <v>19</v>
      </c>
      <c r="B6" s="61" t="s">
        <v>1363</v>
      </c>
    </row>
    <row r="7" spans="1:14" s="57" customFormat="1" ht="15" thickBot="1">
      <c r="A7" s="62" t="s">
        <v>156</v>
      </c>
      <c r="B7" s="63" t="s">
        <v>157</v>
      </c>
    </row>
    <row r="8" spans="1:14">
      <c r="C8" s="87" t="s">
        <v>19</v>
      </c>
      <c r="D8" s="87" t="s">
        <v>1344</v>
      </c>
    </row>
    <row r="9" spans="1:14">
      <c r="K9" t="s">
        <v>1361</v>
      </c>
      <c r="L9">
        <f>18.9/10*10^3</f>
        <v>1890</v>
      </c>
    </row>
    <row r="10" spans="1:14">
      <c r="L10" s="11" t="s">
        <v>1345</v>
      </c>
    </row>
    <row r="11" spans="1:14">
      <c r="K11" s="11" t="s">
        <v>1206</v>
      </c>
      <c r="L11" s="563">
        <v>283.036</v>
      </c>
      <c r="M11" s="482">
        <f>L11/$L$9</f>
        <v>0.14975449735449736</v>
      </c>
    </row>
    <row r="12" spans="1:14">
      <c r="K12" s="11" t="s">
        <v>1346</v>
      </c>
      <c r="L12" s="563">
        <v>47.566000000000003</v>
      </c>
      <c r="M12" s="482">
        <f t="shared" ref="M12:M13" si="0">L12/$L$9</f>
        <v>2.5167195767195769E-2</v>
      </c>
    </row>
    <row r="13" spans="1:14">
      <c r="K13" s="11" t="s">
        <v>1347</v>
      </c>
      <c r="L13" s="563">
        <v>5.2839999999999998</v>
      </c>
      <c r="M13" s="482">
        <f t="shared" si="0"/>
        <v>2.7957671957671956E-3</v>
      </c>
      <c r="N13" t="s">
        <v>1362</v>
      </c>
    </row>
    <row r="14" spans="1:14">
      <c r="K14" s="11" t="s">
        <v>1348</v>
      </c>
      <c r="L14" s="563">
        <f>5.765/10</f>
        <v>0.57650000000000001</v>
      </c>
      <c r="M14" t="s">
        <v>1360</v>
      </c>
    </row>
    <row r="21" spans="7:9">
      <c r="H21" s="11" t="s">
        <v>1349</v>
      </c>
    </row>
    <row r="22" spans="7:9">
      <c r="G22" s="11" t="s">
        <v>1350</v>
      </c>
      <c r="H22">
        <v>1</v>
      </c>
      <c r="I22" s="482">
        <f>H22/SUM($H$22:$H$23)</f>
        <v>2.0833333333333332E-2</v>
      </c>
    </row>
    <row r="23" spans="7:9">
      <c r="G23" s="11" t="s">
        <v>1125</v>
      </c>
      <c r="H23">
        <v>47</v>
      </c>
      <c r="I23" s="482">
        <f>H23/SUM($H$22:$H$23)</f>
        <v>0.97916666666666663</v>
      </c>
    </row>
    <row r="36" spans="3:21">
      <c r="C36" s="87" t="s">
        <v>19</v>
      </c>
      <c r="D36" s="87" t="s">
        <v>338</v>
      </c>
      <c r="E36" s="87" t="s">
        <v>339</v>
      </c>
    </row>
    <row r="37" spans="3:21">
      <c r="C37" s="87"/>
      <c r="D37" s="87" t="s">
        <v>340</v>
      </c>
      <c r="E37" s="87" t="s">
        <v>341</v>
      </c>
    </row>
    <row r="38" spans="3:21">
      <c r="C38" s="87"/>
      <c r="D38" s="87" t="s">
        <v>342</v>
      </c>
      <c r="E38" s="87" t="s">
        <v>1351</v>
      </c>
    </row>
    <row r="39" spans="3:21">
      <c r="C39" s="87"/>
      <c r="D39" s="87" t="s">
        <v>344</v>
      </c>
      <c r="E39" s="87" t="s">
        <v>1352</v>
      </c>
    </row>
    <row r="40" spans="3:21" ht="15" thickBot="1"/>
    <row r="41" spans="3:21" ht="15" thickBot="1">
      <c r="C41" s="525" t="s">
        <v>1353</v>
      </c>
      <c r="D41" s="468"/>
      <c r="E41" s="468"/>
      <c r="F41" s="468"/>
    </row>
    <row r="42" spans="3:21" ht="15" thickBot="1">
      <c r="C42" s="525" t="s">
        <v>1354</v>
      </c>
      <c r="D42" s="468"/>
      <c r="E42" s="468"/>
      <c r="F42" s="468"/>
    </row>
    <row r="43" spans="3:21" ht="15" thickBot="1">
      <c r="C43" s="559"/>
      <c r="D43" s="468"/>
      <c r="E43" s="468"/>
      <c r="F43" s="468"/>
    </row>
    <row r="44" spans="3:21">
      <c r="C44" s="468"/>
      <c r="D44" s="468"/>
      <c r="E44" s="468"/>
      <c r="F44" s="468"/>
    </row>
    <row r="45" spans="3:21" ht="113.4">
      <c r="C45" s="763" t="s">
        <v>365</v>
      </c>
      <c r="D45" s="550" t="s">
        <v>1355</v>
      </c>
      <c r="E45" s="550" t="s">
        <v>356</v>
      </c>
      <c r="F45" s="549"/>
      <c r="H45" s="763" t="s">
        <v>365</v>
      </c>
      <c r="I45" s="550" t="s">
        <v>1356</v>
      </c>
      <c r="J45" s="550" t="s">
        <v>356</v>
      </c>
      <c r="K45" s="549"/>
      <c r="M45" s="763" t="s">
        <v>365</v>
      </c>
      <c r="N45" s="550" t="s">
        <v>1357</v>
      </c>
      <c r="O45" s="550" t="s">
        <v>356</v>
      </c>
      <c r="P45" s="549"/>
      <c r="R45" s="763" t="s">
        <v>365</v>
      </c>
      <c r="S45" s="550" t="s">
        <v>1358</v>
      </c>
      <c r="T45" s="550" t="s">
        <v>356</v>
      </c>
      <c r="U45" s="549"/>
    </row>
    <row r="46" spans="3:21">
      <c r="C46" s="763"/>
      <c r="D46" s="560" t="s">
        <v>355</v>
      </c>
      <c r="E46" s="550" t="s">
        <v>356</v>
      </c>
      <c r="F46" s="560"/>
      <c r="H46" s="763"/>
      <c r="I46" s="560" t="s">
        <v>355</v>
      </c>
      <c r="J46" s="550" t="s">
        <v>356</v>
      </c>
      <c r="K46" s="560"/>
      <c r="M46" s="763"/>
      <c r="N46" s="560" t="s">
        <v>355</v>
      </c>
      <c r="O46" s="550" t="s">
        <v>356</v>
      </c>
      <c r="P46" s="560"/>
      <c r="R46" s="763"/>
      <c r="S46" s="560" t="s">
        <v>355</v>
      </c>
      <c r="T46" s="550" t="s">
        <v>356</v>
      </c>
      <c r="U46" s="560"/>
    </row>
    <row r="47" spans="3:21">
      <c r="C47" s="561" t="s">
        <v>154</v>
      </c>
      <c r="D47" s="562">
        <f>F47*E47</f>
        <v>0</v>
      </c>
      <c r="E47" s="564">
        <f t="shared" ref="E47" si="1">120/283</f>
        <v>0.42402826855123676</v>
      </c>
      <c r="F47" s="562"/>
      <c r="H47" s="561" t="s">
        <v>154</v>
      </c>
      <c r="I47" s="562">
        <f>K47*J47</f>
        <v>0</v>
      </c>
      <c r="J47" s="564">
        <f t="shared" ref="J47" si="2">159/283</f>
        <v>0.56183745583038869</v>
      </c>
      <c r="K47" s="562"/>
      <c r="M47" s="561" t="s">
        <v>154</v>
      </c>
      <c r="N47" s="562">
        <f>P47*O47</f>
        <v>0</v>
      </c>
      <c r="O47" s="564">
        <f t="shared" ref="O47" si="3">3000/283000</f>
        <v>1.0600706713780919E-2</v>
      </c>
      <c r="P47" s="562"/>
      <c r="R47" s="561" t="s">
        <v>154</v>
      </c>
      <c r="S47" s="562">
        <f>U47*T47</f>
        <v>0</v>
      </c>
      <c r="T47" s="564">
        <f t="shared" ref="T47" si="4">1/283</f>
        <v>3.5335689045936395E-3</v>
      </c>
      <c r="U47" s="562"/>
    </row>
    <row r="48" spans="3:21">
      <c r="C48" s="468"/>
      <c r="D48" s="468"/>
      <c r="E48" s="468"/>
      <c r="F48" s="469"/>
    </row>
    <row r="49" spans="3:11">
      <c r="C49" s="764" t="s">
        <v>1359</v>
      </c>
      <c r="D49" s="754"/>
      <c r="E49" s="754"/>
      <c r="F49" s="754"/>
    </row>
    <row r="52" spans="3:11">
      <c r="C52" s="116" t="s">
        <v>1364</v>
      </c>
    </row>
    <row r="54" spans="3:11">
      <c r="I54" t="s">
        <v>1367</v>
      </c>
      <c r="J54" t="s">
        <v>1368</v>
      </c>
    </row>
    <row r="55" spans="3:11">
      <c r="J55">
        <v>1</v>
      </c>
    </row>
    <row r="56" spans="3:11">
      <c r="H56" t="s">
        <v>972</v>
      </c>
      <c r="I56">
        <v>0.17499999999999999</v>
      </c>
      <c r="J56" s="482">
        <f>I56/$J$55</f>
        <v>0.17499999999999999</v>
      </c>
    </row>
    <row r="57" spans="3:11">
      <c r="H57" t="s">
        <v>1365</v>
      </c>
      <c r="I57">
        <v>4</v>
      </c>
      <c r="J57" s="482">
        <f t="shared" ref="J57:J58" si="5">I57/$J$55</f>
        <v>4</v>
      </c>
    </row>
    <row r="58" spans="3:11">
      <c r="H58" t="s">
        <v>1366</v>
      </c>
      <c r="I58">
        <f>1.5/10^3</f>
        <v>1.5E-3</v>
      </c>
      <c r="J58" s="482">
        <f t="shared" si="5"/>
        <v>1.5E-3</v>
      </c>
    </row>
    <row r="59" spans="3:11">
      <c r="H59" t="s">
        <v>1369</v>
      </c>
      <c r="J59" s="483">
        <f>M12</f>
        <v>2.5167195767195769E-2</v>
      </c>
      <c r="K59" t="s">
        <v>1370</v>
      </c>
    </row>
    <row r="66" spans="3:6">
      <c r="C66" s="116" t="s">
        <v>1766</v>
      </c>
      <c r="F66" s="578" t="s">
        <v>1767</v>
      </c>
    </row>
    <row r="74" spans="3:6">
      <c r="D74" t="s">
        <v>1769</v>
      </c>
      <c r="E74" s="483">
        <v>0.5</v>
      </c>
    </row>
    <row r="75" spans="3:6">
      <c r="D75" t="s">
        <v>1768</v>
      </c>
      <c r="E75" s="483">
        <v>0.5</v>
      </c>
    </row>
  </sheetData>
  <mergeCells count="6">
    <mergeCell ref="R45:R46"/>
    <mergeCell ref="C49:F49"/>
    <mergeCell ref="A1:B1"/>
    <mergeCell ref="C45:C46"/>
    <mergeCell ref="H45:H46"/>
    <mergeCell ref="M45:M46"/>
  </mergeCells>
  <hyperlinks>
    <hyperlink ref="F66" r:id="rId1" xr:uid="{45E86212-1715-4F7F-82C4-E1E9ECAB46E1}"/>
  </hyperlinks>
  <pageMargins left="0.7" right="0.7" top="0.75" bottom="0.75" header="0.3" footer="0.3"/>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1E7D-33CD-45D0-889B-B1E1E2C3ABA5}">
  <sheetPr>
    <tabColor rgb="FF92D050"/>
  </sheetPr>
  <dimension ref="A1:S8"/>
  <sheetViews>
    <sheetView workbookViewId="0">
      <pane xSplit="2" ySplit="1" topLeftCell="C2" activePane="bottomRight" state="frozen"/>
      <selection activeCell="G15" sqref="G15"/>
      <selection pane="topRight" activeCell="G15" sqref="G15"/>
      <selection pane="bottomLeft" activeCell="G15" sqref="G15"/>
      <selection pane="bottomRight" activeCell="O8" sqref="O8:Q8"/>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1" width="12.109375" style="26" customWidth="1"/>
    <col min="12" max="13" width="14.44140625" style="26" customWidth="1"/>
    <col min="14" max="14" width="12.109375" style="26" customWidth="1"/>
    <col min="15" max="17" width="14.44140625" style="26" customWidth="1"/>
    <col min="18" max="18" width="12.33203125" customWidth="1"/>
    <col min="19" max="19" width="17.44140625" customWidth="1"/>
  </cols>
  <sheetData>
    <row r="1" spans="1:19" ht="63.6"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Produits!$B$4</f>
        <v>Grains collectés</v>
      </c>
      <c r="B2" t="str">
        <f>Secteurs!$B$15</f>
        <v>Indus. popcorn</v>
      </c>
      <c r="C2" s="86">
        <f>'Popcorn - Intercéréales'!D16</f>
        <v>55</v>
      </c>
      <c r="E2" t="str">
        <f>Etiquettes!$C$3</f>
        <v>kt</v>
      </c>
      <c r="F2" s="26" t="str">
        <f>Etiquettes!$I$6</f>
        <v>Maïs</v>
      </c>
      <c r="G2" s="26" t="str">
        <f>Etiquettes!$H$5</f>
        <v>2015-16</v>
      </c>
      <c r="H2" t="str">
        <f>Etiquettes!$C$4</f>
        <v>France entière</v>
      </c>
      <c r="I2" t="s">
        <v>1587</v>
      </c>
      <c r="J2" t="s">
        <v>1693</v>
      </c>
      <c r="K2" t="s">
        <v>1588</v>
      </c>
      <c r="L2" s="26" t="str" cm="1">
        <f t="array" aca="1" ref="L2" ca="1">[1]!NOM_FEUILLE('Popcorn - Intercéréales'!$A$1)</f>
        <v>Popcorn - Intercéréales</v>
      </c>
      <c r="M2" s="26" t="str">
        <f>Etiquettes!$H$11</f>
        <v>Volume</v>
      </c>
      <c r="N2" t="str">
        <f>_xlfn.CONCAT(I2,IF(ISBLANK(C2),"",_xlfn.CONCAT(" = ",MROUND(C2,1)," ",E2))," (",K2,")")</f>
        <v>Consommation de grains par l'industrie du popcorn = 55 kt (Chiffres clés - Nataïs)</v>
      </c>
      <c r="O2" s="26" t="str">
        <f>Etiquettes!$L$15</f>
        <v>Indicative</v>
      </c>
      <c r="P2" s="603" t="str">
        <f>Etiquettes!$H$16</f>
        <v>Données collectées</v>
      </c>
      <c r="Q2" s="603" t="str">
        <f>Etiquettes!$H$17</f>
        <v>Donnée collectée (valeur du flux ou coefficient)</v>
      </c>
      <c r="S2" s="692" t="s">
        <v>1412</v>
      </c>
    </row>
    <row r="3" spans="1:19">
      <c r="A3" t="str">
        <f>Produits!$B$4</f>
        <v>Grains collectés</v>
      </c>
      <c r="B3" t="str">
        <f>Secteurs!$B$15</f>
        <v>Indus. popcorn</v>
      </c>
      <c r="C3" s="86">
        <f>'Popcorn - Intercéréales'!D16</f>
        <v>55</v>
      </c>
      <c r="E3" t="str">
        <f>Etiquettes!$C$3</f>
        <v>kt</v>
      </c>
      <c r="F3" s="26" t="str">
        <f>Etiquettes!$I$6</f>
        <v>Maïs</v>
      </c>
      <c r="G3" s="26" t="str">
        <f>Etiquettes!$I$5</f>
        <v>2019-20</v>
      </c>
      <c r="H3" t="str">
        <f>Etiquettes!$C$4</f>
        <v>France entière</v>
      </c>
      <c r="I3" t="s">
        <v>1587</v>
      </c>
      <c r="J3"/>
      <c r="K3" t="s">
        <v>1588</v>
      </c>
      <c r="L3" s="26" t="str" cm="1">
        <f t="array" aca="1" ref="L3" ca="1">[1]!NOM_FEUILLE('Popcorn - Intercéréales'!$A$1)</f>
        <v>Popcorn - Intercéréales</v>
      </c>
      <c r="M3" s="26" t="str">
        <f>Etiquettes!$H$11</f>
        <v>Volume</v>
      </c>
      <c r="N3" t="str">
        <f>_xlfn.CONCAT(I3,IF(ISBLANK(C3),"",_xlfn.CONCAT(" = ",MROUND(C3,1)," ",E3))," (",K3,")")</f>
        <v>Consommation de grains par l'industrie du popcorn = 55 kt (Chiffres clés - Nataïs)</v>
      </c>
      <c r="O3" s="26" t="str">
        <f>Etiquettes!$L$15</f>
        <v>Indicative</v>
      </c>
      <c r="P3" s="603" t="str">
        <f>Etiquettes!$H$16</f>
        <v>Données collectées</v>
      </c>
      <c r="Q3" s="603" t="str">
        <f>Etiquettes!$H$17</f>
        <v>Donnée collectée (valeur du flux ou coefficient)</v>
      </c>
      <c r="S3" s="693"/>
    </row>
    <row r="4" spans="1:19">
      <c r="A4" t="str">
        <f>Produits!$B$4</f>
        <v>Grains collectés</v>
      </c>
      <c r="B4" t="str">
        <f>Secteurs!$B$15</f>
        <v>Indus. popcorn</v>
      </c>
      <c r="C4" s="459">
        <f>'Popcorn - Intercéréales'!E16</f>
        <v>51.063157894736847</v>
      </c>
      <c r="E4" t="str">
        <f>Etiquettes!$C$3</f>
        <v>kt</v>
      </c>
      <c r="F4" s="26" t="str">
        <f>Etiquettes!$I$6</f>
        <v>Maïs</v>
      </c>
      <c r="G4" s="26" t="str">
        <f>Etiquettes!$J$5</f>
        <v>2023-24</v>
      </c>
      <c r="H4" t="str">
        <f>Etiquettes!$C$4</f>
        <v>France entière</v>
      </c>
      <c r="I4" t="s">
        <v>1587</v>
      </c>
      <c r="J4"/>
      <c r="K4" t="s">
        <v>1588</v>
      </c>
      <c r="L4" s="26" t="str" cm="1">
        <f t="array" aca="1" ref="L4" ca="1">[1]!NOM_FEUILLE('Popcorn - Intercéréales'!$A$1)</f>
        <v>Popcorn - Intercéréales</v>
      </c>
      <c r="M4" s="26" t="str">
        <f>Etiquettes!$H$11</f>
        <v>Volume</v>
      </c>
      <c r="N4" t="str">
        <f>_xlfn.CONCAT(I4,IF(ISBLANK(C4),"",_xlfn.CONCAT(" = ",MROUND(C4,1)," ",E4))," (",K4,")")</f>
        <v>Consommation de grains par l'industrie du popcorn = 51 kt (Chiffres clés - Nataïs)</v>
      </c>
      <c r="O4" s="26" t="str">
        <f>Etiquettes!$L$15</f>
        <v>Indicative</v>
      </c>
      <c r="P4" s="603" t="str">
        <f>Etiquettes!$H$16</f>
        <v>Données collectées</v>
      </c>
      <c r="Q4" s="603" t="str">
        <f>Etiquettes!$H$17</f>
        <v>Donnée collectée (valeur du flux ou coefficient)</v>
      </c>
      <c r="S4" s="693"/>
    </row>
    <row r="5" spans="1:19">
      <c r="A5" t="str">
        <f>Produits!$B$4</f>
        <v>Grains collectés</v>
      </c>
      <c r="B5" t="str">
        <f>Secteurs!$B$15</f>
        <v>Indus. popcorn</v>
      </c>
      <c r="C5">
        <v>0</v>
      </c>
      <c r="E5" t="str">
        <f>Etiquettes!$C$3</f>
        <v>kt</v>
      </c>
      <c r="F5" s="26" t="s">
        <v>1710</v>
      </c>
      <c r="G5" s="26" t="str">
        <f>Etiquettes!$C$5</f>
        <v>2015-16:2019-20:2023-24</v>
      </c>
      <c r="H5" t="str">
        <f>Etiquettes!$C$4</f>
        <v>France entière</v>
      </c>
      <c r="I5"/>
      <c r="J5"/>
      <c r="K5"/>
      <c r="N5"/>
      <c r="R5" t="s">
        <v>1411</v>
      </c>
      <c r="S5" s="693"/>
    </row>
    <row r="6" spans="1:19">
      <c r="A6" t="str">
        <f>Secteurs!$B$15</f>
        <v>Indus. popcorn</v>
      </c>
      <c r="B6" t="str">
        <f>Produits!$B$43</f>
        <v>Popcorn</v>
      </c>
      <c r="C6" s="459">
        <f>'Popcorn - Intercéréales'!D17</f>
        <v>47.5</v>
      </c>
      <c r="E6" t="str">
        <f>Etiquettes!$C$3</f>
        <v>kt</v>
      </c>
      <c r="F6" s="26" t="str">
        <f>Etiquettes!$I$6</f>
        <v>Maïs</v>
      </c>
      <c r="G6" s="26" t="str">
        <f>Etiquettes!$H$5</f>
        <v>2015-16</v>
      </c>
      <c r="H6" t="str">
        <f>Etiquettes!$C$4</f>
        <v>France entière</v>
      </c>
      <c r="I6" t="s">
        <v>1402</v>
      </c>
      <c r="J6" t="s">
        <v>1693</v>
      </c>
      <c r="K6" t="s">
        <v>1588</v>
      </c>
      <c r="L6" s="26" t="str" cm="1">
        <f t="array" aca="1" ref="L6" ca="1">[1]!NOM_FEUILLE('Popcorn - Intercéréales'!$A$1)</f>
        <v>Popcorn - Intercéréales</v>
      </c>
      <c r="M6" s="26" t="str">
        <f>Etiquettes!$H$11</f>
        <v>Volume</v>
      </c>
      <c r="N6" t="str">
        <f>_xlfn.CONCAT(I6,IF(ISBLANK(C6),"",_xlfn.CONCAT(" = ",MROUND(C6,1)," ",E6))," (",K6,")")</f>
        <v>Production de popcorn = 48 kt (Chiffres clés - Nataïs)</v>
      </c>
      <c r="O6" s="26" t="str">
        <f>Etiquettes!$L$15</f>
        <v>Indicative</v>
      </c>
      <c r="P6" s="603" t="str">
        <f>Etiquettes!$H$16</f>
        <v>Données collectées</v>
      </c>
      <c r="Q6" s="603" t="str">
        <f>Etiquettes!$H$17</f>
        <v>Donnée collectée (valeur du flux ou coefficient)</v>
      </c>
      <c r="S6" s="693" t="s">
        <v>1402</v>
      </c>
    </row>
    <row r="7" spans="1:19">
      <c r="A7" t="str">
        <f>Secteurs!$B$15</f>
        <v>Indus. popcorn</v>
      </c>
      <c r="B7" t="str">
        <f>Produits!$B$43</f>
        <v>Popcorn</v>
      </c>
      <c r="C7" s="459">
        <f>'Popcorn - Intercéréales'!D17</f>
        <v>47.5</v>
      </c>
      <c r="E7" t="str">
        <f>Etiquettes!$C$3</f>
        <v>kt</v>
      </c>
      <c r="F7" s="26" t="str">
        <f>Etiquettes!$I$6</f>
        <v>Maïs</v>
      </c>
      <c r="G7" s="26" t="str">
        <f>Etiquettes!$I$5</f>
        <v>2019-20</v>
      </c>
      <c r="H7" t="str">
        <f>Etiquettes!$C$4</f>
        <v>France entière</v>
      </c>
      <c r="I7" t="s">
        <v>1402</v>
      </c>
      <c r="J7"/>
      <c r="K7" t="s">
        <v>1588</v>
      </c>
      <c r="L7" s="26" t="str" cm="1">
        <f t="array" aca="1" ref="L7" ca="1">[1]!NOM_FEUILLE('Popcorn - Intercéréales'!$A$1)</f>
        <v>Popcorn - Intercéréales</v>
      </c>
      <c r="M7" s="26" t="str">
        <f>Etiquettes!$H$11</f>
        <v>Volume</v>
      </c>
      <c r="N7" t="str">
        <f>_xlfn.CONCAT(I7,IF(ISBLANK(C7),"",_xlfn.CONCAT(" = ",MROUND(C7,1)," ",E7))," (",K7,")")</f>
        <v>Production de popcorn = 48 kt (Chiffres clés - Nataïs)</v>
      </c>
      <c r="O7" s="26" t="str">
        <f>Etiquettes!$L$15</f>
        <v>Indicative</v>
      </c>
      <c r="P7" s="603" t="str">
        <f>Etiquettes!$H$16</f>
        <v>Données collectées</v>
      </c>
      <c r="Q7" s="603" t="str">
        <f>Etiquettes!$H$17</f>
        <v>Donnée collectée (valeur du flux ou coefficient)</v>
      </c>
      <c r="S7" s="693"/>
    </row>
    <row r="8" spans="1:19">
      <c r="A8" t="str">
        <f>Secteurs!$B$15</f>
        <v>Indus. popcorn</v>
      </c>
      <c r="B8" t="str">
        <f>Produits!$B$43</f>
        <v>Popcorn</v>
      </c>
      <c r="C8" s="459">
        <f>'Popcorn - Intercéréales'!E17</f>
        <v>44.1</v>
      </c>
      <c r="E8" t="str">
        <f>Etiquettes!$C$3</f>
        <v>kt</v>
      </c>
      <c r="F8" s="26" t="str">
        <f>Etiquettes!$I$6</f>
        <v>Maïs</v>
      </c>
      <c r="G8" s="26" t="str">
        <f>Etiquettes!$J$5</f>
        <v>2023-24</v>
      </c>
      <c r="H8" t="str">
        <f>Etiquettes!$C$4</f>
        <v>France entière</v>
      </c>
      <c r="I8" t="s">
        <v>1402</v>
      </c>
      <c r="J8"/>
      <c r="K8" t="s">
        <v>1588</v>
      </c>
      <c r="L8" s="26" t="str" cm="1">
        <f t="array" aca="1" ref="L8" ca="1">[1]!NOM_FEUILLE('Popcorn - Intercéréales'!$A$1)</f>
        <v>Popcorn - Intercéréales</v>
      </c>
      <c r="M8" s="26" t="str">
        <f>Etiquettes!$H$11</f>
        <v>Volume</v>
      </c>
      <c r="N8" t="str">
        <f>_xlfn.CONCAT(I8,IF(ISBLANK(C8),"",_xlfn.CONCAT(" = ",MROUND(C8,1)," ",E8))," (",K8,")")</f>
        <v>Production de popcorn = 44 kt (Chiffres clés - Nataïs)</v>
      </c>
      <c r="O8" s="26" t="str">
        <f>Etiquettes!$L$15</f>
        <v>Indicative</v>
      </c>
      <c r="P8" s="603" t="str">
        <f>Etiquettes!$H$16</f>
        <v>Données collectées</v>
      </c>
      <c r="Q8" s="603" t="str">
        <f>Etiquettes!$H$17</f>
        <v>Donnée collectée (valeur du flux ou coefficient)</v>
      </c>
      <c r="S8" s="693"/>
    </row>
  </sheetData>
  <mergeCells count="2">
    <mergeCell ref="S2:S5"/>
    <mergeCell ref="S6:S8"/>
  </mergeCells>
  <phoneticPr fontId="43" type="noConversion"/>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80C4-DDD3-4900-A7B0-F57DC6C72492}">
  <sheetPr>
    <tabColor rgb="FFFFC000"/>
  </sheetPr>
  <dimension ref="B2:E17"/>
  <sheetViews>
    <sheetView workbookViewId="0">
      <selection activeCell="C16" sqref="C16:C17"/>
    </sheetView>
  </sheetViews>
  <sheetFormatPr baseColWidth="10" defaultRowHeight="14.4"/>
  <cols>
    <col min="2" max="2" width="29.33203125" customWidth="1"/>
    <col min="3" max="3" width="8.33203125" customWidth="1"/>
    <col min="4" max="5" width="7.6640625" bestFit="1" customWidth="1"/>
  </cols>
  <sheetData>
    <row r="2" spans="2:5">
      <c r="B2" s="87" t="s">
        <v>1397</v>
      </c>
    </row>
    <row r="3" spans="2:5">
      <c r="B3" t="s">
        <v>1398</v>
      </c>
    </row>
    <row r="4" spans="2:5">
      <c r="B4" t="s">
        <v>1396</v>
      </c>
      <c r="C4">
        <v>9500</v>
      </c>
    </row>
    <row r="5" spans="2:5">
      <c r="B5">
        <v>2023</v>
      </c>
      <c r="C5">
        <v>8820</v>
      </c>
    </row>
    <row r="7" spans="2:5">
      <c r="B7" s="87" t="s">
        <v>1404</v>
      </c>
    </row>
    <row r="8" spans="2:5">
      <c r="B8" t="s">
        <v>1399</v>
      </c>
    </row>
    <row r="9" spans="2:5">
      <c r="B9" t="s">
        <v>1396</v>
      </c>
      <c r="C9">
        <v>55</v>
      </c>
    </row>
    <row r="11" spans="2:5">
      <c r="B11" s="87" t="s">
        <v>1405</v>
      </c>
    </row>
    <row r="12" spans="2:5">
      <c r="B12" t="s">
        <v>1400</v>
      </c>
      <c r="C12">
        <v>5</v>
      </c>
    </row>
    <row r="14" spans="2:5">
      <c r="B14" s="116" t="s">
        <v>1401</v>
      </c>
    </row>
    <row r="15" spans="2:5">
      <c r="B15" t="s">
        <v>1120</v>
      </c>
      <c r="C15" t="s">
        <v>1130</v>
      </c>
      <c r="D15" t="s">
        <v>1131</v>
      </c>
      <c r="E15" t="s">
        <v>1132</v>
      </c>
    </row>
    <row r="16" spans="2:5">
      <c r="B16" t="s">
        <v>1399</v>
      </c>
      <c r="C16" s="765" t="s">
        <v>1409</v>
      </c>
      <c r="D16" s="507">
        <f>C9</f>
        <v>55</v>
      </c>
      <c r="E16" s="508">
        <f>(C9/C4)*C5</f>
        <v>51.063157894736847</v>
      </c>
    </row>
    <row r="17" spans="2:5">
      <c r="B17" t="s">
        <v>1403</v>
      </c>
      <c r="C17" s="765"/>
      <c r="D17" s="508">
        <f>C12*C4/10^3</f>
        <v>47.5</v>
      </c>
      <c r="E17" s="508">
        <f>C12*C5/10^3</f>
        <v>44.1</v>
      </c>
    </row>
  </sheetData>
  <mergeCells count="1">
    <mergeCell ref="C16:C17"/>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6F0D8-64AE-45DE-9F41-B1418EB51EE6}">
  <sheetPr>
    <tabColor rgb="FF92D050"/>
  </sheetPr>
  <dimension ref="A1:S199"/>
  <sheetViews>
    <sheetView workbookViewId="0">
      <pane xSplit="2" ySplit="1" topLeftCell="C80" activePane="bottomRight" state="frozen"/>
      <selection activeCell="F172" sqref="F172"/>
      <selection pane="topRight" activeCell="F172" sqref="F172"/>
      <selection pane="bottomLeft" activeCell="F172" sqref="F172"/>
      <selection pane="bottomRight" activeCell="B98" sqref="B98"/>
    </sheetView>
  </sheetViews>
  <sheetFormatPr baseColWidth="10" defaultColWidth="9.109375" defaultRowHeight="14.4"/>
  <cols>
    <col min="1" max="1" width="36.33203125" customWidth="1"/>
    <col min="2" max="2" width="42.44140625"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1" width="12.109375" style="26" customWidth="1"/>
    <col min="12" max="13" width="14.44140625" style="26" customWidth="1"/>
    <col min="14" max="14" width="12.109375" style="26" customWidth="1"/>
    <col min="15" max="17" width="14.44140625" style="26" customWidth="1"/>
    <col min="18" max="18" width="12.33203125" customWidth="1"/>
    <col min="19" max="19" width="17.44140625" customWidth="1"/>
  </cols>
  <sheetData>
    <row r="1" spans="1:19" ht="88.8"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Etiquettes!$A$8</f>
        <v>Rendement, répartition ou volume d'échange collecté</v>
      </c>
      <c r="O1" s="24" t="str">
        <f>Etiquettes!$A$15</f>
        <v>Fiabilité des données</v>
      </c>
      <c r="P1" s="24" t="str">
        <f>Etiquettes!$A$16</f>
        <v>Méthode</v>
      </c>
      <c r="Q1" s="24" t="str">
        <f>Etiquettes!$A$17</f>
        <v>Analyse des résultats</v>
      </c>
      <c r="R1" s="23" t="s">
        <v>3</v>
      </c>
      <c r="S1" s="25" t="s">
        <v>5</v>
      </c>
    </row>
    <row r="2" spans="1:19" ht="14.4" customHeight="1">
      <c r="A2" t="str">
        <f>Secteurs!$B$55</f>
        <v>Importations</v>
      </c>
      <c r="B2" t="str">
        <f>Produits!$B$4</f>
        <v>Grains collectés</v>
      </c>
      <c r="C2" s="86">
        <f>'Prétraitement échanges'!K5+'Prétraitement échanges'!K4</f>
        <v>52.003862999999996</v>
      </c>
      <c r="E2" t="str">
        <f>Etiquettes!$C$3</f>
        <v>kt</v>
      </c>
      <c r="F2" s="26" t="str">
        <f>Etiquettes!$K$6</f>
        <v>Blé dur</v>
      </c>
      <c r="G2" s="26" t="str">
        <f>Etiquettes!$H$5</f>
        <v>2015-16</v>
      </c>
      <c r="H2" t="str">
        <f>Etiquettes!$C$4</f>
        <v>France entière</v>
      </c>
      <c r="I2" t="s">
        <v>1589</v>
      </c>
      <c r="J2"/>
      <c r="K2" t="s">
        <v>1591</v>
      </c>
      <c r="L2" s="26" t="str" cm="1">
        <f t="array" aca="1" ref="L2" ca="1">[1]!NOM_FEUILLE('Comext mensuel - EUROSTAT'!$A$1)</f>
        <v>Comext mensuel - EUROSTAT</v>
      </c>
      <c r="M2" s="26" t="str">
        <f>Etiquettes!$H$11</f>
        <v>Volume</v>
      </c>
      <c r="N2" t="str">
        <f>_xlfn.CONCAT(I2,IF(ISBLANK(C2),"",_xlfn.CONCAT(" = ",MROUND(C2,1)," ",E2))," (",K2,")")</f>
        <v>Importation de grains = 52 kt (Douanes françaises - Eurostat)</v>
      </c>
      <c r="O2" s="26" t="str">
        <f>Etiquettes!$J$15</f>
        <v>Probable</v>
      </c>
      <c r="P2" s="603" t="str">
        <f>Etiquettes!$H$16</f>
        <v>Données collectées</v>
      </c>
      <c r="Q2" s="603" t="str">
        <f>Etiquettes!$H$17</f>
        <v>Donnée collectée (valeur du flux ou coefficient)</v>
      </c>
      <c r="S2" s="692" t="s">
        <v>1376</v>
      </c>
    </row>
    <row r="3" spans="1:19">
      <c r="A3" t="str">
        <f>Produits!$B$4</f>
        <v>Grains collectés</v>
      </c>
      <c r="B3" t="str">
        <f>Secteurs!$B$56</f>
        <v>Exportations</v>
      </c>
      <c r="C3" s="86">
        <f>'Prétraitement échanges'!L5+'Prétraitement échanges'!L4</f>
        <v>1218.7574090000001</v>
      </c>
      <c r="E3" t="str">
        <f>Etiquettes!$C$3</f>
        <v>kt</v>
      </c>
      <c r="F3" s="26" t="str">
        <f>Etiquettes!$K$6</f>
        <v>Blé dur</v>
      </c>
      <c r="G3" s="26" t="str">
        <f>Etiquettes!$H$5</f>
        <v>2015-16</v>
      </c>
      <c r="H3" t="str">
        <f>Etiquettes!$C$4</f>
        <v>France entière</v>
      </c>
      <c r="I3" t="s">
        <v>1590</v>
      </c>
      <c r="J3"/>
      <c r="K3" t="s">
        <v>1591</v>
      </c>
      <c r="L3" s="26" t="str" cm="1">
        <f t="array" aca="1" ref="L3" ca="1">[1]!NOM_FEUILLE('Comext mensuel - EUROSTAT'!$A$1)</f>
        <v>Comext mensuel - EUROSTAT</v>
      </c>
      <c r="M3" s="26" t="str">
        <f>Etiquettes!$H$11</f>
        <v>Volume</v>
      </c>
      <c r="N3" t="str">
        <f t="shared" ref="N3:N65" si="0">_xlfn.CONCAT(I3,IF(ISBLANK(C3),"",_xlfn.CONCAT(" = ",MROUND(C3,1)," ",E3))," (",K3,")")</f>
        <v>Exportation de grains = 1219 kt (Douanes françaises - Eurostat)</v>
      </c>
      <c r="O3" s="26" t="str">
        <f>Etiquettes!$J$15</f>
        <v>Probable</v>
      </c>
      <c r="P3" s="603" t="str">
        <f>Etiquettes!$H$16</f>
        <v>Données collectées</v>
      </c>
      <c r="Q3" s="603" t="str">
        <f>Etiquettes!$H$17</f>
        <v>Donnée collectée (valeur du flux ou coefficient)</v>
      </c>
      <c r="S3" s="693"/>
    </row>
    <row r="4" spans="1:19">
      <c r="A4" t="str">
        <f>Secteurs!$B$55</f>
        <v>Importations</v>
      </c>
      <c r="B4" t="str">
        <f>Produits!$B$4</f>
        <v>Grains collectés</v>
      </c>
      <c r="C4" s="86">
        <f>'Prétraitement échanges'!M5+'Prétraitement échanges'!M4</f>
        <v>44.134092000000003</v>
      </c>
      <c r="E4" t="str">
        <f>Etiquettes!$C$3</f>
        <v>kt</v>
      </c>
      <c r="F4" s="26" t="str">
        <f>Etiquettes!$K$6</f>
        <v>Blé dur</v>
      </c>
      <c r="G4" s="26" t="str">
        <f>Etiquettes!$I$5</f>
        <v>2019-20</v>
      </c>
      <c r="H4" t="str">
        <f>Etiquettes!$C$4</f>
        <v>France entière</v>
      </c>
      <c r="I4" t="s">
        <v>1589</v>
      </c>
      <c r="J4"/>
      <c r="K4" t="s">
        <v>1591</v>
      </c>
      <c r="L4" s="26" t="str" cm="1">
        <f t="array" aca="1" ref="L4" ca="1">[1]!NOM_FEUILLE('Comext mensuel - EUROSTAT'!$A$1)</f>
        <v>Comext mensuel - EUROSTAT</v>
      </c>
      <c r="M4" s="26" t="str">
        <f>Etiquettes!$H$11</f>
        <v>Volume</v>
      </c>
      <c r="N4" t="str">
        <f t="shared" si="0"/>
        <v>Importation de grains = 44 kt (Douanes françaises - Eurostat)</v>
      </c>
      <c r="O4" s="26" t="str">
        <f>Etiquettes!$J$15</f>
        <v>Probable</v>
      </c>
      <c r="P4" s="603" t="str">
        <f>Etiquettes!$H$16</f>
        <v>Données collectées</v>
      </c>
      <c r="Q4" s="603" t="str">
        <f>Etiquettes!$H$17</f>
        <v>Donnée collectée (valeur du flux ou coefficient)</v>
      </c>
      <c r="S4" s="693"/>
    </row>
    <row r="5" spans="1:19">
      <c r="A5" t="str">
        <f>Produits!$B$4</f>
        <v>Grains collectés</v>
      </c>
      <c r="B5" t="str">
        <f>Secteurs!$B$56</f>
        <v>Exportations</v>
      </c>
      <c r="C5" s="86">
        <f>'Prétraitement échanges'!N5+'Prétraitement échanges'!N4</f>
        <v>1452.4071699999997</v>
      </c>
      <c r="E5" t="str">
        <f>Etiquettes!$C$3</f>
        <v>kt</v>
      </c>
      <c r="F5" s="26" t="str">
        <f>Etiquettes!$K$6</f>
        <v>Blé dur</v>
      </c>
      <c r="G5" s="26" t="str">
        <f>Etiquettes!$I$5</f>
        <v>2019-20</v>
      </c>
      <c r="H5" t="str">
        <f>Etiquettes!$C$4</f>
        <v>France entière</v>
      </c>
      <c r="I5" t="s">
        <v>1590</v>
      </c>
      <c r="J5"/>
      <c r="K5" t="s">
        <v>1591</v>
      </c>
      <c r="L5" s="26" t="str" cm="1">
        <f t="array" aca="1" ref="L5" ca="1">[1]!NOM_FEUILLE('Comext mensuel - EUROSTAT'!$A$1)</f>
        <v>Comext mensuel - EUROSTAT</v>
      </c>
      <c r="M5" s="26" t="str">
        <f>Etiquettes!$H$11</f>
        <v>Volume</v>
      </c>
      <c r="N5" t="str">
        <f t="shared" si="0"/>
        <v>Exportation de grains = 1452 kt (Douanes françaises - Eurostat)</v>
      </c>
      <c r="O5" s="26" t="str">
        <f>Etiquettes!$J$15</f>
        <v>Probable</v>
      </c>
      <c r="P5" s="603" t="str">
        <f>Etiquettes!$H$16</f>
        <v>Données collectées</v>
      </c>
      <c r="Q5" s="603" t="str">
        <f>Etiquettes!$H$17</f>
        <v>Donnée collectée (valeur du flux ou coefficient)</v>
      </c>
      <c r="S5" s="693"/>
    </row>
    <row r="6" spans="1:19">
      <c r="A6" t="str">
        <f>Secteurs!$B$55</f>
        <v>Importations</v>
      </c>
      <c r="B6" t="str">
        <f>Produits!$B$4</f>
        <v>Grains collectés</v>
      </c>
      <c r="C6" s="86">
        <f>'Prétraitement échanges'!O5+'Prétraitement échanges'!O4</f>
        <v>32.637708000000003</v>
      </c>
      <c r="E6" t="str">
        <f>Etiquettes!$C$3</f>
        <v>kt</v>
      </c>
      <c r="F6" s="26" t="str">
        <f>Etiquettes!$K$6</f>
        <v>Blé dur</v>
      </c>
      <c r="G6" s="26" t="str">
        <f>Etiquettes!$J$5</f>
        <v>2023-24</v>
      </c>
      <c r="H6" t="str">
        <f>Etiquettes!$C$4</f>
        <v>France entière</v>
      </c>
      <c r="I6" t="s">
        <v>1589</v>
      </c>
      <c r="J6"/>
      <c r="K6" t="s">
        <v>1591</v>
      </c>
      <c r="L6" s="26" t="str" cm="1">
        <f t="array" aca="1" ref="L6" ca="1">[1]!NOM_FEUILLE('Comext mensuel - EUROSTAT'!$A$1)</f>
        <v>Comext mensuel - EUROSTAT</v>
      </c>
      <c r="M6" s="26" t="str">
        <f>Etiquettes!$H$11</f>
        <v>Volume</v>
      </c>
      <c r="N6" t="str">
        <f t="shared" si="0"/>
        <v>Importation de grains = 33 kt (Douanes françaises - Eurostat)</v>
      </c>
      <c r="O6" s="26" t="str">
        <f>Etiquettes!$J$15</f>
        <v>Probable</v>
      </c>
      <c r="P6" s="603" t="str">
        <f>Etiquettes!$H$16</f>
        <v>Données collectées</v>
      </c>
      <c r="Q6" s="603" t="str">
        <f>Etiquettes!$H$17</f>
        <v>Donnée collectée (valeur du flux ou coefficient)</v>
      </c>
      <c r="S6" s="693"/>
    </row>
    <row r="7" spans="1:19">
      <c r="A7" t="str">
        <f>Produits!$B$4</f>
        <v>Grains collectés</v>
      </c>
      <c r="B7" t="str">
        <f>Secteurs!$B$56</f>
        <v>Exportations</v>
      </c>
      <c r="C7" s="86">
        <f>'Prétraitement échanges'!P5+'Prétraitement échanges'!P4</f>
        <v>995.98958699999991</v>
      </c>
      <c r="E7" t="str">
        <f>Etiquettes!$C$3</f>
        <v>kt</v>
      </c>
      <c r="F7" s="26" t="str">
        <f>Etiquettes!$K$6</f>
        <v>Blé dur</v>
      </c>
      <c r="G7" s="26" t="str">
        <f>Etiquettes!$J$5</f>
        <v>2023-24</v>
      </c>
      <c r="H7" t="str">
        <f>Etiquettes!$C$4</f>
        <v>France entière</v>
      </c>
      <c r="I7" t="s">
        <v>1590</v>
      </c>
      <c r="J7"/>
      <c r="K7" t="s">
        <v>1591</v>
      </c>
      <c r="L7" s="26" t="str" cm="1">
        <f t="array" aca="1" ref="L7" ca="1">[1]!NOM_FEUILLE('Comext mensuel - EUROSTAT'!$A$1)</f>
        <v>Comext mensuel - EUROSTAT</v>
      </c>
      <c r="M7" s="26" t="str">
        <f>Etiquettes!$H$11</f>
        <v>Volume</v>
      </c>
      <c r="N7" t="str">
        <f t="shared" si="0"/>
        <v>Exportation de grains = 996 kt (Douanes françaises - Eurostat)</v>
      </c>
      <c r="O7" s="26" t="str">
        <f>Etiquettes!$J$15</f>
        <v>Probable</v>
      </c>
      <c r="P7" s="603" t="str">
        <f>Etiquettes!$H$16</f>
        <v>Données collectées</v>
      </c>
      <c r="Q7" s="603" t="str">
        <f>Etiquettes!$H$17</f>
        <v>Donnée collectée (valeur du flux ou coefficient)</v>
      </c>
      <c r="S7" s="693"/>
    </row>
    <row r="8" spans="1:19">
      <c r="A8" t="str">
        <f>Secteurs!$B$55</f>
        <v>Importations</v>
      </c>
      <c r="B8" t="str">
        <f>Produits!$B$4</f>
        <v>Grains collectés</v>
      </c>
      <c r="C8" s="86">
        <f>'Prétraitement échanges'!K9+'Prétraitement échanges'!K8+'Prétraitement échanges'!K7+'Prétraitement échanges'!K6</f>
        <v>459.569254</v>
      </c>
      <c r="E8" t="str">
        <f>Etiquettes!$C$3</f>
        <v>kt</v>
      </c>
      <c r="F8" s="26" t="str">
        <f>Etiquettes!$H$6</f>
        <v>Blé tendre</v>
      </c>
      <c r="G8" s="26" t="str">
        <f>Etiquettes!$H$5</f>
        <v>2015-16</v>
      </c>
      <c r="H8" t="str">
        <f>Etiquettes!$C$4</f>
        <v>France entière</v>
      </c>
      <c r="I8" t="s">
        <v>1589</v>
      </c>
      <c r="J8"/>
      <c r="K8" t="s">
        <v>1591</v>
      </c>
      <c r="L8" s="26" t="str" cm="1">
        <f t="array" aca="1" ref="L8" ca="1">[1]!NOM_FEUILLE('Comext mensuel - EUROSTAT'!$A$1)</f>
        <v>Comext mensuel - EUROSTAT</v>
      </c>
      <c r="M8" s="26" t="str">
        <f>Etiquettes!$H$11</f>
        <v>Volume</v>
      </c>
      <c r="N8" t="str">
        <f t="shared" si="0"/>
        <v>Importation de grains = 460 kt (Douanes françaises - Eurostat)</v>
      </c>
      <c r="O8" s="26" t="str">
        <f>Etiquettes!$J$15</f>
        <v>Probable</v>
      </c>
      <c r="P8" s="603" t="str">
        <f>Etiquettes!$H$16</f>
        <v>Données collectées</v>
      </c>
      <c r="Q8" s="603" t="str">
        <f>Etiquettes!$H$17</f>
        <v>Donnée collectée (valeur du flux ou coefficient)</v>
      </c>
      <c r="S8" s="693"/>
    </row>
    <row r="9" spans="1:19">
      <c r="A9" t="str">
        <f>Produits!$B$4</f>
        <v>Grains collectés</v>
      </c>
      <c r="B9" t="str">
        <f>Secteurs!$B$56</f>
        <v>Exportations</v>
      </c>
      <c r="C9" s="86">
        <f>'Prétraitement échanges'!L9+'Prétraitement échanges'!L8+'Prétraitement échanges'!L7+'Prétraitement échanges'!L6</f>
        <v>20439.485459</v>
      </c>
      <c r="E9" t="str">
        <f>Etiquettes!$C$3</f>
        <v>kt</v>
      </c>
      <c r="F9" s="26" t="str">
        <f>Etiquettes!$H$6</f>
        <v>Blé tendre</v>
      </c>
      <c r="G9" s="26" t="str">
        <f>Etiquettes!$H$5</f>
        <v>2015-16</v>
      </c>
      <c r="H9" t="str">
        <f>Etiquettes!$C$4</f>
        <v>France entière</v>
      </c>
      <c r="I9" t="s">
        <v>1590</v>
      </c>
      <c r="J9"/>
      <c r="K9" t="s">
        <v>1591</v>
      </c>
      <c r="L9" s="26" t="str" cm="1">
        <f t="array" aca="1" ref="L9" ca="1">[1]!NOM_FEUILLE('Comext mensuel - EUROSTAT'!$A$1)</f>
        <v>Comext mensuel - EUROSTAT</v>
      </c>
      <c r="M9" s="26" t="str">
        <f>Etiquettes!$H$11</f>
        <v>Volume</v>
      </c>
      <c r="N9" t="str">
        <f t="shared" si="0"/>
        <v>Exportation de grains = 20439 kt (Douanes françaises - Eurostat)</v>
      </c>
      <c r="O9" s="26" t="str">
        <f>Etiquettes!$J$15</f>
        <v>Probable</v>
      </c>
      <c r="P9" s="603" t="str">
        <f>Etiquettes!$H$16</f>
        <v>Données collectées</v>
      </c>
      <c r="Q9" s="603" t="str">
        <f>Etiquettes!$H$17</f>
        <v>Donnée collectée (valeur du flux ou coefficient)</v>
      </c>
      <c r="S9" s="693"/>
    </row>
    <row r="10" spans="1:19">
      <c r="A10" t="str">
        <f>Secteurs!$B$55</f>
        <v>Importations</v>
      </c>
      <c r="B10" t="str">
        <f>Produits!$B$4</f>
        <v>Grains collectés</v>
      </c>
      <c r="C10" s="86">
        <f>'Prétraitement échanges'!M9+'Prétraitement échanges'!M8+'Prétraitement échanges'!M7+'Prétraitement échanges'!M6</f>
        <v>236.47623300000004</v>
      </c>
      <c r="E10" t="str">
        <f>Etiquettes!$C$3</f>
        <v>kt</v>
      </c>
      <c r="F10" s="26" t="str">
        <f>Etiquettes!$H$6</f>
        <v>Blé tendre</v>
      </c>
      <c r="G10" s="26" t="str">
        <f>Etiquettes!$I$5</f>
        <v>2019-20</v>
      </c>
      <c r="H10" t="str">
        <f>Etiquettes!$C$4</f>
        <v>France entière</v>
      </c>
      <c r="I10" t="s">
        <v>1589</v>
      </c>
      <c r="J10"/>
      <c r="K10" t="s">
        <v>1591</v>
      </c>
      <c r="L10" s="26" t="str" cm="1">
        <f t="array" aca="1" ref="L10" ca="1">[1]!NOM_FEUILLE('Comext mensuel - EUROSTAT'!$A$1)</f>
        <v>Comext mensuel - EUROSTAT</v>
      </c>
      <c r="M10" s="26" t="str">
        <f>Etiquettes!$H$11</f>
        <v>Volume</v>
      </c>
      <c r="N10" t="str">
        <f t="shared" si="0"/>
        <v>Importation de grains = 236 kt (Douanes françaises - Eurostat)</v>
      </c>
      <c r="O10" s="26" t="str">
        <f>Etiquettes!$J$15</f>
        <v>Probable</v>
      </c>
      <c r="P10" s="603" t="str">
        <f>Etiquettes!$H$16</f>
        <v>Données collectées</v>
      </c>
      <c r="Q10" s="603" t="str">
        <f>Etiquettes!$H$17</f>
        <v>Donnée collectée (valeur du flux ou coefficient)</v>
      </c>
      <c r="S10" s="693"/>
    </row>
    <row r="11" spans="1:19">
      <c r="A11" t="str">
        <f>Produits!$B$4</f>
        <v>Grains collectés</v>
      </c>
      <c r="B11" t="str">
        <f>Secteurs!$B$56</f>
        <v>Exportations</v>
      </c>
      <c r="C11" s="86">
        <f>'Prétraitement échanges'!N9+'Prétraitement échanges'!N8+'Prétraitement échanges'!N7+'Prétraitement échanges'!N6</f>
        <v>20924.731340999999</v>
      </c>
      <c r="E11" t="str">
        <f>Etiquettes!$C$3</f>
        <v>kt</v>
      </c>
      <c r="F11" s="26" t="str">
        <f>Etiquettes!$H$6</f>
        <v>Blé tendre</v>
      </c>
      <c r="G11" s="26" t="str">
        <f>Etiquettes!$I$5</f>
        <v>2019-20</v>
      </c>
      <c r="H11" t="str">
        <f>Etiquettes!$C$4</f>
        <v>France entière</v>
      </c>
      <c r="I11" t="s">
        <v>1590</v>
      </c>
      <c r="J11"/>
      <c r="K11" t="s">
        <v>1591</v>
      </c>
      <c r="L11" s="26" t="str" cm="1">
        <f t="array" aca="1" ref="L11" ca="1">[1]!NOM_FEUILLE('Comext mensuel - EUROSTAT'!$A$1)</f>
        <v>Comext mensuel - EUROSTAT</v>
      </c>
      <c r="M11" s="26" t="str">
        <f>Etiquettes!$H$11</f>
        <v>Volume</v>
      </c>
      <c r="N11" t="str">
        <f t="shared" si="0"/>
        <v>Exportation de grains = 20925 kt (Douanes françaises - Eurostat)</v>
      </c>
      <c r="O11" s="26" t="str">
        <f>Etiquettes!$J$15</f>
        <v>Probable</v>
      </c>
      <c r="P11" s="603" t="str">
        <f>Etiquettes!$H$16</f>
        <v>Données collectées</v>
      </c>
      <c r="Q11" s="603" t="str">
        <f>Etiquettes!$H$17</f>
        <v>Donnée collectée (valeur du flux ou coefficient)</v>
      </c>
      <c r="S11" s="693"/>
    </row>
    <row r="12" spans="1:19">
      <c r="A12" t="str">
        <f>Secteurs!$B$55</f>
        <v>Importations</v>
      </c>
      <c r="B12" t="str">
        <f>Produits!$B$4</f>
        <v>Grains collectés</v>
      </c>
      <c r="C12" s="86">
        <f>'Prétraitement échanges'!O9+'Prétraitement échanges'!O8+'Prétraitement échanges'!O7+'Prétraitement échanges'!O6</f>
        <v>129.84956500000001</v>
      </c>
      <c r="E12" t="str">
        <f>Etiquettes!$C$3</f>
        <v>kt</v>
      </c>
      <c r="F12" s="26" t="str">
        <f>Etiquettes!$H$6</f>
        <v>Blé tendre</v>
      </c>
      <c r="G12" s="26" t="str">
        <f>Etiquettes!$J$5</f>
        <v>2023-24</v>
      </c>
      <c r="H12" t="str">
        <f>Etiquettes!$C$4</f>
        <v>France entière</v>
      </c>
      <c r="I12" t="s">
        <v>1589</v>
      </c>
      <c r="J12"/>
      <c r="K12" t="s">
        <v>1591</v>
      </c>
      <c r="L12" s="26" t="str" cm="1">
        <f t="array" aca="1" ref="L12" ca="1">[1]!NOM_FEUILLE('Comext mensuel - EUROSTAT'!$A$1)</f>
        <v>Comext mensuel - EUROSTAT</v>
      </c>
      <c r="M12" s="26" t="str">
        <f>Etiquettes!$H$11</f>
        <v>Volume</v>
      </c>
      <c r="N12" t="str">
        <f t="shared" si="0"/>
        <v>Importation de grains = 130 kt (Douanes françaises - Eurostat)</v>
      </c>
      <c r="O12" s="26" t="str">
        <f>Etiquettes!$J$15</f>
        <v>Probable</v>
      </c>
      <c r="P12" s="603" t="str">
        <f>Etiquettes!$H$16</f>
        <v>Données collectées</v>
      </c>
      <c r="Q12" s="603" t="str">
        <f>Etiquettes!$H$17</f>
        <v>Donnée collectée (valeur du flux ou coefficient)</v>
      </c>
      <c r="S12" s="693"/>
    </row>
    <row r="13" spans="1:19">
      <c r="A13" t="str">
        <f>Produits!$B$4</f>
        <v>Grains collectés</v>
      </c>
      <c r="B13" t="str">
        <f>Secteurs!$B$56</f>
        <v>Exportations</v>
      </c>
      <c r="C13" s="86">
        <f>'Prétraitement échanges'!P9+'Prétraitement échanges'!P8+'Prétraitement échanges'!P7+'Prétraitement échanges'!P6</f>
        <v>16536.660292000004</v>
      </c>
      <c r="E13" t="str">
        <f>Etiquettes!$C$3</f>
        <v>kt</v>
      </c>
      <c r="F13" s="26" t="str">
        <f>Etiquettes!$H$6</f>
        <v>Blé tendre</v>
      </c>
      <c r="G13" s="26" t="str">
        <f>Etiquettes!$J$5</f>
        <v>2023-24</v>
      </c>
      <c r="H13" t="str">
        <f>Etiquettes!$C$4</f>
        <v>France entière</v>
      </c>
      <c r="I13" t="s">
        <v>1590</v>
      </c>
      <c r="J13"/>
      <c r="K13" t="s">
        <v>1591</v>
      </c>
      <c r="L13" s="26" t="str" cm="1">
        <f t="array" aca="1" ref="L13" ca="1">[1]!NOM_FEUILLE('Comext mensuel - EUROSTAT'!$A$1)</f>
        <v>Comext mensuel - EUROSTAT</v>
      </c>
      <c r="M13" s="26" t="str">
        <f>Etiquettes!$H$11</f>
        <v>Volume</v>
      </c>
      <c r="N13" t="str">
        <f t="shared" si="0"/>
        <v>Exportation de grains = 16537 kt (Douanes françaises - Eurostat)</v>
      </c>
      <c r="O13" s="26" t="str">
        <f>Etiquettes!$J$15</f>
        <v>Probable</v>
      </c>
      <c r="P13" s="603" t="str">
        <f>Etiquettes!$H$16</f>
        <v>Données collectées</v>
      </c>
      <c r="Q13" s="603" t="str">
        <f>Etiquettes!$H$17</f>
        <v>Donnée collectée (valeur du flux ou coefficient)</v>
      </c>
      <c r="S13" s="693"/>
    </row>
    <row r="14" spans="1:19">
      <c r="A14" t="str">
        <f>Secteurs!$B$55</f>
        <v>Importations</v>
      </c>
      <c r="B14" t="str">
        <f>Produits!$B$4</f>
        <v>Grains collectés</v>
      </c>
      <c r="C14" s="86">
        <f>'Prétraitement échanges'!K11+'Prétraitement échanges'!K10</f>
        <v>0.81816100000000014</v>
      </c>
      <c r="E14" t="str">
        <f>Etiquettes!$C$3</f>
        <v>kt</v>
      </c>
      <c r="F14" s="26" t="str">
        <f>Etiquettes!$O$6</f>
        <v>Seigle</v>
      </c>
      <c r="G14" s="26" t="str">
        <f>Etiquettes!$H$5</f>
        <v>2015-16</v>
      </c>
      <c r="H14" t="str">
        <f>Etiquettes!$C$4</f>
        <v>France entière</v>
      </c>
      <c r="I14" t="s">
        <v>1589</v>
      </c>
      <c r="J14"/>
      <c r="K14" t="s">
        <v>1591</v>
      </c>
      <c r="L14" s="26" t="str" cm="1">
        <f t="array" aca="1" ref="L14" ca="1">[1]!NOM_FEUILLE('Comext mensuel - EUROSTAT'!$A$1)</f>
        <v>Comext mensuel - EUROSTAT</v>
      </c>
      <c r="M14" s="26" t="str">
        <f>Etiquettes!$H$11</f>
        <v>Volume</v>
      </c>
      <c r="N14" t="str">
        <f t="shared" si="0"/>
        <v>Importation de grains = 1 kt (Douanes françaises - Eurostat)</v>
      </c>
      <c r="O14" s="26" t="str">
        <f>Etiquettes!$J$15</f>
        <v>Probable</v>
      </c>
      <c r="P14" s="603" t="str">
        <f>Etiquettes!$H$16</f>
        <v>Données collectées</v>
      </c>
      <c r="Q14" s="603" t="str">
        <f>Etiquettes!$H$17</f>
        <v>Donnée collectée (valeur du flux ou coefficient)</v>
      </c>
      <c r="S14" s="693"/>
    </row>
    <row r="15" spans="1:19">
      <c r="A15" t="str">
        <f>Produits!$B$4</f>
        <v>Grains collectés</v>
      </c>
      <c r="B15" t="str">
        <f>Secteurs!$B$56</f>
        <v>Exportations</v>
      </c>
      <c r="C15" s="86">
        <f>'Prétraitement échanges'!L11+'Prétraitement échanges'!L10</f>
        <v>34.602245000000003</v>
      </c>
      <c r="E15" t="str">
        <f>Etiquettes!$C$3</f>
        <v>kt</v>
      </c>
      <c r="F15" s="26" t="str">
        <f>Etiquettes!$O$6</f>
        <v>Seigle</v>
      </c>
      <c r="G15" s="26" t="str">
        <f>Etiquettes!$H$5</f>
        <v>2015-16</v>
      </c>
      <c r="H15" t="str">
        <f>Etiquettes!$C$4</f>
        <v>France entière</v>
      </c>
      <c r="I15" t="s">
        <v>1590</v>
      </c>
      <c r="J15"/>
      <c r="K15" t="s">
        <v>1591</v>
      </c>
      <c r="L15" s="26" t="str" cm="1">
        <f t="array" aca="1" ref="L15" ca="1">[1]!NOM_FEUILLE('Comext mensuel - EUROSTAT'!$A$1)</f>
        <v>Comext mensuel - EUROSTAT</v>
      </c>
      <c r="M15" s="26" t="str">
        <f>Etiquettes!$H$11</f>
        <v>Volume</v>
      </c>
      <c r="N15" t="str">
        <f t="shared" si="0"/>
        <v>Exportation de grains = 35 kt (Douanes françaises - Eurostat)</v>
      </c>
      <c r="O15" s="26" t="str">
        <f>Etiquettes!$J$15</f>
        <v>Probable</v>
      </c>
      <c r="P15" s="603" t="str">
        <f>Etiquettes!$H$16</f>
        <v>Données collectées</v>
      </c>
      <c r="Q15" s="603" t="str">
        <f>Etiquettes!$H$17</f>
        <v>Donnée collectée (valeur du flux ou coefficient)</v>
      </c>
      <c r="S15" s="693"/>
    </row>
    <row r="16" spans="1:19">
      <c r="A16" t="str">
        <f>Secteurs!$B$55</f>
        <v>Importations</v>
      </c>
      <c r="B16" t="str">
        <f>Produits!$B$4</f>
        <v>Grains collectés</v>
      </c>
      <c r="C16" s="86">
        <f>'Prétraitement échanges'!M11+'Prétraitement échanges'!M10</f>
        <v>3.0726019999999998</v>
      </c>
      <c r="E16" t="str">
        <f>Etiquettes!$C$3</f>
        <v>kt</v>
      </c>
      <c r="F16" s="26" t="str">
        <f>Etiquettes!$O$6</f>
        <v>Seigle</v>
      </c>
      <c r="G16" s="26" t="str">
        <f>Etiquettes!$I$5</f>
        <v>2019-20</v>
      </c>
      <c r="H16" t="str">
        <f>Etiquettes!$C$4</f>
        <v>France entière</v>
      </c>
      <c r="I16" t="s">
        <v>1589</v>
      </c>
      <c r="J16"/>
      <c r="K16" t="s">
        <v>1591</v>
      </c>
      <c r="L16" s="26" t="str" cm="1">
        <f t="array" aca="1" ref="L16" ca="1">[1]!NOM_FEUILLE('Comext mensuel - EUROSTAT'!$A$1)</f>
        <v>Comext mensuel - EUROSTAT</v>
      </c>
      <c r="M16" s="26" t="str">
        <f>Etiquettes!$H$11</f>
        <v>Volume</v>
      </c>
      <c r="N16" t="str">
        <f t="shared" si="0"/>
        <v>Importation de grains = 3 kt (Douanes françaises - Eurostat)</v>
      </c>
      <c r="O16" s="26" t="str">
        <f>Etiquettes!$J$15</f>
        <v>Probable</v>
      </c>
      <c r="P16" s="603" t="str">
        <f>Etiquettes!$H$16</f>
        <v>Données collectées</v>
      </c>
      <c r="Q16" s="603" t="str">
        <f>Etiquettes!$H$17</f>
        <v>Donnée collectée (valeur du flux ou coefficient)</v>
      </c>
      <c r="S16" s="693"/>
    </row>
    <row r="17" spans="1:19">
      <c r="A17" t="str">
        <f>Produits!$B$4</f>
        <v>Grains collectés</v>
      </c>
      <c r="B17" t="str">
        <f>Secteurs!$B$56</f>
        <v>Exportations</v>
      </c>
      <c r="C17" s="86">
        <f>'Prétraitement échanges'!N11+'Prétraitement échanges'!N10</f>
        <v>25.393138999999998</v>
      </c>
      <c r="E17" t="str">
        <f>Etiquettes!$C$3</f>
        <v>kt</v>
      </c>
      <c r="F17" s="26" t="str">
        <f>Etiquettes!$O$6</f>
        <v>Seigle</v>
      </c>
      <c r="G17" s="26" t="str">
        <f>Etiquettes!$I$5</f>
        <v>2019-20</v>
      </c>
      <c r="H17" t="str">
        <f>Etiquettes!$C$4</f>
        <v>France entière</v>
      </c>
      <c r="I17" t="s">
        <v>1590</v>
      </c>
      <c r="J17"/>
      <c r="K17" t="s">
        <v>1591</v>
      </c>
      <c r="L17" s="26" t="str" cm="1">
        <f t="array" aca="1" ref="L17" ca="1">[1]!NOM_FEUILLE('Comext mensuel - EUROSTAT'!$A$1)</f>
        <v>Comext mensuel - EUROSTAT</v>
      </c>
      <c r="M17" s="26" t="str">
        <f>Etiquettes!$H$11</f>
        <v>Volume</v>
      </c>
      <c r="N17" t="str">
        <f t="shared" si="0"/>
        <v>Exportation de grains = 25 kt (Douanes françaises - Eurostat)</v>
      </c>
      <c r="O17" s="26" t="str">
        <f>Etiquettes!$J$15</f>
        <v>Probable</v>
      </c>
      <c r="P17" s="603" t="str">
        <f>Etiquettes!$H$16</f>
        <v>Données collectées</v>
      </c>
      <c r="Q17" s="603" t="str">
        <f>Etiquettes!$H$17</f>
        <v>Donnée collectée (valeur du flux ou coefficient)</v>
      </c>
      <c r="S17" s="693"/>
    </row>
    <row r="18" spans="1:19">
      <c r="A18" t="str">
        <f>Secteurs!$B$55</f>
        <v>Importations</v>
      </c>
      <c r="B18" t="str">
        <f>Produits!$B$4</f>
        <v>Grains collectés</v>
      </c>
      <c r="C18" s="86">
        <f>'Prétraitement échanges'!O11+'Prétraitement échanges'!O10</f>
        <v>3.1222459999999996</v>
      </c>
      <c r="E18" t="str">
        <f>Etiquettes!$C$3</f>
        <v>kt</v>
      </c>
      <c r="F18" s="26" t="str">
        <f>Etiquettes!$O$6</f>
        <v>Seigle</v>
      </c>
      <c r="G18" s="26" t="str">
        <f>Etiquettes!$J$5</f>
        <v>2023-24</v>
      </c>
      <c r="H18" t="str">
        <f>Etiquettes!$C$4</f>
        <v>France entière</v>
      </c>
      <c r="I18" t="s">
        <v>1589</v>
      </c>
      <c r="J18"/>
      <c r="K18" t="s">
        <v>1591</v>
      </c>
      <c r="L18" s="26" t="str" cm="1">
        <f t="array" aca="1" ref="L18" ca="1">[1]!NOM_FEUILLE('Comext mensuel - EUROSTAT'!$A$1)</f>
        <v>Comext mensuel - EUROSTAT</v>
      </c>
      <c r="M18" s="26" t="str">
        <f>Etiquettes!$H$11</f>
        <v>Volume</v>
      </c>
      <c r="N18" t="str">
        <f t="shared" si="0"/>
        <v>Importation de grains = 3 kt (Douanes françaises - Eurostat)</v>
      </c>
      <c r="O18" s="26" t="str">
        <f>Etiquettes!$J$15</f>
        <v>Probable</v>
      </c>
      <c r="P18" s="603" t="str">
        <f>Etiquettes!$H$16</f>
        <v>Données collectées</v>
      </c>
      <c r="Q18" s="603" t="str">
        <f>Etiquettes!$H$17</f>
        <v>Donnée collectée (valeur du flux ou coefficient)</v>
      </c>
      <c r="S18" s="693"/>
    </row>
    <row r="19" spans="1:19">
      <c r="A19" t="str">
        <f>Produits!$B$4</f>
        <v>Grains collectés</v>
      </c>
      <c r="B19" t="str">
        <f>Secteurs!$B$56</f>
        <v>Exportations</v>
      </c>
      <c r="C19" s="86">
        <f>'Prétraitement échanges'!P11+'Prétraitement échanges'!P10</f>
        <v>27.655431</v>
      </c>
      <c r="E19" t="str">
        <f>Etiquettes!$C$3</f>
        <v>kt</v>
      </c>
      <c r="F19" s="26" t="str">
        <f>Etiquettes!$O$6</f>
        <v>Seigle</v>
      </c>
      <c r="G19" s="26" t="str">
        <f>Etiquettes!$J$5</f>
        <v>2023-24</v>
      </c>
      <c r="H19" t="str">
        <f>Etiquettes!$C$4</f>
        <v>France entière</v>
      </c>
      <c r="I19" t="s">
        <v>1590</v>
      </c>
      <c r="J19"/>
      <c r="K19" t="s">
        <v>1591</v>
      </c>
      <c r="L19" s="26" t="str" cm="1">
        <f t="array" aca="1" ref="L19" ca="1">[1]!NOM_FEUILLE('Comext mensuel - EUROSTAT'!$A$1)</f>
        <v>Comext mensuel - EUROSTAT</v>
      </c>
      <c r="M19" s="26" t="str">
        <f>Etiquettes!$H$11</f>
        <v>Volume</v>
      </c>
      <c r="N19" t="str">
        <f t="shared" si="0"/>
        <v>Exportation de grains = 28 kt (Douanes françaises - Eurostat)</v>
      </c>
      <c r="O19" s="26" t="str">
        <f>Etiquettes!$J$15</f>
        <v>Probable</v>
      </c>
      <c r="P19" s="603" t="str">
        <f>Etiquettes!$H$16</f>
        <v>Données collectées</v>
      </c>
      <c r="Q19" s="603" t="str">
        <f>Etiquettes!$H$17</f>
        <v>Donnée collectée (valeur du flux ou coefficient)</v>
      </c>
      <c r="S19" s="693"/>
    </row>
    <row r="20" spans="1:19">
      <c r="A20" t="str">
        <f>Secteurs!$B$55</f>
        <v>Importations</v>
      </c>
      <c r="B20" t="str">
        <f>Produits!$B$4</f>
        <v>Grains collectés</v>
      </c>
      <c r="C20" s="86">
        <f>'Prétraitement échanges'!K13+'Prétraitement échanges'!K12</f>
        <v>70.79698999999998</v>
      </c>
      <c r="D20" s="86"/>
      <c r="E20" t="str">
        <f>Etiquettes!$C$3</f>
        <v>kt</v>
      </c>
      <c r="F20" s="26" t="str">
        <f>Etiquettes!$J$6</f>
        <v>Orge</v>
      </c>
      <c r="G20" s="26" t="str">
        <f>Etiquettes!$H$5</f>
        <v>2015-16</v>
      </c>
      <c r="H20" t="str">
        <f>Etiquettes!$C$4</f>
        <v>France entière</v>
      </c>
      <c r="I20" t="s">
        <v>1589</v>
      </c>
      <c r="J20"/>
      <c r="K20" t="s">
        <v>1591</v>
      </c>
      <c r="L20" s="26" t="str" cm="1">
        <f t="array" aca="1" ref="L20" ca="1">[1]!NOM_FEUILLE('Comext mensuel - EUROSTAT'!$A$1)</f>
        <v>Comext mensuel - EUROSTAT</v>
      </c>
      <c r="M20" s="26" t="str">
        <f>Etiquettes!$H$11</f>
        <v>Volume</v>
      </c>
      <c r="N20" t="str">
        <f t="shared" si="0"/>
        <v>Importation de grains = 71 kt (Douanes françaises - Eurostat)</v>
      </c>
      <c r="O20" s="26" t="str">
        <f>Etiquettes!$J$15</f>
        <v>Probable</v>
      </c>
      <c r="P20" s="603" t="str">
        <f>Etiquettes!$H$16</f>
        <v>Données collectées</v>
      </c>
      <c r="Q20" s="603" t="str">
        <f>Etiquettes!$H$17</f>
        <v>Donnée collectée (valeur du flux ou coefficient)</v>
      </c>
      <c r="S20" s="693"/>
    </row>
    <row r="21" spans="1:19">
      <c r="A21" t="str">
        <f>Produits!$B$4</f>
        <v>Grains collectés</v>
      </c>
      <c r="B21" t="str">
        <f>Secteurs!$B$56</f>
        <v>Exportations</v>
      </c>
      <c r="C21" s="86">
        <f>'Prétraitement échanges'!L13+'Prétraitement échanges'!L12</f>
        <v>7701.8457530000014</v>
      </c>
      <c r="D21" s="86"/>
      <c r="E21" t="str">
        <f>Etiquettes!$C$3</f>
        <v>kt</v>
      </c>
      <c r="F21" s="26" t="str">
        <f>Etiquettes!$J$6</f>
        <v>Orge</v>
      </c>
      <c r="G21" s="26" t="str">
        <f>Etiquettes!$H$5</f>
        <v>2015-16</v>
      </c>
      <c r="H21" t="str">
        <f>Etiquettes!$C$4</f>
        <v>France entière</v>
      </c>
      <c r="I21" t="s">
        <v>1590</v>
      </c>
      <c r="J21"/>
      <c r="K21" t="s">
        <v>1591</v>
      </c>
      <c r="L21" s="26" t="str" cm="1">
        <f t="array" aca="1" ref="L21" ca="1">[1]!NOM_FEUILLE('Comext mensuel - EUROSTAT'!$A$1)</f>
        <v>Comext mensuel - EUROSTAT</v>
      </c>
      <c r="M21" s="26" t="str">
        <f>Etiquettes!$H$11</f>
        <v>Volume</v>
      </c>
      <c r="N21" t="str">
        <f t="shared" si="0"/>
        <v>Exportation de grains = 7702 kt (Douanes françaises - Eurostat)</v>
      </c>
      <c r="O21" s="26" t="str">
        <f>Etiquettes!$J$15</f>
        <v>Probable</v>
      </c>
      <c r="P21" s="603" t="str">
        <f>Etiquettes!$H$16</f>
        <v>Données collectées</v>
      </c>
      <c r="Q21" s="603" t="str">
        <f>Etiquettes!$H$17</f>
        <v>Donnée collectée (valeur du flux ou coefficient)</v>
      </c>
      <c r="S21" s="693"/>
    </row>
    <row r="22" spans="1:19">
      <c r="A22" t="str">
        <f>Secteurs!$B$55</f>
        <v>Importations</v>
      </c>
      <c r="B22" t="str">
        <f>Produits!$B$4</f>
        <v>Grains collectés</v>
      </c>
      <c r="C22" s="86">
        <f>'Prétraitement échanges'!M13+'Prétraitement échanges'!M12</f>
        <v>72.959292999999988</v>
      </c>
      <c r="D22" s="86"/>
      <c r="E22" t="str">
        <f>Etiquettes!$C$3</f>
        <v>kt</v>
      </c>
      <c r="F22" s="26" t="str">
        <f>Etiquettes!$J$6</f>
        <v>Orge</v>
      </c>
      <c r="G22" s="26" t="str">
        <f>Etiquettes!$I$5</f>
        <v>2019-20</v>
      </c>
      <c r="H22" t="str">
        <f>Etiquettes!$C$4</f>
        <v>France entière</v>
      </c>
      <c r="I22" t="s">
        <v>1589</v>
      </c>
      <c r="J22"/>
      <c r="K22" t="s">
        <v>1591</v>
      </c>
      <c r="L22" s="26" t="str" cm="1">
        <f t="array" aca="1" ref="L22" ca="1">[1]!NOM_FEUILLE('Comext mensuel - EUROSTAT'!$A$1)</f>
        <v>Comext mensuel - EUROSTAT</v>
      </c>
      <c r="M22" s="26" t="str">
        <f>Etiquettes!$H$11</f>
        <v>Volume</v>
      </c>
      <c r="N22" t="str">
        <f t="shared" si="0"/>
        <v>Importation de grains = 73 kt (Douanes françaises - Eurostat)</v>
      </c>
      <c r="O22" s="26" t="str">
        <f>Etiquettes!$J$15</f>
        <v>Probable</v>
      </c>
      <c r="P22" s="603" t="str">
        <f>Etiquettes!$H$16</f>
        <v>Données collectées</v>
      </c>
      <c r="Q22" s="603" t="str">
        <f>Etiquettes!$H$17</f>
        <v>Donnée collectée (valeur du flux ou coefficient)</v>
      </c>
      <c r="S22" s="693"/>
    </row>
    <row r="23" spans="1:19">
      <c r="A23" t="str">
        <f>Produits!$B$4</f>
        <v>Grains collectés</v>
      </c>
      <c r="B23" t="str">
        <f>Secteurs!$B$56</f>
        <v>Exportations</v>
      </c>
      <c r="C23" s="86">
        <f>'Prétraitement échanges'!N13+'Prétraitement échanges'!N12</f>
        <v>7849.7885770000021</v>
      </c>
      <c r="D23" s="86"/>
      <c r="E23" t="str">
        <f>Etiquettes!$C$3</f>
        <v>kt</v>
      </c>
      <c r="F23" s="26" t="str">
        <f>Etiquettes!$J$6</f>
        <v>Orge</v>
      </c>
      <c r="G23" s="26" t="str">
        <f>Etiquettes!$I$5</f>
        <v>2019-20</v>
      </c>
      <c r="H23" t="str">
        <f>Etiquettes!$C$4</f>
        <v>France entière</v>
      </c>
      <c r="I23" t="s">
        <v>1590</v>
      </c>
      <c r="J23"/>
      <c r="K23" t="s">
        <v>1591</v>
      </c>
      <c r="L23" s="26" t="str" cm="1">
        <f t="array" aca="1" ref="L23" ca="1">[1]!NOM_FEUILLE('Comext mensuel - EUROSTAT'!$A$1)</f>
        <v>Comext mensuel - EUROSTAT</v>
      </c>
      <c r="M23" s="26" t="str">
        <f>Etiquettes!$H$11</f>
        <v>Volume</v>
      </c>
      <c r="N23" t="str">
        <f t="shared" si="0"/>
        <v>Exportation de grains = 7850 kt (Douanes françaises - Eurostat)</v>
      </c>
      <c r="O23" s="26" t="str">
        <f>Etiquettes!$J$15</f>
        <v>Probable</v>
      </c>
      <c r="P23" s="603" t="str">
        <f>Etiquettes!$H$16</f>
        <v>Données collectées</v>
      </c>
      <c r="Q23" s="603" t="str">
        <f>Etiquettes!$H$17</f>
        <v>Donnée collectée (valeur du flux ou coefficient)</v>
      </c>
      <c r="S23" s="693"/>
    </row>
    <row r="24" spans="1:19">
      <c r="A24" t="str">
        <f>Secteurs!$B$55</f>
        <v>Importations</v>
      </c>
      <c r="B24" t="str">
        <f>Produits!$B$4</f>
        <v>Grains collectés</v>
      </c>
      <c r="C24" s="86">
        <f>'Prétraitement échanges'!O13+'Prétraitement échanges'!O12</f>
        <v>37.242756</v>
      </c>
      <c r="E24" t="str">
        <f>Etiquettes!$C$3</f>
        <v>kt</v>
      </c>
      <c r="F24" s="26" t="str">
        <f>Etiquettes!$J$6</f>
        <v>Orge</v>
      </c>
      <c r="G24" s="26" t="str">
        <f>Etiquettes!$J$5</f>
        <v>2023-24</v>
      </c>
      <c r="H24" t="str">
        <f>Etiquettes!$C$4</f>
        <v>France entière</v>
      </c>
      <c r="I24" t="s">
        <v>1589</v>
      </c>
      <c r="J24"/>
      <c r="K24" t="s">
        <v>1591</v>
      </c>
      <c r="L24" s="26" t="str" cm="1">
        <f t="array" aca="1" ref="L24" ca="1">[1]!NOM_FEUILLE('Comext mensuel - EUROSTAT'!$A$1)</f>
        <v>Comext mensuel - EUROSTAT</v>
      </c>
      <c r="M24" s="26" t="str">
        <f>Etiquettes!$H$11</f>
        <v>Volume</v>
      </c>
      <c r="N24" t="str">
        <f t="shared" si="0"/>
        <v>Importation de grains = 37 kt (Douanes françaises - Eurostat)</v>
      </c>
      <c r="O24" s="26" t="str">
        <f>Etiquettes!$J$15</f>
        <v>Probable</v>
      </c>
      <c r="P24" s="603" t="str">
        <f>Etiquettes!$H$16</f>
        <v>Données collectées</v>
      </c>
      <c r="Q24" s="603" t="str">
        <f>Etiquettes!$H$17</f>
        <v>Donnée collectée (valeur du flux ou coefficient)</v>
      </c>
      <c r="S24" s="693"/>
    </row>
    <row r="25" spans="1:19">
      <c r="A25" t="str">
        <f>Produits!$B$4</f>
        <v>Grains collectés</v>
      </c>
      <c r="B25" t="str">
        <f>Secteurs!$B$56</f>
        <v>Exportations</v>
      </c>
      <c r="C25" s="86">
        <f>'Prétraitement échanges'!P13+'Prétraitement échanges'!P12</f>
        <v>6787.2969120000007</v>
      </c>
      <c r="E25" t="str">
        <f>Etiquettes!$C$3</f>
        <v>kt</v>
      </c>
      <c r="F25" s="26" t="str">
        <f>Etiquettes!$J$6</f>
        <v>Orge</v>
      </c>
      <c r="G25" s="26" t="str">
        <f>Etiquettes!$J$5</f>
        <v>2023-24</v>
      </c>
      <c r="H25" t="str">
        <f>Etiquettes!$C$4</f>
        <v>France entière</v>
      </c>
      <c r="I25" t="s">
        <v>1590</v>
      </c>
      <c r="J25"/>
      <c r="K25" t="s">
        <v>1591</v>
      </c>
      <c r="L25" s="26" t="str" cm="1">
        <f t="array" aca="1" ref="L25" ca="1">[1]!NOM_FEUILLE('Comext mensuel - EUROSTAT'!$A$1)</f>
        <v>Comext mensuel - EUROSTAT</v>
      </c>
      <c r="M25" s="26" t="str">
        <f>Etiquettes!$H$11</f>
        <v>Volume</v>
      </c>
      <c r="N25" t="str">
        <f t="shared" si="0"/>
        <v>Exportation de grains = 6787 kt (Douanes françaises - Eurostat)</v>
      </c>
      <c r="O25" s="26" t="str">
        <f>Etiquettes!$J$15</f>
        <v>Probable</v>
      </c>
      <c r="P25" s="603" t="str">
        <f>Etiquettes!$H$16</f>
        <v>Données collectées</v>
      </c>
      <c r="Q25" s="603" t="str">
        <f>Etiquettes!$H$17</f>
        <v>Donnée collectée (valeur du flux ou coefficient)</v>
      </c>
      <c r="S25" s="693"/>
    </row>
    <row r="26" spans="1:19">
      <c r="A26" t="str">
        <f>Secteurs!$B$55</f>
        <v>Importations</v>
      </c>
      <c r="B26" t="str">
        <f>Produits!$B$4</f>
        <v>Grains collectés</v>
      </c>
      <c r="C26" s="86">
        <f>'Prétraitement échanges'!K15+'Prétraitement échanges'!K14</f>
        <v>10.073789</v>
      </c>
      <c r="E26" t="str">
        <f>Etiquettes!$C$3</f>
        <v>kt</v>
      </c>
      <c r="F26" s="26" t="str">
        <f>Etiquettes!$N$6</f>
        <v>Avoine</v>
      </c>
      <c r="G26" s="26" t="str">
        <f>Etiquettes!$H$5</f>
        <v>2015-16</v>
      </c>
      <c r="H26" t="str">
        <f>Etiquettes!$C$4</f>
        <v>France entière</v>
      </c>
      <c r="I26" t="s">
        <v>1589</v>
      </c>
      <c r="J26"/>
      <c r="K26" t="s">
        <v>1591</v>
      </c>
      <c r="L26" s="26" t="str" cm="1">
        <f t="array" aca="1" ref="L26" ca="1">[1]!NOM_FEUILLE('Comext mensuel - EUROSTAT'!$A$1)</f>
        <v>Comext mensuel - EUROSTAT</v>
      </c>
      <c r="M26" s="26" t="str">
        <f>Etiquettes!$H$11</f>
        <v>Volume</v>
      </c>
      <c r="N26" t="str">
        <f t="shared" si="0"/>
        <v>Importation de grains = 10 kt (Douanes françaises - Eurostat)</v>
      </c>
      <c r="O26" s="26" t="str">
        <f>Etiquettes!$J$15</f>
        <v>Probable</v>
      </c>
      <c r="P26" s="603" t="str">
        <f>Etiquettes!$H$16</f>
        <v>Données collectées</v>
      </c>
      <c r="Q26" s="603" t="str">
        <f>Etiquettes!$H$17</f>
        <v>Donnée collectée (valeur du flux ou coefficient)</v>
      </c>
      <c r="S26" s="693"/>
    </row>
    <row r="27" spans="1:19">
      <c r="A27" t="str">
        <f>Produits!$B$4</f>
        <v>Grains collectés</v>
      </c>
      <c r="B27" t="str">
        <f>Secteurs!$B$56</f>
        <v>Exportations</v>
      </c>
      <c r="C27" s="86">
        <f>'Prétraitement échanges'!L15+'Prétraitement échanges'!L14</f>
        <v>70.826441000000003</v>
      </c>
      <c r="E27" t="str">
        <f>Etiquettes!$C$3</f>
        <v>kt</v>
      </c>
      <c r="F27" s="26" t="str">
        <f>Etiquettes!$N$6</f>
        <v>Avoine</v>
      </c>
      <c r="G27" s="26" t="str">
        <f>Etiquettes!$H$5</f>
        <v>2015-16</v>
      </c>
      <c r="H27" t="str">
        <f>Etiquettes!$C$4</f>
        <v>France entière</v>
      </c>
      <c r="I27" t="s">
        <v>1590</v>
      </c>
      <c r="J27"/>
      <c r="K27" t="s">
        <v>1591</v>
      </c>
      <c r="L27" s="26" t="str" cm="1">
        <f t="array" aca="1" ref="L27" ca="1">[1]!NOM_FEUILLE('Comext mensuel - EUROSTAT'!$A$1)</f>
        <v>Comext mensuel - EUROSTAT</v>
      </c>
      <c r="M27" s="26" t="str">
        <f>Etiquettes!$H$11</f>
        <v>Volume</v>
      </c>
      <c r="N27" t="str">
        <f t="shared" si="0"/>
        <v>Exportation de grains = 71 kt (Douanes françaises - Eurostat)</v>
      </c>
      <c r="O27" s="26" t="str">
        <f>Etiquettes!$J$15</f>
        <v>Probable</v>
      </c>
      <c r="P27" s="603" t="str">
        <f>Etiquettes!$H$16</f>
        <v>Données collectées</v>
      </c>
      <c r="Q27" s="603" t="str">
        <f>Etiquettes!$H$17</f>
        <v>Donnée collectée (valeur du flux ou coefficient)</v>
      </c>
      <c r="S27" s="693"/>
    </row>
    <row r="28" spans="1:19">
      <c r="A28" t="str">
        <f>Secteurs!$B$55</f>
        <v>Importations</v>
      </c>
      <c r="B28" t="str">
        <f>Produits!$B$4</f>
        <v>Grains collectés</v>
      </c>
      <c r="C28" s="86">
        <f>'Prétraitement échanges'!M15+'Prétraitement échanges'!M14</f>
        <v>14.218570999999999</v>
      </c>
      <c r="E28" t="str">
        <f>Etiquettes!$C$3</f>
        <v>kt</v>
      </c>
      <c r="F28" s="26" t="str">
        <f>Etiquettes!$N$6</f>
        <v>Avoine</v>
      </c>
      <c r="G28" s="26" t="str">
        <f>Etiquettes!$I$5</f>
        <v>2019-20</v>
      </c>
      <c r="H28" t="str">
        <f>Etiquettes!$C$4</f>
        <v>France entière</v>
      </c>
      <c r="I28" t="s">
        <v>1589</v>
      </c>
      <c r="J28"/>
      <c r="K28" t="s">
        <v>1591</v>
      </c>
      <c r="L28" s="26" t="str" cm="1">
        <f t="array" aca="1" ref="L28" ca="1">[1]!NOM_FEUILLE('Comext mensuel - EUROSTAT'!$A$1)</f>
        <v>Comext mensuel - EUROSTAT</v>
      </c>
      <c r="M28" s="26" t="str">
        <f>Etiquettes!$H$11</f>
        <v>Volume</v>
      </c>
      <c r="N28" t="str">
        <f t="shared" si="0"/>
        <v>Importation de grains = 14 kt (Douanes françaises - Eurostat)</v>
      </c>
      <c r="O28" s="26" t="str">
        <f>Etiquettes!$J$15</f>
        <v>Probable</v>
      </c>
      <c r="P28" s="603" t="str">
        <f>Etiquettes!$H$16</f>
        <v>Données collectées</v>
      </c>
      <c r="Q28" s="603" t="str">
        <f>Etiquettes!$H$17</f>
        <v>Donnée collectée (valeur du flux ou coefficient)</v>
      </c>
      <c r="S28" s="693"/>
    </row>
    <row r="29" spans="1:19">
      <c r="A29" t="str">
        <f>Produits!$B$4</f>
        <v>Grains collectés</v>
      </c>
      <c r="B29" t="str">
        <f>Secteurs!$B$56</f>
        <v>Exportations</v>
      </c>
      <c r="C29" s="86">
        <f>'Prétraitement échanges'!N15+'Prétraitement échanges'!N14</f>
        <v>95.649720999999985</v>
      </c>
      <c r="E29" t="str">
        <f>Etiquettes!$C$3</f>
        <v>kt</v>
      </c>
      <c r="F29" s="26" t="str">
        <f>Etiquettes!$N$6</f>
        <v>Avoine</v>
      </c>
      <c r="G29" s="26" t="str">
        <f>Etiquettes!$I$5</f>
        <v>2019-20</v>
      </c>
      <c r="H29" t="str">
        <f>Etiquettes!$C$4</f>
        <v>France entière</v>
      </c>
      <c r="I29" t="s">
        <v>1590</v>
      </c>
      <c r="J29"/>
      <c r="K29" t="s">
        <v>1591</v>
      </c>
      <c r="L29" s="26" t="str" cm="1">
        <f t="array" aca="1" ref="L29" ca="1">[1]!NOM_FEUILLE('Comext mensuel - EUROSTAT'!$A$1)</f>
        <v>Comext mensuel - EUROSTAT</v>
      </c>
      <c r="M29" s="26" t="str">
        <f>Etiquettes!$H$11</f>
        <v>Volume</v>
      </c>
      <c r="N29" t="str">
        <f t="shared" si="0"/>
        <v>Exportation de grains = 96 kt (Douanes françaises - Eurostat)</v>
      </c>
      <c r="O29" s="26" t="str">
        <f>Etiquettes!$J$15</f>
        <v>Probable</v>
      </c>
      <c r="P29" s="603" t="str">
        <f>Etiquettes!$H$16</f>
        <v>Données collectées</v>
      </c>
      <c r="Q29" s="603" t="str">
        <f>Etiquettes!$H$17</f>
        <v>Donnée collectée (valeur du flux ou coefficient)</v>
      </c>
      <c r="S29" s="693"/>
    </row>
    <row r="30" spans="1:19">
      <c r="A30" t="str">
        <f>Secteurs!$B$55</f>
        <v>Importations</v>
      </c>
      <c r="B30" t="str">
        <f>Produits!$B$4</f>
        <v>Grains collectés</v>
      </c>
      <c r="C30" s="86">
        <f>'Prétraitement échanges'!O15+'Prétraitement échanges'!O14</f>
        <v>9.1426259999999999</v>
      </c>
      <c r="E30" t="str">
        <f>Etiquettes!$C$3</f>
        <v>kt</v>
      </c>
      <c r="F30" s="26" t="str">
        <f>Etiquettes!$N$6</f>
        <v>Avoine</v>
      </c>
      <c r="G30" s="26" t="str">
        <f>Etiquettes!$J$5</f>
        <v>2023-24</v>
      </c>
      <c r="H30" t="str">
        <f>Etiquettes!$C$4</f>
        <v>France entière</v>
      </c>
      <c r="I30" t="s">
        <v>1589</v>
      </c>
      <c r="J30"/>
      <c r="K30" t="s">
        <v>1591</v>
      </c>
      <c r="L30" s="26" t="str" cm="1">
        <f t="array" aca="1" ref="L30" ca="1">[1]!NOM_FEUILLE('Comext mensuel - EUROSTAT'!$A$1)</f>
        <v>Comext mensuel - EUROSTAT</v>
      </c>
      <c r="M30" s="26" t="str">
        <f>Etiquettes!$H$11</f>
        <v>Volume</v>
      </c>
      <c r="N30" t="str">
        <f t="shared" si="0"/>
        <v>Importation de grains = 9 kt (Douanes françaises - Eurostat)</v>
      </c>
      <c r="O30" s="26" t="str">
        <f>Etiquettes!$J$15</f>
        <v>Probable</v>
      </c>
      <c r="P30" s="603" t="str">
        <f>Etiquettes!$H$16</f>
        <v>Données collectées</v>
      </c>
      <c r="Q30" s="603" t="str">
        <f>Etiquettes!$H$17</f>
        <v>Donnée collectée (valeur du flux ou coefficient)</v>
      </c>
      <c r="S30" s="693"/>
    </row>
    <row r="31" spans="1:19">
      <c r="A31" t="str">
        <f>Produits!$B$4</f>
        <v>Grains collectés</v>
      </c>
      <c r="B31" t="str">
        <f>Secteurs!$B$56</f>
        <v>Exportations</v>
      </c>
      <c r="C31" s="86">
        <f>'Prétraitement échanges'!P15+'Prétraitement échanges'!P14</f>
        <v>102.17300400000001</v>
      </c>
      <c r="E31" t="str">
        <f>Etiquettes!$C$3</f>
        <v>kt</v>
      </c>
      <c r="F31" s="26" t="str">
        <f>Etiquettes!$N$6</f>
        <v>Avoine</v>
      </c>
      <c r="G31" s="26" t="str">
        <f>Etiquettes!$J$5</f>
        <v>2023-24</v>
      </c>
      <c r="H31" t="str">
        <f>Etiquettes!$C$4</f>
        <v>France entière</v>
      </c>
      <c r="I31" t="s">
        <v>1590</v>
      </c>
      <c r="J31"/>
      <c r="K31" t="s">
        <v>1591</v>
      </c>
      <c r="L31" s="26" t="str" cm="1">
        <f t="array" aca="1" ref="L31" ca="1">[1]!NOM_FEUILLE('Comext mensuel - EUROSTAT'!$A$1)</f>
        <v>Comext mensuel - EUROSTAT</v>
      </c>
      <c r="M31" s="26" t="str">
        <f>Etiquettes!$H$11</f>
        <v>Volume</v>
      </c>
      <c r="N31" t="str">
        <f t="shared" si="0"/>
        <v>Exportation de grains = 102 kt (Douanes françaises - Eurostat)</v>
      </c>
      <c r="O31" s="26" t="str">
        <f>Etiquettes!$J$15</f>
        <v>Probable</v>
      </c>
      <c r="P31" s="603" t="str">
        <f>Etiquettes!$H$16</f>
        <v>Données collectées</v>
      </c>
      <c r="Q31" s="603" t="str">
        <f>Etiquettes!$H$17</f>
        <v>Donnée collectée (valeur du flux ou coefficient)</v>
      </c>
      <c r="S31" s="693"/>
    </row>
    <row r="32" spans="1:19">
      <c r="A32" t="str">
        <f>Secteurs!$B$55</f>
        <v>Importations</v>
      </c>
      <c r="B32" t="str">
        <f>Produits!$B$4</f>
        <v>Grains collectés</v>
      </c>
      <c r="C32" s="86">
        <f>'Prétraitement échanges'!K22+'Prétraitement échanges'!K21+'Prétraitement échanges'!K20+'Prétraitement échanges'!K19+'Prétraitement échanges'!K18+'Prétraitement échanges'!K17+'Prétraitement échanges'!K16</f>
        <v>427.60796799999997</v>
      </c>
      <c r="E32" t="str">
        <f>Etiquettes!$C$3</f>
        <v>kt</v>
      </c>
      <c r="F32" s="26" t="str">
        <f>Etiquettes!$I$6</f>
        <v>Maïs</v>
      </c>
      <c r="G32" s="26" t="str">
        <f>Etiquettes!$H$5</f>
        <v>2015-16</v>
      </c>
      <c r="H32" t="str">
        <f>Etiquettes!$C$4</f>
        <v>France entière</v>
      </c>
      <c r="I32" t="s">
        <v>1589</v>
      </c>
      <c r="J32"/>
      <c r="K32" t="s">
        <v>1591</v>
      </c>
      <c r="L32" s="26" t="str" cm="1">
        <f t="array" aca="1" ref="L32" ca="1">[1]!NOM_FEUILLE('Comext mensuel - EUROSTAT'!$A$1)</f>
        <v>Comext mensuel - EUROSTAT</v>
      </c>
      <c r="M32" s="26" t="str">
        <f>Etiquettes!$H$11</f>
        <v>Volume</v>
      </c>
      <c r="N32" t="str">
        <f t="shared" si="0"/>
        <v>Importation de grains = 428 kt (Douanes françaises - Eurostat)</v>
      </c>
      <c r="O32" s="26" t="str">
        <f>Etiquettes!$J$15</f>
        <v>Probable</v>
      </c>
      <c r="P32" s="603" t="str">
        <f>Etiquettes!$H$16</f>
        <v>Données collectées</v>
      </c>
      <c r="Q32" s="603" t="str">
        <f>Etiquettes!$H$17</f>
        <v>Donnée collectée (valeur du flux ou coefficient)</v>
      </c>
      <c r="S32" s="693"/>
    </row>
    <row r="33" spans="1:19">
      <c r="A33" t="str">
        <f>Produits!$B$4</f>
        <v>Grains collectés</v>
      </c>
      <c r="B33" t="str">
        <f>Secteurs!$B$56</f>
        <v>Exportations</v>
      </c>
      <c r="C33" s="86">
        <f>'Prétraitement échanges'!L22+'Prétraitement échanges'!L21+'Prétraitement échanges'!L20+'Prétraitement échanges'!L19+'Prétraitement échanges'!L18+'Prétraitement échanges'!L17+'Prétraitement échanges'!L16</f>
        <v>5978.204138000001</v>
      </c>
      <c r="E33" t="str">
        <f>Etiquettes!$C$3</f>
        <v>kt</v>
      </c>
      <c r="F33" s="26" t="str">
        <f>Etiquettes!$I$6</f>
        <v>Maïs</v>
      </c>
      <c r="G33" s="26" t="str">
        <f>Etiquettes!$H$5</f>
        <v>2015-16</v>
      </c>
      <c r="H33" t="str">
        <f>Etiquettes!$C$4</f>
        <v>France entière</v>
      </c>
      <c r="I33" t="s">
        <v>1590</v>
      </c>
      <c r="J33"/>
      <c r="K33" t="s">
        <v>1591</v>
      </c>
      <c r="L33" s="26" t="str" cm="1">
        <f t="array" aca="1" ref="L33" ca="1">[1]!NOM_FEUILLE('Comext mensuel - EUROSTAT'!$A$1)</f>
        <v>Comext mensuel - EUROSTAT</v>
      </c>
      <c r="M33" s="26" t="str">
        <f>Etiquettes!$H$11</f>
        <v>Volume</v>
      </c>
      <c r="N33" t="str">
        <f t="shared" si="0"/>
        <v>Exportation de grains = 5978 kt (Douanes françaises - Eurostat)</v>
      </c>
      <c r="O33" s="26" t="str">
        <f>Etiquettes!$J$15</f>
        <v>Probable</v>
      </c>
      <c r="P33" s="603" t="str">
        <f>Etiquettes!$H$16</f>
        <v>Données collectées</v>
      </c>
      <c r="Q33" s="603" t="str">
        <f>Etiquettes!$H$17</f>
        <v>Donnée collectée (valeur du flux ou coefficient)</v>
      </c>
      <c r="S33" s="693"/>
    </row>
    <row r="34" spans="1:19">
      <c r="A34" t="str">
        <f>Secteurs!$B$55</f>
        <v>Importations</v>
      </c>
      <c r="B34" t="str">
        <f>Produits!$B$4</f>
        <v>Grains collectés</v>
      </c>
      <c r="C34" s="86">
        <f>'Prétraitement échanges'!M22+'Prétraitement échanges'!M21+'Prétraitement échanges'!M20+'Prétraitement échanges'!M19+'Prétraitement échanges'!M18+'Prétraitement échanges'!M17+'Prétraitement échanges'!M16</f>
        <v>685.44101699999987</v>
      </c>
      <c r="E34" t="str">
        <f>Etiquettes!$C$3</f>
        <v>kt</v>
      </c>
      <c r="F34" s="26" t="str">
        <f>Etiquettes!$I$6</f>
        <v>Maïs</v>
      </c>
      <c r="G34" s="26" t="str">
        <f>Etiquettes!$I$5</f>
        <v>2019-20</v>
      </c>
      <c r="H34" t="str">
        <f>Etiquettes!$C$4</f>
        <v>France entière</v>
      </c>
      <c r="I34" t="s">
        <v>1589</v>
      </c>
      <c r="J34"/>
      <c r="K34" t="s">
        <v>1591</v>
      </c>
      <c r="L34" s="26" t="str" cm="1">
        <f t="array" aca="1" ref="L34" ca="1">[1]!NOM_FEUILLE('Comext mensuel - EUROSTAT'!$A$1)</f>
        <v>Comext mensuel - EUROSTAT</v>
      </c>
      <c r="M34" s="26" t="str">
        <f>Etiquettes!$H$11</f>
        <v>Volume</v>
      </c>
      <c r="N34" t="str">
        <f t="shared" si="0"/>
        <v>Importation de grains = 685 kt (Douanes françaises - Eurostat)</v>
      </c>
      <c r="O34" s="26" t="str">
        <f>Etiquettes!$J$15</f>
        <v>Probable</v>
      </c>
      <c r="P34" s="603" t="str">
        <f>Etiquettes!$H$16</f>
        <v>Données collectées</v>
      </c>
      <c r="Q34" s="603" t="str">
        <f>Etiquettes!$H$17</f>
        <v>Donnée collectée (valeur du flux ou coefficient)</v>
      </c>
      <c r="S34" s="693"/>
    </row>
    <row r="35" spans="1:19">
      <c r="A35" t="str">
        <f>Produits!$B$4</f>
        <v>Grains collectés</v>
      </c>
      <c r="B35" t="str">
        <f>Secteurs!$B$56</f>
        <v>Exportations</v>
      </c>
      <c r="C35" s="86">
        <f>'Prétraitement échanges'!N22+'Prétraitement échanges'!N21+'Prétraitement échanges'!N20+'Prétraitement échanges'!N19+'Prétraitement échanges'!N18+'Prétraitement échanges'!N17+'Prétraitement échanges'!N16</f>
        <v>4089.3067380000007</v>
      </c>
      <c r="E35" t="str">
        <f>Etiquettes!$C$3</f>
        <v>kt</v>
      </c>
      <c r="F35" s="26" t="str">
        <f>Etiquettes!$I$6</f>
        <v>Maïs</v>
      </c>
      <c r="G35" s="26" t="str">
        <f>Etiquettes!$I$5</f>
        <v>2019-20</v>
      </c>
      <c r="H35" t="str">
        <f>Etiquettes!$C$4</f>
        <v>France entière</v>
      </c>
      <c r="I35" t="s">
        <v>1590</v>
      </c>
      <c r="J35"/>
      <c r="K35" t="s">
        <v>1591</v>
      </c>
      <c r="L35" s="26" t="str" cm="1">
        <f t="array" aca="1" ref="L35" ca="1">[1]!NOM_FEUILLE('Comext mensuel - EUROSTAT'!$A$1)</f>
        <v>Comext mensuel - EUROSTAT</v>
      </c>
      <c r="M35" s="26" t="str">
        <f>Etiquettes!$H$11</f>
        <v>Volume</v>
      </c>
      <c r="N35" t="str">
        <f t="shared" si="0"/>
        <v>Exportation de grains = 4089 kt (Douanes françaises - Eurostat)</v>
      </c>
      <c r="O35" s="26" t="str">
        <f>Etiquettes!$J$15</f>
        <v>Probable</v>
      </c>
      <c r="P35" s="603" t="str">
        <f>Etiquettes!$H$16</f>
        <v>Données collectées</v>
      </c>
      <c r="Q35" s="603" t="str">
        <f>Etiquettes!$H$17</f>
        <v>Donnée collectée (valeur du flux ou coefficient)</v>
      </c>
      <c r="S35" s="693"/>
    </row>
    <row r="36" spans="1:19">
      <c r="A36" t="str">
        <f>Secteurs!$B$55</f>
        <v>Importations</v>
      </c>
      <c r="B36" t="str">
        <f>Produits!$B$4</f>
        <v>Grains collectés</v>
      </c>
      <c r="C36" s="86">
        <f>'Prétraitement échanges'!O22+'Prétraitement échanges'!O21+'Prétraitement échanges'!O20+'Prétraitement échanges'!O19+'Prétraitement échanges'!O18+'Prétraitement échanges'!O17+'Prétraitement échanges'!O16</f>
        <v>333.94370299999997</v>
      </c>
      <c r="E36" t="str">
        <f>Etiquettes!$C$3</f>
        <v>kt</v>
      </c>
      <c r="F36" s="26" t="str">
        <f>Etiquettes!$I$6</f>
        <v>Maïs</v>
      </c>
      <c r="G36" s="26" t="str">
        <f>Etiquettes!$J$5</f>
        <v>2023-24</v>
      </c>
      <c r="H36" t="str">
        <f>Etiquettes!$C$4</f>
        <v>France entière</v>
      </c>
      <c r="I36" t="s">
        <v>1589</v>
      </c>
      <c r="J36"/>
      <c r="K36" t="s">
        <v>1591</v>
      </c>
      <c r="L36" s="26" t="str" cm="1">
        <f t="array" aca="1" ref="L36" ca="1">[1]!NOM_FEUILLE('Comext mensuel - EUROSTAT'!$A$1)</f>
        <v>Comext mensuel - EUROSTAT</v>
      </c>
      <c r="M36" s="26" t="str">
        <f>Etiquettes!$H$11</f>
        <v>Volume</v>
      </c>
      <c r="N36" t="str">
        <f t="shared" si="0"/>
        <v>Importation de grains = 334 kt (Douanes françaises - Eurostat)</v>
      </c>
      <c r="O36" s="26" t="str">
        <f>Etiquettes!$J$15</f>
        <v>Probable</v>
      </c>
      <c r="P36" s="603" t="str">
        <f>Etiquettes!$H$16</f>
        <v>Données collectées</v>
      </c>
      <c r="Q36" s="603" t="str">
        <f>Etiquettes!$H$17</f>
        <v>Donnée collectée (valeur du flux ou coefficient)</v>
      </c>
      <c r="S36" s="693"/>
    </row>
    <row r="37" spans="1:19">
      <c r="A37" t="str">
        <f>Produits!$B$4</f>
        <v>Grains collectés</v>
      </c>
      <c r="B37" t="str">
        <f>Secteurs!$B$56</f>
        <v>Exportations</v>
      </c>
      <c r="C37" s="86">
        <f>'Prétraitement échanges'!P22+'Prétraitement échanges'!P21+'Prétraitement échanges'!P20+'Prétraitement échanges'!P19+'Prétraitement échanges'!P18+'Prétraitement échanges'!P17+'Prétraitement échanges'!P16</f>
        <v>4127.7541709999996</v>
      </c>
      <c r="E37" t="str">
        <f>Etiquettes!$C$3</f>
        <v>kt</v>
      </c>
      <c r="F37" s="26" t="str">
        <f>Etiquettes!$I$6</f>
        <v>Maïs</v>
      </c>
      <c r="G37" s="26" t="str">
        <f>Etiquettes!$J$5</f>
        <v>2023-24</v>
      </c>
      <c r="H37" t="str">
        <f>Etiquettes!$C$4</f>
        <v>France entière</v>
      </c>
      <c r="I37" t="s">
        <v>1590</v>
      </c>
      <c r="J37"/>
      <c r="K37" t="s">
        <v>1591</v>
      </c>
      <c r="L37" s="26" t="str" cm="1">
        <f t="array" aca="1" ref="L37" ca="1">[1]!NOM_FEUILLE('Comext mensuel - EUROSTAT'!$A$1)</f>
        <v>Comext mensuel - EUROSTAT</v>
      </c>
      <c r="M37" s="26" t="str">
        <f>Etiquettes!$H$11</f>
        <v>Volume</v>
      </c>
      <c r="N37" t="str">
        <f t="shared" si="0"/>
        <v>Exportation de grains = 4128 kt (Douanes françaises - Eurostat)</v>
      </c>
      <c r="O37" s="26" t="str">
        <f>Etiquettes!$J$15</f>
        <v>Probable</v>
      </c>
      <c r="P37" s="603" t="str">
        <f>Etiquettes!$H$16</f>
        <v>Données collectées</v>
      </c>
      <c r="Q37" s="603" t="str">
        <f>Etiquettes!$H$17</f>
        <v>Donnée collectée (valeur du flux ou coefficient)</v>
      </c>
      <c r="S37" s="693"/>
    </row>
    <row r="38" spans="1:19">
      <c r="A38" t="str">
        <f>Secteurs!$B$55</f>
        <v>Importations</v>
      </c>
      <c r="B38" t="str">
        <f>Produits!$B$4</f>
        <v>Grains collectés</v>
      </c>
      <c r="C38" s="86">
        <f>'Prétraitement échanges'!K72+'Prétraitement échanges'!K71+'Prétraitement échanges'!K70</f>
        <v>2.422237</v>
      </c>
      <c r="E38" t="str">
        <f>Etiquettes!$C$3</f>
        <v>kt</v>
      </c>
      <c r="F38" s="26" t="str">
        <f>Etiquettes!$M$6</f>
        <v>Sorgho</v>
      </c>
      <c r="G38" s="26" t="str">
        <f>Etiquettes!$H$5</f>
        <v>2015-16</v>
      </c>
      <c r="H38" t="str">
        <f>Etiquettes!$C$4</f>
        <v>France entière</v>
      </c>
      <c r="I38" t="s">
        <v>1589</v>
      </c>
      <c r="J38"/>
      <c r="K38" t="s">
        <v>1591</v>
      </c>
      <c r="L38" s="26" t="str" cm="1">
        <f t="array" aca="1" ref="L38" ca="1">[1]!NOM_FEUILLE('Comext mensuel - EUROSTAT'!$A$1)</f>
        <v>Comext mensuel - EUROSTAT</v>
      </c>
      <c r="M38" s="26" t="str">
        <f>Etiquettes!$H$11</f>
        <v>Volume</v>
      </c>
      <c r="N38" t="str">
        <f t="shared" si="0"/>
        <v>Importation de grains = 2 kt (Douanes françaises - Eurostat)</v>
      </c>
      <c r="O38" s="26" t="str">
        <f>Etiquettes!$J$15</f>
        <v>Probable</v>
      </c>
      <c r="P38" s="603" t="str">
        <f>Etiquettes!$H$16</f>
        <v>Données collectées</v>
      </c>
      <c r="Q38" s="603" t="str">
        <f>Etiquettes!$H$17</f>
        <v>Donnée collectée (valeur du flux ou coefficient)</v>
      </c>
      <c r="S38" s="693"/>
    </row>
    <row r="39" spans="1:19">
      <c r="A39" t="str">
        <f>Produits!$B$4</f>
        <v>Grains collectés</v>
      </c>
      <c r="B39" t="str">
        <f>Secteurs!$B$56</f>
        <v>Exportations</v>
      </c>
      <c r="C39" s="86">
        <f>'Prétraitement échanges'!L72+'Prétraitement échanges'!L71+'Prétraitement échanges'!L70</f>
        <v>120.58131</v>
      </c>
      <c r="E39" t="str">
        <f>Etiquettes!$C$3</f>
        <v>kt</v>
      </c>
      <c r="F39" s="26" t="str">
        <f>Etiquettes!$M$6</f>
        <v>Sorgho</v>
      </c>
      <c r="G39" s="26" t="str">
        <f>Etiquettes!$H$5</f>
        <v>2015-16</v>
      </c>
      <c r="H39" t="str">
        <f>Etiquettes!$C$4</f>
        <v>France entière</v>
      </c>
      <c r="I39" t="s">
        <v>1590</v>
      </c>
      <c r="J39"/>
      <c r="K39" t="s">
        <v>1591</v>
      </c>
      <c r="L39" s="26" t="str" cm="1">
        <f t="array" aca="1" ref="L39" ca="1">[1]!NOM_FEUILLE('Comext mensuel - EUROSTAT'!$A$1)</f>
        <v>Comext mensuel - EUROSTAT</v>
      </c>
      <c r="M39" s="26" t="str">
        <f>Etiquettes!$H$11</f>
        <v>Volume</v>
      </c>
      <c r="N39" t="str">
        <f t="shared" si="0"/>
        <v>Exportation de grains = 121 kt (Douanes françaises - Eurostat)</v>
      </c>
      <c r="O39" s="26" t="str">
        <f>Etiquettes!$J$15</f>
        <v>Probable</v>
      </c>
      <c r="P39" s="603" t="str">
        <f>Etiquettes!$H$16</f>
        <v>Données collectées</v>
      </c>
      <c r="Q39" s="603" t="str">
        <f>Etiquettes!$H$17</f>
        <v>Donnée collectée (valeur du flux ou coefficient)</v>
      </c>
      <c r="S39" s="693"/>
    </row>
    <row r="40" spans="1:19">
      <c r="A40" t="str">
        <f>Secteurs!$B$55</f>
        <v>Importations</v>
      </c>
      <c r="B40" t="str">
        <f>Produits!$B$4</f>
        <v>Grains collectés</v>
      </c>
      <c r="C40" s="86">
        <f>'Prétraitement échanges'!M72+'Prétraitement échanges'!M71+'Prétraitement échanges'!M70</f>
        <v>2.518262</v>
      </c>
      <c r="E40" t="str">
        <f>Etiquettes!$C$3</f>
        <v>kt</v>
      </c>
      <c r="F40" s="26" t="str">
        <f>Etiquettes!$M$6</f>
        <v>Sorgho</v>
      </c>
      <c r="G40" s="26" t="str">
        <f>Etiquettes!$I$5</f>
        <v>2019-20</v>
      </c>
      <c r="H40" t="str">
        <f>Etiquettes!$C$4</f>
        <v>France entière</v>
      </c>
      <c r="I40" t="s">
        <v>1589</v>
      </c>
      <c r="J40"/>
      <c r="K40" t="s">
        <v>1591</v>
      </c>
      <c r="L40" s="26" t="str" cm="1">
        <f t="array" aca="1" ref="L40" ca="1">[1]!NOM_FEUILLE('Comext mensuel - EUROSTAT'!$A$1)</f>
        <v>Comext mensuel - EUROSTAT</v>
      </c>
      <c r="M40" s="26" t="str">
        <f>Etiquettes!$H$11</f>
        <v>Volume</v>
      </c>
      <c r="N40" t="str">
        <f t="shared" si="0"/>
        <v>Importation de grains = 3 kt (Douanes françaises - Eurostat)</v>
      </c>
      <c r="O40" s="26" t="str">
        <f>Etiquettes!$J$15</f>
        <v>Probable</v>
      </c>
      <c r="P40" s="603" t="str">
        <f>Etiquettes!$H$16</f>
        <v>Données collectées</v>
      </c>
      <c r="Q40" s="603" t="str">
        <f>Etiquettes!$H$17</f>
        <v>Donnée collectée (valeur du flux ou coefficient)</v>
      </c>
      <c r="S40" s="693"/>
    </row>
    <row r="41" spans="1:19">
      <c r="A41" t="str">
        <f>Produits!$B$4</f>
        <v>Grains collectés</v>
      </c>
      <c r="B41" t="str">
        <f>Secteurs!$B$56</f>
        <v>Exportations</v>
      </c>
      <c r="C41" s="86">
        <f>'Prétraitement échanges'!N72+'Prétraitement échanges'!N71+'Prétraitement échanges'!N70</f>
        <v>155.62306399999997</v>
      </c>
      <c r="E41" t="str">
        <f>Etiquettes!$C$3</f>
        <v>kt</v>
      </c>
      <c r="F41" s="26" t="str">
        <f>Etiquettes!$M$6</f>
        <v>Sorgho</v>
      </c>
      <c r="G41" s="26" t="str">
        <f>Etiquettes!$I$5</f>
        <v>2019-20</v>
      </c>
      <c r="H41" t="str">
        <f>Etiquettes!$C$4</f>
        <v>France entière</v>
      </c>
      <c r="I41" t="s">
        <v>1590</v>
      </c>
      <c r="J41"/>
      <c r="K41" t="s">
        <v>1591</v>
      </c>
      <c r="L41" s="26" t="str" cm="1">
        <f t="array" aca="1" ref="L41" ca="1">[1]!NOM_FEUILLE('Comext mensuel - EUROSTAT'!$A$1)</f>
        <v>Comext mensuel - EUROSTAT</v>
      </c>
      <c r="M41" s="26" t="str">
        <f>Etiquettes!$H$11</f>
        <v>Volume</v>
      </c>
      <c r="N41" t="str">
        <f t="shared" si="0"/>
        <v>Exportation de grains = 156 kt (Douanes françaises - Eurostat)</v>
      </c>
      <c r="O41" s="26" t="str">
        <f>Etiquettes!$J$15</f>
        <v>Probable</v>
      </c>
      <c r="P41" s="603" t="str">
        <f>Etiquettes!$H$16</f>
        <v>Données collectées</v>
      </c>
      <c r="Q41" s="603" t="str">
        <f>Etiquettes!$H$17</f>
        <v>Donnée collectée (valeur du flux ou coefficient)</v>
      </c>
      <c r="S41" s="693"/>
    </row>
    <row r="42" spans="1:19">
      <c r="A42" t="str">
        <f>Secteurs!$B$55</f>
        <v>Importations</v>
      </c>
      <c r="B42" t="str">
        <f>Produits!$B$4</f>
        <v>Grains collectés</v>
      </c>
      <c r="C42" s="86">
        <f>'Prétraitement échanges'!O72+'Prétraitement échanges'!O71+'Prétraitement échanges'!O70</f>
        <v>3.0000749999999998</v>
      </c>
      <c r="E42" t="str">
        <f>Etiquettes!$C$3</f>
        <v>kt</v>
      </c>
      <c r="F42" s="26" t="str">
        <f>Etiquettes!$M$6</f>
        <v>Sorgho</v>
      </c>
      <c r="G42" s="26" t="str">
        <f>Etiquettes!$J$5</f>
        <v>2023-24</v>
      </c>
      <c r="H42" t="str">
        <f>Etiquettes!$C$4</f>
        <v>France entière</v>
      </c>
      <c r="I42" t="s">
        <v>1589</v>
      </c>
      <c r="J42"/>
      <c r="K42" t="s">
        <v>1591</v>
      </c>
      <c r="L42" s="26" t="str" cm="1">
        <f t="array" aca="1" ref="L42" ca="1">[1]!NOM_FEUILLE('Comext mensuel - EUROSTAT'!$A$1)</f>
        <v>Comext mensuel - EUROSTAT</v>
      </c>
      <c r="M42" s="26" t="str">
        <f>Etiquettes!$H$11</f>
        <v>Volume</v>
      </c>
      <c r="N42" t="str">
        <f t="shared" si="0"/>
        <v>Importation de grains = 3 kt (Douanes françaises - Eurostat)</v>
      </c>
      <c r="O42" s="26" t="str">
        <f>Etiquettes!$J$15</f>
        <v>Probable</v>
      </c>
      <c r="P42" s="603" t="str">
        <f>Etiquettes!$H$16</f>
        <v>Données collectées</v>
      </c>
      <c r="Q42" s="603" t="str">
        <f>Etiquettes!$H$17</f>
        <v>Donnée collectée (valeur du flux ou coefficient)</v>
      </c>
      <c r="S42" s="693"/>
    </row>
    <row r="43" spans="1:19">
      <c r="A43" t="str">
        <f>Produits!$B$4</f>
        <v>Grains collectés</v>
      </c>
      <c r="B43" t="str">
        <f>Secteurs!$B$56</f>
        <v>Exportations</v>
      </c>
      <c r="C43" s="86">
        <f>'Prétraitement échanges'!P72+'Prétraitement échanges'!P71+'Prétraitement échanges'!P70</f>
        <v>153.44410300000004</v>
      </c>
      <c r="E43" t="str">
        <f>Etiquettes!$C$3</f>
        <v>kt</v>
      </c>
      <c r="F43" s="26" t="str">
        <f>Etiquettes!$M$6</f>
        <v>Sorgho</v>
      </c>
      <c r="G43" s="26" t="str">
        <f>Etiquettes!$J$5</f>
        <v>2023-24</v>
      </c>
      <c r="H43" t="str">
        <f>Etiquettes!$C$4</f>
        <v>France entière</v>
      </c>
      <c r="I43" t="s">
        <v>1590</v>
      </c>
      <c r="J43"/>
      <c r="K43" t="s">
        <v>1591</v>
      </c>
      <c r="L43" s="26" t="str" cm="1">
        <f t="array" aca="1" ref="L43" ca="1">[1]!NOM_FEUILLE('Comext mensuel - EUROSTAT'!$A$1)</f>
        <v>Comext mensuel - EUROSTAT</v>
      </c>
      <c r="M43" s="26" t="str">
        <f>Etiquettes!$H$11</f>
        <v>Volume</v>
      </c>
      <c r="N43" t="str">
        <f t="shared" si="0"/>
        <v>Exportation de grains = 153 kt (Douanes françaises - Eurostat)</v>
      </c>
      <c r="O43" s="26" t="str">
        <f>Etiquettes!$J$15</f>
        <v>Probable</v>
      </c>
      <c r="P43" s="603" t="str">
        <f>Etiquettes!$H$16</f>
        <v>Données collectées</v>
      </c>
      <c r="Q43" s="603" t="str">
        <f>Etiquettes!$H$17</f>
        <v>Donnée collectée (valeur du flux ou coefficient)</v>
      </c>
      <c r="S43" s="693"/>
    </row>
    <row r="44" spans="1:19">
      <c r="A44" t="str">
        <f>Secteurs!$B$55</f>
        <v>Importations</v>
      </c>
      <c r="B44" t="str">
        <f>Produits!$B$4</f>
        <v>Grains collectés</v>
      </c>
      <c r="C44" s="86">
        <f>'Prétraitement échanges'!K73</f>
        <v>12.375894000000002</v>
      </c>
      <c r="E44" t="str">
        <f>Etiquettes!$C$3</f>
        <v>kt</v>
      </c>
      <c r="F44" s="26" t="str">
        <f>Etiquettes!$P$6</f>
        <v>Sarrasin</v>
      </c>
      <c r="G44" s="26" t="str">
        <f>Etiquettes!$H$5</f>
        <v>2015-16</v>
      </c>
      <c r="H44" t="str">
        <f>Etiquettes!$C$4</f>
        <v>France entière</v>
      </c>
      <c r="I44" t="s">
        <v>1589</v>
      </c>
      <c r="J44"/>
      <c r="K44" t="s">
        <v>1591</v>
      </c>
      <c r="L44" s="26" t="str" cm="1">
        <f t="array" aca="1" ref="L44" ca="1">[1]!NOM_FEUILLE('Comext mensuel - EUROSTAT'!$A$1)</f>
        <v>Comext mensuel - EUROSTAT</v>
      </c>
      <c r="M44" s="26" t="str">
        <f>Etiquettes!$H$11</f>
        <v>Volume</v>
      </c>
      <c r="N44" t="str">
        <f t="shared" si="0"/>
        <v>Importation de grains = 12 kt (Douanes françaises - Eurostat)</v>
      </c>
      <c r="O44" s="26" t="str">
        <f>Etiquettes!$J$15</f>
        <v>Probable</v>
      </c>
      <c r="P44" s="603" t="str">
        <f>Etiquettes!$H$16</f>
        <v>Données collectées</v>
      </c>
      <c r="Q44" s="603" t="str">
        <f>Etiquettes!$H$17</f>
        <v>Donnée collectée (valeur du flux ou coefficient)</v>
      </c>
      <c r="S44" s="693"/>
    </row>
    <row r="45" spans="1:19">
      <c r="A45" t="str">
        <f>Produits!$B$4</f>
        <v>Grains collectés</v>
      </c>
      <c r="B45" t="str">
        <f>Secteurs!$B$56</f>
        <v>Exportations</v>
      </c>
      <c r="C45" s="86">
        <f>'Prétraitement échanges'!L73</f>
        <v>0.22445299999999999</v>
      </c>
      <c r="E45" t="str">
        <f>Etiquettes!$C$3</f>
        <v>kt</v>
      </c>
      <c r="F45" s="26" t="str">
        <f>Etiquettes!$P$6</f>
        <v>Sarrasin</v>
      </c>
      <c r="G45" s="26" t="str">
        <f>Etiquettes!$H$5</f>
        <v>2015-16</v>
      </c>
      <c r="H45" t="str">
        <f>Etiquettes!$C$4</f>
        <v>France entière</v>
      </c>
      <c r="I45" t="s">
        <v>1590</v>
      </c>
      <c r="J45"/>
      <c r="K45" t="s">
        <v>1591</v>
      </c>
      <c r="L45" s="26" t="str" cm="1">
        <f t="array" aca="1" ref="L45" ca="1">[1]!NOM_FEUILLE('Comext mensuel - EUROSTAT'!$A$1)</f>
        <v>Comext mensuel - EUROSTAT</v>
      </c>
      <c r="M45" s="26" t="str">
        <f>Etiquettes!$H$11</f>
        <v>Volume</v>
      </c>
      <c r="N45" t="str">
        <f t="shared" si="0"/>
        <v>Exportation de grains = 0 kt (Douanes françaises - Eurostat)</v>
      </c>
      <c r="O45" s="26" t="str">
        <f>Etiquettes!$J$15</f>
        <v>Probable</v>
      </c>
      <c r="P45" s="603" t="str">
        <f>Etiquettes!$H$16</f>
        <v>Données collectées</v>
      </c>
      <c r="Q45" s="603" t="str">
        <f>Etiquettes!$H$17</f>
        <v>Donnée collectée (valeur du flux ou coefficient)</v>
      </c>
      <c r="S45" s="693"/>
    </row>
    <row r="46" spans="1:19">
      <c r="A46" t="str">
        <f>Secteurs!$B$55</f>
        <v>Importations</v>
      </c>
      <c r="B46" t="str">
        <f>Produits!$B$4</f>
        <v>Grains collectés</v>
      </c>
      <c r="C46" s="86">
        <f>'Prétraitement échanges'!M73</f>
        <v>7.2402509999999998</v>
      </c>
      <c r="E46" t="str">
        <f>Etiquettes!$C$3</f>
        <v>kt</v>
      </c>
      <c r="F46" s="26" t="str">
        <f>Etiquettes!$P$6</f>
        <v>Sarrasin</v>
      </c>
      <c r="G46" s="26" t="str">
        <f>Etiquettes!$I$5</f>
        <v>2019-20</v>
      </c>
      <c r="H46" t="str">
        <f>Etiquettes!$C$4</f>
        <v>France entière</v>
      </c>
      <c r="I46" t="s">
        <v>1589</v>
      </c>
      <c r="J46"/>
      <c r="K46" t="s">
        <v>1591</v>
      </c>
      <c r="L46" s="26" t="str" cm="1">
        <f t="array" aca="1" ref="L46" ca="1">[1]!NOM_FEUILLE('Comext mensuel - EUROSTAT'!$A$1)</f>
        <v>Comext mensuel - EUROSTAT</v>
      </c>
      <c r="M46" s="26" t="str">
        <f>Etiquettes!$H$11</f>
        <v>Volume</v>
      </c>
      <c r="N46" t="str">
        <f t="shared" si="0"/>
        <v>Importation de grains = 7 kt (Douanes françaises - Eurostat)</v>
      </c>
      <c r="O46" s="26" t="str">
        <f>Etiquettes!$J$15</f>
        <v>Probable</v>
      </c>
      <c r="P46" s="603" t="str">
        <f>Etiquettes!$H$16</f>
        <v>Données collectées</v>
      </c>
      <c r="Q46" s="603" t="str">
        <f>Etiquettes!$H$17</f>
        <v>Donnée collectée (valeur du flux ou coefficient)</v>
      </c>
      <c r="S46" s="693"/>
    </row>
    <row r="47" spans="1:19">
      <c r="A47" t="str">
        <f>Produits!$B$4</f>
        <v>Grains collectés</v>
      </c>
      <c r="B47" t="str">
        <f>Secteurs!$B$56</f>
        <v>Exportations</v>
      </c>
      <c r="C47" s="86">
        <f>'Prétraitement échanges'!N73</f>
        <v>1.2972219999999999</v>
      </c>
      <c r="E47" t="str">
        <f>Etiquettes!$C$3</f>
        <v>kt</v>
      </c>
      <c r="F47" s="26" t="str">
        <f>Etiquettes!$P$6</f>
        <v>Sarrasin</v>
      </c>
      <c r="G47" s="26" t="str">
        <f>Etiquettes!$I$5</f>
        <v>2019-20</v>
      </c>
      <c r="H47" t="str">
        <f>Etiquettes!$C$4</f>
        <v>France entière</v>
      </c>
      <c r="I47" t="s">
        <v>1590</v>
      </c>
      <c r="J47"/>
      <c r="K47" t="s">
        <v>1591</v>
      </c>
      <c r="L47" s="26" t="str" cm="1">
        <f t="array" aca="1" ref="L47" ca="1">[1]!NOM_FEUILLE('Comext mensuel - EUROSTAT'!$A$1)</f>
        <v>Comext mensuel - EUROSTAT</v>
      </c>
      <c r="M47" s="26" t="str">
        <f>Etiquettes!$H$11</f>
        <v>Volume</v>
      </c>
      <c r="N47" t="str">
        <f t="shared" si="0"/>
        <v>Exportation de grains = 1 kt (Douanes françaises - Eurostat)</v>
      </c>
      <c r="O47" s="26" t="str">
        <f>Etiquettes!$J$15</f>
        <v>Probable</v>
      </c>
      <c r="P47" s="603" t="str">
        <f>Etiquettes!$H$16</f>
        <v>Données collectées</v>
      </c>
      <c r="Q47" s="603" t="str">
        <f>Etiquettes!$H$17</f>
        <v>Donnée collectée (valeur du flux ou coefficient)</v>
      </c>
      <c r="S47" s="693"/>
    </row>
    <row r="48" spans="1:19">
      <c r="A48" t="str">
        <f>Secteurs!$B$55</f>
        <v>Importations</v>
      </c>
      <c r="B48" t="str">
        <f>Produits!$B$4</f>
        <v>Grains collectés</v>
      </c>
      <c r="C48" s="86">
        <f>'Prétraitement échanges'!O73</f>
        <v>4.5190529999999995</v>
      </c>
      <c r="E48" t="str">
        <f>Etiquettes!$C$3</f>
        <v>kt</v>
      </c>
      <c r="F48" s="26" t="str">
        <f>Etiquettes!$P$6</f>
        <v>Sarrasin</v>
      </c>
      <c r="G48" s="26" t="str">
        <f>Etiquettes!$J$5</f>
        <v>2023-24</v>
      </c>
      <c r="H48" t="str">
        <f>Etiquettes!$C$4</f>
        <v>France entière</v>
      </c>
      <c r="I48" t="s">
        <v>1589</v>
      </c>
      <c r="J48"/>
      <c r="K48" t="s">
        <v>1591</v>
      </c>
      <c r="L48" s="26" t="str" cm="1">
        <f t="array" aca="1" ref="L48" ca="1">[1]!NOM_FEUILLE('Comext mensuel - EUROSTAT'!$A$1)</f>
        <v>Comext mensuel - EUROSTAT</v>
      </c>
      <c r="M48" s="26" t="str">
        <f>Etiquettes!$H$11</f>
        <v>Volume</v>
      </c>
      <c r="N48" t="str">
        <f t="shared" si="0"/>
        <v>Importation de grains = 5 kt (Douanes françaises - Eurostat)</v>
      </c>
      <c r="O48" s="26" t="str">
        <f>Etiquettes!$J$15</f>
        <v>Probable</v>
      </c>
      <c r="P48" s="603" t="str">
        <f>Etiquettes!$H$16</f>
        <v>Données collectées</v>
      </c>
      <c r="Q48" s="603" t="str">
        <f>Etiquettes!$H$17</f>
        <v>Donnée collectée (valeur du flux ou coefficient)</v>
      </c>
      <c r="S48" s="693"/>
    </row>
    <row r="49" spans="1:19">
      <c r="A49" t="str">
        <f>Produits!$B$4</f>
        <v>Grains collectés</v>
      </c>
      <c r="B49" t="str">
        <f>Secteurs!$B$56</f>
        <v>Exportations</v>
      </c>
      <c r="C49" s="86">
        <f>'Prétraitement échanges'!P73</f>
        <v>1.3463479999999999</v>
      </c>
      <c r="E49" t="str">
        <f>Etiquettes!$C$3</f>
        <v>kt</v>
      </c>
      <c r="F49" s="26" t="str">
        <f>Etiquettes!$P$6</f>
        <v>Sarrasin</v>
      </c>
      <c r="G49" s="26" t="str">
        <f>Etiquettes!$J$5</f>
        <v>2023-24</v>
      </c>
      <c r="H49" t="str">
        <f>Etiquettes!$C$4</f>
        <v>France entière</v>
      </c>
      <c r="I49" t="s">
        <v>1590</v>
      </c>
      <c r="J49"/>
      <c r="K49" t="s">
        <v>1591</v>
      </c>
      <c r="L49" s="26" t="str" cm="1">
        <f t="array" aca="1" ref="L49" ca="1">[1]!NOM_FEUILLE('Comext mensuel - EUROSTAT'!$A$1)</f>
        <v>Comext mensuel - EUROSTAT</v>
      </c>
      <c r="M49" s="26" t="str">
        <f>Etiquettes!$H$11</f>
        <v>Volume</v>
      </c>
      <c r="N49" t="str">
        <f t="shared" si="0"/>
        <v>Exportation de grains = 1 kt (Douanes françaises - Eurostat)</v>
      </c>
      <c r="O49" s="26" t="str">
        <f>Etiquettes!$J$15</f>
        <v>Probable</v>
      </c>
      <c r="P49" s="603" t="str">
        <f>Etiquettes!$H$16</f>
        <v>Données collectées</v>
      </c>
      <c r="Q49" s="603" t="str">
        <f>Etiquettes!$H$17</f>
        <v>Donnée collectée (valeur du flux ou coefficient)</v>
      </c>
      <c r="S49" s="693"/>
    </row>
    <row r="50" spans="1:19">
      <c r="A50" t="str">
        <f>Secteurs!$B$55</f>
        <v>Importations</v>
      </c>
      <c r="B50" t="str">
        <f>Produits!$B$4</f>
        <v>Grains collectés</v>
      </c>
      <c r="C50" s="86">
        <f>'Prétraitement échanges'!K79</f>
        <v>6.1742350000000004</v>
      </c>
      <c r="E50" t="str">
        <f>Etiquettes!$C$3</f>
        <v>kt</v>
      </c>
      <c r="F50" s="26" t="str">
        <f>Etiquettes!$L$6</f>
        <v>Triticale</v>
      </c>
      <c r="G50" s="26" t="str">
        <f>Etiquettes!$H$5</f>
        <v>2015-16</v>
      </c>
      <c r="H50" t="str">
        <f>Etiquettes!$C$4</f>
        <v>France entière</v>
      </c>
      <c r="I50" t="s">
        <v>1589</v>
      </c>
      <c r="J50"/>
      <c r="K50" t="s">
        <v>1591</v>
      </c>
      <c r="L50" s="26" t="str" cm="1">
        <f t="array" aca="1" ref="L50" ca="1">[1]!NOM_FEUILLE('Comext mensuel - EUROSTAT'!$A$1)</f>
        <v>Comext mensuel - EUROSTAT</v>
      </c>
      <c r="M50" s="26" t="str">
        <f>Etiquettes!$H$11</f>
        <v>Volume</v>
      </c>
      <c r="N50" t="str">
        <f t="shared" si="0"/>
        <v>Importation de grains = 6 kt (Douanes françaises - Eurostat)</v>
      </c>
      <c r="O50" s="26" t="str">
        <f>Etiquettes!$J$15</f>
        <v>Probable</v>
      </c>
      <c r="P50" s="603" t="str">
        <f>Etiquettes!$H$16</f>
        <v>Données collectées</v>
      </c>
      <c r="Q50" s="603" t="str">
        <f>Etiquettes!$H$17</f>
        <v>Donnée collectée (valeur du flux ou coefficient)</v>
      </c>
      <c r="S50" s="693"/>
    </row>
    <row r="51" spans="1:19">
      <c r="A51" t="str">
        <f>Produits!$B$4</f>
        <v>Grains collectés</v>
      </c>
      <c r="B51" t="str">
        <f>Secteurs!$B$56</f>
        <v>Exportations</v>
      </c>
      <c r="C51" s="86">
        <f>'Prétraitement échanges'!L79</f>
        <v>59.163988999999987</v>
      </c>
      <c r="E51" t="str">
        <f>Etiquettes!$C$3</f>
        <v>kt</v>
      </c>
      <c r="F51" s="26" t="str">
        <f>Etiquettes!$L$6</f>
        <v>Triticale</v>
      </c>
      <c r="G51" s="26" t="str">
        <f>Etiquettes!$H$5</f>
        <v>2015-16</v>
      </c>
      <c r="H51" t="str">
        <f>Etiquettes!$C$4</f>
        <v>France entière</v>
      </c>
      <c r="I51" t="s">
        <v>1590</v>
      </c>
      <c r="J51"/>
      <c r="K51" t="s">
        <v>1591</v>
      </c>
      <c r="L51" s="26" t="str" cm="1">
        <f t="array" aca="1" ref="L51" ca="1">[1]!NOM_FEUILLE('Comext mensuel - EUROSTAT'!$A$1)</f>
        <v>Comext mensuel - EUROSTAT</v>
      </c>
      <c r="M51" s="26" t="str">
        <f>Etiquettes!$H$11</f>
        <v>Volume</v>
      </c>
      <c r="N51" t="str">
        <f t="shared" si="0"/>
        <v>Exportation de grains = 59 kt (Douanes françaises - Eurostat)</v>
      </c>
      <c r="O51" s="26" t="str">
        <f>Etiquettes!$J$15</f>
        <v>Probable</v>
      </c>
      <c r="P51" s="603" t="str">
        <f>Etiquettes!$H$16</f>
        <v>Données collectées</v>
      </c>
      <c r="Q51" s="603" t="str">
        <f>Etiquettes!$H$17</f>
        <v>Donnée collectée (valeur du flux ou coefficient)</v>
      </c>
      <c r="S51" s="693"/>
    </row>
    <row r="52" spans="1:19">
      <c r="A52" t="str">
        <f>Secteurs!$B$55</f>
        <v>Importations</v>
      </c>
      <c r="B52" t="str">
        <f>Produits!$B$4</f>
        <v>Grains collectés</v>
      </c>
      <c r="C52" s="86">
        <f>'Prétraitement échanges'!M79</f>
        <v>17.366084000000001</v>
      </c>
      <c r="E52" t="str">
        <f>Etiquettes!$C$3</f>
        <v>kt</v>
      </c>
      <c r="F52" s="26" t="str">
        <f>Etiquettes!$L$6</f>
        <v>Triticale</v>
      </c>
      <c r="G52" s="26" t="str">
        <f>Etiquettes!$I$5</f>
        <v>2019-20</v>
      </c>
      <c r="H52" t="str">
        <f>Etiquettes!$C$4</f>
        <v>France entière</v>
      </c>
      <c r="I52" t="s">
        <v>1589</v>
      </c>
      <c r="J52"/>
      <c r="K52" t="s">
        <v>1591</v>
      </c>
      <c r="L52" s="26" t="str" cm="1">
        <f t="array" aca="1" ref="L52" ca="1">[1]!NOM_FEUILLE('Comext mensuel - EUROSTAT'!$A$1)</f>
        <v>Comext mensuel - EUROSTAT</v>
      </c>
      <c r="M52" s="26" t="str">
        <f>Etiquettes!$H$11</f>
        <v>Volume</v>
      </c>
      <c r="N52" t="str">
        <f t="shared" si="0"/>
        <v>Importation de grains = 17 kt (Douanes françaises - Eurostat)</v>
      </c>
      <c r="O52" s="26" t="str">
        <f>Etiquettes!$J$15</f>
        <v>Probable</v>
      </c>
      <c r="P52" s="603" t="str">
        <f>Etiquettes!$H$16</f>
        <v>Données collectées</v>
      </c>
      <c r="Q52" s="603" t="str">
        <f>Etiquettes!$H$17</f>
        <v>Donnée collectée (valeur du flux ou coefficient)</v>
      </c>
      <c r="S52" s="693"/>
    </row>
    <row r="53" spans="1:19">
      <c r="A53" t="str">
        <f>Produits!$B$4</f>
        <v>Grains collectés</v>
      </c>
      <c r="B53" t="str">
        <f>Secteurs!$B$56</f>
        <v>Exportations</v>
      </c>
      <c r="C53" s="86">
        <f>'Prétraitement échanges'!N79</f>
        <v>68.138115999999997</v>
      </c>
      <c r="E53" t="str">
        <f>Etiquettes!$C$3</f>
        <v>kt</v>
      </c>
      <c r="F53" s="26" t="str">
        <f>Etiquettes!$L$6</f>
        <v>Triticale</v>
      </c>
      <c r="G53" s="26" t="str">
        <f>Etiquettes!$I$5</f>
        <v>2019-20</v>
      </c>
      <c r="H53" t="str">
        <f>Etiquettes!$C$4</f>
        <v>France entière</v>
      </c>
      <c r="I53" t="s">
        <v>1590</v>
      </c>
      <c r="J53"/>
      <c r="K53" t="s">
        <v>1591</v>
      </c>
      <c r="L53" s="26" t="str" cm="1">
        <f t="array" aca="1" ref="L53" ca="1">[1]!NOM_FEUILLE('Comext mensuel - EUROSTAT'!$A$1)</f>
        <v>Comext mensuel - EUROSTAT</v>
      </c>
      <c r="M53" s="26" t="str">
        <f>Etiquettes!$H$11</f>
        <v>Volume</v>
      </c>
      <c r="N53" t="str">
        <f t="shared" si="0"/>
        <v>Exportation de grains = 68 kt (Douanes françaises - Eurostat)</v>
      </c>
      <c r="O53" s="26" t="str">
        <f>Etiquettes!$J$15</f>
        <v>Probable</v>
      </c>
      <c r="P53" s="603" t="str">
        <f>Etiquettes!$H$16</f>
        <v>Données collectées</v>
      </c>
      <c r="Q53" s="603" t="str">
        <f>Etiquettes!$H$17</f>
        <v>Donnée collectée (valeur du flux ou coefficient)</v>
      </c>
      <c r="S53" s="693"/>
    </row>
    <row r="54" spans="1:19">
      <c r="A54" t="str">
        <f>Secteurs!$B$55</f>
        <v>Importations</v>
      </c>
      <c r="B54" t="str">
        <f>Produits!$B$4</f>
        <v>Grains collectés</v>
      </c>
      <c r="C54" s="86">
        <f>'Prétraitement échanges'!O79</f>
        <v>0.648177</v>
      </c>
      <c r="E54" t="str">
        <f>Etiquettes!$C$3</f>
        <v>kt</v>
      </c>
      <c r="F54" s="26" t="str">
        <f>Etiquettes!$L$6</f>
        <v>Triticale</v>
      </c>
      <c r="G54" s="26" t="str">
        <f>Etiquettes!$J$5</f>
        <v>2023-24</v>
      </c>
      <c r="H54" t="str">
        <f>Etiquettes!$C$4</f>
        <v>France entière</v>
      </c>
      <c r="I54" t="s">
        <v>1589</v>
      </c>
      <c r="J54"/>
      <c r="K54" t="s">
        <v>1591</v>
      </c>
      <c r="L54" s="26" t="str" cm="1">
        <f t="array" aca="1" ref="L54" ca="1">[1]!NOM_FEUILLE('Comext mensuel - EUROSTAT'!$A$1)</f>
        <v>Comext mensuel - EUROSTAT</v>
      </c>
      <c r="M54" s="26" t="str">
        <f>Etiquettes!$H$11</f>
        <v>Volume</v>
      </c>
      <c r="N54" t="str">
        <f t="shared" si="0"/>
        <v>Importation de grains = 1 kt (Douanes françaises - Eurostat)</v>
      </c>
      <c r="O54" s="26" t="str">
        <f>Etiquettes!$J$15</f>
        <v>Probable</v>
      </c>
      <c r="P54" s="603" t="str">
        <f>Etiquettes!$H$16</f>
        <v>Données collectées</v>
      </c>
      <c r="Q54" s="603" t="str">
        <f>Etiquettes!$H$17</f>
        <v>Donnée collectée (valeur du flux ou coefficient)</v>
      </c>
      <c r="S54" s="693"/>
    </row>
    <row r="55" spans="1:19">
      <c r="A55" t="str">
        <f>Produits!$B$4</f>
        <v>Grains collectés</v>
      </c>
      <c r="B55" t="str">
        <f>Secteurs!$B$56</f>
        <v>Exportations</v>
      </c>
      <c r="C55" s="86">
        <f>'Prétraitement échanges'!P79</f>
        <v>92.004195999999993</v>
      </c>
      <c r="E55" t="str">
        <f>Etiquettes!$C$3</f>
        <v>kt</v>
      </c>
      <c r="F55" s="26" t="str">
        <f>Etiquettes!$L$6</f>
        <v>Triticale</v>
      </c>
      <c r="G55" s="26" t="str">
        <f>Etiquettes!$J$5</f>
        <v>2023-24</v>
      </c>
      <c r="H55" t="str">
        <f>Etiquettes!$C$4</f>
        <v>France entière</v>
      </c>
      <c r="I55" t="s">
        <v>1590</v>
      </c>
      <c r="J55"/>
      <c r="K55" t="s">
        <v>1591</v>
      </c>
      <c r="L55" s="26" t="str" cm="1">
        <f t="array" aca="1" ref="L55" ca="1">[1]!NOM_FEUILLE('Comext mensuel - EUROSTAT'!$A$1)</f>
        <v>Comext mensuel - EUROSTAT</v>
      </c>
      <c r="M55" s="26" t="str">
        <f>Etiquettes!$H$11</f>
        <v>Volume</v>
      </c>
      <c r="N55" t="str">
        <f t="shared" si="0"/>
        <v>Exportation de grains = 92 kt (Douanes françaises - Eurostat)</v>
      </c>
      <c r="O55" s="26" t="str">
        <f>Etiquettes!$J$15</f>
        <v>Probable</v>
      </c>
      <c r="P55" s="603" t="str">
        <f>Etiquettes!$H$16</f>
        <v>Données collectées</v>
      </c>
      <c r="Q55" s="603" t="str">
        <f>Etiquettes!$H$17</f>
        <v>Donnée collectée (valeur du flux ou coefficient)</v>
      </c>
      <c r="S55" s="693"/>
    </row>
    <row r="56" spans="1:19">
      <c r="A56" t="str">
        <f>Secteurs!$B$55</f>
        <v>Importations</v>
      </c>
      <c r="B56" t="str">
        <f>Produits!$B$4</f>
        <v>Grains collectés</v>
      </c>
      <c r="C56" s="86">
        <f>SUM('Prétraitement échanges'!K24:K38)+'Prétraitement échanges'!K23</f>
        <v>11.704130000000001</v>
      </c>
      <c r="E56" t="str">
        <f>Etiquettes!$C$3</f>
        <v>kt</v>
      </c>
      <c r="F56" s="26" t="str">
        <f>Etiquettes!$Q$6</f>
        <v>Riz</v>
      </c>
      <c r="G56" s="26" t="str">
        <f>Etiquettes!$H$5</f>
        <v>2015-16</v>
      </c>
      <c r="H56" t="str">
        <f>Etiquettes!$C$4</f>
        <v>France entière</v>
      </c>
      <c r="I56" t="s">
        <v>1589</v>
      </c>
      <c r="J56"/>
      <c r="K56" t="s">
        <v>1591</v>
      </c>
      <c r="L56" s="26" t="str" cm="1">
        <f t="array" aca="1" ref="L56" ca="1">[1]!NOM_FEUILLE('Comext mensuel - EUROSTAT'!$A$1)</f>
        <v>Comext mensuel - EUROSTAT</v>
      </c>
      <c r="M56" s="26" t="str">
        <f>Etiquettes!$H$11</f>
        <v>Volume</v>
      </c>
      <c r="N56" t="str">
        <f t="shared" si="0"/>
        <v>Importation de grains = 12 kt (Douanes françaises - Eurostat)</v>
      </c>
      <c r="O56" s="26" t="str">
        <f>Etiquettes!$J$15</f>
        <v>Probable</v>
      </c>
      <c r="P56" s="603" t="str">
        <f>Etiquettes!$H$16</f>
        <v>Données collectées</v>
      </c>
      <c r="Q56" s="603" t="str">
        <f>Etiquettes!$H$17</f>
        <v>Donnée collectée (valeur du flux ou coefficient)</v>
      </c>
      <c r="S56" s="693"/>
    </row>
    <row r="57" spans="1:19">
      <c r="A57" t="str">
        <f>Produits!$B$4</f>
        <v>Grains collectés</v>
      </c>
      <c r="B57" t="str">
        <f>Secteurs!$B$56</f>
        <v>Exportations</v>
      </c>
      <c r="C57" s="86">
        <f>SUM('Prétraitement échanges'!L24:L38)+'Prétraitement échanges'!L23</f>
        <v>10.706160000000001</v>
      </c>
      <c r="E57" t="str">
        <f>Etiquettes!$C$3</f>
        <v>kt</v>
      </c>
      <c r="F57" s="26" t="str">
        <f>Etiquettes!$Q$6</f>
        <v>Riz</v>
      </c>
      <c r="G57" s="26" t="str">
        <f>Etiquettes!$H$5</f>
        <v>2015-16</v>
      </c>
      <c r="H57" t="str">
        <f>Etiquettes!$C$4</f>
        <v>France entière</v>
      </c>
      <c r="I57" t="s">
        <v>1590</v>
      </c>
      <c r="J57"/>
      <c r="K57" t="s">
        <v>1591</v>
      </c>
      <c r="L57" s="26" t="str" cm="1">
        <f t="array" aca="1" ref="L57" ca="1">[1]!NOM_FEUILLE('Comext mensuel - EUROSTAT'!$A$1)</f>
        <v>Comext mensuel - EUROSTAT</v>
      </c>
      <c r="M57" s="26" t="str">
        <f>Etiquettes!$H$11</f>
        <v>Volume</v>
      </c>
      <c r="N57" t="str">
        <f t="shared" si="0"/>
        <v>Exportation de grains = 11 kt (Douanes françaises - Eurostat)</v>
      </c>
      <c r="O57" s="26" t="str">
        <f>Etiquettes!$J$15</f>
        <v>Probable</v>
      </c>
      <c r="P57" s="603" t="str">
        <f>Etiquettes!$H$16</f>
        <v>Données collectées</v>
      </c>
      <c r="Q57" s="603" t="str">
        <f>Etiquettes!$H$17</f>
        <v>Donnée collectée (valeur du flux ou coefficient)</v>
      </c>
      <c r="S57" s="693"/>
    </row>
    <row r="58" spans="1:19">
      <c r="A58" t="str">
        <f>Secteurs!$B$55</f>
        <v>Importations</v>
      </c>
      <c r="B58" t="str">
        <f>Produits!$B$4</f>
        <v>Grains collectés</v>
      </c>
      <c r="C58" s="86">
        <f>SUM('Prétraitement échanges'!M24:M38)+'Prétraitement échanges'!M23</f>
        <v>15.455976</v>
      </c>
      <c r="E58" t="str">
        <f>Etiquettes!$C$3</f>
        <v>kt</v>
      </c>
      <c r="F58" s="26" t="str">
        <f>Etiquettes!$Q$6</f>
        <v>Riz</v>
      </c>
      <c r="G58" s="26" t="str">
        <f>Etiquettes!$I$5</f>
        <v>2019-20</v>
      </c>
      <c r="H58" t="str">
        <f>Etiquettes!$C$4</f>
        <v>France entière</v>
      </c>
      <c r="I58" t="s">
        <v>1589</v>
      </c>
      <c r="J58"/>
      <c r="K58" t="s">
        <v>1591</v>
      </c>
      <c r="L58" s="26" t="str" cm="1">
        <f t="array" aca="1" ref="L58" ca="1">[1]!NOM_FEUILLE('Comext mensuel - EUROSTAT'!$A$1)</f>
        <v>Comext mensuel - EUROSTAT</v>
      </c>
      <c r="M58" s="26" t="str">
        <f>Etiquettes!$H$11</f>
        <v>Volume</v>
      </c>
      <c r="N58" t="str">
        <f t="shared" si="0"/>
        <v>Importation de grains = 15 kt (Douanes françaises - Eurostat)</v>
      </c>
      <c r="O58" s="26" t="str">
        <f>Etiquettes!$J$15</f>
        <v>Probable</v>
      </c>
      <c r="P58" s="603" t="str">
        <f>Etiquettes!$H$16</f>
        <v>Données collectées</v>
      </c>
      <c r="Q58" s="603" t="str">
        <f>Etiquettes!$H$17</f>
        <v>Donnée collectée (valeur du flux ou coefficient)</v>
      </c>
      <c r="S58" s="693"/>
    </row>
    <row r="59" spans="1:19">
      <c r="A59" t="str">
        <f>Produits!$B$4</f>
        <v>Grains collectés</v>
      </c>
      <c r="B59" t="str">
        <f>Secteurs!$B$56</f>
        <v>Exportations</v>
      </c>
      <c r="C59" s="86">
        <f>SUM('Prétraitement échanges'!N24:N38)+'Prétraitement échanges'!N23</f>
        <v>8.3856330000000003</v>
      </c>
      <c r="E59" t="str">
        <f>Etiquettes!$C$3</f>
        <v>kt</v>
      </c>
      <c r="F59" s="26" t="str">
        <f>Etiquettes!$Q$6</f>
        <v>Riz</v>
      </c>
      <c r="G59" s="26" t="str">
        <f>Etiquettes!$I$5</f>
        <v>2019-20</v>
      </c>
      <c r="H59" t="str">
        <f>Etiquettes!$C$4</f>
        <v>France entière</v>
      </c>
      <c r="I59" t="s">
        <v>1590</v>
      </c>
      <c r="J59"/>
      <c r="K59" t="s">
        <v>1591</v>
      </c>
      <c r="L59" s="26" t="str" cm="1">
        <f t="array" aca="1" ref="L59" ca="1">[1]!NOM_FEUILLE('Comext mensuel - EUROSTAT'!$A$1)</f>
        <v>Comext mensuel - EUROSTAT</v>
      </c>
      <c r="M59" s="26" t="str">
        <f>Etiquettes!$H$11</f>
        <v>Volume</v>
      </c>
      <c r="N59" t="str">
        <f t="shared" si="0"/>
        <v>Exportation de grains = 8 kt (Douanes françaises - Eurostat)</v>
      </c>
      <c r="O59" s="26" t="str">
        <f>Etiquettes!$J$15</f>
        <v>Probable</v>
      </c>
      <c r="P59" s="603" t="str">
        <f>Etiquettes!$H$16</f>
        <v>Données collectées</v>
      </c>
      <c r="Q59" s="603" t="str">
        <f>Etiquettes!$H$17</f>
        <v>Donnée collectée (valeur du flux ou coefficient)</v>
      </c>
      <c r="S59" s="693"/>
    </row>
    <row r="60" spans="1:19">
      <c r="A60" t="str">
        <f>Secteurs!$B$55</f>
        <v>Importations</v>
      </c>
      <c r="B60" t="str">
        <f>Produits!$B$4</f>
        <v>Grains collectés</v>
      </c>
      <c r="C60" s="86">
        <f>SUM('Prétraitement échanges'!O24:O38)+'Prétraitement échanges'!O23</f>
        <v>2.9085089999999996</v>
      </c>
      <c r="E60" t="str">
        <f>Etiquettes!$C$3</f>
        <v>kt</v>
      </c>
      <c r="F60" s="26" t="str">
        <f>Etiquettes!$Q$6</f>
        <v>Riz</v>
      </c>
      <c r="G60" s="26" t="str">
        <f>Etiquettes!$J$5</f>
        <v>2023-24</v>
      </c>
      <c r="H60" t="str">
        <f>Etiquettes!$C$4</f>
        <v>France entière</v>
      </c>
      <c r="I60" t="s">
        <v>1589</v>
      </c>
      <c r="J60"/>
      <c r="K60" t="s">
        <v>1591</v>
      </c>
      <c r="L60" s="26" t="str" cm="1">
        <f t="array" aca="1" ref="L60" ca="1">[1]!NOM_FEUILLE('Comext mensuel - EUROSTAT'!$A$1)</f>
        <v>Comext mensuel - EUROSTAT</v>
      </c>
      <c r="M60" s="26" t="str">
        <f>Etiquettes!$H$11</f>
        <v>Volume</v>
      </c>
      <c r="N60" t="str">
        <f t="shared" si="0"/>
        <v>Importation de grains = 3 kt (Douanes françaises - Eurostat)</v>
      </c>
      <c r="O60" s="26" t="str">
        <f>Etiquettes!$J$15</f>
        <v>Probable</v>
      </c>
      <c r="P60" s="603" t="str">
        <f>Etiquettes!$H$16</f>
        <v>Données collectées</v>
      </c>
      <c r="Q60" s="603" t="str">
        <f>Etiquettes!$H$17</f>
        <v>Donnée collectée (valeur du flux ou coefficient)</v>
      </c>
      <c r="S60" s="693"/>
    </row>
    <row r="61" spans="1:19">
      <c r="A61" t="str">
        <f>Produits!$B$4</f>
        <v>Grains collectés</v>
      </c>
      <c r="B61" t="str">
        <f>Secteurs!$B$56</f>
        <v>Exportations</v>
      </c>
      <c r="C61" s="86">
        <f>SUM('Prétraitement échanges'!P24:P38)+'Prétraitement échanges'!P23</f>
        <v>6.1905780000000004</v>
      </c>
      <c r="E61" t="str">
        <f>Etiquettes!$C$3</f>
        <v>kt</v>
      </c>
      <c r="F61" s="26" t="str">
        <f>Etiquettes!$Q$6</f>
        <v>Riz</v>
      </c>
      <c r="G61" s="26" t="str">
        <f>Etiquettes!$J$5</f>
        <v>2023-24</v>
      </c>
      <c r="H61" t="str">
        <f>Etiquettes!$C$4</f>
        <v>France entière</v>
      </c>
      <c r="I61" t="s">
        <v>1590</v>
      </c>
      <c r="J61"/>
      <c r="K61" t="s">
        <v>1591</v>
      </c>
      <c r="L61" s="26" t="str" cm="1">
        <f t="array" aca="1" ref="L61" ca="1">[1]!NOM_FEUILLE('Comext mensuel - EUROSTAT'!$A$1)</f>
        <v>Comext mensuel - EUROSTAT</v>
      </c>
      <c r="M61" s="26" t="str">
        <f>Etiquettes!$H$11</f>
        <v>Volume</v>
      </c>
      <c r="N61" t="str">
        <f t="shared" si="0"/>
        <v>Exportation de grains = 6 kt (Douanes françaises - Eurostat)</v>
      </c>
      <c r="O61" s="26" t="str">
        <f>Etiquettes!$J$15</f>
        <v>Probable</v>
      </c>
      <c r="P61" s="603" t="str">
        <f>Etiquettes!$H$16</f>
        <v>Données collectées</v>
      </c>
      <c r="Q61" s="603" t="str">
        <f>Etiquettes!$H$17</f>
        <v>Donnée collectée (valeur du flux ou coefficient)</v>
      </c>
      <c r="S61" s="693"/>
    </row>
    <row r="62" spans="1:19">
      <c r="A62" t="str">
        <f>Secteurs!$B$55</f>
        <v>Importations</v>
      </c>
      <c r="B62" t="str">
        <f>Produits!$B$45</f>
        <v>Riz décortiqué</v>
      </c>
      <c r="C62" s="86">
        <f>SUM('Prétraitement échanges'!K39:K48)</f>
        <v>102.27693099999999</v>
      </c>
      <c r="E62" t="str">
        <f>Etiquettes!$C$3</f>
        <v>kt</v>
      </c>
      <c r="F62" s="26" t="str">
        <f>Etiquettes!$Q$6</f>
        <v>Riz</v>
      </c>
      <c r="G62" s="26" t="str">
        <f>Etiquettes!$H$5</f>
        <v>2015-16</v>
      </c>
      <c r="H62" t="str">
        <f>Etiquettes!$C$4</f>
        <v>France entière</v>
      </c>
      <c r="I62" t="str">
        <f>_xlfn.CONCAT("Importation de ",B62)</f>
        <v>Importation de Riz décortiqué</v>
      </c>
      <c r="J62"/>
      <c r="K62" t="s">
        <v>1591</v>
      </c>
      <c r="L62" s="26" t="str" cm="1">
        <f t="array" aca="1" ref="L62" ca="1">[1]!NOM_FEUILLE('Comext mensuel - EUROSTAT'!$A$1)</f>
        <v>Comext mensuel - EUROSTAT</v>
      </c>
      <c r="M62" s="26" t="str">
        <f>Etiquettes!$H$11</f>
        <v>Volume</v>
      </c>
      <c r="N62" t="str">
        <f t="shared" si="0"/>
        <v>Importation de Riz décortiqué = 102 kt (Douanes françaises - Eurostat)</v>
      </c>
      <c r="O62" s="26" t="str">
        <f>Etiquettes!$J$15</f>
        <v>Probable</v>
      </c>
      <c r="P62" s="603" t="str">
        <f>Etiquettes!$H$16</f>
        <v>Données collectées</v>
      </c>
      <c r="Q62" s="603" t="str">
        <f>Etiquettes!$H$17</f>
        <v>Donnée collectée (valeur du flux ou coefficient)</v>
      </c>
      <c r="S62" s="693" t="s">
        <v>1492</v>
      </c>
    </row>
    <row r="63" spans="1:19">
      <c r="A63" t="str">
        <f>Produits!$B$45</f>
        <v>Riz décortiqué</v>
      </c>
      <c r="B63" t="str">
        <f>Secteurs!$B$56</f>
        <v>Exportations</v>
      </c>
      <c r="C63" s="86">
        <f>SUM('Prétraitement échanges'!L39:L48)</f>
        <v>5.9214000000000002</v>
      </c>
      <c r="E63" t="str">
        <f>Etiquettes!$C$3</f>
        <v>kt</v>
      </c>
      <c r="F63" s="26" t="str">
        <f>Etiquettes!$Q$6</f>
        <v>Riz</v>
      </c>
      <c r="G63" s="26" t="str">
        <f>Etiquettes!$H$5</f>
        <v>2015-16</v>
      </c>
      <c r="H63" t="str">
        <f>Etiquettes!$C$4</f>
        <v>France entière</v>
      </c>
      <c r="I63" t="str">
        <f>_xlfn.CONCAT("Exportation de ",A63)</f>
        <v>Exportation de Riz décortiqué</v>
      </c>
      <c r="J63"/>
      <c r="K63" t="s">
        <v>1591</v>
      </c>
      <c r="L63" s="26" t="str" cm="1">
        <f t="array" aca="1" ref="L63" ca="1">[1]!NOM_FEUILLE('Comext mensuel - EUROSTAT'!$A$1)</f>
        <v>Comext mensuel - EUROSTAT</v>
      </c>
      <c r="M63" s="26" t="str">
        <f>Etiquettes!$H$11</f>
        <v>Volume</v>
      </c>
      <c r="N63" t="str">
        <f t="shared" si="0"/>
        <v>Exportation de Riz décortiqué = 6 kt (Douanes françaises - Eurostat)</v>
      </c>
      <c r="O63" s="26" t="str">
        <f>Etiquettes!$J$15</f>
        <v>Probable</v>
      </c>
      <c r="P63" s="603" t="str">
        <f>Etiquettes!$H$16</f>
        <v>Données collectées</v>
      </c>
      <c r="Q63" s="603" t="str">
        <f>Etiquettes!$H$17</f>
        <v>Donnée collectée (valeur du flux ou coefficient)</v>
      </c>
      <c r="S63" s="693"/>
    </row>
    <row r="64" spans="1:19">
      <c r="A64" t="str">
        <f>Secteurs!$B$55</f>
        <v>Importations</v>
      </c>
      <c r="B64" t="str">
        <f>Produits!$B$45</f>
        <v>Riz décortiqué</v>
      </c>
      <c r="C64" s="86">
        <f>SUM('Prétraitement échanges'!M39:M48)</f>
        <v>99.635542000000001</v>
      </c>
      <c r="E64" t="str">
        <f>Etiquettes!$C$3</f>
        <v>kt</v>
      </c>
      <c r="F64" s="26" t="str">
        <f>Etiquettes!$Q$6</f>
        <v>Riz</v>
      </c>
      <c r="G64" s="26" t="str">
        <f>Etiquettes!$I$5</f>
        <v>2019-20</v>
      </c>
      <c r="H64" t="str">
        <f>Etiquettes!$C$4</f>
        <v>France entière</v>
      </c>
      <c r="I64" t="str">
        <f t="shared" ref="I64" si="1">_xlfn.CONCAT("Importation de ",B64)</f>
        <v>Importation de Riz décortiqué</v>
      </c>
      <c r="J64"/>
      <c r="K64" t="s">
        <v>1591</v>
      </c>
      <c r="L64" s="26" t="str" cm="1">
        <f t="array" aca="1" ref="L64" ca="1">[1]!NOM_FEUILLE('Comext mensuel - EUROSTAT'!$A$1)</f>
        <v>Comext mensuel - EUROSTAT</v>
      </c>
      <c r="M64" s="26" t="str">
        <f>Etiquettes!$H$11</f>
        <v>Volume</v>
      </c>
      <c r="N64" t="str">
        <f t="shared" si="0"/>
        <v>Importation de Riz décortiqué = 100 kt (Douanes françaises - Eurostat)</v>
      </c>
      <c r="O64" s="26" t="str">
        <f>Etiquettes!$J$15</f>
        <v>Probable</v>
      </c>
      <c r="P64" s="603" t="str">
        <f>Etiquettes!$H$16</f>
        <v>Données collectées</v>
      </c>
      <c r="Q64" s="603" t="str">
        <f>Etiquettes!$H$17</f>
        <v>Donnée collectée (valeur du flux ou coefficient)</v>
      </c>
      <c r="S64" s="693"/>
    </row>
    <row r="65" spans="1:19">
      <c r="A65" t="str">
        <f>Produits!$B$45</f>
        <v>Riz décortiqué</v>
      </c>
      <c r="B65" t="str">
        <f>Secteurs!$B$56</f>
        <v>Exportations</v>
      </c>
      <c r="C65" s="86">
        <f>SUM('Prétraitement échanges'!N39:N48)</f>
        <v>3.3862990000000002</v>
      </c>
      <c r="E65" t="str">
        <f>Etiquettes!$C$3</f>
        <v>kt</v>
      </c>
      <c r="F65" s="26" t="str">
        <f>Etiquettes!$Q$6</f>
        <v>Riz</v>
      </c>
      <c r="G65" s="26" t="str">
        <f>Etiquettes!$I$5</f>
        <v>2019-20</v>
      </c>
      <c r="H65" t="str">
        <f>Etiquettes!$C$4</f>
        <v>France entière</v>
      </c>
      <c r="I65" t="str">
        <f t="shared" ref="I65" si="2">_xlfn.CONCAT("Exportation de ",A65)</f>
        <v>Exportation de Riz décortiqué</v>
      </c>
      <c r="J65"/>
      <c r="K65" t="s">
        <v>1591</v>
      </c>
      <c r="L65" s="26" t="str" cm="1">
        <f t="array" aca="1" ref="L65" ca="1">[1]!NOM_FEUILLE('Comext mensuel - EUROSTAT'!$A$1)</f>
        <v>Comext mensuel - EUROSTAT</v>
      </c>
      <c r="M65" s="26" t="str">
        <f>Etiquettes!$H$11</f>
        <v>Volume</v>
      </c>
      <c r="N65" t="str">
        <f t="shared" si="0"/>
        <v>Exportation de Riz décortiqué = 3 kt (Douanes françaises - Eurostat)</v>
      </c>
      <c r="O65" s="26" t="str">
        <f>Etiquettes!$J$15</f>
        <v>Probable</v>
      </c>
      <c r="P65" s="603" t="str">
        <f>Etiquettes!$H$16</f>
        <v>Données collectées</v>
      </c>
      <c r="Q65" s="603" t="str">
        <f>Etiquettes!$H$17</f>
        <v>Donnée collectée (valeur du flux ou coefficient)</v>
      </c>
      <c r="S65" s="693"/>
    </row>
    <row r="66" spans="1:19">
      <c r="A66" t="str">
        <f>Secteurs!$B$55</f>
        <v>Importations</v>
      </c>
      <c r="B66" t="str">
        <f>Produits!$B$45</f>
        <v>Riz décortiqué</v>
      </c>
      <c r="C66" s="86">
        <f>SUM('Prétraitement échanges'!O39:O48)</f>
        <v>69.684213000000014</v>
      </c>
      <c r="E66" t="str">
        <f>Etiquettes!$C$3</f>
        <v>kt</v>
      </c>
      <c r="F66" s="26" t="str">
        <f>Etiquettes!$Q$6</f>
        <v>Riz</v>
      </c>
      <c r="G66" s="26" t="str">
        <f>Etiquettes!$J$5</f>
        <v>2023-24</v>
      </c>
      <c r="H66" t="str">
        <f>Etiquettes!$C$4</f>
        <v>France entière</v>
      </c>
      <c r="I66" t="str">
        <f t="shared" ref="I66" si="3">_xlfn.CONCAT("Importation de ",B66)</f>
        <v>Importation de Riz décortiqué</v>
      </c>
      <c r="J66"/>
      <c r="K66" t="s">
        <v>1591</v>
      </c>
      <c r="L66" s="26" t="str" cm="1">
        <f t="array" aca="1" ref="L66" ca="1">[1]!NOM_FEUILLE('Comext mensuel - EUROSTAT'!$A$1)</f>
        <v>Comext mensuel - EUROSTAT</v>
      </c>
      <c r="M66" s="26" t="str">
        <f>Etiquettes!$H$11</f>
        <v>Volume</v>
      </c>
      <c r="N66" t="str">
        <f t="shared" ref="N66" si="4">_xlfn.CONCAT(I66,IF(ISBLANK(C66),"",_xlfn.CONCAT(" = ",MROUND(C66,1)," ",E66))," (",K66,")")</f>
        <v>Importation de Riz décortiqué = 70 kt (Douanes françaises - Eurostat)</v>
      </c>
      <c r="O66" s="26" t="str">
        <f>Etiquettes!$J$15</f>
        <v>Probable</v>
      </c>
      <c r="P66" s="603" t="str">
        <f>Etiquettes!$H$16</f>
        <v>Données collectées</v>
      </c>
      <c r="Q66" s="603" t="str">
        <f>Etiquettes!$H$17</f>
        <v>Donnée collectée (valeur du flux ou coefficient)</v>
      </c>
      <c r="S66" s="693"/>
    </row>
    <row r="67" spans="1:19">
      <c r="A67" t="str">
        <f>Produits!$B$45</f>
        <v>Riz décortiqué</v>
      </c>
      <c r="B67" t="str">
        <f>Secteurs!$B$56</f>
        <v>Exportations</v>
      </c>
      <c r="C67" s="86">
        <f>SUM('Prétraitement échanges'!P39:P48)</f>
        <v>1.9115490000000002</v>
      </c>
      <c r="E67" t="str">
        <f>Etiquettes!$C$3</f>
        <v>kt</v>
      </c>
      <c r="F67" s="26" t="str">
        <f>Etiquettes!$Q$6</f>
        <v>Riz</v>
      </c>
      <c r="G67" s="26" t="str">
        <f>Etiquettes!$J$5</f>
        <v>2023-24</v>
      </c>
      <c r="H67" t="str">
        <f>Etiquettes!$C$4</f>
        <v>France entière</v>
      </c>
      <c r="I67" t="str">
        <f t="shared" ref="I67" si="5">_xlfn.CONCAT("Exportation de ",A67)</f>
        <v>Exportation de Riz décortiqué</v>
      </c>
      <c r="J67"/>
      <c r="K67" t="s">
        <v>1591</v>
      </c>
      <c r="L67" s="26" t="str" cm="1">
        <f t="array" aca="1" ref="L67" ca="1">[1]!NOM_FEUILLE('Comext mensuel - EUROSTAT'!$A$1)</f>
        <v>Comext mensuel - EUROSTAT</v>
      </c>
      <c r="M67" s="26" t="str">
        <f>Etiquettes!$H$11</f>
        <v>Volume</v>
      </c>
      <c r="N67" t="str">
        <f t="shared" ref="N67:N130" si="6">_xlfn.CONCAT(I67,IF(ISBLANK(C67),"",_xlfn.CONCAT(" = ",MROUND(C67,1)," ",E67))," (",K67,")")</f>
        <v>Exportation de Riz décortiqué = 2 kt (Douanes françaises - Eurostat)</v>
      </c>
      <c r="O67" s="26" t="str">
        <f>Etiquettes!$J$15</f>
        <v>Probable</v>
      </c>
      <c r="P67" s="603" t="str">
        <f>Etiquettes!$H$16</f>
        <v>Données collectées</v>
      </c>
      <c r="Q67" s="603" t="str">
        <f>Etiquettes!$H$17</f>
        <v>Donnée collectée (valeur du flux ou coefficient)</v>
      </c>
      <c r="S67" s="693"/>
    </row>
    <row r="68" spans="1:19">
      <c r="A68" t="str">
        <f>Secteurs!$B$55</f>
        <v>Importations</v>
      </c>
      <c r="B68" t="str">
        <f>Produits!$B$47</f>
        <v>Riz usiné</v>
      </c>
      <c r="C68" s="86">
        <f>SUM('Prétraitement échanges'!K49:K68)</f>
        <v>350.418589</v>
      </c>
      <c r="E68" t="str">
        <f>Etiquettes!$C$3</f>
        <v>kt</v>
      </c>
      <c r="F68" s="26" t="str">
        <f>Etiquettes!$Q$6</f>
        <v>Riz</v>
      </c>
      <c r="G68" s="26" t="str">
        <f>Etiquettes!$H$5</f>
        <v>2015-16</v>
      </c>
      <c r="H68" t="str">
        <f>Etiquettes!$C$4</f>
        <v>France entière</v>
      </c>
      <c r="I68" t="str">
        <f t="shared" ref="I68" si="7">_xlfn.CONCAT("Importation de ",B68)</f>
        <v>Importation de Riz usiné</v>
      </c>
      <c r="J68"/>
      <c r="K68" t="s">
        <v>1591</v>
      </c>
      <c r="L68" s="26" t="str" cm="1">
        <f t="array" aca="1" ref="L68" ca="1">[1]!NOM_FEUILLE('Comext mensuel - EUROSTAT'!$A$1)</f>
        <v>Comext mensuel - EUROSTAT</v>
      </c>
      <c r="M68" s="26" t="str">
        <f>Etiquettes!$H$11</f>
        <v>Volume</v>
      </c>
      <c r="N68" t="str">
        <f t="shared" si="6"/>
        <v>Importation de Riz usiné = 350 kt (Douanes françaises - Eurostat)</v>
      </c>
      <c r="O68" s="26" t="str">
        <f>Etiquettes!$J$15</f>
        <v>Probable</v>
      </c>
      <c r="P68" s="603" t="str">
        <f>Etiquettes!$H$16</f>
        <v>Données collectées</v>
      </c>
      <c r="Q68" s="603" t="str">
        <f>Etiquettes!$H$17</f>
        <v>Donnée collectée (valeur du flux ou coefficient)</v>
      </c>
      <c r="S68" s="693"/>
    </row>
    <row r="69" spans="1:19">
      <c r="A69" t="str">
        <f>Produits!$B$47</f>
        <v>Riz usiné</v>
      </c>
      <c r="B69" t="str">
        <f>Secteurs!$B$56</f>
        <v>Exportations</v>
      </c>
      <c r="C69" s="86">
        <f>SUM('Prétraitement échanges'!L49:L68)</f>
        <v>43.773997000000001</v>
      </c>
      <c r="E69" t="str">
        <f>Etiquettes!$C$3</f>
        <v>kt</v>
      </c>
      <c r="F69" s="26" t="str">
        <f>Etiquettes!$Q$6</f>
        <v>Riz</v>
      </c>
      <c r="G69" s="26" t="str">
        <f>Etiquettes!$H$5</f>
        <v>2015-16</v>
      </c>
      <c r="H69" t="str">
        <f>Etiquettes!$C$4</f>
        <v>France entière</v>
      </c>
      <c r="I69" t="str">
        <f t="shared" ref="I69" si="8">_xlfn.CONCAT("Exportation de ",A69)</f>
        <v>Exportation de Riz usiné</v>
      </c>
      <c r="J69"/>
      <c r="K69" t="s">
        <v>1591</v>
      </c>
      <c r="L69" s="26" t="str" cm="1">
        <f t="array" aca="1" ref="L69" ca="1">[1]!NOM_FEUILLE('Comext mensuel - EUROSTAT'!$A$1)</f>
        <v>Comext mensuel - EUROSTAT</v>
      </c>
      <c r="M69" s="26" t="str">
        <f>Etiquettes!$H$11</f>
        <v>Volume</v>
      </c>
      <c r="N69" t="str">
        <f t="shared" si="6"/>
        <v>Exportation de Riz usiné = 44 kt (Douanes françaises - Eurostat)</v>
      </c>
      <c r="O69" s="26" t="str">
        <f>Etiquettes!$J$15</f>
        <v>Probable</v>
      </c>
      <c r="P69" s="603" t="str">
        <f>Etiquettes!$H$16</f>
        <v>Données collectées</v>
      </c>
      <c r="Q69" s="603" t="str">
        <f>Etiquettes!$H$17</f>
        <v>Donnée collectée (valeur du flux ou coefficient)</v>
      </c>
      <c r="S69" s="693"/>
    </row>
    <row r="70" spans="1:19">
      <c r="A70" t="str">
        <f>Secteurs!$B$55</f>
        <v>Importations</v>
      </c>
      <c r="B70" t="str">
        <f>Produits!$B$47</f>
        <v>Riz usiné</v>
      </c>
      <c r="C70" s="86">
        <f>SUM('Prétraitement échanges'!M49:M68)</f>
        <v>395.245969</v>
      </c>
      <c r="E70" t="str">
        <f>Etiquettes!$C$3</f>
        <v>kt</v>
      </c>
      <c r="F70" s="26" t="str">
        <f>Etiquettes!$Q$6</f>
        <v>Riz</v>
      </c>
      <c r="G70" s="26" t="str">
        <f>Etiquettes!$I$5</f>
        <v>2019-20</v>
      </c>
      <c r="H70" t="str">
        <f>Etiquettes!$C$4</f>
        <v>France entière</v>
      </c>
      <c r="I70" t="str">
        <f t="shared" ref="I70" si="9">_xlfn.CONCAT("Importation de ",B70)</f>
        <v>Importation de Riz usiné</v>
      </c>
      <c r="J70"/>
      <c r="K70" t="s">
        <v>1591</v>
      </c>
      <c r="L70" s="26" t="str" cm="1">
        <f t="array" aca="1" ref="L70" ca="1">[1]!NOM_FEUILLE('Comext mensuel - EUROSTAT'!$A$1)</f>
        <v>Comext mensuel - EUROSTAT</v>
      </c>
      <c r="M70" s="26" t="str">
        <f>Etiquettes!$H$11</f>
        <v>Volume</v>
      </c>
      <c r="N70" t="str">
        <f t="shared" si="6"/>
        <v>Importation de Riz usiné = 395 kt (Douanes françaises - Eurostat)</v>
      </c>
      <c r="O70" s="26" t="str">
        <f>Etiquettes!$J$15</f>
        <v>Probable</v>
      </c>
      <c r="P70" s="603" t="str">
        <f>Etiquettes!$H$16</f>
        <v>Données collectées</v>
      </c>
      <c r="Q70" s="603" t="str">
        <f>Etiquettes!$H$17</f>
        <v>Donnée collectée (valeur du flux ou coefficient)</v>
      </c>
      <c r="S70" s="693"/>
    </row>
    <row r="71" spans="1:19">
      <c r="A71" t="str">
        <f>Produits!$B$47</f>
        <v>Riz usiné</v>
      </c>
      <c r="B71" t="str">
        <f>Secteurs!$B$56</f>
        <v>Exportations</v>
      </c>
      <c r="C71" s="86">
        <f>SUM('Prétraitement échanges'!N49:N68)</f>
        <v>34.262813999999999</v>
      </c>
      <c r="E71" t="str">
        <f>Etiquettes!$C$3</f>
        <v>kt</v>
      </c>
      <c r="F71" s="26" t="str">
        <f>Etiquettes!$Q$6</f>
        <v>Riz</v>
      </c>
      <c r="G71" s="26" t="str">
        <f>Etiquettes!$I$5</f>
        <v>2019-20</v>
      </c>
      <c r="H71" t="str">
        <f>Etiquettes!$C$4</f>
        <v>France entière</v>
      </c>
      <c r="I71" t="str">
        <f t="shared" ref="I71" si="10">_xlfn.CONCAT("Exportation de ",A71)</f>
        <v>Exportation de Riz usiné</v>
      </c>
      <c r="J71"/>
      <c r="K71" t="s">
        <v>1591</v>
      </c>
      <c r="L71" s="26" t="str" cm="1">
        <f t="array" aca="1" ref="L71" ca="1">[1]!NOM_FEUILLE('Comext mensuel - EUROSTAT'!$A$1)</f>
        <v>Comext mensuel - EUROSTAT</v>
      </c>
      <c r="M71" s="26" t="str">
        <f>Etiquettes!$H$11</f>
        <v>Volume</v>
      </c>
      <c r="N71" t="str">
        <f t="shared" si="6"/>
        <v>Exportation de Riz usiné = 34 kt (Douanes françaises - Eurostat)</v>
      </c>
      <c r="O71" s="26" t="str">
        <f>Etiquettes!$J$15</f>
        <v>Probable</v>
      </c>
      <c r="P71" s="603" t="str">
        <f>Etiquettes!$H$16</f>
        <v>Données collectées</v>
      </c>
      <c r="Q71" s="603" t="str">
        <f>Etiquettes!$H$17</f>
        <v>Donnée collectée (valeur du flux ou coefficient)</v>
      </c>
      <c r="S71" s="693"/>
    </row>
    <row r="72" spans="1:19">
      <c r="A72" t="str">
        <f>Secteurs!$B$55</f>
        <v>Importations</v>
      </c>
      <c r="B72" t="str">
        <f>Produits!$B$47</f>
        <v>Riz usiné</v>
      </c>
      <c r="C72" s="86">
        <f>SUM('Prétraitement échanges'!O49:O68)</f>
        <v>368.31670300000002</v>
      </c>
      <c r="E72" t="str">
        <f>Etiquettes!$C$3</f>
        <v>kt</v>
      </c>
      <c r="F72" s="26" t="str">
        <f>Etiquettes!$Q$6</f>
        <v>Riz</v>
      </c>
      <c r="G72" s="26" t="str">
        <f>Etiquettes!$J$5</f>
        <v>2023-24</v>
      </c>
      <c r="H72" t="str">
        <f>Etiquettes!$C$4</f>
        <v>France entière</v>
      </c>
      <c r="I72" t="str">
        <f t="shared" ref="I72" si="11">_xlfn.CONCAT("Importation de ",B72)</f>
        <v>Importation de Riz usiné</v>
      </c>
      <c r="J72"/>
      <c r="K72" t="s">
        <v>1591</v>
      </c>
      <c r="L72" s="26" t="str" cm="1">
        <f t="array" aca="1" ref="L72" ca="1">[1]!NOM_FEUILLE('Comext mensuel - EUROSTAT'!$A$1)</f>
        <v>Comext mensuel - EUROSTAT</v>
      </c>
      <c r="M72" s="26" t="str">
        <f>Etiquettes!$H$11</f>
        <v>Volume</v>
      </c>
      <c r="N72" t="str">
        <f t="shared" si="6"/>
        <v>Importation de Riz usiné = 368 kt (Douanes françaises - Eurostat)</v>
      </c>
      <c r="O72" s="26" t="str">
        <f>Etiquettes!$J$15</f>
        <v>Probable</v>
      </c>
      <c r="P72" s="603" t="str">
        <f>Etiquettes!$H$16</f>
        <v>Données collectées</v>
      </c>
      <c r="Q72" s="603" t="str">
        <f>Etiquettes!$H$17</f>
        <v>Donnée collectée (valeur du flux ou coefficient)</v>
      </c>
      <c r="S72" s="693"/>
    </row>
    <row r="73" spans="1:19">
      <c r="A73" t="str">
        <f>Produits!$B$47</f>
        <v>Riz usiné</v>
      </c>
      <c r="B73" t="str">
        <f>Secteurs!$B$56</f>
        <v>Exportations</v>
      </c>
      <c r="C73" s="86">
        <f>SUM('Prétraitement échanges'!P49:P68)</f>
        <v>26.169682000000002</v>
      </c>
      <c r="E73" t="str">
        <f>Etiquettes!$C$3</f>
        <v>kt</v>
      </c>
      <c r="F73" s="26" t="str">
        <f>Etiquettes!$Q$6</f>
        <v>Riz</v>
      </c>
      <c r="G73" s="26" t="str">
        <f>Etiquettes!$J$5</f>
        <v>2023-24</v>
      </c>
      <c r="H73" t="str">
        <f>Etiquettes!$C$4</f>
        <v>France entière</v>
      </c>
      <c r="I73" t="str">
        <f t="shared" ref="I73" si="12">_xlfn.CONCAT("Exportation de ",A73)</f>
        <v>Exportation de Riz usiné</v>
      </c>
      <c r="J73"/>
      <c r="K73" t="s">
        <v>1591</v>
      </c>
      <c r="L73" s="26" t="str" cm="1">
        <f t="array" aca="1" ref="L73" ca="1">[1]!NOM_FEUILLE('Comext mensuel - EUROSTAT'!$A$1)</f>
        <v>Comext mensuel - EUROSTAT</v>
      </c>
      <c r="M73" s="26" t="str">
        <f>Etiquettes!$H$11</f>
        <v>Volume</v>
      </c>
      <c r="N73" t="str">
        <f t="shared" si="6"/>
        <v>Exportation de Riz usiné = 26 kt (Douanes françaises - Eurostat)</v>
      </c>
      <c r="O73" s="26" t="str">
        <f>Etiquettes!$J$15</f>
        <v>Probable</v>
      </c>
      <c r="P73" s="603" t="str">
        <f>Etiquettes!$H$16</f>
        <v>Données collectées</v>
      </c>
      <c r="Q73" s="603" t="str">
        <f>Etiquettes!$H$17</f>
        <v>Donnée collectée (valeur du flux ou coefficient)</v>
      </c>
      <c r="S73" s="693"/>
    </row>
    <row r="74" spans="1:19">
      <c r="A74" t="str">
        <f>Secteurs!$B$55</f>
        <v>Importations</v>
      </c>
      <c r="B74" t="str">
        <f>Produits!$B$49</f>
        <v>Brisures de riz</v>
      </c>
      <c r="C74" s="86">
        <f>'Prétraitement échanges'!K69</f>
        <v>101.20356600000001</v>
      </c>
      <c r="E74" t="str">
        <f>Etiquettes!$C$3</f>
        <v>kt</v>
      </c>
      <c r="F74" s="26" t="str">
        <f>Etiquettes!$Q$6</f>
        <v>Riz</v>
      </c>
      <c r="G74" s="26" t="str">
        <f>Etiquettes!$H$5</f>
        <v>2015-16</v>
      </c>
      <c r="H74" t="str">
        <f>Etiquettes!$C$4</f>
        <v>France entière</v>
      </c>
      <c r="I74" t="str">
        <f t="shared" ref="I74" si="13">_xlfn.CONCAT("Importation de ",B74)</f>
        <v>Importation de Brisures de riz</v>
      </c>
      <c r="J74"/>
      <c r="K74" t="s">
        <v>1591</v>
      </c>
      <c r="L74" s="26" t="str" cm="1">
        <f t="array" aca="1" ref="L74" ca="1">[1]!NOM_FEUILLE('Comext mensuel - EUROSTAT'!$A$1)</f>
        <v>Comext mensuel - EUROSTAT</v>
      </c>
      <c r="M74" s="26" t="str">
        <f>Etiquettes!$H$11</f>
        <v>Volume</v>
      </c>
      <c r="N74" t="str">
        <f t="shared" si="6"/>
        <v>Importation de Brisures de riz = 101 kt (Douanes françaises - Eurostat)</v>
      </c>
      <c r="O74" s="26" t="str">
        <f>Etiquettes!$J$15</f>
        <v>Probable</v>
      </c>
      <c r="P74" s="603" t="str">
        <f>Etiquettes!$H$16</f>
        <v>Données collectées</v>
      </c>
      <c r="Q74" s="603" t="str">
        <f>Etiquettes!$H$17</f>
        <v>Donnée collectée (valeur du flux ou coefficient)</v>
      </c>
      <c r="S74" s="693"/>
    </row>
    <row r="75" spans="1:19">
      <c r="A75" t="str">
        <f>Produits!$B$49</f>
        <v>Brisures de riz</v>
      </c>
      <c r="B75" t="str">
        <f>Secteurs!$B$56</f>
        <v>Exportations</v>
      </c>
      <c r="C75" s="86">
        <f>'Prétraitement échanges'!L69</f>
        <v>5.9655300000000002</v>
      </c>
      <c r="E75" t="str">
        <f>Etiquettes!$C$3</f>
        <v>kt</v>
      </c>
      <c r="F75" s="26" t="str">
        <f>Etiquettes!$Q$6</f>
        <v>Riz</v>
      </c>
      <c r="G75" s="26" t="str">
        <f>Etiquettes!$H$5</f>
        <v>2015-16</v>
      </c>
      <c r="H75" t="str">
        <f>Etiquettes!$C$4</f>
        <v>France entière</v>
      </c>
      <c r="I75" t="str">
        <f t="shared" ref="I75" si="14">_xlfn.CONCAT("Exportation de ",A75)</f>
        <v>Exportation de Brisures de riz</v>
      </c>
      <c r="J75"/>
      <c r="K75" t="s">
        <v>1591</v>
      </c>
      <c r="L75" s="26" t="str" cm="1">
        <f t="array" aca="1" ref="L75" ca="1">[1]!NOM_FEUILLE('Comext mensuel - EUROSTAT'!$A$1)</f>
        <v>Comext mensuel - EUROSTAT</v>
      </c>
      <c r="M75" s="26" t="str">
        <f>Etiquettes!$H$11</f>
        <v>Volume</v>
      </c>
      <c r="N75" t="str">
        <f t="shared" si="6"/>
        <v>Exportation de Brisures de riz = 6 kt (Douanes françaises - Eurostat)</v>
      </c>
      <c r="O75" s="26" t="str">
        <f>Etiquettes!$J$15</f>
        <v>Probable</v>
      </c>
      <c r="P75" s="603" t="str">
        <f>Etiquettes!$H$16</f>
        <v>Données collectées</v>
      </c>
      <c r="Q75" s="603" t="str">
        <f>Etiquettes!$H$17</f>
        <v>Donnée collectée (valeur du flux ou coefficient)</v>
      </c>
      <c r="S75" s="693"/>
    </row>
    <row r="76" spans="1:19">
      <c r="A76" t="str">
        <f>Secteurs!$B$55</f>
        <v>Importations</v>
      </c>
      <c r="B76" t="str">
        <f>Produits!$B$49</f>
        <v>Brisures de riz</v>
      </c>
      <c r="C76" s="86">
        <f>'Prétraitement échanges'!M69</f>
        <v>121.25715100000001</v>
      </c>
      <c r="E76" t="str">
        <f>Etiquettes!$C$3</f>
        <v>kt</v>
      </c>
      <c r="F76" s="26" t="str">
        <f>Etiquettes!$Q$6</f>
        <v>Riz</v>
      </c>
      <c r="G76" s="26" t="str">
        <f>Etiquettes!$I$5</f>
        <v>2019-20</v>
      </c>
      <c r="H76" t="str">
        <f>Etiquettes!$C$4</f>
        <v>France entière</v>
      </c>
      <c r="I76" t="str">
        <f t="shared" ref="I76" si="15">_xlfn.CONCAT("Importation de ",B76)</f>
        <v>Importation de Brisures de riz</v>
      </c>
      <c r="J76"/>
      <c r="K76" t="s">
        <v>1591</v>
      </c>
      <c r="L76" s="26" t="str" cm="1">
        <f t="array" aca="1" ref="L76" ca="1">[1]!NOM_FEUILLE('Comext mensuel - EUROSTAT'!$A$1)</f>
        <v>Comext mensuel - EUROSTAT</v>
      </c>
      <c r="M76" s="26" t="str">
        <f>Etiquettes!$H$11</f>
        <v>Volume</v>
      </c>
      <c r="N76" t="str">
        <f t="shared" si="6"/>
        <v>Importation de Brisures de riz = 121 kt (Douanes françaises - Eurostat)</v>
      </c>
      <c r="O76" s="26" t="str">
        <f>Etiquettes!$J$15</f>
        <v>Probable</v>
      </c>
      <c r="P76" s="603" t="str">
        <f>Etiquettes!$H$16</f>
        <v>Données collectées</v>
      </c>
      <c r="Q76" s="603" t="str">
        <f>Etiquettes!$H$17</f>
        <v>Donnée collectée (valeur du flux ou coefficient)</v>
      </c>
      <c r="S76" s="693"/>
    </row>
    <row r="77" spans="1:19">
      <c r="A77" t="str">
        <f>Produits!$B$49</f>
        <v>Brisures de riz</v>
      </c>
      <c r="B77" t="str">
        <f>Secteurs!$B$56</f>
        <v>Exportations</v>
      </c>
      <c r="C77" s="86">
        <f>'Prétraitement échanges'!N69</f>
        <v>4.3957860000000002</v>
      </c>
      <c r="E77" t="str">
        <f>Etiquettes!$C$3</f>
        <v>kt</v>
      </c>
      <c r="F77" s="26" t="str">
        <f>Etiquettes!$Q$6</f>
        <v>Riz</v>
      </c>
      <c r="G77" s="26" t="str">
        <f>Etiquettes!$I$5</f>
        <v>2019-20</v>
      </c>
      <c r="H77" t="str">
        <f>Etiquettes!$C$4</f>
        <v>France entière</v>
      </c>
      <c r="I77" t="str">
        <f t="shared" ref="I77" si="16">_xlfn.CONCAT("Exportation de ",A77)</f>
        <v>Exportation de Brisures de riz</v>
      </c>
      <c r="J77"/>
      <c r="K77" t="s">
        <v>1591</v>
      </c>
      <c r="L77" s="26" t="str" cm="1">
        <f t="array" aca="1" ref="L77" ca="1">[1]!NOM_FEUILLE('Comext mensuel - EUROSTAT'!$A$1)</f>
        <v>Comext mensuel - EUROSTAT</v>
      </c>
      <c r="M77" s="26" t="str">
        <f>Etiquettes!$H$11</f>
        <v>Volume</v>
      </c>
      <c r="N77" t="str">
        <f t="shared" si="6"/>
        <v>Exportation de Brisures de riz = 4 kt (Douanes françaises - Eurostat)</v>
      </c>
      <c r="O77" s="26" t="str">
        <f>Etiquettes!$J$15</f>
        <v>Probable</v>
      </c>
      <c r="P77" s="603" t="str">
        <f>Etiquettes!$H$16</f>
        <v>Données collectées</v>
      </c>
      <c r="Q77" s="603" t="str">
        <f>Etiquettes!$H$17</f>
        <v>Donnée collectée (valeur du flux ou coefficient)</v>
      </c>
      <c r="S77" s="693"/>
    </row>
    <row r="78" spans="1:19">
      <c r="A78" t="str">
        <f>Secteurs!$B$55</f>
        <v>Importations</v>
      </c>
      <c r="B78" t="str">
        <f>Produits!$B$49</f>
        <v>Brisures de riz</v>
      </c>
      <c r="C78" s="86">
        <f>'Prétraitement échanges'!O69</f>
        <v>131.743584</v>
      </c>
      <c r="E78" t="str">
        <f>Etiquettes!$C$3</f>
        <v>kt</v>
      </c>
      <c r="F78" s="26" t="str">
        <f>Etiquettes!$Q$6</f>
        <v>Riz</v>
      </c>
      <c r="G78" s="26" t="str">
        <f>Etiquettes!$J$5</f>
        <v>2023-24</v>
      </c>
      <c r="H78" t="str">
        <f>Etiquettes!$C$4</f>
        <v>France entière</v>
      </c>
      <c r="I78" t="str">
        <f t="shared" ref="I78" si="17">_xlfn.CONCAT("Importation de ",B78)</f>
        <v>Importation de Brisures de riz</v>
      </c>
      <c r="J78"/>
      <c r="K78" t="s">
        <v>1591</v>
      </c>
      <c r="L78" s="26" t="str" cm="1">
        <f t="array" aca="1" ref="L78" ca="1">[1]!NOM_FEUILLE('Comext mensuel - EUROSTAT'!$A$1)</f>
        <v>Comext mensuel - EUROSTAT</v>
      </c>
      <c r="M78" s="26" t="str">
        <f>Etiquettes!$H$11</f>
        <v>Volume</v>
      </c>
      <c r="N78" t="str">
        <f t="shared" si="6"/>
        <v>Importation de Brisures de riz = 132 kt (Douanes françaises - Eurostat)</v>
      </c>
      <c r="O78" s="26" t="str">
        <f>Etiquettes!$J$15</f>
        <v>Probable</v>
      </c>
      <c r="P78" s="603" t="str">
        <f>Etiquettes!$H$16</f>
        <v>Données collectées</v>
      </c>
      <c r="Q78" s="603" t="str">
        <f>Etiquettes!$H$17</f>
        <v>Donnée collectée (valeur du flux ou coefficient)</v>
      </c>
      <c r="S78" s="693"/>
    </row>
    <row r="79" spans="1:19">
      <c r="A79" t="str">
        <f>Produits!$B$49</f>
        <v>Brisures de riz</v>
      </c>
      <c r="B79" t="str">
        <f>Secteurs!$B$56</f>
        <v>Exportations</v>
      </c>
      <c r="C79" s="86">
        <f>'Prétraitement échanges'!P69</f>
        <v>2.9302570000000001</v>
      </c>
      <c r="E79" t="str">
        <f>Etiquettes!$C$3</f>
        <v>kt</v>
      </c>
      <c r="F79" s="26" t="str">
        <f>Etiquettes!$Q$6</f>
        <v>Riz</v>
      </c>
      <c r="G79" s="26" t="str">
        <f>Etiquettes!$J$5</f>
        <v>2023-24</v>
      </c>
      <c r="H79" t="str">
        <f>Etiquettes!$C$4</f>
        <v>France entière</v>
      </c>
      <c r="I79" t="str">
        <f t="shared" ref="I79" si="18">_xlfn.CONCAT("Exportation de ",A79)</f>
        <v>Exportation de Brisures de riz</v>
      </c>
      <c r="J79"/>
      <c r="K79" t="s">
        <v>1591</v>
      </c>
      <c r="L79" s="26" t="str" cm="1">
        <f t="array" aca="1" ref="L79" ca="1">[1]!NOM_FEUILLE('Comext mensuel - EUROSTAT'!$A$1)</f>
        <v>Comext mensuel - EUROSTAT</v>
      </c>
      <c r="M79" s="26" t="str">
        <f>Etiquettes!$H$11</f>
        <v>Volume</v>
      </c>
      <c r="N79" t="str">
        <f t="shared" si="6"/>
        <v>Exportation de Brisures de riz = 3 kt (Douanes françaises - Eurostat)</v>
      </c>
      <c r="O79" s="26" t="str">
        <f>Etiquettes!$J$15</f>
        <v>Probable</v>
      </c>
      <c r="P79" s="603" t="str">
        <f>Etiquettes!$H$16</f>
        <v>Données collectées</v>
      </c>
      <c r="Q79" s="603" t="str">
        <f>Etiquettes!$H$17</f>
        <v>Donnée collectée (valeur du flux ou coefficient)</v>
      </c>
      <c r="S79" s="693"/>
    </row>
    <row r="80" spans="1:19">
      <c r="A80" t="str">
        <f>Secteurs!$B$55</f>
        <v>Importations</v>
      </c>
      <c r="B80" t="str">
        <f>Produits!$B$6</f>
        <v>Farine</v>
      </c>
      <c r="C80" s="86">
        <f>'Prétraitement échanges'!K82</f>
        <v>280.249506</v>
      </c>
      <c r="E80" t="str">
        <f>Etiquettes!$C$3</f>
        <v>kt</v>
      </c>
      <c r="F80" s="26" t="str">
        <f>Etiquettes!$H$6</f>
        <v>Blé tendre</v>
      </c>
      <c r="G80" s="26" t="str">
        <f>Etiquettes!$H$5</f>
        <v>2015-16</v>
      </c>
      <c r="H80" t="str">
        <f>Etiquettes!$C$4</f>
        <v>France entière</v>
      </c>
      <c r="I80" t="str">
        <f t="shared" ref="I80" si="19">_xlfn.CONCAT("Importation de ",B80)</f>
        <v>Importation de Farine</v>
      </c>
      <c r="J80"/>
      <c r="K80" t="s">
        <v>1591</v>
      </c>
      <c r="L80" s="26" t="str" cm="1">
        <f t="array" aca="1" ref="L80" ca="1">[1]!NOM_FEUILLE('Comext mensuel - EUROSTAT'!$A$1)</f>
        <v>Comext mensuel - EUROSTAT</v>
      </c>
      <c r="M80" s="26" t="str">
        <f>Etiquettes!$H$11</f>
        <v>Volume</v>
      </c>
      <c r="N80" t="str">
        <f t="shared" si="6"/>
        <v>Importation de Farine = 280 kt (Douanes françaises - Eurostat)</v>
      </c>
      <c r="O80" s="26" t="str">
        <f>Etiquettes!$J$15</f>
        <v>Probable</v>
      </c>
      <c r="P80" s="603" t="str">
        <f>Etiquettes!$H$16</f>
        <v>Données collectées</v>
      </c>
      <c r="Q80" s="603" t="str">
        <f>Etiquettes!$H$17</f>
        <v>Donnée collectée (valeur du flux ou coefficient)</v>
      </c>
      <c r="S80" s="693" t="s">
        <v>1377</v>
      </c>
    </row>
    <row r="81" spans="1:19">
      <c r="A81" t="str">
        <f>Produits!$B$6</f>
        <v>Farine</v>
      </c>
      <c r="B81" t="str">
        <f>Secteurs!$B$56</f>
        <v>Exportations</v>
      </c>
      <c r="C81" s="86">
        <f>'Prétraitement échanges'!L82</f>
        <v>358.79883099999995</v>
      </c>
      <c r="E81" t="str">
        <f>Etiquettes!$C$3</f>
        <v>kt</v>
      </c>
      <c r="F81" s="26" t="str">
        <f>Etiquettes!$H$6</f>
        <v>Blé tendre</v>
      </c>
      <c r="G81" s="26" t="str">
        <f>Etiquettes!$H$5</f>
        <v>2015-16</v>
      </c>
      <c r="H81" t="str">
        <f>Etiquettes!$C$4</f>
        <v>France entière</v>
      </c>
      <c r="I81" t="str">
        <f t="shared" ref="I81" si="20">_xlfn.CONCAT("Exportation de ",A81)</f>
        <v>Exportation de Farine</v>
      </c>
      <c r="J81"/>
      <c r="K81" t="s">
        <v>1591</v>
      </c>
      <c r="L81" s="26" t="str" cm="1">
        <f t="array" aca="1" ref="L81" ca="1">[1]!NOM_FEUILLE('Comext mensuel - EUROSTAT'!$A$1)</f>
        <v>Comext mensuel - EUROSTAT</v>
      </c>
      <c r="M81" s="26" t="str">
        <f>Etiquettes!$H$11</f>
        <v>Volume</v>
      </c>
      <c r="N81" t="str">
        <f t="shared" si="6"/>
        <v>Exportation de Farine = 359 kt (Douanes françaises - Eurostat)</v>
      </c>
      <c r="O81" s="26" t="str">
        <f>Etiquettes!$J$15</f>
        <v>Probable</v>
      </c>
      <c r="P81" s="603" t="str">
        <f>Etiquettes!$H$16</f>
        <v>Données collectées</v>
      </c>
      <c r="Q81" s="603" t="str">
        <f>Etiquettes!$H$17</f>
        <v>Donnée collectée (valeur du flux ou coefficient)</v>
      </c>
      <c r="S81" s="693"/>
    </row>
    <row r="82" spans="1:19">
      <c r="A82" t="str">
        <f>Secteurs!$B$55</f>
        <v>Importations</v>
      </c>
      <c r="B82" t="str">
        <f>Produits!$B$6</f>
        <v>Farine</v>
      </c>
      <c r="C82" s="86">
        <f>'Prétraitement échanges'!M82</f>
        <v>270.88833499999998</v>
      </c>
      <c r="E82" t="str">
        <f>Etiquettes!$C$3</f>
        <v>kt</v>
      </c>
      <c r="F82" s="26" t="str">
        <f>Etiquettes!$H$6</f>
        <v>Blé tendre</v>
      </c>
      <c r="G82" s="26" t="str">
        <f>Etiquettes!$I$5</f>
        <v>2019-20</v>
      </c>
      <c r="H82" t="str">
        <f>Etiquettes!$C$4</f>
        <v>France entière</v>
      </c>
      <c r="I82" t="str">
        <f t="shared" ref="I82" si="21">_xlfn.CONCAT("Importation de ",B82)</f>
        <v>Importation de Farine</v>
      </c>
      <c r="J82"/>
      <c r="K82" t="s">
        <v>1591</v>
      </c>
      <c r="L82" s="26" t="str" cm="1">
        <f t="array" aca="1" ref="L82" ca="1">[1]!NOM_FEUILLE('Comext mensuel - EUROSTAT'!$A$1)</f>
        <v>Comext mensuel - EUROSTAT</v>
      </c>
      <c r="M82" s="26" t="str">
        <f>Etiquettes!$H$11</f>
        <v>Volume</v>
      </c>
      <c r="N82" t="str">
        <f t="shared" si="6"/>
        <v>Importation de Farine = 271 kt (Douanes françaises - Eurostat)</v>
      </c>
      <c r="O82" s="26" t="str">
        <f>Etiquettes!$J$15</f>
        <v>Probable</v>
      </c>
      <c r="P82" s="603" t="str">
        <f>Etiquettes!$H$16</f>
        <v>Données collectées</v>
      </c>
      <c r="Q82" s="603" t="str">
        <f>Etiquettes!$H$17</f>
        <v>Donnée collectée (valeur du flux ou coefficient)</v>
      </c>
      <c r="S82" s="693"/>
    </row>
    <row r="83" spans="1:19">
      <c r="A83" t="str">
        <f>Produits!$B$6</f>
        <v>Farine</v>
      </c>
      <c r="B83" t="str">
        <f>Secteurs!$B$56</f>
        <v>Exportations</v>
      </c>
      <c r="C83" s="86">
        <f>'Prétraitement échanges'!N82</f>
        <v>167.29334199999997</v>
      </c>
      <c r="E83" t="str">
        <f>Etiquettes!$C$3</f>
        <v>kt</v>
      </c>
      <c r="F83" s="26" t="str">
        <f>Etiquettes!$H$6</f>
        <v>Blé tendre</v>
      </c>
      <c r="G83" s="26" t="str">
        <f>Etiquettes!$I$5</f>
        <v>2019-20</v>
      </c>
      <c r="H83" t="str">
        <f>Etiquettes!$C$4</f>
        <v>France entière</v>
      </c>
      <c r="I83" t="str">
        <f t="shared" ref="I83" si="22">_xlfn.CONCAT("Exportation de ",A83)</f>
        <v>Exportation de Farine</v>
      </c>
      <c r="J83"/>
      <c r="K83" t="s">
        <v>1591</v>
      </c>
      <c r="L83" s="26" t="str" cm="1">
        <f t="array" aca="1" ref="L83" ca="1">[1]!NOM_FEUILLE('Comext mensuel - EUROSTAT'!$A$1)</f>
        <v>Comext mensuel - EUROSTAT</v>
      </c>
      <c r="M83" s="26" t="str">
        <f>Etiquettes!$H$11</f>
        <v>Volume</v>
      </c>
      <c r="N83" t="str">
        <f t="shared" si="6"/>
        <v>Exportation de Farine = 167 kt (Douanes françaises - Eurostat)</v>
      </c>
      <c r="O83" s="26" t="str">
        <f>Etiquettes!$J$15</f>
        <v>Probable</v>
      </c>
      <c r="P83" s="603" t="str">
        <f>Etiquettes!$H$16</f>
        <v>Données collectées</v>
      </c>
      <c r="Q83" s="603" t="str">
        <f>Etiquettes!$H$17</f>
        <v>Donnée collectée (valeur du flux ou coefficient)</v>
      </c>
      <c r="S83" s="693"/>
    </row>
    <row r="84" spans="1:19">
      <c r="A84" t="str">
        <f>Secteurs!$B$55</f>
        <v>Importations</v>
      </c>
      <c r="B84" t="str">
        <f>Produits!$B$6</f>
        <v>Farine</v>
      </c>
      <c r="C84" s="86">
        <f>'Prétraitement échanges'!O82</f>
        <v>335.93975799999998</v>
      </c>
      <c r="E84" t="str">
        <f>Etiquettes!$C$3</f>
        <v>kt</v>
      </c>
      <c r="F84" s="26" t="str">
        <f>Etiquettes!$H$6</f>
        <v>Blé tendre</v>
      </c>
      <c r="G84" s="26" t="str">
        <f>Etiquettes!$J$5</f>
        <v>2023-24</v>
      </c>
      <c r="H84" t="str">
        <f>Etiquettes!$C$4</f>
        <v>France entière</v>
      </c>
      <c r="I84" t="str">
        <f t="shared" ref="I84:I146" si="23">_xlfn.CONCAT("Importation de ",B84)</f>
        <v>Importation de Farine</v>
      </c>
      <c r="J84"/>
      <c r="K84" t="s">
        <v>1591</v>
      </c>
      <c r="L84" s="26" t="str" cm="1">
        <f t="array" aca="1" ref="L84" ca="1">[1]!NOM_FEUILLE('Comext mensuel - EUROSTAT'!$A$1)</f>
        <v>Comext mensuel - EUROSTAT</v>
      </c>
      <c r="M84" s="26" t="str">
        <f>Etiquettes!$H$11</f>
        <v>Volume</v>
      </c>
      <c r="N84" t="str">
        <f t="shared" si="6"/>
        <v>Importation de Farine = 336 kt (Douanes françaises - Eurostat)</v>
      </c>
      <c r="O84" s="26" t="str">
        <f>Etiquettes!$J$15</f>
        <v>Probable</v>
      </c>
      <c r="P84" s="603" t="str">
        <f>Etiquettes!$H$16</f>
        <v>Données collectées</v>
      </c>
      <c r="Q84" s="603" t="str">
        <f>Etiquettes!$H$17</f>
        <v>Donnée collectée (valeur du flux ou coefficient)</v>
      </c>
      <c r="S84" s="693"/>
    </row>
    <row r="85" spans="1:19">
      <c r="A85" t="str">
        <f>Produits!$B$6</f>
        <v>Farine</v>
      </c>
      <c r="B85" t="str">
        <f>Secteurs!$B$56</f>
        <v>Exportations</v>
      </c>
      <c r="C85" s="86">
        <f>'Prétraitement échanges'!P82</f>
        <v>207.56335100000001</v>
      </c>
      <c r="E85" t="str">
        <f>Etiquettes!$C$3</f>
        <v>kt</v>
      </c>
      <c r="F85" s="26" t="str">
        <f>Etiquettes!$H$6</f>
        <v>Blé tendre</v>
      </c>
      <c r="G85" s="26" t="str">
        <f>Etiquettes!$J$5</f>
        <v>2023-24</v>
      </c>
      <c r="H85" t="str">
        <f>Etiquettes!$C$4</f>
        <v>France entière</v>
      </c>
      <c r="I85" t="str">
        <f t="shared" ref="I85:I147" si="24">_xlfn.CONCAT("Exportation de ",A85)</f>
        <v>Exportation de Farine</v>
      </c>
      <c r="J85"/>
      <c r="K85" t="s">
        <v>1591</v>
      </c>
      <c r="L85" s="26" t="str" cm="1">
        <f t="array" aca="1" ref="L85" ca="1">[1]!NOM_FEUILLE('Comext mensuel - EUROSTAT'!$A$1)</f>
        <v>Comext mensuel - EUROSTAT</v>
      </c>
      <c r="M85" s="26" t="str">
        <f>Etiquettes!$H$11</f>
        <v>Volume</v>
      </c>
      <c r="N85" t="str">
        <f t="shared" si="6"/>
        <v>Exportation de Farine = 208 kt (Douanes françaises - Eurostat)</v>
      </c>
      <c r="O85" s="26" t="str">
        <f>Etiquettes!$J$15</f>
        <v>Probable</v>
      </c>
      <c r="P85" s="603" t="str">
        <f>Etiquettes!$H$16</f>
        <v>Données collectées</v>
      </c>
      <c r="Q85" s="603" t="str">
        <f>Etiquettes!$H$17</f>
        <v>Donnée collectée (valeur du flux ou coefficient)</v>
      </c>
      <c r="S85" s="693"/>
    </row>
    <row r="86" spans="1:19">
      <c r="A86" t="str">
        <f>Secteurs!$B$55</f>
        <v>Importations</v>
      </c>
      <c r="B86" t="str">
        <f>Produits!$B$18</f>
        <v>Farine alimentaire</v>
      </c>
      <c r="C86" s="86">
        <f>'Prétraitement échanges'!K84+'Prétraitement échanges'!K85</f>
        <v>13.110822999999998</v>
      </c>
      <c r="E86" t="str">
        <f>Etiquettes!$C$3</f>
        <v>kt</v>
      </c>
      <c r="F86" s="26" t="str">
        <f>Etiquettes!$I$6</f>
        <v>Maïs</v>
      </c>
      <c r="G86" s="26" t="str">
        <f>Etiquettes!$H$5</f>
        <v>2015-16</v>
      </c>
      <c r="H86" t="str">
        <f>Etiquettes!$C$4</f>
        <v>France entière</v>
      </c>
      <c r="I86" t="str">
        <f t="shared" si="23"/>
        <v>Importation de Farine alimentaire</v>
      </c>
      <c r="J86"/>
      <c r="K86" t="s">
        <v>1591</v>
      </c>
      <c r="L86" s="26" t="str" cm="1">
        <f t="array" aca="1" ref="L86" ca="1">[1]!NOM_FEUILLE('Comext mensuel - EUROSTAT'!$A$1)</f>
        <v>Comext mensuel - EUROSTAT</v>
      </c>
      <c r="M86" s="26" t="str">
        <f>Etiquettes!$H$11</f>
        <v>Volume</v>
      </c>
      <c r="N86" t="str">
        <f t="shared" si="6"/>
        <v>Importation de Farine alimentaire = 13 kt (Douanes françaises - Eurostat)</v>
      </c>
      <c r="O86" s="26" t="str">
        <f>Etiquettes!$J$15</f>
        <v>Probable</v>
      </c>
      <c r="P86" s="603" t="str">
        <f>Etiquettes!$H$16</f>
        <v>Données collectées</v>
      </c>
      <c r="Q86" s="603" t="str">
        <f>Etiquettes!$H$17</f>
        <v>Donnée collectée (valeur du flux ou coefficient)</v>
      </c>
      <c r="S86" s="693"/>
    </row>
    <row r="87" spans="1:19">
      <c r="A87" t="str">
        <f>Produits!$B$18</f>
        <v>Farine alimentaire</v>
      </c>
      <c r="B87" t="str">
        <f>Secteurs!$B$56</f>
        <v>Exportations</v>
      </c>
      <c r="C87" s="86">
        <f>'Prétraitement échanges'!L84+'Prétraitement échanges'!L85</f>
        <v>42.491350999999995</v>
      </c>
      <c r="E87" t="str">
        <f>Etiquettes!$C$3</f>
        <v>kt</v>
      </c>
      <c r="F87" s="26" t="str">
        <f>Etiquettes!$I$6</f>
        <v>Maïs</v>
      </c>
      <c r="G87" s="26" t="str">
        <f>Etiquettes!$H$5</f>
        <v>2015-16</v>
      </c>
      <c r="H87" t="str">
        <f>Etiquettes!$C$4</f>
        <v>France entière</v>
      </c>
      <c r="I87" t="str">
        <f t="shared" si="24"/>
        <v>Exportation de Farine alimentaire</v>
      </c>
      <c r="J87"/>
      <c r="K87" t="s">
        <v>1591</v>
      </c>
      <c r="L87" s="26" t="str" cm="1">
        <f t="array" aca="1" ref="L87" ca="1">[1]!NOM_FEUILLE('Comext mensuel - EUROSTAT'!$A$1)</f>
        <v>Comext mensuel - EUROSTAT</v>
      </c>
      <c r="M87" s="26" t="str">
        <f>Etiquettes!$H$11</f>
        <v>Volume</v>
      </c>
      <c r="N87" t="str">
        <f t="shared" si="6"/>
        <v>Exportation de Farine alimentaire = 42 kt (Douanes françaises - Eurostat)</v>
      </c>
      <c r="O87" s="26" t="str">
        <f>Etiquettes!$J$15</f>
        <v>Probable</v>
      </c>
      <c r="P87" s="603" t="str">
        <f>Etiquettes!$H$16</f>
        <v>Données collectées</v>
      </c>
      <c r="Q87" s="603" t="str">
        <f>Etiquettes!$H$17</f>
        <v>Donnée collectée (valeur du flux ou coefficient)</v>
      </c>
      <c r="S87" s="693"/>
    </row>
    <row r="88" spans="1:19">
      <c r="A88" t="str">
        <f>Secteurs!$B$55</f>
        <v>Importations</v>
      </c>
      <c r="B88" t="str">
        <f>Produits!$B$18</f>
        <v>Farine alimentaire</v>
      </c>
      <c r="C88" s="86">
        <f>'Prétraitement échanges'!M84+'Prétraitement échanges'!M85</f>
        <v>22.583227000000001</v>
      </c>
      <c r="E88" t="str">
        <f>Etiquettes!$C$3</f>
        <v>kt</v>
      </c>
      <c r="F88" s="26" t="str">
        <f>Etiquettes!$I$6</f>
        <v>Maïs</v>
      </c>
      <c r="G88" s="26" t="str">
        <f>Etiquettes!$I$5</f>
        <v>2019-20</v>
      </c>
      <c r="H88" t="str">
        <f>Etiquettes!$C$4</f>
        <v>France entière</v>
      </c>
      <c r="I88" t="str">
        <f t="shared" si="23"/>
        <v>Importation de Farine alimentaire</v>
      </c>
      <c r="J88"/>
      <c r="K88" t="s">
        <v>1591</v>
      </c>
      <c r="L88" s="26" t="str" cm="1">
        <f t="array" aca="1" ref="L88" ca="1">[1]!NOM_FEUILLE('Comext mensuel - EUROSTAT'!$A$1)</f>
        <v>Comext mensuel - EUROSTAT</v>
      </c>
      <c r="M88" s="26" t="str">
        <f>Etiquettes!$H$11</f>
        <v>Volume</v>
      </c>
      <c r="N88" t="str">
        <f t="shared" si="6"/>
        <v>Importation de Farine alimentaire = 23 kt (Douanes françaises - Eurostat)</v>
      </c>
      <c r="O88" s="26" t="str">
        <f>Etiquettes!$J$15</f>
        <v>Probable</v>
      </c>
      <c r="P88" s="603" t="str">
        <f>Etiquettes!$H$16</f>
        <v>Données collectées</v>
      </c>
      <c r="Q88" s="603" t="str">
        <f>Etiquettes!$H$17</f>
        <v>Donnée collectée (valeur du flux ou coefficient)</v>
      </c>
      <c r="S88" s="693"/>
    </row>
    <row r="89" spans="1:19">
      <c r="A89" t="str">
        <f>Produits!$B$18</f>
        <v>Farine alimentaire</v>
      </c>
      <c r="B89" t="str">
        <f>Secteurs!$B$56</f>
        <v>Exportations</v>
      </c>
      <c r="C89" s="86">
        <f>'Prétraitement échanges'!N84+'Prétraitement échanges'!N85</f>
        <v>34.251477999999999</v>
      </c>
      <c r="E89" t="str">
        <f>Etiquettes!$C$3</f>
        <v>kt</v>
      </c>
      <c r="F89" s="26" t="str">
        <f>Etiquettes!$I$6</f>
        <v>Maïs</v>
      </c>
      <c r="G89" s="26" t="str">
        <f>Etiquettes!$I$5</f>
        <v>2019-20</v>
      </c>
      <c r="H89" t="str">
        <f>Etiquettes!$C$4</f>
        <v>France entière</v>
      </c>
      <c r="I89" t="str">
        <f t="shared" si="24"/>
        <v>Exportation de Farine alimentaire</v>
      </c>
      <c r="J89"/>
      <c r="K89" t="s">
        <v>1591</v>
      </c>
      <c r="L89" s="26" t="str" cm="1">
        <f t="array" aca="1" ref="L89" ca="1">[1]!NOM_FEUILLE('Comext mensuel - EUROSTAT'!$A$1)</f>
        <v>Comext mensuel - EUROSTAT</v>
      </c>
      <c r="M89" s="26" t="str">
        <f>Etiquettes!$H$11</f>
        <v>Volume</v>
      </c>
      <c r="N89" t="str">
        <f t="shared" si="6"/>
        <v>Exportation de Farine alimentaire = 34 kt (Douanes françaises - Eurostat)</v>
      </c>
      <c r="O89" s="26" t="str">
        <f>Etiquettes!$J$15</f>
        <v>Probable</v>
      </c>
      <c r="P89" s="603" t="str">
        <f>Etiquettes!$H$16</f>
        <v>Données collectées</v>
      </c>
      <c r="Q89" s="603" t="str">
        <f>Etiquettes!$H$17</f>
        <v>Donnée collectée (valeur du flux ou coefficient)</v>
      </c>
      <c r="S89" s="693"/>
    </row>
    <row r="90" spans="1:19">
      <c r="A90" t="str">
        <f>Secteurs!$B$55</f>
        <v>Importations</v>
      </c>
      <c r="B90" t="str">
        <f>Produits!$B$18</f>
        <v>Farine alimentaire</v>
      </c>
      <c r="C90" s="86">
        <f>'Prétraitement échanges'!O84+'Prétraitement échanges'!O85</f>
        <v>16.271890000000003</v>
      </c>
      <c r="E90" t="str">
        <f>Etiquettes!$C$3</f>
        <v>kt</v>
      </c>
      <c r="F90" s="26" t="str">
        <f>Etiquettes!$I$6</f>
        <v>Maïs</v>
      </c>
      <c r="G90" s="26" t="str">
        <f>Etiquettes!$J$5</f>
        <v>2023-24</v>
      </c>
      <c r="H90" t="str">
        <f>Etiquettes!$C$4</f>
        <v>France entière</v>
      </c>
      <c r="I90" t="str">
        <f t="shared" si="23"/>
        <v>Importation de Farine alimentaire</v>
      </c>
      <c r="J90"/>
      <c r="K90" t="s">
        <v>1591</v>
      </c>
      <c r="L90" s="26" t="str" cm="1">
        <f t="array" aca="1" ref="L90" ca="1">[1]!NOM_FEUILLE('Comext mensuel - EUROSTAT'!$A$1)</f>
        <v>Comext mensuel - EUROSTAT</v>
      </c>
      <c r="M90" s="26" t="str">
        <f>Etiquettes!$H$11</f>
        <v>Volume</v>
      </c>
      <c r="N90" t="str">
        <f t="shared" si="6"/>
        <v>Importation de Farine alimentaire = 16 kt (Douanes françaises - Eurostat)</v>
      </c>
      <c r="O90" s="26" t="str">
        <f>Etiquettes!$J$15</f>
        <v>Probable</v>
      </c>
      <c r="P90" s="603" t="str">
        <f>Etiquettes!$H$16</f>
        <v>Données collectées</v>
      </c>
      <c r="Q90" s="603" t="str">
        <f>Etiquettes!$H$17</f>
        <v>Donnée collectée (valeur du flux ou coefficient)</v>
      </c>
      <c r="S90" s="693"/>
    </row>
    <row r="91" spans="1:19">
      <c r="A91" t="str">
        <f>Produits!$B$18</f>
        <v>Farine alimentaire</v>
      </c>
      <c r="B91" t="str">
        <f>Secteurs!$B$56</f>
        <v>Exportations</v>
      </c>
      <c r="C91" s="86">
        <f>'Prétraitement échanges'!P84+'Prétraitement échanges'!P85</f>
        <v>30.416560999999998</v>
      </c>
      <c r="E91" t="str">
        <f>Etiquettes!$C$3</f>
        <v>kt</v>
      </c>
      <c r="F91" s="26" t="str">
        <f>Etiquettes!$I$6</f>
        <v>Maïs</v>
      </c>
      <c r="G91" s="26" t="str">
        <f>Etiquettes!$J$5</f>
        <v>2023-24</v>
      </c>
      <c r="H91" t="str">
        <f>Etiquettes!$C$4</f>
        <v>France entière</v>
      </c>
      <c r="I91" t="str">
        <f t="shared" si="24"/>
        <v>Exportation de Farine alimentaire</v>
      </c>
      <c r="J91"/>
      <c r="K91" t="s">
        <v>1591</v>
      </c>
      <c r="L91" s="26" t="str" cm="1">
        <f t="array" aca="1" ref="L91" ca="1">[1]!NOM_FEUILLE('Comext mensuel - EUROSTAT'!$A$1)</f>
        <v>Comext mensuel - EUROSTAT</v>
      </c>
      <c r="M91" s="26" t="str">
        <f>Etiquettes!$H$11</f>
        <v>Volume</v>
      </c>
      <c r="N91" t="str">
        <f t="shared" si="6"/>
        <v>Exportation de Farine alimentaire = 30 kt (Douanes françaises - Eurostat)</v>
      </c>
      <c r="O91" s="26" t="str">
        <f>Etiquettes!$J$15</f>
        <v>Probable</v>
      </c>
      <c r="P91" s="603" t="str">
        <f>Etiquettes!$H$16</f>
        <v>Données collectées</v>
      </c>
      <c r="Q91" s="603" t="str">
        <f>Etiquettes!$H$17</f>
        <v>Donnée collectée (valeur du flux ou coefficient)</v>
      </c>
      <c r="S91" s="693"/>
    </row>
    <row r="92" spans="1:19">
      <c r="A92" t="str">
        <f>Secteurs!$B$55</f>
        <v>Importations</v>
      </c>
      <c r="B92" t="str">
        <f>Produits!$B$6</f>
        <v>Farine</v>
      </c>
      <c r="C92" s="86">
        <f>'Prétraitement échanges'!K89</f>
        <v>12.239141999999999</v>
      </c>
      <c r="E92" t="str">
        <f>Etiquettes!$C$3</f>
        <v>kt</v>
      </c>
      <c r="F92" s="26" t="str">
        <f>Etiquettes!$O$6</f>
        <v>Seigle</v>
      </c>
      <c r="G92" s="26" t="str">
        <f>Etiquettes!$H$5</f>
        <v>2015-16</v>
      </c>
      <c r="H92" t="str">
        <f>Etiquettes!$C$4</f>
        <v>France entière</v>
      </c>
      <c r="I92" t="str">
        <f t="shared" si="23"/>
        <v>Importation de Farine</v>
      </c>
      <c r="J92"/>
      <c r="K92" t="s">
        <v>1591</v>
      </c>
      <c r="L92" s="26" t="str" cm="1">
        <f t="array" aca="1" ref="L92" ca="1">[1]!NOM_FEUILLE('Comext mensuel - EUROSTAT'!$A$1)</f>
        <v>Comext mensuel - EUROSTAT</v>
      </c>
      <c r="M92" s="26" t="str">
        <f>Etiquettes!$H$11</f>
        <v>Volume</v>
      </c>
      <c r="N92" t="str">
        <f t="shared" si="6"/>
        <v>Importation de Farine = 12 kt (Douanes françaises - Eurostat)</v>
      </c>
      <c r="O92" s="26" t="str">
        <f>Etiquettes!$J$15</f>
        <v>Probable</v>
      </c>
      <c r="P92" s="603" t="str">
        <f>Etiquettes!$H$16</f>
        <v>Données collectées</v>
      </c>
      <c r="Q92" s="603" t="str">
        <f>Etiquettes!$H$17</f>
        <v>Donnée collectée (valeur du flux ou coefficient)</v>
      </c>
      <c r="S92" s="693"/>
    </row>
    <row r="93" spans="1:19">
      <c r="A93" t="str">
        <f>Produits!$B$6</f>
        <v>Farine</v>
      </c>
      <c r="B93" t="str">
        <f>Secteurs!$B$56</f>
        <v>Exportations</v>
      </c>
      <c r="C93" s="86">
        <f>'Prétraitement échanges'!L89</f>
        <v>1.2014550000000004</v>
      </c>
      <c r="E93" t="str">
        <f>Etiquettes!$C$3</f>
        <v>kt</v>
      </c>
      <c r="F93" s="26" t="str">
        <f>Etiquettes!$O$6</f>
        <v>Seigle</v>
      </c>
      <c r="G93" s="26" t="str">
        <f>Etiquettes!$H$5</f>
        <v>2015-16</v>
      </c>
      <c r="H93" t="str">
        <f>Etiquettes!$C$4</f>
        <v>France entière</v>
      </c>
      <c r="I93" t="str">
        <f t="shared" si="24"/>
        <v>Exportation de Farine</v>
      </c>
      <c r="J93"/>
      <c r="K93" t="s">
        <v>1591</v>
      </c>
      <c r="L93" s="26" t="str" cm="1">
        <f t="array" aca="1" ref="L93" ca="1">[1]!NOM_FEUILLE('Comext mensuel - EUROSTAT'!$A$1)</f>
        <v>Comext mensuel - EUROSTAT</v>
      </c>
      <c r="M93" s="26" t="str">
        <f>Etiquettes!$H$11</f>
        <v>Volume</v>
      </c>
      <c r="N93" t="str">
        <f t="shared" si="6"/>
        <v>Exportation de Farine = 1 kt (Douanes françaises - Eurostat)</v>
      </c>
      <c r="O93" s="26" t="str">
        <f>Etiquettes!$J$15</f>
        <v>Probable</v>
      </c>
      <c r="P93" s="603" t="str">
        <f>Etiquettes!$H$16</f>
        <v>Données collectées</v>
      </c>
      <c r="Q93" s="603" t="str">
        <f>Etiquettes!$H$17</f>
        <v>Donnée collectée (valeur du flux ou coefficient)</v>
      </c>
      <c r="S93" s="693"/>
    </row>
    <row r="94" spans="1:19">
      <c r="A94" t="str">
        <f>Secteurs!$B$55</f>
        <v>Importations</v>
      </c>
      <c r="B94" t="str">
        <f>Produits!$B$6</f>
        <v>Farine</v>
      </c>
      <c r="C94" s="86">
        <f>'Prétraitement échanges'!M89</f>
        <v>9.3683099999999992</v>
      </c>
      <c r="E94" t="str">
        <f>Etiquettes!$C$3</f>
        <v>kt</v>
      </c>
      <c r="F94" s="26" t="str">
        <f>Etiquettes!$O$6</f>
        <v>Seigle</v>
      </c>
      <c r="G94" s="26" t="str">
        <f>Etiquettes!$I$5</f>
        <v>2019-20</v>
      </c>
      <c r="H94" t="str">
        <f>Etiquettes!$C$4</f>
        <v>France entière</v>
      </c>
      <c r="I94" t="str">
        <f t="shared" si="23"/>
        <v>Importation de Farine</v>
      </c>
      <c r="J94"/>
      <c r="K94" t="s">
        <v>1591</v>
      </c>
      <c r="L94" s="26" t="str" cm="1">
        <f t="array" aca="1" ref="L94" ca="1">[1]!NOM_FEUILLE('Comext mensuel - EUROSTAT'!$A$1)</f>
        <v>Comext mensuel - EUROSTAT</v>
      </c>
      <c r="M94" s="26" t="str">
        <f>Etiquettes!$H$11</f>
        <v>Volume</v>
      </c>
      <c r="N94" t="str">
        <f t="shared" si="6"/>
        <v>Importation de Farine = 9 kt (Douanes françaises - Eurostat)</v>
      </c>
      <c r="O94" s="26" t="str">
        <f>Etiquettes!$J$15</f>
        <v>Probable</v>
      </c>
      <c r="P94" s="603" t="str">
        <f>Etiquettes!$H$16</f>
        <v>Données collectées</v>
      </c>
      <c r="Q94" s="603" t="str">
        <f>Etiquettes!$H$17</f>
        <v>Donnée collectée (valeur du flux ou coefficient)</v>
      </c>
      <c r="S94" s="693"/>
    </row>
    <row r="95" spans="1:19">
      <c r="A95" t="str">
        <f>Produits!$B$6</f>
        <v>Farine</v>
      </c>
      <c r="B95" t="str">
        <f>Secteurs!$B$56</f>
        <v>Exportations</v>
      </c>
      <c r="C95" s="86">
        <f>'Prétraitement échanges'!N89</f>
        <v>0.90252800000000011</v>
      </c>
      <c r="E95" t="str">
        <f>Etiquettes!$C$3</f>
        <v>kt</v>
      </c>
      <c r="F95" s="26" t="str">
        <f>Etiquettes!$O$6</f>
        <v>Seigle</v>
      </c>
      <c r="G95" s="26" t="str">
        <f>Etiquettes!$I$5</f>
        <v>2019-20</v>
      </c>
      <c r="H95" t="str">
        <f>Etiquettes!$C$4</f>
        <v>France entière</v>
      </c>
      <c r="I95" t="str">
        <f t="shared" si="24"/>
        <v>Exportation de Farine</v>
      </c>
      <c r="J95"/>
      <c r="K95" t="s">
        <v>1591</v>
      </c>
      <c r="L95" s="26" t="str" cm="1">
        <f t="array" aca="1" ref="L95" ca="1">[1]!NOM_FEUILLE('Comext mensuel - EUROSTAT'!$A$1)</f>
        <v>Comext mensuel - EUROSTAT</v>
      </c>
      <c r="M95" s="26" t="str">
        <f>Etiquettes!$H$11</f>
        <v>Volume</v>
      </c>
      <c r="N95" t="str">
        <f t="shared" si="6"/>
        <v>Exportation de Farine = 1 kt (Douanes françaises - Eurostat)</v>
      </c>
      <c r="O95" s="26" t="str">
        <f>Etiquettes!$J$15</f>
        <v>Probable</v>
      </c>
      <c r="P95" s="603" t="str">
        <f>Etiquettes!$H$16</f>
        <v>Données collectées</v>
      </c>
      <c r="Q95" s="603" t="str">
        <f>Etiquettes!$H$17</f>
        <v>Donnée collectée (valeur du flux ou coefficient)</v>
      </c>
      <c r="S95" s="693"/>
    </row>
    <row r="96" spans="1:19">
      <c r="A96" t="str">
        <f>Secteurs!$B$55</f>
        <v>Importations</v>
      </c>
      <c r="B96" t="str">
        <f>Produits!$B$6</f>
        <v>Farine</v>
      </c>
      <c r="C96" s="86">
        <f>'Prétraitement échanges'!O89</f>
        <v>7.2872330000000005</v>
      </c>
      <c r="E96" t="str">
        <f>Etiquettes!$C$3</f>
        <v>kt</v>
      </c>
      <c r="F96" s="26" t="str">
        <f>Etiquettes!$O$6</f>
        <v>Seigle</v>
      </c>
      <c r="G96" s="26" t="str">
        <f>Etiquettes!$J$5</f>
        <v>2023-24</v>
      </c>
      <c r="H96" t="str">
        <f>Etiquettes!$C$4</f>
        <v>France entière</v>
      </c>
      <c r="I96" t="str">
        <f t="shared" si="23"/>
        <v>Importation de Farine</v>
      </c>
      <c r="J96"/>
      <c r="K96" t="s">
        <v>1591</v>
      </c>
      <c r="L96" s="26" t="str" cm="1">
        <f t="array" aca="1" ref="L96" ca="1">[1]!NOM_FEUILLE('Comext mensuel - EUROSTAT'!$A$1)</f>
        <v>Comext mensuel - EUROSTAT</v>
      </c>
      <c r="M96" s="26" t="str">
        <f>Etiquettes!$H$11</f>
        <v>Volume</v>
      </c>
      <c r="N96" t="str">
        <f t="shared" si="6"/>
        <v>Importation de Farine = 7 kt (Douanes françaises - Eurostat)</v>
      </c>
      <c r="O96" s="26" t="str">
        <f>Etiquettes!$J$15</f>
        <v>Probable</v>
      </c>
      <c r="P96" s="603" t="str">
        <f>Etiquettes!$H$16</f>
        <v>Données collectées</v>
      </c>
      <c r="Q96" s="603" t="str">
        <f>Etiquettes!$H$17</f>
        <v>Donnée collectée (valeur du flux ou coefficient)</v>
      </c>
      <c r="S96" s="693"/>
    </row>
    <row r="97" spans="1:19">
      <c r="A97" t="str">
        <f>Produits!$B$6</f>
        <v>Farine</v>
      </c>
      <c r="B97" t="str">
        <f>Secteurs!$B$56</f>
        <v>Exportations</v>
      </c>
      <c r="C97" s="86">
        <f>'Prétraitement échanges'!P89</f>
        <v>2.053696</v>
      </c>
      <c r="E97" t="str">
        <f>Etiquettes!$C$3</f>
        <v>kt</v>
      </c>
      <c r="F97" s="26" t="str">
        <f>Etiquettes!$O$6</f>
        <v>Seigle</v>
      </c>
      <c r="G97" s="26" t="str">
        <f>Etiquettes!$J$5</f>
        <v>2023-24</v>
      </c>
      <c r="H97" t="str">
        <f>Etiquettes!$C$4</f>
        <v>France entière</v>
      </c>
      <c r="I97" t="str">
        <f t="shared" si="24"/>
        <v>Exportation de Farine</v>
      </c>
      <c r="J97"/>
      <c r="K97" t="s">
        <v>1591</v>
      </c>
      <c r="L97" s="26" t="str" cm="1">
        <f t="array" aca="1" ref="L97" ca="1">[1]!NOM_FEUILLE('Comext mensuel - EUROSTAT'!$A$1)</f>
        <v>Comext mensuel - EUROSTAT</v>
      </c>
      <c r="M97" s="26" t="str">
        <f>Etiquettes!$H$11</f>
        <v>Volume</v>
      </c>
      <c r="N97" t="str">
        <f t="shared" si="6"/>
        <v>Exportation de Farine = 2 kt (Douanes françaises - Eurostat)</v>
      </c>
      <c r="O97" s="26" t="str">
        <f>Etiquettes!$J$15</f>
        <v>Probable</v>
      </c>
      <c r="P97" s="603" t="str">
        <f>Etiquettes!$H$16</f>
        <v>Données collectées</v>
      </c>
      <c r="Q97" s="603" t="str">
        <f>Etiquettes!$H$17</f>
        <v>Donnée collectée (valeur du flux ou coefficient)</v>
      </c>
      <c r="S97" s="693"/>
    </row>
    <row r="98" spans="1:19">
      <c r="A98" t="str">
        <f>Secteurs!$B$55</f>
        <v>Importations</v>
      </c>
      <c r="B98" t="str">
        <f>Produits!$B$6</f>
        <v>Farine</v>
      </c>
      <c r="C98" s="571">
        <v>0</v>
      </c>
      <c r="E98" t="str">
        <f>Etiquettes!$C$3</f>
        <v>kt</v>
      </c>
      <c r="F98" s="26" t="s">
        <v>1711</v>
      </c>
      <c r="G98" s="26" t="str">
        <f>Etiquettes!$C$5</f>
        <v>2015-16:2019-20:2023-24</v>
      </c>
      <c r="H98" t="str">
        <f>Etiquettes!$C$4</f>
        <v>France entière</v>
      </c>
      <c r="I98"/>
      <c r="J98" t="s">
        <v>1712</v>
      </c>
      <c r="K98"/>
      <c r="P98" s="603"/>
      <c r="Q98" s="603"/>
      <c r="R98" s="144"/>
      <c r="S98" s="693"/>
    </row>
    <row r="99" spans="1:19">
      <c r="A99" t="str">
        <f>Produits!$B$6</f>
        <v>Farine</v>
      </c>
      <c r="B99" t="str">
        <f>Secteurs!$B$56</f>
        <v>Exportations</v>
      </c>
      <c r="C99" s="571">
        <v>0</v>
      </c>
      <c r="E99" t="str">
        <f>Etiquettes!$C$3</f>
        <v>kt</v>
      </c>
      <c r="F99" s="26" t="s">
        <v>1711</v>
      </c>
      <c r="G99" s="26" t="str">
        <f>Etiquettes!$C$5</f>
        <v>2015-16:2019-20:2023-24</v>
      </c>
      <c r="H99" t="str">
        <f>Etiquettes!$C$4</f>
        <v>France entière</v>
      </c>
      <c r="I99"/>
      <c r="J99" t="s">
        <v>1712</v>
      </c>
      <c r="K99"/>
      <c r="P99" s="603"/>
      <c r="Q99" s="603"/>
      <c r="R99" s="144"/>
      <c r="S99" s="693"/>
    </row>
    <row r="100" spans="1:19">
      <c r="A100" t="str">
        <f>Secteurs!$B$55</f>
        <v>Importations</v>
      </c>
      <c r="B100" t="str">
        <f>Produits!$B$17</f>
        <v>Semoule</v>
      </c>
      <c r="C100" s="86">
        <f>'Prétraitement échanges'!K91</f>
        <v>62.947578</v>
      </c>
      <c r="E100" t="str">
        <f>Etiquettes!$C$3</f>
        <v>kt</v>
      </c>
      <c r="F100" s="26" t="str">
        <f>Etiquettes!$K$6</f>
        <v>Blé dur</v>
      </c>
      <c r="G100" s="26" t="str">
        <f>Etiquettes!$H$5</f>
        <v>2015-16</v>
      </c>
      <c r="H100" t="str">
        <f>Etiquettes!$C$4</f>
        <v>France entière</v>
      </c>
      <c r="I100" t="str">
        <f t="shared" si="23"/>
        <v>Importation de Semoule</v>
      </c>
      <c r="J100"/>
      <c r="K100" t="s">
        <v>1591</v>
      </c>
      <c r="L100" s="26" t="str" cm="1">
        <f t="array" aca="1" ref="L100" ca="1">[1]!NOM_FEUILLE('Comext mensuel - EUROSTAT'!$A$1)</f>
        <v>Comext mensuel - EUROSTAT</v>
      </c>
      <c r="M100" s="26" t="str">
        <f>Etiquettes!$H$11</f>
        <v>Volume</v>
      </c>
      <c r="N100" t="str">
        <f t="shared" si="6"/>
        <v>Importation de Semoule = 63 kt (Douanes françaises - Eurostat)</v>
      </c>
      <c r="O100" s="26" t="str">
        <f>Etiquettes!$J$15</f>
        <v>Probable</v>
      </c>
      <c r="P100" s="603" t="str">
        <f>Etiquettes!$H$16</f>
        <v>Données collectées</v>
      </c>
      <c r="Q100" s="603" t="str">
        <f>Etiquettes!$H$17</f>
        <v>Donnée collectée (valeur du flux ou coefficient)</v>
      </c>
      <c r="S100" s="693" t="s">
        <v>1378</v>
      </c>
    </row>
    <row r="101" spans="1:19">
      <c r="A101" t="str">
        <f>Produits!$B$17</f>
        <v>Semoule</v>
      </c>
      <c r="B101" t="str">
        <f>Secteurs!$B$56</f>
        <v>Exportations</v>
      </c>
      <c r="C101" s="86">
        <f>'Prétraitement échanges'!L91</f>
        <v>84.848346000000006</v>
      </c>
      <c r="E101" t="str">
        <f>Etiquettes!$C$3</f>
        <v>kt</v>
      </c>
      <c r="F101" s="26" t="str">
        <f>Etiquettes!$K$6</f>
        <v>Blé dur</v>
      </c>
      <c r="G101" s="26" t="str">
        <f>Etiquettes!$H$5</f>
        <v>2015-16</v>
      </c>
      <c r="H101" t="str">
        <f>Etiquettes!$C$4</f>
        <v>France entière</v>
      </c>
      <c r="I101" t="str">
        <f t="shared" si="24"/>
        <v>Exportation de Semoule</v>
      </c>
      <c r="J101"/>
      <c r="K101" t="s">
        <v>1591</v>
      </c>
      <c r="L101" s="26" t="str" cm="1">
        <f t="array" aca="1" ref="L101" ca="1">[1]!NOM_FEUILLE('Comext mensuel - EUROSTAT'!$A$1)</f>
        <v>Comext mensuel - EUROSTAT</v>
      </c>
      <c r="M101" s="26" t="str">
        <f>Etiquettes!$H$11</f>
        <v>Volume</v>
      </c>
      <c r="N101" t="str">
        <f t="shared" si="6"/>
        <v>Exportation de Semoule = 85 kt (Douanes françaises - Eurostat)</v>
      </c>
      <c r="O101" s="26" t="str">
        <f>Etiquettes!$J$15</f>
        <v>Probable</v>
      </c>
      <c r="P101" s="603" t="str">
        <f>Etiquettes!$H$16</f>
        <v>Données collectées</v>
      </c>
      <c r="Q101" s="603" t="str">
        <f>Etiquettes!$H$17</f>
        <v>Donnée collectée (valeur du flux ou coefficient)</v>
      </c>
      <c r="S101" s="693"/>
    </row>
    <row r="102" spans="1:19">
      <c r="A102" t="str">
        <f>Secteurs!$B$55</f>
        <v>Importations</v>
      </c>
      <c r="B102" t="str">
        <f>Produits!$B$17</f>
        <v>Semoule</v>
      </c>
      <c r="C102" s="86">
        <f>'Prétraitement échanges'!M91</f>
        <v>69.405883000000003</v>
      </c>
      <c r="E102" t="str">
        <f>Etiquettes!$C$3</f>
        <v>kt</v>
      </c>
      <c r="F102" s="26" t="str">
        <f>Etiquettes!$K$6</f>
        <v>Blé dur</v>
      </c>
      <c r="G102" s="26" t="str">
        <f>Etiquettes!$I$5</f>
        <v>2019-20</v>
      </c>
      <c r="H102" t="str">
        <f>Etiquettes!$C$4</f>
        <v>France entière</v>
      </c>
      <c r="I102" t="str">
        <f t="shared" si="23"/>
        <v>Importation de Semoule</v>
      </c>
      <c r="J102"/>
      <c r="K102" t="s">
        <v>1591</v>
      </c>
      <c r="L102" s="26" t="str" cm="1">
        <f t="array" aca="1" ref="L102" ca="1">[1]!NOM_FEUILLE('Comext mensuel - EUROSTAT'!$A$1)</f>
        <v>Comext mensuel - EUROSTAT</v>
      </c>
      <c r="M102" s="26" t="str">
        <f>Etiquettes!$H$11</f>
        <v>Volume</v>
      </c>
      <c r="N102" t="str">
        <f t="shared" si="6"/>
        <v>Importation de Semoule = 69 kt (Douanes françaises - Eurostat)</v>
      </c>
      <c r="O102" s="26" t="str">
        <f>Etiquettes!$J$15</f>
        <v>Probable</v>
      </c>
      <c r="P102" s="603" t="str">
        <f>Etiquettes!$H$16</f>
        <v>Données collectées</v>
      </c>
      <c r="Q102" s="603" t="str">
        <f>Etiquettes!$H$17</f>
        <v>Donnée collectée (valeur du flux ou coefficient)</v>
      </c>
      <c r="S102" s="693"/>
    </row>
    <row r="103" spans="1:19">
      <c r="A103" t="str">
        <f>Produits!$B$17</f>
        <v>Semoule</v>
      </c>
      <c r="B103" t="str">
        <f>Secteurs!$B$56</f>
        <v>Exportations</v>
      </c>
      <c r="C103" s="86">
        <f>'Prétraitement échanges'!N91</f>
        <v>79.68789000000001</v>
      </c>
      <c r="E103" t="str">
        <f>Etiquettes!$C$3</f>
        <v>kt</v>
      </c>
      <c r="F103" s="26" t="str">
        <f>Etiquettes!$K$6</f>
        <v>Blé dur</v>
      </c>
      <c r="G103" s="26" t="str">
        <f>Etiquettes!$I$5</f>
        <v>2019-20</v>
      </c>
      <c r="H103" t="str">
        <f>Etiquettes!$C$4</f>
        <v>France entière</v>
      </c>
      <c r="I103" t="str">
        <f t="shared" si="24"/>
        <v>Exportation de Semoule</v>
      </c>
      <c r="J103"/>
      <c r="K103" t="s">
        <v>1591</v>
      </c>
      <c r="L103" s="26" t="str" cm="1">
        <f t="array" aca="1" ref="L103" ca="1">[1]!NOM_FEUILLE('Comext mensuel - EUROSTAT'!$A$1)</f>
        <v>Comext mensuel - EUROSTAT</v>
      </c>
      <c r="M103" s="26" t="str">
        <f>Etiquettes!$H$11</f>
        <v>Volume</v>
      </c>
      <c r="N103" t="str">
        <f t="shared" si="6"/>
        <v>Exportation de Semoule = 80 kt (Douanes françaises - Eurostat)</v>
      </c>
      <c r="O103" s="26" t="str">
        <f>Etiquettes!$J$15</f>
        <v>Probable</v>
      </c>
      <c r="P103" s="603" t="str">
        <f>Etiquettes!$H$16</f>
        <v>Données collectées</v>
      </c>
      <c r="Q103" s="603" t="str">
        <f>Etiquettes!$H$17</f>
        <v>Donnée collectée (valeur du flux ou coefficient)</v>
      </c>
      <c r="S103" s="693"/>
    </row>
    <row r="104" spans="1:19">
      <c r="A104" t="str">
        <f>Secteurs!$B$55</f>
        <v>Importations</v>
      </c>
      <c r="B104" t="str">
        <f>Produits!$B$17</f>
        <v>Semoule</v>
      </c>
      <c r="C104" s="86">
        <f>'Prétraitement échanges'!O91</f>
        <v>73.786507999999998</v>
      </c>
      <c r="E104" t="str">
        <f>Etiquettes!$C$3</f>
        <v>kt</v>
      </c>
      <c r="F104" s="26" t="str">
        <f>Etiquettes!$K$6</f>
        <v>Blé dur</v>
      </c>
      <c r="G104" s="26" t="str">
        <f>Etiquettes!$J$5</f>
        <v>2023-24</v>
      </c>
      <c r="H104" t="str">
        <f>Etiquettes!$C$4</f>
        <v>France entière</v>
      </c>
      <c r="I104" t="str">
        <f t="shared" si="23"/>
        <v>Importation de Semoule</v>
      </c>
      <c r="J104"/>
      <c r="K104" t="s">
        <v>1591</v>
      </c>
      <c r="L104" s="26" t="str" cm="1">
        <f t="array" aca="1" ref="L104" ca="1">[1]!NOM_FEUILLE('Comext mensuel - EUROSTAT'!$A$1)</f>
        <v>Comext mensuel - EUROSTAT</v>
      </c>
      <c r="M104" s="26" t="str">
        <f>Etiquettes!$H$11</f>
        <v>Volume</v>
      </c>
      <c r="N104" t="str">
        <f t="shared" si="6"/>
        <v>Importation de Semoule = 74 kt (Douanes françaises - Eurostat)</v>
      </c>
      <c r="O104" s="26" t="str">
        <f>Etiquettes!$J$15</f>
        <v>Probable</v>
      </c>
      <c r="P104" s="603" t="str">
        <f>Etiquettes!$H$16</f>
        <v>Données collectées</v>
      </c>
      <c r="Q104" s="603" t="str">
        <f>Etiquettes!$H$17</f>
        <v>Donnée collectée (valeur du flux ou coefficient)</v>
      </c>
      <c r="S104" s="693"/>
    </row>
    <row r="105" spans="1:19">
      <c r="A105" t="str">
        <f>Produits!$B$17</f>
        <v>Semoule</v>
      </c>
      <c r="B105" t="str">
        <f>Secteurs!$B$56</f>
        <v>Exportations</v>
      </c>
      <c r="C105" s="86">
        <f>'Prétraitement échanges'!P91</f>
        <v>68.236278999999996</v>
      </c>
      <c r="E105" t="str">
        <f>Etiquettes!$C$3</f>
        <v>kt</v>
      </c>
      <c r="F105" s="26" t="str">
        <f>Etiquettes!$K$6</f>
        <v>Blé dur</v>
      </c>
      <c r="G105" s="26" t="str">
        <f>Etiquettes!$J$5</f>
        <v>2023-24</v>
      </c>
      <c r="H105" t="str">
        <f>Etiquettes!$C$4</f>
        <v>France entière</v>
      </c>
      <c r="I105" t="str">
        <f t="shared" si="24"/>
        <v>Exportation de Semoule</v>
      </c>
      <c r="J105"/>
      <c r="K105" t="s">
        <v>1591</v>
      </c>
      <c r="L105" s="26" t="str" cm="1">
        <f t="array" aca="1" ref="L105" ca="1">[1]!NOM_FEUILLE('Comext mensuel - EUROSTAT'!$A$1)</f>
        <v>Comext mensuel - EUROSTAT</v>
      </c>
      <c r="M105" s="26" t="str">
        <f>Etiquettes!$H$11</f>
        <v>Volume</v>
      </c>
      <c r="N105" t="str">
        <f t="shared" si="6"/>
        <v>Exportation de Semoule = 68 kt (Douanes françaises - Eurostat)</v>
      </c>
      <c r="O105" s="26" t="str">
        <f>Etiquettes!$J$15</f>
        <v>Probable</v>
      </c>
      <c r="P105" s="603" t="str">
        <f>Etiquettes!$H$16</f>
        <v>Données collectées</v>
      </c>
      <c r="Q105" s="603" t="str">
        <f>Etiquettes!$H$17</f>
        <v>Donnée collectée (valeur du flux ou coefficient)</v>
      </c>
      <c r="S105" s="693"/>
    </row>
    <row r="106" spans="1:19">
      <c r="A106" t="str">
        <f>Secteurs!$B$55</f>
        <v>Importations</v>
      </c>
      <c r="B106" t="str">
        <f>Produits!$B$17</f>
        <v>Semoule</v>
      </c>
      <c r="C106" s="86">
        <f>'Prétraitement échanges'!K93+'Prétraitement échanges'!K94</f>
        <v>9.3926249999999989</v>
      </c>
      <c r="E106" t="str">
        <f>Etiquettes!$C$3</f>
        <v>kt</v>
      </c>
      <c r="F106" s="26" t="str">
        <f>Etiquettes!$I$6</f>
        <v>Maïs</v>
      </c>
      <c r="G106" s="26" t="str">
        <f>Etiquettes!$H$5</f>
        <v>2015-16</v>
      </c>
      <c r="H106" t="str">
        <f>Etiquettes!$C$4</f>
        <v>France entière</v>
      </c>
      <c r="I106" t="str">
        <f t="shared" si="23"/>
        <v>Importation de Semoule</v>
      </c>
      <c r="J106"/>
      <c r="K106" t="s">
        <v>1591</v>
      </c>
      <c r="L106" s="26" t="str" cm="1">
        <f t="array" aca="1" ref="L106" ca="1">[1]!NOM_FEUILLE('Comext mensuel - EUROSTAT'!$A$1)</f>
        <v>Comext mensuel - EUROSTAT</v>
      </c>
      <c r="M106" s="26" t="str">
        <f>Etiquettes!$H$11</f>
        <v>Volume</v>
      </c>
      <c r="N106" t="str">
        <f t="shared" si="6"/>
        <v>Importation de Semoule = 9 kt (Douanes françaises - Eurostat)</v>
      </c>
      <c r="O106" s="26" t="str">
        <f>Etiquettes!$J$15</f>
        <v>Probable</v>
      </c>
      <c r="P106" s="603" t="str">
        <f>Etiquettes!$H$16</f>
        <v>Données collectées</v>
      </c>
      <c r="Q106" s="603" t="str">
        <f>Etiquettes!$H$17</f>
        <v>Donnée collectée (valeur du flux ou coefficient)</v>
      </c>
      <c r="S106" s="693"/>
    </row>
    <row r="107" spans="1:19">
      <c r="A107" t="str">
        <f>Produits!$B$17</f>
        <v>Semoule</v>
      </c>
      <c r="B107" t="str">
        <f>Secteurs!$B$56</f>
        <v>Exportations</v>
      </c>
      <c r="C107" s="86">
        <f>'Prétraitement échanges'!L93+'Prétraitement échanges'!L94</f>
        <v>95.609111000000013</v>
      </c>
      <c r="E107" t="str">
        <f>Etiquettes!$C$3</f>
        <v>kt</v>
      </c>
      <c r="F107" s="26" t="str">
        <f>Etiquettes!$I$6</f>
        <v>Maïs</v>
      </c>
      <c r="G107" s="26" t="str">
        <f>Etiquettes!$H$5</f>
        <v>2015-16</v>
      </c>
      <c r="H107" t="str">
        <f>Etiquettes!$C$4</f>
        <v>France entière</v>
      </c>
      <c r="I107" t="str">
        <f t="shared" si="24"/>
        <v>Exportation de Semoule</v>
      </c>
      <c r="J107"/>
      <c r="K107" t="s">
        <v>1591</v>
      </c>
      <c r="L107" s="26" t="str" cm="1">
        <f t="array" aca="1" ref="L107" ca="1">[1]!NOM_FEUILLE('Comext mensuel - EUROSTAT'!$A$1)</f>
        <v>Comext mensuel - EUROSTAT</v>
      </c>
      <c r="M107" s="26" t="str">
        <f>Etiquettes!$H$11</f>
        <v>Volume</v>
      </c>
      <c r="N107" t="str">
        <f t="shared" si="6"/>
        <v>Exportation de Semoule = 96 kt (Douanes françaises - Eurostat)</v>
      </c>
      <c r="O107" s="26" t="str">
        <f>Etiquettes!$J$15</f>
        <v>Probable</v>
      </c>
      <c r="P107" s="603" t="str">
        <f>Etiquettes!$H$16</f>
        <v>Données collectées</v>
      </c>
      <c r="Q107" s="603" t="str">
        <f>Etiquettes!$H$17</f>
        <v>Donnée collectée (valeur du flux ou coefficient)</v>
      </c>
      <c r="S107" s="693"/>
    </row>
    <row r="108" spans="1:19">
      <c r="A108" t="str">
        <f>Secteurs!$B$55</f>
        <v>Importations</v>
      </c>
      <c r="B108" t="str">
        <f>Produits!$B$17</f>
        <v>Semoule</v>
      </c>
      <c r="C108" s="86">
        <f>'Prétraitement échanges'!M93+'Prétraitement échanges'!M94</f>
        <v>12.94969</v>
      </c>
      <c r="E108" t="str">
        <f>Etiquettes!$C$3</f>
        <v>kt</v>
      </c>
      <c r="F108" s="26" t="str">
        <f>Etiquettes!$I$6</f>
        <v>Maïs</v>
      </c>
      <c r="G108" s="26" t="str">
        <f>Etiquettes!$I$5</f>
        <v>2019-20</v>
      </c>
      <c r="H108" t="str">
        <f>Etiquettes!$C$4</f>
        <v>France entière</v>
      </c>
      <c r="I108" t="str">
        <f t="shared" si="23"/>
        <v>Importation de Semoule</v>
      </c>
      <c r="J108"/>
      <c r="K108" t="s">
        <v>1591</v>
      </c>
      <c r="L108" s="26" t="str" cm="1">
        <f t="array" aca="1" ref="L108" ca="1">[1]!NOM_FEUILLE('Comext mensuel - EUROSTAT'!$A$1)</f>
        <v>Comext mensuel - EUROSTAT</v>
      </c>
      <c r="M108" s="26" t="str">
        <f>Etiquettes!$H$11</f>
        <v>Volume</v>
      </c>
      <c r="N108" t="str">
        <f t="shared" si="6"/>
        <v>Importation de Semoule = 13 kt (Douanes françaises - Eurostat)</v>
      </c>
      <c r="O108" s="26" t="str">
        <f>Etiquettes!$J$15</f>
        <v>Probable</v>
      </c>
      <c r="P108" s="603" t="str">
        <f>Etiquettes!$H$16</f>
        <v>Données collectées</v>
      </c>
      <c r="Q108" s="603" t="str">
        <f>Etiquettes!$H$17</f>
        <v>Donnée collectée (valeur du flux ou coefficient)</v>
      </c>
      <c r="S108" s="693"/>
    </row>
    <row r="109" spans="1:19">
      <c r="A109" t="str">
        <f>Produits!$B$17</f>
        <v>Semoule</v>
      </c>
      <c r="B109" t="str">
        <f>Secteurs!$B$56</f>
        <v>Exportations</v>
      </c>
      <c r="C109" s="86">
        <f>'Prétraitement échanges'!N93+'Prétraitement échanges'!N94</f>
        <v>48.046215999999994</v>
      </c>
      <c r="E109" t="str">
        <f>Etiquettes!$C$3</f>
        <v>kt</v>
      </c>
      <c r="F109" s="26" t="str">
        <f>Etiquettes!$I$6</f>
        <v>Maïs</v>
      </c>
      <c r="G109" s="26" t="str">
        <f>Etiquettes!$I$5</f>
        <v>2019-20</v>
      </c>
      <c r="H109" t="str">
        <f>Etiquettes!$C$4</f>
        <v>France entière</v>
      </c>
      <c r="I109" t="str">
        <f t="shared" si="24"/>
        <v>Exportation de Semoule</v>
      </c>
      <c r="J109"/>
      <c r="K109" t="s">
        <v>1591</v>
      </c>
      <c r="L109" s="26" t="str" cm="1">
        <f t="array" aca="1" ref="L109" ca="1">[1]!NOM_FEUILLE('Comext mensuel - EUROSTAT'!$A$1)</f>
        <v>Comext mensuel - EUROSTAT</v>
      </c>
      <c r="M109" s="26" t="str">
        <f>Etiquettes!$H$11</f>
        <v>Volume</v>
      </c>
      <c r="N109" t="str">
        <f t="shared" si="6"/>
        <v>Exportation de Semoule = 48 kt (Douanes françaises - Eurostat)</v>
      </c>
      <c r="O109" s="26" t="str">
        <f>Etiquettes!$J$15</f>
        <v>Probable</v>
      </c>
      <c r="P109" s="603" t="str">
        <f>Etiquettes!$H$16</f>
        <v>Données collectées</v>
      </c>
      <c r="Q109" s="603" t="str">
        <f>Etiquettes!$H$17</f>
        <v>Donnée collectée (valeur du flux ou coefficient)</v>
      </c>
      <c r="S109" s="693"/>
    </row>
    <row r="110" spans="1:19">
      <c r="A110" t="str">
        <f>Secteurs!$B$55</f>
        <v>Importations</v>
      </c>
      <c r="B110" t="str">
        <f>Produits!$B$17</f>
        <v>Semoule</v>
      </c>
      <c r="C110" s="86">
        <f>'Prétraitement échanges'!O93+'Prétraitement échanges'!O94</f>
        <v>8.6861990000000002</v>
      </c>
      <c r="E110" t="str">
        <f>Etiquettes!$C$3</f>
        <v>kt</v>
      </c>
      <c r="F110" s="26" t="str">
        <f>Etiquettes!$I$6</f>
        <v>Maïs</v>
      </c>
      <c r="G110" s="26" t="str">
        <f>Etiquettes!$J$5</f>
        <v>2023-24</v>
      </c>
      <c r="H110" t="str">
        <f>Etiquettes!$C$4</f>
        <v>France entière</v>
      </c>
      <c r="I110" t="str">
        <f t="shared" si="23"/>
        <v>Importation de Semoule</v>
      </c>
      <c r="J110"/>
      <c r="K110" t="s">
        <v>1591</v>
      </c>
      <c r="L110" s="26" t="str" cm="1">
        <f t="array" aca="1" ref="L110" ca="1">[1]!NOM_FEUILLE('Comext mensuel - EUROSTAT'!$A$1)</f>
        <v>Comext mensuel - EUROSTAT</v>
      </c>
      <c r="M110" s="26" t="str">
        <f>Etiquettes!$H$11</f>
        <v>Volume</v>
      </c>
      <c r="N110" t="str">
        <f t="shared" si="6"/>
        <v>Importation de Semoule = 9 kt (Douanes françaises - Eurostat)</v>
      </c>
      <c r="O110" s="26" t="str">
        <f>Etiquettes!$J$15</f>
        <v>Probable</v>
      </c>
      <c r="P110" s="603" t="str">
        <f>Etiquettes!$H$16</f>
        <v>Données collectées</v>
      </c>
      <c r="Q110" s="603" t="str">
        <f>Etiquettes!$H$17</f>
        <v>Donnée collectée (valeur du flux ou coefficient)</v>
      </c>
      <c r="S110" s="693"/>
    </row>
    <row r="111" spans="1:19">
      <c r="A111" t="str">
        <f>Produits!$B$17</f>
        <v>Semoule</v>
      </c>
      <c r="B111" t="str">
        <f>Secteurs!$B$56</f>
        <v>Exportations</v>
      </c>
      <c r="C111" s="86">
        <f>'Prétraitement échanges'!P93+'Prétraitement échanges'!P94</f>
        <v>55.154211000000004</v>
      </c>
      <c r="E111" t="str">
        <f>Etiquettes!$C$3</f>
        <v>kt</v>
      </c>
      <c r="F111" s="26" t="str">
        <f>Etiquettes!$I$6</f>
        <v>Maïs</v>
      </c>
      <c r="G111" s="26" t="str">
        <f>Etiquettes!$J$5</f>
        <v>2023-24</v>
      </c>
      <c r="H111" t="str">
        <f>Etiquettes!$C$4</f>
        <v>France entière</v>
      </c>
      <c r="I111" t="str">
        <f t="shared" si="24"/>
        <v>Exportation de Semoule</v>
      </c>
      <c r="J111"/>
      <c r="K111" t="s">
        <v>1591</v>
      </c>
      <c r="L111" s="26" t="str" cm="1">
        <f t="array" aca="1" ref="L111" ca="1">[1]!NOM_FEUILLE('Comext mensuel - EUROSTAT'!$A$1)</f>
        <v>Comext mensuel - EUROSTAT</v>
      </c>
      <c r="M111" s="26" t="str">
        <f>Etiquettes!$H$11</f>
        <v>Volume</v>
      </c>
      <c r="N111" t="str">
        <f t="shared" si="6"/>
        <v>Exportation de Semoule = 55 kt (Douanes françaises - Eurostat)</v>
      </c>
      <c r="O111" s="26" t="str">
        <f>Etiquettes!$J$15</f>
        <v>Probable</v>
      </c>
      <c r="P111" s="603" t="str">
        <f>Etiquettes!$H$16</f>
        <v>Données collectées</v>
      </c>
      <c r="Q111" s="603" t="str">
        <f>Etiquettes!$H$17</f>
        <v>Donnée collectée (valeur du flux ou coefficient)</v>
      </c>
      <c r="S111" s="693"/>
    </row>
    <row r="112" spans="1:19">
      <c r="A112" t="str">
        <f>Secteurs!$B$55</f>
        <v>Importations</v>
      </c>
      <c r="B112" t="str">
        <f>Produits!$B$29</f>
        <v>Malt</v>
      </c>
      <c r="C112" s="86">
        <f>'Prétraitement échanges'!K143+'Prétraitement échanges'!K144</f>
        <v>3.1279480000000004</v>
      </c>
      <c r="E112" t="str">
        <f>Etiquettes!$C$3</f>
        <v>kt</v>
      </c>
      <c r="F112" s="26" t="str">
        <f>Etiquettes!$H$6</f>
        <v>Blé tendre</v>
      </c>
      <c r="G112" s="26" t="str">
        <f>Etiquettes!$H$5</f>
        <v>2015-16</v>
      </c>
      <c r="H112" t="str">
        <f>Etiquettes!$C$4</f>
        <v>France entière</v>
      </c>
      <c r="I112" t="str">
        <f t="shared" si="23"/>
        <v>Importation de Malt</v>
      </c>
      <c r="J112"/>
      <c r="K112" t="s">
        <v>1591</v>
      </c>
      <c r="L112" s="26" t="str" cm="1">
        <f t="array" aca="1" ref="L112" ca="1">[1]!NOM_FEUILLE('Comext mensuel - EUROSTAT'!$A$1)</f>
        <v>Comext mensuel - EUROSTAT</v>
      </c>
      <c r="M112" s="26" t="str">
        <f>Etiquettes!$H$11</f>
        <v>Volume</v>
      </c>
      <c r="N112" t="str">
        <f t="shared" si="6"/>
        <v>Importation de Malt = 3 kt (Douanes françaises - Eurostat)</v>
      </c>
      <c r="O112" s="26" t="str">
        <f>Etiquettes!$J$15</f>
        <v>Probable</v>
      </c>
      <c r="P112" s="603" t="str">
        <f>Etiquettes!$H$16</f>
        <v>Données collectées</v>
      </c>
      <c r="Q112" s="603" t="str">
        <f>Etiquettes!$H$17</f>
        <v>Donnée collectée (valeur du flux ou coefficient)</v>
      </c>
      <c r="S112" s="693" t="s">
        <v>1379</v>
      </c>
    </row>
    <row r="113" spans="1:19">
      <c r="A113" t="str">
        <f>Produits!$B$29</f>
        <v>Malt</v>
      </c>
      <c r="B113" t="str">
        <f>Secteurs!$B$56</f>
        <v>Exportations</v>
      </c>
      <c r="C113" s="86">
        <f>'Prétraitement échanges'!L143+'Prétraitement échanges'!L144</f>
        <v>15.504543999999999</v>
      </c>
      <c r="E113" t="str">
        <f>Etiquettes!$C$3</f>
        <v>kt</v>
      </c>
      <c r="F113" s="26" t="str">
        <f>Etiquettes!$H$6</f>
        <v>Blé tendre</v>
      </c>
      <c r="G113" s="26" t="str">
        <f>Etiquettes!$H$5</f>
        <v>2015-16</v>
      </c>
      <c r="H113" t="str">
        <f>Etiquettes!$C$4</f>
        <v>France entière</v>
      </c>
      <c r="I113" t="str">
        <f t="shared" si="24"/>
        <v>Exportation de Malt</v>
      </c>
      <c r="J113"/>
      <c r="K113" t="s">
        <v>1591</v>
      </c>
      <c r="L113" s="26" t="str" cm="1">
        <f t="array" aca="1" ref="L113" ca="1">[1]!NOM_FEUILLE('Comext mensuel - EUROSTAT'!$A$1)</f>
        <v>Comext mensuel - EUROSTAT</v>
      </c>
      <c r="M113" s="26" t="str">
        <f>Etiquettes!$H$11</f>
        <v>Volume</v>
      </c>
      <c r="N113" t="str">
        <f t="shared" si="6"/>
        <v>Exportation de Malt = 16 kt (Douanes françaises - Eurostat)</v>
      </c>
      <c r="O113" s="26" t="str">
        <f>Etiquettes!$J$15</f>
        <v>Probable</v>
      </c>
      <c r="P113" s="603" t="str">
        <f>Etiquettes!$H$16</f>
        <v>Données collectées</v>
      </c>
      <c r="Q113" s="603" t="str">
        <f>Etiquettes!$H$17</f>
        <v>Donnée collectée (valeur du flux ou coefficient)</v>
      </c>
      <c r="S113" s="693"/>
    </row>
    <row r="114" spans="1:19">
      <c r="A114" t="str">
        <f>Secteurs!$B$55</f>
        <v>Importations</v>
      </c>
      <c r="B114" t="str">
        <f>Produits!$B$29</f>
        <v>Malt</v>
      </c>
      <c r="C114" s="86">
        <f>'Prétraitement échanges'!M143+'Prétraitement échanges'!M144</f>
        <v>3.1949890000000001</v>
      </c>
      <c r="E114" t="str">
        <f>Etiquettes!$C$3</f>
        <v>kt</v>
      </c>
      <c r="F114" s="26" t="str">
        <f>Etiquettes!$H$6</f>
        <v>Blé tendre</v>
      </c>
      <c r="G114" s="26" t="str">
        <f>Etiquettes!$I$5</f>
        <v>2019-20</v>
      </c>
      <c r="H114" t="str">
        <f>Etiquettes!$C$4</f>
        <v>France entière</v>
      </c>
      <c r="I114" t="str">
        <f t="shared" si="23"/>
        <v>Importation de Malt</v>
      </c>
      <c r="J114"/>
      <c r="K114" t="s">
        <v>1591</v>
      </c>
      <c r="L114" s="26" t="str" cm="1">
        <f t="array" aca="1" ref="L114" ca="1">[1]!NOM_FEUILLE('Comext mensuel - EUROSTAT'!$A$1)</f>
        <v>Comext mensuel - EUROSTAT</v>
      </c>
      <c r="M114" s="26" t="str">
        <f>Etiquettes!$H$11</f>
        <v>Volume</v>
      </c>
      <c r="N114" t="str">
        <f t="shared" si="6"/>
        <v>Importation de Malt = 3 kt (Douanes françaises - Eurostat)</v>
      </c>
      <c r="O114" s="26" t="str">
        <f>Etiquettes!$J$15</f>
        <v>Probable</v>
      </c>
      <c r="P114" s="603" t="str">
        <f>Etiquettes!$H$16</f>
        <v>Données collectées</v>
      </c>
      <c r="Q114" s="603" t="str">
        <f>Etiquettes!$H$17</f>
        <v>Donnée collectée (valeur du flux ou coefficient)</v>
      </c>
      <c r="S114" s="693"/>
    </row>
    <row r="115" spans="1:19">
      <c r="A115" t="str">
        <f>Produits!$B$29</f>
        <v>Malt</v>
      </c>
      <c r="B115" t="str">
        <f>Secteurs!$B$56</f>
        <v>Exportations</v>
      </c>
      <c r="C115" s="86">
        <f>'Prétraitement échanges'!N143+'Prétraitement échanges'!N144</f>
        <v>9.3336780000000008</v>
      </c>
      <c r="E115" t="str">
        <f>Etiquettes!$C$3</f>
        <v>kt</v>
      </c>
      <c r="F115" s="26" t="str">
        <f>Etiquettes!$H$6</f>
        <v>Blé tendre</v>
      </c>
      <c r="G115" s="26" t="str">
        <f>Etiquettes!$I$5</f>
        <v>2019-20</v>
      </c>
      <c r="H115" t="str">
        <f>Etiquettes!$C$4</f>
        <v>France entière</v>
      </c>
      <c r="I115" t="str">
        <f t="shared" si="24"/>
        <v>Exportation de Malt</v>
      </c>
      <c r="J115"/>
      <c r="K115" t="s">
        <v>1591</v>
      </c>
      <c r="L115" s="26" t="str" cm="1">
        <f t="array" aca="1" ref="L115" ca="1">[1]!NOM_FEUILLE('Comext mensuel - EUROSTAT'!$A$1)</f>
        <v>Comext mensuel - EUROSTAT</v>
      </c>
      <c r="M115" s="26" t="str">
        <f>Etiquettes!$H$11</f>
        <v>Volume</v>
      </c>
      <c r="N115" t="str">
        <f t="shared" si="6"/>
        <v>Exportation de Malt = 9 kt (Douanes françaises - Eurostat)</v>
      </c>
      <c r="O115" s="26" t="str">
        <f>Etiquettes!$J$15</f>
        <v>Probable</v>
      </c>
      <c r="P115" s="603" t="str">
        <f>Etiquettes!$H$16</f>
        <v>Données collectées</v>
      </c>
      <c r="Q115" s="603" t="str">
        <f>Etiquettes!$H$17</f>
        <v>Donnée collectée (valeur du flux ou coefficient)</v>
      </c>
      <c r="S115" s="693"/>
    </row>
    <row r="116" spans="1:19">
      <c r="A116" t="str">
        <f>Secteurs!$B$55</f>
        <v>Importations</v>
      </c>
      <c r="B116" t="str">
        <f>Produits!$B$29</f>
        <v>Malt</v>
      </c>
      <c r="C116" s="86">
        <f>'Prétraitement échanges'!O143+'Prétraitement échanges'!O144</f>
        <v>2.158792</v>
      </c>
      <c r="E116" t="str">
        <f>Etiquettes!$C$3</f>
        <v>kt</v>
      </c>
      <c r="F116" s="26" t="str">
        <f>Etiquettes!$H$6</f>
        <v>Blé tendre</v>
      </c>
      <c r="G116" s="26" t="str">
        <f>Etiquettes!$J$5</f>
        <v>2023-24</v>
      </c>
      <c r="H116" t="str">
        <f>Etiquettes!$C$4</f>
        <v>France entière</v>
      </c>
      <c r="I116" t="str">
        <f t="shared" si="23"/>
        <v>Importation de Malt</v>
      </c>
      <c r="J116"/>
      <c r="K116" t="s">
        <v>1591</v>
      </c>
      <c r="L116" s="26" t="str" cm="1">
        <f t="array" aca="1" ref="L116" ca="1">[1]!NOM_FEUILLE('Comext mensuel - EUROSTAT'!$A$1)</f>
        <v>Comext mensuel - EUROSTAT</v>
      </c>
      <c r="M116" s="26" t="str">
        <f>Etiquettes!$H$11</f>
        <v>Volume</v>
      </c>
      <c r="N116" t="str">
        <f t="shared" si="6"/>
        <v>Importation de Malt = 2 kt (Douanes françaises - Eurostat)</v>
      </c>
      <c r="O116" s="26" t="str">
        <f>Etiquettes!$J$15</f>
        <v>Probable</v>
      </c>
      <c r="P116" s="603" t="str">
        <f>Etiquettes!$H$16</f>
        <v>Données collectées</v>
      </c>
      <c r="Q116" s="603" t="str">
        <f>Etiquettes!$H$17</f>
        <v>Donnée collectée (valeur du flux ou coefficient)</v>
      </c>
      <c r="S116" s="693"/>
    </row>
    <row r="117" spans="1:19">
      <c r="A117" t="str">
        <f>Produits!$B$29</f>
        <v>Malt</v>
      </c>
      <c r="B117" t="str">
        <f>Secteurs!$B$56</f>
        <v>Exportations</v>
      </c>
      <c r="C117" s="86">
        <f>'Prétraitement échanges'!P143+'Prétraitement échanges'!P144</f>
        <v>11.954239999999999</v>
      </c>
      <c r="E117" t="str">
        <f>Etiquettes!$C$3</f>
        <v>kt</v>
      </c>
      <c r="F117" s="26" t="str">
        <f>Etiquettes!$H$6</f>
        <v>Blé tendre</v>
      </c>
      <c r="G117" s="26" t="str">
        <f>Etiquettes!$J$5</f>
        <v>2023-24</v>
      </c>
      <c r="H117" t="str">
        <f>Etiquettes!$C$4</f>
        <v>France entière</v>
      </c>
      <c r="I117" t="str">
        <f t="shared" si="24"/>
        <v>Exportation de Malt</v>
      </c>
      <c r="J117"/>
      <c r="K117" t="s">
        <v>1591</v>
      </c>
      <c r="L117" s="26" t="str" cm="1">
        <f t="array" aca="1" ref="L117" ca="1">[1]!NOM_FEUILLE('Comext mensuel - EUROSTAT'!$A$1)</f>
        <v>Comext mensuel - EUROSTAT</v>
      </c>
      <c r="M117" s="26" t="str">
        <f>Etiquettes!$H$11</f>
        <v>Volume</v>
      </c>
      <c r="N117" t="str">
        <f t="shared" si="6"/>
        <v>Exportation de Malt = 12 kt (Douanes françaises - Eurostat)</v>
      </c>
      <c r="O117" s="26" t="str">
        <f>Etiquettes!$J$15</f>
        <v>Probable</v>
      </c>
      <c r="P117" s="603" t="str">
        <f>Etiquettes!$H$16</f>
        <v>Données collectées</v>
      </c>
      <c r="Q117" s="603" t="str">
        <f>Etiquettes!$H$17</f>
        <v>Donnée collectée (valeur du flux ou coefficient)</v>
      </c>
      <c r="S117" s="693"/>
    </row>
    <row r="118" spans="1:19">
      <c r="A118" t="str">
        <f>Secteurs!$B$55</f>
        <v>Importations</v>
      </c>
      <c r="B118" t="str">
        <f>Produits!$B$29</f>
        <v>Malt</v>
      </c>
      <c r="C118" s="86">
        <f>'Prétraitement échanges'!K145+'Prétraitement échanges'!K146</f>
        <v>10.776489999999999</v>
      </c>
      <c r="E118" t="str">
        <f>Etiquettes!$C$3</f>
        <v>kt</v>
      </c>
      <c r="F118" s="26" t="str">
        <f>Etiquettes!$J$6</f>
        <v>Orge</v>
      </c>
      <c r="G118" s="26" t="str">
        <f>Etiquettes!$H$5</f>
        <v>2015-16</v>
      </c>
      <c r="H118" t="str">
        <f>Etiquettes!$C$4</f>
        <v>France entière</v>
      </c>
      <c r="I118" t="str">
        <f t="shared" si="23"/>
        <v>Importation de Malt</v>
      </c>
      <c r="J118"/>
      <c r="K118" t="s">
        <v>1591</v>
      </c>
      <c r="L118" s="26" t="str" cm="1">
        <f t="array" aca="1" ref="L118" ca="1">[1]!NOM_FEUILLE('Comext mensuel - EUROSTAT'!$A$1)</f>
        <v>Comext mensuel - EUROSTAT</v>
      </c>
      <c r="M118" s="26" t="str">
        <f>Etiquettes!$H$11</f>
        <v>Volume</v>
      </c>
      <c r="N118" t="str">
        <f t="shared" si="6"/>
        <v>Importation de Malt = 11 kt (Douanes françaises - Eurostat)</v>
      </c>
      <c r="O118" s="26" t="str">
        <f>Etiquettes!$J$15</f>
        <v>Probable</v>
      </c>
      <c r="P118" s="603" t="str">
        <f>Etiquettes!$H$16</f>
        <v>Données collectées</v>
      </c>
      <c r="Q118" s="603" t="str">
        <f>Etiquettes!$H$17</f>
        <v>Donnée collectée (valeur du flux ou coefficient)</v>
      </c>
      <c r="S118" s="693"/>
    </row>
    <row r="119" spans="1:19">
      <c r="A119" t="str">
        <f>Produits!$B$29</f>
        <v>Malt</v>
      </c>
      <c r="B119" t="str">
        <f>Secteurs!$B$56</f>
        <v>Exportations</v>
      </c>
      <c r="C119" s="86">
        <f>'Prétraitement échanges'!L145+'Prétraitement échanges'!L146</f>
        <v>1127.813868</v>
      </c>
      <c r="E119" t="str">
        <f>Etiquettes!$C$3</f>
        <v>kt</v>
      </c>
      <c r="F119" s="26" t="str">
        <f>Etiquettes!$J$6</f>
        <v>Orge</v>
      </c>
      <c r="G119" s="26" t="str">
        <f>Etiquettes!$H$5</f>
        <v>2015-16</v>
      </c>
      <c r="H119" t="str">
        <f>Etiquettes!$C$4</f>
        <v>France entière</v>
      </c>
      <c r="I119" t="str">
        <f t="shared" si="24"/>
        <v>Exportation de Malt</v>
      </c>
      <c r="J119"/>
      <c r="K119" t="s">
        <v>1591</v>
      </c>
      <c r="L119" s="26" t="str" cm="1">
        <f t="array" aca="1" ref="L119" ca="1">[1]!NOM_FEUILLE('Comext mensuel - EUROSTAT'!$A$1)</f>
        <v>Comext mensuel - EUROSTAT</v>
      </c>
      <c r="M119" s="26" t="str">
        <f>Etiquettes!$H$11</f>
        <v>Volume</v>
      </c>
      <c r="N119" t="str">
        <f t="shared" si="6"/>
        <v>Exportation de Malt = 1128 kt (Douanes françaises - Eurostat)</v>
      </c>
      <c r="O119" s="26" t="str">
        <f>Etiquettes!$J$15</f>
        <v>Probable</v>
      </c>
      <c r="P119" s="603" t="str">
        <f>Etiquettes!$H$16</f>
        <v>Données collectées</v>
      </c>
      <c r="Q119" s="603" t="str">
        <f>Etiquettes!$H$17</f>
        <v>Donnée collectée (valeur du flux ou coefficient)</v>
      </c>
      <c r="S119" s="693"/>
    </row>
    <row r="120" spans="1:19">
      <c r="A120" t="str">
        <f>Secteurs!$B$55</f>
        <v>Importations</v>
      </c>
      <c r="B120" t="str">
        <f>Produits!$B$29</f>
        <v>Malt</v>
      </c>
      <c r="C120" s="86">
        <f>'Prétraitement échanges'!M145+'Prétraitement échanges'!M146</f>
        <v>28.616103000000003</v>
      </c>
      <c r="E120" t="str">
        <f>Etiquettes!$C$3</f>
        <v>kt</v>
      </c>
      <c r="F120" s="26" t="str">
        <f>Etiquettes!$J$6</f>
        <v>Orge</v>
      </c>
      <c r="G120" s="26" t="str">
        <f>Etiquettes!$I$5</f>
        <v>2019-20</v>
      </c>
      <c r="H120" t="str">
        <f>Etiquettes!$C$4</f>
        <v>France entière</v>
      </c>
      <c r="I120" t="str">
        <f t="shared" si="23"/>
        <v>Importation de Malt</v>
      </c>
      <c r="J120"/>
      <c r="K120" t="s">
        <v>1591</v>
      </c>
      <c r="L120" s="26" t="str" cm="1">
        <f t="array" aca="1" ref="L120" ca="1">[1]!NOM_FEUILLE('Comext mensuel - EUROSTAT'!$A$1)</f>
        <v>Comext mensuel - EUROSTAT</v>
      </c>
      <c r="M120" s="26" t="str">
        <f>Etiquettes!$H$11</f>
        <v>Volume</v>
      </c>
      <c r="N120" t="str">
        <f t="shared" si="6"/>
        <v>Importation de Malt = 29 kt (Douanes françaises - Eurostat)</v>
      </c>
      <c r="O120" s="26" t="str">
        <f>Etiquettes!$J$15</f>
        <v>Probable</v>
      </c>
      <c r="P120" s="603" t="str">
        <f>Etiquettes!$H$16</f>
        <v>Données collectées</v>
      </c>
      <c r="Q120" s="603" t="str">
        <f>Etiquettes!$H$17</f>
        <v>Donnée collectée (valeur du flux ou coefficient)</v>
      </c>
      <c r="S120" s="693"/>
    </row>
    <row r="121" spans="1:19">
      <c r="A121" t="str">
        <f>Produits!$B$29</f>
        <v>Malt</v>
      </c>
      <c r="B121" t="str">
        <f>Secteurs!$B$56</f>
        <v>Exportations</v>
      </c>
      <c r="C121" s="86">
        <f>'Prétraitement échanges'!N145+'Prétraitement échanges'!N146</f>
        <v>1034.2369989999997</v>
      </c>
      <c r="E121" t="str">
        <f>Etiquettes!$C$3</f>
        <v>kt</v>
      </c>
      <c r="F121" s="26" t="str">
        <f>Etiquettes!$J$6</f>
        <v>Orge</v>
      </c>
      <c r="G121" s="26" t="str">
        <f>Etiquettes!$I$5</f>
        <v>2019-20</v>
      </c>
      <c r="H121" t="str">
        <f>Etiquettes!$C$4</f>
        <v>France entière</v>
      </c>
      <c r="I121" t="str">
        <f t="shared" si="24"/>
        <v>Exportation de Malt</v>
      </c>
      <c r="J121"/>
      <c r="K121" t="s">
        <v>1591</v>
      </c>
      <c r="L121" s="26" t="str" cm="1">
        <f t="array" aca="1" ref="L121" ca="1">[1]!NOM_FEUILLE('Comext mensuel - EUROSTAT'!$A$1)</f>
        <v>Comext mensuel - EUROSTAT</v>
      </c>
      <c r="M121" s="26" t="str">
        <f>Etiquettes!$H$11</f>
        <v>Volume</v>
      </c>
      <c r="N121" t="str">
        <f t="shared" si="6"/>
        <v>Exportation de Malt = 1034 kt (Douanes françaises - Eurostat)</v>
      </c>
      <c r="O121" s="26" t="str">
        <f>Etiquettes!$J$15</f>
        <v>Probable</v>
      </c>
      <c r="P121" s="603" t="str">
        <f>Etiquettes!$H$16</f>
        <v>Données collectées</v>
      </c>
      <c r="Q121" s="603" t="str">
        <f>Etiquettes!$H$17</f>
        <v>Donnée collectée (valeur du flux ou coefficient)</v>
      </c>
      <c r="S121" s="693"/>
    </row>
    <row r="122" spans="1:19">
      <c r="A122" t="str">
        <f>Secteurs!$B$55</f>
        <v>Importations</v>
      </c>
      <c r="B122" t="str">
        <f>Produits!$B$29</f>
        <v>Malt</v>
      </c>
      <c r="C122" s="86">
        <f>'Prétraitement échanges'!O145+'Prétraitement échanges'!O146</f>
        <v>20.559232000000002</v>
      </c>
      <c r="E122" t="str">
        <f>Etiquettes!$C$3</f>
        <v>kt</v>
      </c>
      <c r="F122" s="26" t="str">
        <f>Etiquettes!$J$6</f>
        <v>Orge</v>
      </c>
      <c r="G122" s="26" t="str">
        <f>Etiquettes!$J$5</f>
        <v>2023-24</v>
      </c>
      <c r="H122" t="str">
        <f>Etiquettes!$C$4</f>
        <v>France entière</v>
      </c>
      <c r="I122" t="str">
        <f t="shared" si="23"/>
        <v>Importation de Malt</v>
      </c>
      <c r="J122"/>
      <c r="K122" t="s">
        <v>1591</v>
      </c>
      <c r="L122" s="26" t="str" cm="1">
        <f t="array" aca="1" ref="L122" ca="1">[1]!NOM_FEUILLE('Comext mensuel - EUROSTAT'!$A$1)</f>
        <v>Comext mensuel - EUROSTAT</v>
      </c>
      <c r="M122" s="26" t="str">
        <f>Etiquettes!$H$11</f>
        <v>Volume</v>
      </c>
      <c r="N122" t="str">
        <f t="shared" si="6"/>
        <v>Importation de Malt = 21 kt (Douanes françaises - Eurostat)</v>
      </c>
      <c r="O122" s="26" t="str">
        <f>Etiquettes!$J$15</f>
        <v>Probable</v>
      </c>
      <c r="P122" s="603" t="str">
        <f>Etiquettes!$H$16</f>
        <v>Données collectées</v>
      </c>
      <c r="Q122" s="603" t="str">
        <f>Etiquettes!$H$17</f>
        <v>Donnée collectée (valeur du flux ou coefficient)</v>
      </c>
      <c r="S122" s="693"/>
    </row>
    <row r="123" spans="1:19">
      <c r="A123" t="str">
        <f>Produits!$B$29</f>
        <v>Malt</v>
      </c>
      <c r="B123" t="str">
        <f>Secteurs!$B$56</f>
        <v>Exportations</v>
      </c>
      <c r="C123" s="86">
        <f>'Prétraitement échanges'!P145+'Prétraitement échanges'!P146</f>
        <v>1067.0958799999999</v>
      </c>
      <c r="E123" t="str">
        <f>Etiquettes!$C$3</f>
        <v>kt</v>
      </c>
      <c r="F123" s="26" t="str">
        <f>Etiquettes!$J$6</f>
        <v>Orge</v>
      </c>
      <c r="G123" s="26" t="str">
        <f>Etiquettes!$J$5</f>
        <v>2023-24</v>
      </c>
      <c r="H123" t="str">
        <f>Etiquettes!$C$4</f>
        <v>France entière</v>
      </c>
      <c r="I123" t="str">
        <f t="shared" si="24"/>
        <v>Exportation de Malt</v>
      </c>
      <c r="J123"/>
      <c r="K123" t="s">
        <v>1591</v>
      </c>
      <c r="L123" s="26" t="str" cm="1">
        <f t="array" aca="1" ref="L123" ca="1">[1]!NOM_FEUILLE('Comext mensuel - EUROSTAT'!$A$1)</f>
        <v>Comext mensuel - EUROSTAT</v>
      </c>
      <c r="M123" s="26" t="str">
        <f>Etiquettes!$H$11</f>
        <v>Volume</v>
      </c>
      <c r="N123" t="str">
        <f t="shared" si="6"/>
        <v>Exportation de Malt = 1067 kt (Douanes françaises - Eurostat)</v>
      </c>
      <c r="O123" s="26" t="str">
        <f>Etiquettes!$J$15</f>
        <v>Probable</v>
      </c>
      <c r="P123" s="603" t="str">
        <f>Etiquettes!$H$16</f>
        <v>Données collectées</v>
      </c>
      <c r="Q123" s="603" t="str">
        <f>Etiquettes!$H$17</f>
        <v>Donnée collectée (valeur du flux ou coefficient)</v>
      </c>
      <c r="S123" s="693"/>
    </row>
    <row r="124" spans="1:19" ht="14.4" customHeight="1">
      <c r="A124" t="str">
        <f>Secteurs!$B$55</f>
        <v>Importations</v>
      </c>
      <c r="B124" t="str">
        <f>Produits!$B$11</f>
        <v>Amidon</v>
      </c>
      <c r="C124" s="86">
        <f>'Prétraitement échanges'!K148</f>
        <v>59.849809999999998</v>
      </c>
      <c r="E124" t="str">
        <f>Etiquettes!$C$3</f>
        <v>kt</v>
      </c>
      <c r="F124" s="26" t="str">
        <f>Etiquettes!$H$6</f>
        <v>Blé tendre</v>
      </c>
      <c r="G124" s="26" t="str">
        <f>Etiquettes!$H$5</f>
        <v>2015-16</v>
      </c>
      <c r="H124" t="str">
        <f>Etiquettes!$C$4</f>
        <v>France entière</v>
      </c>
      <c r="I124" t="str">
        <f t="shared" si="23"/>
        <v>Importation de Amidon</v>
      </c>
      <c r="J124"/>
      <c r="K124" t="s">
        <v>1591</v>
      </c>
      <c r="L124" s="26" t="str" cm="1">
        <f t="array" aca="1" ref="L124" ca="1">[1]!NOM_FEUILLE('Comext mensuel - EUROSTAT'!$A$1)</f>
        <v>Comext mensuel - EUROSTAT</v>
      </c>
      <c r="M124" s="26" t="str">
        <f>Etiquettes!$H$11</f>
        <v>Volume</v>
      </c>
      <c r="N124" t="str">
        <f t="shared" si="6"/>
        <v>Importation de Amidon = 60 kt (Douanes françaises - Eurostat)</v>
      </c>
      <c r="O124" s="26" t="str">
        <f>Etiquettes!$J$15</f>
        <v>Probable</v>
      </c>
      <c r="P124" s="603" t="str">
        <f>Etiquettes!$H$16</f>
        <v>Données collectées</v>
      </c>
      <c r="Q124" s="603" t="str">
        <f>Etiquettes!$H$17</f>
        <v>Donnée collectée (valeur du flux ou coefficient)</v>
      </c>
      <c r="S124" s="693" t="s">
        <v>1380</v>
      </c>
    </row>
    <row r="125" spans="1:19">
      <c r="A125" t="str">
        <f>Produits!$B$11</f>
        <v>Amidon</v>
      </c>
      <c r="B125" t="str">
        <f>Secteurs!$B$56</f>
        <v>Exportations</v>
      </c>
      <c r="C125" s="86">
        <f>'Prétraitement échanges'!L148</f>
        <v>63.372717999999992</v>
      </c>
      <c r="E125" t="str">
        <f>Etiquettes!$C$3</f>
        <v>kt</v>
      </c>
      <c r="F125" s="26" t="str">
        <f>Etiquettes!$H$6</f>
        <v>Blé tendre</v>
      </c>
      <c r="G125" s="26" t="str">
        <f>Etiquettes!$H$5</f>
        <v>2015-16</v>
      </c>
      <c r="H125" t="str">
        <f>Etiquettes!$C$4</f>
        <v>France entière</v>
      </c>
      <c r="I125" t="str">
        <f t="shared" si="24"/>
        <v>Exportation de Amidon</v>
      </c>
      <c r="J125"/>
      <c r="K125" t="s">
        <v>1591</v>
      </c>
      <c r="L125" s="26" t="str" cm="1">
        <f t="array" aca="1" ref="L125" ca="1">[1]!NOM_FEUILLE('Comext mensuel - EUROSTAT'!$A$1)</f>
        <v>Comext mensuel - EUROSTAT</v>
      </c>
      <c r="M125" s="26" t="str">
        <f>Etiquettes!$H$11</f>
        <v>Volume</v>
      </c>
      <c r="N125" t="str">
        <f t="shared" si="6"/>
        <v>Exportation de Amidon = 63 kt (Douanes françaises - Eurostat)</v>
      </c>
      <c r="O125" s="26" t="str">
        <f>Etiquettes!$J$15</f>
        <v>Probable</v>
      </c>
      <c r="P125" s="603" t="str">
        <f>Etiquettes!$H$16</f>
        <v>Données collectées</v>
      </c>
      <c r="Q125" s="603" t="str">
        <f>Etiquettes!$H$17</f>
        <v>Donnée collectée (valeur du flux ou coefficient)</v>
      </c>
      <c r="S125" s="693"/>
    </row>
    <row r="126" spans="1:19">
      <c r="A126" t="str">
        <f>Secteurs!$B$55</f>
        <v>Importations</v>
      </c>
      <c r="B126" t="str">
        <f>Produits!$B$11</f>
        <v>Amidon</v>
      </c>
      <c r="C126" s="86">
        <f>'Prétraitement échanges'!M148</f>
        <v>47.667580000000001</v>
      </c>
      <c r="E126" t="str">
        <f>Etiquettes!$C$3</f>
        <v>kt</v>
      </c>
      <c r="F126" s="26" t="str">
        <f>Etiquettes!$H$6</f>
        <v>Blé tendre</v>
      </c>
      <c r="G126" s="26" t="str">
        <f>Etiquettes!$I$5</f>
        <v>2019-20</v>
      </c>
      <c r="H126" t="str">
        <f>Etiquettes!$C$4</f>
        <v>France entière</v>
      </c>
      <c r="I126" t="str">
        <f t="shared" si="23"/>
        <v>Importation de Amidon</v>
      </c>
      <c r="J126"/>
      <c r="K126" t="s">
        <v>1591</v>
      </c>
      <c r="L126" s="26" t="str" cm="1">
        <f t="array" aca="1" ref="L126" ca="1">[1]!NOM_FEUILLE('Comext mensuel - EUROSTAT'!$A$1)</f>
        <v>Comext mensuel - EUROSTAT</v>
      </c>
      <c r="M126" s="26" t="str">
        <f>Etiquettes!$H$11</f>
        <v>Volume</v>
      </c>
      <c r="N126" t="str">
        <f t="shared" si="6"/>
        <v>Importation de Amidon = 48 kt (Douanes françaises - Eurostat)</v>
      </c>
      <c r="O126" s="26" t="str">
        <f>Etiquettes!$J$15</f>
        <v>Probable</v>
      </c>
      <c r="P126" s="603" t="str">
        <f>Etiquettes!$H$16</f>
        <v>Données collectées</v>
      </c>
      <c r="Q126" s="603" t="str">
        <f>Etiquettes!$H$17</f>
        <v>Donnée collectée (valeur du flux ou coefficient)</v>
      </c>
      <c r="S126" s="693"/>
    </row>
    <row r="127" spans="1:19">
      <c r="A127" t="str">
        <f>Produits!$B$11</f>
        <v>Amidon</v>
      </c>
      <c r="B127" t="str">
        <f>Secteurs!$B$56</f>
        <v>Exportations</v>
      </c>
      <c r="C127" s="86">
        <f>'Prétraitement échanges'!N148</f>
        <v>91.255592999999976</v>
      </c>
      <c r="E127" t="str">
        <f>Etiquettes!$C$3</f>
        <v>kt</v>
      </c>
      <c r="F127" s="26" t="str">
        <f>Etiquettes!$H$6</f>
        <v>Blé tendre</v>
      </c>
      <c r="G127" s="26" t="str">
        <f>Etiquettes!$I$5</f>
        <v>2019-20</v>
      </c>
      <c r="H127" t="str">
        <f>Etiquettes!$C$4</f>
        <v>France entière</v>
      </c>
      <c r="I127" t="str">
        <f t="shared" si="24"/>
        <v>Exportation de Amidon</v>
      </c>
      <c r="J127"/>
      <c r="K127" t="s">
        <v>1591</v>
      </c>
      <c r="L127" s="26" t="str" cm="1">
        <f t="array" aca="1" ref="L127" ca="1">[1]!NOM_FEUILLE('Comext mensuel - EUROSTAT'!$A$1)</f>
        <v>Comext mensuel - EUROSTAT</v>
      </c>
      <c r="M127" s="26" t="str">
        <f>Etiquettes!$H$11</f>
        <v>Volume</v>
      </c>
      <c r="N127" t="str">
        <f t="shared" si="6"/>
        <v>Exportation de Amidon = 91 kt (Douanes françaises - Eurostat)</v>
      </c>
      <c r="O127" s="26" t="str">
        <f>Etiquettes!$J$15</f>
        <v>Probable</v>
      </c>
      <c r="P127" s="603" t="str">
        <f>Etiquettes!$H$16</f>
        <v>Données collectées</v>
      </c>
      <c r="Q127" s="603" t="str">
        <f>Etiquettes!$H$17</f>
        <v>Donnée collectée (valeur du flux ou coefficient)</v>
      </c>
      <c r="S127" s="693"/>
    </row>
    <row r="128" spans="1:19">
      <c r="A128" t="str">
        <f>Secteurs!$B$55</f>
        <v>Importations</v>
      </c>
      <c r="B128" t="str">
        <f>Produits!$B$11</f>
        <v>Amidon</v>
      </c>
      <c r="C128" s="86">
        <f>'Prétraitement échanges'!O148</f>
        <v>102.46397299999998</v>
      </c>
      <c r="E128" t="str">
        <f>Etiquettes!$C$3</f>
        <v>kt</v>
      </c>
      <c r="F128" s="26" t="str">
        <f>Etiquettes!$H$6</f>
        <v>Blé tendre</v>
      </c>
      <c r="G128" s="26" t="str">
        <f>Etiquettes!$J$5</f>
        <v>2023-24</v>
      </c>
      <c r="H128" t="str">
        <f>Etiquettes!$C$4</f>
        <v>France entière</v>
      </c>
      <c r="I128" t="str">
        <f t="shared" si="23"/>
        <v>Importation de Amidon</v>
      </c>
      <c r="J128"/>
      <c r="K128" t="s">
        <v>1591</v>
      </c>
      <c r="L128" s="26" t="str" cm="1">
        <f t="array" aca="1" ref="L128" ca="1">[1]!NOM_FEUILLE('Comext mensuel - EUROSTAT'!$A$1)</f>
        <v>Comext mensuel - EUROSTAT</v>
      </c>
      <c r="M128" s="26" t="str">
        <f>Etiquettes!$H$11</f>
        <v>Volume</v>
      </c>
      <c r="N128" t="str">
        <f t="shared" si="6"/>
        <v>Importation de Amidon = 102 kt (Douanes françaises - Eurostat)</v>
      </c>
      <c r="O128" s="26" t="str">
        <f>Etiquettes!$J$15</f>
        <v>Probable</v>
      </c>
      <c r="P128" s="603" t="str">
        <f>Etiquettes!$H$16</f>
        <v>Données collectées</v>
      </c>
      <c r="Q128" s="603" t="str">
        <f>Etiquettes!$H$17</f>
        <v>Donnée collectée (valeur du flux ou coefficient)</v>
      </c>
      <c r="S128" s="693"/>
    </row>
    <row r="129" spans="1:19">
      <c r="A129" t="str">
        <f>Produits!$B$11</f>
        <v>Amidon</v>
      </c>
      <c r="B129" t="str">
        <f>Secteurs!$B$56</f>
        <v>Exportations</v>
      </c>
      <c r="C129" s="86">
        <f>'Prétraitement échanges'!P148</f>
        <v>45.585858999999999</v>
      </c>
      <c r="E129" t="str">
        <f>Etiquettes!$C$3</f>
        <v>kt</v>
      </c>
      <c r="F129" s="26" t="str">
        <f>Etiquettes!$H$6</f>
        <v>Blé tendre</v>
      </c>
      <c r="G129" s="26" t="str">
        <f>Etiquettes!$J$5</f>
        <v>2023-24</v>
      </c>
      <c r="H129" t="str">
        <f>Etiquettes!$C$4</f>
        <v>France entière</v>
      </c>
      <c r="I129" t="str">
        <f t="shared" si="24"/>
        <v>Exportation de Amidon</v>
      </c>
      <c r="J129"/>
      <c r="K129" t="s">
        <v>1591</v>
      </c>
      <c r="L129" s="26" t="str" cm="1">
        <f t="array" aca="1" ref="L129" ca="1">[1]!NOM_FEUILLE('Comext mensuel - EUROSTAT'!$A$1)</f>
        <v>Comext mensuel - EUROSTAT</v>
      </c>
      <c r="M129" s="26" t="str">
        <f>Etiquettes!$H$11</f>
        <v>Volume</v>
      </c>
      <c r="N129" t="str">
        <f t="shared" si="6"/>
        <v>Exportation de Amidon = 46 kt (Douanes françaises - Eurostat)</v>
      </c>
      <c r="O129" s="26" t="str">
        <f>Etiquettes!$J$15</f>
        <v>Probable</v>
      </c>
      <c r="P129" s="603" t="str">
        <f>Etiquettes!$H$16</f>
        <v>Données collectées</v>
      </c>
      <c r="Q129" s="603" t="str">
        <f>Etiquettes!$H$17</f>
        <v>Donnée collectée (valeur du flux ou coefficient)</v>
      </c>
      <c r="S129" s="693"/>
    </row>
    <row r="130" spans="1:19">
      <c r="A130" t="str">
        <f>Secteurs!$B$55</f>
        <v>Importations</v>
      </c>
      <c r="B130" t="str">
        <f>Produits!$B$11</f>
        <v>Amidon</v>
      </c>
      <c r="C130" s="86">
        <f>'Prétraitement échanges'!K149</f>
        <v>90.634009000000006</v>
      </c>
      <c r="E130" t="str">
        <f>Etiquettes!$C$3</f>
        <v>kt</v>
      </c>
      <c r="F130" s="26" t="str">
        <f>Etiquettes!$I$6</f>
        <v>Maïs</v>
      </c>
      <c r="G130" s="26" t="str">
        <f>Etiquettes!$H$5</f>
        <v>2015-16</v>
      </c>
      <c r="H130" t="str">
        <f>Etiquettes!$C$4</f>
        <v>France entière</v>
      </c>
      <c r="I130" t="str">
        <f t="shared" si="23"/>
        <v>Importation de Amidon</v>
      </c>
      <c r="J130"/>
      <c r="K130" t="s">
        <v>1591</v>
      </c>
      <c r="L130" s="26" t="str" cm="1">
        <f t="array" aca="1" ref="L130" ca="1">[1]!NOM_FEUILLE('Comext mensuel - EUROSTAT'!$A$1)</f>
        <v>Comext mensuel - EUROSTAT</v>
      </c>
      <c r="M130" s="26" t="str">
        <f>Etiquettes!$H$11</f>
        <v>Volume</v>
      </c>
      <c r="N130" t="str">
        <f t="shared" si="6"/>
        <v>Importation de Amidon = 91 kt (Douanes françaises - Eurostat)</v>
      </c>
      <c r="O130" s="26" t="str">
        <f>Etiquettes!$J$15</f>
        <v>Probable</v>
      </c>
      <c r="P130" s="603" t="str">
        <f>Etiquettes!$H$16</f>
        <v>Données collectées</v>
      </c>
      <c r="Q130" s="603" t="str">
        <f>Etiquettes!$H$17</f>
        <v>Donnée collectée (valeur du flux ou coefficient)</v>
      </c>
      <c r="S130" s="693"/>
    </row>
    <row r="131" spans="1:19">
      <c r="A131" t="str">
        <f>Produits!$B$11</f>
        <v>Amidon</v>
      </c>
      <c r="B131" t="str">
        <f>Secteurs!$B$56</f>
        <v>Exportations</v>
      </c>
      <c r="C131" s="86">
        <f>'Prétraitement échanges'!L149</f>
        <v>0</v>
      </c>
      <c r="E131" t="str">
        <f>Etiquettes!$C$3</f>
        <v>kt</v>
      </c>
      <c r="F131" s="26" t="str">
        <f>Etiquettes!$I$6</f>
        <v>Maïs</v>
      </c>
      <c r="G131" s="26" t="str">
        <f>Etiquettes!$H$5</f>
        <v>2015-16</v>
      </c>
      <c r="H131" t="str">
        <f>Etiquettes!$C$4</f>
        <v>France entière</v>
      </c>
      <c r="I131" t="str">
        <f t="shared" si="24"/>
        <v>Exportation de Amidon</v>
      </c>
      <c r="J131"/>
      <c r="K131" t="s">
        <v>1591</v>
      </c>
      <c r="L131" s="26" t="str" cm="1">
        <f t="array" aca="1" ref="L131" ca="1">[1]!NOM_FEUILLE('Comext mensuel - EUROSTAT'!$A$1)</f>
        <v>Comext mensuel - EUROSTAT</v>
      </c>
      <c r="M131" s="26" t="str">
        <f>Etiquettes!$H$11</f>
        <v>Volume</v>
      </c>
      <c r="N131" t="str">
        <f t="shared" ref="N131:N191" si="25">_xlfn.CONCAT(I131,IF(ISBLANK(C131),"",_xlfn.CONCAT(" = ",MROUND(C131,1)," ",E131))," (",K131,")")</f>
        <v>Exportation de Amidon = 0 kt (Douanes françaises - Eurostat)</v>
      </c>
      <c r="O131" s="26" t="str">
        <f>Etiquettes!$J$15</f>
        <v>Probable</v>
      </c>
      <c r="P131" s="603" t="str">
        <f>Etiquettes!$H$16</f>
        <v>Données collectées</v>
      </c>
      <c r="Q131" s="603" t="str">
        <f>Etiquettes!$H$17</f>
        <v>Donnée collectée (valeur du flux ou coefficient)</v>
      </c>
      <c r="S131" s="693"/>
    </row>
    <row r="132" spans="1:19">
      <c r="A132" t="str">
        <f>Secteurs!$B$55</f>
        <v>Importations</v>
      </c>
      <c r="B132" t="str">
        <f>Produits!$B$11</f>
        <v>Amidon</v>
      </c>
      <c r="C132" s="86">
        <f>'Prétraitement échanges'!M149</f>
        <v>110.760411</v>
      </c>
      <c r="E132" t="str">
        <f>Etiquettes!$C$3</f>
        <v>kt</v>
      </c>
      <c r="F132" s="26" t="str">
        <f>Etiquettes!$I$6</f>
        <v>Maïs</v>
      </c>
      <c r="G132" s="26" t="str">
        <f>Etiquettes!$I$5</f>
        <v>2019-20</v>
      </c>
      <c r="H132" t="str">
        <f>Etiquettes!$C$4</f>
        <v>France entière</v>
      </c>
      <c r="I132" t="str">
        <f t="shared" si="23"/>
        <v>Importation de Amidon</v>
      </c>
      <c r="J132"/>
      <c r="K132" t="s">
        <v>1591</v>
      </c>
      <c r="L132" s="26" t="str" cm="1">
        <f t="array" aca="1" ref="L132" ca="1">[1]!NOM_FEUILLE('Comext mensuel - EUROSTAT'!$A$1)</f>
        <v>Comext mensuel - EUROSTAT</v>
      </c>
      <c r="M132" s="26" t="str">
        <f>Etiquettes!$H$11</f>
        <v>Volume</v>
      </c>
      <c r="N132" t="str">
        <f t="shared" si="25"/>
        <v>Importation de Amidon = 111 kt (Douanes françaises - Eurostat)</v>
      </c>
      <c r="O132" s="26" t="str">
        <f>Etiquettes!$J$15</f>
        <v>Probable</v>
      </c>
      <c r="P132" s="603" t="str">
        <f>Etiquettes!$H$16</f>
        <v>Données collectées</v>
      </c>
      <c r="Q132" s="603" t="str">
        <f>Etiquettes!$H$17</f>
        <v>Donnée collectée (valeur du flux ou coefficient)</v>
      </c>
      <c r="S132" s="693"/>
    </row>
    <row r="133" spans="1:19">
      <c r="A133" t="str">
        <f>Produits!$B$11</f>
        <v>Amidon</v>
      </c>
      <c r="B133" t="str">
        <f>Secteurs!$B$56</f>
        <v>Exportations</v>
      </c>
      <c r="C133" s="86">
        <f>'Prétraitement échanges'!N149</f>
        <v>0</v>
      </c>
      <c r="E133" t="str">
        <f>Etiquettes!$C$3</f>
        <v>kt</v>
      </c>
      <c r="F133" s="26" t="str">
        <f>Etiquettes!$I$6</f>
        <v>Maïs</v>
      </c>
      <c r="G133" s="26" t="str">
        <f>Etiquettes!$I$5</f>
        <v>2019-20</v>
      </c>
      <c r="H133" t="str">
        <f>Etiquettes!$C$4</f>
        <v>France entière</v>
      </c>
      <c r="I133" t="str">
        <f t="shared" si="24"/>
        <v>Exportation de Amidon</v>
      </c>
      <c r="J133"/>
      <c r="K133" t="s">
        <v>1591</v>
      </c>
      <c r="L133" s="26" t="str" cm="1">
        <f t="array" aca="1" ref="L133" ca="1">[1]!NOM_FEUILLE('Comext mensuel - EUROSTAT'!$A$1)</f>
        <v>Comext mensuel - EUROSTAT</v>
      </c>
      <c r="M133" s="26" t="str">
        <f>Etiquettes!$H$11</f>
        <v>Volume</v>
      </c>
      <c r="N133" t="str">
        <f t="shared" si="25"/>
        <v>Exportation de Amidon = 0 kt (Douanes françaises - Eurostat)</v>
      </c>
      <c r="O133" s="26" t="str">
        <f>Etiquettes!$J$15</f>
        <v>Probable</v>
      </c>
      <c r="P133" s="603" t="str">
        <f>Etiquettes!$H$16</f>
        <v>Données collectées</v>
      </c>
      <c r="Q133" s="603" t="str">
        <f>Etiquettes!$H$17</f>
        <v>Donnée collectée (valeur du flux ou coefficient)</v>
      </c>
      <c r="S133" s="693"/>
    </row>
    <row r="134" spans="1:19">
      <c r="A134" t="str">
        <f>Secteurs!$B$55</f>
        <v>Importations</v>
      </c>
      <c r="B134" t="str">
        <f>Produits!$B$11</f>
        <v>Amidon</v>
      </c>
      <c r="C134" s="86">
        <f>'Prétraitement échanges'!O149</f>
        <v>111.736907</v>
      </c>
      <c r="E134" t="str">
        <f>Etiquettes!$C$3</f>
        <v>kt</v>
      </c>
      <c r="F134" s="26" t="str">
        <f>Etiquettes!$I$6</f>
        <v>Maïs</v>
      </c>
      <c r="G134" s="26" t="str">
        <f>Etiquettes!$J$5</f>
        <v>2023-24</v>
      </c>
      <c r="H134" t="str">
        <f>Etiquettes!$C$4</f>
        <v>France entière</v>
      </c>
      <c r="I134" t="str">
        <f t="shared" si="23"/>
        <v>Importation de Amidon</v>
      </c>
      <c r="J134"/>
      <c r="K134" t="s">
        <v>1591</v>
      </c>
      <c r="L134" s="26" t="str" cm="1">
        <f t="array" aca="1" ref="L134" ca="1">[1]!NOM_FEUILLE('Comext mensuel - EUROSTAT'!$A$1)</f>
        <v>Comext mensuel - EUROSTAT</v>
      </c>
      <c r="M134" s="26" t="str">
        <f>Etiquettes!$H$11</f>
        <v>Volume</v>
      </c>
      <c r="N134" t="str">
        <f t="shared" si="25"/>
        <v>Importation de Amidon = 112 kt (Douanes françaises - Eurostat)</v>
      </c>
      <c r="O134" s="26" t="str">
        <f>Etiquettes!$J$15</f>
        <v>Probable</v>
      </c>
      <c r="P134" s="603" t="str">
        <f>Etiquettes!$H$16</f>
        <v>Données collectées</v>
      </c>
      <c r="Q134" s="603" t="str">
        <f>Etiquettes!$H$17</f>
        <v>Donnée collectée (valeur du flux ou coefficient)</v>
      </c>
      <c r="S134" s="693"/>
    </row>
    <row r="135" spans="1:19">
      <c r="A135" t="str">
        <f>Produits!$B$11</f>
        <v>Amidon</v>
      </c>
      <c r="B135" t="str">
        <f>Secteurs!$B$56</f>
        <v>Exportations</v>
      </c>
      <c r="C135" s="86">
        <f>'Prétraitement échanges'!P149</f>
        <v>103.74243200000001</v>
      </c>
      <c r="E135" t="str">
        <f>Etiquettes!$C$3</f>
        <v>kt</v>
      </c>
      <c r="F135" s="26" t="str">
        <f>Etiquettes!$I$6</f>
        <v>Maïs</v>
      </c>
      <c r="G135" s="26" t="str">
        <f>Etiquettes!$J$5</f>
        <v>2023-24</v>
      </c>
      <c r="H135" t="str">
        <f>Etiquettes!$C$4</f>
        <v>France entière</v>
      </c>
      <c r="I135" t="str">
        <f t="shared" si="24"/>
        <v>Exportation de Amidon</v>
      </c>
      <c r="J135"/>
      <c r="K135" t="s">
        <v>1591</v>
      </c>
      <c r="L135" s="26" t="str" cm="1">
        <f t="array" aca="1" ref="L135" ca="1">[1]!NOM_FEUILLE('Comext mensuel - EUROSTAT'!$A$1)</f>
        <v>Comext mensuel - EUROSTAT</v>
      </c>
      <c r="M135" s="26" t="str">
        <f>Etiquettes!$H$11</f>
        <v>Volume</v>
      </c>
      <c r="N135" t="str">
        <f t="shared" si="25"/>
        <v>Exportation de Amidon = 104 kt (Douanes françaises - Eurostat)</v>
      </c>
      <c r="O135" s="26" t="str">
        <f>Etiquettes!$J$15</f>
        <v>Probable</v>
      </c>
      <c r="P135" s="603" t="str">
        <f>Etiquettes!$H$16</f>
        <v>Données collectées</v>
      </c>
      <c r="Q135" s="603" t="str">
        <f>Etiquettes!$H$17</f>
        <v>Donnée collectée (valeur du flux ou coefficient)</v>
      </c>
      <c r="S135" s="693"/>
    </row>
    <row r="136" spans="1:19">
      <c r="A136" t="str">
        <f>Secteurs!$B$55</f>
        <v>Importations</v>
      </c>
      <c r="B136" t="str">
        <f>Produits!$B$11</f>
        <v>Amidon</v>
      </c>
      <c r="C136" s="571">
        <v>0</v>
      </c>
      <c r="E136" t="str">
        <f>Etiquettes!$C$3</f>
        <v>kt</v>
      </c>
      <c r="F136" s="26" t="s">
        <v>1713</v>
      </c>
      <c r="G136" s="26" t="str">
        <f>Etiquettes!$C$5</f>
        <v>2015-16:2019-20:2023-24</v>
      </c>
      <c r="H136" t="str">
        <f>Etiquettes!$C$4</f>
        <v>France entière</v>
      </c>
      <c r="I136"/>
      <c r="J136"/>
      <c r="K136"/>
      <c r="N136"/>
      <c r="P136" s="603"/>
      <c r="Q136" s="603"/>
      <c r="R136" s="693" t="s">
        <v>1417</v>
      </c>
      <c r="S136" s="693"/>
    </row>
    <row r="137" spans="1:19">
      <c r="A137" t="str">
        <f>Produits!$B$11</f>
        <v>Amidon</v>
      </c>
      <c r="B137" t="str">
        <f>Secteurs!$B$56</f>
        <v>Exportations</v>
      </c>
      <c r="C137" s="571">
        <v>0</v>
      </c>
      <c r="E137" t="str">
        <f>Etiquettes!$C$3</f>
        <v>kt</v>
      </c>
      <c r="F137" s="26" t="s">
        <v>1713</v>
      </c>
      <c r="G137" s="26" t="str">
        <f>Etiquettes!$C$5</f>
        <v>2015-16:2019-20:2023-24</v>
      </c>
      <c r="H137" t="str">
        <f>Etiquettes!$C$4</f>
        <v>France entière</v>
      </c>
      <c r="I137"/>
      <c r="J137"/>
      <c r="K137"/>
      <c r="N137"/>
      <c r="P137" s="603"/>
      <c r="Q137" s="603"/>
      <c r="R137" s="693"/>
      <c r="S137" s="693"/>
    </row>
    <row r="138" spans="1:19">
      <c r="A138" t="str">
        <f>Secteurs!$B$55</f>
        <v>Importations</v>
      </c>
      <c r="B138" t="str">
        <f>Produits!$B$12</f>
        <v>Gluten</v>
      </c>
      <c r="C138" s="86">
        <f>'Prétraitement échanges'!K151</f>
        <v>46.958866999999998</v>
      </c>
      <c r="E138" t="str">
        <f>Etiquettes!$C$3</f>
        <v>kt</v>
      </c>
      <c r="F138" s="26" t="str">
        <f>Etiquettes!$H$6</f>
        <v>Blé tendre</v>
      </c>
      <c r="G138" s="26" t="str">
        <f>Etiquettes!$H$5</f>
        <v>2015-16</v>
      </c>
      <c r="H138" t="str">
        <f>Etiquettes!$C$4</f>
        <v>France entière</v>
      </c>
      <c r="I138" t="str">
        <f t="shared" si="23"/>
        <v>Importation de Gluten</v>
      </c>
      <c r="J138"/>
      <c r="K138" t="s">
        <v>1591</v>
      </c>
      <c r="L138" s="26" t="str" cm="1">
        <f t="array" aca="1" ref="L138" ca="1">[1]!NOM_FEUILLE('Comext mensuel - EUROSTAT'!$A$1)</f>
        <v>Comext mensuel - EUROSTAT</v>
      </c>
      <c r="M138" s="26" t="str">
        <f>Etiquettes!$H$11</f>
        <v>Volume</v>
      </c>
      <c r="N138" t="str">
        <f t="shared" si="25"/>
        <v>Importation de Gluten = 47 kt (Douanes françaises - Eurostat)</v>
      </c>
      <c r="O138" s="26" t="str">
        <f>Etiquettes!$J$15</f>
        <v>Probable</v>
      </c>
      <c r="P138" s="603" t="str">
        <f>Etiquettes!$H$16</f>
        <v>Données collectées</v>
      </c>
      <c r="Q138" s="603" t="str">
        <f>Etiquettes!$H$17</f>
        <v>Donnée collectée (valeur du flux ou coefficient)</v>
      </c>
      <c r="S138" s="693"/>
    </row>
    <row r="139" spans="1:19">
      <c r="A139" t="str">
        <f>Produits!$B$12</f>
        <v>Gluten</v>
      </c>
      <c r="B139" t="str">
        <f>Secteurs!$B$56</f>
        <v>Exportations</v>
      </c>
      <c r="C139" s="86">
        <f>'Prétraitement échanges'!L151</f>
        <v>135.0497</v>
      </c>
      <c r="E139" t="str">
        <f>Etiquettes!$C$3</f>
        <v>kt</v>
      </c>
      <c r="F139" s="26" t="str">
        <f>Etiquettes!$H$6</f>
        <v>Blé tendre</v>
      </c>
      <c r="G139" s="26" t="str">
        <f>Etiquettes!$H$5</f>
        <v>2015-16</v>
      </c>
      <c r="H139" t="str">
        <f>Etiquettes!$C$4</f>
        <v>France entière</v>
      </c>
      <c r="I139" t="str">
        <f t="shared" si="24"/>
        <v>Exportation de Gluten</v>
      </c>
      <c r="J139"/>
      <c r="K139" t="s">
        <v>1591</v>
      </c>
      <c r="L139" s="26" t="str" cm="1">
        <f t="array" aca="1" ref="L139" ca="1">[1]!NOM_FEUILLE('Comext mensuel - EUROSTAT'!$A$1)</f>
        <v>Comext mensuel - EUROSTAT</v>
      </c>
      <c r="M139" s="26" t="str">
        <f>Etiquettes!$H$11</f>
        <v>Volume</v>
      </c>
      <c r="N139" t="str">
        <f t="shared" si="25"/>
        <v>Exportation de Gluten = 135 kt (Douanes françaises - Eurostat)</v>
      </c>
      <c r="O139" s="26" t="str">
        <f>Etiquettes!$J$15</f>
        <v>Probable</v>
      </c>
      <c r="P139" s="603" t="str">
        <f>Etiquettes!$H$16</f>
        <v>Données collectées</v>
      </c>
      <c r="Q139" s="603" t="str">
        <f>Etiquettes!$H$17</f>
        <v>Donnée collectée (valeur du flux ou coefficient)</v>
      </c>
      <c r="S139" s="693"/>
    </row>
    <row r="140" spans="1:19">
      <c r="A140" t="str">
        <f>Secteurs!$B$55</f>
        <v>Importations</v>
      </c>
      <c r="B140" t="str">
        <f>Produits!$B$12</f>
        <v>Gluten</v>
      </c>
      <c r="C140" s="86">
        <f>'Prétraitement échanges'!M151</f>
        <v>59.637708999999994</v>
      </c>
      <c r="E140" t="str">
        <f>Etiquettes!$C$3</f>
        <v>kt</v>
      </c>
      <c r="F140" s="26" t="str">
        <f>Etiquettes!$H$6</f>
        <v>Blé tendre</v>
      </c>
      <c r="G140" s="26" t="str">
        <f>Etiquettes!$I$5</f>
        <v>2019-20</v>
      </c>
      <c r="H140" t="str">
        <f>Etiquettes!$C$4</f>
        <v>France entière</v>
      </c>
      <c r="I140" t="str">
        <f t="shared" si="23"/>
        <v>Importation de Gluten</v>
      </c>
      <c r="J140"/>
      <c r="K140" t="s">
        <v>1591</v>
      </c>
      <c r="L140" s="26" t="str" cm="1">
        <f t="array" aca="1" ref="L140" ca="1">[1]!NOM_FEUILLE('Comext mensuel - EUROSTAT'!$A$1)</f>
        <v>Comext mensuel - EUROSTAT</v>
      </c>
      <c r="M140" s="26" t="str">
        <f>Etiquettes!$H$11</f>
        <v>Volume</v>
      </c>
      <c r="N140" t="str">
        <f t="shared" si="25"/>
        <v>Importation de Gluten = 60 kt (Douanes françaises - Eurostat)</v>
      </c>
      <c r="O140" s="26" t="str">
        <f>Etiquettes!$J$15</f>
        <v>Probable</v>
      </c>
      <c r="P140" s="603" t="str">
        <f>Etiquettes!$H$16</f>
        <v>Données collectées</v>
      </c>
      <c r="Q140" s="603" t="str">
        <f>Etiquettes!$H$17</f>
        <v>Donnée collectée (valeur du flux ou coefficient)</v>
      </c>
      <c r="S140" s="693"/>
    </row>
    <row r="141" spans="1:19">
      <c r="A141" t="str">
        <f>Produits!$B$12</f>
        <v>Gluten</v>
      </c>
      <c r="B141" t="str">
        <f>Secteurs!$B$56</f>
        <v>Exportations</v>
      </c>
      <c r="C141" s="86">
        <f>'Prétraitement échanges'!N151</f>
        <v>128.74934000000002</v>
      </c>
      <c r="E141" t="str">
        <f>Etiquettes!$C$3</f>
        <v>kt</v>
      </c>
      <c r="F141" s="26" t="str">
        <f>Etiquettes!$H$6</f>
        <v>Blé tendre</v>
      </c>
      <c r="G141" s="26" t="str">
        <f>Etiquettes!$I$5</f>
        <v>2019-20</v>
      </c>
      <c r="H141" t="str">
        <f>Etiquettes!$C$4</f>
        <v>France entière</v>
      </c>
      <c r="I141" t="str">
        <f t="shared" si="24"/>
        <v>Exportation de Gluten</v>
      </c>
      <c r="J141"/>
      <c r="K141" t="s">
        <v>1591</v>
      </c>
      <c r="L141" s="26" t="str" cm="1">
        <f t="array" aca="1" ref="L141" ca="1">[1]!NOM_FEUILLE('Comext mensuel - EUROSTAT'!$A$1)</f>
        <v>Comext mensuel - EUROSTAT</v>
      </c>
      <c r="M141" s="26" t="str">
        <f>Etiquettes!$H$11</f>
        <v>Volume</v>
      </c>
      <c r="N141" t="str">
        <f t="shared" si="25"/>
        <v>Exportation de Gluten = 129 kt (Douanes françaises - Eurostat)</v>
      </c>
      <c r="O141" s="26" t="str">
        <f>Etiquettes!$J$15</f>
        <v>Probable</v>
      </c>
      <c r="P141" s="603" t="str">
        <f>Etiquettes!$H$16</f>
        <v>Données collectées</v>
      </c>
      <c r="Q141" s="603" t="str">
        <f>Etiquettes!$H$17</f>
        <v>Donnée collectée (valeur du flux ou coefficient)</v>
      </c>
      <c r="S141" s="693"/>
    </row>
    <row r="142" spans="1:19">
      <c r="A142" t="str">
        <f>Secteurs!$B$55</f>
        <v>Importations</v>
      </c>
      <c r="B142" t="str">
        <f>Produits!$B$12</f>
        <v>Gluten</v>
      </c>
      <c r="C142" s="86">
        <f>'Prétraitement échanges'!O151</f>
        <v>66.882270000000005</v>
      </c>
      <c r="E142" t="str">
        <f>Etiquettes!$C$3</f>
        <v>kt</v>
      </c>
      <c r="F142" s="26" t="str">
        <f>Etiquettes!$H$6</f>
        <v>Blé tendre</v>
      </c>
      <c r="G142" s="26" t="str">
        <f>Etiquettes!$J$5</f>
        <v>2023-24</v>
      </c>
      <c r="H142" t="str">
        <f>Etiquettes!$C$4</f>
        <v>France entière</v>
      </c>
      <c r="I142" t="str">
        <f t="shared" si="23"/>
        <v>Importation de Gluten</v>
      </c>
      <c r="J142"/>
      <c r="K142" t="s">
        <v>1591</v>
      </c>
      <c r="L142" s="26" t="str" cm="1">
        <f t="array" aca="1" ref="L142" ca="1">[1]!NOM_FEUILLE('Comext mensuel - EUROSTAT'!$A$1)</f>
        <v>Comext mensuel - EUROSTAT</v>
      </c>
      <c r="M142" s="26" t="str">
        <f>Etiquettes!$H$11</f>
        <v>Volume</v>
      </c>
      <c r="N142" t="str">
        <f t="shared" si="25"/>
        <v>Importation de Gluten = 67 kt (Douanes françaises - Eurostat)</v>
      </c>
      <c r="O142" s="26" t="str">
        <f>Etiquettes!$J$15</f>
        <v>Probable</v>
      </c>
      <c r="P142" s="603" t="str">
        <f>Etiquettes!$H$16</f>
        <v>Données collectées</v>
      </c>
      <c r="Q142" s="603" t="str">
        <f>Etiquettes!$H$17</f>
        <v>Donnée collectée (valeur du flux ou coefficient)</v>
      </c>
      <c r="S142" s="693"/>
    </row>
    <row r="143" spans="1:19">
      <c r="A143" t="str">
        <f>Produits!$B$12</f>
        <v>Gluten</v>
      </c>
      <c r="B143" t="str">
        <f>Secteurs!$B$56</f>
        <v>Exportations</v>
      </c>
      <c r="C143" s="86">
        <f>'Prétraitement échanges'!P151</f>
        <v>121.81864100000001</v>
      </c>
      <c r="E143" t="str">
        <f>Etiquettes!$C$3</f>
        <v>kt</v>
      </c>
      <c r="F143" s="26" t="str">
        <f>Etiquettes!$H$6</f>
        <v>Blé tendre</v>
      </c>
      <c r="G143" s="26" t="str">
        <f>Etiquettes!$J$5</f>
        <v>2023-24</v>
      </c>
      <c r="H143" t="str">
        <f>Etiquettes!$C$4</f>
        <v>France entière</v>
      </c>
      <c r="I143" t="str">
        <f t="shared" si="24"/>
        <v>Exportation de Gluten</v>
      </c>
      <c r="J143"/>
      <c r="K143" t="s">
        <v>1591</v>
      </c>
      <c r="L143" s="26" t="str" cm="1">
        <f t="array" aca="1" ref="L143" ca="1">[1]!NOM_FEUILLE('Comext mensuel - EUROSTAT'!$A$1)</f>
        <v>Comext mensuel - EUROSTAT</v>
      </c>
      <c r="M143" s="26" t="str">
        <f>Etiquettes!$H$11</f>
        <v>Volume</v>
      </c>
      <c r="N143" t="str">
        <f t="shared" si="25"/>
        <v>Exportation de Gluten = 122 kt (Douanes françaises - Eurostat)</v>
      </c>
      <c r="O143" s="26" t="str">
        <f>Etiquettes!$J$15</f>
        <v>Probable</v>
      </c>
      <c r="P143" s="603" t="str">
        <f>Etiquettes!$H$16</f>
        <v>Données collectées</v>
      </c>
      <c r="Q143" s="603" t="str">
        <f>Etiquettes!$H$17</f>
        <v>Donnée collectée (valeur du flux ou coefficient)</v>
      </c>
      <c r="S143" s="693"/>
    </row>
    <row r="144" spans="1:19">
      <c r="A144" t="str">
        <f>Secteurs!$B$55</f>
        <v>Importations</v>
      </c>
      <c r="B144" t="str">
        <f>Produits!$B$12</f>
        <v>Gluten</v>
      </c>
      <c r="C144" s="571">
        <v>0</v>
      </c>
      <c r="E144" t="str">
        <f>Etiquettes!$C$3</f>
        <v>kt</v>
      </c>
      <c r="F144" s="26" t="s">
        <v>1714</v>
      </c>
      <c r="G144" s="26" t="str">
        <f>Etiquettes!$C$5</f>
        <v>2015-16:2019-20:2023-24</v>
      </c>
      <c r="H144" t="str">
        <f>Etiquettes!$C$4</f>
        <v>France entière</v>
      </c>
      <c r="I144"/>
      <c r="J144"/>
      <c r="K144"/>
      <c r="N144"/>
      <c r="P144" s="603"/>
      <c r="Q144" s="603"/>
      <c r="R144" s="693" t="s">
        <v>1416</v>
      </c>
      <c r="S144" s="693"/>
    </row>
    <row r="145" spans="1:19">
      <c r="A145" t="str">
        <f>Produits!$B$12</f>
        <v>Gluten</v>
      </c>
      <c r="B145" t="str">
        <f>Secteurs!$B$56</f>
        <v>Exportations</v>
      </c>
      <c r="C145" s="571">
        <v>0</v>
      </c>
      <c r="E145" t="str">
        <f>Etiquettes!$C$3</f>
        <v>kt</v>
      </c>
      <c r="F145" s="26" t="s">
        <v>1714</v>
      </c>
      <c r="G145" s="26" t="str">
        <f>Etiquettes!$C$5</f>
        <v>2015-16:2019-20:2023-24</v>
      </c>
      <c r="H145" t="str">
        <f>Etiquettes!$C$4</f>
        <v>France entière</v>
      </c>
      <c r="I145"/>
      <c r="J145"/>
      <c r="K145"/>
      <c r="N145"/>
      <c r="P145" s="603"/>
      <c r="Q145" s="603"/>
      <c r="R145" s="693"/>
      <c r="S145" s="693"/>
    </row>
    <row r="146" spans="1:19">
      <c r="A146" t="str">
        <f>Secteurs!$B$55</f>
        <v>Importations</v>
      </c>
      <c r="B146" t="str">
        <f>Produits!$B$15</f>
        <v>Huile</v>
      </c>
      <c r="C146" s="86">
        <f>'Prétraitement échanges'!K152+'Prétraitement échanges'!K153+'Prétraitement échanges'!K154+'Prétraitement échanges'!K155</f>
        <v>5.1664459999999996</v>
      </c>
      <c r="E146" t="str">
        <f>Etiquettes!$C$3</f>
        <v>kt</v>
      </c>
      <c r="F146" s="26" t="str">
        <f>Etiquettes!$I$6</f>
        <v>Maïs</v>
      </c>
      <c r="G146" s="26" t="str">
        <f>Etiquettes!$H$5</f>
        <v>2015-16</v>
      </c>
      <c r="H146" t="str">
        <f>Etiquettes!$C$4</f>
        <v>France entière</v>
      </c>
      <c r="I146" t="str">
        <f t="shared" si="23"/>
        <v>Importation de Huile</v>
      </c>
      <c r="J146"/>
      <c r="K146" t="s">
        <v>1591</v>
      </c>
      <c r="L146" s="26" t="str" cm="1">
        <f t="array" aca="1" ref="L146" ca="1">[1]!NOM_FEUILLE('Comext mensuel - EUROSTAT'!$A$1)</f>
        <v>Comext mensuel - EUROSTAT</v>
      </c>
      <c r="M146" s="26" t="str">
        <f>Etiquettes!$H$11</f>
        <v>Volume</v>
      </c>
      <c r="N146" t="str">
        <f t="shared" si="25"/>
        <v>Importation de Huile = 5 kt (Douanes françaises - Eurostat)</v>
      </c>
      <c r="O146" s="26" t="str">
        <f>Etiquettes!$J$15</f>
        <v>Probable</v>
      </c>
      <c r="P146" s="603" t="str">
        <f>Etiquettes!$H$16</f>
        <v>Données collectées</v>
      </c>
      <c r="Q146" s="603" t="str">
        <f>Etiquettes!$H$17</f>
        <v>Donnée collectée (valeur du flux ou coefficient)</v>
      </c>
      <c r="S146" s="693" t="s">
        <v>1381</v>
      </c>
    </row>
    <row r="147" spans="1:19">
      <c r="A147" t="str">
        <f>Produits!$B$15</f>
        <v>Huile</v>
      </c>
      <c r="B147" t="str">
        <f>Secteurs!$B$56</f>
        <v>Exportations</v>
      </c>
      <c r="C147" s="86">
        <f>'Prétraitement échanges'!L152+'Prétraitement échanges'!L153+'Prétraitement échanges'!L154+'Prétraitement échanges'!L155</f>
        <v>27.259102000000002</v>
      </c>
      <c r="E147" t="str">
        <f>Etiquettes!$C$3</f>
        <v>kt</v>
      </c>
      <c r="F147" s="26" t="str">
        <f>Etiquettes!$I$6</f>
        <v>Maïs</v>
      </c>
      <c r="G147" s="26" t="str">
        <f>Etiquettes!$H$5</f>
        <v>2015-16</v>
      </c>
      <c r="H147" t="str">
        <f>Etiquettes!$C$4</f>
        <v>France entière</v>
      </c>
      <c r="I147" t="str">
        <f t="shared" si="24"/>
        <v>Exportation de Huile</v>
      </c>
      <c r="J147"/>
      <c r="K147" t="s">
        <v>1591</v>
      </c>
      <c r="L147" s="26" t="str" cm="1">
        <f t="array" aca="1" ref="L147" ca="1">[1]!NOM_FEUILLE('Comext mensuel - EUROSTAT'!$A$1)</f>
        <v>Comext mensuel - EUROSTAT</v>
      </c>
      <c r="M147" s="26" t="str">
        <f>Etiquettes!$H$11</f>
        <v>Volume</v>
      </c>
      <c r="N147" t="str">
        <f t="shared" si="25"/>
        <v>Exportation de Huile = 27 kt (Douanes françaises - Eurostat)</v>
      </c>
      <c r="O147" s="26" t="str">
        <f>Etiquettes!$J$15</f>
        <v>Probable</v>
      </c>
      <c r="P147" s="603" t="str">
        <f>Etiquettes!$H$16</f>
        <v>Données collectées</v>
      </c>
      <c r="Q147" s="603" t="str">
        <f>Etiquettes!$H$17</f>
        <v>Donnée collectée (valeur du flux ou coefficient)</v>
      </c>
      <c r="S147" s="693"/>
    </row>
    <row r="148" spans="1:19">
      <c r="A148" t="str">
        <f>Secteurs!$B$55</f>
        <v>Importations</v>
      </c>
      <c r="B148" t="str">
        <f>Produits!$B$15</f>
        <v>Huile</v>
      </c>
      <c r="C148" s="86">
        <f>'Prétraitement échanges'!M152+'Prétraitement échanges'!M153+'Prétraitement échanges'!M154+'Prétraitement échanges'!M155</f>
        <v>4.0918460000000003</v>
      </c>
      <c r="E148" t="str">
        <f>Etiquettes!$C$3</f>
        <v>kt</v>
      </c>
      <c r="F148" s="26" t="str">
        <f>Etiquettes!$I$6</f>
        <v>Maïs</v>
      </c>
      <c r="G148" s="26" t="str">
        <f>Etiquettes!$I$5</f>
        <v>2019-20</v>
      </c>
      <c r="H148" t="str">
        <f>Etiquettes!$C$4</f>
        <v>France entière</v>
      </c>
      <c r="I148" t="str">
        <f t="shared" ref="I148:I190" si="26">_xlfn.CONCAT("Importation de ",B148)</f>
        <v>Importation de Huile</v>
      </c>
      <c r="J148"/>
      <c r="K148" t="s">
        <v>1591</v>
      </c>
      <c r="L148" s="26" t="str" cm="1">
        <f t="array" aca="1" ref="L148" ca="1">[1]!NOM_FEUILLE('Comext mensuel - EUROSTAT'!$A$1)</f>
        <v>Comext mensuel - EUROSTAT</v>
      </c>
      <c r="M148" s="26" t="str">
        <f>Etiquettes!$H$11</f>
        <v>Volume</v>
      </c>
      <c r="N148" t="str">
        <f t="shared" si="25"/>
        <v>Importation de Huile = 4 kt (Douanes françaises - Eurostat)</v>
      </c>
      <c r="O148" s="26" t="str">
        <f>Etiquettes!$J$15</f>
        <v>Probable</v>
      </c>
      <c r="P148" s="603" t="str">
        <f>Etiquettes!$H$16</f>
        <v>Données collectées</v>
      </c>
      <c r="Q148" s="603" t="str">
        <f>Etiquettes!$H$17</f>
        <v>Donnée collectée (valeur du flux ou coefficient)</v>
      </c>
      <c r="S148" s="693"/>
    </row>
    <row r="149" spans="1:19">
      <c r="A149" t="str">
        <f>Produits!$B$15</f>
        <v>Huile</v>
      </c>
      <c r="B149" t="str">
        <f>Secteurs!$B$56</f>
        <v>Exportations</v>
      </c>
      <c r="C149" s="86">
        <f>'Prétraitement échanges'!N152+'Prétraitement échanges'!N153+'Prétraitement échanges'!N154+'Prétraitement échanges'!N155</f>
        <v>17.187073999999999</v>
      </c>
      <c r="E149" t="str">
        <f>Etiquettes!$C$3</f>
        <v>kt</v>
      </c>
      <c r="F149" s="26" t="str">
        <f>Etiquettes!$I$6</f>
        <v>Maïs</v>
      </c>
      <c r="G149" s="26" t="str">
        <f>Etiquettes!$I$5</f>
        <v>2019-20</v>
      </c>
      <c r="H149" t="str">
        <f>Etiquettes!$C$4</f>
        <v>France entière</v>
      </c>
      <c r="I149" t="str">
        <f t="shared" ref="I149:I191" si="27">_xlfn.CONCAT("Exportation de ",A149)</f>
        <v>Exportation de Huile</v>
      </c>
      <c r="J149"/>
      <c r="K149" t="s">
        <v>1591</v>
      </c>
      <c r="L149" s="26" t="str" cm="1">
        <f t="array" aca="1" ref="L149" ca="1">[1]!NOM_FEUILLE('Comext mensuel - EUROSTAT'!$A$1)</f>
        <v>Comext mensuel - EUROSTAT</v>
      </c>
      <c r="M149" s="26" t="str">
        <f>Etiquettes!$H$11</f>
        <v>Volume</v>
      </c>
      <c r="N149" t="str">
        <f t="shared" si="25"/>
        <v>Exportation de Huile = 17 kt (Douanes françaises - Eurostat)</v>
      </c>
      <c r="O149" s="26" t="str">
        <f>Etiquettes!$J$15</f>
        <v>Probable</v>
      </c>
      <c r="P149" s="603" t="str">
        <f>Etiquettes!$H$16</f>
        <v>Données collectées</v>
      </c>
      <c r="Q149" s="603" t="str">
        <f>Etiquettes!$H$17</f>
        <v>Donnée collectée (valeur du flux ou coefficient)</v>
      </c>
      <c r="S149" s="693"/>
    </row>
    <row r="150" spans="1:19">
      <c r="A150" t="str">
        <f>Secteurs!$B$55</f>
        <v>Importations</v>
      </c>
      <c r="B150" t="str">
        <f>Produits!$B$15</f>
        <v>Huile</v>
      </c>
      <c r="C150" s="86">
        <f>'Prétraitement échanges'!O152+'Prétraitement échanges'!O153+'Prétraitement échanges'!O154+'Prétraitement échanges'!O155</f>
        <v>3.7134179999999999</v>
      </c>
      <c r="E150" t="str">
        <f>Etiquettes!$C$3</f>
        <v>kt</v>
      </c>
      <c r="F150" s="26" t="str">
        <f>Etiquettes!$I$6</f>
        <v>Maïs</v>
      </c>
      <c r="G150" s="26" t="str">
        <f>Etiquettes!$J$5</f>
        <v>2023-24</v>
      </c>
      <c r="H150" t="str">
        <f>Etiquettes!$C$4</f>
        <v>France entière</v>
      </c>
      <c r="I150" t="str">
        <f t="shared" si="26"/>
        <v>Importation de Huile</v>
      </c>
      <c r="J150"/>
      <c r="K150" t="s">
        <v>1591</v>
      </c>
      <c r="L150" s="26" t="str" cm="1">
        <f t="array" aca="1" ref="L150" ca="1">[1]!NOM_FEUILLE('Comext mensuel - EUROSTAT'!$A$1)</f>
        <v>Comext mensuel - EUROSTAT</v>
      </c>
      <c r="M150" s="26" t="str">
        <f>Etiquettes!$H$11</f>
        <v>Volume</v>
      </c>
      <c r="N150" t="str">
        <f t="shared" si="25"/>
        <v>Importation de Huile = 4 kt (Douanes françaises - Eurostat)</v>
      </c>
      <c r="O150" s="26" t="str">
        <f>Etiquettes!$J$15</f>
        <v>Probable</v>
      </c>
      <c r="P150" s="603" t="str">
        <f>Etiquettes!$H$16</f>
        <v>Données collectées</v>
      </c>
      <c r="Q150" s="603" t="str">
        <f>Etiquettes!$H$17</f>
        <v>Donnée collectée (valeur du flux ou coefficient)</v>
      </c>
      <c r="S150" s="693"/>
    </row>
    <row r="151" spans="1:19">
      <c r="A151" t="str">
        <f>Produits!$B$15</f>
        <v>Huile</v>
      </c>
      <c r="B151" t="str">
        <f>Secteurs!$B$56</f>
        <v>Exportations</v>
      </c>
      <c r="C151" s="86">
        <f>'Prétraitement échanges'!P152+'Prétraitement échanges'!P153+'Prétraitement échanges'!P154+'Prétraitement échanges'!P155</f>
        <v>15.08297</v>
      </c>
      <c r="E151" t="str">
        <f>Etiquettes!$C$3</f>
        <v>kt</v>
      </c>
      <c r="F151" s="26" t="str">
        <f>Etiquettes!$I$6</f>
        <v>Maïs</v>
      </c>
      <c r="G151" s="26" t="str">
        <f>Etiquettes!$J$5</f>
        <v>2023-24</v>
      </c>
      <c r="H151" t="str">
        <f>Etiquettes!$C$4</f>
        <v>France entière</v>
      </c>
      <c r="I151" t="str">
        <f t="shared" si="27"/>
        <v>Exportation de Huile</v>
      </c>
      <c r="J151"/>
      <c r="K151" t="s">
        <v>1591</v>
      </c>
      <c r="L151" s="26" t="str" cm="1">
        <f t="array" aca="1" ref="L151" ca="1">[1]!NOM_FEUILLE('Comext mensuel - EUROSTAT'!$A$1)</f>
        <v>Comext mensuel - EUROSTAT</v>
      </c>
      <c r="M151" s="26" t="str">
        <f>Etiquettes!$H$11</f>
        <v>Volume</v>
      </c>
      <c r="N151" t="str">
        <f t="shared" si="25"/>
        <v>Exportation de Huile = 15 kt (Douanes françaises - Eurostat)</v>
      </c>
      <c r="O151" s="26" t="str">
        <f>Etiquettes!$J$15</f>
        <v>Probable</v>
      </c>
      <c r="P151" s="603" t="str">
        <f>Etiquettes!$H$16</f>
        <v>Données collectées</v>
      </c>
      <c r="Q151" s="603" t="str">
        <f>Etiquettes!$H$17</f>
        <v>Donnée collectée (valeur du flux ou coefficient)</v>
      </c>
      <c r="S151" s="693"/>
    </row>
    <row r="152" spans="1:19">
      <c r="A152" t="str">
        <f>Secteurs!$B$55</f>
        <v>Importations</v>
      </c>
      <c r="B152" t="str">
        <f>Produits!$B$23</f>
        <v>Pâtes alimentaires sèches non préparées</v>
      </c>
      <c r="C152" s="569">
        <f>'Prétraitement échanges'!K161+'Prétraitement échanges'!K162+'Prétraitement échanges'!K163</f>
        <v>323.36025199999995</v>
      </c>
      <c r="E152" t="str">
        <f>Etiquettes!$C$3</f>
        <v>kt</v>
      </c>
      <c r="F152" s="26" t="str">
        <f>Etiquettes!$K$6</f>
        <v>Blé dur</v>
      </c>
      <c r="G152" s="26" t="str">
        <f>Etiquettes!$H$5</f>
        <v>2015-16</v>
      </c>
      <c r="H152" t="str">
        <f>Etiquettes!$C$4</f>
        <v>France entière</v>
      </c>
      <c r="I152" t="str">
        <f t="shared" si="26"/>
        <v>Importation de Pâtes alimentaires sèches non préparées</v>
      </c>
      <c r="J152"/>
      <c r="K152" t="s">
        <v>1591</v>
      </c>
      <c r="L152" s="26" t="str" cm="1">
        <f t="array" aca="1" ref="L152" ca="1">[1]!NOM_FEUILLE('Comext mensuel - EUROSTAT'!$A$1)</f>
        <v>Comext mensuel - EUROSTAT</v>
      </c>
      <c r="M152" s="26" t="str">
        <f>Etiquettes!$H$11</f>
        <v>Volume</v>
      </c>
      <c r="N152" t="str">
        <f t="shared" si="25"/>
        <v>Importation de Pâtes alimentaires sèches non préparées = 323 kt (Douanes françaises - Eurostat)</v>
      </c>
      <c r="O152" s="26" t="str">
        <f>Etiquettes!$J$15</f>
        <v>Probable</v>
      </c>
      <c r="P152" s="603" t="str">
        <f>Etiquettes!$H$16</f>
        <v>Données collectées</v>
      </c>
      <c r="Q152" s="603" t="str">
        <f>Etiquettes!$H$17</f>
        <v>Donnée collectée (valeur du flux ou coefficient)</v>
      </c>
      <c r="S152" s="693" t="s">
        <v>1382</v>
      </c>
    </row>
    <row r="153" spans="1:19">
      <c r="A153" t="str">
        <f>Produits!$B$23</f>
        <v>Pâtes alimentaires sèches non préparées</v>
      </c>
      <c r="B153" t="str">
        <f>Secteurs!$B$56</f>
        <v>Exportations</v>
      </c>
      <c r="C153" s="569">
        <f>'Prétraitement échanges'!L161+'Prétraitement échanges'!L162+'Prétraitement échanges'!L163</f>
        <v>35.756845000000006</v>
      </c>
      <c r="E153" t="str">
        <f>Etiquettes!$C$3</f>
        <v>kt</v>
      </c>
      <c r="F153" s="26" t="str">
        <f>Etiquettes!$K$6</f>
        <v>Blé dur</v>
      </c>
      <c r="G153" s="26" t="str">
        <f>Etiquettes!$H$5</f>
        <v>2015-16</v>
      </c>
      <c r="H153" t="str">
        <f>Etiquettes!$C$4</f>
        <v>France entière</v>
      </c>
      <c r="I153" t="str">
        <f t="shared" si="27"/>
        <v>Exportation de Pâtes alimentaires sèches non préparées</v>
      </c>
      <c r="J153"/>
      <c r="K153" t="s">
        <v>1591</v>
      </c>
      <c r="L153" s="26" t="str" cm="1">
        <f t="array" aca="1" ref="L153" ca="1">[1]!NOM_FEUILLE('Comext mensuel - EUROSTAT'!$A$1)</f>
        <v>Comext mensuel - EUROSTAT</v>
      </c>
      <c r="M153" s="26" t="str">
        <f>Etiquettes!$H$11</f>
        <v>Volume</v>
      </c>
      <c r="N153" t="str">
        <f t="shared" si="25"/>
        <v>Exportation de Pâtes alimentaires sèches non préparées = 36 kt (Douanes françaises - Eurostat)</v>
      </c>
      <c r="O153" s="26" t="str">
        <f>Etiquettes!$J$15</f>
        <v>Probable</v>
      </c>
      <c r="P153" s="603" t="str">
        <f>Etiquettes!$H$16</f>
        <v>Données collectées</v>
      </c>
      <c r="Q153" s="603" t="str">
        <f>Etiquettes!$H$17</f>
        <v>Donnée collectée (valeur du flux ou coefficient)</v>
      </c>
      <c r="S153" s="693"/>
    </row>
    <row r="154" spans="1:19">
      <c r="A154" t="str">
        <f>Secteurs!$B$55</f>
        <v>Importations</v>
      </c>
      <c r="B154" t="str">
        <f>Produits!$B$23</f>
        <v>Pâtes alimentaires sèches non préparées</v>
      </c>
      <c r="C154" s="569">
        <f>'Prétraitement échanges'!M161+'Prétraitement échanges'!M162+'Prétraitement échanges'!M163</f>
        <v>382.19993599999998</v>
      </c>
      <c r="E154" t="str">
        <f>Etiquettes!$C$3</f>
        <v>kt</v>
      </c>
      <c r="F154" s="26" t="str">
        <f>Etiquettes!$K$6</f>
        <v>Blé dur</v>
      </c>
      <c r="G154" s="26" t="str">
        <f>Etiquettes!$I$5</f>
        <v>2019-20</v>
      </c>
      <c r="H154" t="str">
        <f>Etiquettes!$C$4</f>
        <v>France entière</v>
      </c>
      <c r="I154" t="str">
        <f t="shared" si="26"/>
        <v>Importation de Pâtes alimentaires sèches non préparées</v>
      </c>
      <c r="J154"/>
      <c r="K154" t="s">
        <v>1591</v>
      </c>
      <c r="L154" s="26" t="str" cm="1">
        <f t="array" aca="1" ref="L154" ca="1">[1]!NOM_FEUILLE('Comext mensuel - EUROSTAT'!$A$1)</f>
        <v>Comext mensuel - EUROSTAT</v>
      </c>
      <c r="M154" s="26" t="str">
        <f>Etiquettes!$H$11</f>
        <v>Volume</v>
      </c>
      <c r="N154" t="str">
        <f t="shared" si="25"/>
        <v>Importation de Pâtes alimentaires sèches non préparées = 382 kt (Douanes françaises - Eurostat)</v>
      </c>
      <c r="O154" s="26" t="str">
        <f>Etiquettes!$J$15</f>
        <v>Probable</v>
      </c>
      <c r="P154" s="603" t="str">
        <f>Etiquettes!$H$16</f>
        <v>Données collectées</v>
      </c>
      <c r="Q154" s="603" t="str">
        <f>Etiquettes!$H$17</f>
        <v>Donnée collectée (valeur du flux ou coefficient)</v>
      </c>
      <c r="S154" s="693"/>
    </row>
    <row r="155" spans="1:19">
      <c r="A155" t="str">
        <f>Produits!$B$23</f>
        <v>Pâtes alimentaires sèches non préparées</v>
      </c>
      <c r="B155" t="str">
        <f>Secteurs!$B$56</f>
        <v>Exportations</v>
      </c>
      <c r="C155" s="569">
        <f>'Prétraitement échanges'!N161+'Prétraitement échanges'!N162+'Prétraitement échanges'!N163</f>
        <v>42.665005999999998</v>
      </c>
      <c r="E155" t="str">
        <f>Etiquettes!$C$3</f>
        <v>kt</v>
      </c>
      <c r="F155" s="26" t="str">
        <f>Etiquettes!$K$6</f>
        <v>Blé dur</v>
      </c>
      <c r="G155" s="26" t="str">
        <f>Etiquettes!$I$5</f>
        <v>2019-20</v>
      </c>
      <c r="H155" t="str">
        <f>Etiquettes!$C$4</f>
        <v>France entière</v>
      </c>
      <c r="I155" t="str">
        <f t="shared" si="27"/>
        <v>Exportation de Pâtes alimentaires sèches non préparées</v>
      </c>
      <c r="J155"/>
      <c r="K155" t="s">
        <v>1591</v>
      </c>
      <c r="L155" s="26" t="str" cm="1">
        <f t="array" aca="1" ref="L155" ca="1">[1]!NOM_FEUILLE('Comext mensuel - EUROSTAT'!$A$1)</f>
        <v>Comext mensuel - EUROSTAT</v>
      </c>
      <c r="M155" s="26" t="str">
        <f>Etiquettes!$H$11</f>
        <v>Volume</v>
      </c>
      <c r="N155" t="str">
        <f t="shared" si="25"/>
        <v>Exportation de Pâtes alimentaires sèches non préparées = 43 kt (Douanes françaises - Eurostat)</v>
      </c>
      <c r="O155" s="26" t="str">
        <f>Etiquettes!$J$15</f>
        <v>Probable</v>
      </c>
      <c r="P155" s="603" t="str">
        <f>Etiquettes!$H$16</f>
        <v>Données collectées</v>
      </c>
      <c r="Q155" s="603" t="str">
        <f>Etiquettes!$H$17</f>
        <v>Donnée collectée (valeur du flux ou coefficient)</v>
      </c>
      <c r="S155" s="693"/>
    </row>
    <row r="156" spans="1:19">
      <c r="A156" t="str">
        <f>Secteurs!$B$55</f>
        <v>Importations</v>
      </c>
      <c r="B156" t="str">
        <f>Produits!$B$23</f>
        <v>Pâtes alimentaires sèches non préparées</v>
      </c>
      <c r="C156" s="569">
        <f>'Prétraitement échanges'!O161+'Prétraitement échanges'!O162+'Prétraitement échanges'!O163</f>
        <v>361.24524900000006</v>
      </c>
      <c r="E156" t="str">
        <f>Etiquettes!$C$3</f>
        <v>kt</v>
      </c>
      <c r="F156" s="26" t="str">
        <f>Etiquettes!$K$6</f>
        <v>Blé dur</v>
      </c>
      <c r="G156" s="26" t="str">
        <f>Etiquettes!$J$5</f>
        <v>2023-24</v>
      </c>
      <c r="H156" t="str">
        <f>Etiquettes!$C$4</f>
        <v>France entière</v>
      </c>
      <c r="I156" t="str">
        <f t="shared" si="26"/>
        <v>Importation de Pâtes alimentaires sèches non préparées</v>
      </c>
      <c r="J156"/>
      <c r="K156" t="s">
        <v>1591</v>
      </c>
      <c r="L156" s="26" t="str" cm="1">
        <f t="array" aca="1" ref="L156" ca="1">[1]!NOM_FEUILLE('Comext mensuel - EUROSTAT'!$A$1)</f>
        <v>Comext mensuel - EUROSTAT</v>
      </c>
      <c r="M156" s="26" t="str">
        <f>Etiquettes!$H$11</f>
        <v>Volume</v>
      </c>
      <c r="N156" t="str">
        <f t="shared" si="25"/>
        <v>Importation de Pâtes alimentaires sèches non préparées = 361 kt (Douanes françaises - Eurostat)</v>
      </c>
      <c r="O156" s="26" t="str">
        <f>Etiquettes!$J$15</f>
        <v>Probable</v>
      </c>
      <c r="P156" s="603" t="str">
        <f>Etiquettes!$H$16</f>
        <v>Données collectées</v>
      </c>
      <c r="Q156" s="603" t="str">
        <f>Etiquettes!$H$17</f>
        <v>Donnée collectée (valeur du flux ou coefficient)</v>
      </c>
      <c r="S156" s="693"/>
    </row>
    <row r="157" spans="1:19">
      <c r="A157" t="str">
        <f>Produits!$B$23</f>
        <v>Pâtes alimentaires sèches non préparées</v>
      </c>
      <c r="B157" t="str">
        <f>Secteurs!$B$56</f>
        <v>Exportations</v>
      </c>
      <c r="C157" s="569">
        <f>'Prétraitement échanges'!P161+'Prétraitement échanges'!P162+'Prétraitement échanges'!P163</f>
        <v>33.376494000000001</v>
      </c>
      <c r="E157" t="str">
        <f>Etiquettes!$C$3</f>
        <v>kt</v>
      </c>
      <c r="F157" s="26" t="str">
        <f>Etiquettes!$K$6</f>
        <v>Blé dur</v>
      </c>
      <c r="G157" s="26" t="str">
        <f>Etiquettes!$J$5</f>
        <v>2023-24</v>
      </c>
      <c r="H157" t="str">
        <f>Etiquettes!$C$4</f>
        <v>France entière</v>
      </c>
      <c r="I157" t="str">
        <f t="shared" si="27"/>
        <v>Exportation de Pâtes alimentaires sèches non préparées</v>
      </c>
      <c r="J157"/>
      <c r="K157" t="s">
        <v>1591</v>
      </c>
      <c r="L157" s="26" t="str" cm="1">
        <f t="array" aca="1" ref="L157" ca="1">[1]!NOM_FEUILLE('Comext mensuel - EUROSTAT'!$A$1)</f>
        <v>Comext mensuel - EUROSTAT</v>
      </c>
      <c r="M157" s="26" t="str">
        <f>Etiquettes!$H$11</f>
        <v>Volume</v>
      </c>
      <c r="N157" t="str">
        <f t="shared" si="25"/>
        <v>Exportation de Pâtes alimentaires sèches non préparées = 33 kt (Douanes françaises - Eurostat)</v>
      </c>
      <c r="O157" s="26" t="str">
        <f>Etiquettes!$J$15</f>
        <v>Probable</v>
      </c>
      <c r="P157" s="603" t="str">
        <f>Etiquettes!$H$16</f>
        <v>Données collectées</v>
      </c>
      <c r="Q157" s="603" t="str">
        <f>Etiquettes!$H$17</f>
        <v>Donnée collectée (valeur du flux ou coefficient)</v>
      </c>
      <c r="S157" s="693"/>
    </row>
    <row r="158" spans="1:19">
      <c r="A158" t="str">
        <f>Secteurs!$B$55</f>
        <v>Importations</v>
      </c>
      <c r="B158" t="str">
        <f>Produits!$B$24</f>
        <v>Couscous non préparé</v>
      </c>
      <c r="C158" s="569">
        <f>'Prétraitement échanges'!K164</f>
        <v>26.346551000000002</v>
      </c>
      <c r="E158" t="str">
        <f>Etiquettes!$C$3</f>
        <v>kt</v>
      </c>
      <c r="F158" s="26" t="str">
        <f>Etiquettes!$K$6</f>
        <v>Blé dur</v>
      </c>
      <c r="G158" s="26" t="str">
        <f>Etiquettes!$H$5</f>
        <v>2015-16</v>
      </c>
      <c r="H158" t="str">
        <f>Etiquettes!$C$4</f>
        <v>France entière</v>
      </c>
      <c r="I158" t="str">
        <f t="shared" si="26"/>
        <v>Importation de Couscous non préparé</v>
      </c>
      <c r="J158"/>
      <c r="K158" t="s">
        <v>1591</v>
      </c>
      <c r="L158" s="26" t="str" cm="1">
        <f t="array" aca="1" ref="L158" ca="1">[1]!NOM_FEUILLE('Comext mensuel - EUROSTAT'!$A$1)</f>
        <v>Comext mensuel - EUROSTAT</v>
      </c>
      <c r="M158" s="26" t="str">
        <f>Etiquettes!$H$11</f>
        <v>Volume</v>
      </c>
      <c r="N158" t="str">
        <f t="shared" si="25"/>
        <v>Importation de Couscous non préparé = 26 kt (Douanes françaises - Eurostat)</v>
      </c>
      <c r="O158" s="26" t="str">
        <f>Etiquettes!$J$15</f>
        <v>Probable</v>
      </c>
      <c r="P158" s="603" t="str">
        <f>Etiquettes!$H$16</f>
        <v>Données collectées</v>
      </c>
      <c r="Q158" s="603" t="str">
        <f>Etiquettes!$H$17</f>
        <v>Donnée collectée (valeur du flux ou coefficient)</v>
      </c>
      <c r="S158" s="693"/>
    </row>
    <row r="159" spans="1:19">
      <c r="A159" t="str">
        <f>Produits!$B$24</f>
        <v>Couscous non préparé</v>
      </c>
      <c r="B159" t="str">
        <f>Secteurs!$B$56</f>
        <v>Exportations</v>
      </c>
      <c r="C159" s="569">
        <f>'Prétraitement échanges'!L164</f>
        <v>31.969597000000004</v>
      </c>
      <c r="E159" t="str">
        <f>Etiquettes!$C$3</f>
        <v>kt</v>
      </c>
      <c r="F159" s="26" t="str">
        <f>Etiquettes!$K$6</f>
        <v>Blé dur</v>
      </c>
      <c r="G159" s="26" t="str">
        <f>Etiquettes!$H$5</f>
        <v>2015-16</v>
      </c>
      <c r="H159" t="str">
        <f>Etiquettes!$C$4</f>
        <v>France entière</v>
      </c>
      <c r="I159" t="str">
        <f t="shared" si="27"/>
        <v>Exportation de Couscous non préparé</v>
      </c>
      <c r="J159"/>
      <c r="K159" t="s">
        <v>1591</v>
      </c>
      <c r="L159" s="26" t="str" cm="1">
        <f t="array" aca="1" ref="L159" ca="1">[1]!NOM_FEUILLE('Comext mensuel - EUROSTAT'!$A$1)</f>
        <v>Comext mensuel - EUROSTAT</v>
      </c>
      <c r="M159" s="26" t="str">
        <f>Etiquettes!$H$11</f>
        <v>Volume</v>
      </c>
      <c r="N159" t="str">
        <f t="shared" si="25"/>
        <v>Exportation de Couscous non préparé = 32 kt (Douanes françaises - Eurostat)</v>
      </c>
      <c r="O159" s="26" t="str">
        <f>Etiquettes!$J$15</f>
        <v>Probable</v>
      </c>
      <c r="P159" s="603" t="str">
        <f>Etiquettes!$H$16</f>
        <v>Données collectées</v>
      </c>
      <c r="Q159" s="603" t="str">
        <f>Etiquettes!$H$17</f>
        <v>Donnée collectée (valeur du flux ou coefficient)</v>
      </c>
      <c r="S159" s="693"/>
    </row>
    <row r="160" spans="1:19">
      <c r="A160" t="str">
        <f>Secteurs!$B$55</f>
        <v>Importations</v>
      </c>
      <c r="B160" t="str">
        <f>Produits!$B$24</f>
        <v>Couscous non préparé</v>
      </c>
      <c r="C160" s="569">
        <f>'Prétraitement échanges'!M164</f>
        <v>31.541584000000004</v>
      </c>
      <c r="E160" t="str">
        <f>Etiquettes!$C$3</f>
        <v>kt</v>
      </c>
      <c r="F160" s="26" t="str">
        <f>Etiquettes!$K$6</f>
        <v>Blé dur</v>
      </c>
      <c r="G160" s="26" t="str">
        <f>Etiquettes!$I$5</f>
        <v>2019-20</v>
      </c>
      <c r="H160" t="str">
        <f>Etiquettes!$C$4</f>
        <v>France entière</v>
      </c>
      <c r="I160" t="str">
        <f t="shared" si="26"/>
        <v>Importation de Couscous non préparé</v>
      </c>
      <c r="J160"/>
      <c r="K160" t="s">
        <v>1591</v>
      </c>
      <c r="L160" s="26" t="str" cm="1">
        <f t="array" aca="1" ref="L160" ca="1">[1]!NOM_FEUILLE('Comext mensuel - EUROSTAT'!$A$1)</f>
        <v>Comext mensuel - EUROSTAT</v>
      </c>
      <c r="M160" s="26" t="str">
        <f>Etiquettes!$H$11</f>
        <v>Volume</v>
      </c>
      <c r="N160" t="str">
        <f t="shared" si="25"/>
        <v>Importation de Couscous non préparé = 32 kt (Douanes françaises - Eurostat)</v>
      </c>
      <c r="O160" s="26" t="str">
        <f>Etiquettes!$J$15</f>
        <v>Probable</v>
      </c>
      <c r="P160" s="603" t="str">
        <f>Etiquettes!$H$16</f>
        <v>Données collectées</v>
      </c>
      <c r="Q160" s="603" t="str">
        <f>Etiquettes!$H$17</f>
        <v>Donnée collectée (valeur du flux ou coefficient)</v>
      </c>
      <c r="S160" s="693"/>
    </row>
    <row r="161" spans="1:19">
      <c r="A161" t="str">
        <f>Produits!$B$24</f>
        <v>Couscous non préparé</v>
      </c>
      <c r="B161" t="str">
        <f>Secteurs!$B$56</f>
        <v>Exportations</v>
      </c>
      <c r="C161" s="569">
        <f>'Prétraitement échanges'!N164</f>
        <v>25.739187000000001</v>
      </c>
      <c r="E161" t="str">
        <f>Etiquettes!$C$3</f>
        <v>kt</v>
      </c>
      <c r="F161" s="26" t="str">
        <f>Etiquettes!$K$6</f>
        <v>Blé dur</v>
      </c>
      <c r="G161" s="26" t="str">
        <f>Etiquettes!$I$5</f>
        <v>2019-20</v>
      </c>
      <c r="H161" t="str">
        <f>Etiquettes!$C$4</f>
        <v>France entière</v>
      </c>
      <c r="I161" t="str">
        <f t="shared" si="27"/>
        <v>Exportation de Couscous non préparé</v>
      </c>
      <c r="J161"/>
      <c r="K161" t="s">
        <v>1591</v>
      </c>
      <c r="L161" s="26" t="str" cm="1">
        <f t="array" aca="1" ref="L161" ca="1">[1]!NOM_FEUILLE('Comext mensuel - EUROSTAT'!$A$1)</f>
        <v>Comext mensuel - EUROSTAT</v>
      </c>
      <c r="M161" s="26" t="str">
        <f>Etiquettes!$H$11</f>
        <v>Volume</v>
      </c>
      <c r="N161" t="str">
        <f t="shared" si="25"/>
        <v>Exportation de Couscous non préparé = 26 kt (Douanes françaises - Eurostat)</v>
      </c>
      <c r="O161" s="26" t="str">
        <f>Etiquettes!$J$15</f>
        <v>Probable</v>
      </c>
      <c r="P161" s="603" t="str">
        <f>Etiquettes!$H$16</f>
        <v>Données collectées</v>
      </c>
      <c r="Q161" s="603" t="str">
        <f>Etiquettes!$H$17</f>
        <v>Donnée collectée (valeur du flux ou coefficient)</v>
      </c>
      <c r="S161" s="693"/>
    </row>
    <row r="162" spans="1:19">
      <c r="A162" t="str">
        <f>Secteurs!$B$55</f>
        <v>Importations</v>
      </c>
      <c r="B162" t="str">
        <f>Produits!$B$24</f>
        <v>Couscous non préparé</v>
      </c>
      <c r="C162" s="569">
        <f>'Prétraitement échanges'!O164</f>
        <v>35.519889999999997</v>
      </c>
      <c r="E162" t="str">
        <f>Etiquettes!$C$3</f>
        <v>kt</v>
      </c>
      <c r="F162" s="26" t="str">
        <f>Etiquettes!$K$6</f>
        <v>Blé dur</v>
      </c>
      <c r="G162" s="26" t="str">
        <f>Etiquettes!$J$5</f>
        <v>2023-24</v>
      </c>
      <c r="H162" t="str">
        <f>Etiquettes!$C$4</f>
        <v>France entière</v>
      </c>
      <c r="I162" t="str">
        <f t="shared" si="26"/>
        <v>Importation de Couscous non préparé</v>
      </c>
      <c r="J162"/>
      <c r="K162" t="s">
        <v>1591</v>
      </c>
      <c r="L162" s="26" t="str" cm="1">
        <f t="array" aca="1" ref="L162" ca="1">[1]!NOM_FEUILLE('Comext mensuel - EUROSTAT'!$A$1)</f>
        <v>Comext mensuel - EUROSTAT</v>
      </c>
      <c r="M162" s="26" t="str">
        <f>Etiquettes!$H$11</f>
        <v>Volume</v>
      </c>
      <c r="N162" t="str">
        <f t="shared" si="25"/>
        <v>Importation de Couscous non préparé = 36 kt (Douanes françaises - Eurostat)</v>
      </c>
      <c r="O162" s="26" t="str">
        <f>Etiquettes!$J$15</f>
        <v>Probable</v>
      </c>
      <c r="P162" s="603" t="str">
        <f>Etiquettes!$H$16</f>
        <v>Données collectées</v>
      </c>
      <c r="Q162" s="603" t="str">
        <f>Etiquettes!$H$17</f>
        <v>Donnée collectée (valeur du flux ou coefficient)</v>
      </c>
      <c r="S162" s="693"/>
    </row>
    <row r="163" spans="1:19">
      <c r="A163" t="str">
        <f>Produits!$B$24</f>
        <v>Couscous non préparé</v>
      </c>
      <c r="B163" t="str">
        <f>Secteurs!$B$56</f>
        <v>Exportations</v>
      </c>
      <c r="C163" s="569">
        <f>'Prétraitement échanges'!P164</f>
        <v>15.693076999999999</v>
      </c>
      <c r="E163" t="str">
        <f>Etiquettes!$C$3</f>
        <v>kt</v>
      </c>
      <c r="F163" s="26" t="str">
        <f>Etiquettes!$K$6</f>
        <v>Blé dur</v>
      </c>
      <c r="G163" s="26" t="str">
        <f>Etiquettes!$J$5</f>
        <v>2023-24</v>
      </c>
      <c r="H163" t="str">
        <f>Etiquettes!$C$4</f>
        <v>France entière</v>
      </c>
      <c r="I163" t="str">
        <f t="shared" si="27"/>
        <v>Exportation de Couscous non préparé</v>
      </c>
      <c r="J163"/>
      <c r="K163" t="s">
        <v>1591</v>
      </c>
      <c r="L163" s="26" t="str" cm="1">
        <f t="array" aca="1" ref="L163" ca="1">[1]!NOM_FEUILLE('Comext mensuel - EUROSTAT'!$A$1)</f>
        <v>Comext mensuel - EUROSTAT</v>
      </c>
      <c r="M163" s="26" t="str">
        <f>Etiquettes!$H$11</f>
        <v>Volume</v>
      </c>
      <c r="N163" t="str">
        <f t="shared" si="25"/>
        <v>Exportation de Couscous non préparé = 16 kt (Douanes françaises - Eurostat)</v>
      </c>
      <c r="O163" s="26" t="str">
        <f>Etiquettes!$J$15</f>
        <v>Probable</v>
      </c>
      <c r="P163" s="603" t="str">
        <f>Etiquettes!$H$16</f>
        <v>Données collectées</v>
      </c>
      <c r="Q163" s="603" t="str">
        <f>Etiquettes!$H$17</f>
        <v>Donnée collectée (valeur du flux ou coefficient)</v>
      </c>
      <c r="S163" s="693"/>
    </row>
    <row r="164" spans="1:19">
      <c r="A164" t="str">
        <f>Secteurs!$B$55</f>
        <v>Importations</v>
      </c>
      <c r="B164" t="str">
        <f>Produits!$B$43</f>
        <v>Popcorn</v>
      </c>
      <c r="C164" s="86">
        <f>'Prétraitement échanges'!K166</f>
        <v>16.971596000000002</v>
      </c>
      <c r="E164" t="str">
        <f>Etiquettes!$C$3</f>
        <v>kt</v>
      </c>
      <c r="F164" s="26" t="str">
        <f>Etiquettes!$I$6</f>
        <v>Maïs</v>
      </c>
      <c r="G164" s="26" t="str">
        <f>Etiquettes!$H$5</f>
        <v>2015-16</v>
      </c>
      <c r="H164" t="str">
        <f>Etiquettes!$C$4</f>
        <v>France entière</v>
      </c>
      <c r="I164" t="str">
        <f t="shared" si="26"/>
        <v>Importation de Popcorn</v>
      </c>
      <c r="J164"/>
      <c r="K164" t="s">
        <v>1591</v>
      </c>
      <c r="L164" s="26" t="str" cm="1">
        <f t="array" aca="1" ref="L164" ca="1">[1]!NOM_FEUILLE('Comext mensuel - EUROSTAT'!$A$1)</f>
        <v>Comext mensuel - EUROSTAT</v>
      </c>
      <c r="M164" s="26" t="str">
        <f>Etiquettes!$H$11</f>
        <v>Volume</v>
      </c>
      <c r="N164" t="str">
        <f t="shared" si="25"/>
        <v>Importation de Popcorn = 17 kt (Douanes françaises - Eurostat)</v>
      </c>
      <c r="O164" s="26" t="str">
        <f>Etiquettes!$J$15</f>
        <v>Probable</v>
      </c>
      <c r="P164" s="603" t="str">
        <f>Etiquettes!$H$16</f>
        <v>Données collectées</v>
      </c>
      <c r="Q164" s="603" t="str">
        <f>Etiquettes!$H$17</f>
        <v>Donnée collectée (valeur du flux ou coefficient)</v>
      </c>
      <c r="S164" s="693" t="s">
        <v>1413</v>
      </c>
    </row>
    <row r="165" spans="1:19">
      <c r="A165" t="str">
        <f>Produits!$B$43</f>
        <v>Popcorn</v>
      </c>
      <c r="B165" t="str">
        <f>Secteurs!$B$56</f>
        <v>Exportations</v>
      </c>
      <c r="C165" s="86">
        <f>'Prétraitement échanges'!L166</f>
        <v>10.093197999999999</v>
      </c>
      <c r="E165" t="str">
        <f>Etiquettes!$C$3</f>
        <v>kt</v>
      </c>
      <c r="F165" s="26" t="str">
        <f>Etiquettes!$I$6</f>
        <v>Maïs</v>
      </c>
      <c r="G165" s="26" t="str">
        <f>Etiquettes!$H$5</f>
        <v>2015-16</v>
      </c>
      <c r="H165" t="str">
        <f>Etiquettes!$C$4</f>
        <v>France entière</v>
      </c>
      <c r="I165" t="str">
        <f t="shared" si="27"/>
        <v>Exportation de Popcorn</v>
      </c>
      <c r="J165"/>
      <c r="K165" t="s">
        <v>1591</v>
      </c>
      <c r="L165" s="26" t="str" cm="1">
        <f t="array" aca="1" ref="L165" ca="1">[1]!NOM_FEUILLE('Comext mensuel - EUROSTAT'!$A$1)</f>
        <v>Comext mensuel - EUROSTAT</v>
      </c>
      <c r="M165" s="26" t="str">
        <f>Etiquettes!$H$11</f>
        <v>Volume</v>
      </c>
      <c r="N165" t="str">
        <f t="shared" si="25"/>
        <v>Exportation de Popcorn = 10 kt (Douanes françaises - Eurostat)</v>
      </c>
      <c r="O165" s="26" t="str">
        <f>Etiquettes!$J$15</f>
        <v>Probable</v>
      </c>
      <c r="P165" s="603" t="str">
        <f>Etiquettes!$H$16</f>
        <v>Données collectées</v>
      </c>
      <c r="Q165" s="603" t="str">
        <f>Etiquettes!$H$17</f>
        <v>Donnée collectée (valeur du flux ou coefficient)</v>
      </c>
      <c r="S165" s="693"/>
    </row>
    <row r="166" spans="1:19">
      <c r="A166" t="str">
        <f>Secteurs!$B$55</f>
        <v>Importations</v>
      </c>
      <c r="B166" t="str">
        <f>Produits!$B$43</f>
        <v>Popcorn</v>
      </c>
      <c r="C166" s="86">
        <f>'Prétraitement échanges'!M166</f>
        <v>21.439291000000004</v>
      </c>
      <c r="E166" t="str">
        <f>Etiquettes!$C$3</f>
        <v>kt</v>
      </c>
      <c r="F166" s="26" t="str">
        <f>Etiquettes!$I$6</f>
        <v>Maïs</v>
      </c>
      <c r="G166" s="26" t="str">
        <f>Etiquettes!$I$5</f>
        <v>2019-20</v>
      </c>
      <c r="H166" t="str">
        <f>Etiquettes!$C$4</f>
        <v>France entière</v>
      </c>
      <c r="I166" t="str">
        <f t="shared" si="26"/>
        <v>Importation de Popcorn</v>
      </c>
      <c r="J166"/>
      <c r="K166" t="s">
        <v>1591</v>
      </c>
      <c r="L166" s="26" t="str" cm="1">
        <f t="array" aca="1" ref="L166" ca="1">[1]!NOM_FEUILLE('Comext mensuel - EUROSTAT'!$A$1)</f>
        <v>Comext mensuel - EUROSTAT</v>
      </c>
      <c r="M166" s="26" t="str">
        <f>Etiquettes!$H$11</f>
        <v>Volume</v>
      </c>
      <c r="N166" t="str">
        <f t="shared" si="25"/>
        <v>Importation de Popcorn = 21 kt (Douanes françaises - Eurostat)</v>
      </c>
      <c r="O166" s="26" t="str">
        <f>Etiquettes!$J$15</f>
        <v>Probable</v>
      </c>
      <c r="P166" s="603" t="str">
        <f>Etiquettes!$H$16</f>
        <v>Données collectées</v>
      </c>
      <c r="Q166" s="603" t="str">
        <f>Etiquettes!$H$17</f>
        <v>Donnée collectée (valeur du flux ou coefficient)</v>
      </c>
      <c r="S166" s="693"/>
    </row>
    <row r="167" spans="1:19">
      <c r="A167" t="str">
        <f>Produits!$B$43</f>
        <v>Popcorn</v>
      </c>
      <c r="B167" t="str">
        <f>Secteurs!$B$56</f>
        <v>Exportations</v>
      </c>
      <c r="C167" s="86">
        <f>'Prétraitement échanges'!N166</f>
        <v>9.1962850000000014</v>
      </c>
      <c r="E167" t="str">
        <f>Etiquettes!$C$3</f>
        <v>kt</v>
      </c>
      <c r="F167" s="26" t="str">
        <f>Etiquettes!$I$6</f>
        <v>Maïs</v>
      </c>
      <c r="G167" s="26" t="str">
        <f>Etiquettes!$I$5</f>
        <v>2019-20</v>
      </c>
      <c r="H167" t="str">
        <f>Etiquettes!$C$4</f>
        <v>France entière</v>
      </c>
      <c r="I167" t="str">
        <f t="shared" si="27"/>
        <v>Exportation de Popcorn</v>
      </c>
      <c r="J167"/>
      <c r="K167" t="s">
        <v>1591</v>
      </c>
      <c r="L167" s="26" t="str" cm="1">
        <f t="array" aca="1" ref="L167" ca="1">[1]!NOM_FEUILLE('Comext mensuel - EUROSTAT'!$A$1)</f>
        <v>Comext mensuel - EUROSTAT</v>
      </c>
      <c r="M167" s="26" t="str">
        <f>Etiquettes!$H$11</f>
        <v>Volume</v>
      </c>
      <c r="N167" t="str">
        <f t="shared" si="25"/>
        <v>Exportation de Popcorn = 9 kt (Douanes françaises - Eurostat)</v>
      </c>
      <c r="O167" s="26" t="str">
        <f>Etiquettes!$J$15</f>
        <v>Probable</v>
      </c>
      <c r="P167" s="603" t="str">
        <f>Etiquettes!$H$16</f>
        <v>Données collectées</v>
      </c>
      <c r="Q167" s="603" t="str">
        <f>Etiquettes!$H$17</f>
        <v>Donnée collectée (valeur du flux ou coefficient)</v>
      </c>
      <c r="S167" s="693"/>
    </row>
    <row r="168" spans="1:19">
      <c r="A168" t="str">
        <f>Secteurs!$B$55</f>
        <v>Importations</v>
      </c>
      <c r="B168" t="str">
        <f>Produits!$B$43</f>
        <v>Popcorn</v>
      </c>
      <c r="C168" s="86">
        <f>'Prétraitement échanges'!O166</f>
        <v>21.316779999999998</v>
      </c>
      <c r="E168" t="str">
        <f>Etiquettes!$C$3</f>
        <v>kt</v>
      </c>
      <c r="F168" s="26" t="str">
        <f>Etiquettes!$I$6</f>
        <v>Maïs</v>
      </c>
      <c r="G168" s="26" t="str">
        <f>Etiquettes!$J$5</f>
        <v>2023-24</v>
      </c>
      <c r="H168" t="str">
        <f>Etiquettes!$C$4</f>
        <v>France entière</v>
      </c>
      <c r="I168" t="str">
        <f t="shared" si="26"/>
        <v>Importation de Popcorn</v>
      </c>
      <c r="J168"/>
      <c r="K168" t="s">
        <v>1591</v>
      </c>
      <c r="L168" s="26" t="str" cm="1">
        <f t="array" aca="1" ref="L168" ca="1">[1]!NOM_FEUILLE('Comext mensuel - EUROSTAT'!$A$1)</f>
        <v>Comext mensuel - EUROSTAT</v>
      </c>
      <c r="M168" s="26" t="str">
        <f>Etiquettes!$H$11</f>
        <v>Volume</v>
      </c>
      <c r="N168" t="str">
        <f t="shared" si="25"/>
        <v>Importation de Popcorn = 21 kt (Douanes françaises - Eurostat)</v>
      </c>
      <c r="O168" s="26" t="str">
        <f>Etiquettes!$J$15</f>
        <v>Probable</v>
      </c>
      <c r="P168" s="603" t="str">
        <f>Etiquettes!$H$16</f>
        <v>Données collectées</v>
      </c>
      <c r="Q168" s="603" t="str">
        <f>Etiquettes!$H$17</f>
        <v>Donnée collectée (valeur du flux ou coefficient)</v>
      </c>
      <c r="S168" s="693"/>
    </row>
    <row r="169" spans="1:19">
      <c r="A169" t="str">
        <f>Produits!$B$43</f>
        <v>Popcorn</v>
      </c>
      <c r="B169" t="str">
        <f>Secteurs!$B$56</f>
        <v>Exportations</v>
      </c>
      <c r="C169" s="86">
        <f>'Prétraitement échanges'!P166</f>
        <v>8.759174999999999</v>
      </c>
      <c r="E169" t="str">
        <f>Etiquettes!$C$3</f>
        <v>kt</v>
      </c>
      <c r="F169" s="26" t="str">
        <f>Etiquettes!$I$6</f>
        <v>Maïs</v>
      </c>
      <c r="G169" s="26" t="str">
        <f>Etiquettes!$J$5</f>
        <v>2023-24</v>
      </c>
      <c r="H169" t="str">
        <f>Etiquettes!$C$4</f>
        <v>France entière</v>
      </c>
      <c r="I169" t="str">
        <f t="shared" si="27"/>
        <v>Exportation de Popcorn</v>
      </c>
      <c r="J169"/>
      <c r="K169" t="s">
        <v>1591</v>
      </c>
      <c r="L169" s="26" t="str" cm="1">
        <f t="array" aca="1" ref="L169" ca="1">[1]!NOM_FEUILLE('Comext mensuel - EUROSTAT'!$A$1)</f>
        <v>Comext mensuel - EUROSTAT</v>
      </c>
      <c r="M169" s="26" t="str">
        <f>Etiquettes!$H$11</f>
        <v>Volume</v>
      </c>
      <c r="N169" t="str">
        <f t="shared" si="25"/>
        <v>Exportation de Popcorn = 9 kt (Douanes françaises - Eurostat)</v>
      </c>
      <c r="O169" s="26" t="str">
        <f>Etiquettes!$J$15</f>
        <v>Probable</v>
      </c>
      <c r="P169" s="603" t="str">
        <f>Etiquettes!$H$16</f>
        <v>Données collectées</v>
      </c>
      <c r="Q169" s="603" t="str">
        <f>Etiquettes!$H$17</f>
        <v>Donnée collectée (valeur du flux ou coefficient)</v>
      </c>
      <c r="S169" s="693"/>
    </row>
    <row r="170" spans="1:19">
      <c r="A170" t="str">
        <f>Secteurs!$B$55</f>
        <v>Importations</v>
      </c>
      <c r="B170" t="str">
        <f>Produits!$B$38</f>
        <v>Bière</v>
      </c>
      <c r="C170" s="569">
        <f>'Prétraitement échanges'!K178+'Prétraitement échanges'!K179+'Prétraitement échanges'!K180</f>
        <v>775.10121400000003</v>
      </c>
      <c r="E170" t="str">
        <f>Etiquettes!$C$3</f>
        <v>kt</v>
      </c>
      <c r="F170" s="26" t="str">
        <f>Etiquettes!$J$6</f>
        <v>Orge</v>
      </c>
      <c r="G170" s="26" t="str">
        <f>Etiquettes!$H$5</f>
        <v>2015-16</v>
      </c>
      <c r="H170" t="str">
        <f>Etiquettes!$C$4</f>
        <v>France entière</v>
      </c>
      <c r="I170" t="str">
        <f t="shared" si="26"/>
        <v>Importation de Bière</v>
      </c>
      <c r="J170"/>
      <c r="K170" t="s">
        <v>1591</v>
      </c>
      <c r="L170" s="26" t="str" cm="1">
        <f t="array" aca="1" ref="L170" ca="1">[1]!NOM_FEUILLE('Comext mensuel - EUROSTAT'!$A$1)</f>
        <v>Comext mensuel - EUROSTAT</v>
      </c>
      <c r="M170" s="26" t="str">
        <f>Etiquettes!$H$11</f>
        <v>Volume</v>
      </c>
      <c r="N170" t="str">
        <f t="shared" si="25"/>
        <v>Importation de Bière = 775 kt (Douanes françaises - Eurostat)</v>
      </c>
      <c r="O170" s="26" t="str">
        <f>Etiquettes!$J$15</f>
        <v>Probable</v>
      </c>
      <c r="P170" s="603" t="str">
        <f>Etiquettes!$H$16</f>
        <v>Données collectées</v>
      </c>
      <c r="Q170" s="603" t="str">
        <f>Etiquettes!$H$17</f>
        <v>Donnée collectée (valeur du flux ou coefficient)</v>
      </c>
      <c r="S170" s="693" t="s">
        <v>1383</v>
      </c>
    </row>
    <row r="171" spans="1:19">
      <c r="A171" t="str">
        <f>Produits!$B$38</f>
        <v>Bière</v>
      </c>
      <c r="B171" t="str">
        <f>Secteurs!$B$56</f>
        <v>Exportations</v>
      </c>
      <c r="C171" s="569">
        <f>'Prétraitement échanges'!L178+'Prétraitement échanges'!L179+'Prétraitement échanges'!L180</f>
        <v>653.56377499999996</v>
      </c>
      <c r="E171" t="str">
        <f>Etiquettes!$C$3</f>
        <v>kt</v>
      </c>
      <c r="F171" s="26" t="str">
        <f>Etiquettes!$J$6</f>
        <v>Orge</v>
      </c>
      <c r="G171" s="26" t="str">
        <f>Etiquettes!$H$5</f>
        <v>2015-16</v>
      </c>
      <c r="H171" t="str">
        <f>Etiquettes!$C$4</f>
        <v>France entière</v>
      </c>
      <c r="I171" t="str">
        <f t="shared" si="27"/>
        <v>Exportation de Bière</v>
      </c>
      <c r="J171"/>
      <c r="K171" t="s">
        <v>1591</v>
      </c>
      <c r="L171" s="26" t="str" cm="1">
        <f t="array" aca="1" ref="L171" ca="1">[1]!NOM_FEUILLE('Comext mensuel - EUROSTAT'!$A$1)</f>
        <v>Comext mensuel - EUROSTAT</v>
      </c>
      <c r="M171" s="26" t="str">
        <f>Etiquettes!$H$11</f>
        <v>Volume</v>
      </c>
      <c r="N171" t="str">
        <f t="shared" si="25"/>
        <v>Exportation de Bière = 654 kt (Douanes françaises - Eurostat)</v>
      </c>
      <c r="O171" s="26" t="str">
        <f>Etiquettes!$J$15</f>
        <v>Probable</v>
      </c>
      <c r="P171" s="603" t="str">
        <f>Etiquettes!$H$16</f>
        <v>Données collectées</v>
      </c>
      <c r="Q171" s="603" t="str">
        <f>Etiquettes!$H$17</f>
        <v>Donnée collectée (valeur du flux ou coefficient)</v>
      </c>
      <c r="S171" s="693"/>
    </row>
    <row r="172" spans="1:19">
      <c r="A172" t="str">
        <f>Secteurs!$B$55</f>
        <v>Importations</v>
      </c>
      <c r="B172" t="str">
        <f>Produits!$B$38</f>
        <v>Bière</v>
      </c>
      <c r="C172" s="569">
        <f>'Prétraitement échanges'!M178+'Prétraitement échanges'!M179+'Prétraitement échanges'!M180</f>
        <v>972.67454900000007</v>
      </c>
      <c r="E172" t="str">
        <f>Etiquettes!$C$3</f>
        <v>kt</v>
      </c>
      <c r="F172" s="26" t="str">
        <f>Etiquettes!$J$6</f>
        <v>Orge</v>
      </c>
      <c r="G172" s="26" t="str">
        <f>Etiquettes!$I$5</f>
        <v>2019-20</v>
      </c>
      <c r="H172" t="str">
        <f>Etiquettes!$C$4</f>
        <v>France entière</v>
      </c>
      <c r="I172" t="str">
        <f t="shared" si="26"/>
        <v>Importation de Bière</v>
      </c>
      <c r="J172"/>
      <c r="K172" t="s">
        <v>1591</v>
      </c>
      <c r="L172" s="26" t="str" cm="1">
        <f t="array" aca="1" ref="L172" ca="1">[1]!NOM_FEUILLE('Comext mensuel - EUROSTAT'!$A$1)</f>
        <v>Comext mensuel - EUROSTAT</v>
      </c>
      <c r="M172" s="26" t="str">
        <f>Etiquettes!$H$11</f>
        <v>Volume</v>
      </c>
      <c r="N172" t="str">
        <f t="shared" si="25"/>
        <v>Importation de Bière = 973 kt (Douanes françaises - Eurostat)</v>
      </c>
      <c r="O172" s="26" t="str">
        <f>Etiquettes!$J$15</f>
        <v>Probable</v>
      </c>
      <c r="P172" s="603" t="str">
        <f>Etiquettes!$H$16</f>
        <v>Données collectées</v>
      </c>
      <c r="Q172" s="603" t="str">
        <f>Etiquettes!$H$17</f>
        <v>Donnée collectée (valeur du flux ou coefficient)</v>
      </c>
      <c r="S172" s="693"/>
    </row>
    <row r="173" spans="1:19">
      <c r="A173" t="str">
        <f>Produits!$B$38</f>
        <v>Bière</v>
      </c>
      <c r="B173" t="str">
        <f>Secteurs!$B$56</f>
        <v>Exportations</v>
      </c>
      <c r="C173" s="569">
        <f>'Prétraitement échanges'!N178+'Prétraitement échanges'!N179+'Prétraitement échanges'!N180</f>
        <v>518.71844599999997</v>
      </c>
      <c r="E173" t="str">
        <f>Etiquettes!$C$3</f>
        <v>kt</v>
      </c>
      <c r="F173" s="26" t="str">
        <f>Etiquettes!$J$6</f>
        <v>Orge</v>
      </c>
      <c r="G173" s="26" t="str">
        <f>Etiquettes!$I$5</f>
        <v>2019-20</v>
      </c>
      <c r="H173" t="str">
        <f>Etiquettes!$C$4</f>
        <v>France entière</v>
      </c>
      <c r="I173" t="str">
        <f t="shared" si="27"/>
        <v>Exportation de Bière</v>
      </c>
      <c r="J173"/>
      <c r="K173" t="s">
        <v>1591</v>
      </c>
      <c r="L173" s="26" t="str" cm="1">
        <f t="array" aca="1" ref="L173" ca="1">[1]!NOM_FEUILLE('Comext mensuel - EUROSTAT'!$A$1)</f>
        <v>Comext mensuel - EUROSTAT</v>
      </c>
      <c r="M173" s="26" t="str">
        <f>Etiquettes!$H$11</f>
        <v>Volume</v>
      </c>
      <c r="N173" t="str">
        <f t="shared" si="25"/>
        <v>Exportation de Bière = 519 kt (Douanes françaises - Eurostat)</v>
      </c>
      <c r="O173" s="26" t="str">
        <f>Etiquettes!$J$15</f>
        <v>Probable</v>
      </c>
      <c r="P173" s="603" t="str">
        <f>Etiquettes!$H$16</f>
        <v>Données collectées</v>
      </c>
      <c r="Q173" s="603" t="str">
        <f>Etiquettes!$H$17</f>
        <v>Donnée collectée (valeur du flux ou coefficient)</v>
      </c>
      <c r="S173" s="693"/>
    </row>
    <row r="174" spans="1:19">
      <c r="A174" t="str">
        <f>Secteurs!$B$55</f>
        <v>Importations</v>
      </c>
      <c r="B174" t="str">
        <f>Produits!$B$38</f>
        <v>Bière</v>
      </c>
      <c r="C174" s="569">
        <f>'Prétraitement échanges'!O178+'Prétraitement échanges'!O179+'Prétraitement échanges'!O180</f>
        <v>886.75181900000007</v>
      </c>
      <c r="E174" t="str">
        <f>Etiquettes!$C$3</f>
        <v>kt</v>
      </c>
      <c r="F174" s="26" t="str">
        <f>Etiquettes!$J$6</f>
        <v>Orge</v>
      </c>
      <c r="G174" s="26" t="str">
        <f>Etiquettes!$J$5</f>
        <v>2023-24</v>
      </c>
      <c r="H174" t="str">
        <f>Etiquettes!$C$4</f>
        <v>France entière</v>
      </c>
      <c r="I174" t="str">
        <f t="shared" si="26"/>
        <v>Importation de Bière</v>
      </c>
      <c r="J174"/>
      <c r="K174" t="s">
        <v>1591</v>
      </c>
      <c r="L174" s="26" t="str" cm="1">
        <f t="array" aca="1" ref="L174" ca="1">[1]!NOM_FEUILLE('Comext mensuel - EUROSTAT'!$A$1)</f>
        <v>Comext mensuel - EUROSTAT</v>
      </c>
      <c r="M174" s="26" t="str">
        <f>Etiquettes!$H$11</f>
        <v>Volume</v>
      </c>
      <c r="N174" t="str">
        <f t="shared" si="25"/>
        <v>Importation de Bière = 887 kt (Douanes françaises - Eurostat)</v>
      </c>
      <c r="O174" s="26" t="str">
        <f>Etiquettes!$J$15</f>
        <v>Probable</v>
      </c>
      <c r="P174" s="603" t="str">
        <f>Etiquettes!$H$16</f>
        <v>Données collectées</v>
      </c>
      <c r="Q174" s="603" t="str">
        <f>Etiquettes!$H$17</f>
        <v>Donnée collectée (valeur du flux ou coefficient)</v>
      </c>
      <c r="S174" s="693"/>
    </row>
    <row r="175" spans="1:19">
      <c r="A175" t="str">
        <f>Produits!$B$38</f>
        <v>Bière</v>
      </c>
      <c r="B175" t="str">
        <f>Secteurs!$B$56</f>
        <v>Exportations</v>
      </c>
      <c r="C175" s="569">
        <f>'Prétraitement échanges'!P178+'Prétraitement échanges'!P179+'Prétraitement échanges'!P180</f>
        <v>404.80121799999995</v>
      </c>
      <c r="E175" t="str">
        <f>Etiquettes!$C$3</f>
        <v>kt</v>
      </c>
      <c r="F175" s="26" t="str">
        <f>Etiquettes!$J$6</f>
        <v>Orge</v>
      </c>
      <c r="G175" s="26" t="str">
        <f>Etiquettes!$J$5</f>
        <v>2023-24</v>
      </c>
      <c r="H175" t="str">
        <f>Etiquettes!$C$4</f>
        <v>France entière</v>
      </c>
      <c r="I175" t="str">
        <f t="shared" si="27"/>
        <v>Exportation de Bière</v>
      </c>
      <c r="J175"/>
      <c r="K175" t="s">
        <v>1591</v>
      </c>
      <c r="L175" s="26" t="str" cm="1">
        <f t="array" aca="1" ref="L175" ca="1">[1]!NOM_FEUILLE('Comext mensuel - EUROSTAT'!$A$1)</f>
        <v>Comext mensuel - EUROSTAT</v>
      </c>
      <c r="M175" s="26" t="str">
        <f>Etiquettes!$H$11</f>
        <v>Volume</v>
      </c>
      <c r="N175" t="str">
        <f t="shared" si="25"/>
        <v>Exportation de Bière = 405 kt (Douanes françaises - Eurostat)</v>
      </c>
      <c r="O175" s="26" t="str">
        <f>Etiquettes!$J$15</f>
        <v>Probable</v>
      </c>
      <c r="P175" s="603" t="str">
        <f>Etiquettes!$H$16</f>
        <v>Données collectées</v>
      </c>
      <c r="Q175" s="603" t="str">
        <f>Etiquettes!$H$17</f>
        <v>Donnée collectée (valeur du flux ou coefficient)</v>
      </c>
      <c r="S175" s="693"/>
    </row>
    <row r="176" spans="1:19" ht="14.4" customHeight="1">
      <c r="A176" t="str">
        <f>Secteurs!$B$55</f>
        <v>Importations</v>
      </c>
      <c r="B176" t="str">
        <f>Produits!$B$38</f>
        <v>Bière</v>
      </c>
      <c r="C176" s="571">
        <v>0</v>
      </c>
      <c r="E176" t="str">
        <f>Etiquettes!$C$3</f>
        <v>kt</v>
      </c>
      <c r="F176" s="26" t="str">
        <f>Etiquettes!$H$6</f>
        <v>Blé tendre</v>
      </c>
      <c r="G176" s="26" t="str">
        <f>Etiquettes!$C$5</f>
        <v>2015-16:2019-20:2023-24</v>
      </c>
      <c r="H176" t="str">
        <f>Etiquettes!$C$4</f>
        <v>France entière</v>
      </c>
      <c r="I176" t="str">
        <f t="shared" si="26"/>
        <v>Importation de Bière</v>
      </c>
      <c r="J176" t="s">
        <v>1615</v>
      </c>
      <c r="K176" t="s">
        <v>1155</v>
      </c>
      <c r="L176" s="26" t="str" cm="1">
        <f t="array" aca="1" ref="L176" ca="1">[1]!NOM_FEUILLE('Comext mensuel - EUROSTAT'!$A$1)</f>
        <v>Comext mensuel - EUROSTAT</v>
      </c>
      <c r="M176" s="26" t="str">
        <f>Etiquettes!$H$11</f>
        <v>Volume</v>
      </c>
      <c r="N176" t="str">
        <f t="shared" si="25"/>
        <v>Importation de Bière = 0 kt (Valeur arbitraire)</v>
      </c>
      <c r="O176" s="26" t="str">
        <f>Etiquettes!$J$15</f>
        <v>Probable</v>
      </c>
      <c r="P176" s="603" t="str">
        <f>Etiquettes!$H$16</f>
        <v>Données collectées</v>
      </c>
      <c r="Q176" s="603" t="str">
        <f>Etiquettes!$H$17</f>
        <v>Donnée collectée (valeur du flux ou coefficient)</v>
      </c>
      <c r="S176" s="693"/>
    </row>
    <row r="177" spans="1:19">
      <c r="A177" t="str">
        <f>Produits!$B$38</f>
        <v>Bière</v>
      </c>
      <c r="B177" t="str">
        <f>Secteurs!$B$56</f>
        <v>Exportations</v>
      </c>
      <c r="C177" s="571">
        <v>0</v>
      </c>
      <c r="E177" t="str">
        <f>Etiquettes!$C$3</f>
        <v>kt</v>
      </c>
      <c r="F177" s="26" t="str">
        <f>Etiquettes!$H$6</f>
        <v>Blé tendre</v>
      </c>
      <c r="G177" s="26" t="str">
        <f>Etiquettes!$C$5</f>
        <v>2015-16:2019-20:2023-24</v>
      </c>
      <c r="H177" t="str">
        <f>Etiquettes!$C$4</f>
        <v>France entière</v>
      </c>
      <c r="I177" t="str">
        <f t="shared" si="27"/>
        <v>Exportation de Bière</v>
      </c>
      <c r="J177" t="s">
        <v>1615</v>
      </c>
      <c r="K177" t="s">
        <v>1155</v>
      </c>
      <c r="L177" s="26" t="str" cm="1">
        <f t="array" aca="1" ref="L177" ca="1">[1]!NOM_FEUILLE('Comext mensuel - EUROSTAT'!$A$1)</f>
        <v>Comext mensuel - EUROSTAT</v>
      </c>
      <c r="M177" s="26" t="str">
        <f>Etiquettes!$H$11</f>
        <v>Volume</v>
      </c>
      <c r="N177" t="str">
        <f t="shared" si="25"/>
        <v>Exportation de Bière = 0 kt (Valeur arbitraire)</v>
      </c>
      <c r="O177" s="26" t="str">
        <f>Etiquettes!$J$15</f>
        <v>Probable</v>
      </c>
      <c r="P177" s="603" t="str">
        <f>Etiquettes!$H$16</f>
        <v>Données collectées</v>
      </c>
      <c r="Q177" s="603" t="str">
        <f>Etiquettes!$H$17</f>
        <v>Donnée collectée (valeur du flux ou coefficient)</v>
      </c>
      <c r="S177" s="693"/>
    </row>
    <row r="178" spans="1:19" ht="14.4" customHeight="1">
      <c r="A178" t="str">
        <f>Secteurs!$B$55</f>
        <v>Importations</v>
      </c>
      <c r="B178" t="str">
        <f>Produits!$B$14</f>
        <v>Corn gluten feed, drèches et solubles</v>
      </c>
      <c r="C178" s="86">
        <f>'Prétraitement échanges'!K189+'Prétraitement échanges'!K190</f>
        <v>82.567974000000007</v>
      </c>
      <c r="D178" s="86"/>
      <c r="E178" t="str">
        <f>Etiquettes!$C$3</f>
        <v>kt</v>
      </c>
      <c r="F178" s="26" t="str">
        <f>Etiquettes!$I$6</f>
        <v>Maïs</v>
      </c>
      <c r="G178" s="26" t="str">
        <f>Etiquettes!$H$5</f>
        <v>2015-16</v>
      </c>
      <c r="H178" t="str">
        <f>Etiquettes!$C$4</f>
        <v>France entière</v>
      </c>
      <c r="I178" t="str">
        <f t="shared" si="26"/>
        <v>Importation de Corn gluten feed, drèches et solubles</v>
      </c>
      <c r="J178"/>
      <c r="K178" t="s">
        <v>1591</v>
      </c>
      <c r="L178" s="26" t="str" cm="1">
        <f t="array" aca="1" ref="L178" ca="1">[1]!NOM_FEUILLE('Comext mensuel - EUROSTAT'!$A$1)</f>
        <v>Comext mensuel - EUROSTAT</v>
      </c>
      <c r="M178" s="26" t="str">
        <f>Etiquettes!$H$11</f>
        <v>Volume</v>
      </c>
      <c r="N178" t="str">
        <f t="shared" si="25"/>
        <v>Importation de Corn gluten feed, drèches et solubles = 83 kt (Douanes françaises - Eurostat)</v>
      </c>
      <c r="O178" s="26" t="str">
        <f>Etiquettes!$J$15</f>
        <v>Probable</v>
      </c>
      <c r="P178" s="603" t="str">
        <f>Etiquettes!$H$16</f>
        <v>Données collectées</v>
      </c>
      <c r="Q178" s="603" t="str">
        <f>Etiquettes!$H$17</f>
        <v>Donnée collectée (valeur du flux ou coefficient)</v>
      </c>
      <c r="S178" s="693" t="s">
        <v>1384</v>
      </c>
    </row>
    <row r="179" spans="1:19">
      <c r="A179" t="str">
        <f>Produits!$B$14</f>
        <v>Corn gluten feed, drèches et solubles</v>
      </c>
      <c r="B179" t="str">
        <f>Secteurs!$B$56</f>
        <v>Exportations</v>
      </c>
      <c r="C179" s="86">
        <f>'Prétraitement échanges'!L189+'Prétraitement échanges'!L190</f>
        <v>350.00160400000004</v>
      </c>
      <c r="D179" s="86"/>
      <c r="E179" t="str">
        <f>Etiquettes!$C$3</f>
        <v>kt</v>
      </c>
      <c r="F179" s="26" t="str">
        <f>Etiquettes!$I$6</f>
        <v>Maïs</v>
      </c>
      <c r="G179" s="26" t="str">
        <f>Etiquettes!$H$5</f>
        <v>2015-16</v>
      </c>
      <c r="H179" t="str">
        <f>Etiquettes!$C$4</f>
        <v>France entière</v>
      </c>
      <c r="I179" t="str">
        <f t="shared" si="27"/>
        <v>Exportation de Corn gluten feed, drèches et solubles</v>
      </c>
      <c r="J179"/>
      <c r="K179" t="s">
        <v>1591</v>
      </c>
      <c r="L179" s="26" t="str" cm="1">
        <f t="array" aca="1" ref="L179" ca="1">[1]!NOM_FEUILLE('Comext mensuel - EUROSTAT'!$A$1)</f>
        <v>Comext mensuel - EUROSTAT</v>
      </c>
      <c r="M179" s="26" t="str">
        <f>Etiquettes!$H$11</f>
        <v>Volume</v>
      </c>
      <c r="N179" t="str">
        <f t="shared" si="25"/>
        <v>Exportation de Corn gluten feed, drèches et solubles = 350 kt (Douanes françaises - Eurostat)</v>
      </c>
      <c r="O179" s="26" t="str">
        <f>Etiquettes!$J$15</f>
        <v>Probable</v>
      </c>
      <c r="P179" s="603" t="str">
        <f>Etiquettes!$H$16</f>
        <v>Données collectées</v>
      </c>
      <c r="Q179" s="603" t="str">
        <f>Etiquettes!$H$17</f>
        <v>Donnée collectée (valeur du flux ou coefficient)</v>
      </c>
      <c r="S179" s="693"/>
    </row>
    <row r="180" spans="1:19">
      <c r="A180" t="str">
        <f>Secteurs!$B$55</f>
        <v>Importations</v>
      </c>
      <c r="B180" t="str">
        <f>Produits!$B$14</f>
        <v>Corn gluten feed, drèches et solubles</v>
      </c>
      <c r="C180" s="86">
        <f>'Prétraitement échanges'!M189+'Prétraitement échanges'!M190</f>
        <v>106.04245300000001</v>
      </c>
      <c r="D180" s="86"/>
      <c r="E180" t="str">
        <f>Etiquettes!$C$3</f>
        <v>kt</v>
      </c>
      <c r="F180" s="26" t="str">
        <f>Etiquettes!$I$6</f>
        <v>Maïs</v>
      </c>
      <c r="G180" s="26" t="str">
        <f>Etiquettes!$I$5</f>
        <v>2019-20</v>
      </c>
      <c r="H180" t="str">
        <f>Etiquettes!$C$4</f>
        <v>France entière</v>
      </c>
      <c r="I180" t="str">
        <f t="shared" si="26"/>
        <v>Importation de Corn gluten feed, drèches et solubles</v>
      </c>
      <c r="J180"/>
      <c r="K180" t="s">
        <v>1591</v>
      </c>
      <c r="L180" s="26" t="str" cm="1">
        <f t="array" aca="1" ref="L180" ca="1">[1]!NOM_FEUILLE('Comext mensuel - EUROSTAT'!$A$1)</f>
        <v>Comext mensuel - EUROSTAT</v>
      </c>
      <c r="M180" s="26" t="str">
        <f>Etiquettes!$H$11</f>
        <v>Volume</v>
      </c>
      <c r="N180" t="str">
        <f t="shared" si="25"/>
        <v>Importation de Corn gluten feed, drèches et solubles = 106 kt (Douanes françaises - Eurostat)</v>
      </c>
      <c r="O180" s="26" t="str">
        <f>Etiquettes!$J$15</f>
        <v>Probable</v>
      </c>
      <c r="P180" s="603" t="str">
        <f>Etiquettes!$H$16</f>
        <v>Données collectées</v>
      </c>
      <c r="Q180" s="603" t="str">
        <f>Etiquettes!$H$17</f>
        <v>Donnée collectée (valeur du flux ou coefficient)</v>
      </c>
      <c r="S180" s="693"/>
    </row>
    <row r="181" spans="1:19">
      <c r="A181" t="str">
        <f>Produits!$B$14</f>
        <v>Corn gluten feed, drèches et solubles</v>
      </c>
      <c r="B181" t="str">
        <f>Secteurs!$B$56</f>
        <v>Exportations</v>
      </c>
      <c r="C181" s="86">
        <f>'Prétraitement échanges'!N189+'Prétraitement échanges'!N190</f>
        <v>204.72420599999998</v>
      </c>
      <c r="D181" s="86"/>
      <c r="E181" t="str">
        <f>Etiquettes!$C$3</f>
        <v>kt</v>
      </c>
      <c r="F181" s="26" t="str">
        <f>Etiquettes!$I$6</f>
        <v>Maïs</v>
      </c>
      <c r="G181" s="26" t="str">
        <f>Etiquettes!$I$5</f>
        <v>2019-20</v>
      </c>
      <c r="H181" t="str">
        <f>Etiquettes!$C$4</f>
        <v>France entière</v>
      </c>
      <c r="I181" t="str">
        <f t="shared" si="27"/>
        <v>Exportation de Corn gluten feed, drèches et solubles</v>
      </c>
      <c r="J181"/>
      <c r="K181" t="s">
        <v>1591</v>
      </c>
      <c r="L181" s="26" t="str" cm="1">
        <f t="array" aca="1" ref="L181" ca="1">[1]!NOM_FEUILLE('Comext mensuel - EUROSTAT'!$A$1)</f>
        <v>Comext mensuel - EUROSTAT</v>
      </c>
      <c r="M181" s="26" t="str">
        <f>Etiquettes!$H$11</f>
        <v>Volume</v>
      </c>
      <c r="N181" t="str">
        <f t="shared" si="25"/>
        <v>Exportation de Corn gluten feed, drèches et solubles = 205 kt (Douanes françaises - Eurostat)</v>
      </c>
      <c r="O181" s="26" t="str">
        <f>Etiquettes!$J$15</f>
        <v>Probable</v>
      </c>
      <c r="P181" s="603" t="str">
        <f>Etiquettes!$H$16</f>
        <v>Données collectées</v>
      </c>
      <c r="Q181" s="603" t="str">
        <f>Etiquettes!$H$17</f>
        <v>Donnée collectée (valeur du flux ou coefficient)</v>
      </c>
      <c r="S181" s="693"/>
    </row>
    <row r="182" spans="1:19">
      <c r="A182" t="str">
        <f>Secteurs!$B$55</f>
        <v>Importations</v>
      </c>
      <c r="B182" t="str">
        <f>Produits!$B$14</f>
        <v>Corn gluten feed, drèches et solubles</v>
      </c>
      <c r="C182" s="86">
        <f>'Prétraitement échanges'!O189+'Prétraitement échanges'!O190</f>
        <v>65.438924</v>
      </c>
      <c r="D182" s="86"/>
      <c r="E182" t="str">
        <f>Etiquettes!$C$3</f>
        <v>kt</v>
      </c>
      <c r="F182" s="26" t="str">
        <f>Etiquettes!$I$6</f>
        <v>Maïs</v>
      </c>
      <c r="G182" s="26" t="str">
        <f>Etiquettes!$J$5</f>
        <v>2023-24</v>
      </c>
      <c r="H182" t="str">
        <f>Etiquettes!$C$4</f>
        <v>France entière</v>
      </c>
      <c r="I182" t="str">
        <f t="shared" si="26"/>
        <v>Importation de Corn gluten feed, drèches et solubles</v>
      </c>
      <c r="J182"/>
      <c r="K182" t="s">
        <v>1591</v>
      </c>
      <c r="L182" s="26" t="str" cm="1">
        <f t="array" aca="1" ref="L182" ca="1">[1]!NOM_FEUILLE('Comext mensuel - EUROSTAT'!$A$1)</f>
        <v>Comext mensuel - EUROSTAT</v>
      </c>
      <c r="M182" s="26" t="str">
        <f>Etiquettes!$H$11</f>
        <v>Volume</v>
      </c>
      <c r="N182" t="str">
        <f t="shared" si="25"/>
        <v>Importation de Corn gluten feed, drèches et solubles = 65 kt (Douanes françaises - Eurostat)</v>
      </c>
      <c r="O182" s="26" t="str">
        <f>Etiquettes!$J$15</f>
        <v>Probable</v>
      </c>
      <c r="P182" s="603" t="str">
        <f>Etiquettes!$H$16</f>
        <v>Données collectées</v>
      </c>
      <c r="Q182" s="603" t="str">
        <f>Etiquettes!$H$17</f>
        <v>Donnée collectée (valeur du flux ou coefficient)</v>
      </c>
      <c r="S182" s="693"/>
    </row>
    <row r="183" spans="1:19">
      <c r="A183" t="str">
        <f>Produits!$B$14</f>
        <v>Corn gluten feed, drèches et solubles</v>
      </c>
      <c r="B183" t="str">
        <f>Secteurs!$B$56</f>
        <v>Exportations</v>
      </c>
      <c r="C183" s="86">
        <f>'Prétraitement échanges'!P189+'Prétraitement échanges'!P190</f>
        <v>146.19027</v>
      </c>
      <c r="E183" t="str">
        <f>Etiquettes!$C$3</f>
        <v>kt</v>
      </c>
      <c r="F183" s="26" t="str">
        <f>Etiquettes!$I$6</f>
        <v>Maïs</v>
      </c>
      <c r="G183" s="26" t="str">
        <f>Etiquettes!$J$5</f>
        <v>2023-24</v>
      </c>
      <c r="H183" t="str">
        <f>Etiquettes!$C$4</f>
        <v>France entière</v>
      </c>
      <c r="I183" t="str">
        <f t="shared" si="27"/>
        <v>Exportation de Corn gluten feed, drèches et solubles</v>
      </c>
      <c r="J183"/>
      <c r="K183" t="s">
        <v>1591</v>
      </c>
      <c r="L183" s="26" t="str" cm="1">
        <f t="array" aca="1" ref="L183" ca="1">[1]!NOM_FEUILLE('Comext mensuel - EUROSTAT'!$A$1)</f>
        <v>Comext mensuel - EUROSTAT</v>
      </c>
      <c r="M183" s="26" t="str">
        <f>Etiquettes!$H$11</f>
        <v>Volume</v>
      </c>
      <c r="N183" t="str">
        <f t="shared" si="25"/>
        <v>Exportation de Corn gluten feed, drèches et solubles = 146 kt (Douanes françaises - Eurostat)</v>
      </c>
      <c r="O183" s="26" t="str">
        <f>Etiquettes!$J$15</f>
        <v>Probable</v>
      </c>
      <c r="P183" s="603" t="str">
        <f>Etiquettes!$H$16</f>
        <v>Données collectées</v>
      </c>
      <c r="Q183" s="603" t="str">
        <f>Etiquettes!$H$17</f>
        <v>Donnée collectée (valeur du flux ou coefficient)</v>
      </c>
      <c r="S183" s="693"/>
    </row>
    <row r="184" spans="1:19">
      <c r="A184" t="str">
        <f>Secteurs!$B$55</f>
        <v>Importations</v>
      </c>
      <c r="B184" t="str">
        <f>Produits!$B$14</f>
        <v>Corn gluten feed, drèches et solubles</v>
      </c>
      <c r="C184" s="571">
        <v>0</v>
      </c>
      <c r="E184" t="str">
        <f>Etiquettes!$C$3</f>
        <v>kt</v>
      </c>
      <c r="F184" s="26" t="s">
        <v>1710</v>
      </c>
      <c r="G184" s="26" t="str">
        <f>Etiquettes!$C$5</f>
        <v>2015-16:2019-20:2023-24</v>
      </c>
      <c r="H184" t="str">
        <f>Etiquettes!$C$4</f>
        <v>France entière</v>
      </c>
      <c r="I184"/>
      <c r="J184"/>
      <c r="K184"/>
      <c r="N184"/>
      <c r="P184" s="603"/>
      <c r="Q184" s="603"/>
      <c r="R184" s="693" t="s">
        <v>1418</v>
      </c>
      <c r="S184" s="693"/>
    </row>
    <row r="185" spans="1:19">
      <c r="A185" t="str">
        <f>Produits!$B$14</f>
        <v>Corn gluten feed, drèches et solubles</v>
      </c>
      <c r="B185" t="str">
        <f>Secteurs!$B$56</f>
        <v>Exportations</v>
      </c>
      <c r="C185" s="571">
        <v>0</v>
      </c>
      <c r="E185" t="str">
        <f>Etiquettes!$C$3</f>
        <v>kt</v>
      </c>
      <c r="F185" s="26" t="s">
        <v>1710</v>
      </c>
      <c r="G185" s="26" t="str">
        <f>Etiquettes!$C$5</f>
        <v>2015-16:2019-20:2023-24</v>
      </c>
      <c r="H185" t="str">
        <f>Etiquettes!$C$4</f>
        <v>France entière</v>
      </c>
      <c r="I185"/>
      <c r="J185"/>
      <c r="K185"/>
      <c r="N185"/>
      <c r="P185" s="603"/>
      <c r="Q185" s="603"/>
      <c r="R185" s="693"/>
      <c r="S185" s="693"/>
    </row>
    <row r="186" spans="1:19">
      <c r="A186" t="str">
        <f>Secteurs!$B$55</f>
        <v>Importations</v>
      </c>
      <c r="B186" t="str">
        <f>Produits!$B$16</f>
        <v>Tourteaux</v>
      </c>
      <c r="C186" s="86">
        <f>'Prétraitement échanges'!K193</f>
        <v>44.940016</v>
      </c>
      <c r="E186" t="str">
        <f>Etiquettes!$C$3</f>
        <v>kt</v>
      </c>
      <c r="F186" s="26" t="str">
        <f>Etiquettes!$I$6</f>
        <v>Maïs</v>
      </c>
      <c r="G186" s="26" t="str">
        <f>Etiquettes!$H$5</f>
        <v>2015-16</v>
      </c>
      <c r="H186" t="str">
        <f>Etiquettes!$C$4</f>
        <v>France entière</v>
      </c>
      <c r="I186" t="str">
        <f t="shared" si="26"/>
        <v>Importation de Tourteaux</v>
      </c>
      <c r="J186"/>
      <c r="K186" t="s">
        <v>1591</v>
      </c>
      <c r="L186" s="26" t="str" cm="1">
        <f t="array" aca="1" ref="L186" ca="1">[1]!NOM_FEUILLE('Comext mensuel - EUROSTAT'!$A$1)</f>
        <v>Comext mensuel - EUROSTAT</v>
      </c>
      <c r="M186" s="26" t="str">
        <f>Etiquettes!$H$11</f>
        <v>Volume</v>
      </c>
      <c r="N186" t="str">
        <f t="shared" si="25"/>
        <v>Importation de Tourteaux = 45 kt (Douanes françaises - Eurostat)</v>
      </c>
      <c r="O186" s="26" t="str">
        <f>Etiquettes!$J$15</f>
        <v>Probable</v>
      </c>
      <c r="P186" s="603" t="str">
        <f>Etiquettes!$H$16</f>
        <v>Données collectées</v>
      </c>
      <c r="Q186" s="603" t="str">
        <f>Etiquettes!$H$17</f>
        <v>Donnée collectée (valeur du flux ou coefficient)</v>
      </c>
      <c r="S186" s="693"/>
    </row>
    <row r="187" spans="1:19">
      <c r="A187" t="str">
        <f>Produits!$B$16</f>
        <v>Tourteaux</v>
      </c>
      <c r="B187" t="str">
        <f>Secteurs!$B$56</f>
        <v>Exportations</v>
      </c>
      <c r="C187" s="86">
        <f>'Prétraitement échanges'!L193</f>
        <v>6.2505039999999985</v>
      </c>
      <c r="E187" t="str">
        <f>Etiquettes!$C$3</f>
        <v>kt</v>
      </c>
      <c r="F187" s="26" t="str">
        <f>Etiquettes!$I$6</f>
        <v>Maïs</v>
      </c>
      <c r="G187" s="26" t="str">
        <f>Etiquettes!$H$5</f>
        <v>2015-16</v>
      </c>
      <c r="H187" t="str">
        <f>Etiquettes!$C$4</f>
        <v>France entière</v>
      </c>
      <c r="I187" t="str">
        <f t="shared" si="27"/>
        <v>Exportation de Tourteaux</v>
      </c>
      <c r="J187"/>
      <c r="K187" t="s">
        <v>1591</v>
      </c>
      <c r="L187" s="26" t="str" cm="1">
        <f t="array" aca="1" ref="L187" ca="1">[1]!NOM_FEUILLE('Comext mensuel - EUROSTAT'!$A$1)</f>
        <v>Comext mensuel - EUROSTAT</v>
      </c>
      <c r="M187" s="26" t="str">
        <f>Etiquettes!$H$11</f>
        <v>Volume</v>
      </c>
      <c r="N187" t="str">
        <f t="shared" si="25"/>
        <v>Exportation de Tourteaux = 6 kt (Douanes françaises - Eurostat)</v>
      </c>
      <c r="O187" s="26" t="str">
        <f>Etiquettes!$J$15</f>
        <v>Probable</v>
      </c>
      <c r="P187" s="603" t="str">
        <f>Etiquettes!$H$16</f>
        <v>Données collectées</v>
      </c>
      <c r="Q187" s="603" t="str">
        <f>Etiquettes!$H$17</f>
        <v>Donnée collectée (valeur du flux ou coefficient)</v>
      </c>
      <c r="S187" s="693"/>
    </row>
    <row r="188" spans="1:19">
      <c r="A188" t="str">
        <f>Secteurs!$B$55</f>
        <v>Importations</v>
      </c>
      <c r="B188" t="str">
        <f>Produits!$B$16</f>
        <v>Tourteaux</v>
      </c>
      <c r="C188" s="86">
        <f>'Prétraitement échanges'!M193</f>
        <v>35.049267999999998</v>
      </c>
      <c r="E188" t="str">
        <f>Etiquettes!$C$3</f>
        <v>kt</v>
      </c>
      <c r="F188" s="26" t="str">
        <f>Etiquettes!$I$6</f>
        <v>Maïs</v>
      </c>
      <c r="G188" s="26" t="str">
        <f>Etiquettes!$I$5</f>
        <v>2019-20</v>
      </c>
      <c r="H188" t="str">
        <f>Etiquettes!$C$4</f>
        <v>France entière</v>
      </c>
      <c r="I188" t="str">
        <f t="shared" si="26"/>
        <v>Importation de Tourteaux</v>
      </c>
      <c r="J188"/>
      <c r="K188" t="s">
        <v>1591</v>
      </c>
      <c r="L188" s="26" t="str" cm="1">
        <f t="array" aca="1" ref="L188" ca="1">[1]!NOM_FEUILLE('Comext mensuel - EUROSTAT'!$A$1)</f>
        <v>Comext mensuel - EUROSTAT</v>
      </c>
      <c r="M188" s="26" t="str">
        <f>Etiquettes!$H$11</f>
        <v>Volume</v>
      </c>
      <c r="N188" t="str">
        <f t="shared" si="25"/>
        <v>Importation de Tourteaux = 35 kt (Douanes françaises - Eurostat)</v>
      </c>
      <c r="O188" s="26" t="str">
        <f>Etiquettes!$J$15</f>
        <v>Probable</v>
      </c>
      <c r="P188" s="603" t="str">
        <f>Etiquettes!$H$16</f>
        <v>Données collectées</v>
      </c>
      <c r="Q188" s="603" t="str">
        <f>Etiquettes!$H$17</f>
        <v>Donnée collectée (valeur du flux ou coefficient)</v>
      </c>
      <c r="S188" s="693"/>
    </row>
    <row r="189" spans="1:19">
      <c r="A189" t="str">
        <f>Produits!$B$16</f>
        <v>Tourteaux</v>
      </c>
      <c r="B189" t="str">
        <f>Secteurs!$B$56</f>
        <v>Exportations</v>
      </c>
      <c r="C189" s="86">
        <f>'Prétraitement échanges'!N193</f>
        <v>8.9110899999999997</v>
      </c>
      <c r="E189" t="str">
        <f>Etiquettes!$C$3</f>
        <v>kt</v>
      </c>
      <c r="F189" s="26" t="str">
        <f>Etiquettes!$I$6</f>
        <v>Maïs</v>
      </c>
      <c r="G189" s="26" t="str">
        <f>Etiquettes!$I$5</f>
        <v>2019-20</v>
      </c>
      <c r="H189" t="str">
        <f>Etiquettes!$C$4</f>
        <v>France entière</v>
      </c>
      <c r="I189" t="str">
        <f t="shared" si="27"/>
        <v>Exportation de Tourteaux</v>
      </c>
      <c r="J189"/>
      <c r="K189" t="s">
        <v>1591</v>
      </c>
      <c r="L189" s="26" t="str" cm="1">
        <f t="array" aca="1" ref="L189" ca="1">[1]!NOM_FEUILLE('Comext mensuel - EUROSTAT'!$A$1)</f>
        <v>Comext mensuel - EUROSTAT</v>
      </c>
      <c r="M189" s="26" t="str">
        <f>Etiquettes!$H$11</f>
        <v>Volume</v>
      </c>
      <c r="N189" t="str">
        <f t="shared" si="25"/>
        <v>Exportation de Tourteaux = 9 kt (Douanes françaises - Eurostat)</v>
      </c>
      <c r="O189" s="26" t="str">
        <f>Etiquettes!$J$15</f>
        <v>Probable</v>
      </c>
      <c r="P189" s="603" t="str">
        <f>Etiquettes!$H$16</f>
        <v>Données collectées</v>
      </c>
      <c r="Q189" s="603" t="str">
        <f>Etiquettes!$H$17</f>
        <v>Donnée collectée (valeur du flux ou coefficient)</v>
      </c>
      <c r="S189" s="693"/>
    </row>
    <row r="190" spans="1:19">
      <c r="A190" t="str">
        <f>Secteurs!$B$55</f>
        <v>Importations</v>
      </c>
      <c r="B190" t="str">
        <f>Produits!$B$16</f>
        <v>Tourteaux</v>
      </c>
      <c r="C190" s="86">
        <f>'Prétraitement échanges'!O193</f>
        <v>35.143808</v>
      </c>
      <c r="E190" t="str">
        <f>Etiquettes!$C$3</f>
        <v>kt</v>
      </c>
      <c r="F190" s="26" t="str">
        <f>Etiquettes!$I$6</f>
        <v>Maïs</v>
      </c>
      <c r="G190" s="26" t="str">
        <f>Etiquettes!$J$5</f>
        <v>2023-24</v>
      </c>
      <c r="H190" t="str">
        <f>Etiquettes!$C$4</f>
        <v>France entière</v>
      </c>
      <c r="I190" t="str">
        <f t="shared" si="26"/>
        <v>Importation de Tourteaux</v>
      </c>
      <c r="J190"/>
      <c r="K190" t="s">
        <v>1591</v>
      </c>
      <c r="L190" s="26" t="str" cm="1">
        <f t="array" aca="1" ref="L190" ca="1">[1]!NOM_FEUILLE('Comext mensuel - EUROSTAT'!$A$1)</f>
        <v>Comext mensuel - EUROSTAT</v>
      </c>
      <c r="M190" s="26" t="str">
        <f>Etiquettes!$H$11</f>
        <v>Volume</v>
      </c>
      <c r="N190" t="str">
        <f t="shared" si="25"/>
        <v>Importation de Tourteaux = 35 kt (Douanes françaises - Eurostat)</v>
      </c>
      <c r="O190" s="26" t="str">
        <f>Etiquettes!$J$15</f>
        <v>Probable</v>
      </c>
      <c r="P190" s="603" t="str">
        <f>Etiquettes!$H$16</f>
        <v>Données collectées</v>
      </c>
      <c r="Q190" s="603" t="str">
        <f>Etiquettes!$H$17</f>
        <v>Donnée collectée (valeur du flux ou coefficient)</v>
      </c>
      <c r="S190" s="693"/>
    </row>
    <row r="191" spans="1:19">
      <c r="A191" t="str">
        <f>Produits!$B$16</f>
        <v>Tourteaux</v>
      </c>
      <c r="B191" t="str">
        <f>Secteurs!$B$56</f>
        <v>Exportations</v>
      </c>
      <c r="C191" s="86">
        <f>'Prétraitement échanges'!P193</f>
        <v>5.9187159999999999</v>
      </c>
      <c r="E191" t="str">
        <f>Etiquettes!$C$3</f>
        <v>kt</v>
      </c>
      <c r="F191" s="26" t="str">
        <f>Etiquettes!$I$6</f>
        <v>Maïs</v>
      </c>
      <c r="G191" s="26" t="str">
        <f>Etiquettes!$J$5</f>
        <v>2023-24</v>
      </c>
      <c r="H191" t="str">
        <f>Etiquettes!$C$4</f>
        <v>France entière</v>
      </c>
      <c r="I191" t="str">
        <f t="shared" si="27"/>
        <v>Exportation de Tourteaux</v>
      </c>
      <c r="J191"/>
      <c r="K191" t="s">
        <v>1591</v>
      </c>
      <c r="L191" s="26" t="str" cm="1">
        <f t="array" aca="1" ref="L191" ca="1">[1]!NOM_FEUILLE('Comext mensuel - EUROSTAT'!$A$1)</f>
        <v>Comext mensuel - EUROSTAT</v>
      </c>
      <c r="M191" s="26" t="str">
        <f>Etiquettes!$H$11</f>
        <v>Volume</v>
      </c>
      <c r="N191" t="str">
        <f t="shared" si="25"/>
        <v>Exportation de Tourteaux = 6 kt (Douanes françaises - Eurostat)</v>
      </c>
      <c r="O191" s="26" t="str">
        <f>Etiquettes!$J$15</f>
        <v>Probable</v>
      </c>
      <c r="P191" s="603" t="str">
        <f>Etiquettes!$H$16</f>
        <v>Données collectées</v>
      </c>
      <c r="Q191" s="603" t="str">
        <f>Etiquettes!$H$17</f>
        <v>Donnée collectée (valeur du flux ou coefficient)</v>
      </c>
      <c r="S191" s="693"/>
    </row>
    <row r="192" spans="1:19">
      <c r="A192" t="str">
        <f>Secteurs!$B$55</f>
        <v>Importations</v>
      </c>
      <c r="B192" t="str">
        <f>Produits!$B$7</f>
        <v>Issues de meunerie</v>
      </c>
      <c r="C192" s="86">
        <f>'Prétraitement échanges'!K189+'Prétraitement échanges'!K190</f>
        <v>82.567974000000007</v>
      </c>
      <c r="E192" t="str">
        <f>Etiquettes!$C$3</f>
        <v>kt</v>
      </c>
      <c r="F192" s="26" t="str">
        <f>Etiquettes!$H$6</f>
        <v>Blé tendre</v>
      </c>
      <c r="G192" s="26" t="str">
        <f>Etiquettes!$H$5</f>
        <v>2015-16</v>
      </c>
      <c r="H192" t="str">
        <f>Etiquettes!$C$4</f>
        <v>France entière</v>
      </c>
      <c r="I192" t="str">
        <f t="shared" ref="I192" si="28">_xlfn.CONCAT("Importation de ",B192)</f>
        <v>Importation de Issues de meunerie</v>
      </c>
      <c r="J192"/>
      <c r="K192" t="s">
        <v>1591</v>
      </c>
      <c r="L192" s="26" t="str" cm="1">
        <f t="array" aca="1" ref="L192" ca="1">[1]!NOM_FEUILLE('Comext mensuel - EUROSTAT'!$A$1)</f>
        <v>Comext mensuel - EUROSTAT</v>
      </c>
      <c r="M192" s="26" t="str">
        <f>Etiquettes!$H$11</f>
        <v>Volume</v>
      </c>
      <c r="N192" t="str">
        <f>_xlfn.CONCAT(I192,IF(ISBLANK(C192),"",_xlfn.CONCAT(" = ",MROUND(C192,1)," ",E192))," (",K192,")")</f>
        <v>Importation de Issues de meunerie = 83 kt (Douanes françaises - Eurostat)</v>
      </c>
      <c r="O192" s="26" t="str">
        <f>Etiquettes!$J$15</f>
        <v>Probable</v>
      </c>
      <c r="P192" s="603" t="str">
        <f>Etiquettes!$H$16</f>
        <v>Données collectées</v>
      </c>
      <c r="Q192" s="603" t="str">
        <f>Etiquettes!$H$17</f>
        <v>Donnée collectée (valeur du flux ou coefficient)</v>
      </c>
      <c r="S192" s="693"/>
    </row>
    <row r="193" spans="1:19">
      <c r="A193" t="str">
        <f>Produits!$B$7</f>
        <v>Issues de meunerie</v>
      </c>
      <c r="B193" t="str">
        <f>Secteurs!$B$56</f>
        <v>Exportations</v>
      </c>
      <c r="C193" s="86">
        <f>'Prétraitement échanges'!L189+'Prétraitement échanges'!L190</f>
        <v>350.00160400000004</v>
      </c>
      <c r="E193" t="str">
        <f>Etiquettes!$C$3</f>
        <v>kt</v>
      </c>
      <c r="F193" s="26" t="str">
        <f>Etiquettes!$H$6</f>
        <v>Blé tendre</v>
      </c>
      <c r="G193" s="26" t="str">
        <f>Etiquettes!$H$5</f>
        <v>2015-16</v>
      </c>
      <c r="H193" t="str">
        <f>Etiquettes!$C$4</f>
        <v>France entière</v>
      </c>
      <c r="I193" t="str">
        <f t="shared" ref="I193" si="29">_xlfn.CONCAT("Exportation de ",A193)</f>
        <v>Exportation de Issues de meunerie</v>
      </c>
      <c r="J193"/>
      <c r="K193" t="s">
        <v>1591</v>
      </c>
      <c r="L193" s="26" t="str" cm="1">
        <f t="array" aca="1" ref="L193" ca="1">[1]!NOM_FEUILLE('Comext mensuel - EUROSTAT'!$A$1)</f>
        <v>Comext mensuel - EUROSTAT</v>
      </c>
      <c r="M193" s="26" t="str">
        <f>Etiquettes!$H$11</f>
        <v>Volume</v>
      </c>
      <c r="N193" t="str">
        <f t="shared" ref="N193:N197" si="30">_xlfn.CONCAT(I193,IF(ISBLANK(C193),"",_xlfn.CONCAT(" = ",MROUND(C193,1)," ",E193))," (",K193,")")</f>
        <v>Exportation de Issues de meunerie = 350 kt (Douanes françaises - Eurostat)</v>
      </c>
      <c r="O193" s="26" t="str">
        <f>Etiquettes!$J$15</f>
        <v>Probable</v>
      </c>
      <c r="P193" s="603" t="str">
        <f>Etiquettes!$H$16</f>
        <v>Données collectées</v>
      </c>
      <c r="Q193" s="603" t="str">
        <f>Etiquettes!$H$17</f>
        <v>Donnée collectée (valeur du flux ou coefficient)</v>
      </c>
      <c r="S193" s="693"/>
    </row>
    <row r="194" spans="1:19">
      <c r="A194" t="str">
        <f>Secteurs!$B$55</f>
        <v>Importations</v>
      </c>
      <c r="B194" t="str">
        <f>Produits!$B$7</f>
        <v>Issues de meunerie</v>
      </c>
      <c r="C194" s="86">
        <f>'Prétraitement échanges'!M189+'Prétraitement échanges'!M190</f>
        <v>106.04245300000001</v>
      </c>
      <c r="E194" t="str">
        <f>Etiquettes!$C$3</f>
        <v>kt</v>
      </c>
      <c r="F194" s="26" t="str">
        <f>Etiquettes!$H$6</f>
        <v>Blé tendre</v>
      </c>
      <c r="G194" s="26" t="str">
        <f>Etiquettes!$I$5</f>
        <v>2019-20</v>
      </c>
      <c r="H194" t="str">
        <f>Etiquettes!$C$4</f>
        <v>France entière</v>
      </c>
      <c r="I194" t="str">
        <f t="shared" ref="I194" si="31">_xlfn.CONCAT("Importation de ",B194)</f>
        <v>Importation de Issues de meunerie</v>
      </c>
      <c r="J194"/>
      <c r="K194" t="s">
        <v>1591</v>
      </c>
      <c r="L194" s="26" t="str" cm="1">
        <f t="array" aca="1" ref="L194" ca="1">[1]!NOM_FEUILLE('Comext mensuel - EUROSTAT'!$A$1)</f>
        <v>Comext mensuel - EUROSTAT</v>
      </c>
      <c r="M194" s="26" t="str">
        <f>Etiquettes!$H$11</f>
        <v>Volume</v>
      </c>
      <c r="N194" t="str">
        <f t="shared" si="30"/>
        <v>Importation de Issues de meunerie = 106 kt (Douanes françaises - Eurostat)</v>
      </c>
      <c r="O194" s="26" t="str">
        <f>Etiquettes!$J$15</f>
        <v>Probable</v>
      </c>
      <c r="P194" s="603" t="str">
        <f>Etiquettes!$H$16</f>
        <v>Données collectées</v>
      </c>
      <c r="Q194" s="603" t="str">
        <f>Etiquettes!$H$17</f>
        <v>Donnée collectée (valeur du flux ou coefficient)</v>
      </c>
      <c r="S194" s="693"/>
    </row>
    <row r="195" spans="1:19">
      <c r="A195" t="str">
        <f>Produits!$B$7</f>
        <v>Issues de meunerie</v>
      </c>
      <c r="B195" t="str">
        <f>Secteurs!$B$56</f>
        <v>Exportations</v>
      </c>
      <c r="C195" s="86">
        <f>'Prétraitement échanges'!N189+'Prétraitement échanges'!N190</f>
        <v>204.72420599999998</v>
      </c>
      <c r="E195" t="str">
        <f>Etiquettes!$C$3</f>
        <v>kt</v>
      </c>
      <c r="F195" s="26" t="str">
        <f>Etiquettes!$H$6</f>
        <v>Blé tendre</v>
      </c>
      <c r="G195" s="26" t="str">
        <f>Etiquettes!$I$5</f>
        <v>2019-20</v>
      </c>
      <c r="H195" t="str">
        <f>Etiquettes!$C$4</f>
        <v>France entière</v>
      </c>
      <c r="I195" t="str">
        <f t="shared" ref="I195" si="32">_xlfn.CONCAT("Exportation de ",A195)</f>
        <v>Exportation de Issues de meunerie</v>
      </c>
      <c r="J195"/>
      <c r="K195" t="s">
        <v>1591</v>
      </c>
      <c r="L195" s="26" t="str" cm="1">
        <f t="array" aca="1" ref="L195" ca="1">[1]!NOM_FEUILLE('Comext mensuel - EUROSTAT'!$A$1)</f>
        <v>Comext mensuel - EUROSTAT</v>
      </c>
      <c r="M195" s="26" t="str">
        <f>Etiquettes!$H$11</f>
        <v>Volume</v>
      </c>
      <c r="N195" t="str">
        <f t="shared" si="30"/>
        <v>Exportation de Issues de meunerie = 205 kt (Douanes françaises - Eurostat)</v>
      </c>
      <c r="O195" s="26" t="str">
        <f>Etiquettes!$J$15</f>
        <v>Probable</v>
      </c>
      <c r="P195" s="603" t="str">
        <f>Etiquettes!$H$16</f>
        <v>Données collectées</v>
      </c>
      <c r="Q195" s="603" t="str">
        <f>Etiquettes!$H$17</f>
        <v>Donnée collectée (valeur du flux ou coefficient)</v>
      </c>
      <c r="S195" s="693"/>
    </row>
    <row r="196" spans="1:19">
      <c r="A196" t="str">
        <f>Secteurs!$B$55</f>
        <v>Importations</v>
      </c>
      <c r="B196" t="str">
        <f>Produits!$B$7</f>
        <v>Issues de meunerie</v>
      </c>
      <c r="C196" s="86">
        <f>'Prétraitement échanges'!O189+'Prétraitement échanges'!O190</f>
        <v>65.438924</v>
      </c>
      <c r="E196" t="str">
        <f>Etiquettes!$C$3</f>
        <v>kt</v>
      </c>
      <c r="F196" s="26" t="str">
        <f>Etiquettes!$H$6</f>
        <v>Blé tendre</v>
      </c>
      <c r="G196" s="26" t="str">
        <f>Etiquettes!$J$5</f>
        <v>2023-24</v>
      </c>
      <c r="H196" t="str">
        <f>Etiquettes!$C$4</f>
        <v>France entière</v>
      </c>
      <c r="I196" t="str">
        <f t="shared" ref="I196" si="33">_xlfn.CONCAT("Importation de ",B196)</f>
        <v>Importation de Issues de meunerie</v>
      </c>
      <c r="J196"/>
      <c r="K196" t="s">
        <v>1591</v>
      </c>
      <c r="L196" s="26" t="str" cm="1">
        <f t="array" aca="1" ref="L196" ca="1">[1]!NOM_FEUILLE('Comext mensuel - EUROSTAT'!$A$1)</f>
        <v>Comext mensuel - EUROSTAT</v>
      </c>
      <c r="M196" s="26" t="str">
        <f>Etiquettes!$H$11</f>
        <v>Volume</v>
      </c>
      <c r="N196" t="str">
        <f t="shared" si="30"/>
        <v>Importation de Issues de meunerie = 65 kt (Douanes françaises - Eurostat)</v>
      </c>
      <c r="O196" s="26" t="str">
        <f>Etiquettes!$J$15</f>
        <v>Probable</v>
      </c>
      <c r="P196" s="603" t="str">
        <f>Etiquettes!$H$16</f>
        <v>Données collectées</v>
      </c>
      <c r="Q196" s="603" t="str">
        <f>Etiquettes!$H$17</f>
        <v>Donnée collectée (valeur du flux ou coefficient)</v>
      </c>
      <c r="S196" s="693"/>
    </row>
    <row r="197" spans="1:19">
      <c r="A197" t="str">
        <f>Produits!$B$7</f>
        <v>Issues de meunerie</v>
      </c>
      <c r="B197" t="str">
        <f>Secteurs!$B$56</f>
        <v>Exportations</v>
      </c>
      <c r="C197" s="86">
        <f>'Prétraitement échanges'!P189+'Prétraitement échanges'!P190</f>
        <v>146.19027</v>
      </c>
      <c r="E197" t="str">
        <f>Etiquettes!$C$3</f>
        <v>kt</v>
      </c>
      <c r="F197" s="26" t="str">
        <f>Etiquettes!$H$6</f>
        <v>Blé tendre</v>
      </c>
      <c r="G197" s="26" t="str">
        <f>Etiquettes!$J$5</f>
        <v>2023-24</v>
      </c>
      <c r="H197" t="str">
        <f>Etiquettes!$C$4</f>
        <v>France entière</v>
      </c>
      <c r="I197" t="str">
        <f t="shared" ref="I197" si="34">_xlfn.CONCAT("Exportation de ",A197)</f>
        <v>Exportation de Issues de meunerie</v>
      </c>
      <c r="J197"/>
      <c r="K197" t="s">
        <v>1591</v>
      </c>
      <c r="L197" s="26" t="str" cm="1">
        <f t="array" aca="1" ref="L197" ca="1">[1]!NOM_FEUILLE('Comext mensuel - EUROSTAT'!$A$1)</f>
        <v>Comext mensuel - EUROSTAT</v>
      </c>
      <c r="M197" s="26" t="str">
        <f>Etiquettes!$H$11</f>
        <v>Volume</v>
      </c>
      <c r="N197" t="str">
        <f t="shared" si="30"/>
        <v>Exportation de Issues de meunerie = 146 kt (Douanes françaises - Eurostat)</v>
      </c>
      <c r="O197" s="26" t="str">
        <f>Etiquettes!$J$15</f>
        <v>Probable</v>
      </c>
      <c r="P197" s="603" t="str">
        <f>Etiquettes!$H$16</f>
        <v>Données collectées</v>
      </c>
      <c r="Q197" s="603" t="str">
        <f>Etiquettes!$H$17</f>
        <v>Donnée collectée (valeur du flux ou coefficient)</v>
      </c>
      <c r="S197" s="693"/>
    </row>
    <row r="198" spans="1:19">
      <c r="A198" t="str">
        <f>Secteurs!$B$55</f>
        <v>Importations</v>
      </c>
      <c r="B198" t="str">
        <f>Produits!$B$7</f>
        <v>Issues de meunerie</v>
      </c>
      <c r="C198" s="571">
        <v>0</v>
      </c>
      <c r="E198" t="str">
        <f>Etiquettes!$C$3</f>
        <v>kt</v>
      </c>
      <c r="F198" s="26" t="s">
        <v>1709</v>
      </c>
      <c r="G198" s="26" t="str">
        <f>Etiquettes!$C$5</f>
        <v>2015-16:2019-20:2023-24</v>
      </c>
      <c r="H198" t="str">
        <f>Etiquettes!$C$4</f>
        <v>France entière</v>
      </c>
      <c r="I198"/>
      <c r="J198"/>
      <c r="K198"/>
      <c r="N198"/>
      <c r="P198" s="603"/>
      <c r="Q198" s="603"/>
      <c r="R198" s="693" t="s">
        <v>1745</v>
      </c>
      <c r="S198" s="693"/>
    </row>
    <row r="199" spans="1:19">
      <c r="A199" t="str">
        <f>Produits!$B$7</f>
        <v>Issues de meunerie</v>
      </c>
      <c r="B199" t="str">
        <f>Secteurs!$B$56</f>
        <v>Exportations</v>
      </c>
      <c r="C199" s="571">
        <v>0</v>
      </c>
      <c r="E199" t="str">
        <f>Etiquettes!$C$3</f>
        <v>kt</v>
      </c>
      <c r="F199" s="26" t="s">
        <v>1709</v>
      </c>
      <c r="G199" s="26" t="str">
        <f>Etiquettes!$C$5</f>
        <v>2015-16:2019-20:2023-24</v>
      </c>
      <c r="H199" t="str">
        <f>Etiquettes!$C$4</f>
        <v>France entière</v>
      </c>
      <c r="I199"/>
      <c r="J199"/>
      <c r="K199"/>
      <c r="N199"/>
      <c r="P199" s="603"/>
      <c r="Q199" s="603"/>
      <c r="R199" s="693"/>
      <c r="S199" s="693"/>
    </row>
  </sheetData>
  <mergeCells count="15">
    <mergeCell ref="S2:S61"/>
    <mergeCell ref="S62:S79"/>
    <mergeCell ref="S80:S99"/>
    <mergeCell ref="S152:S163"/>
    <mergeCell ref="S170:S177"/>
    <mergeCell ref="S124:S145"/>
    <mergeCell ref="S164:S169"/>
    <mergeCell ref="R198:R199"/>
    <mergeCell ref="S178:S199"/>
    <mergeCell ref="S100:S111"/>
    <mergeCell ref="S112:S123"/>
    <mergeCell ref="S146:S151"/>
    <mergeCell ref="R144:R145"/>
    <mergeCell ref="R136:R137"/>
    <mergeCell ref="R184:R185"/>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23AC3-A5CB-42A1-B72F-BCC44BADB76A}">
  <dimension ref="A1:V230"/>
  <sheetViews>
    <sheetView zoomScaleNormal="100" workbookViewId="0">
      <pane xSplit="4" ySplit="3" topLeftCell="E140" activePane="bottomRight" state="frozen"/>
      <selection activeCell="F172" sqref="F172"/>
      <selection pane="topRight" activeCell="F172" sqref="F172"/>
      <selection pane="bottomLeft" activeCell="F172" sqref="F172"/>
      <selection pane="bottomRight" activeCell="D175" sqref="D175"/>
    </sheetView>
  </sheetViews>
  <sheetFormatPr baseColWidth="10" defaultRowHeight="14.4"/>
  <cols>
    <col min="2" max="2" width="21.21875" bestFit="1" customWidth="1"/>
    <col min="3" max="3" width="14.6640625" customWidth="1"/>
    <col min="4" max="4" width="87.109375" customWidth="1"/>
  </cols>
  <sheetData>
    <row r="1" spans="1:22">
      <c r="B1" s="748" t="s">
        <v>297</v>
      </c>
      <c r="C1" s="748"/>
      <c r="D1" s="748"/>
      <c r="E1" s="748" t="s">
        <v>1246</v>
      </c>
      <c r="F1" s="748"/>
      <c r="G1" s="748"/>
      <c r="H1" s="748"/>
      <c r="I1" s="748"/>
      <c r="J1" s="748"/>
      <c r="K1" s="748" t="s">
        <v>1246</v>
      </c>
      <c r="L1" s="748"/>
      <c r="M1" s="748"/>
      <c r="N1" s="748"/>
      <c r="O1" s="748"/>
      <c r="P1" s="748"/>
      <c r="Q1" s="694" t="s">
        <v>1375</v>
      </c>
      <c r="R1" s="694"/>
      <c r="S1" s="694"/>
      <c r="T1" s="694"/>
      <c r="U1" s="694"/>
      <c r="V1" s="694"/>
    </row>
    <row r="2" spans="1:22">
      <c r="A2" s="748" t="s">
        <v>296</v>
      </c>
      <c r="B2" s="748"/>
      <c r="C2" s="18"/>
      <c r="D2" s="748" t="s">
        <v>944</v>
      </c>
      <c r="E2" s="694">
        <v>2015</v>
      </c>
      <c r="F2" s="694"/>
      <c r="G2" s="694">
        <v>2019</v>
      </c>
      <c r="H2" s="694"/>
      <c r="I2" s="694">
        <v>2023</v>
      </c>
      <c r="J2" s="694"/>
      <c r="K2" s="694" t="str">
        <f>Etiquettes!$H$5</f>
        <v>2015-16</v>
      </c>
      <c r="L2" s="694"/>
      <c r="M2" s="694" t="str">
        <f>Etiquettes!$I$5</f>
        <v>2019-20</v>
      </c>
      <c r="N2" s="694"/>
      <c r="O2" s="694" t="str">
        <f>Etiquettes!$J$5</f>
        <v>2023-24</v>
      </c>
      <c r="P2" s="694"/>
      <c r="Q2" s="694" t="str">
        <f>Etiquettes!$H$5</f>
        <v>2015-16</v>
      </c>
      <c r="R2" s="694"/>
      <c r="S2" s="694" t="str">
        <f>Etiquettes!$I$5</f>
        <v>2019-20</v>
      </c>
      <c r="T2" s="694"/>
      <c r="U2" s="694" t="str">
        <f>Etiquettes!$J$5</f>
        <v>2023-24</v>
      </c>
      <c r="V2" s="694"/>
    </row>
    <row r="3" spans="1:22">
      <c r="A3" t="s">
        <v>945</v>
      </c>
      <c r="B3" s="143" t="s">
        <v>947</v>
      </c>
      <c r="C3" s="693" t="s">
        <v>950</v>
      </c>
      <c r="D3" s="748"/>
      <c r="E3" t="s">
        <v>942</v>
      </c>
      <c r="F3" t="s">
        <v>943</v>
      </c>
      <c r="G3" t="s">
        <v>942</v>
      </c>
      <c r="H3" t="s">
        <v>943</v>
      </c>
      <c r="I3" t="s">
        <v>942</v>
      </c>
      <c r="J3" t="s">
        <v>943</v>
      </c>
      <c r="K3" t="s">
        <v>942</v>
      </c>
      <c r="L3" t="s">
        <v>943</v>
      </c>
      <c r="M3" t="s">
        <v>942</v>
      </c>
      <c r="N3" t="s">
        <v>943</v>
      </c>
      <c r="O3" t="s">
        <v>942</v>
      </c>
      <c r="P3" t="s">
        <v>943</v>
      </c>
      <c r="Q3" t="s">
        <v>942</v>
      </c>
      <c r="R3" t="s">
        <v>943</v>
      </c>
      <c r="S3" t="s">
        <v>942</v>
      </c>
      <c r="T3" t="s">
        <v>943</v>
      </c>
      <c r="U3" t="s">
        <v>942</v>
      </c>
      <c r="V3" t="s">
        <v>943</v>
      </c>
    </row>
    <row r="4" spans="1:22">
      <c r="A4" t="s">
        <v>172</v>
      </c>
      <c r="B4" t="s">
        <v>948</v>
      </c>
      <c r="C4" s="693"/>
      <c r="D4" t="str">
        <f>'Comext annuel - EUROSTAT'!B13</f>
        <v>Froment (blé) dur, de semence</v>
      </c>
      <c r="E4" s="86">
        <f>'Comext annuel - EUROSTAT'!C13/10^4</f>
        <v>10.913361</v>
      </c>
      <c r="F4" s="86">
        <f>'Comext annuel - EUROSTAT'!D13/10^4</f>
        <v>83.83330500000001</v>
      </c>
      <c r="G4" s="86">
        <f>'Comext annuel - EUROSTAT'!E13/10^4</f>
        <v>6.2811789999999998</v>
      </c>
      <c r="H4" s="86">
        <f>'Comext annuel - EUROSTAT'!F13/10^4</f>
        <v>94.187404999999998</v>
      </c>
      <c r="I4" s="86">
        <f>'Comext annuel - EUROSTAT'!G13/10^4</f>
        <v>11.638491999999999</v>
      </c>
      <c r="J4" s="86">
        <f>'Comext annuel - EUROSTAT'!H13/10^4</f>
        <v>64.476446999999993</v>
      </c>
      <c r="K4" s="509">
        <f>SUM('Comext mensuel - EUROSTAT'!C13,'Comext mensuel - EUROSTAT'!E13,'Comext mensuel - EUROSTAT'!G13,'Comext mensuel - EUROSTAT'!I13,'Comext mensuel - EUROSTAT'!K13,'Comext mensuel - EUROSTAT'!M13,'Comext mensuel - EUROSTAT'!O13,'Comext mensuel - EUROSTAT'!Q13,'Comext mensuel - EUROSTAT'!S13,'Comext mensuel - EUROSTAT'!U13,'Comext mensuel - EUROSTAT'!W13,'Comext mensuel - EUROSTAT'!Y13)/10^4</f>
        <v>8.8641290000000001</v>
      </c>
      <c r="L4" s="509">
        <f>SUM('Comext mensuel - EUROSTAT'!D13,'Comext mensuel - EUROSTAT'!F13,'Comext mensuel - EUROSTAT'!H13,'Comext mensuel - EUROSTAT'!J13,'Comext mensuel - EUROSTAT'!L13,'Comext mensuel - EUROSTAT'!N13,'Comext mensuel - EUROSTAT'!P13,'Comext mensuel - EUROSTAT'!R13,'Comext mensuel - EUROSTAT'!T13,'Comext mensuel - EUROSTAT'!V13,'Comext mensuel - EUROSTAT'!X13,'Comext mensuel - EUROSTAT'!Z13)/10^4</f>
        <v>77.445453000000001</v>
      </c>
      <c r="M4" s="509">
        <f>SUM('Comext mensuel - EUROSTAT'!AA13,'Comext mensuel - EUROSTAT'!AC13,'Comext mensuel - EUROSTAT'!AE13,'Comext mensuel - EUROSTAT'!AG13,'Comext mensuel - EUROSTAT'!AI13,'Comext mensuel - EUROSTAT'!AK13,'Comext mensuel - EUROSTAT'!AM13,'Comext mensuel - EUROSTAT'!AO13,'Comext mensuel - EUROSTAT'!AQ13,'Comext mensuel - EUROSTAT'!AS13,'Comext mensuel - EUROSTAT'!AU13,'Comext mensuel - EUROSTAT'!AW13)/10^4</f>
        <v>8.2406980000000019</v>
      </c>
      <c r="N4" s="509">
        <f>SUM('Comext mensuel - EUROSTAT'!AB13,'Comext mensuel - EUROSTAT'!AD13,'Comext mensuel - EUROSTAT'!AF13,'Comext mensuel - EUROSTAT'!AH13,'Comext mensuel - EUROSTAT'!AJ13,'Comext mensuel - EUROSTAT'!AL13,'Comext mensuel - EUROSTAT'!AN13,'Comext mensuel - EUROSTAT'!AP13,'Comext mensuel - EUROSTAT'!AR13,'Comext mensuel - EUROSTAT'!AT13,'Comext mensuel - EUROSTAT'!AV13,'Comext mensuel - EUROSTAT'!AX13)/10^4</f>
        <v>158.313637</v>
      </c>
      <c r="O4" s="509">
        <f>SUM('Comext mensuel - EUROSTAT'!AY13,'Comext mensuel - EUROSTAT'!BA13,'Comext mensuel - EUROSTAT'!BC13,'Comext mensuel - EUROSTAT'!BE13,'Comext mensuel - EUROSTAT'!BG13,'Comext mensuel - EUROSTAT'!BI13,'Comext mensuel - EUROSTAT'!BK13,'Comext mensuel - EUROSTAT'!BM13,'Comext mensuel - EUROSTAT'!BO13,'Comext mensuel - EUROSTAT'!BQ13,'Comext mensuel - EUROSTAT'!BS13,'Comext mensuel - EUROSTAT'!BU13)/10^4</f>
        <v>11.540253999999999</v>
      </c>
      <c r="P4" s="509">
        <f>SUM('Comext mensuel - EUROSTAT'!AZ13,'Comext mensuel - EUROSTAT'!BB13,'Comext mensuel - EUROSTAT'!BD13,'Comext mensuel - EUROSTAT'!BF13,'Comext mensuel - EUROSTAT'!BH13,'Comext mensuel - EUROSTAT'!BJ13,'Comext mensuel - EUROSTAT'!BL13,'Comext mensuel - EUROSTAT'!BN13,'Comext mensuel - EUROSTAT'!BP13,'Comext mensuel - EUROSTAT'!BR13,'Comext mensuel - EUROSTAT'!BT13,'Comext mensuel - EUROSTAT'!BV13)/10^4</f>
        <v>130.14889000000002</v>
      </c>
      <c r="Q4" s="626">
        <f>Q5-K4</f>
        <v>42.068370999999992</v>
      </c>
      <c r="R4" s="626">
        <f t="shared" ref="R4:V4" si="0">R5-L4</f>
        <v>1141.3127469999997</v>
      </c>
      <c r="S4" s="626">
        <f t="shared" si="0"/>
        <v>34.894501999999989</v>
      </c>
      <c r="T4" s="626">
        <f t="shared" si="0"/>
        <v>1294.0919630000003</v>
      </c>
      <c r="U4" s="626">
        <f t="shared" si="0"/>
        <v>20.955546000000012</v>
      </c>
      <c r="V4" s="626">
        <f t="shared" si="0"/>
        <v>861.85110999999995</v>
      </c>
    </row>
    <row r="5" spans="1:22">
      <c r="A5" t="s">
        <v>172</v>
      </c>
      <c r="B5" t="s">
        <v>949</v>
      </c>
      <c r="C5" s="693"/>
      <c r="D5" t="str">
        <f>'Comext annuel - EUROSTAT'!B14</f>
        <v>Froment (blé) dur, (à l'excl. de semence)</v>
      </c>
      <c r="E5" s="86">
        <f>'Comext annuel - EUROSTAT'!C14/10^4</f>
        <v>124.65300800000001</v>
      </c>
      <c r="F5" s="86">
        <f>'Comext annuel - EUROSTAT'!D14/10^4</f>
        <v>1072.4513420000001</v>
      </c>
      <c r="G5" s="86">
        <f>'Comext annuel - EUROSTAT'!E14/10^4</f>
        <v>36.090474</v>
      </c>
      <c r="H5" s="86">
        <f>'Comext annuel - EUROSTAT'!F14/10^4</f>
        <v>1576.9141869999999</v>
      </c>
      <c r="I5" s="86">
        <f>'Comext annuel - EUROSTAT'!G14/10^4</f>
        <v>18.504854999999999</v>
      </c>
      <c r="J5" s="86">
        <f>'Comext annuel - EUROSTAT'!H14/10^4</f>
        <v>741.91888600000004</v>
      </c>
      <c r="K5" s="509">
        <f>SUM('Comext mensuel - EUROSTAT'!C14,'Comext mensuel - EUROSTAT'!E14,'Comext mensuel - EUROSTAT'!G14,'Comext mensuel - EUROSTAT'!I14,'Comext mensuel - EUROSTAT'!K14,'Comext mensuel - EUROSTAT'!M14,'Comext mensuel - EUROSTAT'!O14,'Comext mensuel - EUROSTAT'!Q14,'Comext mensuel - EUROSTAT'!S14,'Comext mensuel - EUROSTAT'!U14,'Comext mensuel - EUROSTAT'!W14,'Comext mensuel - EUROSTAT'!Y14)/10^4</f>
        <v>43.139733999999997</v>
      </c>
      <c r="L5" s="509">
        <f>SUM('Comext mensuel - EUROSTAT'!D14,'Comext mensuel - EUROSTAT'!F14,'Comext mensuel - EUROSTAT'!H14,'Comext mensuel - EUROSTAT'!J14,'Comext mensuel - EUROSTAT'!L14,'Comext mensuel - EUROSTAT'!N14,'Comext mensuel - EUROSTAT'!P14,'Comext mensuel - EUROSTAT'!R14,'Comext mensuel - EUROSTAT'!T14,'Comext mensuel - EUROSTAT'!V14,'Comext mensuel - EUROSTAT'!X14,'Comext mensuel - EUROSTAT'!Z14)/10^4</f>
        <v>1141.311956</v>
      </c>
      <c r="M5" s="509">
        <f>SUM('Comext mensuel - EUROSTAT'!AA14,'Comext mensuel - EUROSTAT'!AC14,'Comext mensuel - EUROSTAT'!AE14,'Comext mensuel - EUROSTAT'!AG14,'Comext mensuel - EUROSTAT'!AI14,'Comext mensuel - EUROSTAT'!AK14,'Comext mensuel - EUROSTAT'!AM14,'Comext mensuel - EUROSTAT'!AO14,'Comext mensuel - EUROSTAT'!AQ14,'Comext mensuel - EUROSTAT'!AS14,'Comext mensuel - EUROSTAT'!AU14,'Comext mensuel - EUROSTAT'!AW14)/10^4</f>
        <v>35.893394000000001</v>
      </c>
      <c r="N5" s="509">
        <f>SUM('Comext mensuel - EUROSTAT'!AB14,'Comext mensuel - EUROSTAT'!AD14,'Comext mensuel - EUROSTAT'!AF14,'Comext mensuel - EUROSTAT'!AH14,'Comext mensuel - EUROSTAT'!AJ14,'Comext mensuel - EUROSTAT'!AL14,'Comext mensuel - EUROSTAT'!AN14,'Comext mensuel - EUROSTAT'!AP14,'Comext mensuel - EUROSTAT'!AR14,'Comext mensuel - EUROSTAT'!AT14,'Comext mensuel - EUROSTAT'!AV14,'Comext mensuel - EUROSTAT'!AX14)/10^4</f>
        <v>1294.0935329999998</v>
      </c>
      <c r="O5" s="509">
        <f>SUM('Comext mensuel - EUROSTAT'!AY14,'Comext mensuel - EUROSTAT'!BA14,'Comext mensuel - EUROSTAT'!BC14,'Comext mensuel - EUROSTAT'!BE14,'Comext mensuel - EUROSTAT'!BG14,'Comext mensuel - EUROSTAT'!BI14,'Comext mensuel - EUROSTAT'!BK14,'Comext mensuel - EUROSTAT'!BM14,'Comext mensuel - EUROSTAT'!BO14,'Comext mensuel - EUROSTAT'!BQ14,'Comext mensuel - EUROSTAT'!BS14,'Comext mensuel - EUROSTAT'!BU14)/10^4</f>
        <v>21.097454000000003</v>
      </c>
      <c r="P5" s="509">
        <f>SUM('Comext mensuel - EUROSTAT'!AZ14,'Comext mensuel - EUROSTAT'!BB14,'Comext mensuel - EUROSTAT'!BD14,'Comext mensuel - EUROSTAT'!BF14,'Comext mensuel - EUROSTAT'!BH14,'Comext mensuel - EUROSTAT'!BJ14,'Comext mensuel - EUROSTAT'!BL14,'Comext mensuel - EUROSTAT'!BN14,'Comext mensuel - EUROSTAT'!BP14,'Comext mensuel - EUROSTAT'!BR14,'Comext mensuel - EUROSTAT'!BT14,'Comext mensuel - EUROSTAT'!BV14)/10^4</f>
        <v>865.84069699999986</v>
      </c>
      <c r="Q5" s="86">
        <f>'Prétraitement bilans'!G9</f>
        <v>50.93249999999999</v>
      </c>
      <c r="R5" s="458">
        <f>'Prétraitement bilans'!G24</f>
        <v>1218.7581999999998</v>
      </c>
      <c r="S5" s="458">
        <f>'Prétraitement bilans'!P9</f>
        <v>43.13519999999999</v>
      </c>
      <c r="T5" s="458">
        <f>'Prétraitement bilans'!P24</f>
        <v>1452.4056000000003</v>
      </c>
      <c r="U5" s="458">
        <f>'Prétraitement bilans'!Y9</f>
        <v>32.49580000000001</v>
      </c>
      <c r="V5" s="458">
        <f>'Prétraitement bilans'!Y24</f>
        <v>992</v>
      </c>
    </row>
    <row r="6" spans="1:22">
      <c r="A6" t="s">
        <v>300</v>
      </c>
      <c r="B6" t="s">
        <v>948</v>
      </c>
      <c r="C6" s="693"/>
      <c r="D6" t="str">
        <f>'Comext annuel - EUROSTAT'!B15</f>
        <v>Epeautre, de semence</v>
      </c>
      <c r="E6" s="86">
        <f>'Comext annuel - EUROSTAT'!C15/10^4</f>
        <v>0.420404</v>
      </c>
      <c r="F6" s="86">
        <f>'Comext annuel - EUROSTAT'!D15/10^4</f>
        <v>0.49358100000000005</v>
      </c>
      <c r="G6" s="86">
        <f>'Comext annuel - EUROSTAT'!E15/10^4</f>
        <v>0.86888199999999993</v>
      </c>
      <c r="H6" s="86">
        <f>'Comext annuel - EUROSTAT'!F15/10^4</f>
        <v>3.9172720000000001</v>
      </c>
      <c r="I6" s="86">
        <f>'Comext annuel - EUROSTAT'!G15/10^4</f>
        <v>0.39572299999999999</v>
      </c>
      <c r="J6" s="86">
        <f>'Comext annuel - EUROSTAT'!H15/10^4</f>
        <v>0.66954099999999994</v>
      </c>
      <c r="K6" s="509">
        <f>SUM('Comext mensuel - EUROSTAT'!C15,'Comext mensuel - EUROSTAT'!E15,'Comext mensuel - EUROSTAT'!G15,'Comext mensuel - EUROSTAT'!I15,'Comext mensuel - EUROSTAT'!K15,'Comext mensuel - EUROSTAT'!M15,'Comext mensuel - EUROSTAT'!O15,'Comext mensuel - EUROSTAT'!Q15,'Comext mensuel - EUROSTAT'!S15,'Comext mensuel - EUROSTAT'!U15,'Comext mensuel - EUROSTAT'!W15,'Comext mensuel - EUROSTAT'!Y15)/10^4</f>
        <v>0.23798199999999997</v>
      </c>
      <c r="L6" s="509">
        <f>SUM('Comext mensuel - EUROSTAT'!D15,'Comext mensuel - EUROSTAT'!F15,'Comext mensuel - EUROSTAT'!H15,'Comext mensuel - EUROSTAT'!J15,'Comext mensuel - EUROSTAT'!L15,'Comext mensuel - EUROSTAT'!N15,'Comext mensuel - EUROSTAT'!P15,'Comext mensuel - EUROSTAT'!R15,'Comext mensuel - EUROSTAT'!T15,'Comext mensuel - EUROSTAT'!V15,'Comext mensuel - EUROSTAT'!X15,'Comext mensuel - EUROSTAT'!Z15)/10^4</f>
        <v>0.4527580000000001</v>
      </c>
      <c r="M6" s="509">
        <f>SUM('Comext mensuel - EUROSTAT'!AA15,'Comext mensuel - EUROSTAT'!AC15,'Comext mensuel - EUROSTAT'!AE15,'Comext mensuel - EUROSTAT'!AG15,'Comext mensuel - EUROSTAT'!AI15,'Comext mensuel - EUROSTAT'!AK15,'Comext mensuel - EUROSTAT'!AM15,'Comext mensuel - EUROSTAT'!AO15,'Comext mensuel - EUROSTAT'!AQ15,'Comext mensuel - EUROSTAT'!AS15,'Comext mensuel - EUROSTAT'!AU15,'Comext mensuel - EUROSTAT'!AW15)/10^4</f>
        <v>0.9478359999999999</v>
      </c>
      <c r="N6" s="509">
        <f>SUM('Comext mensuel - EUROSTAT'!AB15,'Comext mensuel - EUROSTAT'!AD15,'Comext mensuel - EUROSTAT'!AF15,'Comext mensuel - EUROSTAT'!AH15,'Comext mensuel - EUROSTAT'!AJ15,'Comext mensuel - EUROSTAT'!AL15,'Comext mensuel - EUROSTAT'!AN15,'Comext mensuel - EUROSTAT'!AP15,'Comext mensuel - EUROSTAT'!AR15,'Comext mensuel - EUROSTAT'!AT15,'Comext mensuel - EUROSTAT'!AV15,'Comext mensuel - EUROSTAT'!AX15)/10^4</f>
        <v>0.79630599999999996</v>
      </c>
      <c r="O6" s="509">
        <f>SUM('Comext mensuel - EUROSTAT'!AY15,'Comext mensuel - EUROSTAT'!BA15,'Comext mensuel - EUROSTAT'!BC15,'Comext mensuel - EUROSTAT'!BE15,'Comext mensuel - EUROSTAT'!BG15,'Comext mensuel - EUROSTAT'!BI15,'Comext mensuel - EUROSTAT'!BK15,'Comext mensuel - EUROSTAT'!BM15,'Comext mensuel - EUROSTAT'!BO15,'Comext mensuel - EUROSTAT'!BQ15,'Comext mensuel - EUROSTAT'!BS15,'Comext mensuel - EUROSTAT'!BU15)/10^4</f>
        <v>0.36895300000000009</v>
      </c>
      <c r="P6" s="509">
        <f>SUM('Comext mensuel - EUROSTAT'!AZ15,'Comext mensuel - EUROSTAT'!BB15,'Comext mensuel - EUROSTAT'!BD15,'Comext mensuel - EUROSTAT'!BF15,'Comext mensuel - EUROSTAT'!BH15,'Comext mensuel - EUROSTAT'!BJ15,'Comext mensuel - EUROSTAT'!BL15,'Comext mensuel - EUROSTAT'!BN15,'Comext mensuel - EUROSTAT'!BP15,'Comext mensuel - EUROSTAT'!BR15,'Comext mensuel - EUROSTAT'!BT15,'Comext mensuel - EUROSTAT'!BV15)/10^4</f>
        <v>3.0686519999999997</v>
      </c>
    </row>
    <row r="7" spans="1:22">
      <c r="A7" t="s">
        <v>953</v>
      </c>
      <c r="B7" t="s">
        <v>948</v>
      </c>
      <c r="C7" s="693"/>
      <c r="D7" t="str">
        <f>'Comext annuel - EUROSTAT'!B16</f>
        <v>Froment {blé} tendre ou méteil, de semence</v>
      </c>
      <c r="E7" s="86">
        <f>'Comext annuel - EUROSTAT'!C16/10^4</f>
        <v>59.877085999999998</v>
      </c>
      <c r="F7" s="86">
        <f>'Comext annuel - EUROSTAT'!D16/10^4</f>
        <v>78.906967000000009</v>
      </c>
      <c r="G7" s="86">
        <f>'Comext annuel - EUROSTAT'!E16/10^4</f>
        <v>4.2426969999999997</v>
      </c>
      <c r="H7" s="86">
        <f>'Comext annuel - EUROSTAT'!F16/10^4</f>
        <v>118.73073400000001</v>
      </c>
      <c r="I7" s="86">
        <f>'Comext annuel - EUROSTAT'!G16/10^4</f>
        <v>10.013826</v>
      </c>
      <c r="J7" s="86">
        <f>'Comext annuel - EUROSTAT'!H16/10^4</f>
        <v>142.749326</v>
      </c>
      <c r="K7" s="509">
        <f>SUM('Comext mensuel - EUROSTAT'!C16,'Comext mensuel - EUROSTAT'!E16,'Comext mensuel - EUROSTAT'!G16,'Comext mensuel - EUROSTAT'!I16,'Comext mensuel - EUROSTAT'!K16,'Comext mensuel - EUROSTAT'!M16,'Comext mensuel - EUROSTAT'!O16,'Comext mensuel - EUROSTAT'!Q16,'Comext mensuel - EUROSTAT'!S16,'Comext mensuel - EUROSTAT'!U16,'Comext mensuel - EUROSTAT'!W16,'Comext mensuel - EUROSTAT'!Y16)/10^4</f>
        <v>29.636454000000004</v>
      </c>
      <c r="L7" s="509">
        <f>SUM('Comext mensuel - EUROSTAT'!D16,'Comext mensuel - EUROSTAT'!F16,'Comext mensuel - EUROSTAT'!H16,'Comext mensuel - EUROSTAT'!J16,'Comext mensuel - EUROSTAT'!L16,'Comext mensuel - EUROSTAT'!N16,'Comext mensuel - EUROSTAT'!P16,'Comext mensuel - EUROSTAT'!R16,'Comext mensuel - EUROSTAT'!T16,'Comext mensuel - EUROSTAT'!V16,'Comext mensuel - EUROSTAT'!X16,'Comext mensuel - EUROSTAT'!Z16)/10^4</f>
        <v>74.680928000000009</v>
      </c>
      <c r="M7" s="509">
        <f>SUM('Comext mensuel - EUROSTAT'!AA16,'Comext mensuel - EUROSTAT'!AC16,'Comext mensuel - EUROSTAT'!AE16,'Comext mensuel - EUROSTAT'!AG16,'Comext mensuel - EUROSTAT'!AI16,'Comext mensuel - EUROSTAT'!AK16,'Comext mensuel - EUROSTAT'!AM16,'Comext mensuel - EUROSTAT'!AO16,'Comext mensuel - EUROSTAT'!AQ16,'Comext mensuel - EUROSTAT'!AS16,'Comext mensuel - EUROSTAT'!AU16,'Comext mensuel - EUROSTAT'!AW16)/10^4</f>
        <v>5.1259739999999994</v>
      </c>
      <c r="N7" s="509">
        <f>SUM('Comext mensuel - EUROSTAT'!AB16,'Comext mensuel - EUROSTAT'!AD16,'Comext mensuel - EUROSTAT'!AF16,'Comext mensuel - EUROSTAT'!AH16,'Comext mensuel - EUROSTAT'!AJ16,'Comext mensuel - EUROSTAT'!AL16,'Comext mensuel - EUROSTAT'!AN16,'Comext mensuel - EUROSTAT'!AP16,'Comext mensuel - EUROSTAT'!AR16,'Comext mensuel - EUROSTAT'!AT16,'Comext mensuel - EUROSTAT'!AV16,'Comext mensuel - EUROSTAT'!AX16)/10^4</f>
        <v>124.36236799999999</v>
      </c>
      <c r="O7" s="509">
        <f>SUM('Comext mensuel - EUROSTAT'!AY16,'Comext mensuel - EUROSTAT'!BA16,'Comext mensuel - EUROSTAT'!BC16,'Comext mensuel - EUROSTAT'!BE16,'Comext mensuel - EUROSTAT'!BG16,'Comext mensuel - EUROSTAT'!BI16,'Comext mensuel - EUROSTAT'!BK16,'Comext mensuel - EUROSTAT'!BM16,'Comext mensuel - EUROSTAT'!BO16,'Comext mensuel - EUROSTAT'!BQ16,'Comext mensuel - EUROSTAT'!BS16,'Comext mensuel - EUROSTAT'!BU16)/10^4</f>
        <v>5.1728290000000001</v>
      </c>
      <c r="P7" s="509">
        <f>SUM('Comext mensuel - EUROSTAT'!AZ16,'Comext mensuel - EUROSTAT'!BB16,'Comext mensuel - EUROSTAT'!BD16,'Comext mensuel - EUROSTAT'!BF16,'Comext mensuel - EUROSTAT'!BH16,'Comext mensuel - EUROSTAT'!BJ16,'Comext mensuel - EUROSTAT'!BL16,'Comext mensuel - EUROSTAT'!BN16,'Comext mensuel - EUROSTAT'!BP16,'Comext mensuel - EUROSTAT'!BR16,'Comext mensuel - EUROSTAT'!BT16,'Comext mensuel - EUROSTAT'!BV16)/10^4</f>
        <v>125.32853499999999</v>
      </c>
    </row>
    <row r="8" spans="1:22">
      <c r="B8" t="s">
        <v>948</v>
      </c>
      <c r="C8" s="693"/>
      <c r="D8" t="str">
        <f>'Comext annuel - EUROSTAT'!B17</f>
        <v>Blé (à l'excl. du froment, du blé tendre et de l'épeautre) de semence</v>
      </c>
      <c r="E8" s="86">
        <f>'Comext annuel - EUROSTAT'!C17/10^4</f>
        <v>8.7255179999999992</v>
      </c>
      <c r="F8" s="86">
        <f>'Comext annuel - EUROSTAT'!D17/10^4</f>
        <v>105.662555</v>
      </c>
      <c r="G8" s="86">
        <f>'Comext annuel - EUROSTAT'!E17/10^4</f>
        <v>0.52274900000000002</v>
      </c>
      <c r="H8" s="86">
        <f>'Comext annuel - EUROSTAT'!F17/10^4</f>
        <v>180.18866800000001</v>
      </c>
      <c r="I8" s="86">
        <f>'Comext annuel - EUROSTAT'!G17/10^4</f>
        <v>2.4924840000000001</v>
      </c>
      <c r="J8" s="86">
        <f>'Comext annuel - EUROSTAT'!H17/10^4</f>
        <v>334.03695399999998</v>
      </c>
      <c r="K8" s="509">
        <f>SUM('Comext mensuel - EUROSTAT'!C17,'Comext mensuel - EUROSTAT'!E17,'Comext mensuel - EUROSTAT'!G17,'Comext mensuel - EUROSTAT'!I17,'Comext mensuel - EUROSTAT'!K17,'Comext mensuel - EUROSTAT'!M17,'Comext mensuel - EUROSTAT'!O17,'Comext mensuel - EUROSTAT'!Q17,'Comext mensuel - EUROSTAT'!S17,'Comext mensuel - EUROSTAT'!U17,'Comext mensuel - EUROSTAT'!W17,'Comext mensuel - EUROSTAT'!Y17)/10^4</f>
        <v>15.941645000000001</v>
      </c>
      <c r="L8" s="509">
        <f>SUM('Comext mensuel - EUROSTAT'!D17,'Comext mensuel - EUROSTAT'!F17,'Comext mensuel - EUROSTAT'!H17,'Comext mensuel - EUROSTAT'!J17,'Comext mensuel - EUROSTAT'!L17,'Comext mensuel - EUROSTAT'!N17,'Comext mensuel - EUROSTAT'!P17,'Comext mensuel - EUROSTAT'!R17,'Comext mensuel - EUROSTAT'!T17,'Comext mensuel - EUROSTAT'!V17,'Comext mensuel - EUROSTAT'!X17,'Comext mensuel - EUROSTAT'!Z17)/10^4</f>
        <v>111.10850000000002</v>
      </c>
      <c r="M8" s="509">
        <f>SUM('Comext mensuel - EUROSTAT'!AA17,'Comext mensuel - EUROSTAT'!AC17,'Comext mensuel - EUROSTAT'!AE17,'Comext mensuel - EUROSTAT'!AG17,'Comext mensuel - EUROSTAT'!AI17,'Comext mensuel - EUROSTAT'!AK17,'Comext mensuel - EUROSTAT'!AM17,'Comext mensuel - EUROSTAT'!AO17,'Comext mensuel - EUROSTAT'!AQ17,'Comext mensuel - EUROSTAT'!AS17,'Comext mensuel - EUROSTAT'!AU17,'Comext mensuel - EUROSTAT'!AW17)/10^4</f>
        <v>0.54570399999999986</v>
      </c>
      <c r="N8" s="509">
        <f>SUM('Comext mensuel - EUROSTAT'!AB17,'Comext mensuel - EUROSTAT'!AD17,'Comext mensuel - EUROSTAT'!AF17,'Comext mensuel - EUROSTAT'!AH17,'Comext mensuel - EUROSTAT'!AJ17,'Comext mensuel - EUROSTAT'!AL17,'Comext mensuel - EUROSTAT'!AN17,'Comext mensuel - EUROSTAT'!AP17,'Comext mensuel - EUROSTAT'!AR17,'Comext mensuel - EUROSTAT'!AT17,'Comext mensuel - EUROSTAT'!AV17,'Comext mensuel - EUROSTAT'!AX17)/10^4</f>
        <v>282.85348099999999</v>
      </c>
      <c r="O8" s="509">
        <f>SUM('Comext mensuel - EUROSTAT'!AY17,'Comext mensuel - EUROSTAT'!BA17,'Comext mensuel - EUROSTAT'!BC17,'Comext mensuel - EUROSTAT'!BE17,'Comext mensuel - EUROSTAT'!BG17,'Comext mensuel - EUROSTAT'!BI17,'Comext mensuel - EUROSTAT'!BK17,'Comext mensuel - EUROSTAT'!BM17,'Comext mensuel - EUROSTAT'!BO17,'Comext mensuel - EUROSTAT'!BQ17,'Comext mensuel - EUROSTAT'!BS17,'Comext mensuel - EUROSTAT'!BU17)/10^4</f>
        <v>2.3192140000000001</v>
      </c>
      <c r="P8" s="509">
        <f>SUM('Comext mensuel - EUROSTAT'!AZ17,'Comext mensuel - EUROSTAT'!BB17,'Comext mensuel - EUROSTAT'!BD17,'Comext mensuel - EUROSTAT'!BF17,'Comext mensuel - EUROSTAT'!BH17,'Comext mensuel - EUROSTAT'!BJ17,'Comext mensuel - EUROSTAT'!BL17,'Comext mensuel - EUROSTAT'!BN17,'Comext mensuel - EUROSTAT'!BP17,'Comext mensuel - EUROSTAT'!BR17,'Comext mensuel - EUROSTAT'!BT17,'Comext mensuel - EUROSTAT'!BV17)/10^4</f>
        <v>491.46900200000005</v>
      </c>
      <c r="Q8" s="626">
        <f>Q9-K7-K8</f>
        <v>412.39330100000001</v>
      </c>
      <c r="R8" s="626">
        <f t="shared" ref="R8:V8" si="1">R9-L7-L8</f>
        <v>20380.555772000003</v>
      </c>
      <c r="S8" s="626">
        <f t="shared" si="1"/>
        <v>226.96772199999998</v>
      </c>
      <c r="T8" s="626">
        <f t="shared" si="1"/>
        <v>20595.646650999999</v>
      </c>
      <c r="U8" s="626">
        <f t="shared" si="1"/>
        <v>113.345457</v>
      </c>
      <c r="V8" s="626">
        <f t="shared" si="1"/>
        <v>16015.879563</v>
      </c>
    </row>
    <row r="9" spans="1:22">
      <c r="A9" t="s">
        <v>953</v>
      </c>
      <c r="B9" t="s">
        <v>949</v>
      </c>
      <c r="C9" s="693"/>
      <c r="D9" t="str">
        <f>'Comext annuel - EUROSTAT'!B18</f>
        <v>Blé et méteil (à l'excl. du froment {blé} dur et des semences)</v>
      </c>
      <c r="E9" s="86">
        <f>'Comext annuel - EUROSTAT'!C18/10^4</f>
        <v>445.02932800000002</v>
      </c>
      <c r="F9" s="86">
        <f>'Comext annuel - EUROSTAT'!D18/10^4</f>
        <v>18535.818139999999</v>
      </c>
      <c r="G9" s="86">
        <f>'Comext annuel - EUROSTAT'!E18/10^4</f>
        <v>253.65871200000001</v>
      </c>
      <c r="H9" s="86">
        <f>'Comext annuel - EUROSTAT'!F18/10^4</f>
        <v>17983.281894</v>
      </c>
      <c r="I9" s="86">
        <f>'Comext annuel - EUROSTAT'!G18/10^4</f>
        <v>129.75866000000002</v>
      </c>
      <c r="J9" s="86">
        <f>'Comext annuel - EUROSTAT'!H18/10^4</f>
        <v>12203.741032</v>
      </c>
      <c r="K9" s="509">
        <f>SUM('Comext mensuel - EUROSTAT'!C18,'Comext mensuel - EUROSTAT'!E18,'Comext mensuel - EUROSTAT'!G18,'Comext mensuel - EUROSTAT'!I18,'Comext mensuel - EUROSTAT'!K18,'Comext mensuel - EUROSTAT'!M18,'Comext mensuel - EUROSTAT'!O18,'Comext mensuel - EUROSTAT'!Q18,'Comext mensuel - EUROSTAT'!S18,'Comext mensuel - EUROSTAT'!U18,'Comext mensuel - EUROSTAT'!W18,'Comext mensuel - EUROSTAT'!Y18)/10^4</f>
        <v>413.753173</v>
      </c>
      <c r="L9" s="509">
        <f>SUM('Comext mensuel - EUROSTAT'!D18,'Comext mensuel - EUROSTAT'!F18,'Comext mensuel - EUROSTAT'!H18,'Comext mensuel - EUROSTAT'!J18,'Comext mensuel - EUROSTAT'!L18,'Comext mensuel - EUROSTAT'!N18,'Comext mensuel - EUROSTAT'!P18,'Comext mensuel - EUROSTAT'!R18,'Comext mensuel - EUROSTAT'!T18,'Comext mensuel - EUROSTAT'!V18,'Comext mensuel - EUROSTAT'!X18,'Comext mensuel - EUROSTAT'!Z18)/10^4</f>
        <v>20253.243273</v>
      </c>
      <c r="M9" s="509">
        <f>SUM('Comext mensuel - EUROSTAT'!AA18,'Comext mensuel - EUROSTAT'!AC18,'Comext mensuel - EUROSTAT'!AE18,'Comext mensuel - EUROSTAT'!AG18,'Comext mensuel - EUROSTAT'!AI18,'Comext mensuel - EUROSTAT'!AK18,'Comext mensuel - EUROSTAT'!AM18,'Comext mensuel - EUROSTAT'!AO18,'Comext mensuel - EUROSTAT'!AQ18,'Comext mensuel - EUROSTAT'!AS18,'Comext mensuel - EUROSTAT'!AU18,'Comext mensuel - EUROSTAT'!AW18)/10^4</f>
        <v>229.85671900000006</v>
      </c>
      <c r="N9" s="509">
        <f>SUM('Comext mensuel - EUROSTAT'!AB18,'Comext mensuel - EUROSTAT'!AD18,'Comext mensuel - EUROSTAT'!AF18,'Comext mensuel - EUROSTAT'!AH18,'Comext mensuel - EUROSTAT'!AJ18,'Comext mensuel - EUROSTAT'!AL18,'Comext mensuel - EUROSTAT'!AN18,'Comext mensuel - EUROSTAT'!AP18,'Comext mensuel - EUROSTAT'!AR18,'Comext mensuel - EUROSTAT'!AT18,'Comext mensuel - EUROSTAT'!AV18,'Comext mensuel - EUROSTAT'!AX18)/10^4</f>
        <v>20516.719186000002</v>
      </c>
      <c r="O9" s="509">
        <f>SUM('Comext mensuel - EUROSTAT'!AY18,'Comext mensuel - EUROSTAT'!BA18,'Comext mensuel - EUROSTAT'!BC18,'Comext mensuel - EUROSTAT'!BE18,'Comext mensuel - EUROSTAT'!BG18,'Comext mensuel - EUROSTAT'!BI18,'Comext mensuel - EUROSTAT'!BK18,'Comext mensuel - EUROSTAT'!BM18,'Comext mensuel - EUROSTAT'!BO18,'Comext mensuel - EUROSTAT'!BQ18,'Comext mensuel - EUROSTAT'!BS18,'Comext mensuel - EUROSTAT'!BU18)/10^4</f>
        <v>121.988569</v>
      </c>
      <c r="P9" s="509">
        <f>SUM('Comext mensuel - EUROSTAT'!AZ18,'Comext mensuel - EUROSTAT'!BB18,'Comext mensuel - EUROSTAT'!BD18,'Comext mensuel - EUROSTAT'!BF18,'Comext mensuel - EUROSTAT'!BH18,'Comext mensuel - EUROSTAT'!BJ18,'Comext mensuel - EUROSTAT'!BL18,'Comext mensuel - EUROSTAT'!BN18,'Comext mensuel - EUROSTAT'!BP18,'Comext mensuel - EUROSTAT'!BR18,'Comext mensuel - EUROSTAT'!BT18,'Comext mensuel - EUROSTAT'!BV18)/10^4</f>
        <v>15916.794103</v>
      </c>
      <c r="Q9" s="458">
        <f>'Prétraitement bilans'!D9</f>
        <v>457.97140000000002</v>
      </c>
      <c r="R9" s="458">
        <f>'Prétraitement bilans'!D24</f>
        <v>20566.345200000003</v>
      </c>
      <c r="S9" s="458">
        <f>'Prétraitement bilans'!M9</f>
        <v>232.63939999999997</v>
      </c>
      <c r="T9" s="458">
        <f>'Prétraitement bilans'!M24</f>
        <v>21002.862499999996</v>
      </c>
      <c r="U9" s="458">
        <f>'Prétraitement bilans'!V9</f>
        <v>120.83750000000001</v>
      </c>
      <c r="V9" s="458">
        <f>'Prétraitement bilans'!V24</f>
        <v>16632.677100000001</v>
      </c>
    </row>
    <row r="10" spans="1:22">
      <c r="A10" t="s">
        <v>310</v>
      </c>
      <c r="B10" t="s">
        <v>948</v>
      </c>
      <c r="C10" s="693"/>
      <c r="D10" t="str">
        <f>'Comext annuel - EUROSTAT'!B19</f>
        <v>Seigle, de semence</v>
      </c>
      <c r="E10" s="86">
        <f>'Comext annuel - EUROSTAT'!C19/10^4</f>
        <v>0.30068</v>
      </c>
      <c r="F10" s="86">
        <f>'Comext annuel - EUROSTAT'!D19/10^4</f>
        <v>14.661764000000002</v>
      </c>
      <c r="G10" s="86">
        <f>'Comext annuel - EUROSTAT'!E19/10^4</f>
        <v>2.8666169999999997</v>
      </c>
      <c r="H10" s="86">
        <f>'Comext annuel - EUROSTAT'!F19/10^4</f>
        <v>8.9715070000000008</v>
      </c>
      <c r="I10" s="86">
        <f>'Comext annuel - EUROSTAT'!G19/10^4</f>
        <v>2.655179</v>
      </c>
      <c r="J10" s="86">
        <f>'Comext annuel - EUROSTAT'!H19/10^4</f>
        <v>7.0974979999999999</v>
      </c>
      <c r="K10" s="509">
        <f>SUM('Comext mensuel - EUROSTAT'!C19,'Comext mensuel - EUROSTAT'!E19,'Comext mensuel - EUROSTAT'!G19,'Comext mensuel - EUROSTAT'!I19,'Comext mensuel - EUROSTAT'!K19,'Comext mensuel - EUROSTAT'!M19,'Comext mensuel - EUROSTAT'!O19,'Comext mensuel - EUROSTAT'!Q19,'Comext mensuel - EUROSTAT'!S19,'Comext mensuel - EUROSTAT'!U19,'Comext mensuel - EUROSTAT'!W19,'Comext mensuel - EUROSTAT'!Y19)/10^4</f>
        <v>0.46975500000000003</v>
      </c>
      <c r="L10" s="509">
        <f>SUM('Comext mensuel - EUROSTAT'!D19,'Comext mensuel - EUROSTAT'!F19,'Comext mensuel - EUROSTAT'!H19,'Comext mensuel - EUROSTAT'!J19,'Comext mensuel - EUROSTAT'!L19,'Comext mensuel - EUROSTAT'!N19,'Comext mensuel - EUROSTAT'!P19,'Comext mensuel - EUROSTAT'!R19,'Comext mensuel - EUROSTAT'!T19,'Comext mensuel - EUROSTAT'!V19,'Comext mensuel - EUROSTAT'!X19,'Comext mensuel - EUROSTAT'!Z19)/10^4</f>
        <v>14.808078</v>
      </c>
      <c r="M10" s="509">
        <f>SUM('Comext mensuel - EUROSTAT'!AA19,'Comext mensuel - EUROSTAT'!AC19,'Comext mensuel - EUROSTAT'!AE19,'Comext mensuel - EUROSTAT'!AG19,'Comext mensuel - EUROSTAT'!AI19,'Comext mensuel - EUROSTAT'!AK19,'Comext mensuel - EUROSTAT'!AM19,'Comext mensuel - EUROSTAT'!AO19,'Comext mensuel - EUROSTAT'!AQ19,'Comext mensuel - EUROSTAT'!AS19,'Comext mensuel - EUROSTAT'!AU19,'Comext mensuel - EUROSTAT'!AW19)/10^4</f>
        <v>2.3232049999999997</v>
      </c>
      <c r="N10" s="509">
        <f>SUM('Comext mensuel - EUROSTAT'!AB19,'Comext mensuel - EUROSTAT'!AD19,'Comext mensuel - EUROSTAT'!AF19,'Comext mensuel - EUROSTAT'!AH19,'Comext mensuel - EUROSTAT'!AJ19,'Comext mensuel - EUROSTAT'!AL19,'Comext mensuel - EUROSTAT'!AN19,'Comext mensuel - EUROSTAT'!AP19,'Comext mensuel - EUROSTAT'!AR19,'Comext mensuel - EUROSTAT'!AT19,'Comext mensuel - EUROSTAT'!AV19,'Comext mensuel - EUROSTAT'!AX19)/10^4</f>
        <v>11.492337000000001</v>
      </c>
      <c r="O10" s="509">
        <f>SUM('Comext mensuel - EUROSTAT'!AY19,'Comext mensuel - EUROSTAT'!BA19,'Comext mensuel - EUROSTAT'!BC19,'Comext mensuel - EUROSTAT'!BE19,'Comext mensuel - EUROSTAT'!BG19,'Comext mensuel - EUROSTAT'!BI19,'Comext mensuel - EUROSTAT'!BK19,'Comext mensuel - EUROSTAT'!BM19,'Comext mensuel - EUROSTAT'!BO19,'Comext mensuel - EUROSTAT'!BQ19,'Comext mensuel - EUROSTAT'!BS19,'Comext mensuel - EUROSTAT'!BU19)/10^4</f>
        <v>2.6719409999999995</v>
      </c>
      <c r="P10" s="86">
        <f>SUM('Comext mensuel - EUROSTAT'!AZ19,'Comext mensuel - EUROSTAT'!BB19,'Comext mensuel - EUROSTAT'!BD19,'Comext mensuel - EUROSTAT'!BF19,'Comext mensuel - EUROSTAT'!BH19,'Comext mensuel - EUROSTAT'!BJ19,'Comext mensuel - EUROSTAT'!BL19,'Comext mensuel - EUROSTAT'!BN19,'Comext mensuel - EUROSTAT'!BP19,'Comext mensuel - EUROSTAT'!BR19,'Comext mensuel - EUROSTAT'!BT19,'Comext mensuel - EUROSTAT'!BV19)/10^4</f>
        <v>7.6563259999999991</v>
      </c>
      <c r="Q10" s="626">
        <f>Q11-K10</f>
        <v>0.34834500000000002</v>
      </c>
      <c r="R10" s="626">
        <f t="shared" ref="R10:V10" si="2">R11-L10</f>
        <v>19.794021999999998</v>
      </c>
      <c r="S10" s="626">
        <f t="shared" si="2"/>
        <v>0.74959499999999979</v>
      </c>
      <c r="T10" s="626">
        <f t="shared" si="2"/>
        <v>13.900662999999993</v>
      </c>
      <c r="U10" s="626">
        <f t="shared" si="2"/>
        <v>0.44405900000000065</v>
      </c>
      <c r="V10" s="626">
        <f t="shared" si="2"/>
        <v>19.999273999999996</v>
      </c>
    </row>
    <row r="11" spans="1:22">
      <c r="A11" t="s">
        <v>310</v>
      </c>
      <c r="B11" t="s">
        <v>949</v>
      </c>
      <c r="C11" s="693"/>
      <c r="D11" t="str">
        <f>'Comext annuel - EUROSTAT'!B20</f>
        <v>Seigle (à l'excl. du seigle de semence)</v>
      </c>
      <c r="E11" s="86">
        <f>'Comext annuel - EUROSTAT'!C20/10^4</f>
        <v>0.62741899999999995</v>
      </c>
      <c r="F11" s="86">
        <f>'Comext annuel - EUROSTAT'!D20/10^4</f>
        <v>26.464794000000001</v>
      </c>
      <c r="G11" s="86">
        <f>'Comext annuel - EUROSTAT'!E20/10^4</f>
        <v>1.7673889999999999</v>
      </c>
      <c r="H11" s="86">
        <f>'Comext annuel - EUROSTAT'!F20/10^4</f>
        <v>8.9145909999999997</v>
      </c>
      <c r="I11" s="86">
        <f>'Comext annuel - EUROSTAT'!G20/10^4</f>
        <v>0.45262200000000002</v>
      </c>
      <c r="J11" s="86">
        <f>'Comext annuel - EUROSTAT'!H20/10^4</f>
        <v>22.551517999999998</v>
      </c>
      <c r="K11" s="509">
        <f>SUM('Comext mensuel - EUROSTAT'!C20,'Comext mensuel - EUROSTAT'!E20,'Comext mensuel - EUROSTAT'!G20,'Comext mensuel - EUROSTAT'!I20,'Comext mensuel - EUROSTAT'!K20,'Comext mensuel - EUROSTAT'!M20,'Comext mensuel - EUROSTAT'!O20,'Comext mensuel - EUROSTAT'!Q20,'Comext mensuel - EUROSTAT'!S20,'Comext mensuel - EUROSTAT'!U20,'Comext mensuel - EUROSTAT'!W20,'Comext mensuel - EUROSTAT'!Y20)/10^4</f>
        <v>0.34840600000000005</v>
      </c>
      <c r="L11" s="509">
        <f>SUM('Comext mensuel - EUROSTAT'!D20,'Comext mensuel - EUROSTAT'!F20,'Comext mensuel - EUROSTAT'!H20,'Comext mensuel - EUROSTAT'!J20,'Comext mensuel - EUROSTAT'!L20,'Comext mensuel - EUROSTAT'!N20,'Comext mensuel - EUROSTAT'!P20,'Comext mensuel - EUROSTAT'!R20,'Comext mensuel - EUROSTAT'!T20,'Comext mensuel - EUROSTAT'!V20,'Comext mensuel - EUROSTAT'!X20,'Comext mensuel - EUROSTAT'!Z20)/10^4</f>
        <v>19.794167000000005</v>
      </c>
      <c r="M11" s="509">
        <f>SUM('Comext mensuel - EUROSTAT'!AA20,'Comext mensuel - EUROSTAT'!AC20,'Comext mensuel - EUROSTAT'!AE20,'Comext mensuel - EUROSTAT'!AG20,'Comext mensuel - EUROSTAT'!AI20,'Comext mensuel - EUROSTAT'!AK20,'Comext mensuel - EUROSTAT'!AM20,'Comext mensuel - EUROSTAT'!AO20,'Comext mensuel - EUROSTAT'!AQ20,'Comext mensuel - EUROSTAT'!AS20,'Comext mensuel - EUROSTAT'!AU20,'Comext mensuel - EUROSTAT'!AW20)/10^4</f>
        <v>0.74939699999999998</v>
      </c>
      <c r="N11" s="509">
        <f>SUM('Comext mensuel - EUROSTAT'!AB20,'Comext mensuel - EUROSTAT'!AD20,'Comext mensuel - EUROSTAT'!AF20,'Comext mensuel - EUROSTAT'!AH20,'Comext mensuel - EUROSTAT'!AJ20,'Comext mensuel - EUROSTAT'!AL20,'Comext mensuel - EUROSTAT'!AN20,'Comext mensuel - EUROSTAT'!AP20,'Comext mensuel - EUROSTAT'!AR20,'Comext mensuel - EUROSTAT'!AT20,'Comext mensuel - EUROSTAT'!AV20,'Comext mensuel - EUROSTAT'!AX20)/10^4</f>
        <v>13.900801999999999</v>
      </c>
      <c r="O11" s="509">
        <f>SUM('Comext mensuel - EUROSTAT'!AY20,'Comext mensuel - EUROSTAT'!BA20,'Comext mensuel - EUROSTAT'!BC20,'Comext mensuel - EUROSTAT'!BE20,'Comext mensuel - EUROSTAT'!BG20,'Comext mensuel - EUROSTAT'!BI20,'Comext mensuel - EUROSTAT'!BK20,'Comext mensuel - EUROSTAT'!BM20,'Comext mensuel - EUROSTAT'!BO20,'Comext mensuel - EUROSTAT'!BQ20,'Comext mensuel - EUROSTAT'!BS20,'Comext mensuel - EUROSTAT'!BU20)/10^4</f>
        <v>0.45030500000000001</v>
      </c>
      <c r="P11" s="509">
        <f>SUM('Comext mensuel - EUROSTAT'!AZ20,'Comext mensuel - EUROSTAT'!BB20,'Comext mensuel - EUROSTAT'!BD20,'Comext mensuel - EUROSTAT'!BF20,'Comext mensuel - EUROSTAT'!BH20,'Comext mensuel - EUROSTAT'!BJ20,'Comext mensuel - EUROSTAT'!BL20,'Comext mensuel - EUROSTAT'!BN20,'Comext mensuel - EUROSTAT'!BP20,'Comext mensuel - EUROSTAT'!BR20,'Comext mensuel - EUROSTAT'!BT20,'Comext mensuel - EUROSTAT'!BV20)/10^4</f>
        <v>19.999105</v>
      </c>
      <c r="Q11" s="458">
        <f>'Prétraitement bilans'!K9</f>
        <v>0.81810000000000005</v>
      </c>
      <c r="R11" s="458">
        <f>'Prétraitement bilans'!K24</f>
        <v>34.6021</v>
      </c>
      <c r="S11" s="458">
        <f>'Prétraitement bilans'!T9</f>
        <v>3.0727999999999995</v>
      </c>
      <c r="T11" s="458">
        <f>'Prétraitement bilans'!T24</f>
        <v>25.392999999999994</v>
      </c>
      <c r="U11" s="458">
        <f>'Prétraitement bilans'!AC9</f>
        <v>3.1160000000000001</v>
      </c>
      <c r="V11" s="458">
        <f>'Prétraitement bilans'!AC24</f>
        <v>27.655599999999996</v>
      </c>
    </row>
    <row r="12" spans="1:22">
      <c r="A12" t="s">
        <v>173</v>
      </c>
      <c r="B12" t="s">
        <v>948</v>
      </c>
      <c r="C12" s="693"/>
      <c r="D12" t="str">
        <f>'Comext annuel - EUROSTAT'!B21</f>
        <v>Orge, de semence</v>
      </c>
      <c r="E12" s="86">
        <f>'Comext annuel - EUROSTAT'!C21/10^4</f>
        <v>1.3452930000000001</v>
      </c>
      <c r="F12" s="86">
        <f>'Comext annuel - EUROSTAT'!D21/10^4</f>
        <v>19.113417999999999</v>
      </c>
      <c r="G12" s="86">
        <f>'Comext annuel - EUROSTAT'!E21/10^4</f>
        <v>2.0222820000000001</v>
      </c>
      <c r="H12" s="86">
        <f>'Comext annuel - EUROSTAT'!F21/10^4</f>
        <v>22.988506000000001</v>
      </c>
      <c r="I12" s="86">
        <f>'Comext annuel - EUROSTAT'!G21/10^4</f>
        <v>4.5114400000000003</v>
      </c>
      <c r="J12" s="86">
        <f>'Comext annuel - EUROSTAT'!H21/10^4</f>
        <v>116.644198</v>
      </c>
      <c r="K12" s="509">
        <f>SUM('Comext mensuel - EUROSTAT'!C21,'Comext mensuel - EUROSTAT'!E21,'Comext mensuel - EUROSTAT'!G21,'Comext mensuel - EUROSTAT'!I21,'Comext mensuel - EUROSTAT'!K21,'Comext mensuel - EUROSTAT'!M21,'Comext mensuel - EUROSTAT'!O21,'Comext mensuel - EUROSTAT'!Q21,'Comext mensuel - EUROSTAT'!S21,'Comext mensuel - EUROSTAT'!U21,'Comext mensuel - EUROSTAT'!W21,'Comext mensuel - EUROSTAT'!Y21)/10^4</f>
        <v>1.1686679999999998</v>
      </c>
      <c r="L12" s="509">
        <f>SUM('Comext mensuel - EUROSTAT'!D21,'Comext mensuel - EUROSTAT'!F21,'Comext mensuel - EUROSTAT'!H21,'Comext mensuel - EUROSTAT'!J21,'Comext mensuel - EUROSTAT'!L21,'Comext mensuel - EUROSTAT'!N21,'Comext mensuel - EUROSTAT'!P21,'Comext mensuel - EUROSTAT'!R21,'Comext mensuel - EUROSTAT'!T21,'Comext mensuel - EUROSTAT'!V21,'Comext mensuel - EUROSTAT'!X21,'Comext mensuel - EUROSTAT'!Z21)/10^4</f>
        <v>24.434505999999999</v>
      </c>
      <c r="M12" s="509">
        <f>SUM('Comext mensuel - EUROSTAT'!AA21,'Comext mensuel - EUROSTAT'!AC21,'Comext mensuel - EUROSTAT'!AE21,'Comext mensuel - EUROSTAT'!AG21,'Comext mensuel - EUROSTAT'!AI21,'Comext mensuel - EUROSTAT'!AK21,'Comext mensuel - EUROSTAT'!AM21,'Comext mensuel - EUROSTAT'!AO21,'Comext mensuel - EUROSTAT'!AQ21,'Comext mensuel - EUROSTAT'!AS21,'Comext mensuel - EUROSTAT'!AU21,'Comext mensuel - EUROSTAT'!AW21)/10^4</f>
        <v>2.2799160000000005</v>
      </c>
      <c r="N12" s="509">
        <f>SUM('Comext mensuel - EUROSTAT'!AB21,'Comext mensuel - EUROSTAT'!AD21,'Comext mensuel - EUROSTAT'!AF21,'Comext mensuel - EUROSTAT'!AH21,'Comext mensuel - EUROSTAT'!AJ21,'Comext mensuel - EUROSTAT'!AL21,'Comext mensuel - EUROSTAT'!AN21,'Comext mensuel - EUROSTAT'!AP21,'Comext mensuel - EUROSTAT'!AR21,'Comext mensuel - EUROSTAT'!AT21,'Comext mensuel - EUROSTAT'!AV21,'Comext mensuel - EUROSTAT'!AX21)/10^4</f>
        <v>25.064585000000001</v>
      </c>
      <c r="O12" s="509">
        <f>SUM('Comext mensuel - EUROSTAT'!AY21,'Comext mensuel - EUROSTAT'!BA21,'Comext mensuel - EUROSTAT'!BC21,'Comext mensuel - EUROSTAT'!BE21,'Comext mensuel - EUROSTAT'!BG21,'Comext mensuel - EUROSTAT'!BI21,'Comext mensuel - EUROSTAT'!BK21,'Comext mensuel - EUROSTAT'!BM21,'Comext mensuel - EUROSTAT'!BO21,'Comext mensuel - EUROSTAT'!BQ21,'Comext mensuel - EUROSTAT'!BS21,'Comext mensuel - EUROSTAT'!BU21)/10^4</f>
        <v>6.7567389999999996</v>
      </c>
      <c r="P12" s="509">
        <f>SUM('Comext mensuel - EUROSTAT'!AZ21,'Comext mensuel - EUROSTAT'!BB21,'Comext mensuel - EUROSTAT'!BD21,'Comext mensuel - EUROSTAT'!BF21,'Comext mensuel - EUROSTAT'!BH21,'Comext mensuel - EUROSTAT'!BJ21,'Comext mensuel - EUROSTAT'!BL21,'Comext mensuel - EUROSTAT'!BN21,'Comext mensuel - EUROSTAT'!BP21,'Comext mensuel - EUROSTAT'!BR21,'Comext mensuel - EUROSTAT'!BT21,'Comext mensuel - EUROSTAT'!BV21)/10^4</f>
        <v>62.348514999999992</v>
      </c>
      <c r="Q12" s="626">
        <f>Q13-K12</f>
        <v>69.050231999999994</v>
      </c>
      <c r="R12" s="626">
        <f t="shared" ref="R12:V12" si="3">R13-L12</f>
        <v>7689.9506939999992</v>
      </c>
      <c r="S12" s="626">
        <f t="shared" si="3"/>
        <v>70.162884000000005</v>
      </c>
      <c r="T12" s="626">
        <f t="shared" si="3"/>
        <v>7845.2368150000002</v>
      </c>
      <c r="U12" s="626">
        <f t="shared" si="3"/>
        <v>29.946461000000003</v>
      </c>
      <c r="V12" s="626">
        <f t="shared" si="3"/>
        <v>6743.7353850000009</v>
      </c>
    </row>
    <row r="13" spans="1:22">
      <c r="A13" t="s">
        <v>173</v>
      </c>
      <c r="B13" t="s">
        <v>949</v>
      </c>
      <c r="C13" s="693"/>
      <c r="D13" t="str">
        <f>'Comext annuel - EUROSTAT'!B22</f>
        <v>Orge (à l’excl. de l’orge de semence)</v>
      </c>
      <c r="E13" s="86">
        <f>'Comext annuel - EUROSTAT'!C22/10^4</f>
        <v>83.516909999999996</v>
      </c>
      <c r="F13" s="86">
        <f>'Comext annuel - EUROSTAT'!D22/10^4</f>
        <v>7540.086241</v>
      </c>
      <c r="G13" s="86">
        <f>'Comext annuel - EUROSTAT'!E22/10^4</f>
        <v>91.444063</v>
      </c>
      <c r="H13" s="86">
        <f>'Comext annuel - EUROSTAT'!F22/10^4</f>
        <v>7149.5810200000005</v>
      </c>
      <c r="I13" s="86">
        <f>'Comext annuel - EUROSTAT'!G22/10^4</f>
        <v>49.581775</v>
      </c>
      <c r="J13" s="86">
        <f>'Comext annuel - EUROSTAT'!H22/10^4</f>
        <v>6712.3963469999999</v>
      </c>
      <c r="K13" s="509">
        <f>SUM('Comext mensuel - EUROSTAT'!C22,'Comext mensuel - EUROSTAT'!E22,'Comext mensuel - EUROSTAT'!G22,'Comext mensuel - EUROSTAT'!I22,'Comext mensuel - EUROSTAT'!K22,'Comext mensuel - EUROSTAT'!M22,'Comext mensuel - EUROSTAT'!O22,'Comext mensuel - EUROSTAT'!Q22,'Comext mensuel - EUROSTAT'!S22,'Comext mensuel - EUROSTAT'!U22,'Comext mensuel - EUROSTAT'!W22,'Comext mensuel - EUROSTAT'!Y22)/10^4</f>
        <v>69.628321999999983</v>
      </c>
      <c r="L13" s="509">
        <f>SUM('Comext mensuel - EUROSTAT'!D22,'Comext mensuel - EUROSTAT'!F22,'Comext mensuel - EUROSTAT'!H22,'Comext mensuel - EUROSTAT'!J22,'Comext mensuel - EUROSTAT'!L22,'Comext mensuel - EUROSTAT'!N22,'Comext mensuel - EUROSTAT'!P22,'Comext mensuel - EUROSTAT'!R22,'Comext mensuel - EUROSTAT'!T22,'Comext mensuel - EUROSTAT'!V22,'Comext mensuel - EUROSTAT'!X22,'Comext mensuel - EUROSTAT'!Z22)/10^4</f>
        <v>7677.4112470000018</v>
      </c>
      <c r="M13" s="509">
        <f>SUM('Comext mensuel - EUROSTAT'!AA22,'Comext mensuel - EUROSTAT'!AC22,'Comext mensuel - EUROSTAT'!AE22,'Comext mensuel - EUROSTAT'!AG22,'Comext mensuel - EUROSTAT'!AI22,'Comext mensuel - EUROSTAT'!AK22,'Comext mensuel - EUROSTAT'!AM22,'Comext mensuel - EUROSTAT'!AO22,'Comext mensuel - EUROSTAT'!AQ22,'Comext mensuel - EUROSTAT'!AS22,'Comext mensuel - EUROSTAT'!AU22,'Comext mensuel - EUROSTAT'!AW22)/10^4</f>
        <v>70.679376999999988</v>
      </c>
      <c r="N13" s="509">
        <f>SUM('Comext mensuel - EUROSTAT'!AB22,'Comext mensuel - EUROSTAT'!AD22,'Comext mensuel - EUROSTAT'!AF22,'Comext mensuel - EUROSTAT'!AH22,'Comext mensuel - EUROSTAT'!AJ22,'Comext mensuel - EUROSTAT'!AL22,'Comext mensuel - EUROSTAT'!AN22,'Comext mensuel - EUROSTAT'!AP22,'Comext mensuel - EUROSTAT'!AR22,'Comext mensuel - EUROSTAT'!AT22,'Comext mensuel - EUROSTAT'!AV22,'Comext mensuel - EUROSTAT'!AX22)/10^4</f>
        <v>7824.723992000002</v>
      </c>
      <c r="O13" s="509">
        <f>SUM('Comext mensuel - EUROSTAT'!AY22,'Comext mensuel - EUROSTAT'!BA22,'Comext mensuel - EUROSTAT'!BC22,'Comext mensuel - EUROSTAT'!BE22,'Comext mensuel - EUROSTAT'!BG22,'Comext mensuel - EUROSTAT'!BI22,'Comext mensuel - EUROSTAT'!BK22,'Comext mensuel - EUROSTAT'!BM22,'Comext mensuel - EUROSTAT'!BO22,'Comext mensuel - EUROSTAT'!BQ22,'Comext mensuel - EUROSTAT'!BS22,'Comext mensuel - EUROSTAT'!BU22)/10^4</f>
        <v>30.486017000000004</v>
      </c>
      <c r="P13" s="509">
        <f>SUM('Comext mensuel - EUROSTAT'!AZ22,'Comext mensuel - EUROSTAT'!BB22,'Comext mensuel - EUROSTAT'!BD22,'Comext mensuel - EUROSTAT'!BF22,'Comext mensuel - EUROSTAT'!BH22,'Comext mensuel - EUROSTAT'!BJ22,'Comext mensuel - EUROSTAT'!BL22,'Comext mensuel - EUROSTAT'!BN22,'Comext mensuel - EUROSTAT'!BP22,'Comext mensuel - EUROSTAT'!BR22,'Comext mensuel - EUROSTAT'!BT22,'Comext mensuel - EUROSTAT'!BV22)/10^4</f>
        <v>6724.948397000001</v>
      </c>
      <c r="Q13" s="458">
        <f>'Prétraitement bilans'!F9</f>
        <v>70.218899999999991</v>
      </c>
      <c r="R13" s="458">
        <f>'Prétraitement bilans'!F24</f>
        <v>7714.3851999999988</v>
      </c>
      <c r="S13" s="458">
        <f>'Prétraitement bilans'!O9</f>
        <v>72.442800000000005</v>
      </c>
      <c r="T13" s="458">
        <f>'Prétraitement bilans'!O24</f>
        <v>7870.3014000000003</v>
      </c>
      <c r="U13" s="458">
        <f>'Prétraitement bilans'!X9</f>
        <v>36.703200000000002</v>
      </c>
      <c r="V13" s="458">
        <f>'Prétraitement bilans'!X24</f>
        <v>6806.0839000000005</v>
      </c>
    </row>
    <row r="14" spans="1:22">
      <c r="A14" t="s">
        <v>306</v>
      </c>
      <c r="B14" t="s">
        <v>948</v>
      </c>
      <c r="C14" s="693"/>
      <c r="D14" t="str">
        <f>'Comext annuel - EUROSTAT'!B23</f>
        <v>Avoine, de semence</v>
      </c>
      <c r="E14" s="86">
        <f>'Comext annuel - EUROSTAT'!C23/10^4</f>
        <v>2.2318849999999997</v>
      </c>
      <c r="F14" s="86">
        <f>'Comext annuel - EUROSTAT'!D23/10^4</f>
        <v>7.9979179999999994</v>
      </c>
      <c r="G14" s="86">
        <f>'Comext annuel - EUROSTAT'!E23/10^4</f>
        <v>3.032289</v>
      </c>
      <c r="H14" s="86">
        <f>'Comext annuel - EUROSTAT'!F23/10^4</f>
        <v>3.7274050000000001</v>
      </c>
      <c r="I14" s="86">
        <f>'Comext annuel - EUROSTAT'!G23/10^4</f>
        <v>3.3253710000000001</v>
      </c>
      <c r="J14" s="86">
        <f>'Comext annuel - EUROSTAT'!H23/10^4</f>
        <v>4.9266389999999998</v>
      </c>
      <c r="K14" s="509">
        <f>SUM('Comext mensuel - EUROSTAT'!C23,'Comext mensuel - EUROSTAT'!E23,'Comext mensuel - EUROSTAT'!G23,'Comext mensuel - EUROSTAT'!I23,'Comext mensuel - EUROSTAT'!K23,'Comext mensuel - EUROSTAT'!M23,'Comext mensuel - EUROSTAT'!O23,'Comext mensuel - EUROSTAT'!Q23,'Comext mensuel - EUROSTAT'!S23,'Comext mensuel - EUROSTAT'!U23,'Comext mensuel - EUROSTAT'!W23,'Comext mensuel - EUROSTAT'!Y23)/10^4</f>
        <v>3.4547529999999997</v>
      </c>
      <c r="L14" s="509">
        <f>SUM('Comext mensuel - EUROSTAT'!D23,'Comext mensuel - EUROSTAT'!F23,'Comext mensuel - EUROSTAT'!H23,'Comext mensuel - EUROSTAT'!J23,'Comext mensuel - EUROSTAT'!L23,'Comext mensuel - EUROSTAT'!N23,'Comext mensuel - EUROSTAT'!P23,'Comext mensuel - EUROSTAT'!R23,'Comext mensuel - EUROSTAT'!T23,'Comext mensuel - EUROSTAT'!V23,'Comext mensuel - EUROSTAT'!X23,'Comext mensuel - EUROSTAT'!Z23)/10^4</f>
        <v>4.5459930000000011</v>
      </c>
      <c r="M14" s="509">
        <f>SUM('Comext mensuel - EUROSTAT'!AA23,'Comext mensuel - EUROSTAT'!AC23,'Comext mensuel - EUROSTAT'!AE23,'Comext mensuel - EUROSTAT'!AG23,'Comext mensuel - EUROSTAT'!AI23,'Comext mensuel - EUROSTAT'!AK23,'Comext mensuel - EUROSTAT'!AM23,'Comext mensuel - EUROSTAT'!AO23,'Comext mensuel - EUROSTAT'!AQ23,'Comext mensuel - EUROSTAT'!AS23,'Comext mensuel - EUROSTAT'!AU23,'Comext mensuel - EUROSTAT'!AW23)/10^4</f>
        <v>3.7173760000000002</v>
      </c>
      <c r="N14" s="509">
        <f>SUM('Comext mensuel - EUROSTAT'!AB23,'Comext mensuel - EUROSTAT'!AD23,'Comext mensuel - EUROSTAT'!AF23,'Comext mensuel - EUROSTAT'!AH23,'Comext mensuel - EUROSTAT'!AJ23,'Comext mensuel - EUROSTAT'!AL23,'Comext mensuel - EUROSTAT'!AN23,'Comext mensuel - EUROSTAT'!AP23,'Comext mensuel - EUROSTAT'!AR23,'Comext mensuel - EUROSTAT'!AT23,'Comext mensuel - EUROSTAT'!AV23,'Comext mensuel - EUROSTAT'!AX23)/10^4</f>
        <v>2.2932289999999997</v>
      </c>
      <c r="O14" s="509">
        <f>SUM('Comext mensuel - EUROSTAT'!AY23,'Comext mensuel - EUROSTAT'!BA23,'Comext mensuel - EUROSTAT'!BC23,'Comext mensuel - EUROSTAT'!BE23,'Comext mensuel - EUROSTAT'!BG23,'Comext mensuel - EUROSTAT'!BI23,'Comext mensuel - EUROSTAT'!BK23,'Comext mensuel - EUROSTAT'!BM23,'Comext mensuel - EUROSTAT'!BO23,'Comext mensuel - EUROSTAT'!BQ23,'Comext mensuel - EUROSTAT'!BS23,'Comext mensuel - EUROSTAT'!BU23)/10^4</f>
        <v>4.1456789999999994</v>
      </c>
      <c r="P14" s="509">
        <f>SUM('Comext mensuel - EUROSTAT'!AZ23,'Comext mensuel - EUROSTAT'!BB23,'Comext mensuel - EUROSTAT'!BD23,'Comext mensuel - EUROSTAT'!BF23,'Comext mensuel - EUROSTAT'!BH23,'Comext mensuel - EUROSTAT'!BJ23,'Comext mensuel - EUROSTAT'!BL23,'Comext mensuel - EUROSTAT'!BN23,'Comext mensuel - EUROSTAT'!BP23,'Comext mensuel - EUROSTAT'!BR23,'Comext mensuel - EUROSTAT'!BT23,'Comext mensuel - EUROSTAT'!BV23)/10^4</f>
        <v>5.1644239999999995</v>
      </c>
      <c r="Q14" s="626">
        <f>Q15-K14</f>
        <v>6.3471470000000014</v>
      </c>
      <c r="R14" s="626">
        <f t="shared" ref="R14:V14" si="4">R15-L14</f>
        <v>66.280006999999998</v>
      </c>
      <c r="S14" s="626">
        <f t="shared" si="4"/>
        <v>10.476924</v>
      </c>
      <c r="T14" s="626">
        <f t="shared" si="4"/>
        <v>93.355170999999999</v>
      </c>
      <c r="U14" s="626">
        <f t="shared" si="4"/>
        <v>4.8543210000000006</v>
      </c>
      <c r="V14" s="626">
        <f t="shared" si="4"/>
        <v>96.677076</v>
      </c>
    </row>
    <row r="15" spans="1:22">
      <c r="A15" t="s">
        <v>306</v>
      </c>
      <c r="B15" t="s">
        <v>949</v>
      </c>
      <c r="C15" s="693"/>
      <c r="D15" t="str">
        <f>'Comext annuel - EUROSTAT'!B24</f>
        <v>Avoine (à l'excl. de l'avoine de semence)</v>
      </c>
      <c r="E15" s="86">
        <f>'Comext annuel - EUROSTAT'!C24/10^4</f>
        <v>6.0851129999999998</v>
      </c>
      <c r="F15" s="86">
        <f>'Comext annuel - EUROSTAT'!D24/10^4</f>
        <v>76.922167999999999</v>
      </c>
      <c r="G15" s="86">
        <f>'Comext annuel - EUROSTAT'!E24/10^4</f>
        <v>9.7995960000000011</v>
      </c>
      <c r="H15" s="86">
        <f>'Comext annuel - EUROSTAT'!F24/10^4</f>
        <v>106.626273</v>
      </c>
      <c r="I15" s="86">
        <f>'Comext annuel - EUROSTAT'!G24/10^4</f>
        <v>5.8777889999999999</v>
      </c>
      <c r="J15" s="86">
        <f>'Comext annuel - EUROSTAT'!H24/10^4</f>
        <v>103.021749</v>
      </c>
      <c r="K15" s="509">
        <f>SUM('Comext mensuel - EUROSTAT'!C24,'Comext mensuel - EUROSTAT'!E24,'Comext mensuel - EUROSTAT'!G24,'Comext mensuel - EUROSTAT'!I24,'Comext mensuel - EUROSTAT'!K24,'Comext mensuel - EUROSTAT'!M24,'Comext mensuel - EUROSTAT'!O24,'Comext mensuel - EUROSTAT'!Q24,'Comext mensuel - EUROSTAT'!S24,'Comext mensuel - EUROSTAT'!U24,'Comext mensuel - EUROSTAT'!W24,'Comext mensuel - EUROSTAT'!Y24)/10^4</f>
        <v>6.6190360000000004</v>
      </c>
      <c r="L15" s="509">
        <f>SUM('Comext mensuel - EUROSTAT'!D24,'Comext mensuel - EUROSTAT'!F24,'Comext mensuel - EUROSTAT'!H24,'Comext mensuel - EUROSTAT'!J24,'Comext mensuel - EUROSTAT'!L24,'Comext mensuel - EUROSTAT'!N24,'Comext mensuel - EUROSTAT'!P24,'Comext mensuel - EUROSTAT'!R24,'Comext mensuel - EUROSTAT'!T24,'Comext mensuel - EUROSTAT'!V24,'Comext mensuel - EUROSTAT'!X24,'Comext mensuel - EUROSTAT'!Z24)/10^4</f>
        <v>66.280448000000007</v>
      </c>
      <c r="M15" s="509">
        <f>SUM('Comext mensuel - EUROSTAT'!AA24,'Comext mensuel - EUROSTAT'!AC24,'Comext mensuel - EUROSTAT'!AE24,'Comext mensuel - EUROSTAT'!AG24,'Comext mensuel - EUROSTAT'!AI24,'Comext mensuel - EUROSTAT'!AK24,'Comext mensuel - EUROSTAT'!AM24,'Comext mensuel - EUROSTAT'!AO24,'Comext mensuel - EUROSTAT'!AQ24,'Comext mensuel - EUROSTAT'!AS24,'Comext mensuel - EUROSTAT'!AU24,'Comext mensuel - EUROSTAT'!AW24)/10^4</f>
        <v>10.501194999999999</v>
      </c>
      <c r="N15" s="509">
        <f>SUM('Comext mensuel - EUROSTAT'!AB24,'Comext mensuel - EUROSTAT'!AD24,'Comext mensuel - EUROSTAT'!AF24,'Comext mensuel - EUROSTAT'!AH24,'Comext mensuel - EUROSTAT'!AJ24,'Comext mensuel - EUROSTAT'!AL24,'Comext mensuel - EUROSTAT'!AN24,'Comext mensuel - EUROSTAT'!AP24,'Comext mensuel - EUROSTAT'!AR24,'Comext mensuel - EUROSTAT'!AT24,'Comext mensuel - EUROSTAT'!AV24,'Comext mensuel - EUROSTAT'!AX24)/10^4</f>
        <v>93.356491999999989</v>
      </c>
      <c r="O15" s="509">
        <f>SUM('Comext mensuel - EUROSTAT'!AY24,'Comext mensuel - EUROSTAT'!BA24,'Comext mensuel - EUROSTAT'!BC24,'Comext mensuel - EUROSTAT'!BE24,'Comext mensuel - EUROSTAT'!BG24,'Comext mensuel - EUROSTAT'!BI24,'Comext mensuel - EUROSTAT'!BK24,'Comext mensuel - EUROSTAT'!BM24,'Comext mensuel - EUROSTAT'!BO24,'Comext mensuel - EUROSTAT'!BQ24,'Comext mensuel - EUROSTAT'!BS24,'Comext mensuel - EUROSTAT'!BU24)/10^4</f>
        <v>4.9969470000000005</v>
      </c>
      <c r="P15" s="509">
        <f>SUM('Comext mensuel - EUROSTAT'!AZ24,'Comext mensuel - EUROSTAT'!BB24,'Comext mensuel - EUROSTAT'!BD24,'Comext mensuel - EUROSTAT'!BF24,'Comext mensuel - EUROSTAT'!BH24,'Comext mensuel - EUROSTAT'!BJ24,'Comext mensuel - EUROSTAT'!BL24,'Comext mensuel - EUROSTAT'!BN24,'Comext mensuel - EUROSTAT'!BP24,'Comext mensuel - EUROSTAT'!BR24,'Comext mensuel - EUROSTAT'!BT24,'Comext mensuel - EUROSTAT'!BV24)/10^4</f>
        <v>97.008580000000009</v>
      </c>
      <c r="Q15" s="458">
        <f>'Prétraitement bilans'!J9</f>
        <v>9.8019000000000016</v>
      </c>
      <c r="R15" s="458">
        <f>'Prétraitement bilans'!J24</f>
        <v>70.825999999999993</v>
      </c>
      <c r="S15" s="458">
        <f>'Prétraitement bilans'!S9</f>
        <v>14.1943</v>
      </c>
      <c r="T15" s="458">
        <f>'Prétraitement bilans'!S24</f>
        <v>95.648399999999995</v>
      </c>
      <c r="U15" s="458">
        <f>'Prétraitement bilans'!AB9</f>
        <v>9</v>
      </c>
      <c r="V15" s="458">
        <f>'Prétraitement bilans'!AB24</f>
        <v>101.8415</v>
      </c>
    </row>
    <row r="16" spans="1:22">
      <c r="A16" t="s">
        <v>307</v>
      </c>
      <c r="B16" t="s">
        <v>948</v>
      </c>
      <c r="C16" s="693"/>
      <c r="D16" t="str">
        <f>'Comext annuel - EUROSTAT'!B25</f>
        <v>Maïs de semence, hybride double et hybride top-cross</v>
      </c>
      <c r="E16" s="86" t="e">
        <f>'Comext annuel - EUROSTAT'!C25/10^4</f>
        <v>#VALUE!</v>
      </c>
      <c r="F16" s="86" t="e">
        <f>'Comext annuel - EUROSTAT'!D25/10^4</f>
        <v>#VALUE!</v>
      </c>
      <c r="G16" s="86" t="e">
        <f>'Comext annuel - EUROSTAT'!E25/10^4</f>
        <v>#VALUE!</v>
      </c>
      <c r="H16" s="86" t="e">
        <f>'Comext annuel - EUROSTAT'!F25/10^4</f>
        <v>#VALUE!</v>
      </c>
      <c r="I16" s="86" t="e">
        <f>'Comext annuel - EUROSTAT'!G25/10^4</f>
        <v>#VALUE!</v>
      </c>
      <c r="J16" s="86" t="e">
        <f>'Comext annuel - EUROSTAT'!H25/10^4</f>
        <v>#VALUE!</v>
      </c>
      <c r="K16" s="509">
        <f>SUM('Comext mensuel - EUROSTAT'!C25,'Comext mensuel - EUROSTAT'!E25,'Comext mensuel - EUROSTAT'!G25,'Comext mensuel - EUROSTAT'!I25,'Comext mensuel - EUROSTAT'!K25,'Comext mensuel - EUROSTAT'!M25,'Comext mensuel - EUROSTAT'!O25,'Comext mensuel - EUROSTAT'!Q25,'Comext mensuel - EUROSTAT'!S25,'Comext mensuel - EUROSTAT'!U25,'Comext mensuel - EUROSTAT'!W25,'Comext mensuel - EUROSTAT'!Y25)/10^4</f>
        <v>0</v>
      </c>
      <c r="L16" s="509">
        <f>SUM('Comext mensuel - EUROSTAT'!D25,'Comext mensuel - EUROSTAT'!F25,'Comext mensuel - EUROSTAT'!H25,'Comext mensuel - EUROSTAT'!J25,'Comext mensuel - EUROSTAT'!L25,'Comext mensuel - EUROSTAT'!N25,'Comext mensuel - EUROSTAT'!P25,'Comext mensuel - EUROSTAT'!R25,'Comext mensuel - EUROSTAT'!T25,'Comext mensuel - EUROSTAT'!V25,'Comext mensuel - EUROSTAT'!X25,'Comext mensuel - EUROSTAT'!Z25)/10^4</f>
        <v>0</v>
      </c>
      <c r="M16" s="509">
        <f>SUM('Comext mensuel - EUROSTAT'!AA25,'Comext mensuel - EUROSTAT'!AC25,'Comext mensuel - EUROSTAT'!AE25,'Comext mensuel - EUROSTAT'!AG25,'Comext mensuel - EUROSTAT'!AI25,'Comext mensuel - EUROSTAT'!AK25,'Comext mensuel - EUROSTAT'!AM25,'Comext mensuel - EUROSTAT'!AO25,'Comext mensuel - EUROSTAT'!AQ25,'Comext mensuel - EUROSTAT'!AS25,'Comext mensuel - EUROSTAT'!AU25,'Comext mensuel - EUROSTAT'!AW25)/10^4</f>
        <v>0</v>
      </c>
      <c r="N16" s="509">
        <f>SUM('Comext mensuel - EUROSTAT'!AB25,'Comext mensuel - EUROSTAT'!AD25,'Comext mensuel - EUROSTAT'!AF25,'Comext mensuel - EUROSTAT'!AH25,'Comext mensuel - EUROSTAT'!AJ25,'Comext mensuel - EUROSTAT'!AL25,'Comext mensuel - EUROSTAT'!AN25,'Comext mensuel - EUROSTAT'!AP25,'Comext mensuel - EUROSTAT'!AR25,'Comext mensuel - EUROSTAT'!AT25,'Comext mensuel - EUROSTAT'!AV25,'Comext mensuel - EUROSTAT'!AX25)/10^4</f>
        <v>0</v>
      </c>
      <c r="O16" s="509">
        <f>SUM('Comext mensuel - EUROSTAT'!AY25,'Comext mensuel - EUROSTAT'!BA25,'Comext mensuel - EUROSTAT'!BC25,'Comext mensuel - EUROSTAT'!BE25,'Comext mensuel - EUROSTAT'!BG25,'Comext mensuel - EUROSTAT'!BI25,'Comext mensuel - EUROSTAT'!BK25,'Comext mensuel - EUROSTAT'!BM25,'Comext mensuel - EUROSTAT'!BO25,'Comext mensuel - EUROSTAT'!BQ25,'Comext mensuel - EUROSTAT'!BS25,'Comext mensuel - EUROSTAT'!BU25)/10^4</f>
        <v>0</v>
      </c>
      <c r="P16" s="509">
        <f>SUM('Comext mensuel - EUROSTAT'!AZ25,'Comext mensuel - EUROSTAT'!BB25,'Comext mensuel - EUROSTAT'!BD25,'Comext mensuel - EUROSTAT'!BF25,'Comext mensuel - EUROSTAT'!BH25,'Comext mensuel - EUROSTAT'!BJ25,'Comext mensuel - EUROSTAT'!BL25,'Comext mensuel - EUROSTAT'!BN25,'Comext mensuel - EUROSTAT'!BP25,'Comext mensuel - EUROSTAT'!BR25,'Comext mensuel - EUROSTAT'!BT25,'Comext mensuel - EUROSTAT'!BV25)/10^4</f>
        <v>0</v>
      </c>
    </row>
    <row r="17" spans="1:22">
      <c r="A17" t="s">
        <v>307</v>
      </c>
      <c r="B17" t="s">
        <v>948</v>
      </c>
      <c r="C17" s="693"/>
      <c r="D17" t="str">
        <f>'Comext annuel - EUROSTAT'!B26</f>
        <v>Maïs de semence, hybride trois voies</v>
      </c>
      <c r="E17" s="86">
        <f>'Comext annuel - EUROSTAT'!C26/10^4</f>
        <v>3.9343769999999996</v>
      </c>
      <c r="F17" s="86">
        <f>'Comext annuel - EUROSTAT'!D26/10^4</f>
        <v>36.657428000000003</v>
      </c>
      <c r="G17" s="86">
        <f>'Comext annuel - EUROSTAT'!E26/10^4</f>
        <v>3.1174110000000002</v>
      </c>
      <c r="H17" s="86">
        <f>'Comext annuel - EUROSTAT'!F26/10^4</f>
        <v>21.859645999999998</v>
      </c>
      <c r="I17" s="86">
        <f>'Comext annuel - EUROSTAT'!G26/10^4</f>
        <v>3.9761139999999999</v>
      </c>
      <c r="J17" s="86">
        <f>'Comext annuel - EUROSTAT'!H26/10^4</f>
        <v>20.004764000000002</v>
      </c>
      <c r="K17" s="509">
        <f>SUM('Comext mensuel - EUROSTAT'!C26,'Comext mensuel - EUROSTAT'!E26,'Comext mensuel - EUROSTAT'!G26,'Comext mensuel - EUROSTAT'!I26,'Comext mensuel - EUROSTAT'!K26,'Comext mensuel - EUROSTAT'!M26,'Comext mensuel - EUROSTAT'!O26,'Comext mensuel - EUROSTAT'!Q26,'Comext mensuel - EUROSTAT'!S26,'Comext mensuel - EUROSTAT'!U26,'Comext mensuel - EUROSTAT'!W26,'Comext mensuel - EUROSTAT'!Y26)/10^4</f>
        <v>4.625947</v>
      </c>
      <c r="L17" s="509">
        <f>SUM('Comext mensuel - EUROSTAT'!D26,'Comext mensuel - EUROSTAT'!F26,'Comext mensuel - EUROSTAT'!H26,'Comext mensuel - EUROSTAT'!J26,'Comext mensuel - EUROSTAT'!L26,'Comext mensuel - EUROSTAT'!N26,'Comext mensuel - EUROSTAT'!P26,'Comext mensuel - EUROSTAT'!R26,'Comext mensuel - EUROSTAT'!T26,'Comext mensuel - EUROSTAT'!V26,'Comext mensuel - EUROSTAT'!X26,'Comext mensuel - EUROSTAT'!Z26)/10^4</f>
        <v>30.309425000000005</v>
      </c>
      <c r="M17" s="509">
        <f>SUM('Comext mensuel - EUROSTAT'!AA26,'Comext mensuel - EUROSTAT'!AC26,'Comext mensuel - EUROSTAT'!AE26,'Comext mensuel - EUROSTAT'!AG26,'Comext mensuel - EUROSTAT'!AI26,'Comext mensuel - EUROSTAT'!AK26,'Comext mensuel - EUROSTAT'!AM26,'Comext mensuel - EUROSTAT'!AO26,'Comext mensuel - EUROSTAT'!AQ26,'Comext mensuel - EUROSTAT'!AS26,'Comext mensuel - EUROSTAT'!AU26,'Comext mensuel - EUROSTAT'!AW26)/10^4</f>
        <v>5.8905250000000002</v>
      </c>
      <c r="N17" s="509">
        <f>SUM('Comext mensuel - EUROSTAT'!AB26,'Comext mensuel - EUROSTAT'!AD26,'Comext mensuel - EUROSTAT'!AF26,'Comext mensuel - EUROSTAT'!AH26,'Comext mensuel - EUROSTAT'!AJ26,'Comext mensuel - EUROSTAT'!AL26,'Comext mensuel - EUROSTAT'!AN26,'Comext mensuel - EUROSTAT'!AP26,'Comext mensuel - EUROSTAT'!AR26,'Comext mensuel - EUROSTAT'!AT26,'Comext mensuel - EUROSTAT'!AV26,'Comext mensuel - EUROSTAT'!AX26)/10^4</f>
        <v>27.197027000000009</v>
      </c>
      <c r="O17" s="509">
        <f>SUM('Comext mensuel - EUROSTAT'!AY26,'Comext mensuel - EUROSTAT'!BA26,'Comext mensuel - EUROSTAT'!BC26,'Comext mensuel - EUROSTAT'!BE26,'Comext mensuel - EUROSTAT'!BG26,'Comext mensuel - EUROSTAT'!BI26,'Comext mensuel - EUROSTAT'!BK26,'Comext mensuel - EUROSTAT'!BM26,'Comext mensuel - EUROSTAT'!BO26,'Comext mensuel - EUROSTAT'!BQ26,'Comext mensuel - EUROSTAT'!BS26,'Comext mensuel - EUROSTAT'!BU26)/10^4</f>
        <v>4.6379340000000004</v>
      </c>
      <c r="P17" s="509">
        <f>SUM('Comext mensuel - EUROSTAT'!AZ26,'Comext mensuel - EUROSTAT'!BB26,'Comext mensuel - EUROSTAT'!BD26,'Comext mensuel - EUROSTAT'!BF26,'Comext mensuel - EUROSTAT'!BH26,'Comext mensuel - EUROSTAT'!BJ26,'Comext mensuel - EUROSTAT'!BL26,'Comext mensuel - EUROSTAT'!BN26,'Comext mensuel - EUROSTAT'!BP26,'Comext mensuel - EUROSTAT'!BR26,'Comext mensuel - EUROSTAT'!BT26,'Comext mensuel - EUROSTAT'!BV26)/10^4</f>
        <v>20.062348999999998</v>
      </c>
    </row>
    <row r="18" spans="1:22">
      <c r="A18" t="s">
        <v>307</v>
      </c>
      <c r="B18" t="s">
        <v>948</v>
      </c>
      <c r="C18" s="693"/>
      <c r="D18" t="str">
        <f>'Comext annuel - EUROSTAT'!B27</f>
        <v>Maïs de semence, hybride simple</v>
      </c>
      <c r="E18" s="86">
        <f>'Comext annuel - EUROSTAT'!C27/10^4</f>
        <v>34.161592999999996</v>
      </c>
      <c r="F18" s="86">
        <f>'Comext annuel - EUROSTAT'!D27/10^4</f>
        <v>163.99980099999999</v>
      </c>
      <c r="G18" s="86">
        <f>'Comext annuel - EUROSTAT'!E27/10^4</f>
        <v>38.365122</v>
      </c>
      <c r="H18" s="86">
        <f>'Comext annuel - EUROSTAT'!F27/10^4</f>
        <v>133.34749199999999</v>
      </c>
      <c r="I18" s="86">
        <f>'Comext annuel - EUROSTAT'!G27/10^4</f>
        <v>48.198819999999998</v>
      </c>
      <c r="J18" s="86">
        <f>'Comext annuel - EUROSTAT'!H27/10^4</f>
        <v>138.79799700000001</v>
      </c>
      <c r="K18" s="509">
        <f>SUM('Comext mensuel - EUROSTAT'!C27,'Comext mensuel - EUROSTAT'!E27,'Comext mensuel - EUROSTAT'!G27,'Comext mensuel - EUROSTAT'!I27,'Comext mensuel - EUROSTAT'!K27,'Comext mensuel - EUROSTAT'!M27,'Comext mensuel - EUROSTAT'!O27,'Comext mensuel - EUROSTAT'!Q27,'Comext mensuel - EUROSTAT'!S27,'Comext mensuel - EUROSTAT'!U27,'Comext mensuel - EUROSTAT'!W27,'Comext mensuel - EUROSTAT'!Y27)/10^4</f>
        <v>37.502258999999995</v>
      </c>
      <c r="L18" s="509">
        <f>SUM('Comext mensuel - EUROSTAT'!D27,'Comext mensuel - EUROSTAT'!F27,'Comext mensuel - EUROSTAT'!H27,'Comext mensuel - EUROSTAT'!J27,'Comext mensuel - EUROSTAT'!L27,'Comext mensuel - EUROSTAT'!N27,'Comext mensuel - EUROSTAT'!P27,'Comext mensuel - EUROSTAT'!R27,'Comext mensuel - EUROSTAT'!T27,'Comext mensuel - EUROSTAT'!V27,'Comext mensuel - EUROSTAT'!X27,'Comext mensuel - EUROSTAT'!Z27)/10^4</f>
        <v>146.23486599999998</v>
      </c>
      <c r="M18" s="509">
        <f>SUM('Comext mensuel - EUROSTAT'!AA27,'Comext mensuel - EUROSTAT'!AC27,'Comext mensuel - EUROSTAT'!AE27,'Comext mensuel - EUROSTAT'!AG27,'Comext mensuel - EUROSTAT'!AI27,'Comext mensuel - EUROSTAT'!AK27,'Comext mensuel - EUROSTAT'!AM27,'Comext mensuel - EUROSTAT'!AO27,'Comext mensuel - EUROSTAT'!AQ27,'Comext mensuel - EUROSTAT'!AS27,'Comext mensuel - EUROSTAT'!AU27,'Comext mensuel - EUROSTAT'!AW27)/10^4</f>
        <v>38.193807999999997</v>
      </c>
      <c r="N18" s="509">
        <f>SUM('Comext mensuel - EUROSTAT'!AB27,'Comext mensuel - EUROSTAT'!AD27,'Comext mensuel - EUROSTAT'!AF27,'Comext mensuel - EUROSTAT'!AH27,'Comext mensuel - EUROSTAT'!AJ27,'Comext mensuel - EUROSTAT'!AL27,'Comext mensuel - EUROSTAT'!AN27,'Comext mensuel - EUROSTAT'!AP27,'Comext mensuel - EUROSTAT'!AR27,'Comext mensuel - EUROSTAT'!AT27,'Comext mensuel - EUROSTAT'!AV27,'Comext mensuel - EUROSTAT'!AX27)/10^4</f>
        <v>152.152671</v>
      </c>
      <c r="O18" s="509">
        <f>SUM('Comext mensuel - EUROSTAT'!AY27,'Comext mensuel - EUROSTAT'!BA27,'Comext mensuel - EUROSTAT'!BC27,'Comext mensuel - EUROSTAT'!BE27,'Comext mensuel - EUROSTAT'!BG27,'Comext mensuel - EUROSTAT'!BI27,'Comext mensuel - EUROSTAT'!BK27,'Comext mensuel - EUROSTAT'!BM27,'Comext mensuel - EUROSTAT'!BO27,'Comext mensuel - EUROSTAT'!BQ27,'Comext mensuel - EUROSTAT'!BS27,'Comext mensuel - EUROSTAT'!BU27)/10^4</f>
        <v>49.770516000000001</v>
      </c>
      <c r="P18" s="509">
        <f>SUM('Comext mensuel - EUROSTAT'!AZ27,'Comext mensuel - EUROSTAT'!BB27,'Comext mensuel - EUROSTAT'!BD27,'Comext mensuel - EUROSTAT'!BF27,'Comext mensuel - EUROSTAT'!BH27,'Comext mensuel - EUROSTAT'!BJ27,'Comext mensuel - EUROSTAT'!BL27,'Comext mensuel - EUROSTAT'!BN27,'Comext mensuel - EUROSTAT'!BP27,'Comext mensuel - EUROSTAT'!BR27,'Comext mensuel - EUROSTAT'!BT27,'Comext mensuel - EUROSTAT'!BV27)/10^4</f>
        <v>145.39948700000002</v>
      </c>
    </row>
    <row r="19" spans="1:22">
      <c r="A19" t="s">
        <v>307</v>
      </c>
      <c r="B19" t="s">
        <v>948</v>
      </c>
      <c r="C19" s="693"/>
      <c r="D19" t="str">
        <f>'Comext annuel - EUROSTAT'!B28</f>
        <v>Maïs de semence, hybride (à l'excl. des semences de maïs hybride trois voies et hybride simple)</v>
      </c>
      <c r="E19" s="86">
        <f>'Comext annuel - EUROSTAT'!C28/10^4</f>
        <v>0.315973</v>
      </c>
      <c r="F19" s="86">
        <f>'Comext annuel - EUROSTAT'!D28/10^4</f>
        <v>0.69868299999999994</v>
      </c>
      <c r="G19" s="86">
        <f>'Comext annuel - EUROSTAT'!E28/10^4</f>
        <v>0.48401000000000005</v>
      </c>
      <c r="H19" s="86">
        <f>'Comext annuel - EUROSTAT'!F28/10^4</f>
        <v>0.62864900000000001</v>
      </c>
      <c r="I19" s="86">
        <f>'Comext annuel - EUROSTAT'!G28/10^4</f>
        <v>0.28487600000000002</v>
      </c>
      <c r="J19" s="86">
        <f>'Comext annuel - EUROSTAT'!H28/10^4</f>
        <v>0.75578599999999996</v>
      </c>
      <c r="K19" s="509">
        <f>SUM('Comext mensuel - EUROSTAT'!C28,'Comext mensuel - EUROSTAT'!E28,'Comext mensuel - EUROSTAT'!G28,'Comext mensuel - EUROSTAT'!I28,'Comext mensuel - EUROSTAT'!K28,'Comext mensuel - EUROSTAT'!M28,'Comext mensuel - EUROSTAT'!O28,'Comext mensuel - EUROSTAT'!Q28,'Comext mensuel - EUROSTAT'!S28,'Comext mensuel - EUROSTAT'!U28,'Comext mensuel - EUROSTAT'!W28,'Comext mensuel - EUROSTAT'!Y28)/10^4</f>
        <v>0.42635400000000007</v>
      </c>
      <c r="L19" s="509">
        <f>SUM('Comext mensuel - EUROSTAT'!D28,'Comext mensuel - EUROSTAT'!F28,'Comext mensuel - EUROSTAT'!H28,'Comext mensuel - EUROSTAT'!J28,'Comext mensuel - EUROSTAT'!L28,'Comext mensuel - EUROSTAT'!N28,'Comext mensuel - EUROSTAT'!P28,'Comext mensuel - EUROSTAT'!R28,'Comext mensuel - EUROSTAT'!T28,'Comext mensuel - EUROSTAT'!V28,'Comext mensuel - EUROSTAT'!X28,'Comext mensuel - EUROSTAT'!Z28)/10^4</f>
        <v>0.54518899999999992</v>
      </c>
      <c r="M19" s="509">
        <f>SUM('Comext mensuel - EUROSTAT'!AA28,'Comext mensuel - EUROSTAT'!AC28,'Comext mensuel - EUROSTAT'!AE28,'Comext mensuel - EUROSTAT'!AG28,'Comext mensuel - EUROSTAT'!AI28,'Comext mensuel - EUROSTAT'!AK28,'Comext mensuel - EUROSTAT'!AM28,'Comext mensuel - EUROSTAT'!AO28,'Comext mensuel - EUROSTAT'!AQ28,'Comext mensuel - EUROSTAT'!AS28,'Comext mensuel - EUROSTAT'!AU28,'Comext mensuel - EUROSTAT'!AW28)/10^4</f>
        <v>0.34231800000000001</v>
      </c>
      <c r="N19" s="509">
        <f>SUM('Comext mensuel - EUROSTAT'!AB28,'Comext mensuel - EUROSTAT'!AD28,'Comext mensuel - EUROSTAT'!AF28,'Comext mensuel - EUROSTAT'!AH28,'Comext mensuel - EUROSTAT'!AJ28,'Comext mensuel - EUROSTAT'!AL28,'Comext mensuel - EUROSTAT'!AN28,'Comext mensuel - EUROSTAT'!AP28,'Comext mensuel - EUROSTAT'!AR28,'Comext mensuel - EUROSTAT'!AT28,'Comext mensuel - EUROSTAT'!AV28,'Comext mensuel - EUROSTAT'!AX28)/10^4</f>
        <v>1.4251340000000001</v>
      </c>
      <c r="O19" s="509">
        <f>SUM('Comext mensuel - EUROSTAT'!AY28,'Comext mensuel - EUROSTAT'!BA28,'Comext mensuel - EUROSTAT'!BC28,'Comext mensuel - EUROSTAT'!BE28,'Comext mensuel - EUROSTAT'!BG28,'Comext mensuel - EUROSTAT'!BI28,'Comext mensuel - EUROSTAT'!BK28,'Comext mensuel - EUROSTAT'!BM28,'Comext mensuel - EUROSTAT'!BO28,'Comext mensuel - EUROSTAT'!BQ28,'Comext mensuel - EUROSTAT'!BS28,'Comext mensuel - EUROSTAT'!BU28)/10^4</f>
        <v>0.20475500000000002</v>
      </c>
      <c r="P19" s="509">
        <f>SUM('Comext mensuel - EUROSTAT'!AZ28,'Comext mensuel - EUROSTAT'!BB28,'Comext mensuel - EUROSTAT'!BD28,'Comext mensuel - EUROSTAT'!BF28,'Comext mensuel - EUROSTAT'!BH28,'Comext mensuel - EUROSTAT'!BJ28,'Comext mensuel - EUROSTAT'!BL28,'Comext mensuel - EUROSTAT'!BN28,'Comext mensuel - EUROSTAT'!BP28,'Comext mensuel - EUROSTAT'!BR28,'Comext mensuel - EUROSTAT'!BT28,'Comext mensuel - EUROSTAT'!BV28)/10^4</f>
        <v>0.62166499999999991</v>
      </c>
    </row>
    <row r="20" spans="1:22">
      <c r="A20" t="s">
        <v>307</v>
      </c>
      <c r="B20" t="s">
        <v>948</v>
      </c>
      <c r="C20" s="693"/>
      <c r="D20" t="str">
        <f>'Comext annuel - EUROSTAT'!B29</f>
        <v>Maïs de semence, hybride (à l'excl. des maïs hybrides double, top-cross, trois voies et simple)</v>
      </c>
      <c r="E20" s="86" t="e">
        <f>'Comext annuel - EUROSTAT'!C29/10^4</f>
        <v>#VALUE!</v>
      </c>
      <c r="F20" s="86" t="e">
        <f>'Comext annuel - EUROSTAT'!D29/10^4</f>
        <v>#VALUE!</v>
      </c>
      <c r="G20" s="86" t="e">
        <f>'Comext annuel - EUROSTAT'!E29/10^4</f>
        <v>#VALUE!</v>
      </c>
      <c r="H20" s="86" t="e">
        <f>'Comext annuel - EUROSTAT'!F29/10^4</f>
        <v>#VALUE!</v>
      </c>
      <c r="I20" s="86" t="e">
        <f>'Comext annuel - EUROSTAT'!G29/10^4</f>
        <v>#VALUE!</v>
      </c>
      <c r="J20" s="86" t="e">
        <f>'Comext annuel - EUROSTAT'!H29/10^4</f>
        <v>#VALUE!</v>
      </c>
      <c r="K20" s="509">
        <f>SUM('Comext mensuel - EUROSTAT'!C29,'Comext mensuel - EUROSTAT'!E29,'Comext mensuel - EUROSTAT'!G29,'Comext mensuel - EUROSTAT'!I29,'Comext mensuel - EUROSTAT'!K29,'Comext mensuel - EUROSTAT'!M29,'Comext mensuel - EUROSTAT'!O29,'Comext mensuel - EUROSTAT'!Q29,'Comext mensuel - EUROSTAT'!S29,'Comext mensuel - EUROSTAT'!U29,'Comext mensuel - EUROSTAT'!W29,'Comext mensuel - EUROSTAT'!Y29)/10^4</f>
        <v>0</v>
      </c>
      <c r="L20" s="509">
        <f>SUM('Comext mensuel - EUROSTAT'!D29,'Comext mensuel - EUROSTAT'!F29,'Comext mensuel - EUROSTAT'!H29,'Comext mensuel - EUROSTAT'!J29,'Comext mensuel - EUROSTAT'!L29,'Comext mensuel - EUROSTAT'!N29,'Comext mensuel - EUROSTAT'!P29,'Comext mensuel - EUROSTAT'!R29,'Comext mensuel - EUROSTAT'!T29,'Comext mensuel - EUROSTAT'!V29,'Comext mensuel - EUROSTAT'!X29,'Comext mensuel - EUROSTAT'!Z29)/10^4</f>
        <v>0</v>
      </c>
      <c r="M20" s="509">
        <f>SUM('Comext mensuel - EUROSTAT'!AA29,'Comext mensuel - EUROSTAT'!AC29,'Comext mensuel - EUROSTAT'!AE29,'Comext mensuel - EUROSTAT'!AG29,'Comext mensuel - EUROSTAT'!AI29,'Comext mensuel - EUROSTAT'!AK29,'Comext mensuel - EUROSTAT'!AM29,'Comext mensuel - EUROSTAT'!AO29,'Comext mensuel - EUROSTAT'!AQ29,'Comext mensuel - EUROSTAT'!AS29,'Comext mensuel - EUROSTAT'!AU29,'Comext mensuel - EUROSTAT'!AW29)/10^4</f>
        <v>0</v>
      </c>
      <c r="N20" s="509">
        <f>SUM('Comext mensuel - EUROSTAT'!AB29,'Comext mensuel - EUROSTAT'!AD29,'Comext mensuel - EUROSTAT'!AF29,'Comext mensuel - EUROSTAT'!AH29,'Comext mensuel - EUROSTAT'!AJ29,'Comext mensuel - EUROSTAT'!AL29,'Comext mensuel - EUROSTAT'!AN29,'Comext mensuel - EUROSTAT'!AP29,'Comext mensuel - EUROSTAT'!AR29,'Comext mensuel - EUROSTAT'!AT29,'Comext mensuel - EUROSTAT'!AV29,'Comext mensuel - EUROSTAT'!AX29)/10^4</f>
        <v>0</v>
      </c>
      <c r="O20" s="509">
        <f>SUM('Comext mensuel - EUROSTAT'!AY29,'Comext mensuel - EUROSTAT'!BA29,'Comext mensuel - EUROSTAT'!BC29,'Comext mensuel - EUROSTAT'!BE29,'Comext mensuel - EUROSTAT'!BG29,'Comext mensuel - EUROSTAT'!BI29,'Comext mensuel - EUROSTAT'!BK29,'Comext mensuel - EUROSTAT'!BM29,'Comext mensuel - EUROSTAT'!BO29,'Comext mensuel - EUROSTAT'!BQ29,'Comext mensuel - EUROSTAT'!BS29,'Comext mensuel - EUROSTAT'!BU29)/10^4</f>
        <v>0</v>
      </c>
      <c r="P20" s="509">
        <f>SUM('Comext mensuel - EUROSTAT'!AZ29,'Comext mensuel - EUROSTAT'!BB29,'Comext mensuel - EUROSTAT'!BD29,'Comext mensuel - EUROSTAT'!BF29,'Comext mensuel - EUROSTAT'!BH29,'Comext mensuel - EUROSTAT'!BJ29,'Comext mensuel - EUROSTAT'!BL29,'Comext mensuel - EUROSTAT'!BN29,'Comext mensuel - EUROSTAT'!BP29,'Comext mensuel - EUROSTAT'!BR29,'Comext mensuel - EUROSTAT'!BT29,'Comext mensuel - EUROSTAT'!BV29)/10^4</f>
        <v>0</v>
      </c>
    </row>
    <row r="21" spans="1:22">
      <c r="A21" t="s">
        <v>307</v>
      </c>
      <c r="B21" t="s">
        <v>948</v>
      </c>
      <c r="C21" s="693"/>
      <c r="D21" t="str">
        <f>'Comext annuel - EUROSTAT'!B30</f>
        <v>Maïs de semence (à l’excl. du maïs hybride)</v>
      </c>
      <c r="E21" s="86">
        <f>'Comext annuel - EUROSTAT'!C30/10^4</f>
        <v>1.214283</v>
      </c>
      <c r="F21" s="86">
        <f>'Comext annuel - EUROSTAT'!D30/10^4</f>
        <v>116.84528600000002</v>
      </c>
      <c r="G21" s="86">
        <f>'Comext annuel - EUROSTAT'!E30/10^4</f>
        <v>2.0003669999999998</v>
      </c>
      <c r="H21" s="86">
        <f>'Comext annuel - EUROSTAT'!F30/10^4</f>
        <v>19.770806</v>
      </c>
      <c r="I21" s="86">
        <f>'Comext annuel - EUROSTAT'!G30/10^4</f>
        <v>0.86394400000000005</v>
      </c>
      <c r="J21" s="86">
        <f>'Comext annuel - EUROSTAT'!H30/10^4</f>
        <v>40.546841000000001</v>
      </c>
      <c r="K21" s="509">
        <f>SUM('Comext mensuel - EUROSTAT'!C30,'Comext mensuel - EUROSTAT'!E30,'Comext mensuel - EUROSTAT'!G30,'Comext mensuel - EUROSTAT'!I30,'Comext mensuel - EUROSTAT'!K30,'Comext mensuel - EUROSTAT'!M30,'Comext mensuel - EUROSTAT'!O30,'Comext mensuel - EUROSTAT'!Q30,'Comext mensuel - EUROSTAT'!S30,'Comext mensuel - EUROSTAT'!U30,'Comext mensuel - EUROSTAT'!W30,'Comext mensuel - EUROSTAT'!Y30)/10^4</f>
        <v>1.6255740000000001</v>
      </c>
      <c r="L21" s="509">
        <f>SUM('Comext mensuel - EUROSTAT'!D30,'Comext mensuel - EUROSTAT'!F30,'Comext mensuel - EUROSTAT'!H30,'Comext mensuel - EUROSTAT'!J30,'Comext mensuel - EUROSTAT'!L30,'Comext mensuel - EUROSTAT'!N30,'Comext mensuel - EUROSTAT'!P30,'Comext mensuel - EUROSTAT'!R30,'Comext mensuel - EUROSTAT'!T30,'Comext mensuel - EUROSTAT'!V30,'Comext mensuel - EUROSTAT'!X30,'Comext mensuel - EUROSTAT'!Z30)/10^4</f>
        <v>36.218299999999999</v>
      </c>
      <c r="M21" s="509">
        <f>SUM('Comext mensuel - EUROSTAT'!AA30,'Comext mensuel - EUROSTAT'!AC30,'Comext mensuel - EUROSTAT'!AE30,'Comext mensuel - EUROSTAT'!AG30,'Comext mensuel - EUROSTAT'!AI30,'Comext mensuel - EUROSTAT'!AK30,'Comext mensuel - EUROSTAT'!AM30,'Comext mensuel - EUROSTAT'!AO30,'Comext mensuel - EUROSTAT'!AQ30,'Comext mensuel - EUROSTAT'!AS30,'Comext mensuel - EUROSTAT'!AU30,'Comext mensuel - EUROSTAT'!AW30)/10^4</f>
        <v>2.118709</v>
      </c>
      <c r="N21" s="509">
        <f>SUM('Comext mensuel - EUROSTAT'!AB30,'Comext mensuel - EUROSTAT'!AD30,'Comext mensuel - EUROSTAT'!AF30,'Comext mensuel - EUROSTAT'!AH30,'Comext mensuel - EUROSTAT'!AJ30,'Comext mensuel - EUROSTAT'!AL30,'Comext mensuel - EUROSTAT'!AN30,'Comext mensuel - EUROSTAT'!AP30,'Comext mensuel - EUROSTAT'!AR30,'Comext mensuel - EUROSTAT'!AT30,'Comext mensuel - EUROSTAT'!AV30,'Comext mensuel - EUROSTAT'!AX30)/10^4</f>
        <v>18.570161000000002</v>
      </c>
      <c r="O21" s="509">
        <f>SUM('Comext mensuel - EUROSTAT'!AY30,'Comext mensuel - EUROSTAT'!BA30,'Comext mensuel - EUROSTAT'!BC30,'Comext mensuel - EUROSTAT'!BE30,'Comext mensuel - EUROSTAT'!BG30,'Comext mensuel - EUROSTAT'!BI30,'Comext mensuel - EUROSTAT'!BK30,'Comext mensuel - EUROSTAT'!BM30,'Comext mensuel - EUROSTAT'!BO30,'Comext mensuel - EUROSTAT'!BQ30,'Comext mensuel - EUROSTAT'!BS30,'Comext mensuel - EUROSTAT'!BU30)/10^4</f>
        <v>0.87512400000000001</v>
      </c>
      <c r="P21" s="509">
        <f>SUM('Comext mensuel - EUROSTAT'!AZ30,'Comext mensuel - EUROSTAT'!BB30,'Comext mensuel - EUROSTAT'!BD30,'Comext mensuel - EUROSTAT'!BF30,'Comext mensuel - EUROSTAT'!BH30,'Comext mensuel - EUROSTAT'!BJ30,'Comext mensuel - EUROSTAT'!BL30,'Comext mensuel - EUROSTAT'!BN30,'Comext mensuel - EUROSTAT'!BP30,'Comext mensuel - EUROSTAT'!BR30,'Comext mensuel - EUROSTAT'!BT30,'Comext mensuel - EUROSTAT'!BV30)/10^4</f>
        <v>66.67649200000001</v>
      </c>
      <c r="Q21" s="626">
        <f>Q22-K21-K20-K19-K18-K17-K16</f>
        <v>368.12956600000001</v>
      </c>
      <c r="R21" s="626">
        <f t="shared" ref="R21:V21" si="5">R22-L21-L20-L19-L18-L17-L16</f>
        <v>5893.8822199999977</v>
      </c>
      <c r="S21" s="626">
        <f t="shared" si="5"/>
        <v>628.98464000000001</v>
      </c>
      <c r="T21" s="626">
        <f t="shared" si="5"/>
        <v>3980.4832070000002</v>
      </c>
      <c r="U21" s="626">
        <f t="shared" si="5"/>
        <v>267.78747100000004</v>
      </c>
      <c r="V21" s="626">
        <f t="shared" si="5"/>
        <v>3984.1195070000008</v>
      </c>
    </row>
    <row r="22" spans="1:22">
      <c r="A22" t="s">
        <v>307</v>
      </c>
      <c r="B22" t="s">
        <v>949</v>
      </c>
      <c r="C22" s="693"/>
      <c r="D22" t="str">
        <f>'Comext annuel - EUROSTAT'!B31</f>
        <v>Maïs (à l'excl. du maïs de semence)</v>
      </c>
      <c r="E22" s="86">
        <f>'Comext annuel - EUROSTAT'!C31/10^4</f>
        <v>324.56245000000001</v>
      </c>
      <c r="F22" s="86">
        <f>'Comext annuel - EUROSTAT'!D31/10^4</f>
        <v>6879.1242370000009</v>
      </c>
      <c r="G22" s="86">
        <f>'Comext annuel - EUROSTAT'!E31/10^4</f>
        <v>661.029675</v>
      </c>
      <c r="H22" s="86">
        <f>'Comext annuel - EUROSTAT'!F31/10^4</f>
        <v>3496.7385220000001</v>
      </c>
      <c r="I22" s="86">
        <f>'Comext annuel - EUROSTAT'!G31/10^4</f>
        <v>399.60323799999998</v>
      </c>
      <c r="J22" s="86">
        <f>'Comext annuel - EUROSTAT'!H31/10^4</f>
        <v>3554.1763569999998</v>
      </c>
      <c r="K22" s="509">
        <f>SUM('Comext mensuel - EUROSTAT'!C31,'Comext mensuel - EUROSTAT'!E31,'Comext mensuel - EUROSTAT'!G31,'Comext mensuel - EUROSTAT'!I31,'Comext mensuel - EUROSTAT'!K31,'Comext mensuel - EUROSTAT'!M31,'Comext mensuel - EUROSTAT'!O31,'Comext mensuel - EUROSTAT'!Q31,'Comext mensuel - EUROSTAT'!S31,'Comext mensuel - EUROSTAT'!U31,'Comext mensuel - EUROSTAT'!W31,'Comext mensuel - EUROSTAT'!Y31)/10^4</f>
        <v>383.42783400000002</v>
      </c>
      <c r="L22" s="509">
        <f>SUM('Comext mensuel - EUROSTAT'!D31,'Comext mensuel - EUROSTAT'!F31,'Comext mensuel - EUROSTAT'!H31,'Comext mensuel - EUROSTAT'!J31,'Comext mensuel - EUROSTAT'!L31,'Comext mensuel - EUROSTAT'!N31,'Comext mensuel - EUROSTAT'!P31,'Comext mensuel - EUROSTAT'!R31,'Comext mensuel - EUROSTAT'!T31,'Comext mensuel - EUROSTAT'!V31,'Comext mensuel - EUROSTAT'!X31,'Comext mensuel - EUROSTAT'!Z31)/10^4</f>
        <v>5764.896358</v>
      </c>
      <c r="M22" s="509">
        <f>SUM('Comext mensuel - EUROSTAT'!AA31,'Comext mensuel - EUROSTAT'!AC31,'Comext mensuel - EUROSTAT'!AE31,'Comext mensuel - EUROSTAT'!AG31,'Comext mensuel - EUROSTAT'!AI31,'Comext mensuel - EUROSTAT'!AK31,'Comext mensuel - EUROSTAT'!AM31,'Comext mensuel - EUROSTAT'!AO31,'Comext mensuel - EUROSTAT'!AQ31,'Comext mensuel - EUROSTAT'!AS31,'Comext mensuel - EUROSTAT'!AU31,'Comext mensuel - EUROSTAT'!AW31)/10^4</f>
        <v>638.89565699999991</v>
      </c>
      <c r="N22" s="509">
        <f>SUM('Comext mensuel - EUROSTAT'!AB31,'Comext mensuel - EUROSTAT'!AD31,'Comext mensuel - EUROSTAT'!AF31,'Comext mensuel - EUROSTAT'!AH31,'Comext mensuel - EUROSTAT'!AJ31,'Comext mensuel - EUROSTAT'!AL31,'Comext mensuel - EUROSTAT'!AN31,'Comext mensuel - EUROSTAT'!AP31,'Comext mensuel - EUROSTAT'!AR31,'Comext mensuel - EUROSTAT'!AT31,'Comext mensuel - EUROSTAT'!AV31,'Comext mensuel - EUROSTAT'!AX31)/10^4</f>
        <v>3889.9617450000005</v>
      </c>
      <c r="O22" s="509">
        <f>SUM('Comext mensuel - EUROSTAT'!AY31,'Comext mensuel - EUROSTAT'!BA31,'Comext mensuel - EUROSTAT'!BC31,'Comext mensuel - EUROSTAT'!BE31,'Comext mensuel - EUROSTAT'!BG31,'Comext mensuel - EUROSTAT'!BI31,'Comext mensuel - EUROSTAT'!BK31,'Comext mensuel - EUROSTAT'!BM31,'Comext mensuel - EUROSTAT'!BO31,'Comext mensuel - EUROSTAT'!BQ31,'Comext mensuel - EUROSTAT'!BS31,'Comext mensuel - EUROSTAT'!BU31)/10^4</f>
        <v>278.45537400000001</v>
      </c>
      <c r="P22" s="509">
        <f>SUM('Comext mensuel - EUROSTAT'!AZ31,'Comext mensuel - EUROSTAT'!BB31,'Comext mensuel - EUROSTAT'!BD31,'Comext mensuel - EUROSTAT'!BF31,'Comext mensuel - EUROSTAT'!BH31,'Comext mensuel - EUROSTAT'!BJ31,'Comext mensuel - EUROSTAT'!BL31,'Comext mensuel - EUROSTAT'!BN31,'Comext mensuel - EUROSTAT'!BP31,'Comext mensuel - EUROSTAT'!BR31,'Comext mensuel - EUROSTAT'!BT31,'Comext mensuel - EUROSTAT'!BV31)/10^4</f>
        <v>3894.9941779999999</v>
      </c>
      <c r="Q22" s="458">
        <f>'Prétraitement bilans'!E9</f>
        <v>412.30969999999996</v>
      </c>
      <c r="R22" s="458">
        <f>'Prétraitement bilans'!E24</f>
        <v>6107.1899999999987</v>
      </c>
      <c r="S22" s="458">
        <f>'Prétraitement bilans'!N9</f>
        <v>675.53</v>
      </c>
      <c r="T22" s="458">
        <f>'Prétraitement bilans'!N24</f>
        <v>4179.8281999999999</v>
      </c>
      <c r="U22" s="458">
        <f>'Prétraitement bilans'!W9</f>
        <v>323.2758</v>
      </c>
      <c r="V22" s="458">
        <f>'Prétraitement bilans'!W24</f>
        <v>4216.8795</v>
      </c>
    </row>
    <row r="23" spans="1:22">
      <c r="A23" t="s">
        <v>309</v>
      </c>
      <c r="B23" t="s">
        <v>948</v>
      </c>
      <c r="C23" s="693"/>
      <c r="D23" t="str">
        <f>'Comext annuel - EUROSTAT'!B32</f>
        <v>Riz en paille {riz paddy}, destiné à l'ensemencement</v>
      </c>
      <c r="E23" s="86">
        <f>'Comext annuel - EUROSTAT'!C32/10^4</f>
        <v>1.07334</v>
      </c>
      <c r="F23" s="86">
        <f>'Comext annuel - EUROSTAT'!D32/10^4</f>
        <v>5.6684999999999999E-2</v>
      </c>
      <c r="G23" s="86">
        <f>'Comext annuel - EUROSTAT'!E32/10^4</f>
        <v>0.479404</v>
      </c>
      <c r="H23" s="86">
        <f>'Comext annuel - EUROSTAT'!F32/10^4</f>
        <v>0.25408400000000003</v>
      </c>
      <c r="I23" s="86">
        <f>'Comext annuel - EUROSTAT'!G32/10^4</f>
        <v>0.66090400000000005</v>
      </c>
      <c r="J23" s="86">
        <f>'Comext annuel - EUROSTAT'!H32/10^4</f>
        <v>7.6560000000000005E-3</v>
      </c>
      <c r="K23" s="509">
        <f>SUM('Comext mensuel - EUROSTAT'!C32,'Comext mensuel - EUROSTAT'!E32,'Comext mensuel - EUROSTAT'!G32,'Comext mensuel - EUROSTAT'!I32,'Comext mensuel - EUROSTAT'!K32,'Comext mensuel - EUROSTAT'!M32,'Comext mensuel - EUROSTAT'!O32,'Comext mensuel - EUROSTAT'!Q32,'Comext mensuel - EUROSTAT'!S32,'Comext mensuel - EUROSTAT'!U32,'Comext mensuel - EUROSTAT'!W32,'Comext mensuel - EUROSTAT'!Y32)/10^4</f>
        <v>0.91524700000000014</v>
      </c>
      <c r="L23" s="509">
        <f>SUM('Comext mensuel - EUROSTAT'!D32,'Comext mensuel - EUROSTAT'!F32,'Comext mensuel - EUROSTAT'!H32,'Comext mensuel - EUROSTAT'!J32,'Comext mensuel - EUROSTAT'!L32,'Comext mensuel - EUROSTAT'!N32,'Comext mensuel - EUROSTAT'!P32,'Comext mensuel - EUROSTAT'!R32,'Comext mensuel - EUROSTAT'!T32,'Comext mensuel - EUROSTAT'!V32,'Comext mensuel - EUROSTAT'!X32,'Comext mensuel - EUROSTAT'!Z32)/10^4</f>
        <v>3.9547000000000006E-2</v>
      </c>
      <c r="M23" s="509">
        <f>SUM('Comext mensuel - EUROSTAT'!AA32,'Comext mensuel - EUROSTAT'!AC32,'Comext mensuel - EUROSTAT'!AE32,'Comext mensuel - EUROSTAT'!AG32,'Comext mensuel - EUROSTAT'!AI32,'Comext mensuel - EUROSTAT'!AK32,'Comext mensuel - EUROSTAT'!AM32,'Comext mensuel - EUROSTAT'!AO32,'Comext mensuel - EUROSTAT'!AQ32,'Comext mensuel - EUROSTAT'!AS32,'Comext mensuel - EUROSTAT'!AU32,'Comext mensuel - EUROSTAT'!AW32)/10^4</f>
        <v>0.78442800000000001</v>
      </c>
      <c r="N23" s="509">
        <f>SUM('Comext mensuel - EUROSTAT'!AB32,'Comext mensuel - EUROSTAT'!AD32,'Comext mensuel - EUROSTAT'!AF32,'Comext mensuel - EUROSTAT'!AH32,'Comext mensuel - EUROSTAT'!AJ32,'Comext mensuel - EUROSTAT'!AL32,'Comext mensuel - EUROSTAT'!AN32,'Comext mensuel - EUROSTAT'!AP32,'Comext mensuel - EUROSTAT'!AR32,'Comext mensuel - EUROSTAT'!AT32,'Comext mensuel - EUROSTAT'!AV32,'Comext mensuel - EUROSTAT'!AX32)/10^4</f>
        <v>0.18043999999999999</v>
      </c>
      <c r="O23" s="509">
        <f>SUM('Comext mensuel - EUROSTAT'!AY32,'Comext mensuel - EUROSTAT'!BA32,'Comext mensuel - EUROSTAT'!BC32,'Comext mensuel - EUROSTAT'!BE32,'Comext mensuel - EUROSTAT'!BG32,'Comext mensuel - EUROSTAT'!BI32,'Comext mensuel - EUROSTAT'!BK32,'Comext mensuel - EUROSTAT'!BM32,'Comext mensuel - EUROSTAT'!BO32,'Comext mensuel - EUROSTAT'!BQ32,'Comext mensuel - EUROSTAT'!BS32,'Comext mensuel - EUROSTAT'!BU32)/10^4</f>
        <v>0.75954300000000008</v>
      </c>
      <c r="P23" s="509">
        <f>SUM('Comext mensuel - EUROSTAT'!AZ32,'Comext mensuel - EUROSTAT'!BB32,'Comext mensuel - EUROSTAT'!BD32,'Comext mensuel - EUROSTAT'!BF32,'Comext mensuel - EUROSTAT'!BH32,'Comext mensuel - EUROSTAT'!BJ32,'Comext mensuel - EUROSTAT'!BL32,'Comext mensuel - EUROSTAT'!BN32,'Comext mensuel - EUROSTAT'!BP32,'Comext mensuel - EUROSTAT'!BR32,'Comext mensuel - EUROSTAT'!BT32,'Comext mensuel - EUROSTAT'!BV32)/10^4</f>
        <v>4.2424000000000003E-2</v>
      </c>
    </row>
    <row r="24" spans="1:22">
      <c r="A24" t="s">
        <v>309</v>
      </c>
      <c r="B24" t="s">
        <v>949</v>
      </c>
      <c r="C24" s="693" t="s">
        <v>950</v>
      </c>
      <c r="D24" t="str">
        <f>'Comext annuel - EUROSTAT'!B33</f>
        <v>Riz en paille {riz paddy}, étuvé, à grains ronds</v>
      </c>
      <c r="E24" s="86">
        <f>'Comext annuel - EUROSTAT'!C33/10^4</f>
        <v>7.8584000000000001E-2</v>
      </c>
      <c r="F24" s="86">
        <f>'Comext annuel - EUROSTAT'!D33/10^4</f>
        <v>4.3868260000000001</v>
      </c>
      <c r="G24" s="86" t="e">
        <f>'Comext annuel - EUROSTAT'!E33/10^4</f>
        <v>#VALUE!</v>
      </c>
      <c r="H24" s="86" t="e">
        <f>'Comext annuel - EUROSTAT'!F33/10^4</f>
        <v>#VALUE!</v>
      </c>
      <c r="I24" s="86" t="e">
        <f>'Comext annuel - EUROSTAT'!G33/10^4</f>
        <v>#VALUE!</v>
      </c>
      <c r="J24" s="86" t="e">
        <f>'Comext annuel - EUROSTAT'!H33/10^4</f>
        <v>#VALUE!</v>
      </c>
      <c r="K24" s="509">
        <f>SUM('Comext mensuel - EUROSTAT'!C33,'Comext mensuel - EUROSTAT'!E33,'Comext mensuel - EUROSTAT'!G33,'Comext mensuel - EUROSTAT'!I33,'Comext mensuel - EUROSTAT'!K33,'Comext mensuel - EUROSTAT'!M33,'Comext mensuel - EUROSTAT'!O33,'Comext mensuel - EUROSTAT'!Q33,'Comext mensuel - EUROSTAT'!S33,'Comext mensuel - EUROSTAT'!U33,'Comext mensuel - EUROSTAT'!W33,'Comext mensuel - EUROSTAT'!Y33)/10^4</f>
        <v>5.6259000000000003E-2</v>
      </c>
      <c r="L24" s="509">
        <f>SUM('Comext mensuel - EUROSTAT'!D33,'Comext mensuel - EUROSTAT'!F33,'Comext mensuel - EUROSTAT'!H33,'Comext mensuel - EUROSTAT'!J33,'Comext mensuel - EUROSTAT'!L33,'Comext mensuel - EUROSTAT'!N33,'Comext mensuel - EUROSTAT'!P33,'Comext mensuel - EUROSTAT'!R33,'Comext mensuel - EUROSTAT'!T33,'Comext mensuel - EUROSTAT'!V33,'Comext mensuel - EUROSTAT'!X33,'Comext mensuel - EUROSTAT'!Z33)/10^4</f>
        <v>2.0310899999999998</v>
      </c>
      <c r="M24" s="509">
        <f>SUM('Comext mensuel - EUROSTAT'!AA33,'Comext mensuel - EUROSTAT'!AC33,'Comext mensuel - EUROSTAT'!AE33,'Comext mensuel - EUROSTAT'!AG33,'Comext mensuel - EUROSTAT'!AI33,'Comext mensuel - EUROSTAT'!AK33,'Comext mensuel - EUROSTAT'!AM33,'Comext mensuel - EUROSTAT'!AO33,'Comext mensuel - EUROSTAT'!AQ33,'Comext mensuel - EUROSTAT'!AS33,'Comext mensuel - EUROSTAT'!AU33,'Comext mensuel - EUROSTAT'!AW33)/10^4</f>
        <v>0</v>
      </c>
      <c r="N24" s="509">
        <f>SUM('Comext mensuel - EUROSTAT'!AB33,'Comext mensuel - EUROSTAT'!AD33,'Comext mensuel - EUROSTAT'!AF33,'Comext mensuel - EUROSTAT'!AH33,'Comext mensuel - EUROSTAT'!AJ33,'Comext mensuel - EUROSTAT'!AL33,'Comext mensuel - EUROSTAT'!AN33,'Comext mensuel - EUROSTAT'!AP33,'Comext mensuel - EUROSTAT'!AR33,'Comext mensuel - EUROSTAT'!AT33,'Comext mensuel - EUROSTAT'!AV33,'Comext mensuel - EUROSTAT'!AX33)/10^4</f>
        <v>0</v>
      </c>
      <c r="O24" s="509">
        <f>SUM('Comext mensuel - EUROSTAT'!AY33,'Comext mensuel - EUROSTAT'!BA33,'Comext mensuel - EUROSTAT'!BC33,'Comext mensuel - EUROSTAT'!BE33,'Comext mensuel - EUROSTAT'!BG33,'Comext mensuel - EUROSTAT'!BI33,'Comext mensuel - EUROSTAT'!BK33,'Comext mensuel - EUROSTAT'!BM33,'Comext mensuel - EUROSTAT'!BO33,'Comext mensuel - EUROSTAT'!BQ33,'Comext mensuel - EUROSTAT'!BS33,'Comext mensuel - EUROSTAT'!BU33)/10^4</f>
        <v>0</v>
      </c>
      <c r="P24" s="509">
        <f>SUM('Comext mensuel - EUROSTAT'!AZ33,'Comext mensuel - EUROSTAT'!BB33,'Comext mensuel - EUROSTAT'!BD33,'Comext mensuel - EUROSTAT'!BF33,'Comext mensuel - EUROSTAT'!BH33,'Comext mensuel - EUROSTAT'!BJ33,'Comext mensuel - EUROSTAT'!BL33,'Comext mensuel - EUROSTAT'!BN33,'Comext mensuel - EUROSTAT'!BP33,'Comext mensuel - EUROSTAT'!BR33,'Comext mensuel - EUROSTAT'!BT33,'Comext mensuel - EUROSTAT'!BV33)/10^4</f>
        <v>0</v>
      </c>
    </row>
    <row r="25" spans="1:22">
      <c r="A25" t="s">
        <v>309</v>
      </c>
      <c r="B25" t="s">
        <v>949</v>
      </c>
      <c r="C25" s="693"/>
      <c r="D25" t="str">
        <f>'Comext annuel - EUROSTAT'!B34</f>
        <v>Riz en paille {riz paddy}, étuvé, à grains moyens</v>
      </c>
      <c r="E25" s="86">
        <f>'Comext annuel - EUROSTAT'!C34/10^4</f>
        <v>0.19986900000000002</v>
      </c>
      <c r="F25" s="86">
        <f>'Comext annuel - EUROSTAT'!D34/10^4</f>
        <v>1.41E-3</v>
      </c>
      <c r="G25" s="86" t="e">
        <f>'Comext annuel - EUROSTAT'!E34/10^4</f>
        <v>#VALUE!</v>
      </c>
      <c r="H25" s="86" t="e">
        <f>'Comext annuel - EUROSTAT'!F34/10^4</f>
        <v>#VALUE!</v>
      </c>
      <c r="I25" s="86" t="e">
        <f>'Comext annuel - EUROSTAT'!G34/10^4</f>
        <v>#VALUE!</v>
      </c>
      <c r="J25" s="86" t="e">
        <f>'Comext annuel - EUROSTAT'!H34/10^4</f>
        <v>#VALUE!</v>
      </c>
      <c r="K25" s="509">
        <f>SUM('Comext mensuel - EUROSTAT'!C34,'Comext mensuel - EUROSTAT'!E34,'Comext mensuel - EUROSTAT'!G34,'Comext mensuel - EUROSTAT'!I34,'Comext mensuel - EUROSTAT'!K34,'Comext mensuel - EUROSTAT'!M34,'Comext mensuel - EUROSTAT'!O34,'Comext mensuel - EUROSTAT'!Q34,'Comext mensuel - EUROSTAT'!S34,'Comext mensuel - EUROSTAT'!U34,'Comext mensuel - EUROSTAT'!W34,'Comext mensuel - EUROSTAT'!Y34)/10^4</f>
        <v>0.34162800000000004</v>
      </c>
      <c r="L25" s="509">
        <f>SUM('Comext mensuel - EUROSTAT'!D34,'Comext mensuel - EUROSTAT'!F34,'Comext mensuel - EUROSTAT'!H34,'Comext mensuel - EUROSTAT'!J34,'Comext mensuel - EUROSTAT'!L34,'Comext mensuel - EUROSTAT'!N34,'Comext mensuel - EUROSTAT'!P34,'Comext mensuel - EUROSTAT'!R34,'Comext mensuel - EUROSTAT'!T34,'Comext mensuel - EUROSTAT'!V34,'Comext mensuel - EUROSTAT'!X34,'Comext mensuel - EUROSTAT'!Z34)/10^4</f>
        <v>1.0680000000000002E-3</v>
      </c>
      <c r="M25" s="509">
        <f>SUM('Comext mensuel - EUROSTAT'!AA34,'Comext mensuel - EUROSTAT'!AC34,'Comext mensuel - EUROSTAT'!AE34,'Comext mensuel - EUROSTAT'!AG34,'Comext mensuel - EUROSTAT'!AI34,'Comext mensuel - EUROSTAT'!AK34,'Comext mensuel - EUROSTAT'!AM34,'Comext mensuel - EUROSTAT'!AO34,'Comext mensuel - EUROSTAT'!AQ34,'Comext mensuel - EUROSTAT'!AS34,'Comext mensuel - EUROSTAT'!AU34,'Comext mensuel - EUROSTAT'!AW34)/10^4</f>
        <v>0</v>
      </c>
      <c r="N25" s="509">
        <f>SUM('Comext mensuel - EUROSTAT'!AB34,'Comext mensuel - EUROSTAT'!AD34,'Comext mensuel - EUROSTAT'!AF34,'Comext mensuel - EUROSTAT'!AH34,'Comext mensuel - EUROSTAT'!AJ34,'Comext mensuel - EUROSTAT'!AL34,'Comext mensuel - EUROSTAT'!AN34,'Comext mensuel - EUROSTAT'!AP34,'Comext mensuel - EUROSTAT'!AR34,'Comext mensuel - EUROSTAT'!AT34,'Comext mensuel - EUROSTAT'!AV34,'Comext mensuel - EUROSTAT'!AX34)/10^4</f>
        <v>0</v>
      </c>
      <c r="O25" s="509">
        <f>SUM('Comext mensuel - EUROSTAT'!AY34,'Comext mensuel - EUROSTAT'!BA34,'Comext mensuel - EUROSTAT'!BC34,'Comext mensuel - EUROSTAT'!BE34,'Comext mensuel - EUROSTAT'!BG34,'Comext mensuel - EUROSTAT'!BI34,'Comext mensuel - EUROSTAT'!BK34,'Comext mensuel - EUROSTAT'!BM34,'Comext mensuel - EUROSTAT'!BO34,'Comext mensuel - EUROSTAT'!BQ34,'Comext mensuel - EUROSTAT'!BS34,'Comext mensuel - EUROSTAT'!BU34)/10^4</f>
        <v>0</v>
      </c>
      <c r="P25" s="509">
        <f>SUM('Comext mensuel - EUROSTAT'!AZ34,'Comext mensuel - EUROSTAT'!BB34,'Comext mensuel - EUROSTAT'!BD34,'Comext mensuel - EUROSTAT'!BF34,'Comext mensuel - EUROSTAT'!BH34,'Comext mensuel - EUROSTAT'!BJ34,'Comext mensuel - EUROSTAT'!BL34,'Comext mensuel - EUROSTAT'!BN34,'Comext mensuel - EUROSTAT'!BP34,'Comext mensuel - EUROSTAT'!BR34,'Comext mensuel - EUROSTAT'!BT34,'Comext mensuel - EUROSTAT'!BV34)/10^4</f>
        <v>0</v>
      </c>
    </row>
    <row r="26" spans="1:22">
      <c r="A26" t="s">
        <v>309</v>
      </c>
      <c r="B26" t="s">
        <v>949</v>
      </c>
      <c r="C26" s="693"/>
      <c r="D26" t="str">
        <f>'Comext annuel - EUROSTAT'!B35</f>
        <v>Riz en paille {riz paddy}, étuvé, à grains longs, présentant un rapport longueur/largeur &gt; 2 mais &lt; 3</v>
      </c>
      <c r="E26" s="86" t="e">
        <f>'Comext annuel - EUROSTAT'!C35/10^4</f>
        <v>#VALUE!</v>
      </c>
      <c r="F26" s="86">
        <f>'Comext annuel - EUROSTAT'!D35/10^4</f>
        <v>2.2073560000000003</v>
      </c>
      <c r="G26" s="86" t="e">
        <f>'Comext annuel - EUROSTAT'!E35/10^4</f>
        <v>#VALUE!</v>
      </c>
      <c r="H26" s="86" t="e">
        <f>'Comext annuel - EUROSTAT'!F35/10^4</f>
        <v>#VALUE!</v>
      </c>
      <c r="I26" s="86" t="e">
        <f>'Comext annuel - EUROSTAT'!G35/10^4</f>
        <v>#VALUE!</v>
      </c>
      <c r="J26" s="86" t="e">
        <f>'Comext annuel - EUROSTAT'!H35/10^4</f>
        <v>#VALUE!</v>
      </c>
      <c r="K26" s="509">
        <f>SUM('Comext mensuel - EUROSTAT'!C35,'Comext mensuel - EUROSTAT'!E35,'Comext mensuel - EUROSTAT'!G35,'Comext mensuel - EUROSTAT'!I35,'Comext mensuel - EUROSTAT'!K35,'Comext mensuel - EUROSTAT'!M35,'Comext mensuel - EUROSTAT'!O35,'Comext mensuel - EUROSTAT'!Q35,'Comext mensuel - EUROSTAT'!S35,'Comext mensuel - EUROSTAT'!U35,'Comext mensuel - EUROSTAT'!W35,'Comext mensuel - EUROSTAT'!Y35)/10^4</f>
        <v>0.12</v>
      </c>
      <c r="L26" s="509">
        <f>SUM('Comext mensuel - EUROSTAT'!D35,'Comext mensuel - EUROSTAT'!F35,'Comext mensuel - EUROSTAT'!H35,'Comext mensuel - EUROSTAT'!J35,'Comext mensuel - EUROSTAT'!L35,'Comext mensuel - EUROSTAT'!N35,'Comext mensuel - EUROSTAT'!P35,'Comext mensuel - EUROSTAT'!R35,'Comext mensuel - EUROSTAT'!T35,'Comext mensuel - EUROSTAT'!V35,'Comext mensuel - EUROSTAT'!X35,'Comext mensuel - EUROSTAT'!Z35)/10^4</f>
        <v>4.4965599999999997</v>
      </c>
      <c r="M26" s="509">
        <f>SUM('Comext mensuel - EUROSTAT'!AA35,'Comext mensuel - EUROSTAT'!AC35,'Comext mensuel - EUROSTAT'!AE35,'Comext mensuel - EUROSTAT'!AG35,'Comext mensuel - EUROSTAT'!AI35,'Comext mensuel - EUROSTAT'!AK35,'Comext mensuel - EUROSTAT'!AM35,'Comext mensuel - EUROSTAT'!AO35,'Comext mensuel - EUROSTAT'!AQ35,'Comext mensuel - EUROSTAT'!AS35,'Comext mensuel - EUROSTAT'!AU35,'Comext mensuel - EUROSTAT'!AW35)/10^4</f>
        <v>0</v>
      </c>
      <c r="N26" s="509">
        <f>SUM('Comext mensuel - EUROSTAT'!AB35,'Comext mensuel - EUROSTAT'!AD35,'Comext mensuel - EUROSTAT'!AF35,'Comext mensuel - EUROSTAT'!AH35,'Comext mensuel - EUROSTAT'!AJ35,'Comext mensuel - EUROSTAT'!AL35,'Comext mensuel - EUROSTAT'!AN35,'Comext mensuel - EUROSTAT'!AP35,'Comext mensuel - EUROSTAT'!AR35,'Comext mensuel - EUROSTAT'!AT35,'Comext mensuel - EUROSTAT'!AV35,'Comext mensuel - EUROSTAT'!AX35)/10^4</f>
        <v>0</v>
      </c>
      <c r="O26" s="509">
        <f>SUM('Comext mensuel - EUROSTAT'!AY35,'Comext mensuel - EUROSTAT'!BA35,'Comext mensuel - EUROSTAT'!BC35,'Comext mensuel - EUROSTAT'!BE35,'Comext mensuel - EUROSTAT'!BG35,'Comext mensuel - EUROSTAT'!BI35,'Comext mensuel - EUROSTAT'!BK35,'Comext mensuel - EUROSTAT'!BM35,'Comext mensuel - EUROSTAT'!BO35,'Comext mensuel - EUROSTAT'!BQ35,'Comext mensuel - EUROSTAT'!BS35,'Comext mensuel - EUROSTAT'!BU35)/10^4</f>
        <v>0</v>
      </c>
      <c r="P26" s="509">
        <f>SUM('Comext mensuel - EUROSTAT'!AZ35,'Comext mensuel - EUROSTAT'!BB35,'Comext mensuel - EUROSTAT'!BD35,'Comext mensuel - EUROSTAT'!BF35,'Comext mensuel - EUROSTAT'!BH35,'Comext mensuel - EUROSTAT'!BJ35,'Comext mensuel - EUROSTAT'!BL35,'Comext mensuel - EUROSTAT'!BN35,'Comext mensuel - EUROSTAT'!BP35,'Comext mensuel - EUROSTAT'!BR35,'Comext mensuel - EUROSTAT'!BT35,'Comext mensuel - EUROSTAT'!BV35)/10^4</f>
        <v>0</v>
      </c>
    </row>
    <row r="27" spans="1:22">
      <c r="A27" t="s">
        <v>309</v>
      </c>
      <c r="B27" t="s">
        <v>949</v>
      </c>
      <c r="C27" s="693"/>
      <c r="D27" t="str">
        <f>'Comext annuel - EUROSTAT'!B36</f>
        <v>Riz en paille {riz paddy}, étuvé, à grains longs, présentant un rapport longueur/largeur &gt;= 3</v>
      </c>
      <c r="E27" s="86" t="e">
        <f>'Comext annuel - EUROSTAT'!C36/10^4</f>
        <v>#VALUE!</v>
      </c>
      <c r="F27" s="86">
        <f>'Comext annuel - EUROSTAT'!D36/10^4</f>
        <v>7.2000000000000002E-5</v>
      </c>
      <c r="G27" s="86" t="e">
        <f>'Comext annuel - EUROSTAT'!E36/10^4</f>
        <v>#VALUE!</v>
      </c>
      <c r="H27" s="86" t="e">
        <f>'Comext annuel - EUROSTAT'!F36/10^4</f>
        <v>#VALUE!</v>
      </c>
      <c r="I27" s="86" t="e">
        <f>'Comext annuel - EUROSTAT'!G36/10^4</f>
        <v>#VALUE!</v>
      </c>
      <c r="J27" s="86" t="e">
        <f>'Comext annuel - EUROSTAT'!H36/10^4</f>
        <v>#VALUE!</v>
      </c>
      <c r="K27" s="509">
        <f>SUM('Comext mensuel - EUROSTAT'!C36,'Comext mensuel - EUROSTAT'!E36,'Comext mensuel - EUROSTAT'!G36,'Comext mensuel - EUROSTAT'!I36,'Comext mensuel - EUROSTAT'!K36,'Comext mensuel - EUROSTAT'!M36,'Comext mensuel - EUROSTAT'!O36,'Comext mensuel - EUROSTAT'!Q36,'Comext mensuel - EUROSTAT'!S36,'Comext mensuel - EUROSTAT'!U36,'Comext mensuel - EUROSTAT'!W36,'Comext mensuel - EUROSTAT'!Y36)/10^4</f>
        <v>1.2E-5</v>
      </c>
      <c r="L27" s="509">
        <f>SUM('Comext mensuel - EUROSTAT'!D36,'Comext mensuel - EUROSTAT'!F36,'Comext mensuel - EUROSTAT'!H36,'Comext mensuel - EUROSTAT'!J36,'Comext mensuel - EUROSTAT'!L36,'Comext mensuel - EUROSTAT'!N36,'Comext mensuel - EUROSTAT'!P36,'Comext mensuel - EUROSTAT'!R36,'Comext mensuel - EUROSTAT'!T36,'Comext mensuel - EUROSTAT'!V36,'Comext mensuel - EUROSTAT'!X36,'Comext mensuel - EUROSTAT'!Z36)/10^4</f>
        <v>3.3000000000000003E-5</v>
      </c>
      <c r="M27" s="509">
        <f>SUM('Comext mensuel - EUROSTAT'!AA36,'Comext mensuel - EUROSTAT'!AC36,'Comext mensuel - EUROSTAT'!AE36,'Comext mensuel - EUROSTAT'!AG36,'Comext mensuel - EUROSTAT'!AI36,'Comext mensuel - EUROSTAT'!AK36,'Comext mensuel - EUROSTAT'!AM36,'Comext mensuel - EUROSTAT'!AO36,'Comext mensuel - EUROSTAT'!AQ36,'Comext mensuel - EUROSTAT'!AS36,'Comext mensuel - EUROSTAT'!AU36,'Comext mensuel - EUROSTAT'!AW36)/10^4</f>
        <v>0</v>
      </c>
      <c r="N27" s="509">
        <f>SUM('Comext mensuel - EUROSTAT'!AB36,'Comext mensuel - EUROSTAT'!AD36,'Comext mensuel - EUROSTAT'!AF36,'Comext mensuel - EUROSTAT'!AH36,'Comext mensuel - EUROSTAT'!AJ36,'Comext mensuel - EUROSTAT'!AL36,'Comext mensuel - EUROSTAT'!AN36,'Comext mensuel - EUROSTAT'!AP36,'Comext mensuel - EUROSTAT'!AR36,'Comext mensuel - EUROSTAT'!AT36,'Comext mensuel - EUROSTAT'!AV36,'Comext mensuel - EUROSTAT'!AX36)/10^4</f>
        <v>0</v>
      </c>
      <c r="O27" s="509">
        <f>SUM('Comext mensuel - EUROSTAT'!AY36,'Comext mensuel - EUROSTAT'!BA36,'Comext mensuel - EUROSTAT'!BC36,'Comext mensuel - EUROSTAT'!BE36,'Comext mensuel - EUROSTAT'!BG36,'Comext mensuel - EUROSTAT'!BI36,'Comext mensuel - EUROSTAT'!BK36,'Comext mensuel - EUROSTAT'!BM36,'Comext mensuel - EUROSTAT'!BO36,'Comext mensuel - EUROSTAT'!BQ36,'Comext mensuel - EUROSTAT'!BS36,'Comext mensuel - EUROSTAT'!BU36)/10^4</f>
        <v>0</v>
      </c>
      <c r="P27" s="509">
        <f>SUM('Comext mensuel - EUROSTAT'!AZ36,'Comext mensuel - EUROSTAT'!BB36,'Comext mensuel - EUROSTAT'!BD36,'Comext mensuel - EUROSTAT'!BF36,'Comext mensuel - EUROSTAT'!BH36,'Comext mensuel - EUROSTAT'!BJ36,'Comext mensuel - EUROSTAT'!BL36,'Comext mensuel - EUROSTAT'!BN36,'Comext mensuel - EUROSTAT'!BP36,'Comext mensuel - EUROSTAT'!BR36,'Comext mensuel - EUROSTAT'!BT36,'Comext mensuel - EUROSTAT'!BV36)/10^4</f>
        <v>0</v>
      </c>
    </row>
    <row r="28" spans="1:22" ht="14.4" customHeight="1">
      <c r="A28" t="s">
        <v>309</v>
      </c>
      <c r="B28" t="s">
        <v>949</v>
      </c>
      <c r="C28" s="693"/>
      <c r="D28" t="str">
        <f>'Comext annuel - EUROSTAT'!B37</f>
        <v>Riz en paille, à grains ronds</v>
      </c>
      <c r="E28" s="86" t="e">
        <f>'Comext annuel - EUROSTAT'!C37/10^4</f>
        <v>#VALUE!</v>
      </c>
      <c r="F28" s="86" t="e">
        <f>'Comext annuel - EUROSTAT'!D37/10^4</f>
        <v>#VALUE!</v>
      </c>
      <c r="G28" s="86">
        <f>'Comext annuel - EUROSTAT'!E37/10^4</f>
        <v>0.61904999999999999</v>
      </c>
      <c r="H28" s="86">
        <f>'Comext annuel - EUROSTAT'!F37/10^4</f>
        <v>5.6894200000000001</v>
      </c>
      <c r="I28" s="86">
        <f>'Comext annuel - EUROSTAT'!G37/10^4</f>
        <v>0.72128700000000001</v>
      </c>
      <c r="J28" s="86">
        <f>'Comext annuel - EUROSTAT'!H37/10^4</f>
        <v>0.53213699999999997</v>
      </c>
      <c r="K28" s="509">
        <f>SUM('Comext mensuel - EUROSTAT'!C37,'Comext mensuel - EUROSTAT'!E37,'Comext mensuel - EUROSTAT'!G37,'Comext mensuel - EUROSTAT'!I37,'Comext mensuel - EUROSTAT'!K37,'Comext mensuel - EUROSTAT'!M37,'Comext mensuel - EUROSTAT'!O37,'Comext mensuel - EUROSTAT'!Q37,'Comext mensuel - EUROSTAT'!S37,'Comext mensuel - EUROSTAT'!U37,'Comext mensuel - EUROSTAT'!W37,'Comext mensuel - EUROSTAT'!Y37)/10^4</f>
        <v>0</v>
      </c>
      <c r="L28" s="509">
        <f>SUM('Comext mensuel - EUROSTAT'!D37,'Comext mensuel - EUROSTAT'!F37,'Comext mensuel - EUROSTAT'!H37,'Comext mensuel - EUROSTAT'!J37,'Comext mensuel - EUROSTAT'!L37,'Comext mensuel - EUROSTAT'!N37,'Comext mensuel - EUROSTAT'!P37,'Comext mensuel - EUROSTAT'!R37,'Comext mensuel - EUROSTAT'!T37,'Comext mensuel - EUROSTAT'!V37,'Comext mensuel - EUROSTAT'!X37,'Comext mensuel - EUROSTAT'!Z37)/10^4</f>
        <v>0</v>
      </c>
      <c r="M28" s="509">
        <f>SUM('Comext mensuel - EUROSTAT'!AA37,'Comext mensuel - EUROSTAT'!AC37,'Comext mensuel - EUROSTAT'!AE37,'Comext mensuel - EUROSTAT'!AG37,'Comext mensuel - EUROSTAT'!AI37,'Comext mensuel - EUROSTAT'!AK37,'Comext mensuel - EUROSTAT'!AM37,'Comext mensuel - EUROSTAT'!AO37,'Comext mensuel - EUROSTAT'!AQ37,'Comext mensuel - EUROSTAT'!AS37,'Comext mensuel - EUROSTAT'!AU37,'Comext mensuel - EUROSTAT'!AW37)/10^4</f>
        <v>0.74860400000000005</v>
      </c>
      <c r="N28" s="509">
        <f>SUM('Comext mensuel - EUROSTAT'!AB37,'Comext mensuel - EUROSTAT'!AD37,'Comext mensuel - EUROSTAT'!AF37,'Comext mensuel - EUROSTAT'!AH37,'Comext mensuel - EUROSTAT'!AJ37,'Comext mensuel - EUROSTAT'!AL37,'Comext mensuel - EUROSTAT'!AN37,'Comext mensuel - EUROSTAT'!AP37,'Comext mensuel - EUROSTAT'!AR37,'Comext mensuel - EUROSTAT'!AT37,'Comext mensuel - EUROSTAT'!AV37,'Comext mensuel - EUROSTAT'!AX37)/10^4</f>
        <v>6.0657249999999996</v>
      </c>
      <c r="O28" s="509">
        <f>SUM('Comext mensuel - EUROSTAT'!AY37,'Comext mensuel - EUROSTAT'!BA37,'Comext mensuel - EUROSTAT'!BC37,'Comext mensuel - EUROSTAT'!BE37,'Comext mensuel - EUROSTAT'!BG37,'Comext mensuel - EUROSTAT'!BI37,'Comext mensuel - EUROSTAT'!BK37,'Comext mensuel - EUROSTAT'!BM37,'Comext mensuel - EUROSTAT'!BO37,'Comext mensuel - EUROSTAT'!BQ37,'Comext mensuel - EUROSTAT'!BS37,'Comext mensuel - EUROSTAT'!BU37)/10^4</f>
        <v>1.4547029999999999</v>
      </c>
      <c r="P28" s="509">
        <f>SUM('Comext mensuel - EUROSTAT'!AZ37,'Comext mensuel - EUROSTAT'!BB37,'Comext mensuel - EUROSTAT'!BD37,'Comext mensuel - EUROSTAT'!BF37,'Comext mensuel - EUROSTAT'!BH37,'Comext mensuel - EUROSTAT'!BJ37,'Comext mensuel - EUROSTAT'!BL37,'Comext mensuel - EUROSTAT'!BN37,'Comext mensuel - EUROSTAT'!BP37,'Comext mensuel - EUROSTAT'!BR37,'Comext mensuel - EUROSTAT'!BT37,'Comext mensuel - EUROSTAT'!BV37)/10^4</f>
        <v>4.4250069999999999</v>
      </c>
    </row>
    <row r="29" spans="1:22">
      <c r="A29" t="s">
        <v>309</v>
      </c>
      <c r="B29" t="s">
        <v>949</v>
      </c>
      <c r="C29" s="693"/>
      <c r="D29" t="str">
        <f>'Comext annuel - EUROSTAT'!B38</f>
        <v>Riz en paille, à grains moyens</v>
      </c>
      <c r="E29" s="86" t="e">
        <f>'Comext annuel - EUROSTAT'!C38/10^4</f>
        <v>#VALUE!</v>
      </c>
      <c r="F29" s="86" t="e">
        <f>'Comext annuel - EUROSTAT'!D38/10^4</f>
        <v>#VALUE!</v>
      </c>
      <c r="G29" s="86">
        <f>'Comext annuel - EUROSTAT'!E38/10^4</f>
        <v>5.9204999999999994E-2</v>
      </c>
      <c r="H29" s="86">
        <f>'Comext annuel - EUROSTAT'!F38/10^4</f>
        <v>5.5999999999999995E-4</v>
      </c>
      <c r="I29" s="86">
        <f>'Comext annuel - EUROSTAT'!G38/10^4</f>
        <v>3.6150000000000002E-2</v>
      </c>
      <c r="J29" s="86">
        <f>'Comext annuel - EUROSTAT'!H38/10^4</f>
        <v>4.0000000000000003E-5</v>
      </c>
      <c r="K29" s="509">
        <f>SUM('Comext mensuel - EUROSTAT'!C38,'Comext mensuel - EUROSTAT'!E38,'Comext mensuel - EUROSTAT'!G38,'Comext mensuel - EUROSTAT'!I38,'Comext mensuel - EUROSTAT'!K38,'Comext mensuel - EUROSTAT'!M38,'Comext mensuel - EUROSTAT'!O38,'Comext mensuel - EUROSTAT'!Q38,'Comext mensuel - EUROSTAT'!S38,'Comext mensuel - EUROSTAT'!U38,'Comext mensuel - EUROSTAT'!W38,'Comext mensuel - EUROSTAT'!Y38)/10^4</f>
        <v>0</v>
      </c>
      <c r="L29" s="509">
        <f>SUM('Comext mensuel - EUROSTAT'!D38,'Comext mensuel - EUROSTAT'!F38,'Comext mensuel - EUROSTAT'!H38,'Comext mensuel - EUROSTAT'!J38,'Comext mensuel - EUROSTAT'!L38,'Comext mensuel - EUROSTAT'!N38,'Comext mensuel - EUROSTAT'!P38,'Comext mensuel - EUROSTAT'!R38,'Comext mensuel - EUROSTAT'!T38,'Comext mensuel - EUROSTAT'!V38,'Comext mensuel - EUROSTAT'!X38,'Comext mensuel - EUROSTAT'!Z38)/10^4</f>
        <v>0</v>
      </c>
      <c r="M29" s="509">
        <f>SUM('Comext mensuel - EUROSTAT'!AA38,'Comext mensuel - EUROSTAT'!AC38,'Comext mensuel - EUROSTAT'!AE38,'Comext mensuel - EUROSTAT'!AG38,'Comext mensuel - EUROSTAT'!AI38,'Comext mensuel - EUROSTAT'!AK38,'Comext mensuel - EUROSTAT'!AM38,'Comext mensuel - EUROSTAT'!AO38,'Comext mensuel - EUROSTAT'!AQ38,'Comext mensuel - EUROSTAT'!AS38,'Comext mensuel - EUROSTAT'!AU38,'Comext mensuel - EUROSTAT'!AW38)/10^4</f>
        <v>0.102699</v>
      </c>
      <c r="N29" s="509">
        <f>SUM('Comext mensuel - EUROSTAT'!AB38,'Comext mensuel - EUROSTAT'!AD38,'Comext mensuel - EUROSTAT'!AF38,'Comext mensuel - EUROSTAT'!AH38,'Comext mensuel - EUROSTAT'!AJ38,'Comext mensuel - EUROSTAT'!AL38,'Comext mensuel - EUROSTAT'!AN38,'Comext mensuel - EUROSTAT'!AP38,'Comext mensuel - EUROSTAT'!AR38,'Comext mensuel - EUROSTAT'!AT38,'Comext mensuel - EUROSTAT'!AV38,'Comext mensuel - EUROSTAT'!AX38)/10^4</f>
        <v>2.0000000000000001E-4</v>
      </c>
      <c r="O29" s="509">
        <f>SUM('Comext mensuel - EUROSTAT'!AY38,'Comext mensuel - EUROSTAT'!BA38,'Comext mensuel - EUROSTAT'!BC38,'Comext mensuel - EUROSTAT'!BE38,'Comext mensuel - EUROSTAT'!BG38,'Comext mensuel - EUROSTAT'!BI38,'Comext mensuel - EUROSTAT'!BK38,'Comext mensuel - EUROSTAT'!BM38,'Comext mensuel - EUROSTAT'!BO38,'Comext mensuel - EUROSTAT'!BQ38,'Comext mensuel - EUROSTAT'!BS38,'Comext mensuel - EUROSTAT'!BU38)/10^4</f>
        <v>3.2050000000000009E-2</v>
      </c>
      <c r="P29" s="509">
        <f>SUM('Comext mensuel - EUROSTAT'!AZ38,'Comext mensuel - EUROSTAT'!BB38,'Comext mensuel - EUROSTAT'!BD38,'Comext mensuel - EUROSTAT'!BF38,'Comext mensuel - EUROSTAT'!BH38,'Comext mensuel - EUROSTAT'!BJ38,'Comext mensuel - EUROSTAT'!BL38,'Comext mensuel - EUROSTAT'!BN38,'Comext mensuel - EUROSTAT'!BP38,'Comext mensuel - EUROSTAT'!BR38,'Comext mensuel - EUROSTAT'!BT38,'Comext mensuel - EUROSTAT'!BV38)/10^4</f>
        <v>2.31E-4</v>
      </c>
    </row>
    <row r="30" spans="1:22">
      <c r="A30" t="s">
        <v>309</v>
      </c>
      <c r="B30" t="s">
        <v>949</v>
      </c>
      <c r="C30" s="693"/>
      <c r="D30" t="str">
        <f>'Comext annuel - EUROSTAT'!B39</f>
        <v>Riz en paille, à grains longs, présentant un rapport longueur/largeur &gt; 2 mais &lt; 3</v>
      </c>
      <c r="E30" s="86" t="e">
        <f>'Comext annuel - EUROSTAT'!C39/10^4</f>
        <v>#VALUE!</v>
      </c>
      <c r="F30" s="86" t="e">
        <f>'Comext annuel - EUROSTAT'!D39/10^4</f>
        <v>#VALUE!</v>
      </c>
      <c r="G30" s="86">
        <f>'Comext annuel - EUROSTAT'!E39/10^4</f>
        <v>0.47474499999999997</v>
      </c>
      <c r="H30" s="86">
        <f>'Comext annuel - EUROSTAT'!F39/10^4</f>
        <v>4.5794519999999999</v>
      </c>
      <c r="I30" s="86">
        <f>'Comext annuel - EUROSTAT'!G39/10^4</f>
        <v>0.30237800000000004</v>
      </c>
      <c r="J30" s="86">
        <f>'Comext annuel - EUROSTAT'!H39/10^4</f>
        <v>0.95132000000000005</v>
      </c>
      <c r="K30" s="509">
        <f>SUM('Comext mensuel - EUROSTAT'!C39,'Comext mensuel - EUROSTAT'!E39,'Comext mensuel - EUROSTAT'!G39,'Comext mensuel - EUROSTAT'!I39,'Comext mensuel - EUROSTAT'!K39,'Comext mensuel - EUROSTAT'!M39,'Comext mensuel - EUROSTAT'!O39,'Comext mensuel - EUROSTAT'!Q39,'Comext mensuel - EUROSTAT'!S39,'Comext mensuel - EUROSTAT'!U39,'Comext mensuel - EUROSTAT'!W39,'Comext mensuel - EUROSTAT'!Y39)/10^4</f>
        <v>0</v>
      </c>
      <c r="L30" s="509">
        <f>SUM('Comext mensuel - EUROSTAT'!D39,'Comext mensuel - EUROSTAT'!F39,'Comext mensuel - EUROSTAT'!H39,'Comext mensuel - EUROSTAT'!J39,'Comext mensuel - EUROSTAT'!L39,'Comext mensuel - EUROSTAT'!N39,'Comext mensuel - EUROSTAT'!P39,'Comext mensuel - EUROSTAT'!R39,'Comext mensuel - EUROSTAT'!T39,'Comext mensuel - EUROSTAT'!V39,'Comext mensuel - EUROSTAT'!X39,'Comext mensuel - EUROSTAT'!Z39)/10^4</f>
        <v>0</v>
      </c>
      <c r="M30" s="509">
        <f>SUM('Comext mensuel - EUROSTAT'!AA39,'Comext mensuel - EUROSTAT'!AC39,'Comext mensuel - EUROSTAT'!AE39,'Comext mensuel - EUROSTAT'!AG39,'Comext mensuel - EUROSTAT'!AI39,'Comext mensuel - EUROSTAT'!AK39,'Comext mensuel - EUROSTAT'!AM39,'Comext mensuel - EUROSTAT'!AO39,'Comext mensuel - EUROSTAT'!AQ39,'Comext mensuel - EUROSTAT'!AS39,'Comext mensuel - EUROSTAT'!AU39,'Comext mensuel - EUROSTAT'!AW39)/10^4</f>
        <v>0.62278999999999995</v>
      </c>
      <c r="N30" s="509">
        <f>SUM('Comext mensuel - EUROSTAT'!AB39,'Comext mensuel - EUROSTAT'!AD39,'Comext mensuel - EUROSTAT'!AF39,'Comext mensuel - EUROSTAT'!AH39,'Comext mensuel - EUROSTAT'!AJ39,'Comext mensuel - EUROSTAT'!AL39,'Comext mensuel - EUROSTAT'!AN39,'Comext mensuel - EUROSTAT'!AP39,'Comext mensuel - EUROSTAT'!AR39,'Comext mensuel - EUROSTAT'!AT39,'Comext mensuel - EUROSTAT'!AV39,'Comext mensuel - EUROSTAT'!AX39)/10^4</f>
        <v>2.1378069999999996</v>
      </c>
      <c r="O30" s="509">
        <f>SUM('Comext mensuel - EUROSTAT'!AY39,'Comext mensuel - EUROSTAT'!BA39,'Comext mensuel - EUROSTAT'!BC39,'Comext mensuel - EUROSTAT'!BE39,'Comext mensuel - EUROSTAT'!BG39,'Comext mensuel - EUROSTAT'!BI39,'Comext mensuel - EUROSTAT'!BK39,'Comext mensuel - EUROSTAT'!BM39,'Comext mensuel - EUROSTAT'!BO39,'Comext mensuel - EUROSTAT'!BQ39,'Comext mensuel - EUROSTAT'!BS39,'Comext mensuel - EUROSTAT'!BU39)/10^4</f>
        <v>0.291132</v>
      </c>
      <c r="P30" s="509">
        <f>SUM('Comext mensuel - EUROSTAT'!AZ39,'Comext mensuel - EUROSTAT'!BB39,'Comext mensuel - EUROSTAT'!BD39,'Comext mensuel - EUROSTAT'!BF39,'Comext mensuel - EUROSTAT'!BH39,'Comext mensuel - EUROSTAT'!BJ39,'Comext mensuel - EUROSTAT'!BL39,'Comext mensuel - EUROSTAT'!BN39,'Comext mensuel - EUROSTAT'!BP39,'Comext mensuel - EUROSTAT'!BR39,'Comext mensuel - EUROSTAT'!BT39,'Comext mensuel - EUROSTAT'!BV39)/10^4</f>
        <v>1.662752</v>
      </c>
    </row>
    <row r="31" spans="1:22">
      <c r="A31" t="s">
        <v>309</v>
      </c>
      <c r="B31" t="s">
        <v>949</v>
      </c>
      <c r="C31" s="693"/>
      <c r="D31" t="str">
        <f>'Comext annuel - EUROSTAT'!B40</f>
        <v>Riz en paille, à grains longs, présentant un rapport longueur/largeur &gt;= 3</v>
      </c>
      <c r="E31" s="86" t="e">
        <f>'Comext annuel - EUROSTAT'!C40/10^4</f>
        <v>#VALUE!</v>
      </c>
      <c r="F31" s="86" t="e">
        <f>'Comext annuel - EUROSTAT'!D40/10^4</f>
        <v>#VALUE!</v>
      </c>
      <c r="G31" s="86">
        <f>'Comext annuel - EUROSTAT'!E40/10^4</f>
        <v>7.6752119999999993</v>
      </c>
      <c r="H31" s="86">
        <f>'Comext annuel - EUROSTAT'!F40/10^4</f>
        <v>1.4789999999999998E-3</v>
      </c>
      <c r="I31" s="86">
        <f>'Comext annuel - EUROSTAT'!G40/10^4</f>
        <v>0.63273699999999999</v>
      </c>
      <c r="J31" s="86">
        <f>'Comext annuel - EUROSTAT'!H40/10^4</f>
        <v>5.4710000000000002E-2</v>
      </c>
      <c r="K31" s="509">
        <f>SUM('Comext mensuel - EUROSTAT'!C40,'Comext mensuel - EUROSTAT'!E40,'Comext mensuel - EUROSTAT'!G40,'Comext mensuel - EUROSTAT'!I40,'Comext mensuel - EUROSTAT'!K40,'Comext mensuel - EUROSTAT'!M40,'Comext mensuel - EUROSTAT'!O40,'Comext mensuel - EUROSTAT'!Q40,'Comext mensuel - EUROSTAT'!S40,'Comext mensuel - EUROSTAT'!U40,'Comext mensuel - EUROSTAT'!W40,'Comext mensuel - EUROSTAT'!Y40)/10^4</f>
        <v>0</v>
      </c>
      <c r="L31" s="509">
        <f>SUM('Comext mensuel - EUROSTAT'!D40,'Comext mensuel - EUROSTAT'!F40,'Comext mensuel - EUROSTAT'!H40,'Comext mensuel - EUROSTAT'!J40,'Comext mensuel - EUROSTAT'!L40,'Comext mensuel - EUROSTAT'!N40,'Comext mensuel - EUROSTAT'!P40,'Comext mensuel - EUROSTAT'!R40,'Comext mensuel - EUROSTAT'!T40,'Comext mensuel - EUROSTAT'!V40,'Comext mensuel - EUROSTAT'!X40,'Comext mensuel - EUROSTAT'!Z40)/10^4</f>
        <v>0</v>
      </c>
      <c r="M31" s="509">
        <f>SUM('Comext mensuel - EUROSTAT'!AA40,'Comext mensuel - EUROSTAT'!AC40,'Comext mensuel - EUROSTAT'!AE40,'Comext mensuel - EUROSTAT'!AG40,'Comext mensuel - EUROSTAT'!AI40,'Comext mensuel - EUROSTAT'!AK40,'Comext mensuel - EUROSTAT'!AM40,'Comext mensuel - EUROSTAT'!AO40,'Comext mensuel - EUROSTAT'!AQ40,'Comext mensuel - EUROSTAT'!AS40,'Comext mensuel - EUROSTAT'!AU40,'Comext mensuel - EUROSTAT'!AW40)/10^4</f>
        <v>13.197455</v>
      </c>
      <c r="N31" s="509">
        <f>SUM('Comext mensuel - EUROSTAT'!AB40,'Comext mensuel - EUROSTAT'!AD40,'Comext mensuel - EUROSTAT'!AF40,'Comext mensuel - EUROSTAT'!AH40,'Comext mensuel - EUROSTAT'!AJ40,'Comext mensuel - EUROSTAT'!AL40,'Comext mensuel - EUROSTAT'!AN40,'Comext mensuel - EUROSTAT'!AP40,'Comext mensuel - EUROSTAT'!AR40,'Comext mensuel - EUROSTAT'!AT40,'Comext mensuel - EUROSTAT'!AV40,'Comext mensuel - EUROSTAT'!AX40)/10^4</f>
        <v>1.4610000000000001E-3</v>
      </c>
      <c r="O31" s="509">
        <f>SUM('Comext mensuel - EUROSTAT'!AY40,'Comext mensuel - EUROSTAT'!BA40,'Comext mensuel - EUROSTAT'!BC40,'Comext mensuel - EUROSTAT'!BE40,'Comext mensuel - EUROSTAT'!BG40,'Comext mensuel - EUROSTAT'!BI40,'Comext mensuel - EUROSTAT'!BK40,'Comext mensuel - EUROSTAT'!BM40,'Comext mensuel - EUROSTAT'!BO40,'Comext mensuel - EUROSTAT'!BQ40,'Comext mensuel - EUROSTAT'!BS40,'Comext mensuel - EUROSTAT'!BU40)/10^4</f>
        <v>0.36991400000000002</v>
      </c>
      <c r="P31" s="509">
        <f>SUM('Comext mensuel - EUROSTAT'!AZ40,'Comext mensuel - EUROSTAT'!BB40,'Comext mensuel - EUROSTAT'!BD40,'Comext mensuel - EUROSTAT'!BF40,'Comext mensuel - EUROSTAT'!BH40,'Comext mensuel - EUROSTAT'!BJ40,'Comext mensuel - EUROSTAT'!BL40,'Comext mensuel - EUROSTAT'!BN40,'Comext mensuel - EUROSTAT'!BP40,'Comext mensuel - EUROSTAT'!BR40,'Comext mensuel - EUROSTAT'!BT40,'Comext mensuel - EUROSTAT'!BV40)/10^4</f>
        <v>5.4691999999999984E-2</v>
      </c>
    </row>
    <row r="32" spans="1:22">
      <c r="A32" t="s">
        <v>309</v>
      </c>
      <c r="B32" t="s">
        <v>949</v>
      </c>
      <c r="C32" s="693"/>
      <c r="D32" t="str">
        <f>'Comext annuel - EUROSTAT'!B41</f>
        <v>Riz en paille (sauf à grains ronds, moyens ou longs)</v>
      </c>
      <c r="E32" s="86" t="e">
        <f>'Comext annuel - EUROSTAT'!C41/10^4</f>
        <v>#VALUE!</v>
      </c>
      <c r="F32" s="86" t="e">
        <f>'Comext annuel - EUROSTAT'!D41/10^4</f>
        <v>#VALUE!</v>
      </c>
      <c r="G32" s="86" t="e">
        <f>'Comext annuel - EUROSTAT'!E41/10^4</f>
        <v>#VALUE!</v>
      </c>
      <c r="H32" s="86" t="e">
        <f>'Comext annuel - EUROSTAT'!F41/10^4</f>
        <v>#VALUE!</v>
      </c>
      <c r="I32" s="86">
        <f>'Comext annuel - EUROSTAT'!G41/10^4</f>
        <v>2.1180000000000001E-3</v>
      </c>
      <c r="J32" s="86">
        <f>'Comext annuel - EUROSTAT'!H41/10^4</f>
        <v>4.3490000000000004E-3</v>
      </c>
      <c r="K32" s="509">
        <f>SUM('Comext mensuel - EUROSTAT'!C41,'Comext mensuel - EUROSTAT'!E41,'Comext mensuel - EUROSTAT'!G41,'Comext mensuel - EUROSTAT'!I41,'Comext mensuel - EUROSTAT'!K41,'Comext mensuel - EUROSTAT'!M41,'Comext mensuel - EUROSTAT'!O41,'Comext mensuel - EUROSTAT'!Q41,'Comext mensuel - EUROSTAT'!S41,'Comext mensuel - EUROSTAT'!U41,'Comext mensuel - EUROSTAT'!W41,'Comext mensuel - EUROSTAT'!Y41)/10^4</f>
        <v>0</v>
      </c>
      <c r="L32" s="509">
        <f>SUM('Comext mensuel - EUROSTAT'!D41,'Comext mensuel - EUROSTAT'!F41,'Comext mensuel - EUROSTAT'!H41,'Comext mensuel - EUROSTAT'!J41,'Comext mensuel - EUROSTAT'!L41,'Comext mensuel - EUROSTAT'!N41,'Comext mensuel - EUROSTAT'!P41,'Comext mensuel - EUROSTAT'!R41,'Comext mensuel - EUROSTAT'!T41,'Comext mensuel - EUROSTAT'!V41,'Comext mensuel - EUROSTAT'!X41,'Comext mensuel - EUROSTAT'!Z41)/10^4</f>
        <v>0</v>
      </c>
      <c r="M32" s="509">
        <f>SUM('Comext mensuel - EUROSTAT'!AA41,'Comext mensuel - EUROSTAT'!AC41,'Comext mensuel - EUROSTAT'!AE41,'Comext mensuel - EUROSTAT'!AG41,'Comext mensuel - EUROSTAT'!AI41,'Comext mensuel - EUROSTAT'!AK41,'Comext mensuel - EUROSTAT'!AM41,'Comext mensuel - EUROSTAT'!AO41,'Comext mensuel - EUROSTAT'!AQ41,'Comext mensuel - EUROSTAT'!AS41,'Comext mensuel - EUROSTAT'!AU41,'Comext mensuel - EUROSTAT'!AW41)/10^4</f>
        <v>0</v>
      </c>
      <c r="N32" s="509">
        <f>SUM('Comext mensuel - EUROSTAT'!AB41,'Comext mensuel - EUROSTAT'!AD41,'Comext mensuel - EUROSTAT'!AF41,'Comext mensuel - EUROSTAT'!AH41,'Comext mensuel - EUROSTAT'!AJ41,'Comext mensuel - EUROSTAT'!AL41,'Comext mensuel - EUROSTAT'!AN41,'Comext mensuel - EUROSTAT'!AP41,'Comext mensuel - EUROSTAT'!AR41,'Comext mensuel - EUROSTAT'!AT41,'Comext mensuel - EUROSTAT'!AV41,'Comext mensuel - EUROSTAT'!AX41)/10^4</f>
        <v>0</v>
      </c>
      <c r="O32" s="509">
        <f>SUM('Comext mensuel - EUROSTAT'!AY41,'Comext mensuel - EUROSTAT'!BA41,'Comext mensuel - EUROSTAT'!BC41,'Comext mensuel - EUROSTAT'!BE41,'Comext mensuel - EUROSTAT'!BG41,'Comext mensuel - EUROSTAT'!BI41,'Comext mensuel - EUROSTAT'!BK41,'Comext mensuel - EUROSTAT'!BM41,'Comext mensuel - EUROSTAT'!BO41,'Comext mensuel - EUROSTAT'!BQ41,'Comext mensuel - EUROSTAT'!BS41,'Comext mensuel - EUROSTAT'!BU41)/10^4</f>
        <v>1.1669999999999999E-3</v>
      </c>
      <c r="P32" s="509">
        <f>SUM('Comext mensuel - EUROSTAT'!AZ41,'Comext mensuel - EUROSTAT'!BB41,'Comext mensuel - EUROSTAT'!BD41,'Comext mensuel - EUROSTAT'!BF41,'Comext mensuel - EUROSTAT'!BH41,'Comext mensuel - EUROSTAT'!BJ41,'Comext mensuel - EUROSTAT'!BL41,'Comext mensuel - EUROSTAT'!BN41,'Comext mensuel - EUROSTAT'!BP41,'Comext mensuel - EUROSTAT'!BR41,'Comext mensuel - EUROSTAT'!BT41,'Comext mensuel - EUROSTAT'!BV41)/10^4</f>
        <v>5.4720000000000003E-3</v>
      </c>
    </row>
    <row r="33" spans="1:16">
      <c r="A33" t="s">
        <v>309</v>
      </c>
      <c r="B33" t="s">
        <v>949</v>
      </c>
      <c r="C33" s="693"/>
      <c r="D33" t="str">
        <f>'Comext annuel - EUROSTAT'!B42</f>
        <v>Riz paddy à grains ronds, (autre que de semence)</v>
      </c>
      <c r="E33" s="86" t="e">
        <f>'Comext annuel - EUROSTAT'!C42/10^4</f>
        <v>#VALUE!</v>
      </c>
      <c r="F33" s="86" t="e">
        <f>'Comext annuel - EUROSTAT'!D42/10^4</f>
        <v>#VALUE!</v>
      </c>
      <c r="G33" s="86" t="e">
        <f>'Comext annuel - EUROSTAT'!E42/10^4</f>
        <v>#VALUE!</v>
      </c>
      <c r="H33" s="86" t="e">
        <f>'Comext annuel - EUROSTAT'!F42/10^4</f>
        <v>#VALUE!</v>
      </c>
      <c r="I33" s="86" t="e">
        <f>'Comext annuel - EUROSTAT'!G42/10^4</f>
        <v>#VALUE!</v>
      </c>
      <c r="J33" s="86" t="e">
        <f>'Comext annuel - EUROSTAT'!H42/10^4</f>
        <v>#VALUE!</v>
      </c>
      <c r="K33" s="509">
        <f>SUM('Comext mensuel - EUROSTAT'!C42,'Comext mensuel - EUROSTAT'!E42,'Comext mensuel - EUROSTAT'!G42,'Comext mensuel - EUROSTAT'!I42,'Comext mensuel - EUROSTAT'!K42,'Comext mensuel - EUROSTAT'!M42,'Comext mensuel - EUROSTAT'!O42,'Comext mensuel - EUROSTAT'!Q42,'Comext mensuel - EUROSTAT'!S42,'Comext mensuel - EUROSTAT'!U42,'Comext mensuel - EUROSTAT'!W42,'Comext mensuel - EUROSTAT'!Y42)/10^4</f>
        <v>0</v>
      </c>
      <c r="L33" s="509">
        <f>SUM('Comext mensuel - EUROSTAT'!D42,'Comext mensuel - EUROSTAT'!F42,'Comext mensuel - EUROSTAT'!H42,'Comext mensuel - EUROSTAT'!J42,'Comext mensuel - EUROSTAT'!L42,'Comext mensuel - EUROSTAT'!N42,'Comext mensuel - EUROSTAT'!P42,'Comext mensuel - EUROSTAT'!R42,'Comext mensuel - EUROSTAT'!T42,'Comext mensuel - EUROSTAT'!V42,'Comext mensuel - EUROSTAT'!X42,'Comext mensuel - EUROSTAT'!Z42)/10^4</f>
        <v>0</v>
      </c>
      <c r="M33" s="509">
        <f>SUM('Comext mensuel - EUROSTAT'!AA42,'Comext mensuel - EUROSTAT'!AC42,'Comext mensuel - EUROSTAT'!AE42,'Comext mensuel - EUROSTAT'!AG42,'Comext mensuel - EUROSTAT'!AI42,'Comext mensuel - EUROSTAT'!AK42,'Comext mensuel - EUROSTAT'!AM42,'Comext mensuel - EUROSTAT'!AO42,'Comext mensuel - EUROSTAT'!AQ42,'Comext mensuel - EUROSTAT'!AS42,'Comext mensuel - EUROSTAT'!AU42,'Comext mensuel - EUROSTAT'!AW42)/10^4</f>
        <v>0</v>
      </c>
      <c r="N33" s="509">
        <f>SUM('Comext mensuel - EUROSTAT'!AB42,'Comext mensuel - EUROSTAT'!AD42,'Comext mensuel - EUROSTAT'!AF42,'Comext mensuel - EUROSTAT'!AH42,'Comext mensuel - EUROSTAT'!AJ42,'Comext mensuel - EUROSTAT'!AL42,'Comext mensuel - EUROSTAT'!AN42,'Comext mensuel - EUROSTAT'!AP42,'Comext mensuel - EUROSTAT'!AR42,'Comext mensuel - EUROSTAT'!AT42,'Comext mensuel - EUROSTAT'!AV42,'Comext mensuel - EUROSTAT'!AX42)/10^4</f>
        <v>0</v>
      </c>
      <c r="O33" s="509">
        <f>SUM('Comext mensuel - EUROSTAT'!AY42,'Comext mensuel - EUROSTAT'!BA42,'Comext mensuel - EUROSTAT'!BC42,'Comext mensuel - EUROSTAT'!BE42,'Comext mensuel - EUROSTAT'!BG42,'Comext mensuel - EUROSTAT'!BI42,'Comext mensuel - EUROSTAT'!BK42,'Comext mensuel - EUROSTAT'!BM42,'Comext mensuel - EUROSTAT'!BO42,'Comext mensuel - EUROSTAT'!BQ42,'Comext mensuel - EUROSTAT'!BS42,'Comext mensuel - EUROSTAT'!BU42)/10^4</f>
        <v>0</v>
      </c>
      <c r="P33" s="509">
        <f>SUM('Comext mensuel - EUROSTAT'!AZ42,'Comext mensuel - EUROSTAT'!BB42,'Comext mensuel - EUROSTAT'!BD42,'Comext mensuel - EUROSTAT'!BF42,'Comext mensuel - EUROSTAT'!BH42,'Comext mensuel - EUROSTAT'!BJ42,'Comext mensuel - EUROSTAT'!BL42,'Comext mensuel - EUROSTAT'!BN42,'Comext mensuel - EUROSTAT'!BP42,'Comext mensuel - EUROSTAT'!BR42,'Comext mensuel - EUROSTAT'!BT42,'Comext mensuel - EUROSTAT'!BV42)/10^4</f>
        <v>0</v>
      </c>
    </row>
    <row r="34" spans="1:16">
      <c r="A34" t="s">
        <v>309</v>
      </c>
      <c r="B34" t="s">
        <v>949</v>
      </c>
      <c r="C34" s="693"/>
      <c r="D34" t="str">
        <f>'Comext annuel - EUROSTAT'!B43</f>
        <v>Riz en paille {riz paddy}, à grains ronds (à l'excl. du riz étuvé et du riz de semence)</v>
      </c>
      <c r="E34" s="86">
        <f>'Comext annuel - EUROSTAT'!C43/10^4</f>
        <v>1.193011</v>
      </c>
      <c r="F34" s="86">
        <f>'Comext annuel - EUROSTAT'!D43/10^4</f>
        <v>6.1337230000000007</v>
      </c>
      <c r="G34" s="86" t="e">
        <f>'Comext annuel - EUROSTAT'!E43/10^4</f>
        <v>#VALUE!</v>
      </c>
      <c r="H34" s="86" t="e">
        <f>'Comext annuel - EUROSTAT'!F43/10^4</f>
        <v>#VALUE!</v>
      </c>
      <c r="I34" s="86" t="e">
        <f>'Comext annuel - EUROSTAT'!G43/10^4</f>
        <v>#VALUE!</v>
      </c>
      <c r="J34" s="86" t="e">
        <f>'Comext annuel - EUROSTAT'!H43/10^4</f>
        <v>#VALUE!</v>
      </c>
      <c r="K34" s="509">
        <f>SUM('Comext mensuel - EUROSTAT'!C43,'Comext mensuel - EUROSTAT'!E43,'Comext mensuel - EUROSTAT'!G43,'Comext mensuel - EUROSTAT'!I43,'Comext mensuel - EUROSTAT'!K43,'Comext mensuel - EUROSTAT'!M43,'Comext mensuel - EUROSTAT'!O43,'Comext mensuel - EUROSTAT'!Q43,'Comext mensuel - EUROSTAT'!S43,'Comext mensuel - EUROSTAT'!U43,'Comext mensuel - EUROSTAT'!W43,'Comext mensuel - EUROSTAT'!Y43)/10^4</f>
        <v>1.5068239999999997</v>
      </c>
      <c r="L34" s="509">
        <f>SUM('Comext mensuel - EUROSTAT'!D43,'Comext mensuel - EUROSTAT'!F43,'Comext mensuel - EUROSTAT'!H43,'Comext mensuel - EUROSTAT'!J43,'Comext mensuel - EUROSTAT'!L43,'Comext mensuel - EUROSTAT'!N43,'Comext mensuel - EUROSTAT'!P43,'Comext mensuel - EUROSTAT'!R43,'Comext mensuel - EUROSTAT'!T43,'Comext mensuel - EUROSTAT'!V43,'Comext mensuel - EUROSTAT'!X43,'Comext mensuel - EUROSTAT'!Z43)/10^4</f>
        <v>3.9766650000000001</v>
      </c>
      <c r="M34" s="509">
        <f>SUM('Comext mensuel - EUROSTAT'!AA43,'Comext mensuel - EUROSTAT'!AC43,'Comext mensuel - EUROSTAT'!AE43,'Comext mensuel - EUROSTAT'!AG43,'Comext mensuel - EUROSTAT'!AI43,'Comext mensuel - EUROSTAT'!AK43,'Comext mensuel - EUROSTAT'!AM43,'Comext mensuel - EUROSTAT'!AO43,'Comext mensuel - EUROSTAT'!AQ43,'Comext mensuel - EUROSTAT'!AS43,'Comext mensuel - EUROSTAT'!AU43,'Comext mensuel - EUROSTAT'!AW43)/10^4</f>
        <v>0</v>
      </c>
      <c r="N34" s="509">
        <f>SUM('Comext mensuel - EUROSTAT'!AB43,'Comext mensuel - EUROSTAT'!AD43,'Comext mensuel - EUROSTAT'!AF43,'Comext mensuel - EUROSTAT'!AH43,'Comext mensuel - EUROSTAT'!AJ43,'Comext mensuel - EUROSTAT'!AL43,'Comext mensuel - EUROSTAT'!AN43,'Comext mensuel - EUROSTAT'!AP43,'Comext mensuel - EUROSTAT'!AR43,'Comext mensuel - EUROSTAT'!AT43,'Comext mensuel - EUROSTAT'!AV43,'Comext mensuel - EUROSTAT'!AX43)/10^4</f>
        <v>0</v>
      </c>
      <c r="O34" s="509">
        <f>SUM('Comext mensuel - EUROSTAT'!AY43,'Comext mensuel - EUROSTAT'!BA43,'Comext mensuel - EUROSTAT'!BC43,'Comext mensuel - EUROSTAT'!BE43,'Comext mensuel - EUROSTAT'!BG43,'Comext mensuel - EUROSTAT'!BI43,'Comext mensuel - EUROSTAT'!BK43,'Comext mensuel - EUROSTAT'!BM43,'Comext mensuel - EUROSTAT'!BO43,'Comext mensuel - EUROSTAT'!BQ43,'Comext mensuel - EUROSTAT'!BS43,'Comext mensuel - EUROSTAT'!BU43)/10^4</f>
        <v>0</v>
      </c>
      <c r="P34" s="509">
        <f>SUM('Comext mensuel - EUROSTAT'!AZ43,'Comext mensuel - EUROSTAT'!BB43,'Comext mensuel - EUROSTAT'!BD43,'Comext mensuel - EUROSTAT'!BF43,'Comext mensuel - EUROSTAT'!BH43,'Comext mensuel - EUROSTAT'!BJ43,'Comext mensuel - EUROSTAT'!BL43,'Comext mensuel - EUROSTAT'!BN43,'Comext mensuel - EUROSTAT'!BP43,'Comext mensuel - EUROSTAT'!BR43,'Comext mensuel - EUROSTAT'!BT43,'Comext mensuel - EUROSTAT'!BV43)/10^4</f>
        <v>0</v>
      </c>
    </row>
    <row r="35" spans="1:16">
      <c r="A35" t="s">
        <v>309</v>
      </c>
      <c r="B35" t="s">
        <v>949</v>
      </c>
      <c r="C35" s="693"/>
      <c r="D35" t="str">
        <f>'Comext annuel - EUROSTAT'!B44</f>
        <v>Riz en paille {riz paddy}, à grains moyens (à l'excl. du riz étuvé et du riz de semence)</v>
      </c>
      <c r="E35" s="86">
        <f>'Comext annuel - EUROSTAT'!C44/10^4</f>
        <v>0.31562099999999998</v>
      </c>
      <c r="F35" s="86">
        <f>'Comext annuel - EUROSTAT'!D44/10^4</f>
        <v>4.5199999999999998E-4</v>
      </c>
      <c r="G35" s="86" t="e">
        <f>'Comext annuel - EUROSTAT'!E44/10^4</f>
        <v>#VALUE!</v>
      </c>
      <c r="H35" s="86" t="e">
        <f>'Comext annuel - EUROSTAT'!F44/10^4</f>
        <v>#VALUE!</v>
      </c>
      <c r="I35" s="86" t="e">
        <f>'Comext annuel - EUROSTAT'!G44/10^4</f>
        <v>#VALUE!</v>
      </c>
      <c r="J35" s="86" t="e">
        <f>'Comext annuel - EUROSTAT'!H44/10^4</f>
        <v>#VALUE!</v>
      </c>
      <c r="K35" s="509">
        <f>SUM('Comext mensuel - EUROSTAT'!C44,'Comext mensuel - EUROSTAT'!E44,'Comext mensuel - EUROSTAT'!G44,'Comext mensuel - EUROSTAT'!I44,'Comext mensuel - EUROSTAT'!K44,'Comext mensuel - EUROSTAT'!M44,'Comext mensuel - EUROSTAT'!O44,'Comext mensuel - EUROSTAT'!Q44,'Comext mensuel - EUROSTAT'!S44,'Comext mensuel - EUROSTAT'!U44,'Comext mensuel - EUROSTAT'!W44,'Comext mensuel - EUROSTAT'!Y44)/10^4</f>
        <v>0.23198600000000003</v>
      </c>
      <c r="L35" s="509">
        <f>SUM('Comext mensuel - EUROSTAT'!D44,'Comext mensuel - EUROSTAT'!F44,'Comext mensuel - EUROSTAT'!H44,'Comext mensuel - EUROSTAT'!J44,'Comext mensuel - EUROSTAT'!L44,'Comext mensuel - EUROSTAT'!N44,'Comext mensuel - EUROSTAT'!P44,'Comext mensuel - EUROSTAT'!R44,'Comext mensuel - EUROSTAT'!T44,'Comext mensuel - EUROSTAT'!V44,'Comext mensuel - EUROSTAT'!X44,'Comext mensuel - EUROSTAT'!Z44)/10^4</f>
        <v>5.9800000000000001E-4</v>
      </c>
      <c r="M35" s="509">
        <f>SUM('Comext mensuel - EUROSTAT'!AA44,'Comext mensuel - EUROSTAT'!AC44,'Comext mensuel - EUROSTAT'!AE44,'Comext mensuel - EUROSTAT'!AG44,'Comext mensuel - EUROSTAT'!AI44,'Comext mensuel - EUROSTAT'!AK44,'Comext mensuel - EUROSTAT'!AM44,'Comext mensuel - EUROSTAT'!AO44,'Comext mensuel - EUROSTAT'!AQ44,'Comext mensuel - EUROSTAT'!AS44,'Comext mensuel - EUROSTAT'!AU44,'Comext mensuel - EUROSTAT'!AW44)/10^4</f>
        <v>0</v>
      </c>
      <c r="N35" s="509">
        <f>SUM('Comext mensuel - EUROSTAT'!AB44,'Comext mensuel - EUROSTAT'!AD44,'Comext mensuel - EUROSTAT'!AF44,'Comext mensuel - EUROSTAT'!AH44,'Comext mensuel - EUROSTAT'!AJ44,'Comext mensuel - EUROSTAT'!AL44,'Comext mensuel - EUROSTAT'!AN44,'Comext mensuel - EUROSTAT'!AP44,'Comext mensuel - EUROSTAT'!AR44,'Comext mensuel - EUROSTAT'!AT44,'Comext mensuel - EUROSTAT'!AV44,'Comext mensuel - EUROSTAT'!AX44)/10^4</f>
        <v>0</v>
      </c>
      <c r="O35" s="509">
        <f>SUM('Comext mensuel - EUROSTAT'!AY44,'Comext mensuel - EUROSTAT'!BA44,'Comext mensuel - EUROSTAT'!BC44,'Comext mensuel - EUROSTAT'!BE44,'Comext mensuel - EUROSTAT'!BG44,'Comext mensuel - EUROSTAT'!BI44,'Comext mensuel - EUROSTAT'!BK44,'Comext mensuel - EUROSTAT'!BM44,'Comext mensuel - EUROSTAT'!BO44,'Comext mensuel - EUROSTAT'!BQ44,'Comext mensuel - EUROSTAT'!BS44,'Comext mensuel - EUROSTAT'!BU44)/10^4</f>
        <v>0</v>
      </c>
      <c r="P35" s="509">
        <f>SUM('Comext mensuel - EUROSTAT'!AZ44,'Comext mensuel - EUROSTAT'!BB44,'Comext mensuel - EUROSTAT'!BD44,'Comext mensuel - EUROSTAT'!BF44,'Comext mensuel - EUROSTAT'!BH44,'Comext mensuel - EUROSTAT'!BJ44,'Comext mensuel - EUROSTAT'!BL44,'Comext mensuel - EUROSTAT'!BN44,'Comext mensuel - EUROSTAT'!BP44,'Comext mensuel - EUROSTAT'!BR44,'Comext mensuel - EUROSTAT'!BT44,'Comext mensuel - EUROSTAT'!BV44)/10^4</f>
        <v>0</v>
      </c>
    </row>
    <row r="36" spans="1:16">
      <c r="A36" t="s">
        <v>309</v>
      </c>
      <c r="B36" t="s">
        <v>949</v>
      </c>
      <c r="C36" s="693"/>
      <c r="D36" t="str">
        <f>'Comext annuel - EUROSTAT'!B45</f>
        <v>Riz en paille {riz paddy}, à grains longs, présentant un rapport longueur/largeur &gt; 2 mais &lt; 3 (à l'excl. du riz étuvé et du riz de semence)</v>
      </c>
      <c r="E36" s="86">
        <f>'Comext annuel - EUROSTAT'!C45/10^4</f>
        <v>2.6378150000000002</v>
      </c>
      <c r="F36" s="86">
        <f>'Comext annuel - EUROSTAT'!D45/10^4</f>
        <v>0.89171200000000006</v>
      </c>
      <c r="G36" s="86" t="e">
        <f>'Comext annuel - EUROSTAT'!E45/10^4</f>
        <v>#VALUE!</v>
      </c>
      <c r="H36" s="86" t="e">
        <f>'Comext annuel - EUROSTAT'!F45/10^4</f>
        <v>#VALUE!</v>
      </c>
      <c r="I36" s="86" t="e">
        <f>'Comext annuel - EUROSTAT'!G45/10^4</f>
        <v>#VALUE!</v>
      </c>
      <c r="J36" s="86" t="e">
        <f>'Comext annuel - EUROSTAT'!H45/10^4</f>
        <v>#VALUE!</v>
      </c>
      <c r="K36" s="509">
        <f>SUM('Comext mensuel - EUROSTAT'!C45,'Comext mensuel - EUROSTAT'!E45,'Comext mensuel - EUROSTAT'!G45,'Comext mensuel - EUROSTAT'!I45,'Comext mensuel - EUROSTAT'!K45,'Comext mensuel - EUROSTAT'!M45,'Comext mensuel - EUROSTAT'!O45,'Comext mensuel - EUROSTAT'!Q45,'Comext mensuel - EUROSTAT'!S45,'Comext mensuel - EUROSTAT'!U45,'Comext mensuel - EUROSTAT'!W45,'Comext mensuel - EUROSTAT'!Y45)/10^4</f>
        <v>9.6120000000000011E-2</v>
      </c>
      <c r="L36" s="509">
        <f>SUM('Comext mensuel - EUROSTAT'!D45,'Comext mensuel - EUROSTAT'!F45,'Comext mensuel - EUROSTAT'!H45,'Comext mensuel - EUROSTAT'!J45,'Comext mensuel - EUROSTAT'!L45,'Comext mensuel - EUROSTAT'!N45,'Comext mensuel - EUROSTAT'!P45,'Comext mensuel - EUROSTAT'!R45,'Comext mensuel - EUROSTAT'!T45,'Comext mensuel - EUROSTAT'!V45,'Comext mensuel - EUROSTAT'!X45,'Comext mensuel - EUROSTAT'!Z45)/10^4</f>
        <v>0.13281000000000001</v>
      </c>
      <c r="M36" s="509">
        <f>SUM('Comext mensuel - EUROSTAT'!AA45,'Comext mensuel - EUROSTAT'!AC45,'Comext mensuel - EUROSTAT'!AE45,'Comext mensuel - EUROSTAT'!AG45,'Comext mensuel - EUROSTAT'!AI45,'Comext mensuel - EUROSTAT'!AK45,'Comext mensuel - EUROSTAT'!AM45,'Comext mensuel - EUROSTAT'!AO45,'Comext mensuel - EUROSTAT'!AQ45,'Comext mensuel - EUROSTAT'!AS45,'Comext mensuel - EUROSTAT'!AU45,'Comext mensuel - EUROSTAT'!AW45)/10^4</f>
        <v>0</v>
      </c>
      <c r="N36" s="509">
        <f>SUM('Comext mensuel - EUROSTAT'!AB45,'Comext mensuel - EUROSTAT'!AD45,'Comext mensuel - EUROSTAT'!AF45,'Comext mensuel - EUROSTAT'!AH45,'Comext mensuel - EUROSTAT'!AJ45,'Comext mensuel - EUROSTAT'!AL45,'Comext mensuel - EUROSTAT'!AN45,'Comext mensuel - EUROSTAT'!AP45,'Comext mensuel - EUROSTAT'!AR45,'Comext mensuel - EUROSTAT'!AT45,'Comext mensuel - EUROSTAT'!AV45,'Comext mensuel - EUROSTAT'!AX45)/10^4</f>
        <v>0</v>
      </c>
      <c r="O36" s="509">
        <f>SUM('Comext mensuel - EUROSTAT'!AY45,'Comext mensuel - EUROSTAT'!BA45,'Comext mensuel - EUROSTAT'!BC45,'Comext mensuel - EUROSTAT'!BE45,'Comext mensuel - EUROSTAT'!BG45,'Comext mensuel - EUROSTAT'!BI45,'Comext mensuel - EUROSTAT'!BK45,'Comext mensuel - EUROSTAT'!BM45,'Comext mensuel - EUROSTAT'!BO45,'Comext mensuel - EUROSTAT'!BQ45,'Comext mensuel - EUROSTAT'!BS45,'Comext mensuel - EUROSTAT'!BU45)/10^4</f>
        <v>0</v>
      </c>
      <c r="P36" s="509">
        <f>SUM('Comext mensuel - EUROSTAT'!AZ45,'Comext mensuel - EUROSTAT'!BB45,'Comext mensuel - EUROSTAT'!BD45,'Comext mensuel - EUROSTAT'!BF45,'Comext mensuel - EUROSTAT'!BH45,'Comext mensuel - EUROSTAT'!BJ45,'Comext mensuel - EUROSTAT'!BL45,'Comext mensuel - EUROSTAT'!BN45,'Comext mensuel - EUROSTAT'!BP45,'Comext mensuel - EUROSTAT'!BR45,'Comext mensuel - EUROSTAT'!BT45,'Comext mensuel - EUROSTAT'!BV45)/10^4</f>
        <v>0</v>
      </c>
    </row>
    <row r="37" spans="1:16">
      <c r="A37" t="s">
        <v>309</v>
      </c>
      <c r="B37" t="s">
        <v>949</v>
      </c>
      <c r="C37" s="693"/>
      <c r="D37" t="str">
        <f>'Comext annuel - EUROSTAT'!B46</f>
        <v>Riz en paille {riz paddy}, à grains longs, présentant un rapport longueur/largeur &gt;= 3 (à l'excl. du riz étuvé et du riz de semence)</v>
      </c>
      <c r="E37" s="86">
        <f>'Comext annuel - EUROSTAT'!C46/10^4</f>
        <v>5.8229389999999999</v>
      </c>
      <c r="F37" s="86">
        <f>'Comext annuel - EUROSTAT'!D46/10^4</f>
        <v>2.0062E-2</v>
      </c>
      <c r="G37" s="86" t="e">
        <f>'Comext annuel - EUROSTAT'!E46/10^4</f>
        <v>#VALUE!</v>
      </c>
      <c r="H37" s="86" t="e">
        <f>'Comext annuel - EUROSTAT'!F46/10^4</f>
        <v>#VALUE!</v>
      </c>
      <c r="I37" s="86" t="e">
        <f>'Comext annuel - EUROSTAT'!G46/10^4</f>
        <v>#VALUE!</v>
      </c>
      <c r="J37" s="86" t="e">
        <f>'Comext annuel - EUROSTAT'!H46/10^4</f>
        <v>#VALUE!</v>
      </c>
      <c r="K37" s="509">
        <f>SUM('Comext mensuel - EUROSTAT'!C46,'Comext mensuel - EUROSTAT'!E46,'Comext mensuel - EUROSTAT'!G46,'Comext mensuel - EUROSTAT'!I46,'Comext mensuel - EUROSTAT'!K46,'Comext mensuel - EUROSTAT'!M46,'Comext mensuel - EUROSTAT'!O46,'Comext mensuel - EUROSTAT'!Q46,'Comext mensuel - EUROSTAT'!S46,'Comext mensuel - EUROSTAT'!U46,'Comext mensuel - EUROSTAT'!W46,'Comext mensuel - EUROSTAT'!Y46)/10^4</f>
        <v>8.4360540000000004</v>
      </c>
      <c r="L37" s="509">
        <f>SUM('Comext mensuel - EUROSTAT'!D46,'Comext mensuel - EUROSTAT'!F46,'Comext mensuel - EUROSTAT'!H46,'Comext mensuel - EUROSTAT'!J46,'Comext mensuel - EUROSTAT'!L46,'Comext mensuel - EUROSTAT'!N46,'Comext mensuel - EUROSTAT'!P46,'Comext mensuel - EUROSTAT'!R46,'Comext mensuel - EUROSTAT'!T46,'Comext mensuel - EUROSTAT'!V46,'Comext mensuel - EUROSTAT'!X46,'Comext mensuel - EUROSTAT'!Z46)/10^4</f>
        <v>2.7788999999999998E-2</v>
      </c>
      <c r="M37" s="509">
        <f>SUM('Comext mensuel - EUROSTAT'!AA46,'Comext mensuel - EUROSTAT'!AC46,'Comext mensuel - EUROSTAT'!AE46,'Comext mensuel - EUROSTAT'!AG46,'Comext mensuel - EUROSTAT'!AI46,'Comext mensuel - EUROSTAT'!AK46,'Comext mensuel - EUROSTAT'!AM46,'Comext mensuel - EUROSTAT'!AO46,'Comext mensuel - EUROSTAT'!AQ46,'Comext mensuel - EUROSTAT'!AS46,'Comext mensuel - EUROSTAT'!AU46,'Comext mensuel - EUROSTAT'!AW46)/10^4</f>
        <v>0</v>
      </c>
      <c r="N37" s="509">
        <f>SUM('Comext mensuel - EUROSTAT'!AB46,'Comext mensuel - EUROSTAT'!AD46,'Comext mensuel - EUROSTAT'!AF46,'Comext mensuel - EUROSTAT'!AH46,'Comext mensuel - EUROSTAT'!AJ46,'Comext mensuel - EUROSTAT'!AL46,'Comext mensuel - EUROSTAT'!AN46,'Comext mensuel - EUROSTAT'!AP46,'Comext mensuel - EUROSTAT'!AR46,'Comext mensuel - EUROSTAT'!AT46,'Comext mensuel - EUROSTAT'!AV46,'Comext mensuel - EUROSTAT'!AX46)/10^4</f>
        <v>0</v>
      </c>
      <c r="O37" s="509">
        <f>SUM('Comext mensuel - EUROSTAT'!AY46,'Comext mensuel - EUROSTAT'!BA46,'Comext mensuel - EUROSTAT'!BC46,'Comext mensuel - EUROSTAT'!BE46,'Comext mensuel - EUROSTAT'!BG46,'Comext mensuel - EUROSTAT'!BI46,'Comext mensuel - EUROSTAT'!BK46,'Comext mensuel - EUROSTAT'!BM46,'Comext mensuel - EUROSTAT'!BO46,'Comext mensuel - EUROSTAT'!BQ46,'Comext mensuel - EUROSTAT'!BS46,'Comext mensuel - EUROSTAT'!BU46)/10^4</f>
        <v>0</v>
      </c>
      <c r="P37" s="509">
        <f>SUM('Comext mensuel - EUROSTAT'!AZ46,'Comext mensuel - EUROSTAT'!BB46,'Comext mensuel - EUROSTAT'!BD46,'Comext mensuel - EUROSTAT'!BF46,'Comext mensuel - EUROSTAT'!BH46,'Comext mensuel - EUROSTAT'!BJ46,'Comext mensuel - EUROSTAT'!BL46,'Comext mensuel - EUROSTAT'!BN46,'Comext mensuel - EUROSTAT'!BP46,'Comext mensuel - EUROSTAT'!BR46,'Comext mensuel - EUROSTAT'!BT46,'Comext mensuel - EUROSTAT'!BV46)/10^4</f>
        <v>0</v>
      </c>
    </row>
    <row r="38" spans="1:16">
      <c r="A38" t="s">
        <v>309</v>
      </c>
      <c r="B38" t="s">
        <v>949</v>
      </c>
      <c r="C38" s="693"/>
      <c r="D38" t="str">
        <f>'Comext annuel - EUROSTAT'!B47</f>
        <v>Riz paddy à grains longs, (autre que de semence)</v>
      </c>
      <c r="E38" s="86" t="e">
        <f>'Comext annuel - EUROSTAT'!C47/10^4</f>
        <v>#VALUE!</v>
      </c>
      <c r="F38" s="86" t="e">
        <f>'Comext annuel - EUROSTAT'!D47/10^4</f>
        <v>#VALUE!</v>
      </c>
      <c r="G38" s="86" t="e">
        <f>'Comext annuel - EUROSTAT'!E47/10^4</f>
        <v>#VALUE!</v>
      </c>
      <c r="H38" s="86" t="e">
        <f>'Comext annuel - EUROSTAT'!F47/10^4</f>
        <v>#VALUE!</v>
      </c>
      <c r="I38" s="86" t="e">
        <f>'Comext annuel - EUROSTAT'!G47/10^4</f>
        <v>#VALUE!</v>
      </c>
      <c r="J38" s="86" t="e">
        <f>'Comext annuel - EUROSTAT'!H47/10^4</f>
        <v>#VALUE!</v>
      </c>
      <c r="K38" s="509">
        <f>SUM('Comext mensuel - EUROSTAT'!C47,'Comext mensuel - EUROSTAT'!E47,'Comext mensuel - EUROSTAT'!G47,'Comext mensuel - EUROSTAT'!I47,'Comext mensuel - EUROSTAT'!K47,'Comext mensuel - EUROSTAT'!M47,'Comext mensuel - EUROSTAT'!O47,'Comext mensuel - EUROSTAT'!Q47,'Comext mensuel - EUROSTAT'!S47,'Comext mensuel - EUROSTAT'!U47,'Comext mensuel - EUROSTAT'!W47,'Comext mensuel - EUROSTAT'!Y47)/10^4</f>
        <v>0</v>
      </c>
      <c r="L38" s="509">
        <f>SUM('Comext mensuel - EUROSTAT'!D47,'Comext mensuel - EUROSTAT'!F47,'Comext mensuel - EUROSTAT'!H47,'Comext mensuel - EUROSTAT'!J47,'Comext mensuel - EUROSTAT'!L47,'Comext mensuel - EUROSTAT'!N47,'Comext mensuel - EUROSTAT'!P47,'Comext mensuel - EUROSTAT'!R47,'Comext mensuel - EUROSTAT'!T47,'Comext mensuel - EUROSTAT'!V47,'Comext mensuel - EUROSTAT'!X47,'Comext mensuel - EUROSTAT'!Z47)/10^4</f>
        <v>0</v>
      </c>
      <c r="M38" s="509">
        <f>SUM('Comext mensuel - EUROSTAT'!AA47,'Comext mensuel - EUROSTAT'!AC47,'Comext mensuel - EUROSTAT'!AE47,'Comext mensuel - EUROSTAT'!AG47,'Comext mensuel - EUROSTAT'!AI47,'Comext mensuel - EUROSTAT'!AK47,'Comext mensuel - EUROSTAT'!AM47,'Comext mensuel - EUROSTAT'!AO47,'Comext mensuel - EUROSTAT'!AQ47,'Comext mensuel - EUROSTAT'!AS47,'Comext mensuel - EUROSTAT'!AU47,'Comext mensuel - EUROSTAT'!AW47)/10^4</f>
        <v>0</v>
      </c>
      <c r="N38" s="509">
        <f>SUM('Comext mensuel - EUROSTAT'!AB47,'Comext mensuel - EUROSTAT'!AD47,'Comext mensuel - EUROSTAT'!AF47,'Comext mensuel - EUROSTAT'!AH47,'Comext mensuel - EUROSTAT'!AJ47,'Comext mensuel - EUROSTAT'!AL47,'Comext mensuel - EUROSTAT'!AN47,'Comext mensuel - EUROSTAT'!AP47,'Comext mensuel - EUROSTAT'!AR47,'Comext mensuel - EUROSTAT'!AT47,'Comext mensuel - EUROSTAT'!AV47,'Comext mensuel - EUROSTAT'!AX47)/10^4</f>
        <v>0</v>
      </c>
      <c r="O38" s="509">
        <f>SUM('Comext mensuel - EUROSTAT'!AY47,'Comext mensuel - EUROSTAT'!BA47,'Comext mensuel - EUROSTAT'!BC47,'Comext mensuel - EUROSTAT'!BE47,'Comext mensuel - EUROSTAT'!BG47,'Comext mensuel - EUROSTAT'!BI47,'Comext mensuel - EUROSTAT'!BK47,'Comext mensuel - EUROSTAT'!BM47,'Comext mensuel - EUROSTAT'!BO47,'Comext mensuel - EUROSTAT'!BQ47,'Comext mensuel - EUROSTAT'!BS47,'Comext mensuel - EUROSTAT'!BU47)/10^4</f>
        <v>0</v>
      </c>
      <c r="P38" s="509">
        <f>SUM('Comext mensuel - EUROSTAT'!AZ47,'Comext mensuel - EUROSTAT'!BB47,'Comext mensuel - EUROSTAT'!BD47,'Comext mensuel - EUROSTAT'!BF47,'Comext mensuel - EUROSTAT'!BH47,'Comext mensuel - EUROSTAT'!BJ47,'Comext mensuel - EUROSTAT'!BL47,'Comext mensuel - EUROSTAT'!BN47,'Comext mensuel - EUROSTAT'!BP47,'Comext mensuel - EUROSTAT'!BR47,'Comext mensuel - EUROSTAT'!BT47,'Comext mensuel - EUROSTAT'!BV47)/10^4</f>
        <v>0</v>
      </c>
    </row>
    <row r="39" spans="1:16">
      <c r="A39" t="s">
        <v>309</v>
      </c>
      <c r="B39" t="s">
        <v>957</v>
      </c>
      <c r="C39" s="693" t="s">
        <v>951</v>
      </c>
      <c r="D39" t="str">
        <f>'Comext annuel - EUROSTAT'!B48</f>
        <v>Riz décortiqué {riz cargo ou riz brun}, étuvé, à grains ronds</v>
      </c>
      <c r="E39" s="86">
        <f>'Comext annuel - EUROSTAT'!C48/10^4</f>
        <v>0.16361099999999998</v>
      </c>
      <c r="F39" s="86">
        <f>'Comext annuel - EUROSTAT'!D48/10^4</f>
        <v>1.0665000000000001E-2</v>
      </c>
      <c r="G39" s="86">
        <f>'Comext annuel - EUROSTAT'!E48/10^4</f>
        <v>0.21411599999999997</v>
      </c>
      <c r="H39" s="86">
        <f>'Comext annuel - EUROSTAT'!F48/10^4</f>
        <v>8.098000000000001E-3</v>
      </c>
      <c r="I39" s="86">
        <f>'Comext annuel - EUROSTAT'!G48/10^4</f>
        <v>0.164632</v>
      </c>
      <c r="J39" s="86">
        <f>'Comext annuel - EUROSTAT'!H48/10^4</f>
        <v>2.0999999999999999E-3</v>
      </c>
      <c r="K39" s="509">
        <f>SUM('Comext mensuel - EUROSTAT'!C48,'Comext mensuel - EUROSTAT'!E48,'Comext mensuel - EUROSTAT'!G48,'Comext mensuel - EUROSTAT'!I48,'Comext mensuel - EUROSTAT'!K48,'Comext mensuel - EUROSTAT'!M48,'Comext mensuel - EUROSTAT'!O48,'Comext mensuel - EUROSTAT'!Q48,'Comext mensuel - EUROSTAT'!S48,'Comext mensuel - EUROSTAT'!U48,'Comext mensuel - EUROSTAT'!W48,'Comext mensuel - EUROSTAT'!Y48)/10^4</f>
        <v>8.9347999999999997E-2</v>
      </c>
      <c r="L39" s="509">
        <f>SUM('Comext mensuel - EUROSTAT'!D48,'Comext mensuel - EUROSTAT'!F48,'Comext mensuel - EUROSTAT'!H48,'Comext mensuel - EUROSTAT'!J48,'Comext mensuel - EUROSTAT'!L48,'Comext mensuel - EUROSTAT'!N48,'Comext mensuel - EUROSTAT'!P48,'Comext mensuel - EUROSTAT'!R48,'Comext mensuel - EUROSTAT'!T48,'Comext mensuel - EUROSTAT'!V48,'Comext mensuel - EUROSTAT'!X48,'Comext mensuel - EUROSTAT'!Z48)/10^4</f>
        <v>1.7054E-2</v>
      </c>
      <c r="M39" s="509">
        <f>SUM('Comext mensuel - EUROSTAT'!AA48,'Comext mensuel - EUROSTAT'!AC48,'Comext mensuel - EUROSTAT'!AE48,'Comext mensuel - EUROSTAT'!AG48,'Comext mensuel - EUROSTAT'!AI48,'Comext mensuel - EUROSTAT'!AK48,'Comext mensuel - EUROSTAT'!AM48,'Comext mensuel - EUROSTAT'!AO48,'Comext mensuel - EUROSTAT'!AQ48,'Comext mensuel - EUROSTAT'!AS48,'Comext mensuel - EUROSTAT'!AU48,'Comext mensuel - EUROSTAT'!AW48)/10^4</f>
        <v>0.20255199999999998</v>
      </c>
      <c r="N39" s="509">
        <f>SUM('Comext mensuel - EUROSTAT'!AB48,'Comext mensuel - EUROSTAT'!AD48,'Comext mensuel - EUROSTAT'!AF48,'Comext mensuel - EUROSTAT'!AH48,'Comext mensuel - EUROSTAT'!AJ48,'Comext mensuel - EUROSTAT'!AL48,'Comext mensuel - EUROSTAT'!AN48,'Comext mensuel - EUROSTAT'!AP48,'Comext mensuel - EUROSTAT'!AR48,'Comext mensuel - EUROSTAT'!AT48,'Comext mensuel - EUROSTAT'!AV48,'Comext mensuel - EUROSTAT'!AX48)/10^4</f>
        <v>7.8760000000000011E-3</v>
      </c>
      <c r="O39" s="509">
        <f>SUM('Comext mensuel - EUROSTAT'!AY48,'Comext mensuel - EUROSTAT'!BA48,'Comext mensuel - EUROSTAT'!BC48,'Comext mensuel - EUROSTAT'!BE48,'Comext mensuel - EUROSTAT'!BG48,'Comext mensuel - EUROSTAT'!BI48,'Comext mensuel - EUROSTAT'!BK48,'Comext mensuel - EUROSTAT'!BM48,'Comext mensuel - EUROSTAT'!BO48,'Comext mensuel - EUROSTAT'!BQ48,'Comext mensuel - EUROSTAT'!BS48,'Comext mensuel - EUROSTAT'!BU48)/10^4</f>
        <v>0.21409699999999998</v>
      </c>
      <c r="P39" s="509">
        <f>SUM('Comext mensuel - EUROSTAT'!AZ48,'Comext mensuel - EUROSTAT'!BB48,'Comext mensuel - EUROSTAT'!BD48,'Comext mensuel - EUROSTAT'!BF48,'Comext mensuel - EUROSTAT'!BH48,'Comext mensuel - EUROSTAT'!BJ48,'Comext mensuel - EUROSTAT'!BL48,'Comext mensuel - EUROSTAT'!BN48,'Comext mensuel - EUROSTAT'!BP48,'Comext mensuel - EUROSTAT'!BR48,'Comext mensuel - EUROSTAT'!BT48,'Comext mensuel - EUROSTAT'!BV48)/10^4</f>
        <v>8.5280000000000009E-3</v>
      </c>
    </row>
    <row r="40" spans="1:16">
      <c r="A40" t="s">
        <v>309</v>
      </c>
      <c r="B40" t="s">
        <v>957</v>
      </c>
      <c r="C40" s="693"/>
      <c r="D40" t="str">
        <f>'Comext annuel - EUROSTAT'!B49</f>
        <v>Riz décortiqué {riz cargo ou riz brun}, étuvé, à grains moyens</v>
      </c>
      <c r="E40" s="86">
        <f>'Comext annuel - EUROSTAT'!C49/10^4</f>
        <v>0.39088699999999998</v>
      </c>
      <c r="F40" s="86">
        <f>'Comext annuel - EUROSTAT'!D49/10^4</f>
        <v>7.5309000000000001E-2</v>
      </c>
      <c r="G40" s="86">
        <f>'Comext annuel - EUROSTAT'!E49/10^4</f>
        <v>1.350808</v>
      </c>
      <c r="H40" s="86">
        <f>'Comext annuel - EUROSTAT'!F49/10^4</f>
        <v>8.1514000000000003E-2</v>
      </c>
      <c r="I40" s="86">
        <f>'Comext annuel - EUROSTAT'!G49/10^4</f>
        <v>3.3157629999999996</v>
      </c>
      <c r="J40" s="86">
        <f>'Comext annuel - EUROSTAT'!H49/10^4</f>
        <v>0.34376899999999999</v>
      </c>
      <c r="K40" s="509">
        <f>SUM('Comext mensuel - EUROSTAT'!C49,'Comext mensuel - EUROSTAT'!E49,'Comext mensuel - EUROSTAT'!G49,'Comext mensuel - EUROSTAT'!I49,'Comext mensuel - EUROSTAT'!K49,'Comext mensuel - EUROSTAT'!M49,'Comext mensuel - EUROSTAT'!O49,'Comext mensuel - EUROSTAT'!Q49,'Comext mensuel - EUROSTAT'!S49,'Comext mensuel - EUROSTAT'!U49,'Comext mensuel - EUROSTAT'!W49,'Comext mensuel - EUROSTAT'!Y49)/10^4</f>
        <v>0.54133799999999999</v>
      </c>
      <c r="L40" s="509">
        <f>SUM('Comext mensuel - EUROSTAT'!D49,'Comext mensuel - EUROSTAT'!F49,'Comext mensuel - EUROSTAT'!H49,'Comext mensuel - EUROSTAT'!J49,'Comext mensuel - EUROSTAT'!L49,'Comext mensuel - EUROSTAT'!N49,'Comext mensuel - EUROSTAT'!P49,'Comext mensuel - EUROSTAT'!R49,'Comext mensuel - EUROSTAT'!T49,'Comext mensuel - EUROSTAT'!V49,'Comext mensuel - EUROSTAT'!X49,'Comext mensuel - EUROSTAT'!Z49)/10^4</f>
        <v>5.5934000000000005E-2</v>
      </c>
      <c r="M40" s="509">
        <f>SUM('Comext mensuel - EUROSTAT'!AA49,'Comext mensuel - EUROSTAT'!AC49,'Comext mensuel - EUROSTAT'!AE49,'Comext mensuel - EUROSTAT'!AG49,'Comext mensuel - EUROSTAT'!AI49,'Comext mensuel - EUROSTAT'!AK49,'Comext mensuel - EUROSTAT'!AM49,'Comext mensuel - EUROSTAT'!AO49,'Comext mensuel - EUROSTAT'!AQ49,'Comext mensuel - EUROSTAT'!AS49,'Comext mensuel - EUROSTAT'!AU49,'Comext mensuel - EUROSTAT'!AW49)/10^4</f>
        <v>1.537866</v>
      </c>
      <c r="N40" s="509">
        <f>SUM('Comext mensuel - EUROSTAT'!AB49,'Comext mensuel - EUROSTAT'!AD49,'Comext mensuel - EUROSTAT'!AF49,'Comext mensuel - EUROSTAT'!AH49,'Comext mensuel - EUROSTAT'!AJ49,'Comext mensuel - EUROSTAT'!AL49,'Comext mensuel - EUROSTAT'!AN49,'Comext mensuel - EUROSTAT'!AP49,'Comext mensuel - EUROSTAT'!AR49,'Comext mensuel - EUROSTAT'!AT49,'Comext mensuel - EUROSTAT'!AV49,'Comext mensuel - EUROSTAT'!AX49)/10^4</f>
        <v>7.0535000000000014E-2</v>
      </c>
      <c r="O40" s="509">
        <f>SUM('Comext mensuel - EUROSTAT'!AY49,'Comext mensuel - EUROSTAT'!BA49,'Comext mensuel - EUROSTAT'!BC49,'Comext mensuel - EUROSTAT'!BE49,'Comext mensuel - EUROSTAT'!BG49,'Comext mensuel - EUROSTAT'!BI49,'Comext mensuel - EUROSTAT'!BK49,'Comext mensuel - EUROSTAT'!BM49,'Comext mensuel - EUROSTAT'!BO49,'Comext mensuel - EUROSTAT'!BQ49,'Comext mensuel - EUROSTAT'!BS49,'Comext mensuel - EUROSTAT'!BU49)/10^4</f>
        <v>1.1350389999999999</v>
      </c>
      <c r="P40" s="509">
        <f>SUM('Comext mensuel - EUROSTAT'!AZ49,'Comext mensuel - EUROSTAT'!BB49,'Comext mensuel - EUROSTAT'!BD49,'Comext mensuel - EUROSTAT'!BF49,'Comext mensuel - EUROSTAT'!BH49,'Comext mensuel - EUROSTAT'!BJ49,'Comext mensuel - EUROSTAT'!BL49,'Comext mensuel - EUROSTAT'!BN49,'Comext mensuel - EUROSTAT'!BP49,'Comext mensuel - EUROSTAT'!BR49,'Comext mensuel - EUROSTAT'!BT49,'Comext mensuel - EUROSTAT'!BV49)/10^4</f>
        <v>0.20126100000000002</v>
      </c>
    </row>
    <row r="41" spans="1:16">
      <c r="A41" t="s">
        <v>309</v>
      </c>
      <c r="B41" t="s">
        <v>957</v>
      </c>
      <c r="C41" s="693"/>
      <c r="D41" t="str">
        <f>'Comext annuel - EUROSTAT'!B50</f>
        <v>Riz décortiqué {riz cargo ou riz brun}, étuvé, à grains longs, présentant un rapport longueur/largeur &gt; 2 mais &lt; 3</v>
      </c>
      <c r="E41" s="86">
        <f>'Comext annuel - EUROSTAT'!C50/10^4</f>
        <v>0.66779900000000003</v>
      </c>
      <c r="F41" s="86">
        <f>'Comext annuel - EUROSTAT'!D50/10^4</f>
        <v>8.203400000000001E-2</v>
      </c>
      <c r="G41" s="86">
        <f>'Comext annuel - EUROSTAT'!E50/10^4</f>
        <v>0.12281199999999999</v>
      </c>
      <c r="H41" s="86">
        <f>'Comext annuel - EUROSTAT'!F50/10^4</f>
        <v>5.6602E-2</v>
      </c>
      <c r="I41" s="86">
        <f>'Comext annuel - EUROSTAT'!G50/10^4</f>
        <v>0.104799</v>
      </c>
      <c r="J41" s="86">
        <f>'Comext annuel - EUROSTAT'!H50/10^4</f>
        <v>0.41057399999999999</v>
      </c>
      <c r="K41" s="509">
        <f>SUM('Comext mensuel - EUROSTAT'!C50,'Comext mensuel - EUROSTAT'!E50,'Comext mensuel - EUROSTAT'!G50,'Comext mensuel - EUROSTAT'!I50,'Comext mensuel - EUROSTAT'!K50,'Comext mensuel - EUROSTAT'!M50,'Comext mensuel - EUROSTAT'!O50,'Comext mensuel - EUROSTAT'!Q50,'Comext mensuel - EUROSTAT'!S50,'Comext mensuel - EUROSTAT'!U50,'Comext mensuel - EUROSTAT'!W50,'Comext mensuel - EUROSTAT'!Y50)/10^4</f>
        <v>0.3906</v>
      </c>
      <c r="L41" s="509">
        <f>SUM('Comext mensuel - EUROSTAT'!D50,'Comext mensuel - EUROSTAT'!F50,'Comext mensuel - EUROSTAT'!H50,'Comext mensuel - EUROSTAT'!J50,'Comext mensuel - EUROSTAT'!L50,'Comext mensuel - EUROSTAT'!N50,'Comext mensuel - EUROSTAT'!P50,'Comext mensuel - EUROSTAT'!R50,'Comext mensuel - EUROSTAT'!T50,'Comext mensuel - EUROSTAT'!V50,'Comext mensuel - EUROSTAT'!X50,'Comext mensuel - EUROSTAT'!Z50)/10^4</f>
        <v>8.3098999999999992E-2</v>
      </c>
      <c r="M41" s="509">
        <f>SUM('Comext mensuel - EUROSTAT'!AA50,'Comext mensuel - EUROSTAT'!AC50,'Comext mensuel - EUROSTAT'!AE50,'Comext mensuel - EUROSTAT'!AG50,'Comext mensuel - EUROSTAT'!AI50,'Comext mensuel - EUROSTAT'!AK50,'Comext mensuel - EUROSTAT'!AM50,'Comext mensuel - EUROSTAT'!AO50,'Comext mensuel - EUROSTAT'!AQ50,'Comext mensuel - EUROSTAT'!AS50,'Comext mensuel - EUROSTAT'!AU50,'Comext mensuel - EUROSTAT'!AW50)/10^4</f>
        <v>0.32142799999999999</v>
      </c>
      <c r="N41" s="509">
        <f>SUM('Comext mensuel - EUROSTAT'!AB50,'Comext mensuel - EUROSTAT'!AD50,'Comext mensuel - EUROSTAT'!AF50,'Comext mensuel - EUROSTAT'!AH50,'Comext mensuel - EUROSTAT'!AJ50,'Comext mensuel - EUROSTAT'!AL50,'Comext mensuel - EUROSTAT'!AN50,'Comext mensuel - EUROSTAT'!AP50,'Comext mensuel - EUROSTAT'!AR50,'Comext mensuel - EUROSTAT'!AT50,'Comext mensuel - EUROSTAT'!AV50,'Comext mensuel - EUROSTAT'!AX50)/10^4</f>
        <v>4.1138999999999995E-2</v>
      </c>
      <c r="O41" s="509">
        <f>SUM('Comext mensuel - EUROSTAT'!AY50,'Comext mensuel - EUROSTAT'!BA50,'Comext mensuel - EUROSTAT'!BC50,'Comext mensuel - EUROSTAT'!BE50,'Comext mensuel - EUROSTAT'!BG50,'Comext mensuel - EUROSTAT'!BI50,'Comext mensuel - EUROSTAT'!BK50,'Comext mensuel - EUROSTAT'!BM50,'Comext mensuel - EUROSTAT'!BO50,'Comext mensuel - EUROSTAT'!BQ50,'Comext mensuel - EUROSTAT'!BS50,'Comext mensuel - EUROSTAT'!BU50)/10^4</f>
        <v>9.7279999999999991E-2</v>
      </c>
      <c r="P41" s="509">
        <f>SUM('Comext mensuel - EUROSTAT'!AZ50,'Comext mensuel - EUROSTAT'!BB50,'Comext mensuel - EUROSTAT'!BD50,'Comext mensuel - EUROSTAT'!BF50,'Comext mensuel - EUROSTAT'!BH50,'Comext mensuel - EUROSTAT'!BJ50,'Comext mensuel - EUROSTAT'!BL50,'Comext mensuel - EUROSTAT'!BN50,'Comext mensuel - EUROSTAT'!BP50,'Comext mensuel - EUROSTAT'!BR50,'Comext mensuel - EUROSTAT'!BT50,'Comext mensuel - EUROSTAT'!BV50)/10^4</f>
        <v>0.16872899999999999</v>
      </c>
    </row>
    <row r="42" spans="1:16">
      <c r="A42" t="s">
        <v>309</v>
      </c>
      <c r="B42" t="s">
        <v>957</v>
      </c>
      <c r="C42" s="693"/>
      <c r="D42" t="str">
        <f>'Comext annuel - EUROSTAT'!B51</f>
        <v>Riz décortiqué {riz cargo ou riz brun}, étuvé, à grains longs, présentant un rapport longueur/largeur &gt;= 3</v>
      </c>
      <c r="E42" s="86">
        <f>'Comext annuel - EUROSTAT'!C51/10^4</f>
        <v>26.934359999999998</v>
      </c>
      <c r="F42" s="86">
        <f>'Comext annuel - EUROSTAT'!D51/10^4</f>
        <v>0.18349200000000002</v>
      </c>
      <c r="G42" s="86">
        <f>'Comext annuel - EUROSTAT'!E51/10^4</f>
        <v>37.628312000000001</v>
      </c>
      <c r="H42" s="86">
        <f>'Comext annuel - EUROSTAT'!F51/10^4</f>
        <v>0.85696299999999992</v>
      </c>
      <c r="I42" s="86">
        <f>'Comext annuel - EUROSTAT'!G51/10^4</f>
        <v>30.278789</v>
      </c>
      <c r="J42" s="86">
        <f>'Comext annuel - EUROSTAT'!H51/10^4</f>
        <v>0.19744600000000001</v>
      </c>
      <c r="K42" s="509">
        <f>SUM('Comext mensuel - EUROSTAT'!C51,'Comext mensuel - EUROSTAT'!E51,'Comext mensuel - EUROSTAT'!G51,'Comext mensuel - EUROSTAT'!I51,'Comext mensuel - EUROSTAT'!K51,'Comext mensuel - EUROSTAT'!M51,'Comext mensuel - EUROSTAT'!O51,'Comext mensuel - EUROSTAT'!Q51,'Comext mensuel - EUROSTAT'!S51,'Comext mensuel - EUROSTAT'!U51,'Comext mensuel - EUROSTAT'!W51,'Comext mensuel - EUROSTAT'!Y51)/10^4</f>
        <v>27.013690999999998</v>
      </c>
      <c r="L42" s="509">
        <f>SUM('Comext mensuel - EUROSTAT'!D51,'Comext mensuel - EUROSTAT'!F51,'Comext mensuel - EUROSTAT'!H51,'Comext mensuel - EUROSTAT'!J51,'Comext mensuel - EUROSTAT'!L51,'Comext mensuel - EUROSTAT'!N51,'Comext mensuel - EUROSTAT'!P51,'Comext mensuel - EUROSTAT'!R51,'Comext mensuel - EUROSTAT'!T51,'Comext mensuel - EUROSTAT'!V51,'Comext mensuel - EUROSTAT'!X51,'Comext mensuel - EUROSTAT'!Z51)/10^4</f>
        <v>0.26380800000000004</v>
      </c>
      <c r="M42" s="509">
        <f>SUM('Comext mensuel - EUROSTAT'!AA51,'Comext mensuel - EUROSTAT'!AC51,'Comext mensuel - EUROSTAT'!AE51,'Comext mensuel - EUROSTAT'!AG51,'Comext mensuel - EUROSTAT'!AI51,'Comext mensuel - EUROSTAT'!AK51,'Comext mensuel - EUROSTAT'!AM51,'Comext mensuel - EUROSTAT'!AO51,'Comext mensuel - EUROSTAT'!AQ51,'Comext mensuel - EUROSTAT'!AS51,'Comext mensuel - EUROSTAT'!AU51,'Comext mensuel - EUROSTAT'!AW51)/10^4</f>
        <v>32.390397999999998</v>
      </c>
      <c r="N42" s="509">
        <f>SUM('Comext mensuel - EUROSTAT'!AB51,'Comext mensuel - EUROSTAT'!AD51,'Comext mensuel - EUROSTAT'!AF51,'Comext mensuel - EUROSTAT'!AH51,'Comext mensuel - EUROSTAT'!AJ51,'Comext mensuel - EUROSTAT'!AL51,'Comext mensuel - EUROSTAT'!AN51,'Comext mensuel - EUROSTAT'!AP51,'Comext mensuel - EUROSTAT'!AR51,'Comext mensuel - EUROSTAT'!AT51,'Comext mensuel - EUROSTAT'!AV51,'Comext mensuel - EUROSTAT'!AX51)/10^4</f>
        <v>0.81011699999999998</v>
      </c>
      <c r="O42" s="509">
        <f>SUM('Comext mensuel - EUROSTAT'!AY51,'Comext mensuel - EUROSTAT'!BA51,'Comext mensuel - EUROSTAT'!BC51,'Comext mensuel - EUROSTAT'!BE51,'Comext mensuel - EUROSTAT'!BG51,'Comext mensuel - EUROSTAT'!BI51,'Comext mensuel - EUROSTAT'!BK51,'Comext mensuel - EUROSTAT'!BM51,'Comext mensuel - EUROSTAT'!BO51,'Comext mensuel - EUROSTAT'!BQ51,'Comext mensuel - EUROSTAT'!BS51,'Comext mensuel - EUROSTAT'!BU51)/10^4</f>
        <v>26.154722</v>
      </c>
      <c r="P42" s="509">
        <f>SUM('Comext mensuel - EUROSTAT'!AZ51,'Comext mensuel - EUROSTAT'!BB51,'Comext mensuel - EUROSTAT'!BD51,'Comext mensuel - EUROSTAT'!BF51,'Comext mensuel - EUROSTAT'!BH51,'Comext mensuel - EUROSTAT'!BJ51,'Comext mensuel - EUROSTAT'!BL51,'Comext mensuel - EUROSTAT'!BN51,'Comext mensuel - EUROSTAT'!BP51,'Comext mensuel - EUROSTAT'!BR51,'Comext mensuel - EUROSTAT'!BT51,'Comext mensuel - EUROSTAT'!BV51)/10^4</f>
        <v>0.14141700000000001</v>
      </c>
    </row>
    <row r="43" spans="1:16">
      <c r="A43" t="s">
        <v>309</v>
      </c>
      <c r="B43" t="s">
        <v>957</v>
      </c>
      <c r="C43" s="693"/>
      <c r="D43" t="str">
        <f>'Comext annuel - EUROSTAT'!B52</f>
        <v>Riz décortiqué {riz cargo ou riz brun}, étuvé (sauf à grains ronds, moyens ou longs)</v>
      </c>
      <c r="E43" s="86" t="e">
        <f>'Comext annuel - EUROSTAT'!C52/10^4</f>
        <v>#VALUE!</v>
      </c>
      <c r="F43" s="86" t="e">
        <f>'Comext annuel - EUROSTAT'!D52/10^4</f>
        <v>#VALUE!</v>
      </c>
      <c r="G43" s="86" t="e">
        <f>'Comext annuel - EUROSTAT'!E52/10^4</f>
        <v>#VALUE!</v>
      </c>
      <c r="H43" s="86" t="e">
        <f>'Comext annuel - EUROSTAT'!F52/10^4</f>
        <v>#VALUE!</v>
      </c>
      <c r="I43" s="86">
        <f>'Comext annuel - EUROSTAT'!G52/10^4</f>
        <v>2.7849000000000002E-2</v>
      </c>
      <c r="J43" s="86">
        <f>'Comext annuel - EUROSTAT'!H52/10^4</f>
        <v>1.6201E-2</v>
      </c>
      <c r="K43" s="509">
        <f>SUM('Comext mensuel - EUROSTAT'!C52,'Comext mensuel - EUROSTAT'!E52,'Comext mensuel - EUROSTAT'!G52,'Comext mensuel - EUROSTAT'!I52,'Comext mensuel - EUROSTAT'!K52,'Comext mensuel - EUROSTAT'!M52,'Comext mensuel - EUROSTAT'!O52,'Comext mensuel - EUROSTAT'!Q52,'Comext mensuel - EUROSTAT'!S52,'Comext mensuel - EUROSTAT'!U52,'Comext mensuel - EUROSTAT'!W52,'Comext mensuel - EUROSTAT'!Y52)/10^4</f>
        <v>0</v>
      </c>
      <c r="L43" s="509">
        <f>SUM('Comext mensuel - EUROSTAT'!D52,'Comext mensuel - EUROSTAT'!F52,'Comext mensuel - EUROSTAT'!H52,'Comext mensuel - EUROSTAT'!J52,'Comext mensuel - EUROSTAT'!L52,'Comext mensuel - EUROSTAT'!N52,'Comext mensuel - EUROSTAT'!P52,'Comext mensuel - EUROSTAT'!R52,'Comext mensuel - EUROSTAT'!T52,'Comext mensuel - EUROSTAT'!V52,'Comext mensuel - EUROSTAT'!X52,'Comext mensuel - EUROSTAT'!Z52)/10^4</f>
        <v>0</v>
      </c>
      <c r="M43" s="509">
        <f>SUM('Comext mensuel - EUROSTAT'!AA52,'Comext mensuel - EUROSTAT'!AC52,'Comext mensuel - EUROSTAT'!AE52,'Comext mensuel - EUROSTAT'!AG52,'Comext mensuel - EUROSTAT'!AI52,'Comext mensuel - EUROSTAT'!AK52,'Comext mensuel - EUROSTAT'!AM52,'Comext mensuel - EUROSTAT'!AO52,'Comext mensuel - EUROSTAT'!AQ52,'Comext mensuel - EUROSTAT'!AS52,'Comext mensuel - EUROSTAT'!AU52,'Comext mensuel - EUROSTAT'!AW52)/10^4</f>
        <v>0</v>
      </c>
      <c r="N43" s="509">
        <f>SUM('Comext mensuel - EUROSTAT'!AB52,'Comext mensuel - EUROSTAT'!AD52,'Comext mensuel - EUROSTAT'!AF52,'Comext mensuel - EUROSTAT'!AH52,'Comext mensuel - EUROSTAT'!AJ52,'Comext mensuel - EUROSTAT'!AL52,'Comext mensuel - EUROSTAT'!AN52,'Comext mensuel - EUROSTAT'!AP52,'Comext mensuel - EUROSTAT'!AR52,'Comext mensuel - EUROSTAT'!AT52,'Comext mensuel - EUROSTAT'!AV52,'Comext mensuel - EUROSTAT'!AX52)/10^4</f>
        <v>0</v>
      </c>
      <c r="O43" s="509">
        <f>SUM('Comext mensuel - EUROSTAT'!AY52,'Comext mensuel - EUROSTAT'!BA52,'Comext mensuel - EUROSTAT'!BC52,'Comext mensuel - EUROSTAT'!BE52,'Comext mensuel - EUROSTAT'!BG52,'Comext mensuel - EUROSTAT'!BI52,'Comext mensuel - EUROSTAT'!BK52,'Comext mensuel - EUROSTAT'!BM52,'Comext mensuel - EUROSTAT'!BO52,'Comext mensuel - EUROSTAT'!BQ52,'Comext mensuel - EUROSTAT'!BS52,'Comext mensuel - EUROSTAT'!BU52)/10^4</f>
        <v>2.7913E-2</v>
      </c>
      <c r="P43" s="509">
        <f>SUM('Comext mensuel - EUROSTAT'!AZ52,'Comext mensuel - EUROSTAT'!BB52,'Comext mensuel - EUROSTAT'!BD52,'Comext mensuel - EUROSTAT'!BF52,'Comext mensuel - EUROSTAT'!BH52,'Comext mensuel - EUROSTAT'!BJ52,'Comext mensuel - EUROSTAT'!BL52,'Comext mensuel - EUROSTAT'!BN52,'Comext mensuel - EUROSTAT'!BP52,'Comext mensuel - EUROSTAT'!BR52,'Comext mensuel - EUROSTAT'!BT52,'Comext mensuel - EUROSTAT'!BV52)/10^4</f>
        <v>1.3869999999999999E-2</v>
      </c>
    </row>
    <row r="44" spans="1:16">
      <c r="A44" t="s">
        <v>309</v>
      </c>
      <c r="B44" t="s">
        <v>956</v>
      </c>
      <c r="C44" s="693"/>
      <c r="D44" t="str">
        <f>'Comext annuel - EUROSTAT'!B53</f>
        <v>Riz décortiqué {riz cargo ou riz brun}, à grains ronds (à l'excl. du riz étuvé)</v>
      </c>
      <c r="E44" s="86">
        <f>'Comext annuel - EUROSTAT'!C53/10^4</f>
        <v>1.121688</v>
      </c>
      <c r="F44" s="86">
        <f>'Comext annuel - EUROSTAT'!D53/10^4</f>
        <v>3.0568400000000002</v>
      </c>
      <c r="G44" s="86">
        <f>'Comext annuel - EUROSTAT'!E53/10^4</f>
        <v>1.369067</v>
      </c>
      <c r="H44" s="86">
        <f>'Comext annuel - EUROSTAT'!F53/10^4</f>
        <v>0.268704</v>
      </c>
      <c r="I44" s="86">
        <f>'Comext annuel - EUROSTAT'!G53/10^4</f>
        <v>0.76052399999999998</v>
      </c>
      <c r="J44" s="86">
        <f>'Comext annuel - EUROSTAT'!H53/10^4</f>
        <v>7.9430999999999988E-2</v>
      </c>
      <c r="K44" s="509">
        <f>SUM('Comext mensuel - EUROSTAT'!C53,'Comext mensuel - EUROSTAT'!E53,'Comext mensuel - EUROSTAT'!G53,'Comext mensuel - EUROSTAT'!I53,'Comext mensuel - EUROSTAT'!K53,'Comext mensuel - EUROSTAT'!M53,'Comext mensuel - EUROSTAT'!O53,'Comext mensuel - EUROSTAT'!Q53,'Comext mensuel - EUROSTAT'!S53,'Comext mensuel - EUROSTAT'!U53,'Comext mensuel - EUROSTAT'!W53,'Comext mensuel - EUROSTAT'!Y53)/10^4</f>
        <v>2.1539290000000002</v>
      </c>
      <c r="L44" s="509">
        <f>SUM('Comext mensuel - EUROSTAT'!D53,'Comext mensuel - EUROSTAT'!F53,'Comext mensuel - EUROSTAT'!H53,'Comext mensuel - EUROSTAT'!J53,'Comext mensuel - EUROSTAT'!L53,'Comext mensuel - EUROSTAT'!N53,'Comext mensuel - EUROSTAT'!P53,'Comext mensuel - EUROSTAT'!R53,'Comext mensuel - EUROSTAT'!T53,'Comext mensuel - EUROSTAT'!V53,'Comext mensuel - EUROSTAT'!X53,'Comext mensuel - EUROSTAT'!Z53)/10^4</f>
        <v>1.989611</v>
      </c>
      <c r="M44" s="509">
        <f>SUM('Comext mensuel - EUROSTAT'!AA53,'Comext mensuel - EUROSTAT'!AC53,'Comext mensuel - EUROSTAT'!AE53,'Comext mensuel - EUROSTAT'!AG53,'Comext mensuel - EUROSTAT'!AI53,'Comext mensuel - EUROSTAT'!AK53,'Comext mensuel - EUROSTAT'!AM53,'Comext mensuel - EUROSTAT'!AO53,'Comext mensuel - EUROSTAT'!AQ53,'Comext mensuel - EUROSTAT'!AS53,'Comext mensuel - EUROSTAT'!AU53,'Comext mensuel - EUROSTAT'!AW53)/10^4</f>
        <v>1.4146349999999999</v>
      </c>
      <c r="N44" s="509">
        <f>SUM('Comext mensuel - EUROSTAT'!AB53,'Comext mensuel - EUROSTAT'!AD53,'Comext mensuel - EUROSTAT'!AF53,'Comext mensuel - EUROSTAT'!AH53,'Comext mensuel - EUROSTAT'!AJ53,'Comext mensuel - EUROSTAT'!AL53,'Comext mensuel - EUROSTAT'!AN53,'Comext mensuel - EUROSTAT'!AP53,'Comext mensuel - EUROSTAT'!AR53,'Comext mensuel - EUROSTAT'!AT53,'Comext mensuel - EUROSTAT'!AV53,'Comext mensuel - EUROSTAT'!AX53)/10^4</f>
        <v>0.351746</v>
      </c>
      <c r="O44" s="509">
        <f>SUM('Comext mensuel - EUROSTAT'!AY53,'Comext mensuel - EUROSTAT'!BA53,'Comext mensuel - EUROSTAT'!BC53,'Comext mensuel - EUROSTAT'!BE53,'Comext mensuel - EUROSTAT'!BG53,'Comext mensuel - EUROSTAT'!BI53,'Comext mensuel - EUROSTAT'!BK53,'Comext mensuel - EUROSTAT'!BM53,'Comext mensuel - EUROSTAT'!BO53,'Comext mensuel - EUROSTAT'!BQ53,'Comext mensuel - EUROSTAT'!BS53,'Comext mensuel - EUROSTAT'!BU53)/10^4</f>
        <v>0.80815899999999996</v>
      </c>
      <c r="P44" s="509">
        <f>SUM('Comext mensuel - EUROSTAT'!AZ53,'Comext mensuel - EUROSTAT'!BB53,'Comext mensuel - EUROSTAT'!BD53,'Comext mensuel - EUROSTAT'!BF53,'Comext mensuel - EUROSTAT'!BH53,'Comext mensuel - EUROSTAT'!BJ53,'Comext mensuel - EUROSTAT'!BL53,'Comext mensuel - EUROSTAT'!BN53,'Comext mensuel - EUROSTAT'!BP53,'Comext mensuel - EUROSTAT'!BR53,'Comext mensuel - EUROSTAT'!BT53,'Comext mensuel - EUROSTAT'!BV53)/10^4</f>
        <v>0.12128700000000001</v>
      </c>
    </row>
    <row r="45" spans="1:16">
      <c r="A45" t="s">
        <v>309</v>
      </c>
      <c r="B45" t="s">
        <v>956</v>
      </c>
      <c r="C45" s="693"/>
      <c r="D45" t="str">
        <f>'Comext annuel - EUROSTAT'!B54</f>
        <v>Riz décortiqué {riz cargo ou riz brun}, à grains moyens (à l'excl. du riz étuvé)</v>
      </c>
      <c r="E45" s="86">
        <f>'Comext annuel - EUROSTAT'!C54/10^4</f>
        <v>0.18756700000000001</v>
      </c>
      <c r="F45" s="86">
        <f>'Comext annuel - EUROSTAT'!D54/10^4</f>
        <v>1.9245999999999999E-2</v>
      </c>
      <c r="G45" s="86">
        <f>'Comext annuel - EUROSTAT'!E54/10^4</f>
        <v>0.217754</v>
      </c>
      <c r="H45" s="86">
        <f>'Comext annuel - EUROSTAT'!F54/10^4</f>
        <v>8.1734000000000001E-2</v>
      </c>
      <c r="I45" s="86">
        <f>'Comext annuel - EUROSTAT'!G54/10^4</f>
        <v>0.25291799999999998</v>
      </c>
      <c r="J45" s="86">
        <f>'Comext annuel - EUROSTAT'!H54/10^4</f>
        <v>2.8798000000000001E-2</v>
      </c>
      <c r="K45" s="509">
        <f>SUM('Comext mensuel - EUROSTAT'!C54,'Comext mensuel - EUROSTAT'!E54,'Comext mensuel - EUROSTAT'!G54,'Comext mensuel - EUROSTAT'!I54,'Comext mensuel - EUROSTAT'!K54,'Comext mensuel - EUROSTAT'!M54,'Comext mensuel - EUROSTAT'!O54,'Comext mensuel - EUROSTAT'!Q54,'Comext mensuel - EUROSTAT'!S54,'Comext mensuel - EUROSTAT'!U54,'Comext mensuel - EUROSTAT'!W54,'Comext mensuel - EUROSTAT'!Y54)/10^4</f>
        <v>0.22475400000000001</v>
      </c>
      <c r="L45" s="509">
        <f>SUM('Comext mensuel - EUROSTAT'!D54,'Comext mensuel - EUROSTAT'!F54,'Comext mensuel - EUROSTAT'!H54,'Comext mensuel - EUROSTAT'!J54,'Comext mensuel - EUROSTAT'!L54,'Comext mensuel - EUROSTAT'!N54,'Comext mensuel - EUROSTAT'!P54,'Comext mensuel - EUROSTAT'!R54,'Comext mensuel - EUROSTAT'!T54,'Comext mensuel - EUROSTAT'!V54,'Comext mensuel - EUROSTAT'!X54,'Comext mensuel - EUROSTAT'!Z54)/10^4</f>
        <v>5.6119999999999998E-3</v>
      </c>
      <c r="M45" s="509">
        <f>SUM('Comext mensuel - EUROSTAT'!AA54,'Comext mensuel - EUROSTAT'!AC54,'Comext mensuel - EUROSTAT'!AE54,'Comext mensuel - EUROSTAT'!AG54,'Comext mensuel - EUROSTAT'!AI54,'Comext mensuel - EUROSTAT'!AK54,'Comext mensuel - EUROSTAT'!AM54,'Comext mensuel - EUROSTAT'!AO54,'Comext mensuel - EUROSTAT'!AQ54,'Comext mensuel - EUROSTAT'!AS54,'Comext mensuel - EUROSTAT'!AU54,'Comext mensuel - EUROSTAT'!AW54)/10^4</f>
        <v>0.21103799999999998</v>
      </c>
      <c r="N45" s="509">
        <f>SUM('Comext mensuel - EUROSTAT'!AB54,'Comext mensuel - EUROSTAT'!AD54,'Comext mensuel - EUROSTAT'!AF54,'Comext mensuel - EUROSTAT'!AH54,'Comext mensuel - EUROSTAT'!AJ54,'Comext mensuel - EUROSTAT'!AL54,'Comext mensuel - EUROSTAT'!AN54,'Comext mensuel - EUROSTAT'!AP54,'Comext mensuel - EUROSTAT'!AR54,'Comext mensuel - EUROSTAT'!AT54,'Comext mensuel - EUROSTAT'!AV54,'Comext mensuel - EUROSTAT'!AX54)/10^4</f>
        <v>1.1941E-2</v>
      </c>
      <c r="O45" s="509">
        <f>SUM('Comext mensuel - EUROSTAT'!AY54,'Comext mensuel - EUROSTAT'!BA54,'Comext mensuel - EUROSTAT'!BC54,'Comext mensuel - EUROSTAT'!BE54,'Comext mensuel - EUROSTAT'!BG54,'Comext mensuel - EUROSTAT'!BI54,'Comext mensuel - EUROSTAT'!BK54,'Comext mensuel - EUROSTAT'!BM54,'Comext mensuel - EUROSTAT'!BO54,'Comext mensuel - EUROSTAT'!BQ54,'Comext mensuel - EUROSTAT'!BS54,'Comext mensuel - EUROSTAT'!BU54)/10^4</f>
        <v>0.25804499999999997</v>
      </c>
      <c r="P45" s="509">
        <f>SUM('Comext mensuel - EUROSTAT'!AZ54,'Comext mensuel - EUROSTAT'!BB54,'Comext mensuel - EUROSTAT'!BD54,'Comext mensuel - EUROSTAT'!BF54,'Comext mensuel - EUROSTAT'!BH54,'Comext mensuel - EUROSTAT'!BJ54,'Comext mensuel - EUROSTAT'!BL54,'Comext mensuel - EUROSTAT'!BN54,'Comext mensuel - EUROSTAT'!BP54,'Comext mensuel - EUROSTAT'!BR54,'Comext mensuel - EUROSTAT'!BT54,'Comext mensuel - EUROSTAT'!BV54)/10^4</f>
        <v>2.2667000000000003E-2</v>
      </c>
    </row>
    <row r="46" spans="1:16">
      <c r="A46" t="s">
        <v>309</v>
      </c>
      <c r="B46" t="s">
        <v>956</v>
      </c>
      <c r="C46" s="693"/>
      <c r="D46" t="str">
        <f>'Comext annuel - EUROSTAT'!B55</f>
        <v>Riz décortiqué {riz cargo ou riz brun}, à grains longs, présentant un rapport longueur/largeur &gt; 2 mais &lt; 3 (à l'excl. du riz étuvé)</v>
      </c>
      <c r="E46" s="86">
        <f>'Comext annuel - EUROSTAT'!C55/10^4</f>
        <v>2.021245</v>
      </c>
      <c r="F46" s="86">
        <f>'Comext annuel - EUROSTAT'!D55/10^4</f>
        <v>0.99803799999999987</v>
      </c>
      <c r="G46" s="86">
        <f>'Comext annuel - EUROSTAT'!E55/10^4</f>
        <v>0.65276099999999992</v>
      </c>
      <c r="H46" s="86">
        <f>'Comext annuel - EUROSTAT'!F55/10^4</f>
        <v>0.20352500000000001</v>
      </c>
      <c r="I46" s="86">
        <f>'Comext annuel - EUROSTAT'!G55/10^4</f>
        <v>0.275478</v>
      </c>
      <c r="J46" s="86">
        <f>'Comext annuel - EUROSTAT'!H55/10^4</f>
        <v>8.4920000000000009E-2</v>
      </c>
      <c r="K46" s="509">
        <f>SUM('Comext mensuel - EUROSTAT'!C55,'Comext mensuel - EUROSTAT'!E55,'Comext mensuel - EUROSTAT'!G55,'Comext mensuel - EUROSTAT'!I55,'Comext mensuel - EUROSTAT'!K55,'Comext mensuel - EUROSTAT'!M55,'Comext mensuel - EUROSTAT'!O55,'Comext mensuel - EUROSTAT'!Q55,'Comext mensuel - EUROSTAT'!S55,'Comext mensuel - EUROSTAT'!U55,'Comext mensuel - EUROSTAT'!W55,'Comext mensuel - EUROSTAT'!Y55)/10^4</f>
        <v>3.1793940000000003</v>
      </c>
      <c r="L46" s="509">
        <f>SUM('Comext mensuel - EUROSTAT'!D55,'Comext mensuel - EUROSTAT'!F55,'Comext mensuel - EUROSTAT'!H55,'Comext mensuel - EUROSTAT'!J55,'Comext mensuel - EUROSTAT'!L55,'Comext mensuel - EUROSTAT'!N55,'Comext mensuel - EUROSTAT'!P55,'Comext mensuel - EUROSTAT'!R55,'Comext mensuel - EUROSTAT'!T55,'Comext mensuel - EUROSTAT'!V55,'Comext mensuel - EUROSTAT'!X55,'Comext mensuel - EUROSTAT'!Z55)/10^4</f>
        <v>0.64090500000000006</v>
      </c>
      <c r="M46" s="509">
        <f>SUM('Comext mensuel - EUROSTAT'!AA55,'Comext mensuel - EUROSTAT'!AC55,'Comext mensuel - EUROSTAT'!AE55,'Comext mensuel - EUROSTAT'!AG55,'Comext mensuel - EUROSTAT'!AI55,'Comext mensuel - EUROSTAT'!AK55,'Comext mensuel - EUROSTAT'!AM55,'Comext mensuel - EUROSTAT'!AO55,'Comext mensuel - EUROSTAT'!AQ55,'Comext mensuel - EUROSTAT'!AS55,'Comext mensuel - EUROSTAT'!AU55,'Comext mensuel - EUROSTAT'!AW55)/10^4</f>
        <v>0.65726899999999999</v>
      </c>
      <c r="N46" s="509">
        <f>SUM('Comext mensuel - EUROSTAT'!AB55,'Comext mensuel - EUROSTAT'!AD55,'Comext mensuel - EUROSTAT'!AF55,'Comext mensuel - EUROSTAT'!AH55,'Comext mensuel - EUROSTAT'!AJ55,'Comext mensuel - EUROSTAT'!AL55,'Comext mensuel - EUROSTAT'!AN55,'Comext mensuel - EUROSTAT'!AP55,'Comext mensuel - EUROSTAT'!AR55,'Comext mensuel - EUROSTAT'!AT55,'Comext mensuel - EUROSTAT'!AV55,'Comext mensuel - EUROSTAT'!AX55)/10^4</f>
        <v>0.329959</v>
      </c>
      <c r="O46" s="509">
        <f>SUM('Comext mensuel - EUROSTAT'!AY55,'Comext mensuel - EUROSTAT'!BA55,'Comext mensuel - EUROSTAT'!BC55,'Comext mensuel - EUROSTAT'!BE55,'Comext mensuel - EUROSTAT'!BG55,'Comext mensuel - EUROSTAT'!BI55,'Comext mensuel - EUROSTAT'!BK55,'Comext mensuel - EUROSTAT'!BM55,'Comext mensuel - EUROSTAT'!BO55,'Comext mensuel - EUROSTAT'!BQ55,'Comext mensuel - EUROSTAT'!BS55,'Comext mensuel - EUROSTAT'!BU55)/10^4</f>
        <v>0.25257600000000002</v>
      </c>
      <c r="P46" s="509">
        <f>SUM('Comext mensuel - EUROSTAT'!AZ55,'Comext mensuel - EUROSTAT'!BB55,'Comext mensuel - EUROSTAT'!BD55,'Comext mensuel - EUROSTAT'!BF55,'Comext mensuel - EUROSTAT'!BH55,'Comext mensuel - EUROSTAT'!BJ55,'Comext mensuel - EUROSTAT'!BL55,'Comext mensuel - EUROSTAT'!BN55,'Comext mensuel - EUROSTAT'!BP55,'Comext mensuel - EUROSTAT'!BR55,'Comext mensuel - EUROSTAT'!BT55,'Comext mensuel - EUROSTAT'!BV55)/10^4</f>
        <v>7.0630999999999999E-2</v>
      </c>
    </row>
    <row r="47" spans="1:16">
      <c r="A47" t="s">
        <v>309</v>
      </c>
      <c r="B47" t="s">
        <v>956</v>
      </c>
      <c r="C47" s="693"/>
      <c r="D47" t="str">
        <f>'Comext annuel - EUROSTAT'!B56</f>
        <v>Riz décortiqué {riz cargo ou riz brun}, à grains longs, présentant un rapport longueur/largeur &gt;= 3 (à l'excl. du riz étuvé)</v>
      </c>
      <c r="E47" s="86">
        <f>'Comext annuel - EUROSTAT'!C56/10^4</f>
        <v>74.316615999999996</v>
      </c>
      <c r="F47" s="86">
        <f>'Comext annuel - EUROSTAT'!D56/10^4</f>
        <v>3.4850089999999998</v>
      </c>
      <c r="G47" s="86">
        <f>'Comext annuel - EUROSTAT'!E56/10^4</f>
        <v>60.271583999999997</v>
      </c>
      <c r="H47" s="86">
        <f>'Comext annuel - EUROSTAT'!F56/10^4</f>
        <v>2.3544290000000001</v>
      </c>
      <c r="I47" s="86">
        <f>'Comext annuel - EUROSTAT'!G56/10^4</f>
        <v>52.459580000000003</v>
      </c>
      <c r="J47" s="86">
        <f>'Comext annuel - EUROSTAT'!H56/10^4</f>
        <v>0.37458000000000002</v>
      </c>
      <c r="K47" s="509">
        <f>SUM('Comext mensuel - EUROSTAT'!C56,'Comext mensuel - EUROSTAT'!E56,'Comext mensuel - EUROSTAT'!G56,'Comext mensuel - EUROSTAT'!I56,'Comext mensuel - EUROSTAT'!K56,'Comext mensuel - EUROSTAT'!M56,'Comext mensuel - EUROSTAT'!O56,'Comext mensuel - EUROSTAT'!Q56,'Comext mensuel - EUROSTAT'!S56,'Comext mensuel - EUROSTAT'!U56,'Comext mensuel - EUROSTAT'!W56,'Comext mensuel - EUROSTAT'!Y56)/10^4</f>
        <v>68.683876999999995</v>
      </c>
      <c r="L47" s="509">
        <f>SUM('Comext mensuel - EUROSTAT'!D56,'Comext mensuel - EUROSTAT'!F56,'Comext mensuel - EUROSTAT'!H56,'Comext mensuel - EUROSTAT'!J56,'Comext mensuel - EUROSTAT'!L56,'Comext mensuel - EUROSTAT'!N56,'Comext mensuel - EUROSTAT'!P56,'Comext mensuel - EUROSTAT'!R56,'Comext mensuel - EUROSTAT'!T56,'Comext mensuel - EUROSTAT'!V56,'Comext mensuel - EUROSTAT'!X56,'Comext mensuel - EUROSTAT'!Z56)/10^4</f>
        <v>2.8653769999999996</v>
      </c>
      <c r="M47" s="509">
        <f>SUM('Comext mensuel - EUROSTAT'!AA56,'Comext mensuel - EUROSTAT'!AC56,'Comext mensuel - EUROSTAT'!AE56,'Comext mensuel - EUROSTAT'!AG56,'Comext mensuel - EUROSTAT'!AI56,'Comext mensuel - EUROSTAT'!AK56,'Comext mensuel - EUROSTAT'!AM56,'Comext mensuel - EUROSTAT'!AO56,'Comext mensuel - EUROSTAT'!AQ56,'Comext mensuel - EUROSTAT'!AS56,'Comext mensuel - EUROSTAT'!AU56,'Comext mensuel - EUROSTAT'!AW56)/10^4</f>
        <v>62.900356000000002</v>
      </c>
      <c r="N47" s="509">
        <f>SUM('Comext mensuel - EUROSTAT'!AB56,'Comext mensuel - EUROSTAT'!AD56,'Comext mensuel - EUROSTAT'!AF56,'Comext mensuel - EUROSTAT'!AH56,'Comext mensuel - EUROSTAT'!AJ56,'Comext mensuel - EUROSTAT'!AL56,'Comext mensuel - EUROSTAT'!AN56,'Comext mensuel - EUROSTAT'!AP56,'Comext mensuel - EUROSTAT'!AR56,'Comext mensuel - EUROSTAT'!AT56,'Comext mensuel - EUROSTAT'!AV56,'Comext mensuel - EUROSTAT'!AX56)/10^4</f>
        <v>1.7629860000000002</v>
      </c>
      <c r="O47" s="509">
        <f>SUM('Comext mensuel - EUROSTAT'!AY56,'Comext mensuel - EUROSTAT'!BA56,'Comext mensuel - EUROSTAT'!BC56,'Comext mensuel - EUROSTAT'!BE56,'Comext mensuel - EUROSTAT'!BG56,'Comext mensuel - EUROSTAT'!BI56,'Comext mensuel - EUROSTAT'!BK56,'Comext mensuel - EUROSTAT'!BM56,'Comext mensuel - EUROSTAT'!BO56,'Comext mensuel - EUROSTAT'!BQ56,'Comext mensuel - EUROSTAT'!BS56,'Comext mensuel - EUROSTAT'!BU56)/10^4</f>
        <v>40.3279</v>
      </c>
      <c r="P47" s="509">
        <f>SUM('Comext mensuel - EUROSTAT'!AZ56,'Comext mensuel - EUROSTAT'!BB56,'Comext mensuel - EUROSTAT'!BD56,'Comext mensuel - EUROSTAT'!BF56,'Comext mensuel - EUROSTAT'!BH56,'Comext mensuel - EUROSTAT'!BJ56,'Comext mensuel - EUROSTAT'!BL56,'Comext mensuel - EUROSTAT'!BN56,'Comext mensuel - EUROSTAT'!BP56,'Comext mensuel - EUROSTAT'!BR56,'Comext mensuel - EUROSTAT'!BT56,'Comext mensuel - EUROSTAT'!BV56)/10^4</f>
        <v>1.14869</v>
      </c>
    </row>
    <row r="48" spans="1:16">
      <c r="A48" t="s">
        <v>309</v>
      </c>
      <c r="B48" t="s">
        <v>956</v>
      </c>
      <c r="C48" s="693"/>
      <c r="D48" t="str">
        <f>'Comext annuel - EUROSTAT'!B57</f>
        <v>Riz décortiqué {riz cargo ou riz brun},(sauf à grains ronds, moyens ou longs, et riz étuvé)</v>
      </c>
      <c r="E48" s="86" t="e">
        <f>'Comext annuel - EUROSTAT'!C57/10^4</f>
        <v>#VALUE!</v>
      </c>
      <c r="F48" s="86" t="e">
        <f>'Comext annuel - EUROSTAT'!D57/10^4</f>
        <v>#VALUE!</v>
      </c>
      <c r="G48" s="86" t="e">
        <f>'Comext annuel - EUROSTAT'!E57/10^4</f>
        <v>#VALUE!</v>
      </c>
      <c r="H48" s="86" t="e">
        <f>'Comext annuel - EUROSTAT'!F57/10^4</f>
        <v>#VALUE!</v>
      </c>
      <c r="I48" s="86">
        <f>'Comext annuel - EUROSTAT'!G57/10^4</f>
        <v>8.2129999999999998E-3</v>
      </c>
      <c r="J48" s="86">
        <f>'Comext annuel - EUROSTAT'!H57/10^4</f>
        <v>2.313E-3</v>
      </c>
      <c r="K48" s="509">
        <f>SUM('Comext mensuel - EUROSTAT'!C57,'Comext mensuel - EUROSTAT'!E57,'Comext mensuel - EUROSTAT'!G57,'Comext mensuel - EUROSTAT'!I57,'Comext mensuel - EUROSTAT'!K57,'Comext mensuel - EUROSTAT'!M57,'Comext mensuel - EUROSTAT'!O57,'Comext mensuel - EUROSTAT'!Q57,'Comext mensuel - EUROSTAT'!S57,'Comext mensuel - EUROSTAT'!U57,'Comext mensuel - EUROSTAT'!W57,'Comext mensuel - EUROSTAT'!Y57)/10^4</f>
        <v>0</v>
      </c>
      <c r="L48" s="509">
        <f>SUM('Comext mensuel - EUROSTAT'!D57,'Comext mensuel - EUROSTAT'!F57,'Comext mensuel - EUROSTAT'!H57,'Comext mensuel - EUROSTAT'!J57,'Comext mensuel - EUROSTAT'!L57,'Comext mensuel - EUROSTAT'!N57,'Comext mensuel - EUROSTAT'!P57,'Comext mensuel - EUROSTAT'!R57,'Comext mensuel - EUROSTAT'!T57,'Comext mensuel - EUROSTAT'!V57,'Comext mensuel - EUROSTAT'!X57,'Comext mensuel - EUROSTAT'!Z57)/10^4</f>
        <v>0</v>
      </c>
      <c r="M48" s="509">
        <f>SUM('Comext mensuel - EUROSTAT'!AA57,'Comext mensuel - EUROSTAT'!AC57,'Comext mensuel - EUROSTAT'!AE57,'Comext mensuel - EUROSTAT'!AG57,'Comext mensuel - EUROSTAT'!AI57,'Comext mensuel - EUROSTAT'!AK57,'Comext mensuel - EUROSTAT'!AM57,'Comext mensuel - EUROSTAT'!AO57,'Comext mensuel - EUROSTAT'!AQ57,'Comext mensuel - EUROSTAT'!AS57,'Comext mensuel - EUROSTAT'!AU57,'Comext mensuel - EUROSTAT'!AW57)/10^4</f>
        <v>0</v>
      </c>
      <c r="N48" s="509">
        <f>SUM('Comext mensuel - EUROSTAT'!AB57,'Comext mensuel - EUROSTAT'!AD57,'Comext mensuel - EUROSTAT'!AF57,'Comext mensuel - EUROSTAT'!AH57,'Comext mensuel - EUROSTAT'!AJ57,'Comext mensuel - EUROSTAT'!AL57,'Comext mensuel - EUROSTAT'!AN57,'Comext mensuel - EUROSTAT'!AP57,'Comext mensuel - EUROSTAT'!AR57,'Comext mensuel - EUROSTAT'!AT57,'Comext mensuel - EUROSTAT'!AV57,'Comext mensuel - EUROSTAT'!AX57)/10^4</f>
        <v>0</v>
      </c>
      <c r="O48" s="509">
        <f>SUM('Comext mensuel - EUROSTAT'!AY57,'Comext mensuel - EUROSTAT'!BA57,'Comext mensuel - EUROSTAT'!BC57,'Comext mensuel - EUROSTAT'!BE57,'Comext mensuel - EUROSTAT'!BG57,'Comext mensuel - EUROSTAT'!BI57,'Comext mensuel - EUROSTAT'!BK57,'Comext mensuel - EUROSTAT'!BM57,'Comext mensuel - EUROSTAT'!BO57,'Comext mensuel - EUROSTAT'!BQ57,'Comext mensuel - EUROSTAT'!BS57,'Comext mensuel - EUROSTAT'!BU57)/10^4</f>
        <v>0.40848199999999996</v>
      </c>
      <c r="P48" s="509">
        <f>SUM('Comext mensuel - EUROSTAT'!AZ57,'Comext mensuel - EUROSTAT'!BB57,'Comext mensuel - EUROSTAT'!BD57,'Comext mensuel - EUROSTAT'!BF57,'Comext mensuel - EUROSTAT'!BH57,'Comext mensuel - EUROSTAT'!BJ57,'Comext mensuel - EUROSTAT'!BL57,'Comext mensuel - EUROSTAT'!BN57,'Comext mensuel - EUROSTAT'!BP57,'Comext mensuel - EUROSTAT'!BR57,'Comext mensuel - EUROSTAT'!BT57,'Comext mensuel - EUROSTAT'!BV57)/10^4</f>
        <v>1.4468999999999999E-2</v>
      </c>
    </row>
    <row r="49" spans="1:16">
      <c r="A49" t="s">
        <v>309</v>
      </c>
      <c r="B49" t="s">
        <v>959</v>
      </c>
      <c r="C49" s="693"/>
      <c r="D49" t="str">
        <f>'Comext annuel - EUROSTAT'!B58</f>
        <v>Riz semi-blanchi, étuvé, à grains ronds</v>
      </c>
      <c r="E49" s="86">
        <f>'Comext annuel - EUROSTAT'!C58/10^4</f>
        <v>0.23540100000000003</v>
      </c>
      <c r="F49" s="86">
        <f>'Comext annuel - EUROSTAT'!D58/10^4</f>
        <v>9.5560000000000003E-3</v>
      </c>
      <c r="G49" s="86">
        <f>'Comext annuel - EUROSTAT'!E58/10^4</f>
        <v>0.10569000000000001</v>
      </c>
      <c r="H49" s="86">
        <f>'Comext annuel - EUROSTAT'!F58/10^4</f>
        <v>1.4747E-2</v>
      </c>
      <c r="I49" s="86">
        <f>'Comext annuel - EUROSTAT'!G58/10^4</f>
        <v>0.302589</v>
      </c>
      <c r="J49" s="86">
        <f>'Comext annuel - EUROSTAT'!H58/10^4</f>
        <v>5.4999999999999997E-3</v>
      </c>
      <c r="K49" s="509">
        <f>SUM('Comext mensuel - EUROSTAT'!C58,'Comext mensuel - EUROSTAT'!E58,'Comext mensuel - EUROSTAT'!G58,'Comext mensuel - EUROSTAT'!I58,'Comext mensuel - EUROSTAT'!K58,'Comext mensuel - EUROSTAT'!M58,'Comext mensuel - EUROSTAT'!O58,'Comext mensuel - EUROSTAT'!Q58,'Comext mensuel - EUROSTAT'!S58,'Comext mensuel - EUROSTAT'!U58,'Comext mensuel - EUROSTAT'!W58,'Comext mensuel - EUROSTAT'!Y58)/10^4</f>
        <v>0.55164099999999994</v>
      </c>
      <c r="L49" s="509">
        <f>SUM('Comext mensuel - EUROSTAT'!D58,'Comext mensuel - EUROSTAT'!F58,'Comext mensuel - EUROSTAT'!H58,'Comext mensuel - EUROSTAT'!J58,'Comext mensuel - EUROSTAT'!L58,'Comext mensuel - EUROSTAT'!N58,'Comext mensuel - EUROSTAT'!P58,'Comext mensuel - EUROSTAT'!R58,'Comext mensuel - EUROSTAT'!T58,'Comext mensuel - EUROSTAT'!V58,'Comext mensuel - EUROSTAT'!X58,'Comext mensuel - EUROSTAT'!Z58)/10^4</f>
        <v>1.6296999999999996E-2</v>
      </c>
      <c r="M49" s="509">
        <f>SUM('Comext mensuel - EUROSTAT'!AA58,'Comext mensuel - EUROSTAT'!AC58,'Comext mensuel - EUROSTAT'!AE58,'Comext mensuel - EUROSTAT'!AG58,'Comext mensuel - EUROSTAT'!AI58,'Comext mensuel - EUROSTAT'!AK58,'Comext mensuel - EUROSTAT'!AM58,'Comext mensuel - EUROSTAT'!AO58,'Comext mensuel - EUROSTAT'!AQ58,'Comext mensuel - EUROSTAT'!AS58,'Comext mensuel - EUROSTAT'!AU58,'Comext mensuel - EUROSTAT'!AW58)/10^4</f>
        <v>0.132884</v>
      </c>
      <c r="N49" s="509">
        <f>SUM('Comext mensuel - EUROSTAT'!AB58,'Comext mensuel - EUROSTAT'!AD58,'Comext mensuel - EUROSTAT'!AF58,'Comext mensuel - EUROSTAT'!AH58,'Comext mensuel - EUROSTAT'!AJ58,'Comext mensuel - EUROSTAT'!AL58,'Comext mensuel - EUROSTAT'!AN58,'Comext mensuel - EUROSTAT'!AP58,'Comext mensuel - EUROSTAT'!AR58,'Comext mensuel - EUROSTAT'!AT58,'Comext mensuel - EUROSTAT'!AV58,'Comext mensuel - EUROSTAT'!AX58)/10^4</f>
        <v>1.6258999999999999E-2</v>
      </c>
      <c r="O49" s="509">
        <f>SUM('Comext mensuel - EUROSTAT'!AY58,'Comext mensuel - EUROSTAT'!BA58,'Comext mensuel - EUROSTAT'!BC58,'Comext mensuel - EUROSTAT'!BE58,'Comext mensuel - EUROSTAT'!BG58,'Comext mensuel - EUROSTAT'!BI58,'Comext mensuel - EUROSTAT'!BK58,'Comext mensuel - EUROSTAT'!BM58,'Comext mensuel - EUROSTAT'!BO58,'Comext mensuel - EUROSTAT'!BQ58,'Comext mensuel - EUROSTAT'!BS58,'Comext mensuel - EUROSTAT'!BU58)/10^4</f>
        <v>0.14899900000000002</v>
      </c>
      <c r="P49" s="509">
        <f>SUM('Comext mensuel - EUROSTAT'!AZ58,'Comext mensuel - EUROSTAT'!BB58,'Comext mensuel - EUROSTAT'!BD58,'Comext mensuel - EUROSTAT'!BF58,'Comext mensuel - EUROSTAT'!BH58,'Comext mensuel - EUROSTAT'!BJ58,'Comext mensuel - EUROSTAT'!BL58,'Comext mensuel - EUROSTAT'!BN58,'Comext mensuel - EUROSTAT'!BP58,'Comext mensuel - EUROSTAT'!BR58,'Comext mensuel - EUROSTAT'!BT58,'Comext mensuel - EUROSTAT'!BV58)/10^4</f>
        <v>3.5996E-2</v>
      </c>
    </row>
    <row r="50" spans="1:16">
      <c r="A50" t="s">
        <v>309</v>
      </c>
      <c r="B50" t="s">
        <v>959</v>
      </c>
      <c r="C50" s="693"/>
      <c r="D50" t="str">
        <f>'Comext annuel - EUROSTAT'!B59</f>
        <v>Riz semi-blanchi, étuvé, à grains moyens</v>
      </c>
      <c r="E50" s="86">
        <f>'Comext annuel - EUROSTAT'!C59/10^4</f>
        <v>0.47339399999999998</v>
      </c>
      <c r="F50" s="86">
        <f>'Comext annuel - EUROSTAT'!D59/10^4</f>
        <v>0.13708000000000001</v>
      </c>
      <c r="G50" s="86">
        <f>'Comext annuel - EUROSTAT'!E59/10^4</f>
        <v>0.52676400000000001</v>
      </c>
      <c r="H50" s="86">
        <f>'Comext annuel - EUROSTAT'!F59/10^4</f>
        <v>0.14061099999999999</v>
      </c>
      <c r="I50" s="86">
        <f>'Comext annuel - EUROSTAT'!G59/10^4</f>
        <v>0.53982200000000002</v>
      </c>
      <c r="J50" s="86">
        <f>'Comext annuel - EUROSTAT'!H59/10^4</f>
        <v>2.6445999999999997E-2</v>
      </c>
      <c r="K50" s="509">
        <f>SUM('Comext mensuel - EUROSTAT'!C59,'Comext mensuel - EUROSTAT'!E59,'Comext mensuel - EUROSTAT'!G59,'Comext mensuel - EUROSTAT'!I59,'Comext mensuel - EUROSTAT'!K59,'Comext mensuel - EUROSTAT'!M59,'Comext mensuel - EUROSTAT'!O59,'Comext mensuel - EUROSTAT'!Q59,'Comext mensuel - EUROSTAT'!S59,'Comext mensuel - EUROSTAT'!U59,'Comext mensuel - EUROSTAT'!W59,'Comext mensuel - EUROSTAT'!Y59)/10^4</f>
        <v>0.42177600000000004</v>
      </c>
      <c r="L50" s="509">
        <f>SUM('Comext mensuel - EUROSTAT'!D59,'Comext mensuel - EUROSTAT'!F59,'Comext mensuel - EUROSTAT'!H59,'Comext mensuel - EUROSTAT'!J59,'Comext mensuel - EUROSTAT'!L59,'Comext mensuel - EUROSTAT'!N59,'Comext mensuel - EUROSTAT'!P59,'Comext mensuel - EUROSTAT'!R59,'Comext mensuel - EUROSTAT'!T59,'Comext mensuel - EUROSTAT'!V59,'Comext mensuel - EUROSTAT'!X59,'Comext mensuel - EUROSTAT'!Z59)/10^4</f>
        <v>7.1357999999999991E-2</v>
      </c>
      <c r="M50" s="509">
        <f>SUM('Comext mensuel - EUROSTAT'!AA59,'Comext mensuel - EUROSTAT'!AC59,'Comext mensuel - EUROSTAT'!AE59,'Comext mensuel - EUROSTAT'!AG59,'Comext mensuel - EUROSTAT'!AI59,'Comext mensuel - EUROSTAT'!AK59,'Comext mensuel - EUROSTAT'!AM59,'Comext mensuel - EUROSTAT'!AO59,'Comext mensuel - EUROSTAT'!AQ59,'Comext mensuel - EUROSTAT'!AS59,'Comext mensuel - EUROSTAT'!AU59,'Comext mensuel - EUROSTAT'!AW59)/10^4</f>
        <v>0.50301600000000013</v>
      </c>
      <c r="N50" s="509">
        <f>SUM('Comext mensuel - EUROSTAT'!AB59,'Comext mensuel - EUROSTAT'!AD59,'Comext mensuel - EUROSTAT'!AF59,'Comext mensuel - EUROSTAT'!AH59,'Comext mensuel - EUROSTAT'!AJ59,'Comext mensuel - EUROSTAT'!AL59,'Comext mensuel - EUROSTAT'!AN59,'Comext mensuel - EUROSTAT'!AP59,'Comext mensuel - EUROSTAT'!AR59,'Comext mensuel - EUROSTAT'!AT59,'Comext mensuel - EUROSTAT'!AV59,'Comext mensuel - EUROSTAT'!AX59)/10^4</f>
        <v>4.6663000000000003E-2</v>
      </c>
      <c r="O50" s="509">
        <f>SUM('Comext mensuel - EUROSTAT'!AY59,'Comext mensuel - EUROSTAT'!BA59,'Comext mensuel - EUROSTAT'!BC59,'Comext mensuel - EUROSTAT'!BE59,'Comext mensuel - EUROSTAT'!BG59,'Comext mensuel - EUROSTAT'!BI59,'Comext mensuel - EUROSTAT'!BK59,'Comext mensuel - EUROSTAT'!BM59,'Comext mensuel - EUROSTAT'!BO59,'Comext mensuel - EUROSTAT'!BQ59,'Comext mensuel - EUROSTAT'!BS59,'Comext mensuel - EUROSTAT'!BU59)/10^4</f>
        <v>0.44593699999999997</v>
      </c>
      <c r="P50" s="509">
        <f>SUM('Comext mensuel - EUROSTAT'!AZ59,'Comext mensuel - EUROSTAT'!BB59,'Comext mensuel - EUROSTAT'!BD59,'Comext mensuel - EUROSTAT'!BF59,'Comext mensuel - EUROSTAT'!BH59,'Comext mensuel - EUROSTAT'!BJ59,'Comext mensuel - EUROSTAT'!BL59,'Comext mensuel - EUROSTAT'!BN59,'Comext mensuel - EUROSTAT'!BP59,'Comext mensuel - EUROSTAT'!BR59,'Comext mensuel - EUROSTAT'!BT59,'Comext mensuel - EUROSTAT'!BV59)/10^4</f>
        <v>1.2352999999999999E-2</v>
      </c>
    </row>
    <row r="51" spans="1:16">
      <c r="A51" t="s">
        <v>309</v>
      </c>
      <c r="B51" t="s">
        <v>959</v>
      </c>
      <c r="C51" s="693"/>
      <c r="D51" t="str">
        <f>'Comext annuel - EUROSTAT'!B60</f>
        <v>Riz semi-blanchi, étuvé, à grains longs, présentant un rapport longueur/largeur &gt; 2 mais &lt; 3</v>
      </c>
      <c r="E51" s="86">
        <f>'Comext annuel - EUROSTAT'!C60/10^4</f>
        <v>0.23630700000000002</v>
      </c>
      <c r="F51" s="86">
        <f>'Comext annuel - EUROSTAT'!D60/10^4</f>
        <v>4.4589999999999998E-2</v>
      </c>
      <c r="G51" s="86">
        <f>'Comext annuel - EUROSTAT'!E60/10^4</f>
        <v>0.41397299999999998</v>
      </c>
      <c r="H51" s="86">
        <f>'Comext annuel - EUROSTAT'!F60/10^4</f>
        <v>6.6009999999999999E-2</v>
      </c>
      <c r="I51" s="86">
        <f>'Comext annuel - EUROSTAT'!G60/10^4</f>
        <v>0.277584</v>
      </c>
      <c r="J51" s="86">
        <f>'Comext annuel - EUROSTAT'!H60/10^4</f>
        <v>9.7277000000000002E-2</v>
      </c>
      <c r="K51" s="509">
        <f>SUM('Comext mensuel - EUROSTAT'!C60,'Comext mensuel - EUROSTAT'!E60,'Comext mensuel - EUROSTAT'!G60,'Comext mensuel - EUROSTAT'!I60,'Comext mensuel - EUROSTAT'!K60,'Comext mensuel - EUROSTAT'!M60,'Comext mensuel - EUROSTAT'!O60,'Comext mensuel - EUROSTAT'!Q60,'Comext mensuel - EUROSTAT'!S60,'Comext mensuel - EUROSTAT'!U60,'Comext mensuel - EUROSTAT'!W60,'Comext mensuel - EUROSTAT'!Y60)/10^4</f>
        <v>0.41849500000000001</v>
      </c>
      <c r="L51" s="509">
        <f>SUM('Comext mensuel - EUROSTAT'!D60,'Comext mensuel - EUROSTAT'!F60,'Comext mensuel - EUROSTAT'!H60,'Comext mensuel - EUROSTAT'!J60,'Comext mensuel - EUROSTAT'!L60,'Comext mensuel - EUROSTAT'!N60,'Comext mensuel - EUROSTAT'!P60,'Comext mensuel - EUROSTAT'!R60,'Comext mensuel - EUROSTAT'!T60,'Comext mensuel - EUROSTAT'!V60,'Comext mensuel - EUROSTAT'!X60,'Comext mensuel - EUROSTAT'!Z60)/10^4</f>
        <v>5.9459999999999999E-3</v>
      </c>
      <c r="M51" s="509">
        <f>SUM('Comext mensuel - EUROSTAT'!AA60,'Comext mensuel - EUROSTAT'!AC60,'Comext mensuel - EUROSTAT'!AE60,'Comext mensuel - EUROSTAT'!AG60,'Comext mensuel - EUROSTAT'!AI60,'Comext mensuel - EUROSTAT'!AK60,'Comext mensuel - EUROSTAT'!AM60,'Comext mensuel - EUROSTAT'!AO60,'Comext mensuel - EUROSTAT'!AQ60,'Comext mensuel - EUROSTAT'!AS60,'Comext mensuel - EUROSTAT'!AU60,'Comext mensuel - EUROSTAT'!AW60)/10^4</f>
        <v>0.27684399999999998</v>
      </c>
      <c r="N51" s="509">
        <f>SUM('Comext mensuel - EUROSTAT'!AB60,'Comext mensuel - EUROSTAT'!AD60,'Comext mensuel - EUROSTAT'!AF60,'Comext mensuel - EUROSTAT'!AH60,'Comext mensuel - EUROSTAT'!AJ60,'Comext mensuel - EUROSTAT'!AL60,'Comext mensuel - EUROSTAT'!AN60,'Comext mensuel - EUROSTAT'!AP60,'Comext mensuel - EUROSTAT'!AR60,'Comext mensuel - EUROSTAT'!AT60,'Comext mensuel - EUROSTAT'!AV60,'Comext mensuel - EUROSTAT'!AX60)/10^4</f>
        <v>9.1835E-2</v>
      </c>
      <c r="O51" s="509">
        <f>SUM('Comext mensuel - EUROSTAT'!AY60,'Comext mensuel - EUROSTAT'!BA60,'Comext mensuel - EUROSTAT'!BC60,'Comext mensuel - EUROSTAT'!BE60,'Comext mensuel - EUROSTAT'!BG60,'Comext mensuel - EUROSTAT'!BI60,'Comext mensuel - EUROSTAT'!BK60,'Comext mensuel - EUROSTAT'!BM60,'Comext mensuel - EUROSTAT'!BO60,'Comext mensuel - EUROSTAT'!BQ60,'Comext mensuel - EUROSTAT'!BS60,'Comext mensuel - EUROSTAT'!BU60)/10^4</f>
        <v>0.27315800000000001</v>
      </c>
      <c r="P51" s="509">
        <f>SUM('Comext mensuel - EUROSTAT'!AZ60,'Comext mensuel - EUROSTAT'!BB60,'Comext mensuel - EUROSTAT'!BD60,'Comext mensuel - EUROSTAT'!BF60,'Comext mensuel - EUROSTAT'!BH60,'Comext mensuel - EUROSTAT'!BJ60,'Comext mensuel - EUROSTAT'!BL60,'Comext mensuel - EUROSTAT'!BN60,'Comext mensuel - EUROSTAT'!BP60,'Comext mensuel - EUROSTAT'!BR60,'Comext mensuel - EUROSTAT'!BT60,'Comext mensuel - EUROSTAT'!BV60)/10^4</f>
        <v>8.8499999999999995E-2</v>
      </c>
    </row>
    <row r="52" spans="1:16">
      <c r="A52" t="s">
        <v>309</v>
      </c>
      <c r="B52" t="s">
        <v>959</v>
      </c>
      <c r="C52" s="693"/>
      <c r="D52" t="str">
        <f>'Comext annuel - EUROSTAT'!B61</f>
        <v>Riz semi-blanchi, étuvé, à grains longs, présentant un rapport longueur/largeur &gt;= 3</v>
      </c>
      <c r="E52" s="86">
        <f>'Comext annuel - EUROSTAT'!C61/10^4</f>
        <v>4.1998790000000001</v>
      </c>
      <c r="F52" s="86">
        <f>'Comext annuel - EUROSTAT'!D61/10^4</f>
        <v>2.5411000000000003E-2</v>
      </c>
      <c r="G52" s="86">
        <f>'Comext annuel - EUROSTAT'!E61/10^4</f>
        <v>4.2124790000000001</v>
      </c>
      <c r="H52" s="86">
        <f>'Comext annuel - EUROSTAT'!F61/10^4</f>
        <v>2.5384999999999998E-2</v>
      </c>
      <c r="I52" s="86">
        <f>'Comext annuel - EUROSTAT'!G61/10^4</f>
        <v>1.1542459999999999</v>
      </c>
      <c r="J52" s="86">
        <f>'Comext annuel - EUROSTAT'!H61/10^4</f>
        <v>5.5340999999999994E-2</v>
      </c>
      <c r="K52" s="509">
        <f>SUM('Comext mensuel - EUROSTAT'!C61,'Comext mensuel - EUROSTAT'!E61,'Comext mensuel - EUROSTAT'!G61,'Comext mensuel - EUROSTAT'!I61,'Comext mensuel - EUROSTAT'!K61,'Comext mensuel - EUROSTAT'!M61,'Comext mensuel - EUROSTAT'!O61,'Comext mensuel - EUROSTAT'!Q61,'Comext mensuel - EUROSTAT'!S61,'Comext mensuel - EUROSTAT'!U61,'Comext mensuel - EUROSTAT'!W61,'Comext mensuel - EUROSTAT'!Y61)/10^4</f>
        <v>4.3475640000000011</v>
      </c>
      <c r="L52" s="509">
        <f>SUM('Comext mensuel - EUROSTAT'!D61,'Comext mensuel - EUROSTAT'!F61,'Comext mensuel - EUROSTAT'!H61,'Comext mensuel - EUROSTAT'!J61,'Comext mensuel - EUROSTAT'!L61,'Comext mensuel - EUROSTAT'!N61,'Comext mensuel - EUROSTAT'!P61,'Comext mensuel - EUROSTAT'!R61,'Comext mensuel - EUROSTAT'!T61,'Comext mensuel - EUROSTAT'!V61,'Comext mensuel - EUROSTAT'!X61,'Comext mensuel - EUROSTAT'!Z61)/10^4</f>
        <v>1.0631E-2</v>
      </c>
      <c r="M52" s="509">
        <f>SUM('Comext mensuel - EUROSTAT'!AA61,'Comext mensuel - EUROSTAT'!AC61,'Comext mensuel - EUROSTAT'!AE61,'Comext mensuel - EUROSTAT'!AG61,'Comext mensuel - EUROSTAT'!AI61,'Comext mensuel - EUROSTAT'!AK61,'Comext mensuel - EUROSTAT'!AM61,'Comext mensuel - EUROSTAT'!AO61,'Comext mensuel - EUROSTAT'!AQ61,'Comext mensuel - EUROSTAT'!AS61,'Comext mensuel - EUROSTAT'!AU61,'Comext mensuel - EUROSTAT'!AW61)/10^4</f>
        <v>4.1770299999999994</v>
      </c>
      <c r="N52" s="509">
        <f>SUM('Comext mensuel - EUROSTAT'!AB61,'Comext mensuel - EUROSTAT'!AD61,'Comext mensuel - EUROSTAT'!AF61,'Comext mensuel - EUROSTAT'!AH61,'Comext mensuel - EUROSTAT'!AJ61,'Comext mensuel - EUROSTAT'!AL61,'Comext mensuel - EUROSTAT'!AN61,'Comext mensuel - EUROSTAT'!AP61,'Comext mensuel - EUROSTAT'!AR61,'Comext mensuel - EUROSTAT'!AT61,'Comext mensuel - EUROSTAT'!AV61,'Comext mensuel - EUROSTAT'!AX61)/10^4</f>
        <v>4.8352000000000006E-2</v>
      </c>
      <c r="O52" s="509">
        <f>SUM('Comext mensuel - EUROSTAT'!AY61,'Comext mensuel - EUROSTAT'!BA61,'Comext mensuel - EUROSTAT'!BC61,'Comext mensuel - EUROSTAT'!BE61,'Comext mensuel - EUROSTAT'!BG61,'Comext mensuel - EUROSTAT'!BI61,'Comext mensuel - EUROSTAT'!BK61,'Comext mensuel - EUROSTAT'!BM61,'Comext mensuel - EUROSTAT'!BO61,'Comext mensuel - EUROSTAT'!BQ61,'Comext mensuel - EUROSTAT'!BS61,'Comext mensuel - EUROSTAT'!BU61)/10^4</f>
        <v>1.2786819999999999</v>
      </c>
      <c r="P52" s="509">
        <f>SUM('Comext mensuel - EUROSTAT'!AZ61,'Comext mensuel - EUROSTAT'!BB61,'Comext mensuel - EUROSTAT'!BD61,'Comext mensuel - EUROSTAT'!BF61,'Comext mensuel - EUROSTAT'!BH61,'Comext mensuel - EUROSTAT'!BJ61,'Comext mensuel - EUROSTAT'!BL61,'Comext mensuel - EUROSTAT'!BN61,'Comext mensuel - EUROSTAT'!BP61,'Comext mensuel - EUROSTAT'!BR61,'Comext mensuel - EUROSTAT'!BT61,'Comext mensuel - EUROSTAT'!BV61)/10^4</f>
        <v>3.6186000000000003E-2</v>
      </c>
    </row>
    <row r="53" spans="1:16">
      <c r="A53" t="s">
        <v>309</v>
      </c>
      <c r="B53" t="s">
        <v>959</v>
      </c>
      <c r="C53" s="693"/>
      <c r="D53" t="str">
        <f>'Comext annuel - EUROSTAT'!B62</f>
        <v>Riz semi-blanchi,étuvé (sauf à grains ronds, moyens ou longs)</v>
      </c>
      <c r="E53" s="86" t="e">
        <f>'Comext annuel - EUROSTAT'!C62/10^4</f>
        <v>#VALUE!</v>
      </c>
      <c r="F53" s="86" t="e">
        <f>'Comext annuel - EUROSTAT'!D62/10^4</f>
        <v>#VALUE!</v>
      </c>
      <c r="G53" s="86" t="e">
        <f>'Comext annuel - EUROSTAT'!E62/10^4</f>
        <v>#VALUE!</v>
      </c>
      <c r="H53" s="86" t="e">
        <f>'Comext annuel - EUROSTAT'!F62/10^4</f>
        <v>#VALUE!</v>
      </c>
      <c r="I53" s="86">
        <f>'Comext annuel - EUROSTAT'!G62/10^4</f>
        <v>0.21605700000000003</v>
      </c>
      <c r="J53" s="86">
        <f>'Comext annuel - EUROSTAT'!H62/10^4</f>
        <v>4.5000000000000003E-5</v>
      </c>
      <c r="K53" s="509">
        <f>SUM('Comext mensuel - EUROSTAT'!C62,'Comext mensuel - EUROSTAT'!E62,'Comext mensuel - EUROSTAT'!G62,'Comext mensuel - EUROSTAT'!I62,'Comext mensuel - EUROSTAT'!K62,'Comext mensuel - EUROSTAT'!M62,'Comext mensuel - EUROSTAT'!O62,'Comext mensuel - EUROSTAT'!Q62,'Comext mensuel - EUROSTAT'!S62,'Comext mensuel - EUROSTAT'!U62,'Comext mensuel - EUROSTAT'!W62,'Comext mensuel - EUROSTAT'!Y62)/10^4</f>
        <v>0</v>
      </c>
      <c r="L53" s="509">
        <f>SUM('Comext mensuel - EUROSTAT'!D62,'Comext mensuel - EUROSTAT'!F62,'Comext mensuel - EUROSTAT'!H62,'Comext mensuel - EUROSTAT'!J62,'Comext mensuel - EUROSTAT'!L62,'Comext mensuel - EUROSTAT'!N62,'Comext mensuel - EUROSTAT'!P62,'Comext mensuel - EUROSTAT'!R62,'Comext mensuel - EUROSTAT'!T62,'Comext mensuel - EUROSTAT'!V62,'Comext mensuel - EUROSTAT'!X62,'Comext mensuel - EUROSTAT'!Z62)/10^4</f>
        <v>0</v>
      </c>
      <c r="M53" s="509">
        <f>SUM('Comext mensuel - EUROSTAT'!AA62,'Comext mensuel - EUROSTAT'!AC62,'Comext mensuel - EUROSTAT'!AE62,'Comext mensuel - EUROSTAT'!AG62,'Comext mensuel - EUROSTAT'!AI62,'Comext mensuel - EUROSTAT'!AK62,'Comext mensuel - EUROSTAT'!AM62,'Comext mensuel - EUROSTAT'!AO62,'Comext mensuel - EUROSTAT'!AQ62,'Comext mensuel - EUROSTAT'!AS62,'Comext mensuel - EUROSTAT'!AU62,'Comext mensuel - EUROSTAT'!AW62)/10^4</f>
        <v>0</v>
      </c>
      <c r="N53" s="509">
        <f>SUM('Comext mensuel - EUROSTAT'!AB62,'Comext mensuel - EUROSTAT'!AD62,'Comext mensuel - EUROSTAT'!AF62,'Comext mensuel - EUROSTAT'!AH62,'Comext mensuel - EUROSTAT'!AJ62,'Comext mensuel - EUROSTAT'!AL62,'Comext mensuel - EUROSTAT'!AN62,'Comext mensuel - EUROSTAT'!AP62,'Comext mensuel - EUROSTAT'!AR62,'Comext mensuel - EUROSTAT'!AT62,'Comext mensuel - EUROSTAT'!AV62,'Comext mensuel - EUROSTAT'!AX62)/10^4</f>
        <v>0</v>
      </c>
      <c r="O53" s="509">
        <f>SUM('Comext mensuel - EUROSTAT'!AY62,'Comext mensuel - EUROSTAT'!BA62,'Comext mensuel - EUROSTAT'!BC62,'Comext mensuel - EUROSTAT'!BE62,'Comext mensuel - EUROSTAT'!BG62,'Comext mensuel - EUROSTAT'!BI62,'Comext mensuel - EUROSTAT'!BK62,'Comext mensuel - EUROSTAT'!BM62,'Comext mensuel - EUROSTAT'!BO62,'Comext mensuel - EUROSTAT'!BQ62,'Comext mensuel - EUROSTAT'!BS62,'Comext mensuel - EUROSTAT'!BU62)/10^4</f>
        <v>0.220137</v>
      </c>
      <c r="P53" s="509">
        <f>SUM('Comext mensuel - EUROSTAT'!AZ62,'Comext mensuel - EUROSTAT'!BB62,'Comext mensuel - EUROSTAT'!BD62,'Comext mensuel - EUROSTAT'!BF62,'Comext mensuel - EUROSTAT'!BH62,'Comext mensuel - EUROSTAT'!BJ62,'Comext mensuel - EUROSTAT'!BL62,'Comext mensuel - EUROSTAT'!BN62,'Comext mensuel - EUROSTAT'!BP62,'Comext mensuel - EUROSTAT'!BR62,'Comext mensuel - EUROSTAT'!BT62,'Comext mensuel - EUROSTAT'!BV62)/10^4</f>
        <v>3.9100000000000003E-2</v>
      </c>
    </row>
    <row r="54" spans="1:16">
      <c r="A54" t="s">
        <v>309</v>
      </c>
      <c r="B54" t="s">
        <v>958</v>
      </c>
      <c r="C54" s="693"/>
      <c r="D54" t="str">
        <f>'Comext annuel - EUROSTAT'!B63</f>
        <v>Riz semi-blanchi, à grains ronds (à l'excl. du riz étuvé)</v>
      </c>
      <c r="E54" s="86">
        <f>'Comext annuel - EUROSTAT'!C63/10^4</f>
        <v>2.4788189999999997</v>
      </c>
      <c r="F54" s="86">
        <f>'Comext annuel - EUROSTAT'!D63/10^4</f>
        <v>3.2626999999999996E-2</v>
      </c>
      <c r="G54" s="86">
        <f>'Comext annuel - EUROSTAT'!E63/10^4</f>
        <v>4.2225349999999997</v>
      </c>
      <c r="H54" s="86">
        <f>'Comext annuel - EUROSTAT'!F63/10^4</f>
        <v>8.5819999999999994E-3</v>
      </c>
      <c r="I54" s="86">
        <f>'Comext annuel - EUROSTAT'!G63/10^4</f>
        <v>3.572924</v>
      </c>
      <c r="J54" s="86">
        <f>'Comext annuel - EUROSTAT'!H63/10^4</f>
        <v>1.0115000000000001E-2</v>
      </c>
      <c r="K54" s="509">
        <f>SUM('Comext mensuel - EUROSTAT'!C63,'Comext mensuel - EUROSTAT'!E63,'Comext mensuel - EUROSTAT'!G63,'Comext mensuel - EUROSTAT'!I63,'Comext mensuel - EUROSTAT'!K63,'Comext mensuel - EUROSTAT'!M63,'Comext mensuel - EUROSTAT'!O63,'Comext mensuel - EUROSTAT'!Q63,'Comext mensuel - EUROSTAT'!S63,'Comext mensuel - EUROSTAT'!U63,'Comext mensuel - EUROSTAT'!W63,'Comext mensuel - EUROSTAT'!Y63)/10^4</f>
        <v>2.9724589999999997</v>
      </c>
      <c r="L54" s="509">
        <f>SUM('Comext mensuel - EUROSTAT'!D63,'Comext mensuel - EUROSTAT'!F63,'Comext mensuel - EUROSTAT'!H63,'Comext mensuel - EUROSTAT'!J63,'Comext mensuel - EUROSTAT'!L63,'Comext mensuel - EUROSTAT'!N63,'Comext mensuel - EUROSTAT'!P63,'Comext mensuel - EUROSTAT'!R63,'Comext mensuel - EUROSTAT'!T63,'Comext mensuel - EUROSTAT'!V63,'Comext mensuel - EUROSTAT'!X63,'Comext mensuel - EUROSTAT'!Z63)/10^4</f>
        <v>2.6669999999999999E-2</v>
      </c>
      <c r="M54" s="509">
        <f>SUM('Comext mensuel - EUROSTAT'!AA63,'Comext mensuel - EUROSTAT'!AC63,'Comext mensuel - EUROSTAT'!AE63,'Comext mensuel - EUROSTAT'!AG63,'Comext mensuel - EUROSTAT'!AI63,'Comext mensuel - EUROSTAT'!AK63,'Comext mensuel - EUROSTAT'!AM63,'Comext mensuel - EUROSTAT'!AO63,'Comext mensuel - EUROSTAT'!AQ63,'Comext mensuel - EUROSTAT'!AS63,'Comext mensuel - EUROSTAT'!AU63,'Comext mensuel - EUROSTAT'!AW63)/10^4</f>
        <v>3.9015760000000004</v>
      </c>
      <c r="N54" s="509">
        <f>SUM('Comext mensuel - EUROSTAT'!AB63,'Comext mensuel - EUROSTAT'!AD63,'Comext mensuel - EUROSTAT'!AF63,'Comext mensuel - EUROSTAT'!AH63,'Comext mensuel - EUROSTAT'!AJ63,'Comext mensuel - EUROSTAT'!AL63,'Comext mensuel - EUROSTAT'!AN63,'Comext mensuel - EUROSTAT'!AP63,'Comext mensuel - EUROSTAT'!AR63,'Comext mensuel - EUROSTAT'!AT63,'Comext mensuel - EUROSTAT'!AV63,'Comext mensuel - EUROSTAT'!AX63)/10^4</f>
        <v>9.6149999999999985E-3</v>
      </c>
      <c r="O54" s="509">
        <f>SUM('Comext mensuel - EUROSTAT'!AY63,'Comext mensuel - EUROSTAT'!BA63,'Comext mensuel - EUROSTAT'!BC63,'Comext mensuel - EUROSTAT'!BE63,'Comext mensuel - EUROSTAT'!BG63,'Comext mensuel - EUROSTAT'!BI63,'Comext mensuel - EUROSTAT'!BK63,'Comext mensuel - EUROSTAT'!BM63,'Comext mensuel - EUROSTAT'!BO63,'Comext mensuel - EUROSTAT'!BQ63,'Comext mensuel - EUROSTAT'!BS63,'Comext mensuel - EUROSTAT'!BU63)/10^4</f>
        <v>3.5245619999999995</v>
      </c>
      <c r="P54" s="509">
        <f>SUM('Comext mensuel - EUROSTAT'!AZ63,'Comext mensuel - EUROSTAT'!BB63,'Comext mensuel - EUROSTAT'!BD63,'Comext mensuel - EUROSTAT'!BF63,'Comext mensuel - EUROSTAT'!BH63,'Comext mensuel - EUROSTAT'!BJ63,'Comext mensuel - EUROSTAT'!BL63,'Comext mensuel - EUROSTAT'!BN63,'Comext mensuel - EUROSTAT'!BP63,'Comext mensuel - EUROSTAT'!BR63,'Comext mensuel - EUROSTAT'!BT63,'Comext mensuel - EUROSTAT'!BV63)/10^4</f>
        <v>8.852999999999998E-3</v>
      </c>
    </row>
    <row r="55" spans="1:16">
      <c r="A55" t="s">
        <v>309</v>
      </c>
      <c r="B55" t="s">
        <v>958</v>
      </c>
      <c r="C55" s="693"/>
      <c r="D55" t="str">
        <f>'Comext annuel - EUROSTAT'!B64</f>
        <v>Riz semi-blanchi, à grains moyens (à l'excl. du riz étuvé)</v>
      </c>
      <c r="E55" s="86">
        <f>'Comext annuel - EUROSTAT'!C64/10^4</f>
        <v>0.70749600000000001</v>
      </c>
      <c r="F55" s="86">
        <f>'Comext annuel - EUROSTAT'!D64/10^4</f>
        <v>0.10567599999999999</v>
      </c>
      <c r="G55" s="86">
        <f>'Comext annuel - EUROSTAT'!E64/10^4</f>
        <v>1.068087</v>
      </c>
      <c r="H55" s="86">
        <f>'Comext annuel - EUROSTAT'!F64/10^4</f>
        <v>5.7188999999999997E-2</v>
      </c>
      <c r="I55" s="86">
        <f>'Comext annuel - EUROSTAT'!G64/10^4</f>
        <v>1.1635899999999999</v>
      </c>
      <c r="J55" s="86">
        <f>'Comext annuel - EUROSTAT'!H64/10^4</f>
        <v>9.3738000000000002E-2</v>
      </c>
      <c r="K55" s="509">
        <f>SUM('Comext mensuel - EUROSTAT'!C64,'Comext mensuel - EUROSTAT'!E64,'Comext mensuel - EUROSTAT'!G64,'Comext mensuel - EUROSTAT'!I64,'Comext mensuel - EUROSTAT'!K64,'Comext mensuel - EUROSTAT'!M64,'Comext mensuel - EUROSTAT'!O64,'Comext mensuel - EUROSTAT'!Q64,'Comext mensuel - EUROSTAT'!S64,'Comext mensuel - EUROSTAT'!U64,'Comext mensuel - EUROSTAT'!W64,'Comext mensuel - EUROSTAT'!Y64)/10^4</f>
        <v>1.355378</v>
      </c>
      <c r="L55" s="509">
        <f>SUM('Comext mensuel - EUROSTAT'!D64,'Comext mensuel - EUROSTAT'!F64,'Comext mensuel - EUROSTAT'!H64,'Comext mensuel - EUROSTAT'!J64,'Comext mensuel - EUROSTAT'!L64,'Comext mensuel - EUROSTAT'!N64,'Comext mensuel - EUROSTAT'!P64,'Comext mensuel - EUROSTAT'!R64,'Comext mensuel - EUROSTAT'!T64,'Comext mensuel - EUROSTAT'!V64,'Comext mensuel - EUROSTAT'!X64,'Comext mensuel - EUROSTAT'!Z64)/10^4</f>
        <v>6.6697999999999993E-2</v>
      </c>
      <c r="M55" s="509">
        <f>SUM('Comext mensuel - EUROSTAT'!AA64,'Comext mensuel - EUROSTAT'!AC64,'Comext mensuel - EUROSTAT'!AE64,'Comext mensuel - EUROSTAT'!AG64,'Comext mensuel - EUROSTAT'!AI64,'Comext mensuel - EUROSTAT'!AK64,'Comext mensuel - EUROSTAT'!AM64,'Comext mensuel - EUROSTAT'!AO64,'Comext mensuel - EUROSTAT'!AQ64,'Comext mensuel - EUROSTAT'!AS64,'Comext mensuel - EUROSTAT'!AU64,'Comext mensuel - EUROSTAT'!AW64)/10^4</f>
        <v>0.94929299999999983</v>
      </c>
      <c r="N55" s="509">
        <f>SUM('Comext mensuel - EUROSTAT'!AB64,'Comext mensuel - EUROSTAT'!AD64,'Comext mensuel - EUROSTAT'!AF64,'Comext mensuel - EUROSTAT'!AH64,'Comext mensuel - EUROSTAT'!AJ64,'Comext mensuel - EUROSTAT'!AL64,'Comext mensuel - EUROSTAT'!AN64,'Comext mensuel - EUROSTAT'!AP64,'Comext mensuel - EUROSTAT'!AR64,'Comext mensuel - EUROSTAT'!AT64,'Comext mensuel - EUROSTAT'!AV64,'Comext mensuel - EUROSTAT'!AX64)/10^4</f>
        <v>8.1027000000000002E-2</v>
      </c>
      <c r="O55" s="509">
        <f>SUM('Comext mensuel - EUROSTAT'!AY64,'Comext mensuel - EUROSTAT'!BA64,'Comext mensuel - EUROSTAT'!BC64,'Comext mensuel - EUROSTAT'!BE64,'Comext mensuel - EUROSTAT'!BG64,'Comext mensuel - EUROSTAT'!BI64,'Comext mensuel - EUROSTAT'!BK64,'Comext mensuel - EUROSTAT'!BM64,'Comext mensuel - EUROSTAT'!BO64,'Comext mensuel - EUROSTAT'!BQ64,'Comext mensuel - EUROSTAT'!BS64,'Comext mensuel - EUROSTAT'!BU64)/10^4</f>
        <v>1.1201909999999999</v>
      </c>
      <c r="P55" s="509">
        <f>SUM('Comext mensuel - EUROSTAT'!AZ64,'Comext mensuel - EUROSTAT'!BB64,'Comext mensuel - EUROSTAT'!BD64,'Comext mensuel - EUROSTAT'!BF64,'Comext mensuel - EUROSTAT'!BH64,'Comext mensuel - EUROSTAT'!BJ64,'Comext mensuel - EUROSTAT'!BL64,'Comext mensuel - EUROSTAT'!BN64,'Comext mensuel - EUROSTAT'!BP64,'Comext mensuel - EUROSTAT'!BR64,'Comext mensuel - EUROSTAT'!BT64,'Comext mensuel - EUROSTAT'!BV64)/10^4</f>
        <v>8.9503999999999986E-2</v>
      </c>
    </row>
    <row r="56" spans="1:16">
      <c r="A56" t="s">
        <v>309</v>
      </c>
      <c r="B56" t="s">
        <v>958</v>
      </c>
      <c r="C56" s="693"/>
      <c r="D56" t="str">
        <f>'Comext annuel - EUROSTAT'!B65</f>
        <v>Riz semi-blanchi, à grains longs, présentant un rapport longueur/largeur &gt; 2 mais &lt; 3 (à l'excl. du riz étuvé)</v>
      </c>
      <c r="E56" s="86">
        <f>'Comext annuel - EUROSTAT'!C65/10^4</f>
        <v>1.3674649999999999</v>
      </c>
      <c r="F56" s="86">
        <f>'Comext annuel - EUROSTAT'!D65/10^4</f>
        <v>5.8320000000000004E-2</v>
      </c>
      <c r="G56" s="86">
        <f>'Comext annuel - EUROSTAT'!E65/10^4</f>
        <v>1.387176</v>
      </c>
      <c r="H56" s="86">
        <f>'Comext annuel - EUROSTAT'!F65/10^4</f>
        <v>0.14022599999999999</v>
      </c>
      <c r="I56" s="86">
        <f>'Comext annuel - EUROSTAT'!G65/10^4</f>
        <v>1.0068489999999999</v>
      </c>
      <c r="J56" s="86">
        <f>'Comext annuel - EUROSTAT'!H65/10^4</f>
        <v>9.8827999999999999E-2</v>
      </c>
      <c r="K56" s="509">
        <f>SUM('Comext mensuel - EUROSTAT'!C65,'Comext mensuel - EUROSTAT'!E65,'Comext mensuel - EUROSTAT'!G65,'Comext mensuel - EUROSTAT'!I65,'Comext mensuel - EUROSTAT'!K65,'Comext mensuel - EUROSTAT'!M65,'Comext mensuel - EUROSTAT'!O65,'Comext mensuel - EUROSTAT'!Q65,'Comext mensuel - EUROSTAT'!S65,'Comext mensuel - EUROSTAT'!U65,'Comext mensuel - EUROSTAT'!W65,'Comext mensuel - EUROSTAT'!Y65)/10^4</f>
        <v>1.4831159999999999</v>
      </c>
      <c r="L56" s="509">
        <f>SUM('Comext mensuel - EUROSTAT'!D65,'Comext mensuel - EUROSTAT'!F65,'Comext mensuel - EUROSTAT'!H65,'Comext mensuel - EUROSTAT'!J65,'Comext mensuel - EUROSTAT'!L65,'Comext mensuel - EUROSTAT'!N65,'Comext mensuel - EUROSTAT'!P65,'Comext mensuel - EUROSTAT'!R65,'Comext mensuel - EUROSTAT'!T65,'Comext mensuel - EUROSTAT'!V65,'Comext mensuel - EUROSTAT'!X65,'Comext mensuel - EUROSTAT'!Z65)/10^4</f>
        <v>5.5180999999999994E-2</v>
      </c>
      <c r="M56" s="509">
        <f>SUM('Comext mensuel - EUROSTAT'!AA65,'Comext mensuel - EUROSTAT'!AC65,'Comext mensuel - EUROSTAT'!AE65,'Comext mensuel - EUROSTAT'!AG65,'Comext mensuel - EUROSTAT'!AI65,'Comext mensuel - EUROSTAT'!AK65,'Comext mensuel - EUROSTAT'!AM65,'Comext mensuel - EUROSTAT'!AO65,'Comext mensuel - EUROSTAT'!AQ65,'Comext mensuel - EUROSTAT'!AS65,'Comext mensuel - EUROSTAT'!AU65,'Comext mensuel - EUROSTAT'!AW65)/10^4</f>
        <v>1.8115029999999999</v>
      </c>
      <c r="N56" s="509">
        <f>SUM('Comext mensuel - EUROSTAT'!AB65,'Comext mensuel - EUROSTAT'!AD65,'Comext mensuel - EUROSTAT'!AF65,'Comext mensuel - EUROSTAT'!AH65,'Comext mensuel - EUROSTAT'!AJ65,'Comext mensuel - EUROSTAT'!AL65,'Comext mensuel - EUROSTAT'!AN65,'Comext mensuel - EUROSTAT'!AP65,'Comext mensuel - EUROSTAT'!AR65,'Comext mensuel - EUROSTAT'!AT65,'Comext mensuel - EUROSTAT'!AV65,'Comext mensuel - EUROSTAT'!AX65)/10^4</f>
        <v>0.15892200000000001</v>
      </c>
      <c r="O56" s="509">
        <f>SUM('Comext mensuel - EUROSTAT'!AY65,'Comext mensuel - EUROSTAT'!BA65,'Comext mensuel - EUROSTAT'!BC65,'Comext mensuel - EUROSTAT'!BE65,'Comext mensuel - EUROSTAT'!BG65,'Comext mensuel - EUROSTAT'!BI65,'Comext mensuel - EUROSTAT'!BK65,'Comext mensuel - EUROSTAT'!BM65,'Comext mensuel - EUROSTAT'!BO65,'Comext mensuel - EUROSTAT'!BQ65,'Comext mensuel - EUROSTAT'!BS65,'Comext mensuel - EUROSTAT'!BU65)/10^4</f>
        <v>1.1423239999999999</v>
      </c>
      <c r="P56" s="509">
        <f>SUM('Comext mensuel - EUROSTAT'!AZ65,'Comext mensuel - EUROSTAT'!BB65,'Comext mensuel - EUROSTAT'!BD65,'Comext mensuel - EUROSTAT'!BF65,'Comext mensuel - EUROSTAT'!BH65,'Comext mensuel - EUROSTAT'!BJ65,'Comext mensuel - EUROSTAT'!BL65,'Comext mensuel - EUROSTAT'!BN65,'Comext mensuel - EUROSTAT'!BP65,'Comext mensuel - EUROSTAT'!BR65,'Comext mensuel - EUROSTAT'!BT65,'Comext mensuel - EUROSTAT'!BV65)/10^4</f>
        <v>8.659E-2</v>
      </c>
    </row>
    <row r="57" spans="1:16">
      <c r="A57" t="s">
        <v>309</v>
      </c>
      <c r="B57" t="s">
        <v>958</v>
      </c>
      <c r="C57" s="693"/>
      <c r="D57" t="str">
        <f>'Comext annuel - EUROSTAT'!B66</f>
        <v>Riz semi-blanchi, à grains longs, présentant un rapport longueur/largeur &gt;= 3 (à l'excl. du riz étuvé)</v>
      </c>
      <c r="E57" s="86">
        <f>'Comext annuel - EUROSTAT'!C66/10^4</f>
        <v>2.4871180000000002</v>
      </c>
      <c r="F57" s="86">
        <f>'Comext annuel - EUROSTAT'!D66/10^4</f>
        <v>2.9854000000000002E-2</v>
      </c>
      <c r="G57" s="86">
        <f>'Comext annuel - EUROSTAT'!E66/10^4</f>
        <v>2.088241</v>
      </c>
      <c r="H57" s="86">
        <f>'Comext annuel - EUROSTAT'!F66/10^4</f>
        <v>2.0565E-2</v>
      </c>
      <c r="I57" s="86">
        <f>'Comext annuel - EUROSTAT'!G66/10^4</f>
        <v>2.27182</v>
      </c>
      <c r="J57" s="86">
        <f>'Comext annuel - EUROSTAT'!H66/10^4</f>
        <v>3.6039000000000002E-2</v>
      </c>
      <c r="K57" s="509">
        <f>SUM('Comext mensuel - EUROSTAT'!C66,'Comext mensuel - EUROSTAT'!E66,'Comext mensuel - EUROSTAT'!G66,'Comext mensuel - EUROSTAT'!I66,'Comext mensuel - EUROSTAT'!K66,'Comext mensuel - EUROSTAT'!M66,'Comext mensuel - EUROSTAT'!O66,'Comext mensuel - EUROSTAT'!Q66,'Comext mensuel - EUROSTAT'!S66,'Comext mensuel - EUROSTAT'!U66,'Comext mensuel - EUROSTAT'!W66,'Comext mensuel - EUROSTAT'!Y66)/10^4</f>
        <v>2.2654920000000005</v>
      </c>
      <c r="L57" s="509">
        <f>SUM('Comext mensuel - EUROSTAT'!D66,'Comext mensuel - EUROSTAT'!F66,'Comext mensuel - EUROSTAT'!H66,'Comext mensuel - EUROSTAT'!J66,'Comext mensuel - EUROSTAT'!L66,'Comext mensuel - EUROSTAT'!N66,'Comext mensuel - EUROSTAT'!P66,'Comext mensuel - EUROSTAT'!R66,'Comext mensuel - EUROSTAT'!T66,'Comext mensuel - EUROSTAT'!V66,'Comext mensuel - EUROSTAT'!X66,'Comext mensuel - EUROSTAT'!Z66)/10^4</f>
        <v>3.3023999999999998E-2</v>
      </c>
      <c r="M57" s="509">
        <f>SUM('Comext mensuel - EUROSTAT'!AA66,'Comext mensuel - EUROSTAT'!AC66,'Comext mensuel - EUROSTAT'!AE66,'Comext mensuel - EUROSTAT'!AG66,'Comext mensuel - EUROSTAT'!AI66,'Comext mensuel - EUROSTAT'!AK66,'Comext mensuel - EUROSTAT'!AM66,'Comext mensuel - EUROSTAT'!AO66,'Comext mensuel - EUROSTAT'!AQ66,'Comext mensuel - EUROSTAT'!AS66,'Comext mensuel - EUROSTAT'!AU66,'Comext mensuel - EUROSTAT'!AW66)/10^4</f>
        <v>2.4897110000000002</v>
      </c>
      <c r="N57" s="509">
        <f>SUM('Comext mensuel - EUROSTAT'!AB66,'Comext mensuel - EUROSTAT'!AD66,'Comext mensuel - EUROSTAT'!AF66,'Comext mensuel - EUROSTAT'!AH66,'Comext mensuel - EUROSTAT'!AJ66,'Comext mensuel - EUROSTAT'!AL66,'Comext mensuel - EUROSTAT'!AN66,'Comext mensuel - EUROSTAT'!AP66,'Comext mensuel - EUROSTAT'!AR66,'Comext mensuel - EUROSTAT'!AT66,'Comext mensuel - EUROSTAT'!AV66,'Comext mensuel - EUROSTAT'!AX66)/10^4</f>
        <v>2.8787E-2</v>
      </c>
      <c r="O57" s="509">
        <f>SUM('Comext mensuel - EUROSTAT'!AY66,'Comext mensuel - EUROSTAT'!BA66,'Comext mensuel - EUROSTAT'!BC66,'Comext mensuel - EUROSTAT'!BE66,'Comext mensuel - EUROSTAT'!BG66,'Comext mensuel - EUROSTAT'!BI66,'Comext mensuel - EUROSTAT'!BK66,'Comext mensuel - EUROSTAT'!BM66,'Comext mensuel - EUROSTAT'!BO66,'Comext mensuel - EUROSTAT'!BQ66,'Comext mensuel - EUROSTAT'!BS66,'Comext mensuel - EUROSTAT'!BU66)/10^4</f>
        <v>2.4396289999999996</v>
      </c>
      <c r="P57" s="509">
        <f>SUM('Comext mensuel - EUROSTAT'!AZ66,'Comext mensuel - EUROSTAT'!BB66,'Comext mensuel - EUROSTAT'!BD66,'Comext mensuel - EUROSTAT'!BF66,'Comext mensuel - EUROSTAT'!BH66,'Comext mensuel - EUROSTAT'!BJ66,'Comext mensuel - EUROSTAT'!BL66,'Comext mensuel - EUROSTAT'!BN66,'Comext mensuel - EUROSTAT'!BP66,'Comext mensuel - EUROSTAT'!BR66,'Comext mensuel - EUROSTAT'!BT66,'Comext mensuel - EUROSTAT'!BV66)/10^4</f>
        <v>3.3204999999999998E-2</v>
      </c>
    </row>
    <row r="58" spans="1:16">
      <c r="A58" t="s">
        <v>309</v>
      </c>
      <c r="B58" t="s">
        <v>958</v>
      </c>
      <c r="C58" s="693"/>
      <c r="D58" t="str">
        <f>'Comext annuel - EUROSTAT'!B67</f>
        <v>Riz semi-blanchi (sauf à grains ronds, moyens ou longs, et riz étuvé)</v>
      </c>
      <c r="E58" s="86" t="e">
        <f>'Comext annuel - EUROSTAT'!C67/10^4</f>
        <v>#VALUE!</v>
      </c>
      <c r="F58" s="86" t="e">
        <f>'Comext annuel - EUROSTAT'!D67/10^4</f>
        <v>#VALUE!</v>
      </c>
      <c r="G58" s="86" t="e">
        <f>'Comext annuel - EUROSTAT'!E67/10^4</f>
        <v>#VALUE!</v>
      </c>
      <c r="H58" s="86" t="e">
        <f>'Comext annuel - EUROSTAT'!F67/10^4</f>
        <v>#VALUE!</v>
      </c>
      <c r="I58" s="86">
        <f>'Comext annuel - EUROSTAT'!G67/10^4</f>
        <v>7.1669999999999998E-3</v>
      </c>
      <c r="J58" s="86">
        <f>'Comext annuel - EUROSTAT'!H67/10^4</f>
        <v>7.0860000000000003E-3</v>
      </c>
      <c r="K58" s="509">
        <f>SUM('Comext mensuel - EUROSTAT'!C67,'Comext mensuel - EUROSTAT'!E67,'Comext mensuel - EUROSTAT'!G67,'Comext mensuel - EUROSTAT'!I67,'Comext mensuel - EUROSTAT'!K67,'Comext mensuel - EUROSTAT'!M67,'Comext mensuel - EUROSTAT'!O67,'Comext mensuel - EUROSTAT'!Q67,'Comext mensuel - EUROSTAT'!S67,'Comext mensuel - EUROSTAT'!U67,'Comext mensuel - EUROSTAT'!W67,'Comext mensuel - EUROSTAT'!Y67)/10^4</f>
        <v>0</v>
      </c>
      <c r="L58" s="509">
        <f>SUM('Comext mensuel - EUROSTAT'!D67,'Comext mensuel - EUROSTAT'!F67,'Comext mensuel - EUROSTAT'!H67,'Comext mensuel - EUROSTAT'!J67,'Comext mensuel - EUROSTAT'!L67,'Comext mensuel - EUROSTAT'!N67,'Comext mensuel - EUROSTAT'!P67,'Comext mensuel - EUROSTAT'!R67,'Comext mensuel - EUROSTAT'!T67,'Comext mensuel - EUROSTAT'!V67,'Comext mensuel - EUROSTAT'!X67,'Comext mensuel - EUROSTAT'!Z67)/10^4</f>
        <v>0</v>
      </c>
      <c r="M58" s="509">
        <f>SUM('Comext mensuel - EUROSTAT'!AA67,'Comext mensuel - EUROSTAT'!AC67,'Comext mensuel - EUROSTAT'!AE67,'Comext mensuel - EUROSTAT'!AG67,'Comext mensuel - EUROSTAT'!AI67,'Comext mensuel - EUROSTAT'!AK67,'Comext mensuel - EUROSTAT'!AM67,'Comext mensuel - EUROSTAT'!AO67,'Comext mensuel - EUROSTAT'!AQ67,'Comext mensuel - EUROSTAT'!AS67,'Comext mensuel - EUROSTAT'!AU67,'Comext mensuel - EUROSTAT'!AW67)/10^4</f>
        <v>0</v>
      </c>
      <c r="N58" s="509">
        <f>SUM('Comext mensuel - EUROSTAT'!AB67,'Comext mensuel - EUROSTAT'!AD67,'Comext mensuel - EUROSTAT'!AF67,'Comext mensuel - EUROSTAT'!AH67,'Comext mensuel - EUROSTAT'!AJ67,'Comext mensuel - EUROSTAT'!AL67,'Comext mensuel - EUROSTAT'!AN67,'Comext mensuel - EUROSTAT'!AP67,'Comext mensuel - EUROSTAT'!AR67,'Comext mensuel - EUROSTAT'!AT67,'Comext mensuel - EUROSTAT'!AV67,'Comext mensuel - EUROSTAT'!AX67)/10^4</f>
        <v>0</v>
      </c>
      <c r="O58" s="509">
        <f>SUM('Comext mensuel - EUROSTAT'!AY67,'Comext mensuel - EUROSTAT'!BA67,'Comext mensuel - EUROSTAT'!BC67,'Comext mensuel - EUROSTAT'!BE67,'Comext mensuel - EUROSTAT'!BG67,'Comext mensuel - EUROSTAT'!BI67,'Comext mensuel - EUROSTAT'!BK67,'Comext mensuel - EUROSTAT'!BM67,'Comext mensuel - EUROSTAT'!BO67,'Comext mensuel - EUROSTAT'!BQ67,'Comext mensuel - EUROSTAT'!BS67,'Comext mensuel - EUROSTAT'!BU67)/10^4</f>
        <v>7.4390000000000012E-3</v>
      </c>
      <c r="P58" s="509">
        <f>SUM('Comext mensuel - EUROSTAT'!AZ67,'Comext mensuel - EUROSTAT'!BB67,'Comext mensuel - EUROSTAT'!BD67,'Comext mensuel - EUROSTAT'!BF67,'Comext mensuel - EUROSTAT'!BH67,'Comext mensuel - EUROSTAT'!BJ67,'Comext mensuel - EUROSTAT'!BL67,'Comext mensuel - EUROSTAT'!BN67,'Comext mensuel - EUROSTAT'!BP67,'Comext mensuel - EUROSTAT'!BR67,'Comext mensuel - EUROSTAT'!BT67,'Comext mensuel - EUROSTAT'!BV67)/10^4</f>
        <v>7.1200000000000005E-3</v>
      </c>
    </row>
    <row r="59" spans="1:16">
      <c r="A59" t="s">
        <v>309</v>
      </c>
      <c r="B59" t="s">
        <v>960</v>
      </c>
      <c r="C59" s="693"/>
      <c r="D59" t="str">
        <f>'Comext annuel - EUROSTAT'!B68</f>
        <v>Riz blanchi, étuvé, à grains ronds</v>
      </c>
      <c r="E59" s="86">
        <f>'Comext annuel - EUROSTAT'!C68/10^4</f>
        <v>0.86569300000000005</v>
      </c>
      <c r="F59" s="86">
        <f>'Comext annuel - EUROSTAT'!D68/10^4</f>
        <v>1.0891E-2</v>
      </c>
      <c r="G59" s="86">
        <f>'Comext annuel - EUROSTAT'!E68/10^4</f>
        <v>1.1926350000000001</v>
      </c>
      <c r="H59" s="86">
        <f>'Comext annuel - EUROSTAT'!F68/10^4</f>
        <v>1.6490999999999999E-2</v>
      </c>
      <c r="I59" s="86">
        <f>'Comext annuel - EUROSTAT'!G68/10^4</f>
        <v>3.5600510000000001</v>
      </c>
      <c r="J59" s="86">
        <f>'Comext annuel - EUROSTAT'!H68/10^4</f>
        <v>6.8876999999999994E-2</v>
      </c>
      <c r="K59" s="509">
        <f>SUM('Comext mensuel - EUROSTAT'!C68,'Comext mensuel - EUROSTAT'!E68,'Comext mensuel - EUROSTAT'!G68,'Comext mensuel - EUROSTAT'!I68,'Comext mensuel - EUROSTAT'!K68,'Comext mensuel - EUROSTAT'!M68,'Comext mensuel - EUROSTAT'!O68,'Comext mensuel - EUROSTAT'!Q68,'Comext mensuel - EUROSTAT'!S68,'Comext mensuel - EUROSTAT'!U68,'Comext mensuel - EUROSTAT'!W68,'Comext mensuel - EUROSTAT'!Y68)/10^4</f>
        <v>0.98744399999999988</v>
      </c>
      <c r="L59" s="509">
        <f>SUM('Comext mensuel - EUROSTAT'!D68,'Comext mensuel - EUROSTAT'!F68,'Comext mensuel - EUROSTAT'!H68,'Comext mensuel - EUROSTAT'!J68,'Comext mensuel - EUROSTAT'!L68,'Comext mensuel - EUROSTAT'!N68,'Comext mensuel - EUROSTAT'!P68,'Comext mensuel - EUROSTAT'!R68,'Comext mensuel - EUROSTAT'!T68,'Comext mensuel - EUROSTAT'!V68,'Comext mensuel - EUROSTAT'!X68,'Comext mensuel - EUROSTAT'!Z68)/10^4</f>
        <v>1.2599000000000001E-2</v>
      </c>
      <c r="M59" s="509">
        <f>SUM('Comext mensuel - EUROSTAT'!AA68,'Comext mensuel - EUROSTAT'!AC68,'Comext mensuel - EUROSTAT'!AE68,'Comext mensuel - EUROSTAT'!AG68,'Comext mensuel - EUROSTAT'!AI68,'Comext mensuel - EUROSTAT'!AK68,'Comext mensuel - EUROSTAT'!AM68,'Comext mensuel - EUROSTAT'!AO68,'Comext mensuel - EUROSTAT'!AQ68,'Comext mensuel - EUROSTAT'!AS68,'Comext mensuel - EUROSTAT'!AU68,'Comext mensuel - EUROSTAT'!AW68)/10^4</f>
        <v>0.95762000000000003</v>
      </c>
      <c r="N59" s="509">
        <f>SUM('Comext mensuel - EUROSTAT'!AB68,'Comext mensuel - EUROSTAT'!AD68,'Comext mensuel - EUROSTAT'!AF68,'Comext mensuel - EUROSTAT'!AH68,'Comext mensuel - EUROSTAT'!AJ68,'Comext mensuel - EUROSTAT'!AL68,'Comext mensuel - EUROSTAT'!AN68,'Comext mensuel - EUROSTAT'!AP68,'Comext mensuel - EUROSTAT'!AR68,'Comext mensuel - EUROSTAT'!AT68,'Comext mensuel - EUROSTAT'!AV68,'Comext mensuel - EUROSTAT'!AX68)/10^4</f>
        <v>1.5144999999999995E-2</v>
      </c>
      <c r="O59" s="509">
        <f>SUM('Comext mensuel - EUROSTAT'!AY68,'Comext mensuel - EUROSTAT'!BA68,'Comext mensuel - EUROSTAT'!BC68,'Comext mensuel - EUROSTAT'!BE68,'Comext mensuel - EUROSTAT'!BG68,'Comext mensuel - EUROSTAT'!BI68,'Comext mensuel - EUROSTAT'!BK68,'Comext mensuel - EUROSTAT'!BM68,'Comext mensuel - EUROSTAT'!BO68,'Comext mensuel - EUROSTAT'!BQ68,'Comext mensuel - EUROSTAT'!BS68,'Comext mensuel - EUROSTAT'!BU68)/10^4</f>
        <v>5.3587150000000001</v>
      </c>
      <c r="P59" s="509">
        <f>SUM('Comext mensuel - EUROSTAT'!AZ68,'Comext mensuel - EUROSTAT'!BB68,'Comext mensuel - EUROSTAT'!BD68,'Comext mensuel - EUROSTAT'!BF68,'Comext mensuel - EUROSTAT'!BH68,'Comext mensuel - EUROSTAT'!BJ68,'Comext mensuel - EUROSTAT'!BL68,'Comext mensuel - EUROSTAT'!BN68,'Comext mensuel - EUROSTAT'!BP68,'Comext mensuel - EUROSTAT'!BR68,'Comext mensuel - EUROSTAT'!BT68,'Comext mensuel - EUROSTAT'!BV68)/10^4</f>
        <v>8.9806000000000011E-2</v>
      </c>
    </row>
    <row r="60" spans="1:16">
      <c r="A60" t="s">
        <v>309</v>
      </c>
      <c r="B60" t="s">
        <v>960</v>
      </c>
      <c r="C60" s="693"/>
      <c r="D60" t="str">
        <f>'Comext annuel - EUROSTAT'!B69</f>
        <v>Riz blanchi, étuvé, à grains moyens</v>
      </c>
      <c r="E60" s="86">
        <f>'Comext annuel - EUROSTAT'!C69/10^4</f>
        <v>2.068225</v>
      </c>
      <c r="F60" s="86">
        <f>'Comext annuel - EUROSTAT'!D69/10^4</f>
        <v>9.9385000000000001E-2</v>
      </c>
      <c r="G60" s="86">
        <f>'Comext annuel - EUROSTAT'!E69/10^4</f>
        <v>1.2558510000000001</v>
      </c>
      <c r="H60" s="86">
        <f>'Comext annuel - EUROSTAT'!F69/10^4</f>
        <v>0.25067</v>
      </c>
      <c r="I60" s="86">
        <f>'Comext annuel - EUROSTAT'!G69/10^4</f>
        <v>1.579418</v>
      </c>
      <c r="J60" s="86">
        <f>'Comext annuel - EUROSTAT'!H69/10^4</f>
        <v>0.49413699999999999</v>
      </c>
      <c r="K60" s="509">
        <f>SUM('Comext mensuel - EUROSTAT'!C69,'Comext mensuel - EUROSTAT'!E69,'Comext mensuel - EUROSTAT'!G69,'Comext mensuel - EUROSTAT'!I69,'Comext mensuel - EUROSTAT'!K69,'Comext mensuel - EUROSTAT'!M69,'Comext mensuel - EUROSTAT'!O69,'Comext mensuel - EUROSTAT'!Q69,'Comext mensuel - EUROSTAT'!S69,'Comext mensuel - EUROSTAT'!U69,'Comext mensuel - EUROSTAT'!W69,'Comext mensuel - EUROSTAT'!Y69)/10^4</f>
        <v>1.8774150000000001</v>
      </c>
      <c r="L60" s="509">
        <f>SUM('Comext mensuel - EUROSTAT'!D69,'Comext mensuel - EUROSTAT'!F69,'Comext mensuel - EUROSTAT'!H69,'Comext mensuel - EUROSTAT'!J69,'Comext mensuel - EUROSTAT'!L69,'Comext mensuel - EUROSTAT'!N69,'Comext mensuel - EUROSTAT'!P69,'Comext mensuel - EUROSTAT'!R69,'Comext mensuel - EUROSTAT'!T69,'Comext mensuel - EUROSTAT'!V69,'Comext mensuel - EUROSTAT'!X69,'Comext mensuel - EUROSTAT'!Z69)/10^4</f>
        <v>8.8261999999999993E-2</v>
      </c>
      <c r="M60" s="509">
        <f>SUM('Comext mensuel - EUROSTAT'!AA69,'Comext mensuel - EUROSTAT'!AC69,'Comext mensuel - EUROSTAT'!AE69,'Comext mensuel - EUROSTAT'!AG69,'Comext mensuel - EUROSTAT'!AI69,'Comext mensuel - EUROSTAT'!AK69,'Comext mensuel - EUROSTAT'!AM69,'Comext mensuel - EUROSTAT'!AO69,'Comext mensuel - EUROSTAT'!AQ69,'Comext mensuel - EUROSTAT'!AS69,'Comext mensuel - EUROSTAT'!AU69,'Comext mensuel - EUROSTAT'!AW69)/10^4</f>
        <v>0.73971999999999993</v>
      </c>
      <c r="N60" s="509">
        <f>SUM('Comext mensuel - EUROSTAT'!AB69,'Comext mensuel - EUROSTAT'!AD69,'Comext mensuel - EUROSTAT'!AF69,'Comext mensuel - EUROSTAT'!AH69,'Comext mensuel - EUROSTAT'!AJ69,'Comext mensuel - EUROSTAT'!AL69,'Comext mensuel - EUROSTAT'!AN69,'Comext mensuel - EUROSTAT'!AP69,'Comext mensuel - EUROSTAT'!AR69,'Comext mensuel - EUROSTAT'!AT69,'Comext mensuel - EUROSTAT'!AV69,'Comext mensuel - EUROSTAT'!AX69)/10^4</f>
        <v>6.5989999999999993E-2</v>
      </c>
      <c r="O60" s="509">
        <f>SUM('Comext mensuel - EUROSTAT'!AY69,'Comext mensuel - EUROSTAT'!BA69,'Comext mensuel - EUROSTAT'!BC69,'Comext mensuel - EUROSTAT'!BE69,'Comext mensuel - EUROSTAT'!BG69,'Comext mensuel - EUROSTAT'!BI69,'Comext mensuel - EUROSTAT'!BK69,'Comext mensuel - EUROSTAT'!BM69,'Comext mensuel - EUROSTAT'!BO69,'Comext mensuel - EUROSTAT'!BQ69,'Comext mensuel - EUROSTAT'!BS69,'Comext mensuel - EUROSTAT'!BU69)/10^4</f>
        <v>2.3597029999999997</v>
      </c>
      <c r="P60" s="509">
        <f>SUM('Comext mensuel - EUROSTAT'!AZ69,'Comext mensuel - EUROSTAT'!BB69,'Comext mensuel - EUROSTAT'!BD69,'Comext mensuel - EUROSTAT'!BF69,'Comext mensuel - EUROSTAT'!BH69,'Comext mensuel - EUROSTAT'!BJ69,'Comext mensuel - EUROSTAT'!BL69,'Comext mensuel - EUROSTAT'!BN69,'Comext mensuel - EUROSTAT'!BP69,'Comext mensuel - EUROSTAT'!BR69,'Comext mensuel - EUROSTAT'!BT69,'Comext mensuel - EUROSTAT'!BV69)/10^4</f>
        <v>0.20491500000000004</v>
      </c>
    </row>
    <row r="61" spans="1:16">
      <c r="A61" t="s">
        <v>309</v>
      </c>
      <c r="B61" t="s">
        <v>960</v>
      </c>
      <c r="C61" s="693"/>
      <c r="D61" t="str">
        <f>'Comext annuel - EUROSTAT'!B70</f>
        <v>Riz blanchi, étuvé, à grains longs, présentant un rapport longueur/largeur &gt; 2 mais &lt; 3</v>
      </c>
      <c r="E61" s="86">
        <f>'Comext annuel - EUROSTAT'!C70/10^4</f>
        <v>22.685181</v>
      </c>
      <c r="F61" s="86">
        <f>'Comext annuel - EUROSTAT'!D70/10^4</f>
        <v>0.250083</v>
      </c>
      <c r="G61" s="86">
        <f>'Comext annuel - EUROSTAT'!E70/10^4</f>
        <v>25.441664000000003</v>
      </c>
      <c r="H61" s="86">
        <f>'Comext annuel - EUROSTAT'!F70/10^4</f>
        <v>0.37404699999999996</v>
      </c>
      <c r="I61" s="86">
        <f>'Comext annuel - EUROSTAT'!G70/10^4</f>
        <v>22.022514000000001</v>
      </c>
      <c r="J61" s="86">
        <f>'Comext annuel - EUROSTAT'!H70/10^4</f>
        <v>0.24518200000000001</v>
      </c>
      <c r="K61" s="509">
        <f>SUM('Comext mensuel - EUROSTAT'!C70,'Comext mensuel - EUROSTAT'!E70,'Comext mensuel - EUROSTAT'!G70,'Comext mensuel - EUROSTAT'!I70,'Comext mensuel - EUROSTAT'!K70,'Comext mensuel - EUROSTAT'!M70,'Comext mensuel - EUROSTAT'!O70,'Comext mensuel - EUROSTAT'!Q70,'Comext mensuel - EUROSTAT'!S70,'Comext mensuel - EUROSTAT'!U70,'Comext mensuel - EUROSTAT'!W70,'Comext mensuel - EUROSTAT'!Y70)/10^4</f>
        <v>21.349666999999997</v>
      </c>
      <c r="L61" s="509">
        <f>SUM('Comext mensuel - EUROSTAT'!D70,'Comext mensuel - EUROSTAT'!F70,'Comext mensuel - EUROSTAT'!H70,'Comext mensuel - EUROSTAT'!J70,'Comext mensuel - EUROSTAT'!L70,'Comext mensuel - EUROSTAT'!N70,'Comext mensuel - EUROSTAT'!P70,'Comext mensuel - EUROSTAT'!R70,'Comext mensuel - EUROSTAT'!T70,'Comext mensuel - EUROSTAT'!V70,'Comext mensuel - EUROSTAT'!X70,'Comext mensuel - EUROSTAT'!Z70)/10^4</f>
        <v>0.33360499999999998</v>
      </c>
      <c r="M61" s="509">
        <f>SUM('Comext mensuel - EUROSTAT'!AA70,'Comext mensuel - EUROSTAT'!AC70,'Comext mensuel - EUROSTAT'!AE70,'Comext mensuel - EUROSTAT'!AG70,'Comext mensuel - EUROSTAT'!AI70,'Comext mensuel - EUROSTAT'!AK70,'Comext mensuel - EUROSTAT'!AM70,'Comext mensuel - EUROSTAT'!AO70,'Comext mensuel - EUROSTAT'!AQ70,'Comext mensuel - EUROSTAT'!AS70,'Comext mensuel - EUROSTAT'!AU70,'Comext mensuel - EUROSTAT'!AW70)/10^4</f>
        <v>26.018825999999997</v>
      </c>
      <c r="N61" s="509">
        <f>SUM('Comext mensuel - EUROSTAT'!AB70,'Comext mensuel - EUROSTAT'!AD70,'Comext mensuel - EUROSTAT'!AF70,'Comext mensuel - EUROSTAT'!AH70,'Comext mensuel - EUROSTAT'!AJ70,'Comext mensuel - EUROSTAT'!AL70,'Comext mensuel - EUROSTAT'!AN70,'Comext mensuel - EUROSTAT'!AP70,'Comext mensuel - EUROSTAT'!AR70,'Comext mensuel - EUROSTAT'!AT70,'Comext mensuel - EUROSTAT'!AV70,'Comext mensuel - EUROSTAT'!AX70)/10^4</f>
        <v>0.31783899999999998</v>
      </c>
      <c r="O61" s="509">
        <f>SUM('Comext mensuel - EUROSTAT'!AY70,'Comext mensuel - EUROSTAT'!BA70,'Comext mensuel - EUROSTAT'!BC70,'Comext mensuel - EUROSTAT'!BE70,'Comext mensuel - EUROSTAT'!BG70,'Comext mensuel - EUROSTAT'!BI70,'Comext mensuel - EUROSTAT'!BK70,'Comext mensuel - EUROSTAT'!BM70,'Comext mensuel - EUROSTAT'!BO70,'Comext mensuel - EUROSTAT'!BQ70,'Comext mensuel - EUROSTAT'!BS70,'Comext mensuel - EUROSTAT'!BU70)/10^4</f>
        <v>23.932635999999999</v>
      </c>
      <c r="P61" s="509">
        <f>SUM('Comext mensuel - EUROSTAT'!AZ70,'Comext mensuel - EUROSTAT'!BB70,'Comext mensuel - EUROSTAT'!BD70,'Comext mensuel - EUROSTAT'!BF70,'Comext mensuel - EUROSTAT'!BH70,'Comext mensuel - EUROSTAT'!BJ70,'Comext mensuel - EUROSTAT'!BL70,'Comext mensuel - EUROSTAT'!BN70,'Comext mensuel - EUROSTAT'!BP70,'Comext mensuel - EUROSTAT'!BR70,'Comext mensuel - EUROSTAT'!BT70,'Comext mensuel - EUROSTAT'!BV70)/10^4</f>
        <v>0.27019599999999999</v>
      </c>
    </row>
    <row r="62" spans="1:16">
      <c r="A62" t="s">
        <v>309</v>
      </c>
      <c r="B62" t="s">
        <v>960</v>
      </c>
      <c r="C62" s="693"/>
      <c r="D62" t="str">
        <f>'Comext annuel - EUROSTAT'!B71</f>
        <v>Riz blanchi, étuvé, à grains longs, présentant un rapport longueur/largeur &gt;= 3</v>
      </c>
      <c r="E62" s="86">
        <f>'Comext annuel - EUROSTAT'!C71/10^4</f>
        <v>93.47291899999999</v>
      </c>
      <c r="F62" s="86">
        <f>'Comext annuel - EUROSTAT'!D71/10^4</f>
        <v>15.14437</v>
      </c>
      <c r="G62" s="86">
        <f>'Comext annuel - EUROSTAT'!E71/10^4</f>
        <v>83.272118000000006</v>
      </c>
      <c r="H62" s="86">
        <f>'Comext annuel - EUROSTAT'!F71/10^4</f>
        <v>14.279788</v>
      </c>
      <c r="I62" s="86">
        <f>'Comext annuel - EUROSTAT'!G71/10^4</f>
        <v>70.314266000000003</v>
      </c>
      <c r="J62" s="86">
        <f>'Comext annuel - EUROSTAT'!H71/10^4</f>
        <v>11.436288000000001</v>
      </c>
      <c r="K62" s="509">
        <f>SUM('Comext mensuel - EUROSTAT'!C71,'Comext mensuel - EUROSTAT'!E71,'Comext mensuel - EUROSTAT'!G71,'Comext mensuel - EUROSTAT'!I71,'Comext mensuel - EUROSTAT'!K71,'Comext mensuel - EUROSTAT'!M71,'Comext mensuel - EUROSTAT'!O71,'Comext mensuel - EUROSTAT'!Q71,'Comext mensuel - EUROSTAT'!S71,'Comext mensuel - EUROSTAT'!U71,'Comext mensuel - EUROSTAT'!W71,'Comext mensuel - EUROSTAT'!Y71)/10^4</f>
        <v>95.943117000000001</v>
      </c>
      <c r="L62" s="509">
        <f>SUM('Comext mensuel - EUROSTAT'!D71,'Comext mensuel - EUROSTAT'!F71,'Comext mensuel - EUROSTAT'!H71,'Comext mensuel - EUROSTAT'!J71,'Comext mensuel - EUROSTAT'!L71,'Comext mensuel - EUROSTAT'!N71,'Comext mensuel - EUROSTAT'!P71,'Comext mensuel - EUROSTAT'!R71,'Comext mensuel - EUROSTAT'!T71,'Comext mensuel - EUROSTAT'!V71,'Comext mensuel - EUROSTAT'!X71,'Comext mensuel - EUROSTAT'!Z71)/10^4</f>
        <v>12.019166</v>
      </c>
      <c r="M62" s="509">
        <f>SUM('Comext mensuel - EUROSTAT'!AA71,'Comext mensuel - EUROSTAT'!AC71,'Comext mensuel - EUROSTAT'!AE71,'Comext mensuel - EUROSTAT'!AG71,'Comext mensuel - EUROSTAT'!AI71,'Comext mensuel - EUROSTAT'!AK71,'Comext mensuel - EUROSTAT'!AM71,'Comext mensuel - EUROSTAT'!AO71,'Comext mensuel - EUROSTAT'!AQ71,'Comext mensuel - EUROSTAT'!AS71,'Comext mensuel - EUROSTAT'!AU71,'Comext mensuel - EUROSTAT'!AW71)/10^4</f>
        <v>90.777608000000001</v>
      </c>
      <c r="N62" s="509">
        <f>SUM('Comext mensuel - EUROSTAT'!AB71,'Comext mensuel - EUROSTAT'!AD71,'Comext mensuel - EUROSTAT'!AF71,'Comext mensuel - EUROSTAT'!AH71,'Comext mensuel - EUROSTAT'!AJ71,'Comext mensuel - EUROSTAT'!AL71,'Comext mensuel - EUROSTAT'!AN71,'Comext mensuel - EUROSTAT'!AP71,'Comext mensuel - EUROSTAT'!AR71,'Comext mensuel - EUROSTAT'!AT71,'Comext mensuel - EUROSTAT'!AV71,'Comext mensuel - EUROSTAT'!AX71)/10^4</f>
        <v>12.908742999999999</v>
      </c>
      <c r="O62" s="509">
        <f>SUM('Comext mensuel - EUROSTAT'!AY71,'Comext mensuel - EUROSTAT'!BA71,'Comext mensuel - EUROSTAT'!BC71,'Comext mensuel - EUROSTAT'!BE71,'Comext mensuel - EUROSTAT'!BG71,'Comext mensuel - EUROSTAT'!BI71,'Comext mensuel - EUROSTAT'!BK71,'Comext mensuel - EUROSTAT'!BM71,'Comext mensuel - EUROSTAT'!BO71,'Comext mensuel - EUROSTAT'!BQ71,'Comext mensuel - EUROSTAT'!BS71,'Comext mensuel - EUROSTAT'!BU71)/10^4</f>
        <v>67.558385999999985</v>
      </c>
      <c r="P62" s="509">
        <f>SUM('Comext mensuel - EUROSTAT'!AZ71,'Comext mensuel - EUROSTAT'!BB71,'Comext mensuel - EUROSTAT'!BD71,'Comext mensuel - EUROSTAT'!BF71,'Comext mensuel - EUROSTAT'!BH71,'Comext mensuel - EUROSTAT'!BJ71,'Comext mensuel - EUROSTAT'!BL71,'Comext mensuel - EUROSTAT'!BN71,'Comext mensuel - EUROSTAT'!BP71,'Comext mensuel - EUROSTAT'!BR71,'Comext mensuel - EUROSTAT'!BT71,'Comext mensuel - EUROSTAT'!BV71)/10^4</f>
        <v>12.774090000000001</v>
      </c>
    </row>
    <row r="63" spans="1:16">
      <c r="A63" t="s">
        <v>309</v>
      </c>
      <c r="B63" t="s">
        <v>960</v>
      </c>
      <c r="C63" s="693"/>
      <c r="D63" t="str">
        <f>'Comext annuel - EUROSTAT'!B72</f>
        <v>Riz blanchi, étuvé (sauf à grains ronds, moyens ou longs)</v>
      </c>
      <c r="E63" s="86" t="e">
        <f>'Comext annuel - EUROSTAT'!C72/10^4</f>
        <v>#VALUE!</v>
      </c>
      <c r="F63" s="86" t="e">
        <f>'Comext annuel - EUROSTAT'!D72/10^4</f>
        <v>#VALUE!</v>
      </c>
      <c r="G63" s="86" t="e">
        <f>'Comext annuel - EUROSTAT'!E72/10^4</f>
        <v>#VALUE!</v>
      </c>
      <c r="H63" s="86" t="e">
        <f>'Comext annuel - EUROSTAT'!F72/10^4</f>
        <v>#VALUE!</v>
      </c>
      <c r="I63" s="86">
        <f>'Comext annuel - EUROSTAT'!G72/10^4</f>
        <v>0.26855600000000002</v>
      </c>
      <c r="J63" s="86">
        <f>'Comext annuel - EUROSTAT'!H72/10^4</f>
        <v>2.5627999999999998E-2</v>
      </c>
      <c r="K63" s="509">
        <f>SUM('Comext mensuel - EUROSTAT'!C72,'Comext mensuel - EUROSTAT'!E72,'Comext mensuel - EUROSTAT'!G72,'Comext mensuel - EUROSTAT'!I72,'Comext mensuel - EUROSTAT'!K72,'Comext mensuel - EUROSTAT'!M72,'Comext mensuel - EUROSTAT'!O72,'Comext mensuel - EUROSTAT'!Q72,'Comext mensuel - EUROSTAT'!S72,'Comext mensuel - EUROSTAT'!U72,'Comext mensuel - EUROSTAT'!W72,'Comext mensuel - EUROSTAT'!Y72)/10^4</f>
        <v>0</v>
      </c>
      <c r="L63" s="509">
        <f>SUM('Comext mensuel - EUROSTAT'!D72,'Comext mensuel - EUROSTAT'!F72,'Comext mensuel - EUROSTAT'!H72,'Comext mensuel - EUROSTAT'!J72,'Comext mensuel - EUROSTAT'!L72,'Comext mensuel - EUROSTAT'!N72,'Comext mensuel - EUROSTAT'!P72,'Comext mensuel - EUROSTAT'!R72,'Comext mensuel - EUROSTAT'!T72,'Comext mensuel - EUROSTAT'!V72,'Comext mensuel - EUROSTAT'!X72,'Comext mensuel - EUROSTAT'!Z72)/10^4</f>
        <v>0</v>
      </c>
      <c r="M63" s="509">
        <f>SUM('Comext mensuel - EUROSTAT'!AA72,'Comext mensuel - EUROSTAT'!AC72,'Comext mensuel - EUROSTAT'!AE72,'Comext mensuel - EUROSTAT'!AG72,'Comext mensuel - EUROSTAT'!AI72,'Comext mensuel - EUROSTAT'!AK72,'Comext mensuel - EUROSTAT'!AM72,'Comext mensuel - EUROSTAT'!AO72,'Comext mensuel - EUROSTAT'!AQ72,'Comext mensuel - EUROSTAT'!AS72,'Comext mensuel - EUROSTAT'!AU72,'Comext mensuel - EUROSTAT'!AW72)/10^4</f>
        <v>0</v>
      </c>
      <c r="N63" s="509">
        <f>SUM('Comext mensuel - EUROSTAT'!AB72,'Comext mensuel - EUROSTAT'!AD72,'Comext mensuel - EUROSTAT'!AF72,'Comext mensuel - EUROSTAT'!AH72,'Comext mensuel - EUROSTAT'!AJ72,'Comext mensuel - EUROSTAT'!AL72,'Comext mensuel - EUROSTAT'!AN72,'Comext mensuel - EUROSTAT'!AP72,'Comext mensuel - EUROSTAT'!AR72,'Comext mensuel - EUROSTAT'!AT72,'Comext mensuel - EUROSTAT'!AV72,'Comext mensuel - EUROSTAT'!AX72)/10^4</f>
        <v>0</v>
      </c>
      <c r="O63" s="509">
        <f>SUM('Comext mensuel - EUROSTAT'!AY72,'Comext mensuel - EUROSTAT'!BA72,'Comext mensuel - EUROSTAT'!BC72,'Comext mensuel - EUROSTAT'!BE72,'Comext mensuel - EUROSTAT'!BG72,'Comext mensuel - EUROSTAT'!BI72,'Comext mensuel - EUROSTAT'!BK72,'Comext mensuel - EUROSTAT'!BM72,'Comext mensuel - EUROSTAT'!BO72,'Comext mensuel - EUROSTAT'!BQ72,'Comext mensuel - EUROSTAT'!BS72,'Comext mensuel - EUROSTAT'!BU72)/10^4</f>
        <v>0.19435999999999998</v>
      </c>
      <c r="P63" s="509">
        <f>SUM('Comext mensuel - EUROSTAT'!AZ72,'Comext mensuel - EUROSTAT'!BB72,'Comext mensuel - EUROSTAT'!BD72,'Comext mensuel - EUROSTAT'!BF72,'Comext mensuel - EUROSTAT'!BH72,'Comext mensuel - EUROSTAT'!BJ72,'Comext mensuel - EUROSTAT'!BL72,'Comext mensuel - EUROSTAT'!BN72,'Comext mensuel - EUROSTAT'!BP72,'Comext mensuel - EUROSTAT'!BR72,'Comext mensuel - EUROSTAT'!BT72,'Comext mensuel - EUROSTAT'!BV72)/10^4</f>
        <v>3.5980999999999999E-2</v>
      </c>
    </row>
    <row r="64" spans="1:16">
      <c r="A64" t="s">
        <v>309</v>
      </c>
      <c r="B64" t="s">
        <v>961</v>
      </c>
      <c r="C64" s="693"/>
      <c r="D64" t="str">
        <f>'Comext annuel - EUROSTAT'!B73</f>
        <v>Riz blanchi, à grains ronds (à l'excl. du riz étuvé)</v>
      </c>
      <c r="E64" s="86">
        <f>'Comext annuel - EUROSTAT'!C73/10^4</f>
        <v>17.060307999999999</v>
      </c>
      <c r="F64" s="86">
        <f>'Comext annuel - EUROSTAT'!D73/10^4</f>
        <v>9.0407039999999999</v>
      </c>
      <c r="G64" s="86">
        <f>'Comext annuel - EUROSTAT'!E73/10^4</f>
        <v>20.914999999999999</v>
      </c>
      <c r="H64" s="86">
        <f>'Comext annuel - EUROSTAT'!F73/10^4</f>
        <v>4.3027769999999999</v>
      </c>
      <c r="I64" s="86">
        <f>'Comext annuel - EUROSTAT'!G73/10^4</f>
        <v>18.726382999999998</v>
      </c>
      <c r="J64" s="86">
        <f>'Comext annuel - EUROSTAT'!H73/10^4</f>
        <v>2.3565810000000003</v>
      </c>
      <c r="K64" s="509">
        <f>SUM('Comext mensuel - EUROSTAT'!C73,'Comext mensuel - EUROSTAT'!E73,'Comext mensuel - EUROSTAT'!G73,'Comext mensuel - EUROSTAT'!I73,'Comext mensuel - EUROSTAT'!K73,'Comext mensuel - EUROSTAT'!M73,'Comext mensuel - EUROSTAT'!O73,'Comext mensuel - EUROSTAT'!Q73,'Comext mensuel - EUROSTAT'!S73,'Comext mensuel - EUROSTAT'!U73,'Comext mensuel - EUROSTAT'!W73,'Comext mensuel - EUROSTAT'!Y73)/10^4</f>
        <v>20.425684000000004</v>
      </c>
      <c r="L64" s="509">
        <f>SUM('Comext mensuel - EUROSTAT'!D73,'Comext mensuel - EUROSTAT'!F73,'Comext mensuel - EUROSTAT'!H73,'Comext mensuel - EUROSTAT'!J73,'Comext mensuel - EUROSTAT'!L73,'Comext mensuel - EUROSTAT'!N73,'Comext mensuel - EUROSTAT'!P73,'Comext mensuel - EUROSTAT'!R73,'Comext mensuel - EUROSTAT'!T73,'Comext mensuel - EUROSTAT'!V73,'Comext mensuel - EUROSTAT'!X73,'Comext mensuel - EUROSTAT'!Z73)/10^4</f>
        <v>7.9141949999999994</v>
      </c>
      <c r="M64" s="509">
        <f>SUM('Comext mensuel - EUROSTAT'!AA73,'Comext mensuel - EUROSTAT'!AC73,'Comext mensuel - EUROSTAT'!AE73,'Comext mensuel - EUROSTAT'!AG73,'Comext mensuel - EUROSTAT'!AI73,'Comext mensuel - EUROSTAT'!AK73,'Comext mensuel - EUROSTAT'!AM73,'Comext mensuel - EUROSTAT'!AO73,'Comext mensuel - EUROSTAT'!AQ73,'Comext mensuel - EUROSTAT'!AS73,'Comext mensuel - EUROSTAT'!AU73,'Comext mensuel - EUROSTAT'!AW73)/10^4</f>
        <v>21.381769000000002</v>
      </c>
      <c r="N64" s="509">
        <f>SUM('Comext mensuel - EUROSTAT'!AB73,'Comext mensuel - EUROSTAT'!AD73,'Comext mensuel - EUROSTAT'!AF73,'Comext mensuel - EUROSTAT'!AH73,'Comext mensuel - EUROSTAT'!AJ73,'Comext mensuel - EUROSTAT'!AL73,'Comext mensuel - EUROSTAT'!AN73,'Comext mensuel - EUROSTAT'!AP73,'Comext mensuel - EUROSTAT'!AR73,'Comext mensuel - EUROSTAT'!AT73,'Comext mensuel - EUROSTAT'!AV73,'Comext mensuel - EUROSTAT'!AX73)/10^4</f>
        <v>3.0738089999999998</v>
      </c>
      <c r="O64" s="509">
        <f>SUM('Comext mensuel - EUROSTAT'!AY73,'Comext mensuel - EUROSTAT'!BA73,'Comext mensuel - EUROSTAT'!BC73,'Comext mensuel - EUROSTAT'!BE73,'Comext mensuel - EUROSTAT'!BG73,'Comext mensuel - EUROSTAT'!BI73,'Comext mensuel - EUROSTAT'!BK73,'Comext mensuel - EUROSTAT'!BM73,'Comext mensuel - EUROSTAT'!BO73,'Comext mensuel - EUROSTAT'!BQ73,'Comext mensuel - EUROSTAT'!BS73,'Comext mensuel - EUROSTAT'!BU73)/10^4</f>
        <v>15.909941</v>
      </c>
      <c r="P64" s="509">
        <f>SUM('Comext mensuel - EUROSTAT'!AZ73,'Comext mensuel - EUROSTAT'!BB73,'Comext mensuel - EUROSTAT'!BD73,'Comext mensuel - EUROSTAT'!BF73,'Comext mensuel - EUROSTAT'!BH73,'Comext mensuel - EUROSTAT'!BJ73,'Comext mensuel - EUROSTAT'!BL73,'Comext mensuel - EUROSTAT'!BN73,'Comext mensuel - EUROSTAT'!BP73,'Comext mensuel - EUROSTAT'!BR73,'Comext mensuel - EUROSTAT'!BT73,'Comext mensuel - EUROSTAT'!BV73)/10^4</f>
        <v>2.0194400000000003</v>
      </c>
    </row>
    <row r="65" spans="1:22">
      <c r="A65" t="s">
        <v>309</v>
      </c>
      <c r="B65" t="s">
        <v>961</v>
      </c>
      <c r="C65" s="693"/>
      <c r="D65" t="str">
        <f>'Comext annuel - EUROSTAT'!B74</f>
        <v>Riz blanchi, à grains moyens (à l'excl. du riz étuvé)</v>
      </c>
      <c r="E65" s="86">
        <f>'Comext annuel - EUROSTAT'!C74/10^4</f>
        <v>16.078291</v>
      </c>
      <c r="F65" s="86">
        <f>'Comext annuel - EUROSTAT'!D74/10^4</f>
        <v>1.6543889999999999</v>
      </c>
      <c r="G65" s="86">
        <f>'Comext annuel - EUROSTAT'!E74/10^4</f>
        <v>8.4030160000000009</v>
      </c>
      <c r="H65" s="86">
        <f>'Comext annuel - EUROSTAT'!F74/10^4</f>
        <v>1.3858780000000002</v>
      </c>
      <c r="I65" s="86">
        <f>'Comext annuel - EUROSTAT'!G74/10^4</f>
        <v>7.6592560000000001</v>
      </c>
      <c r="J65" s="86">
        <f>'Comext annuel - EUROSTAT'!H74/10^4</f>
        <v>0.47610399999999997</v>
      </c>
      <c r="K65" s="509">
        <f>SUM('Comext mensuel - EUROSTAT'!C74,'Comext mensuel - EUROSTAT'!E74,'Comext mensuel - EUROSTAT'!G74,'Comext mensuel - EUROSTAT'!I74,'Comext mensuel - EUROSTAT'!K74,'Comext mensuel - EUROSTAT'!M74,'Comext mensuel - EUROSTAT'!O74,'Comext mensuel - EUROSTAT'!Q74,'Comext mensuel - EUROSTAT'!S74,'Comext mensuel - EUROSTAT'!U74,'Comext mensuel - EUROSTAT'!W74,'Comext mensuel - EUROSTAT'!Y74)/10^4</f>
        <v>14.135</v>
      </c>
      <c r="L65" s="509">
        <f>SUM('Comext mensuel - EUROSTAT'!D74,'Comext mensuel - EUROSTAT'!F74,'Comext mensuel - EUROSTAT'!H74,'Comext mensuel - EUROSTAT'!J74,'Comext mensuel - EUROSTAT'!L74,'Comext mensuel - EUROSTAT'!N74,'Comext mensuel - EUROSTAT'!P74,'Comext mensuel - EUROSTAT'!R74,'Comext mensuel - EUROSTAT'!T74,'Comext mensuel - EUROSTAT'!V74,'Comext mensuel - EUROSTAT'!X74,'Comext mensuel - EUROSTAT'!Z74)/10^4</f>
        <v>1.4721200000000001</v>
      </c>
      <c r="M65" s="509">
        <f>SUM('Comext mensuel - EUROSTAT'!AA74,'Comext mensuel - EUROSTAT'!AC74,'Comext mensuel - EUROSTAT'!AE74,'Comext mensuel - EUROSTAT'!AG74,'Comext mensuel - EUROSTAT'!AI74,'Comext mensuel - EUROSTAT'!AK74,'Comext mensuel - EUROSTAT'!AM74,'Comext mensuel - EUROSTAT'!AO74,'Comext mensuel - EUROSTAT'!AQ74,'Comext mensuel - EUROSTAT'!AS74,'Comext mensuel - EUROSTAT'!AU74,'Comext mensuel - EUROSTAT'!AW74)/10^4</f>
        <v>7.0756949999999996</v>
      </c>
      <c r="N65" s="509">
        <f>SUM('Comext mensuel - EUROSTAT'!AB74,'Comext mensuel - EUROSTAT'!AD74,'Comext mensuel - EUROSTAT'!AF74,'Comext mensuel - EUROSTAT'!AH74,'Comext mensuel - EUROSTAT'!AJ74,'Comext mensuel - EUROSTAT'!AL74,'Comext mensuel - EUROSTAT'!AN74,'Comext mensuel - EUROSTAT'!AP74,'Comext mensuel - EUROSTAT'!AR74,'Comext mensuel - EUROSTAT'!AT74,'Comext mensuel - EUROSTAT'!AV74,'Comext mensuel - EUROSTAT'!AX74)/10^4</f>
        <v>1.1892249999999998</v>
      </c>
      <c r="O65" s="509">
        <f>SUM('Comext mensuel - EUROSTAT'!AY74,'Comext mensuel - EUROSTAT'!BA74,'Comext mensuel - EUROSTAT'!BC74,'Comext mensuel - EUROSTAT'!BE74,'Comext mensuel - EUROSTAT'!BG74,'Comext mensuel - EUROSTAT'!BI74,'Comext mensuel - EUROSTAT'!BK74,'Comext mensuel - EUROSTAT'!BM74,'Comext mensuel - EUROSTAT'!BO74,'Comext mensuel - EUROSTAT'!BQ74,'Comext mensuel - EUROSTAT'!BS74,'Comext mensuel - EUROSTAT'!BU74)/10^4</f>
        <v>6.8361680000000007</v>
      </c>
      <c r="P65" s="509">
        <f>SUM('Comext mensuel - EUROSTAT'!AZ74,'Comext mensuel - EUROSTAT'!BB74,'Comext mensuel - EUROSTAT'!BD74,'Comext mensuel - EUROSTAT'!BF74,'Comext mensuel - EUROSTAT'!BH74,'Comext mensuel - EUROSTAT'!BJ74,'Comext mensuel - EUROSTAT'!BL74,'Comext mensuel - EUROSTAT'!BN74,'Comext mensuel - EUROSTAT'!BP74,'Comext mensuel - EUROSTAT'!BR74,'Comext mensuel - EUROSTAT'!BT74,'Comext mensuel - EUROSTAT'!BV74)/10^4</f>
        <v>0.40178699999999995</v>
      </c>
    </row>
    <row r="66" spans="1:22">
      <c r="A66" t="s">
        <v>309</v>
      </c>
      <c r="B66" t="s">
        <v>961</v>
      </c>
      <c r="C66" s="693"/>
      <c r="D66" t="str">
        <f>'Comext annuel - EUROSTAT'!B75</f>
        <v>Riz blanchi, à grains longs, présentant un rapport longueur/largeur &gt; 2 mais &lt; 3 (à l'excl. du riz étuvé)</v>
      </c>
      <c r="E66" s="86">
        <f>'Comext annuel - EUROSTAT'!C75/10^4</f>
        <v>11.180472999999999</v>
      </c>
      <c r="F66" s="86">
        <f>'Comext annuel - EUROSTAT'!D75/10^4</f>
        <v>6.2255480000000007</v>
      </c>
      <c r="G66" s="86">
        <f>'Comext annuel - EUROSTAT'!E75/10^4</f>
        <v>11.010060000000001</v>
      </c>
      <c r="H66" s="86">
        <f>'Comext annuel - EUROSTAT'!F75/10^4</f>
        <v>3.632015</v>
      </c>
      <c r="I66" s="86">
        <f>'Comext annuel - EUROSTAT'!G75/10^4</f>
        <v>15.324182</v>
      </c>
      <c r="J66" s="86">
        <f>'Comext annuel - EUROSTAT'!H75/10^4</f>
        <v>1.9448840000000001</v>
      </c>
      <c r="K66" s="509">
        <f>SUM('Comext mensuel - EUROSTAT'!C75,'Comext mensuel - EUROSTAT'!E75,'Comext mensuel - EUROSTAT'!G75,'Comext mensuel - EUROSTAT'!I75,'Comext mensuel - EUROSTAT'!K75,'Comext mensuel - EUROSTAT'!M75,'Comext mensuel - EUROSTAT'!O75,'Comext mensuel - EUROSTAT'!Q75,'Comext mensuel - EUROSTAT'!S75,'Comext mensuel - EUROSTAT'!U75,'Comext mensuel - EUROSTAT'!W75,'Comext mensuel - EUROSTAT'!Y75)/10^4</f>
        <v>11.396406000000002</v>
      </c>
      <c r="L66" s="509">
        <f>SUM('Comext mensuel - EUROSTAT'!D75,'Comext mensuel - EUROSTAT'!F75,'Comext mensuel - EUROSTAT'!H75,'Comext mensuel - EUROSTAT'!J75,'Comext mensuel - EUROSTAT'!L75,'Comext mensuel - EUROSTAT'!N75,'Comext mensuel - EUROSTAT'!P75,'Comext mensuel - EUROSTAT'!R75,'Comext mensuel - EUROSTAT'!T75,'Comext mensuel - EUROSTAT'!V75,'Comext mensuel - EUROSTAT'!X75,'Comext mensuel - EUROSTAT'!Z75)/10^4</f>
        <v>5.1873500000000003</v>
      </c>
      <c r="M66" s="509">
        <f>SUM('Comext mensuel - EUROSTAT'!AA75,'Comext mensuel - EUROSTAT'!AC75,'Comext mensuel - EUROSTAT'!AE75,'Comext mensuel - EUROSTAT'!AG75,'Comext mensuel - EUROSTAT'!AI75,'Comext mensuel - EUROSTAT'!AK75,'Comext mensuel - EUROSTAT'!AM75,'Comext mensuel - EUROSTAT'!AO75,'Comext mensuel - EUROSTAT'!AQ75,'Comext mensuel - EUROSTAT'!AS75,'Comext mensuel - EUROSTAT'!AU75,'Comext mensuel - EUROSTAT'!AW75)/10^4</f>
        <v>12.148857999999999</v>
      </c>
      <c r="N66" s="509">
        <f>SUM('Comext mensuel - EUROSTAT'!AB75,'Comext mensuel - EUROSTAT'!AD75,'Comext mensuel - EUROSTAT'!AF75,'Comext mensuel - EUROSTAT'!AH75,'Comext mensuel - EUROSTAT'!AJ75,'Comext mensuel - EUROSTAT'!AL75,'Comext mensuel - EUROSTAT'!AN75,'Comext mensuel - EUROSTAT'!AP75,'Comext mensuel - EUROSTAT'!AR75,'Comext mensuel - EUROSTAT'!AT75,'Comext mensuel - EUROSTAT'!AV75,'Comext mensuel - EUROSTAT'!AX75)/10^4</f>
        <v>3.3338239999999999</v>
      </c>
      <c r="O66" s="509">
        <f>SUM('Comext mensuel - EUROSTAT'!AY75,'Comext mensuel - EUROSTAT'!BA75,'Comext mensuel - EUROSTAT'!BC75,'Comext mensuel - EUROSTAT'!BE75,'Comext mensuel - EUROSTAT'!BG75,'Comext mensuel - EUROSTAT'!BI75,'Comext mensuel - EUROSTAT'!BK75,'Comext mensuel - EUROSTAT'!BM75,'Comext mensuel - EUROSTAT'!BO75,'Comext mensuel - EUROSTAT'!BQ75,'Comext mensuel - EUROSTAT'!BS75,'Comext mensuel - EUROSTAT'!BU75)/10^4</f>
        <v>15.090910000000001</v>
      </c>
      <c r="P66" s="509">
        <f>SUM('Comext mensuel - EUROSTAT'!AZ75,'Comext mensuel - EUROSTAT'!BB75,'Comext mensuel - EUROSTAT'!BD75,'Comext mensuel - EUROSTAT'!BF75,'Comext mensuel - EUROSTAT'!BH75,'Comext mensuel - EUROSTAT'!BJ75,'Comext mensuel - EUROSTAT'!BL75,'Comext mensuel - EUROSTAT'!BN75,'Comext mensuel - EUROSTAT'!BP75,'Comext mensuel - EUROSTAT'!BR75,'Comext mensuel - EUROSTAT'!BT75,'Comext mensuel - EUROSTAT'!BV75)/10^4</f>
        <v>2.0659729999999996</v>
      </c>
    </row>
    <row r="67" spans="1:22">
      <c r="A67" t="s">
        <v>309</v>
      </c>
      <c r="B67" t="s">
        <v>961</v>
      </c>
      <c r="C67" s="693"/>
      <c r="D67" t="str">
        <f>'Comext annuel - EUROSTAT'!B76</f>
        <v>Riz blanchi, à grains longs, présentant un rapport longueur/largeur &gt;= 3 (à l'excl. du riz étuvé)</v>
      </c>
      <c r="E67" s="86">
        <f>'Comext annuel - EUROSTAT'!C76/10^4</f>
        <v>164.02961299999998</v>
      </c>
      <c r="F67" s="86">
        <f>'Comext annuel - EUROSTAT'!D76/10^4</f>
        <v>15.645578</v>
      </c>
      <c r="G67" s="86">
        <f>'Comext annuel - EUROSTAT'!E76/10^4</f>
        <v>201.45066699999998</v>
      </c>
      <c r="H67" s="86">
        <f>'Comext annuel - EUROSTAT'!F76/10^4</f>
        <v>10.917171000000002</v>
      </c>
      <c r="I67" s="86">
        <f>'Comext annuel - EUROSTAT'!G76/10^4</f>
        <v>221.96822900000001</v>
      </c>
      <c r="J67" s="86">
        <f>'Comext annuel - EUROSTAT'!H76/10^4</f>
        <v>8.0787890000000004</v>
      </c>
      <c r="K67" s="509">
        <f>SUM('Comext mensuel - EUROSTAT'!C76,'Comext mensuel - EUROSTAT'!E76,'Comext mensuel - EUROSTAT'!G76,'Comext mensuel - EUROSTAT'!I76,'Comext mensuel - EUROSTAT'!K76,'Comext mensuel - EUROSTAT'!M76,'Comext mensuel - EUROSTAT'!O76,'Comext mensuel - EUROSTAT'!Q76,'Comext mensuel - EUROSTAT'!S76,'Comext mensuel - EUROSTAT'!U76,'Comext mensuel - EUROSTAT'!W76,'Comext mensuel - EUROSTAT'!Y76)/10^4</f>
        <v>170.48793500000002</v>
      </c>
      <c r="L67" s="509">
        <f>SUM('Comext mensuel - EUROSTAT'!D76,'Comext mensuel - EUROSTAT'!F76,'Comext mensuel - EUROSTAT'!H76,'Comext mensuel - EUROSTAT'!J76,'Comext mensuel - EUROSTAT'!L76,'Comext mensuel - EUROSTAT'!N76,'Comext mensuel - EUROSTAT'!P76,'Comext mensuel - EUROSTAT'!R76,'Comext mensuel - EUROSTAT'!T76,'Comext mensuel - EUROSTAT'!V76,'Comext mensuel - EUROSTAT'!X76,'Comext mensuel - EUROSTAT'!Z76)/10^4</f>
        <v>16.460895000000001</v>
      </c>
      <c r="M67" s="509">
        <f>SUM('Comext mensuel - EUROSTAT'!AA76,'Comext mensuel - EUROSTAT'!AC76,'Comext mensuel - EUROSTAT'!AE76,'Comext mensuel - EUROSTAT'!AG76,'Comext mensuel - EUROSTAT'!AI76,'Comext mensuel - EUROSTAT'!AK76,'Comext mensuel - EUROSTAT'!AM76,'Comext mensuel - EUROSTAT'!AO76,'Comext mensuel - EUROSTAT'!AQ76,'Comext mensuel - EUROSTAT'!AS76,'Comext mensuel - EUROSTAT'!AU76,'Comext mensuel - EUROSTAT'!AW76)/10^4</f>
        <v>221.90401600000001</v>
      </c>
      <c r="N67" s="509">
        <f>SUM('Comext mensuel - EUROSTAT'!AB76,'Comext mensuel - EUROSTAT'!AD76,'Comext mensuel - EUROSTAT'!AF76,'Comext mensuel - EUROSTAT'!AH76,'Comext mensuel - EUROSTAT'!AJ76,'Comext mensuel - EUROSTAT'!AL76,'Comext mensuel - EUROSTAT'!AN76,'Comext mensuel - EUROSTAT'!AP76,'Comext mensuel - EUROSTAT'!AR76,'Comext mensuel - EUROSTAT'!AT76,'Comext mensuel - EUROSTAT'!AV76,'Comext mensuel - EUROSTAT'!AX76)/10^4</f>
        <v>12.876778999999999</v>
      </c>
      <c r="O67" s="509">
        <f>SUM('Comext mensuel - EUROSTAT'!AY76,'Comext mensuel - EUROSTAT'!BA76,'Comext mensuel - EUROSTAT'!BC76,'Comext mensuel - EUROSTAT'!BE76,'Comext mensuel - EUROSTAT'!BG76,'Comext mensuel - EUROSTAT'!BI76,'Comext mensuel - EUROSTAT'!BK76,'Comext mensuel - EUROSTAT'!BM76,'Comext mensuel - EUROSTAT'!BO76,'Comext mensuel - EUROSTAT'!BQ76,'Comext mensuel - EUROSTAT'!BS76,'Comext mensuel - EUROSTAT'!BU76)/10^4</f>
        <v>219.40451200000001</v>
      </c>
      <c r="P67" s="509">
        <f>SUM('Comext mensuel - EUROSTAT'!AZ76,'Comext mensuel - EUROSTAT'!BB76,'Comext mensuel - EUROSTAT'!BD76,'Comext mensuel - EUROSTAT'!BF76,'Comext mensuel - EUROSTAT'!BH76,'Comext mensuel - EUROSTAT'!BJ76,'Comext mensuel - EUROSTAT'!BL76,'Comext mensuel - EUROSTAT'!BN76,'Comext mensuel - EUROSTAT'!BP76,'Comext mensuel - EUROSTAT'!BR76,'Comext mensuel - EUROSTAT'!BT76,'Comext mensuel - EUROSTAT'!BV76)/10^4</f>
        <v>7.8128869999999999</v>
      </c>
    </row>
    <row r="68" spans="1:22">
      <c r="A68" t="s">
        <v>309</v>
      </c>
      <c r="B68" t="s">
        <v>961</v>
      </c>
      <c r="C68" s="693"/>
      <c r="D68" t="str">
        <f>'Comext annuel - EUROSTAT'!B77</f>
        <v>Riz blanchi (sauf à grains ronds, moyens ou longs, et riz étuvé)(2023-2500);Riz blanchi à grains longs(1988-1988)</v>
      </c>
      <c r="E68" s="86" t="e">
        <f>'Comext annuel - EUROSTAT'!C77/10^4</f>
        <v>#VALUE!</v>
      </c>
      <c r="F68" s="86" t="e">
        <f>'Comext annuel - EUROSTAT'!D77/10^4</f>
        <v>#VALUE!</v>
      </c>
      <c r="G68" s="86" t="e">
        <f>'Comext annuel - EUROSTAT'!E77/10^4</f>
        <v>#VALUE!</v>
      </c>
      <c r="H68" s="86" t="e">
        <f>'Comext annuel - EUROSTAT'!F77/10^4</f>
        <v>#VALUE!</v>
      </c>
      <c r="I68" s="86">
        <f>'Comext annuel - EUROSTAT'!G77/10^4</f>
        <v>2.0549590000000002</v>
      </c>
      <c r="J68" s="86">
        <f>'Comext annuel - EUROSTAT'!H77/10^4</f>
        <v>3.4484000000000001E-2</v>
      </c>
      <c r="K68" s="509">
        <f>SUM('Comext mensuel - EUROSTAT'!C77,'Comext mensuel - EUROSTAT'!E77,'Comext mensuel - EUROSTAT'!G77,'Comext mensuel - EUROSTAT'!I77,'Comext mensuel - EUROSTAT'!K77,'Comext mensuel - EUROSTAT'!M77,'Comext mensuel - EUROSTAT'!O77,'Comext mensuel - EUROSTAT'!Q77,'Comext mensuel - EUROSTAT'!S77,'Comext mensuel - EUROSTAT'!U77,'Comext mensuel - EUROSTAT'!W77,'Comext mensuel - EUROSTAT'!Y77)/10^4</f>
        <v>0</v>
      </c>
      <c r="L68" s="509">
        <f>SUM('Comext mensuel - EUROSTAT'!D77,'Comext mensuel - EUROSTAT'!F77,'Comext mensuel - EUROSTAT'!H77,'Comext mensuel - EUROSTAT'!J77,'Comext mensuel - EUROSTAT'!L77,'Comext mensuel - EUROSTAT'!N77,'Comext mensuel - EUROSTAT'!P77,'Comext mensuel - EUROSTAT'!R77,'Comext mensuel - EUROSTAT'!T77,'Comext mensuel - EUROSTAT'!V77,'Comext mensuel - EUROSTAT'!X77,'Comext mensuel - EUROSTAT'!Z77)/10^4</f>
        <v>0</v>
      </c>
      <c r="M68" s="509">
        <f>SUM('Comext mensuel - EUROSTAT'!AA77,'Comext mensuel - EUROSTAT'!AC77,'Comext mensuel - EUROSTAT'!AE77,'Comext mensuel - EUROSTAT'!AG77,'Comext mensuel - EUROSTAT'!AI77,'Comext mensuel - EUROSTAT'!AK77,'Comext mensuel - EUROSTAT'!AM77,'Comext mensuel - EUROSTAT'!AO77,'Comext mensuel - EUROSTAT'!AQ77,'Comext mensuel - EUROSTAT'!AS77,'Comext mensuel - EUROSTAT'!AU77,'Comext mensuel - EUROSTAT'!AW77)/10^4</f>
        <v>0</v>
      </c>
      <c r="N68" s="509">
        <f>SUM('Comext mensuel - EUROSTAT'!AB77,'Comext mensuel - EUROSTAT'!AD77,'Comext mensuel - EUROSTAT'!AF77,'Comext mensuel - EUROSTAT'!AH77,'Comext mensuel - EUROSTAT'!AJ77,'Comext mensuel - EUROSTAT'!AL77,'Comext mensuel - EUROSTAT'!AN77,'Comext mensuel - EUROSTAT'!AP77,'Comext mensuel - EUROSTAT'!AR77,'Comext mensuel - EUROSTAT'!AT77,'Comext mensuel - EUROSTAT'!AV77,'Comext mensuel - EUROSTAT'!AX77)/10^4</f>
        <v>0</v>
      </c>
      <c r="O68" s="509">
        <f>SUM('Comext mensuel - EUROSTAT'!AY77,'Comext mensuel - EUROSTAT'!BA77,'Comext mensuel - EUROSTAT'!BC77,'Comext mensuel - EUROSTAT'!BE77,'Comext mensuel - EUROSTAT'!BG77,'Comext mensuel - EUROSTAT'!BI77,'Comext mensuel - EUROSTAT'!BK77,'Comext mensuel - EUROSTAT'!BM77,'Comext mensuel - EUROSTAT'!BO77,'Comext mensuel - EUROSTAT'!BQ77,'Comext mensuel - EUROSTAT'!BS77,'Comext mensuel - EUROSTAT'!BU77)/10^4</f>
        <v>1.070314</v>
      </c>
      <c r="P68" s="509">
        <f>SUM('Comext mensuel - EUROSTAT'!AZ77,'Comext mensuel - EUROSTAT'!BB77,'Comext mensuel - EUROSTAT'!BD77,'Comext mensuel - EUROSTAT'!BF77,'Comext mensuel - EUROSTAT'!BH77,'Comext mensuel - EUROSTAT'!BJ77,'Comext mensuel - EUROSTAT'!BL77,'Comext mensuel - EUROSTAT'!BN77,'Comext mensuel - EUROSTAT'!BP77,'Comext mensuel - EUROSTAT'!BR77,'Comext mensuel - EUROSTAT'!BT77,'Comext mensuel - EUROSTAT'!BV77)/10^4</f>
        <v>5.7199999999999987E-2</v>
      </c>
    </row>
    <row r="69" spans="1:22">
      <c r="A69" t="s">
        <v>309</v>
      </c>
      <c r="B69" t="s">
        <v>962</v>
      </c>
      <c r="C69" s="693"/>
      <c r="D69" t="str">
        <f>'Comext annuel - EUROSTAT'!B78</f>
        <v>Riz en brisures</v>
      </c>
      <c r="E69" s="86">
        <f>'Comext annuel - EUROSTAT'!C78/10^4</f>
        <v>114.98606399999998</v>
      </c>
      <c r="F69" s="86">
        <f>'Comext annuel - EUROSTAT'!D78/10^4</f>
        <v>5.2662610000000001</v>
      </c>
      <c r="G69" s="86">
        <f>'Comext annuel - EUROSTAT'!E78/10^4</f>
        <v>116.936981</v>
      </c>
      <c r="H69" s="86">
        <f>'Comext annuel - EUROSTAT'!F78/10^4</f>
        <v>4.8781559999999997</v>
      </c>
      <c r="I69" s="86">
        <f>'Comext annuel - EUROSTAT'!G78/10^4</f>
        <v>133.614383</v>
      </c>
      <c r="J69" s="86">
        <f>'Comext annuel - EUROSTAT'!H78/10^4</f>
        <v>2.0490930000000001</v>
      </c>
      <c r="K69" s="509">
        <f>SUM('Comext mensuel - EUROSTAT'!C78,'Comext mensuel - EUROSTAT'!E78,'Comext mensuel - EUROSTAT'!G78,'Comext mensuel - EUROSTAT'!I78,'Comext mensuel - EUROSTAT'!K78,'Comext mensuel - EUROSTAT'!M78,'Comext mensuel - EUROSTAT'!O78,'Comext mensuel - EUROSTAT'!Q78,'Comext mensuel - EUROSTAT'!S78,'Comext mensuel - EUROSTAT'!U78,'Comext mensuel - EUROSTAT'!W78,'Comext mensuel - EUROSTAT'!Y78)/10^4</f>
        <v>101.20356600000001</v>
      </c>
      <c r="L69" s="509">
        <f>SUM('Comext mensuel - EUROSTAT'!D78,'Comext mensuel - EUROSTAT'!F78,'Comext mensuel - EUROSTAT'!H78,'Comext mensuel - EUROSTAT'!J78,'Comext mensuel - EUROSTAT'!L78,'Comext mensuel - EUROSTAT'!N78,'Comext mensuel - EUROSTAT'!P78,'Comext mensuel - EUROSTAT'!R78,'Comext mensuel - EUROSTAT'!T78,'Comext mensuel - EUROSTAT'!V78,'Comext mensuel - EUROSTAT'!X78,'Comext mensuel - EUROSTAT'!Z78)/10^4</f>
        <v>5.9655300000000002</v>
      </c>
      <c r="M69" s="509">
        <f>SUM('Comext mensuel - EUROSTAT'!AA78,'Comext mensuel - EUROSTAT'!AC78,'Comext mensuel - EUROSTAT'!AE78,'Comext mensuel - EUROSTAT'!AG78,'Comext mensuel - EUROSTAT'!AI78,'Comext mensuel - EUROSTAT'!AK78,'Comext mensuel - EUROSTAT'!AM78,'Comext mensuel - EUROSTAT'!AO78,'Comext mensuel - EUROSTAT'!AQ78,'Comext mensuel - EUROSTAT'!AS78,'Comext mensuel - EUROSTAT'!AU78,'Comext mensuel - EUROSTAT'!AW78)/10^4</f>
        <v>121.25715100000001</v>
      </c>
      <c r="N69" s="509">
        <f>SUM('Comext mensuel - EUROSTAT'!AB78,'Comext mensuel - EUROSTAT'!AD78,'Comext mensuel - EUROSTAT'!AF78,'Comext mensuel - EUROSTAT'!AH78,'Comext mensuel - EUROSTAT'!AJ78,'Comext mensuel - EUROSTAT'!AL78,'Comext mensuel - EUROSTAT'!AN78,'Comext mensuel - EUROSTAT'!AP78,'Comext mensuel - EUROSTAT'!AR78,'Comext mensuel - EUROSTAT'!AT78,'Comext mensuel - EUROSTAT'!AV78,'Comext mensuel - EUROSTAT'!AX78)/10^4</f>
        <v>4.3957860000000002</v>
      </c>
      <c r="O69" s="509">
        <f>SUM('Comext mensuel - EUROSTAT'!AY78,'Comext mensuel - EUROSTAT'!BA78,'Comext mensuel - EUROSTAT'!BC78,'Comext mensuel - EUROSTAT'!BE78,'Comext mensuel - EUROSTAT'!BG78,'Comext mensuel - EUROSTAT'!BI78,'Comext mensuel - EUROSTAT'!BK78,'Comext mensuel - EUROSTAT'!BM78,'Comext mensuel - EUROSTAT'!BO78,'Comext mensuel - EUROSTAT'!BQ78,'Comext mensuel - EUROSTAT'!BS78,'Comext mensuel - EUROSTAT'!BU78)/10^4</f>
        <v>131.743584</v>
      </c>
      <c r="P69" s="509">
        <f>SUM('Comext mensuel - EUROSTAT'!AZ78,'Comext mensuel - EUROSTAT'!BB78,'Comext mensuel - EUROSTAT'!BD78,'Comext mensuel - EUROSTAT'!BF78,'Comext mensuel - EUROSTAT'!BH78,'Comext mensuel - EUROSTAT'!BJ78,'Comext mensuel - EUROSTAT'!BL78,'Comext mensuel - EUROSTAT'!BN78,'Comext mensuel - EUROSTAT'!BP78,'Comext mensuel - EUROSTAT'!BR78,'Comext mensuel - EUROSTAT'!BT78,'Comext mensuel - EUROSTAT'!BV78)/10^4</f>
        <v>2.9302570000000001</v>
      </c>
    </row>
    <row r="70" spans="1:22">
      <c r="A70" t="s">
        <v>308</v>
      </c>
      <c r="B70" t="s">
        <v>948</v>
      </c>
      <c r="C70" s="693" t="s">
        <v>950</v>
      </c>
      <c r="D70" t="str">
        <f>'Comext annuel - EUROSTAT'!B79</f>
        <v>Sorgho à grains, hybride, destiné à l’ensemencement</v>
      </c>
      <c r="E70" s="86">
        <f>'Comext annuel - EUROSTAT'!C79/10^4</f>
        <v>2.8067220000000002</v>
      </c>
      <c r="F70" s="86">
        <f>'Comext annuel - EUROSTAT'!D79/10^4</f>
        <v>3.7877660000000004</v>
      </c>
      <c r="G70" s="86">
        <f>'Comext annuel - EUROSTAT'!E79/10^4</f>
        <v>0.946469</v>
      </c>
      <c r="H70" s="86">
        <f>'Comext annuel - EUROSTAT'!F79/10^4</f>
        <v>1.9066029999999998</v>
      </c>
      <c r="I70" s="86">
        <f>'Comext annuel - EUROSTAT'!G79/10^4</f>
        <v>2.0485799999999998</v>
      </c>
      <c r="J70" s="86">
        <f>'Comext annuel - EUROSTAT'!H79/10^4</f>
        <v>3.3462980000000004</v>
      </c>
      <c r="K70" s="509">
        <f>SUM('Comext mensuel - EUROSTAT'!C79,'Comext mensuel - EUROSTAT'!E79,'Comext mensuel - EUROSTAT'!G79,'Comext mensuel - EUROSTAT'!I79,'Comext mensuel - EUROSTAT'!K79,'Comext mensuel - EUROSTAT'!M79,'Comext mensuel - EUROSTAT'!O79,'Comext mensuel - EUROSTAT'!Q79,'Comext mensuel - EUROSTAT'!S79,'Comext mensuel - EUROSTAT'!U79,'Comext mensuel - EUROSTAT'!W79,'Comext mensuel - EUROSTAT'!Y79)/10^4</f>
        <v>1.9261620000000002</v>
      </c>
      <c r="L70" s="509">
        <f>SUM('Comext mensuel - EUROSTAT'!D79,'Comext mensuel - EUROSTAT'!F79,'Comext mensuel - EUROSTAT'!H79,'Comext mensuel - EUROSTAT'!J79,'Comext mensuel - EUROSTAT'!L79,'Comext mensuel - EUROSTAT'!N79,'Comext mensuel - EUROSTAT'!P79,'Comext mensuel - EUROSTAT'!R79,'Comext mensuel - EUROSTAT'!T79,'Comext mensuel - EUROSTAT'!V79,'Comext mensuel - EUROSTAT'!X79,'Comext mensuel - EUROSTAT'!Z79)/10^4</f>
        <v>1.7322310000000001</v>
      </c>
      <c r="M70" s="509">
        <f>SUM('Comext mensuel - EUROSTAT'!AA79,'Comext mensuel - EUROSTAT'!AC79,'Comext mensuel - EUROSTAT'!AE79,'Comext mensuel - EUROSTAT'!AG79,'Comext mensuel - EUROSTAT'!AI79,'Comext mensuel - EUROSTAT'!AK79,'Comext mensuel - EUROSTAT'!AM79,'Comext mensuel - EUROSTAT'!AO79,'Comext mensuel - EUROSTAT'!AQ79,'Comext mensuel - EUROSTAT'!AS79,'Comext mensuel - EUROSTAT'!AU79,'Comext mensuel - EUROSTAT'!AW79)/10^4</f>
        <v>1.6210249999999999</v>
      </c>
      <c r="N70" s="509">
        <f>SUM('Comext mensuel - EUROSTAT'!AB79,'Comext mensuel - EUROSTAT'!AD79,'Comext mensuel - EUROSTAT'!AF79,'Comext mensuel - EUROSTAT'!AH79,'Comext mensuel - EUROSTAT'!AJ79,'Comext mensuel - EUROSTAT'!AL79,'Comext mensuel - EUROSTAT'!AN79,'Comext mensuel - EUROSTAT'!AP79,'Comext mensuel - EUROSTAT'!AR79,'Comext mensuel - EUROSTAT'!AT79,'Comext mensuel - EUROSTAT'!AV79,'Comext mensuel - EUROSTAT'!AX79)/10^4</f>
        <v>2.7854019999999999</v>
      </c>
      <c r="O70" s="509">
        <f>SUM('Comext mensuel - EUROSTAT'!AY79,'Comext mensuel - EUROSTAT'!BA79,'Comext mensuel - EUROSTAT'!BC79,'Comext mensuel - EUROSTAT'!BE79,'Comext mensuel - EUROSTAT'!BG79,'Comext mensuel - EUROSTAT'!BI79,'Comext mensuel - EUROSTAT'!BK79,'Comext mensuel - EUROSTAT'!BM79,'Comext mensuel - EUROSTAT'!BO79,'Comext mensuel - EUROSTAT'!BQ79,'Comext mensuel - EUROSTAT'!BS79,'Comext mensuel - EUROSTAT'!BU79)/10^4</f>
        <v>1.9663979999999999</v>
      </c>
      <c r="P70" s="509">
        <f>SUM('Comext mensuel - EUROSTAT'!AZ79,'Comext mensuel - EUROSTAT'!BB79,'Comext mensuel - EUROSTAT'!BD79,'Comext mensuel - EUROSTAT'!BF79,'Comext mensuel - EUROSTAT'!BH79,'Comext mensuel - EUROSTAT'!BJ79,'Comext mensuel - EUROSTAT'!BL79,'Comext mensuel - EUROSTAT'!BN79,'Comext mensuel - EUROSTAT'!BP79,'Comext mensuel - EUROSTAT'!BR79,'Comext mensuel - EUROSTAT'!BT79,'Comext mensuel - EUROSTAT'!BV79)/10^4</f>
        <v>3.8281419999999997</v>
      </c>
    </row>
    <row r="71" spans="1:22">
      <c r="A71" t="s">
        <v>308</v>
      </c>
      <c r="B71" t="s">
        <v>948</v>
      </c>
      <c r="C71" s="693"/>
      <c r="D71" t="str">
        <f>'Comext annuel - EUROSTAT'!B80</f>
        <v>Sorgho à grains de semence (à l’excl. des sorghos hybrides)</v>
      </c>
      <c r="E71" s="86">
        <f>'Comext annuel - EUROSTAT'!C80/10^4</f>
        <v>8.9922000000000002E-2</v>
      </c>
      <c r="F71" s="86">
        <f>'Comext annuel - EUROSTAT'!D80/10^4</f>
        <v>5.1218680000000001</v>
      </c>
      <c r="G71" s="86">
        <f>'Comext annuel - EUROSTAT'!E80/10^4</f>
        <v>9.7882999999999998E-2</v>
      </c>
      <c r="H71" s="86">
        <f>'Comext annuel - EUROSTAT'!F80/10^4</f>
        <v>5.577</v>
      </c>
      <c r="I71" s="86">
        <f>'Comext annuel - EUROSTAT'!G80/10^4</f>
        <v>0.52628199999999992</v>
      </c>
      <c r="J71" s="86">
        <f>'Comext annuel - EUROSTAT'!H80/10^4</f>
        <v>10.367620000000001</v>
      </c>
      <c r="K71" s="509">
        <f>SUM('Comext mensuel - EUROSTAT'!C80,'Comext mensuel - EUROSTAT'!E80,'Comext mensuel - EUROSTAT'!G80,'Comext mensuel - EUROSTAT'!I80,'Comext mensuel - EUROSTAT'!K80,'Comext mensuel - EUROSTAT'!M80,'Comext mensuel - EUROSTAT'!O80,'Comext mensuel - EUROSTAT'!Q80,'Comext mensuel - EUROSTAT'!S80,'Comext mensuel - EUROSTAT'!U80,'Comext mensuel - EUROSTAT'!W80,'Comext mensuel - EUROSTAT'!Y80)/10^4</f>
        <v>5.5224000000000002E-2</v>
      </c>
      <c r="L71" s="509">
        <f>SUM('Comext mensuel - EUROSTAT'!D80,'Comext mensuel - EUROSTAT'!F80,'Comext mensuel - EUROSTAT'!H80,'Comext mensuel - EUROSTAT'!J80,'Comext mensuel - EUROSTAT'!L80,'Comext mensuel - EUROSTAT'!N80,'Comext mensuel - EUROSTAT'!P80,'Comext mensuel - EUROSTAT'!R80,'Comext mensuel - EUROSTAT'!T80,'Comext mensuel - EUROSTAT'!V80,'Comext mensuel - EUROSTAT'!X80,'Comext mensuel - EUROSTAT'!Z80)/10^4</f>
        <v>3.609375</v>
      </c>
      <c r="M71" s="509">
        <f>SUM('Comext mensuel - EUROSTAT'!AA80,'Comext mensuel - EUROSTAT'!AC80,'Comext mensuel - EUROSTAT'!AE80,'Comext mensuel - EUROSTAT'!AG80,'Comext mensuel - EUROSTAT'!AI80,'Comext mensuel - EUROSTAT'!AK80,'Comext mensuel - EUROSTAT'!AM80,'Comext mensuel - EUROSTAT'!AO80,'Comext mensuel - EUROSTAT'!AQ80,'Comext mensuel - EUROSTAT'!AS80,'Comext mensuel - EUROSTAT'!AU80,'Comext mensuel - EUROSTAT'!AW80)/10^4</f>
        <v>4.5070000000000006E-2</v>
      </c>
      <c r="N71" s="509">
        <f>SUM('Comext mensuel - EUROSTAT'!AB80,'Comext mensuel - EUROSTAT'!AD80,'Comext mensuel - EUROSTAT'!AF80,'Comext mensuel - EUROSTAT'!AH80,'Comext mensuel - EUROSTAT'!AJ80,'Comext mensuel - EUROSTAT'!AL80,'Comext mensuel - EUROSTAT'!AN80,'Comext mensuel - EUROSTAT'!AP80,'Comext mensuel - EUROSTAT'!AR80,'Comext mensuel - EUROSTAT'!AT80,'Comext mensuel - EUROSTAT'!AV80,'Comext mensuel - EUROSTAT'!AX80)/10^4</f>
        <v>7.8451229999999992</v>
      </c>
      <c r="O71" s="509">
        <f>SUM('Comext mensuel - EUROSTAT'!AY80,'Comext mensuel - EUROSTAT'!BA80,'Comext mensuel - EUROSTAT'!BC80,'Comext mensuel - EUROSTAT'!BE80,'Comext mensuel - EUROSTAT'!BG80,'Comext mensuel - EUROSTAT'!BI80,'Comext mensuel - EUROSTAT'!BK80,'Comext mensuel - EUROSTAT'!BM80,'Comext mensuel - EUROSTAT'!BO80,'Comext mensuel - EUROSTAT'!BQ80,'Comext mensuel - EUROSTAT'!BS80,'Comext mensuel - EUROSTAT'!BU80)/10^4</f>
        <v>0.37662799999999996</v>
      </c>
      <c r="P71" s="509">
        <f>SUM('Comext mensuel - EUROSTAT'!AZ80,'Comext mensuel - EUROSTAT'!BB80,'Comext mensuel - EUROSTAT'!BD80,'Comext mensuel - EUROSTAT'!BF80,'Comext mensuel - EUROSTAT'!BH80,'Comext mensuel - EUROSTAT'!BJ80,'Comext mensuel - EUROSTAT'!BL80,'Comext mensuel - EUROSTAT'!BN80,'Comext mensuel - EUROSTAT'!BP80,'Comext mensuel - EUROSTAT'!BR80,'Comext mensuel - EUROSTAT'!BT80,'Comext mensuel - EUROSTAT'!BV80)/10^4</f>
        <v>11.766019</v>
      </c>
      <c r="Q71" s="626">
        <f>Q72-K71-K70</f>
        <v>-9.0085999999999888E-2</v>
      </c>
      <c r="R71" s="626">
        <f t="shared" ref="R71:V71" si="6">R72-L71-L70</f>
        <v>115.23959400000001</v>
      </c>
      <c r="S71" s="626">
        <f t="shared" si="6"/>
        <v>0.56000499999999942</v>
      </c>
      <c r="T71" s="626">
        <f t="shared" si="6"/>
        <v>145.03187500000004</v>
      </c>
      <c r="U71" s="626">
        <f t="shared" si="6"/>
        <v>0.53837400000000013</v>
      </c>
      <c r="V71" s="626">
        <f t="shared" si="6"/>
        <v>137.71853899999996</v>
      </c>
    </row>
    <row r="72" spans="1:22">
      <c r="A72" t="s">
        <v>308</v>
      </c>
      <c r="B72" t="s">
        <v>949</v>
      </c>
      <c r="C72" s="693"/>
      <c r="D72" t="str">
        <f>'Comext annuel - EUROSTAT'!B81</f>
        <v>Sorgho à grains (à l’excl. des semences)</v>
      </c>
      <c r="E72" s="86">
        <f>'Comext annuel - EUROSTAT'!C81/10^4</f>
        <v>0.419854</v>
      </c>
      <c r="F72" s="86">
        <f>'Comext annuel - EUROSTAT'!D81/10^4</f>
        <v>177.16396599999999</v>
      </c>
      <c r="G72" s="86">
        <f>'Comext annuel - EUROSTAT'!E81/10^4</f>
        <v>0.82670400000000011</v>
      </c>
      <c r="H72" s="86">
        <f>'Comext annuel - EUROSTAT'!F81/10^4</f>
        <v>118.023928</v>
      </c>
      <c r="I72" s="86">
        <f>'Comext annuel - EUROSTAT'!G81/10^4</f>
        <v>0.69272800000000001</v>
      </c>
      <c r="J72" s="86">
        <f>'Comext annuel - EUROSTAT'!H81/10^4</f>
        <v>93.513898999999995</v>
      </c>
      <c r="K72" s="509">
        <f>SUM('Comext mensuel - EUROSTAT'!C81,'Comext mensuel - EUROSTAT'!E81,'Comext mensuel - EUROSTAT'!G81,'Comext mensuel - EUROSTAT'!I81,'Comext mensuel - EUROSTAT'!K81,'Comext mensuel - EUROSTAT'!M81,'Comext mensuel - EUROSTAT'!O81,'Comext mensuel - EUROSTAT'!Q81,'Comext mensuel - EUROSTAT'!S81,'Comext mensuel - EUROSTAT'!U81,'Comext mensuel - EUROSTAT'!W81,'Comext mensuel - EUROSTAT'!Y81)/10^4</f>
        <v>0.44085099999999994</v>
      </c>
      <c r="L72" s="509">
        <f>SUM('Comext mensuel - EUROSTAT'!D81,'Comext mensuel - EUROSTAT'!F81,'Comext mensuel - EUROSTAT'!H81,'Comext mensuel - EUROSTAT'!J81,'Comext mensuel - EUROSTAT'!L81,'Comext mensuel - EUROSTAT'!N81,'Comext mensuel - EUROSTAT'!P81,'Comext mensuel - EUROSTAT'!R81,'Comext mensuel - EUROSTAT'!T81,'Comext mensuel - EUROSTAT'!V81,'Comext mensuel - EUROSTAT'!X81,'Comext mensuel - EUROSTAT'!Z81)/10^4</f>
        <v>115.239704</v>
      </c>
      <c r="M72" s="509">
        <f>SUM('Comext mensuel - EUROSTAT'!AA81,'Comext mensuel - EUROSTAT'!AC81,'Comext mensuel - EUROSTAT'!AE81,'Comext mensuel - EUROSTAT'!AG81,'Comext mensuel - EUROSTAT'!AI81,'Comext mensuel - EUROSTAT'!AK81,'Comext mensuel - EUROSTAT'!AM81,'Comext mensuel - EUROSTAT'!AO81,'Comext mensuel - EUROSTAT'!AQ81,'Comext mensuel - EUROSTAT'!AS81,'Comext mensuel - EUROSTAT'!AU81,'Comext mensuel - EUROSTAT'!AW81)/10^4</f>
        <v>0.85216700000000001</v>
      </c>
      <c r="N72" s="509">
        <f>SUM('Comext mensuel - EUROSTAT'!AB81,'Comext mensuel - EUROSTAT'!AD81,'Comext mensuel - EUROSTAT'!AF81,'Comext mensuel - EUROSTAT'!AH81,'Comext mensuel - EUROSTAT'!AJ81,'Comext mensuel - EUROSTAT'!AL81,'Comext mensuel - EUROSTAT'!AN81,'Comext mensuel - EUROSTAT'!AP81,'Comext mensuel - EUROSTAT'!AR81,'Comext mensuel - EUROSTAT'!AT81,'Comext mensuel - EUROSTAT'!AV81,'Comext mensuel - EUROSTAT'!AX81)/10^4</f>
        <v>144.99253899999997</v>
      </c>
      <c r="O72" s="509">
        <f>SUM('Comext mensuel - EUROSTAT'!AY81,'Comext mensuel - EUROSTAT'!BA81,'Comext mensuel - EUROSTAT'!BC81,'Comext mensuel - EUROSTAT'!BE81,'Comext mensuel - EUROSTAT'!BG81,'Comext mensuel - EUROSTAT'!BI81,'Comext mensuel - EUROSTAT'!BK81,'Comext mensuel - EUROSTAT'!BM81,'Comext mensuel - EUROSTAT'!BO81,'Comext mensuel - EUROSTAT'!BQ81,'Comext mensuel - EUROSTAT'!BS81,'Comext mensuel - EUROSTAT'!BU81)/10^4</f>
        <v>0.65704899999999999</v>
      </c>
      <c r="P72" s="509">
        <f>SUM('Comext mensuel - EUROSTAT'!AZ81,'Comext mensuel - EUROSTAT'!BB81,'Comext mensuel - EUROSTAT'!BD81,'Comext mensuel - EUROSTAT'!BF81,'Comext mensuel - EUROSTAT'!BH81,'Comext mensuel - EUROSTAT'!BJ81,'Comext mensuel - EUROSTAT'!BL81,'Comext mensuel - EUROSTAT'!BN81,'Comext mensuel - EUROSTAT'!BP81,'Comext mensuel - EUROSTAT'!BR81,'Comext mensuel - EUROSTAT'!BT81,'Comext mensuel - EUROSTAT'!BV81)/10^4</f>
        <v>137.84994200000003</v>
      </c>
      <c r="Q72" s="458">
        <f>'Prétraitement bilans'!I9</f>
        <v>1.8913000000000002</v>
      </c>
      <c r="R72" s="458">
        <f>'Prétraitement bilans'!I24</f>
        <v>120.58120000000001</v>
      </c>
      <c r="S72" s="458">
        <f>'Prétraitement bilans'!R9</f>
        <v>2.2260999999999993</v>
      </c>
      <c r="T72" s="458">
        <f>'Prétraitement bilans'!R24</f>
        <v>155.66240000000005</v>
      </c>
      <c r="U72" s="458">
        <f>'Prétraitement bilans'!AA9</f>
        <v>2.8814000000000002</v>
      </c>
      <c r="V72" s="458">
        <f>'Prétraitement bilans'!AA24</f>
        <v>153.31269999999998</v>
      </c>
    </row>
    <row r="73" spans="1:22">
      <c r="A73" t="s">
        <v>316</v>
      </c>
      <c r="B73" t="s">
        <v>949</v>
      </c>
      <c r="C73" s="693"/>
      <c r="D73" t="str">
        <f>'Comext annuel - EUROSTAT'!B82</f>
        <v>Sarrasin</v>
      </c>
      <c r="E73" s="86">
        <f>'Comext annuel - EUROSTAT'!C82/10^4</f>
        <v>12.693875</v>
      </c>
      <c r="F73" s="86">
        <f>'Comext annuel - EUROSTAT'!D82/10^4</f>
        <v>7.1900000000000006E-2</v>
      </c>
      <c r="G73" s="86">
        <f>'Comext annuel - EUROSTAT'!E82/10^4</f>
        <v>4.9083709999999998</v>
      </c>
      <c r="H73" s="86">
        <f>'Comext annuel - EUROSTAT'!F82/10^4</f>
        <v>1.0920159999999999</v>
      </c>
      <c r="I73" s="86">
        <f>'Comext annuel - EUROSTAT'!G82/10^4</f>
        <v>8.8287720000000007</v>
      </c>
      <c r="J73" s="86">
        <f>'Comext annuel - EUROSTAT'!H82/10^4</f>
        <v>0.34606799999999999</v>
      </c>
      <c r="K73" s="509">
        <f>SUM('Comext mensuel - EUROSTAT'!C82,'Comext mensuel - EUROSTAT'!E82,'Comext mensuel - EUROSTAT'!G82,'Comext mensuel - EUROSTAT'!I82,'Comext mensuel - EUROSTAT'!K82,'Comext mensuel - EUROSTAT'!M82,'Comext mensuel - EUROSTAT'!O82,'Comext mensuel - EUROSTAT'!Q82,'Comext mensuel - EUROSTAT'!S82,'Comext mensuel - EUROSTAT'!U82,'Comext mensuel - EUROSTAT'!W82,'Comext mensuel - EUROSTAT'!Y82)/10^4</f>
        <v>12.375894000000002</v>
      </c>
      <c r="L73" s="509">
        <f>SUM('Comext mensuel - EUROSTAT'!D82,'Comext mensuel - EUROSTAT'!F82,'Comext mensuel - EUROSTAT'!H82,'Comext mensuel - EUROSTAT'!J82,'Comext mensuel - EUROSTAT'!L82,'Comext mensuel - EUROSTAT'!N82,'Comext mensuel - EUROSTAT'!P82,'Comext mensuel - EUROSTAT'!R82,'Comext mensuel - EUROSTAT'!T82,'Comext mensuel - EUROSTAT'!V82,'Comext mensuel - EUROSTAT'!X82,'Comext mensuel - EUROSTAT'!Z82)/10^4</f>
        <v>0.22445299999999999</v>
      </c>
      <c r="M73" s="509">
        <f>SUM('Comext mensuel - EUROSTAT'!AA82,'Comext mensuel - EUROSTAT'!AC82,'Comext mensuel - EUROSTAT'!AE82,'Comext mensuel - EUROSTAT'!AG82,'Comext mensuel - EUROSTAT'!AI82,'Comext mensuel - EUROSTAT'!AK82,'Comext mensuel - EUROSTAT'!AM82,'Comext mensuel - EUROSTAT'!AO82,'Comext mensuel - EUROSTAT'!AQ82,'Comext mensuel - EUROSTAT'!AS82,'Comext mensuel - EUROSTAT'!AU82,'Comext mensuel - EUROSTAT'!AW82)/10^4</f>
        <v>7.2402509999999998</v>
      </c>
      <c r="N73" s="509">
        <f>SUM('Comext mensuel - EUROSTAT'!AB82,'Comext mensuel - EUROSTAT'!AD82,'Comext mensuel - EUROSTAT'!AF82,'Comext mensuel - EUROSTAT'!AH82,'Comext mensuel - EUROSTAT'!AJ82,'Comext mensuel - EUROSTAT'!AL82,'Comext mensuel - EUROSTAT'!AN82,'Comext mensuel - EUROSTAT'!AP82,'Comext mensuel - EUROSTAT'!AR82,'Comext mensuel - EUROSTAT'!AT82,'Comext mensuel - EUROSTAT'!AV82,'Comext mensuel - EUROSTAT'!AX82)/10^4</f>
        <v>1.2972219999999999</v>
      </c>
      <c r="O73" s="509">
        <f>SUM('Comext mensuel - EUROSTAT'!AY82,'Comext mensuel - EUROSTAT'!BA82,'Comext mensuel - EUROSTAT'!BC82,'Comext mensuel - EUROSTAT'!BE82,'Comext mensuel - EUROSTAT'!BG82,'Comext mensuel - EUROSTAT'!BI82,'Comext mensuel - EUROSTAT'!BK82,'Comext mensuel - EUROSTAT'!BM82,'Comext mensuel - EUROSTAT'!BO82,'Comext mensuel - EUROSTAT'!BQ82,'Comext mensuel - EUROSTAT'!BS82,'Comext mensuel - EUROSTAT'!BU82)/10^4</f>
        <v>4.5190529999999995</v>
      </c>
      <c r="P73" s="509">
        <f>SUM('Comext mensuel - EUROSTAT'!AZ82,'Comext mensuel - EUROSTAT'!BB82,'Comext mensuel - EUROSTAT'!BD82,'Comext mensuel - EUROSTAT'!BF82,'Comext mensuel - EUROSTAT'!BH82,'Comext mensuel - EUROSTAT'!BJ82,'Comext mensuel - EUROSTAT'!BL82,'Comext mensuel - EUROSTAT'!BN82,'Comext mensuel - EUROSTAT'!BP82,'Comext mensuel - EUROSTAT'!BR82,'Comext mensuel - EUROSTAT'!BT82,'Comext mensuel - EUROSTAT'!BV82)/10^4</f>
        <v>1.3463479999999999</v>
      </c>
      <c r="Q73" s="627">
        <f>'Prétraitement bilans'!L9</f>
        <v>12.1448</v>
      </c>
      <c r="R73" s="627">
        <f>'Prétraitement bilans'!L24</f>
        <v>0.89289999999999992</v>
      </c>
      <c r="S73" s="627">
        <f>'Prétraitement bilans'!U9</f>
        <v>4.9154000000000009</v>
      </c>
      <c r="T73" s="627">
        <f>'Prétraitement bilans'!U24</f>
        <v>0.48479999999999995</v>
      </c>
      <c r="U73" s="627">
        <f>'Prétraitement bilans'!AD9</f>
        <v>4.4203999999999999</v>
      </c>
      <c r="V73" s="627">
        <f>'Prétraitement bilans'!AD24</f>
        <v>1.3462000000000001</v>
      </c>
    </row>
    <row r="74" spans="1:22">
      <c r="A74" t="s">
        <v>315</v>
      </c>
      <c r="B74" t="s">
        <v>948</v>
      </c>
      <c r="C74" s="693"/>
      <c r="D74" t="str">
        <f>'Comext annuel - EUROSTAT'!B83</f>
        <v>Millet de semence (à l'excl. du sorgho à grains)</v>
      </c>
      <c r="E74" s="86">
        <f>'Comext annuel - EUROSTAT'!C83/10^4</f>
        <v>8.7086999999999998E-2</v>
      </c>
      <c r="F74" s="86">
        <f>'Comext annuel - EUROSTAT'!D83/10^4</f>
        <v>0.1411</v>
      </c>
      <c r="G74" s="86">
        <f>'Comext annuel - EUROSTAT'!E83/10^4</f>
        <v>0.261795</v>
      </c>
      <c r="H74" s="86">
        <f>'Comext annuel - EUROSTAT'!F83/10^4</f>
        <v>2.3201499999999999</v>
      </c>
      <c r="I74" s="86">
        <f>'Comext annuel - EUROSTAT'!G83/10^4</f>
        <v>0.24950799999999998</v>
      </c>
      <c r="J74" s="86">
        <f>'Comext annuel - EUROSTAT'!H83/10^4</f>
        <v>1.8775090000000001</v>
      </c>
      <c r="K74" s="86">
        <f>SUM('Comext mensuel - EUROSTAT'!C83,'Comext mensuel - EUROSTAT'!E83,'Comext mensuel - EUROSTAT'!G83,'Comext mensuel - EUROSTAT'!I83,'Comext mensuel - EUROSTAT'!K83,'Comext mensuel - EUROSTAT'!M83,'Comext mensuel - EUROSTAT'!O83,'Comext mensuel - EUROSTAT'!Q83,'Comext mensuel - EUROSTAT'!S83,'Comext mensuel - EUROSTAT'!U83,'Comext mensuel - EUROSTAT'!W83,'Comext mensuel - EUROSTAT'!Y83)/10^4</f>
        <v>0.17158499999999999</v>
      </c>
      <c r="L74" s="86">
        <f>SUM('Comext mensuel - EUROSTAT'!D83,'Comext mensuel - EUROSTAT'!F83,'Comext mensuel - EUROSTAT'!H83,'Comext mensuel - EUROSTAT'!J83,'Comext mensuel - EUROSTAT'!L83,'Comext mensuel - EUROSTAT'!N83,'Comext mensuel - EUROSTAT'!P83,'Comext mensuel - EUROSTAT'!R83,'Comext mensuel - EUROSTAT'!T83,'Comext mensuel - EUROSTAT'!V83,'Comext mensuel - EUROSTAT'!X83,'Comext mensuel - EUROSTAT'!Z83)/10^4</f>
        <v>0.115423</v>
      </c>
      <c r="M74" s="86">
        <f>SUM('Comext mensuel - EUROSTAT'!AA83,'Comext mensuel - EUROSTAT'!AC83,'Comext mensuel - EUROSTAT'!AE83,'Comext mensuel - EUROSTAT'!AG83,'Comext mensuel - EUROSTAT'!AI83,'Comext mensuel - EUROSTAT'!AK83,'Comext mensuel - EUROSTAT'!AM83,'Comext mensuel - EUROSTAT'!AO83,'Comext mensuel - EUROSTAT'!AQ83,'Comext mensuel - EUROSTAT'!AS83,'Comext mensuel - EUROSTAT'!AU83,'Comext mensuel - EUROSTAT'!AW83)/10^4</f>
        <v>0.55276099999999995</v>
      </c>
      <c r="N74" s="86">
        <f>SUM('Comext mensuel - EUROSTAT'!AB83,'Comext mensuel - EUROSTAT'!AD83,'Comext mensuel - EUROSTAT'!AF83,'Comext mensuel - EUROSTAT'!AH83,'Comext mensuel - EUROSTAT'!AJ83,'Comext mensuel - EUROSTAT'!AL83,'Comext mensuel - EUROSTAT'!AN83,'Comext mensuel - EUROSTAT'!AP83,'Comext mensuel - EUROSTAT'!AR83,'Comext mensuel - EUROSTAT'!AT83,'Comext mensuel - EUROSTAT'!AV83,'Comext mensuel - EUROSTAT'!AX83)/10^4</f>
        <v>1.8105989999999998</v>
      </c>
      <c r="O74" s="86">
        <f>SUM('Comext mensuel - EUROSTAT'!AY83,'Comext mensuel - EUROSTAT'!BA83,'Comext mensuel - EUROSTAT'!BC83,'Comext mensuel - EUROSTAT'!BE83,'Comext mensuel - EUROSTAT'!BG83,'Comext mensuel - EUROSTAT'!BI83,'Comext mensuel - EUROSTAT'!BK83,'Comext mensuel - EUROSTAT'!BM83,'Comext mensuel - EUROSTAT'!BO83,'Comext mensuel - EUROSTAT'!BQ83,'Comext mensuel - EUROSTAT'!BS83,'Comext mensuel - EUROSTAT'!BU83)/10^4</f>
        <v>0.32028599999999996</v>
      </c>
      <c r="P74" s="86">
        <f>SUM('Comext mensuel - EUROSTAT'!AZ83,'Comext mensuel - EUROSTAT'!BB83,'Comext mensuel - EUROSTAT'!BD83,'Comext mensuel - EUROSTAT'!BF83,'Comext mensuel - EUROSTAT'!BH83,'Comext mensuel - EUROSTAT'!BJ83,'Comext mensuel - EUROSTAT'!BL83,'Comext mensuel - EUROSTAT'!BN83,'Comext mensuel - EUROSTAT'!BP83,'Comext mensuel - EUROSTAT'!BR83,'Comext mensuel - EUROSTAT'!BT83,'Comext mensuel - EUROSTAT'!BV83)/10^4</f>
        <v>2.5674600000000001</v>
      </c>
    </row>
    <row r="75" spans="1:22">
      <c r="A75" t="s">
        <v>315</v>
      </c>
      <c r="B75" t="s">
        <v>949</v>
      </c>
      <c r="C75" s="693"/>
      <c r="D75" t="str">
        <f>'Comext annuel - EUROSTAT'!B84</f>
        <v>Millet (à l'excl. du sorgho à grains et de semence)</v>
      </c>
      <c r="E75" s="86">
        <f>'Comext annuel - EUROSTAT'!C84/10^4</f>
        <v>2.0088460000000001</v>
      </c>
      <c r="F75" s="86">
        <f>'Comext annuel - EUROSTAT'!D84/10^4</f>
        <v>24.274986999999999</v>
      </c>
      <c r="G75" s="86">
        <f>'Comext annuel - EUROSTAT'!E84/10^4</f>
        <v>2.4469150000000002</v>
      </c>
      <c r="H75" s="86">
        <f>'Comext annuel - EUROSTAT'!F84/10^4</f>
        <v>30.458563000000002</v>
      </c>
      <c r="I75" s="86">
        <f>'Comext annuel - EUROSTAT'!G84/10^4</f>
        <v>2.9965540000000002</v>
      </c>
      <c r="J75" s="86">
        <f>'Comext annuel - EUROSTAT'!H84/10^4</f>
        <v>21.256556</v>
      </c>
      <c r="K75" s="86">
        <f>SUM('Comext mensuel - EUROSTAT'!C84,'Comext mensuel - EUROSTAT'!E84,'Comext mensuel - EUROSTAT'!G84,'Comext mensuel - EUROSTAT'!I84,'Comext mensuel - EUROSTAT'!K84,'Comext mensuel - EUROSTAT'!M84,'Comext mensuel - EUROSTAT'!O84,'Comext mensuel - EUROSTAT'!Q84,'Comext mensuel - EUROSTAT'!S84,'Comext mensuel - EUROSTAT'!U84,'Comext mensuel - EUROSTAT'!W84,'Comext mensuel - EUROSTAT'!Y84)/10^4</f>
        <v>2.3044820000000001</v>
      </c>
      <c r="L75" s="86">
        <f>SUM('Comext mensuel - EUROSTAT'!D84,'Comext mensuel - EUROSTAT'!F84,'Comext mensuel - EUROSTAT'!H84,'Comext mensuel - EUROSTAT'!J84,'Comext mensuel - EUROSTAT'!L84,'Comext mensuel - EUROSTAT'!N84,'Comext mensuel - EUROSTAT'!P84,'Comext mensuel - EUROSTAT'!R84,'Comext mensuel - EUROSTAT'!T84,'Comext mensuel - EUROSTAT'!V84,'Comext mensuel - EUROSTAT'!X84,'Comext mensuel - EUROSTAT'!Z84)/10^4</f>
        <v>18.657692999999998</v>
      </c>
      <c r="M75" s="86">
        <f>SUM('Comext mensuel - EUROSTAT'!AA84,'Comext mensuel - EUROSTAT'!AC84,'Comext mensuel - EUROSTAT'!AE84,'Comext mensuel - EUROSTAT'!AG84,'Comext mensuel - EUROSTAT'!AI84,'Comext mensuel - EUROSTAT'!AK84,'Comext mensuel - EUROSTAT'!AM84,'Comext mensuel - EUROSTAT'!AO84,'Comext mensuel - EUROSTAT'!AQ84,'Comext mensuel - EUROSTAT'!AS84,'Comext mensuel - EUROSTAT'!AU84,'Comext mensuel - EUROSTAT'!AW84)/10^4</f>
        <v>4.3364219999999998</v>
      </c>
      <c r="N75" s="86">
        <f>SUM('Comext mensuel - EUROSTAT'!AB84,'Comext mensuel - EUROSTAT'!AD84,'Comext mensuel - EUROSTAT'!AF84,'Comext mensuel - EUROSTAT'!AH84,'Comext mensuel - EUROSTAT'!AJ84,'Comext mensuel - EUROSTAT'!AL84,'Comext mensuel - EUROSTAT'!AN84,'Comext mensuel - EUROSTAT'!AP84,'Comext mensuel - EUROSTAT'!AR84,'Comext mensuel - EUROSTAT'!AT84,'Comext mensuel - EUROSTAT'!AV84,'Comext mensuel - EUROSTAT'!AX84)/10^4</f>
        <v>21.779870000000003</v>
      </c>
      <c r="O75" s="86">
        <f>SUM('Comext mensuel - EUROSTAT'!AY84,'Comext mensuel - EUROSTAT'!BA84,'Comext mensuel - EUROSTAT'!BC84,'Comext mensuel - EUROSTAT'!BE84,'Comext mensuel - EUROSTAT'!BG84,'Comext mensuel - EUROSTAT'!BI84,'Comext mensuel - EUROSTAT'!BK84,'Comext mensuel - EUROSTAT'!BM84,'Comext mensuel - EUROSTAT'!BO84,'Comext mensuel - EUROSTAT'!BQ84,'Comext mensuel - EUROSTAT'!BS84,'Comext mensuel - EUROSTAT'!BU84)/10^4</f>
        <v>1.6738399999999998</v>
      </c>
      <c r="P75" s="86">
        <f>SUM('Comext mensuel - EUROSTAT'!AZ84,'Comext mensuel - EUROSTAT'!BB84,'Comext mensuel - EUROSTAT'!BD84,'Comext mensuel - EUROSTAT'!BF84,'Comext mensuel - EUROSTAT'!BH84,'Comext mensuel - EUROSTAT'!BJ84,'Comext mensuel - EUROSTAT'!BL84,'Comext mensuel - EUROSTAT'!BN84,'Comext mensuel - EUROSTAT'!BP84,'Comext mensuel - EUROSTAT'!BR84,'Comext mensuel - EUROSTAT'!BT84,'Comext mensuel - EUROSTAT'!BV84)/10^4</f>
        <v>24.879615000000001</v>
      </c>
    </row>
    <row r="76" spans="1:22">
      <c r="A76" t="s">
        <v>314</v>
      </c>
      <c r="B76" t="s">
        <v>949</v>
      </c>
      <c r="C76" s="693"/>
      <c r="D76" t="str">
        <f>'Comext annuel - EUROSTAT'!B85</f>
        <v>Alpiste</v>
      </c>
      <c r="E76" s="86">
        <f>'Comext annuel - EUROSTAT'!C85/10^4</f>
        <v>1.426477</v>
      </c>
      <c r="F76" s="86">
        <f>'Comext annuel - EUROSTAT'!D85/10^4</f>
        <v>1.2176000000000001E-2</v>
      </c>
      <c r="G76" s="86">
        <f>'Comext annuel - EUROSTAT'!E85/10^4</f>
        <v>1.5449600000000001</v>
      </c>
      <c r="H76" s="86">
        <f>'Comext annuel - EUROSTAT'!F85/10^4</f>
        <v>2.3969999999999998E-3</v>
      </c>
      <c r="I76" s="86">
        <f>'Comext annuel - EUROSTAT'!G85/10^4</f>
        <v>1.5902000000000001</v>
      </c>
      <c r="J76" s="86">
        <f>'Comext annuel - EUROSTAT'!H85/10^4</f>
        <v>0.31271700000000002</v>
      </c>
      <c r="K76" s="86">
        <f>SUM('Comext mensuel - EUROSTAT'!C85,'Comext mensuel - EUROSTAT'!E85,'Comext mensuel - EUROSTAT'!G85,'Comext mensuel - EUROSTAT'!I85,'Comext mensuel - EUROSTAT'!K85,'Comext mensuel - EUROSTAT'!M85,'Comext mensuel - EUROSTAT'!O85,'Comext mensuel - EUROSTAT'!Q85,'Comext mensuel - EUROSTAT'!S85,'Comext mensuel - EUROSTAT'!U85,'Comext mensuel - EUROSTAT'!W85,'Comext mensuel - EUROSTAT'!Y85)/10^4</f>
        <v>1.5042910000000003</v>
      </c>
      <c r="L76" s="86">
        <f>SUM('Comext mensuel - EUROSTAT'!D85,'Comext mensuel - EUROSTAT'!F85,'Comext mensuel - EUROSTAT'!H85,'Comext mensuel - EUROSTAT'!J85,'Comext mensuel - EUROSTAT'!L85,'Comext mensuel - EUROSTAT'!N85,'Comext mensuel - EUROSTAT'!P85,'Comext mensuel - EUROSTAT'!R85,'Comext mensuel - EUROSTAT'!T85,'Comext mensuel - EUROSTAT'!V85,'Comext mensuel - EUROSTAT'!X85,'Comext mensuel - EUROSTAT'!Z85)/10^4</f>
        <v>8.2450000000000006E-3</v>
      </c>
      <c r="M76" s="86">
        <f>SUM('Comext mensuel - EUROSTAT'!AA85,'Comext mensuel - EUROSTAT'!AC85,'Comext mensuel - EUROSTAT'!AE85,'Comext mensuel - EUROSTAT'!AG85,'Comext mensuel - EUROSTAT'!AI85,'Comext mensuel - EUROSTAT'!AK85,'Comext mensuel - EUROSTAT'!AM85,'Comext mensuel - EUROSTAT'!AO85,'Comext mensuel - EUROSTAT'!AQ85,'Comext mensuel - EUROSTAT'!AS85,'Comext mensuel - EUROSTAT'!AU85,'Comext mensuel - EUROSTAT'!AW85)/10^4</f>
        <v>1.5754489999999999</v>
      </c>
      <c r="N76" s="86">
        <f>SUM('Comext mensuel - EUROSTAT'!AB85,'Comext mensuel - EUROSTAT'!AD85,'Comext mensuel - EUROSTAT'!AF85,'Comext mensuel - EUROSTAT'!AH85,'Comext mensuel - EUROSTAT'!AJ85,'Comext mensuel - EUROSTAT'!AL85,'Comext mensuel - EUROSTAT'!AN85,'Comext mensuel - EUROSTAT'!AP85,'Comext mensuel - EUROSTAT'!AR85,'Comext mensuel - EUROSTAT'!AT85,'Comext mensuel - EUROSTAT'!AV85,'Comext mensuel - EUROSTAT'!AX85)/10^4</f>
        <v>7.9396999999999995E-2</v>
      </c>
      <c r="O76" s="86">
        <f>SUM('Comext mensuel - EUROSTAT'!AY85,'Comext mensuel - EUROSTAT'!BA85,'Comext mensuel - EUROSTAT'!BC85,'Comext mensuel - EUROSTAT'!BE85,'Comext mensuel - EUROSTAT'!BG85,'Comext mensuel - EUROSTAT'!BI85,'Comext mensuel - EUROSTAT'!BK85,'Comext mensuel - EUROSTAT'!BM85,'Comext mensuel - EUROSTAT'!BO85,'Comext mensuel - EUROSTAT'!BQ85,'Comext mensuel - EUROSTAT'!BS85,'Comext mensuel - EUROSTAT'!BU85)/10^4</f>
        <v>1.6966049999999999</v>
      </c>
      <c r="P76" s="86">
        <f>SUM('Comext mensuel - EUROSTAT'!AZ85,'Comext mensuel - EUROSTAT'!BB85,'Comext mensuel - EUROSTAT'!BD85,'Comext mensuel - EUROSTAT'!BF85,'Comext mensuel - EUROSTAT'!BH85,'Comext mensuel - EUROSTAT'!BJ85,'Comext mensuel - EUROSTAT'!BL85,'Comext mensuel - EUROSTAT'!BN85,'Comext mensuel - EUROSTAT'!BP85,'Comext mensuel - EUROSTAT'!BR85,'Comext mensuel - EUROSTAT'!BT85,'Comext mensuel - EUROSTAT'!BV85)/10^4</f>
        <v>0.50554999999999994</v>
      </c>
    </row>
    <row r="77" spans="1:22">
      <c r="A77" t="s">
        <v>952</v>
      </c>
      <c r="B77" t="s">
        <v>949</v>
      </c>
      <c r="C77" s="693"/>
      <c r="D77" t="str">
        <f>'Comext annuel - EUROSTAT'!B86</f>
        <v>Fonio {Digitaria spp.}</v>
      </c>
      <c r="E77" s="86">
        <f>'Comext annuel - EUROSTAT'!C86/10^4</f>
        <v>7.347999999999999E-2</v>
      </c>
      <c r="F77" s="86">
        <f>'Comext annuel - EUROSTAT'!D86/10^4</f>
        <v>1.8600000000000002E-4</v>
      </c>
      <c r="G77" s="86">
        <f>'Comext annuel - EUROSTAT'!E86/10^4</f>
        <v>0.16892599999999999</v>
      </c>
      <c r="H77" s="86">
        <f>'Comext annuel - EUROSTAT'!F86/10^4</f>
        <v>3.9979999999999998E-3</v>
      </c>
      <c r="I77" s="86">
        <f>'Comext annuel - EUROSTAT'!G86/10^4</f>
        <v>0.16631300000000002</v>
      </c>
      <c r="J77" s="86">
        <f>'Comext annuel - EUROSTAT'!H86/10^4</f>
        <v>4.9960000000000004E-3</v>
      </c>
      <c r="K77" s="86">
        <f>SUM('Comext mensuel - EUROSTAT'!C86,'Comext mensuel - EUROSTAT'!E86,'Comext mensuel - EUROSTAT'!G86,'Comext mensuel - EUROSTAT'!I86,'Comext mensuel - EUROSTAT'!K86,'Comext mensuel - EUROSTAT'!M86,'Comext mensuel - EUROSTAT'!O86,'Comext mensuel - EUROSTAT'!Q86,'Comext mensuel - EUROSTAT'!S86,'Comext mensuel - EUROSTAT'!U86,'Comext mensuel - EUROSTAT'!W86,'Comext mensuel - EUROSTAT'!Y86)/10^4</f>
        <v>9.0361999999999998E-2</v>
      </c>
      <c r="L77" s="86">
        <f>SUM('Comext mensuel - EUROSTAT'!D86,'Comext mensuel - EUROSTAT'!F86,'Comext mensuel - EUROSTAT'!H86,'Comext mensuel - EUROSTAT'!J86,'Comext mensuel - EUROSTAT'!L86,'Comext mensuel - EUROSTAT'!N86,'Comext mensuel - EUROSTAT'!P86,'Comext mensuel - EUROSTAT'!R86,'Comext mensuel - EUROSTAT'!T86,'Comext mensuel - EUROSTAT'!V86,'Comext mensuel - EUROSTAT'!X86,'Comext mensuel - EUROSTAT'!Z86)/10^4</f>
        <v>1.8600000000000002E-4</v>
      </c>
      <c r="M77" s="86">
        <f>SUM('Comext mensuel - EUROSTAT'!AA86,'Comext mensuel - EUROSTAT'!AC86,'Comext mensuel - EUROSTAT'!AE86,'Comext mensuel - EUROSTAT'!AG86,'Comext mensuel - EUROSTAT'!AI86,'Comext mensuel - EUROSTAT'!AK86,'Comext mensuel - EUROSTAT'!AM86,'Comext mensuel - EUROSTAT'!AO86,'Comext mensuel - EUROSTAT'!AQ86,'Comext mensuel - EUROSTAT'!AS86,'Comext mensuel - EUROSTAT'!AU86,'Comext mensuel - EUROSTAT'!AW86)/10^4</f>
        <v>0.16511400000000001</v>
      </c>
      <c r="N77" s="86">
        <f>SUM('Comext mensuel - EUROSTAT'!AB86,'Comext mensuel - EUROSTAT'!AD86,'Comext mensuel - EUROSTAT'!AF86,'Comext mensuel - EUROSTAT'!AH86,'Comext mensuel - EUROSTAT'!AJ86,'Comext mensuel - EUROSTAT'!AL86,'Comext mensuel - EUROSTAT'!AN86,'Comext mensuel - EUROSTAT'!AP86,'Comext mensuel - EUROSTAT'!AR86,'Comext mensuel - EUROSTAT'!AT86,'Comext mensuel - EUROSTAT'!AV86,'Comext mensuel - EUROSTAT'!AX86)/10^4</f>
        <v>6.1830000000000001E-3</v>
      </c>
      <c r="O77" s="86">
        <f>SUM('Comext mensuel - EUROSTAT'!AY86,'Comext mensuel - EUROSTAT'!BA86,'Comext mensuel - EUROSTAT'!BC86,'Comext mensuel - EUROSTAT'!BE86,'Comext mensuel - EUROSTAT'!BG86,'Comext mensuel - EUROSTAT'!BI86,'Comext mensuel - EUROSTAT'!BK86,'Comext mensuel - EUROSTAT'!BM86,'Comext mensuel - EUROSTAT'!BO86,'Comext mensuel - EUROSTAT'!BQ86,'Comext mensuel - EUROSTAT'!BS86,'Comext mensuel - EUROSTAT'!BU86)/10^4</f>
        <v>0.152586</v>
      </c>
      <c r="P77" s="86">
        <f>SUM('Comext mensuel - EUROSTAT'!AZ86,'Comext mensuel - EUROSTAT'!BB86,'Comext mensuel - EUROSTAT'!BD86,'Comext mensuel - EUROSTAT'!BF86,'Comext mensuel - EUROSTAT'!BH86,'Comext mensuel - EUROSTAT'!BJ86,'Comext mensuel - EUROSTAT'!BL86,'Comext mensuel - EUROSTAT'!BN86,'Comext mensuel - EUROSTAT'!BP86,'Comext mensuel - EUROSTAT'!BR86,'Comext mensuel - EUROSTAT'!BT86,'Comext mensuel - EUROSTAT'!BV86)/10^4</f>
        <v>1.7009999999999998E-3</v>
      </c>
    </row>
    <row r="78" spans="1:22">
      <c r="A78" t="s">
        <v>320</v>
      </c>
      <c r="B78" t="s">
        <v>949</v>
      </c>
      <c r="C78" s="693"/>
      <c r="D78" t="str">
        <f>'Comext annuel - EUROSTAT'!B87</f>
        <v>Quinoa {Chenopodium quinoa}</v>
      </c>
      <c r="E78" s="86">
        <f>'Comext annuel - EUROSTAT'!C87/10^4</f>
        <v>5.2767800000000005</v>
      </c>
      <c r="F78" s="86">
        <f>'Comext annuel - EUROSTAT'!D87/10^4</f>
        <v>1.073718</v>
      </c>
      <c r="G78" s="86">
        <f>'Comext annuel - EUROSTAT'!E87/10^4</f>
        <v>9.0078460000000007</v>
      </c>
      <c r="H78" s="86">
        <f>'Comext annuel - EUROSTAT'!F87/10^4</f>
        <v>2.0425360000000001</v>
      </c>
      <c r="I78" s="86">
        <f>'Comext annuel - EUROSTAT'!G87/10^4</f>
        <v>4.2000160000000006</v>
      </c>
      <c r="J78" s="86">
        <f>'Comext annuel - EUROSTAT'!H87/10^4</f>
        <v>0.97106900000000007</v>
      </c>
      <c r="K78" s="86">
        <f>SUM('Comext mensuel - EUROSTAT'!C87,'Comext mensuel - EUROSTAT'!E87,'Comext mensuel - EUROSTAT'!G87,'Comext mensuel - EUROSTAT'!I87,'Comext mensuel - EUROSTAT'!K87,'Comext mensuel - EUROSTAT'!M87,'Comext mensuel - EUROSTAT'!O87,'Comext mensuel - EUROSTAT'!Q87,'Comext mensuel - EUROSTAT'!S87,'Comext mensuel - EUROSTAT'!U87,'Comext mensuel - EUROSTAT'!W87,'Comext mensuel - EUROSTAT'!Y87)/10^4</f>
        <v>5.6494450000000001</v>
      </c>
      <c r="L78" s="86">
        <f>SUM('Comext mensuel - EUROSTAT'!D87,'Comext mensuel - EUROSTAT'!F87,'Comext mensuel - EUROSTAT'!H87,'Comext mensuel - EUROSTAT'!J87,'Comext mensuel - EUROSTAT'!L87,'Comext mensuel - EUROSTAT'!N87,'Comext mensuel - EUROSTAT'!P87,'Comext mensuel - EUROSTAT'!R87,'Comext mensuel - EUROSTAT'!T87,'Comext mensuel - EUROSTAT'!V87,'Comext mensuel - EUROSTAT'!X87,'Comext mensuel - EUROSTAT'!Z87)/10^4</f>
        <v>1.446393</v>
      </c>
      <c r="M78" s="86">
        <f>SUM('Comext mensuel - EUROSTAT'!AA87,'Comext mensuel - EUROSTAT'!AC87,'Comext mensuel - EUROSTAT'!AE87,'Comext mensuel - EUROSTAT'!AG87,'Comext mensuel - EUROSTAT'!AI87,'Comext mensuel - EUROSTAT'!AK87,'Comext mensuel - EUROSTAT'!AM87,'Comext mensuel - EUROSTAT'!AO87,'Comext mensuel - EUROSTAT'!AQ87,'Comext mensuel - EUROSTAT'!AS87,'Comext mensuel - EUROSTAT'!AU87,'Comext mensuel - EUROSTAT'!AW87)/10^4</f>
        <v>7.8571520000000001</v>
      </c>
      <c r="N78" s="86">
        <f>SUM('Comext mensuel - EUROSTAT'!AB87,'Comext mensuel - EUROSTAT'!AD87,'Comext mensuel - EUROSTAT'!AF87,'Comext mensuel - EUROSTAT'!AH87,'Comext mensuel - EUROSTAT'!AJ87,'Comext mensuel - EUROSTAT'!AL87,'Comext mensuel - EUROSTAT'!AN87,'Comext mensuel - EUROSTAT'!AP87,'Comext mensuel - EUROSTAT'!AR87,'Comext mensuel - EUROSTAT'!AT87,'Comext mensuel - EUROSTAT'!AV87,'Comext mensuel - EUROSTAT'!AX87)/10^4</f>
        <v>2.3030399999999998</v>
      </c>
      <c r="O78" s="86">
        <f>SUM('Comext mensuel - EUROSTAT'!AY87,'Comext mensuel - EUROSTAT'!BA87,'Comext mensuel - EUROSTAT'!BC87,'Comext mensuel - EUROSTAT'!BE87,'Comext mensuel - EUROSTAT'!BG87,'Comext mensuel - EUROSTAT'!BI87,'Comext mensuel - EUROSTAT'!BK87,'Comext mensuel - EUROSTAT'!BM87,'Comext mensuel - EUROSTAT'!BO87,'Comext mensuel - EUROSTAT'!BQ87,'Comext mensuel - EUROSTAT'!BS87,'Comext mensuel - EUROSTAT'!BU87)/10^4</f>
        <v>3.9600240000000007</v>
      </c>
      <c r="P78" s="86">
        <f>SUM('Comext mensuel - EUROSTAT'!AZ87,'Comext mensuel - EUROSTAT'!BB87,'Comext mensuel - EUROSTAT'!BD87,'Comext mensuel - EUROSTAT'!BF87,'Comext mensuel - EUROSTAT'!BH87,'Comext mensuel - EUROSTAT'!BJ87,'Comext mensuel - EUROSTAT'!BL87,'Comext mensuel - EUROSTAT'!BN87,'Comext mensuel - EUROSTAT'!BP87,'Comext mensuel - EUROSTAT'!BR87,'Comext mensuel - EUROSTAT'!BT87,'Comext mensuel - EUROSTAT'!BV87)/10^4</f>
        <v>1.1833810000000002</v>
      </c>
    </row>
    <row r="79" spans="1:22">
      <c r="A79" t="s">
        <v>174</v>
      </c>
      <c r="B79" t="s">
        <v>949</v>
      </c>
      <c r="C79" s="693"/>
      <c r="D79" t="str">
        <f>'Comext annuel - EUROSTAT'!B88</f>
        <v>Triticale</v>
      </c>
      <c r="E79" s="86">
        <f>'Comext annuel - EUROSTAT'!C88/10^4</f>
        <v>8.9428359999999998</v>
      </c>
      <c r="F79" s="86">
        <f>'Comext annuel - EUROSTAT'!D88/10^4</f>
        <v>80.204778000000005</v>
      </c>
      <c r="G79" s="86">
        <f>'Comext annuel - EUROSTAT'!E88/10^4</f>
        <v>16.501338000000001</v>
      </c>
      <c r="H79" s="86">
        <f>'Comext annuel - EUROSTAT'!F88/10^4</f>
        <v>61.248086000000001</v>
      </c>
      <c r="I79" s="86">
        <f>'Comext annuel - EUROSTAT'!G88/10^4</f>
        <v>1.2218659999999999</v>
      </c>
      <c r="J79" s="86">
        <f>'Comext annuel - EUROSTAT'!H88/10^4</f>
        <v>88.015731000000002</v>
      </c>
      <c r="K79" s="509">
        <f>SUM('Comext mensuel - EUROSTAT'!C88,'Comext mensuel - EUROSTAT'!E88,'Comext mensuel - EUROSTAT'!G88,'Comext mensuel - EUROSTAT'!I88,'Comext mensuel - EUROSTAT'!K88,'Comext mensuel - EUROSTAT'!M88,'Comext mensuel - EUROSTAT'!O88,'Comext mensuel - EUROSTAT'!Q88,'Comext mensuel - EUROSTAT'!S88,'Comext mensuel - EUROSTAT'!U88,'Comext mensuel - EUROSTAT'!W88,'Comext mensuel - EUROSTAT'!Y88)/10^4</f>
        <v>6.1742350000000004</v>
      </c>
      <c r="L79" s="509">
        <f>SUM('Comext mensuel - EUROSTAT'!D88,'Comext mensuel - EUROSTAT'!F88,'Comext mensuel - EUROSTAT'!H88,'Comext mensuel - EUROSTAT'!J88,'Comext mensuel - EUROSTAT'!L88,'Comext mensuel - EUROSTAT'!N88,'Comext mensuel - EUROSTAT'!P88,'Comext mensuel - EUROSTAT'!R88,'Comext mensuel - EUROSTAT'!T88,'Comext mensuel - EUROSTAT'!V88,'Comext mensuel - EUROSTAT'!X88,'Comext mensuel - EUROSTAT'!Z88)/10^4</f>
        <v>59.163988999999987</v>
      </c>
      <c r="M79" s="509">
        <f>SUM('Comext mensuel - EUROSTAT'!AA88,'Comext mensuel - EUROSTAT'!AC88,'Comext mensuel - EUROSTAT'!AE88,'Comext mensuel - EUROSTAT'!AG88,'Comext mensuel - EUROSTAT'!AI88,'Comext mensuel - EUROSTAT'!AK88,'Comext mensuel - EUROSTAT'!AM88,'Comext mensuel - EUROSTAT'!AO88,'Comext mensuel - EUROSTAT'!AQ88,'Comext mensuel - EUROSTAT'!AS88,'Comext mensuel - EUROSTAT'!AU88,'Comext mensuel - EUROSTAT'!AW88)/10^4</f>
        <v>17.366084000000001</v>
      </c>
      <c r="N79" s="509">
        <f>SUM('Comext mensuel - EUROSTAT'!AB88,'Comext mensuel - EUROSTAT'!AD88,'Comext mensuel - EUROSTAT'!AF88,'Comext mensuel - EUROSTAT'!AH88,'Comext mensuel - EUROSTAT'!AJ88,'Comext mensuel - EUROSTAT'!AL88,'Comext mensuel - EUROSTAT'!AN88,'Comext mensuel - EUROSTAT'!AP88,'Comext mensuel - EUROSTAT'!AR88,'Comext mensuel - EUROSTAT'!AT88,'Comext mensuel - EUROSTAT'!AV88,'Comext mensuel - EUROSTAT'!AX88)/10^4</f>
        <v>68.138115999999997</v>
      </c>
      <c r="O79" s="509">
        <f>SUM('Comext mensuel - EUROSTAT'!AY88,'Comext mensuel - EUROSTAT'!BA88,'Comext mensuel - EUROSTAT'!BC88,'Comext mensuel - EUROSTAT'!BE88,'Comext mensuel - EUROSTAT'!BG88,'Comext mensuel - EUROSTAT'!BI88,'Comext mensuel - EUROSTAT'!BK88,'Comext mensuel - EUROSTAT'!BM88,'Comext mensuel - EUROSTAT'!BO88,'Comext mensuel - EUROSTAT'!BQ88,'Comext mensuel - EUROSTAT'!BS88,'Comext mensuel - EUROSTAT'!BU88)/10^4</f>
        <v>0.648177</v>
      </c>
      <c r="P79" s="509">
        <f>SUM('Comext mensuel - EUROSTAT'!AZ88,'Comext mensuel - EUROSTAT'!BB88,'Comext mensuel - EUROSTAT'!BD88,'Comext mensuel - EUROSTAT'!BF88,'Comext mensuel - EUROSTAT'!BH88,'Comext mensuel - EUROSTAT'!BJ88,'Comext mensuel - EUROSTAT'!BL88,'Comext mensuel - EUROSTAT'!BN88,'Comext mensuel - EUROSTAT'!BP88,'Comext mensuel - EUROSTAT'!BR88,'Comext mensuel - EUROSTAT'!BT88,'Comext mensuel - EUROSTAT'!BV88)/10^4</f>
        <v>92.004195999999993</v>
      </c>
      <c r="Q79" s="627">
        <f>'Prétraitement bilans'!H9</f>
        <v>6.1692</v>
      </c>
      <c r="R79" s="627">
        <f>'Prétraitement bilans'!H24</f>
        <v>59.164500000000018</v>
      </c>
      <c r="S79" s="627">
        <f>'Prétraitement bilans'!Q9</f>
        <v>17.3658</v>
      </c>
      <c r="T79" s="627">
        <f>'Prétraitement bilans'!Q24</f>
        <v>68.138199999999998</v>
      </c>
      <c r="U79" s="627">
        <f>'Prétraitement bilans'!Z9</f>
        <v>2.5325000000000002</v>
      </c>
      <c r="V79" s="627">
        <f>'Prétraitement bilans'!Z24</f>
        <v>91.977400000000017</v>
      </c>
    </row>
    <row r="80" spans="1:22">
      <c r="B80" t="s">
        <v>949</v>
      </c>
      <c r="C80" s="693"/>
      <c r="D80" t="str">
        <f>'Comext annuel - EUROSTAT'!B89</f>
        <v>Céréales (à l’excl. du froment {blé}, du méteil, du seigle, de l’orge, de l’avoine, du maïs, du riz, du sorgho à grains, du sarrasin, du millet, de l’alpiste, du fonio, du quinoa et du triticale)</v>
      </c>
      <c r="E80" s="86">
        <f>'Comext annuel - EUROSTAT'!C89/10^4</f>
        <v>8.1955229999999997</v>
      </c>
      <c r="F80" s="86">
        <f>'Comext annuel - EUROSTAT'!D89/10^4</f>
        <v>76.362412000000006</v>
      </c>
      <c r="G80" s="86">
        <f>'Comext annuel - EUROSTAT'!E89/10^4</f>
        <v>6.9448039999999995</v>
      </c>
      <c r="H80" s="86">
        <f>'Comext annuel - EUROSTAT'!F89/10^4</f>
        <v>93.352900000000005</v>
      </c>
      <c r="I80" s="86">
        <f>'Comext annuel - EUROSTAT'!G89/10^4</f>
        <v>8.799866999999999</v>
      </c>
      <c r="J80" s="86">
        <f>'Comext annuel - EUROSTAT'!H89/10^4</f>
        <v>72.271934999999999</v>
      </c>
      <c r="K80" s="86">
        <f>SUM('Comext mensuel - EUROSTAT'!C89,'Comext mensuel - EUROSTAT'!E89,'Comext mensuel - EUROSTAT'!G89,'Comext mensuel - EUROSTAT'!I89,'Comext mensuel - EUROSTAT'!K89,'Comext mensuel - EUROSTAT'!M89,'Comext mensuel - EUROSTAT'!O89,'Comext mensuel - EUROSTAT'!Q89,'Comext mensuel - EUROSTAT'!S89,'Comext mensuel - EUROSTAT'!U89,'Comext mensuel - EUROSTAT'!W89,'Comext mensuel - EUROSTAT'!Y89)/10^4</f>
        <v>5.9220450000000007</v>
      </c>
      <c r="L80" s="86">
        <f>SUM('Comext mensuel - EUROSTAT'!D89,'Comext mensuel - EUROSTAT'!F89,'Comext mensuel - EUROSTAT'!H89,'Comext mensuel - EUROSTAT'!J89,'Comext mensuel - EUROSTAT'!L89,'Comext mensuel - EUROSTAT'!N89,'Comext mensuel - EUROSTAT'!P89,'Comext mensuel - EUROSTAT'!R89,'Comext mensuel - EUROSTAT'!T89,'Comext mensuel - EUROSTAT'!V89,'Comext mensuel - EUROSTAT'!X89,'Comext mensuel - EUROSTAT'!Z89)/10^4</f>
        <v>94.240566000000001</v>
      </c>
      <c r="M80" s="86">
        <f>SUM('Comext mensuel - EUROSTAT'!AA89,'Comext mensuel - EUROSTAT'!AC89,'Comext mensuel - EUROSTAT'!AE89,'Comext mensuel - EUROSTAT'!AG89,'Comext mensuel - EUROSTAT'!AI89,'Comext mensuel - EUROSTAT'!AK89,'Comext mensuel - EUROSTAT'!AM89,'Comext mensuel - EUROSTAT'!AO89,'Comext mensuel - EUROSTAT'!AQ89,'Comext mensuel - EUROSTAT'!AS89,'Comext mensuel - EUROSTAT'!AU89,'Comext mensuel - EUROSTAT'!AW89)/10^4</f>
        <v>6.051737000000001</v>
      </c>
      <c r="N80" s="86">
        <f>SUM('Comext mensuel - EUROSTAT'!AB89,'Comext mensuel - EUROSTAT'!AD89,'Comext mensuel - EUROSTAT'!AF89,'Comext mensuel - EUROSTAT'!AH89,'Comext mensuel - EUROSTAT'!AJ89,'Comext mensuel - EUROSTAT'!AL89,'Comext mensuel - EUROSTAT'!AN89,'Comext mensuel - EUROSTAT'!AP89,'Comext mensuel - EUROSTAT'!AR89,'Comext mensuel - EUROSTAT'!AT89,'Comext mensuel - EUROSTAT'!AV89,'Comext mensuel - EUROSTAT'!AX89)/10^4</f>
        <v>83.813964999999982</v>
      </c>
      <c r="O80" s="86">
        <f>SUM('Comext mensuel - EUROSTAT'!AY89,'Comext mensuel - EUROSTAT'!BA89,'Comext mensuel - EUROSTAT'!BC89,'Comext mensuel - EUROSTAT'!BE89,'Comext mensuel - EUROSTAT'!BG89,'Comext mensuel - EUROSTAT'!BI89,'Comext mensuel - EUROSTAT'!BK89,'Comext mensuel - EUROSTAT'!BM89,'Comext mensuel - EUROSTAT'!BO89,'Comext mensuel - EUROSTAT'!BQ89,'Comext mensuel - EUROSTAT'!BS89,'Comext mensuel - EUROSTAT'!BU89)/10^4</f>
        <v>7.4388880000000004</v>
      </c>
      <c r="P80" s="86">
        <f>SUM('Comext mensuel - EUROSTAT'!AZ89,'Comext mensuel - EUROSTAT'!BB89,'Comext mensuel - EUROSTAT'!BD89,'Comext mensuel - EUROSTAT'!BF89,'Comext mensuel - EUROSTAT'!BH89,'Comext mensuel - EUROSTAT'!BJ89,'Comext mensuel - EUROSTAT'!BL89,'Comext mensuel - EUROSTAT'!BN89,'Comext mensuel - EUROSTAT'!BP89,'Comext mensuel - EUROSTAT'!BR89,'Comext mensuel - EUROSTAT'!BT89,'Comext mensuel - EUROSTAT'!BV89)/10^4</f>
        <v>72.606672000000003</v>
      </c>
    </row>
    <row r="81" spans="1:16">
      <c r="A81" t="s">
        <v>172</v>
      </c>
      <c r="B81" t="s">
        <v>963</v>
      </c>
      <c r="C81" s="693" t="s">
        <v>973</v>
      </c>
      <c r="D81" t="str">
        <f>'Comext annuel - EUROSTAT'!B90</f>
        <v>Farines de froment {blé} dur</v>
      </c>
      <c r="E81" s="86">
        <f>'Comext annuel - EUROSTAT'!C90/10^4</f>
        <v>25.122337999999999</v>
      </c>
      <c r="F81" s="86">
        <f>'Comext annuel - EUROSTAT'!D90/10^4</f>
        <v>1.014413</v>
      </c>
      <c r="G81" s="86">
        <f>'Comext annuel - EUROSTAT'!E90/10^4</f>
        <v>18.781578</v>
      </c>
      <c r="H81" s="86">
        <f>'Comext annuel - EUROSTAT'!F90/10^4</f>
        <v>2.1873</v>
      </c>
      <c r="I81" s="86">
        <f>'Comext annuel - EUROSTAT'!G90/10^4</f>
        <v>20.874669000000001</v>
      </c>
      <c r="J81" s="86">
        <f>'Comext annuel - EUROSTAT'!H90/10^4</f>
        <v>2.6782630000000003</v>
      </c>
      <c r="K81" s="86">
        <f>SUM('Comext mensuel - EUROSTAT'!C90,'Comext mensuel - EUROSTAT'!E90,'Comext mensuel - EUROSTAT'!G90,'Comext mensuel - EUROSTAT'!I90,'Comext mensuel - EUROSTAT'!K90,'Comext mensuel - EUROSTAT'!M90,'Comext mensuel - EUROSTAT'!O90,'Comext mensuel - EUROSTAT'!Q90,'Comext mensuel - EUROSTAT'!S90,'Comext mensuel - EUROSTAT'!U90,'Comext mensuel - EUROSTAT'!W90,'Comext mensuel - EUROSTAT'!Y90)/10^4</f>
        <v>23.500353999999998</v>
      </c>
      <c r="L81" s="86">
        <f>SUM('Comext mensuel - EUROSTAT'!D90,'Comext mensuel - EUROSTAT'!F90,'Comext mensuel - EUROSTAT'!H90,'Comext mensuel - EUROSTAT'!J90,'Comext mensuel - EUROSTAT'!L90,'Comext mensuel - EUROSTAT'!N90,'Comext mensuel - EUROSTAT'!P90,'Comext mensuel - EUROSTAT'!R90,'Comext mensuel - EUROSTAT'!T90,'Comext mensuel - EUROSTAT'!V90,'Comext mensuel - EUROSTAT'!X90,'Comext mensuel - EUROSTAT'!Z90)/10^4</f>
        <v>0.96722199999999992</v>
      </c>
      <c r="M81" s="86">
        <f>SUM('Comext mensuel - EUROSTAT'!AA90,'Comext mensuel - EUROSTAT'!AC90,'Comext mensuel - EUROSTAT'!AE90,'Comext mensuel - EUROSTAT'!AG90,'Comext mensuel - EUROSTAT'!AI90,'Comext mensuel - EUROSTAT'!AK90,'Comext mensuel - EUROSTAT'!AM90,'Comext mensuel - EUROSTAT'!AO90,'Comext mensuel - EUROSTAT'!AQ90,'Comext mensuel - EUROSTAT'!AS90,'Comext mensuel - EUROSTAT'!AU90,'Comext mensuel - EUROSTAT'!AW90)/10^4</f>
        <v>18.788052999999998</v>
      </c>
      <c r="N81" s="86">
        <f>SUM('Comext mensuel - EUROSTAT'!AB90,'Comext mensuel - EUROSTAT'!AD90,'Comext mensuel - EUROSTAT'!AF90,'Comext mensuel - EUROSTAT'!AH90,'Comext mensuel - EUROSTAT'!AJ90,'Comext mensuel - EUROSTAT'!AL90,'Comext mensuel - EUROSTAT'!AN90,'Comext mensuel - EUROSTAT'!AP90,'Comext mensuel - EUROSTAT'!AR90,'Comext mensuel - EUROSTAT'!AT90,'Comext mensuel - EUROSTAT'!AV90,'Comext mensuel - EUROSTAT'!AX90)/10^4</f>
        <v>2.3664760000000005</v>
      </c>
      <c r="O81" s="86">
        <f>SUM('Comext mensuel - EUROSTAT'!AY90,'Comext mensuel - EUROSTAT'!BA90,'Comext mensuel - EUROSTAT'!BC90,'Comext mensuel - EUROSTAT'!BE90,'Comext mensuel - EUROSTAT'!BG90,'Comext mensuel - EUROSTAT'!BI90,'Comext mensuel - EUROSTAT'!BK90,'Comext mensuel - EUROSTAT'!BM90,'Comext mensuel - EUROSTAT'!BO90,'Comext mensuel - EUROSTAT'!BQ90,'Comext mensuel - EUROSTAT'!BS90,'Comext mensuel - EUROSTAT'!BU90)/10^4</f>
        <v>27.260951999999996</v>
      </c>
      <c r="P81" s="86">
        <f>SUM('Comext mensuel - EUROSTAT'!AZ90,'Comext mensuel - EUROSTAT'!BB90,'Comext mensuel - EUROSTAT'!BD90,'Comext mensuel - EUROSTAT'!BF90,'Comext mensuel - EUROSTAT'!BH90,'Comext mensuel - EUROSTAT'!BJ90,'Comext mensuel - EUROSTAT'!BL90,'Comext mensuel - EUROSTAT'!BN90,'Comext mensuel - EUROSTAT'!BP90,'Comext mensuel - EUROSTAT'!BR90,'Comext mensuel - EUROSTAT'!BT90,'Comext mensuel - EUROSTAT'!BV90)/10^4</f>
        <v>3.4013159999999996</v>
      </c>
    </row>
    <row r="82" spans="1:16">
      <c r="A82" t="s">
        <v>966</v>
      </c>
      <c r="B82" t="s">
        <v>963</v>
      </c>
      <c r="C82" s="693"/>
      <c r="D82" t="str">
        <f>'Comext annuel - EUROSTAT'!B91</f>
        <v>Farines de froment {blé} tendre et d'épeautre</v>
      </c>
      <c r="E82" s="86">
        <f>'Comext annuel - EUROSTAT'!C91/10^4</f>
        <v>298.01608700000003</v>
      </c>
      <c r="F82" s="86">
        <f>'Comext annuel - EUROSTAT'!D91/10^4</f>
        <v>374.19193300000001</v>
      </c>
      <c r="G82" s="86">
        <f>'Comext annuel - EUROSTAT'!E91/10^4</f>
        <v>249.71590600000002</v>
      </c>
      <c r="H82" s="86">
        <f>'Comext annuel - EUROSTAT'!F91/10^4</f>
        <v>167.031373</v>
      </c>
      <c r="I82" s="86">
        <f>'Comext annuel - EUROSTAT'!G91/10^4</f>
        <v>293.20803000000001</v>
      </c>
      <c r="J82" s="86">
        <f>'Comext annuel - EUROSTAT'!H91/10^4</f>
        <v>202.30871499999998</v>
      </c>
      <c r="K82" s="509">
        <f>SUM('Comext mensuel - EUROSTAT'!C91,'Comext mensuel - EUROSTAT'!E91,'Comext mensuel - EUROSTAT'!G91,'Comext mensuel - EUROSTAT'!I91,'Comext mensuel - EUROSTAT'!K91,'Comext mensuel - EUROSTAT'!M91,'Comext mensuel - EUROSTAT'!O91,'Comext mensuel - EUROSTAT'!Q91,'Comext mensuel - EUROSTAT'!S91,'Comext mensuel - EUROSTAT'!U91,'Comext mensuel - EUROSTAT'!W91,'Comext mensuel - EUROSTAT'!Y91)/10^4</f>
        <v>280.249506</v>
      </c>
      <c r="L82" s="509">
        <f>SUM('Comext mensuel - EUROSTAT'!D91,'Comext mensuel - EUROSTAT'!F91,'Comext mensuel - EUROSTAT'!H91,'Comext mensuel - EUROSTAT'!J91,'Comext mensuel - EUROSTAT'!L91,'Comext mensuel - EUROSTAT'!N91,'Comext mensuel - EUROSTAT'!P91,'Comext mensuel - EUROSTAT'!R91,'Comext mensuel - EUROSTAT'!T91,'Comext mensuel - EUROSTAT'!V91,'Comext mensuel - EUROSTAT'!X91,'Comext mensuel - EUROSTAT'!Z91)/10^4</f>
        <v>358.79883099999995</v>
      </c>
      <c r="M82" s="509">
        <f>SUM('Comext mensuel - EUROSTAT'!AA91,'Comext mensuel - EUROSTAT'!AC91,'Comext mensuel - EUROSTAT'!AE91,'Comext mensuel - EUROSTAT'!AG91,'Comext mensuel - EUROSTAT'!AI91,'Comext mensuel - EUROSTAT'!AK91,'Comext mensuel - EUROSTAT'!AM91,'Comext mensuel - EUROSTAT'!AO91,'Comext mensuel - EUROSTAT'!AQ91,'Comext mensuel - EUROSTAT'!AS91,'Comext mensuel - EUROSTAT'!AU91,'Comext mensuel - EUROSTAT'!AW91)/10^4</f>
        <v>270.88833499999998</v>
      </c>
      <c r="N82" s="509">
        <f>SUM('Comext mensuel - EUROSTAT'!AB91,'Comext mensuel - EUROSTAT'!AD91,'Comext mensuel - EUROSTAT'!AF91,'Comext mensuel - EUROSTAT'!AH91,'Comext mensuel - EUROSTAT'!AJ91,'Comext mensuel - EUROSTAT'!AL91,'Comext mensuel - EUROSTAT'!AN91,'Comext mensuel - EUROSTAT'!AP91,'Comext mensuel - EUROSTAT'!AR91,'Comext mensuel - EUROSTAT'!AT91,'Comext mensuel - EUROSTAT'!AV91,'Comext mensuel - EUROSTAT'!AX91)/10^4</f>
        <v>167.29334199999997</v>
      </c>
      <c r="O82" s="509">
        <f>SUM('Comext mensuel - EUROSTAT'!AY91,'Comext mensuel - EUROSTAT'!BA91,'Comext mensuel - EUROSTAT'!BC91,'Comext mensuel - EUROSTAT'!BE91,'Comext mensuel - EUROSTAT'!BG91,'Comext mensuel - EUROSTAT'!BI91,'Comext mensuel - EUROSTAT'!BK91,'Comext mensuel - EUROSTAT'!BM91,'Comext mensuel - EUROSTAT'!BO91,'Comext mensuel - EUROSTAT'!BQ91,'Comext mensuel - EUROSTAT'!BS91,'Comext mensuel - EUROSTAT'!BU91)/10^4</f>
        <v>335.93975799999998</v>
      </c>
      <c r="P82" s="509">
        <f>SUM('Comext mensuel - EUROSTAT'!AZ91,'Comext mensuel - EUROSTAT'!BB91,'Comext mensuel - EUROSTAT'!BD91,'Comext mensuel - EUROSTAT'!BF91,'Comext mensuel - EUROSTAT'!BH91,'Comext mensuel - EUROSTAT'!BJ91,'Comext mensuel - EUROSTAT'!BL91,'Comext mensuel - EUROSTAT'!BN91,'Comext mensuel - EUROSTAT'!BP91,'Comext mensuel - EUROSTAT'!BR91,'Comext mensuel - EUROSTAT'!BT91,'Comext mensuel - EUROSTAT'!BV91)/10^4</f>
        <v>207.56335100000001</v>
      </c>
    </row>
    <row r="83" spans="1:16">
      <c r="A83" t="s">
        <v>311</v>
      </c>
      <c r="B83" t="s">
        <v>963</v>
      </c>
      <c r="C83" s="693"/>
      <c r="D83" t="str">
        <f>'Comext annuel - EUROSTAT'!B92</f>
        <v>Farines de méteil</v>
      </c>
      <c r="E83" s="86">
        <f>'Comext annuel - EUROSTAT'!C92/10^4</f>
        <v>0.67078400000000005</v>
      </c>
      <c r="F83" s="86">
        <f>'Comext annuel - EUROSTAT'!D92/10^4</f>
        <v>0.21284899999999998</v>
      </c>
      <c r="G83" s="86">
        <f>'Comext annuel - EUROSTAT'!E92/10^4</f>
        <v>8.5730999999999988E-2</v>
      </c>
      <c r="H83" s="86">
        <f>'Comext annuel - EUROSTAT'!F92/10^4</f>
        <v>7.5011000000000008E-2</v>
      </c>
      <c r="I83" s="86">
        <f>'Comext annuel - EUROSTAT'!G92/10^4</f>
        <v>6.1363000000000001E-2</v>
      </c>
      <c r="J83" s="86">
        <f>'Comext annuel - EUROSTAT'!H92/10^4</f>
        <v>0.18423399999999998</v>
      </c>
      <c r="K83" s="86">
        <f>SUM('Comext mensuel - EUROSTAT'!C92,'Comext mensuel - EUROSTAT'!E92,'Comext mensuel - EUROSTAT'!G92,'Comext mensuel - EUROSTAT'!I92,'Comext mensuel - EUROSTAT'!K92,'Comext mensuel - EUROSTAT'!M92,'Comext mensuel - EUROSTAT'!O92,'Comext mensuel - EUROSTAT'!Q92,'Comext mensuel - EUROSTAT'!S92,'Comext mensuel - EUROSTAT'!U92,'Comext mensuel - EUROSTAT'!W92,'Comext mensuel - EUROSTAT'!Y92)/10^4</f>
        <v>1.8046E-2</v>
      </c>
      <c r="L83" s="86">
        <f>SUM('Comext mensuel - EUROSTAT'!D92,'Comext mensuel - EUROSTAT'!F92,'Comext mensuel - EUROSTAT'!H92,'Comext mensuel - EUROSTAT'!J92,'Comext mensuel - EUROSTAT'!L92,'Comext mensuel - EUROSTAT'!N92,'Comext mensuel - EUROSTAT'!P92,'Comext mensuel - EUROSTAT'!R92,'Comext mensuel - EUROSTAT'!T92,'Comext mensuel - EUROSTAT'!V92,'Comext mensuel - EUROSTAT'!X92,'Comext mensuel - EUROSTAT'!Z92)/10^4</f>
        <v>5.8482999999999993E-2</v>
      </c>
      <c r="M83" s="86">
        <f>SUM('Comext mensuel - EUROSTAT'!AA92,'Comext mensuel - EUROSTAT'!AC92,'Comext mensuel - EUROSTAT'!AE92,'Comext mensuel - EUROSTAT'!AG92,'Comext mensuel - EUROSTAT'!AI92,'Comext mensuel - EUROSTAT'!AK92,'Comext mensuel - EUROSTAT'!AM92,'Comext mensuel - EUROSTAT'!AO92,'Comext mensuel - EUROSTAT'!AQ92,'Comext mensuel - EUROSTAT'!AS92,'Comext mensuel - EUROSTAT'!AU92,'Comext mensuel - EUROSTAT'!AW92)/10^4</f>
        <v>7.3050000000000004E-2</v>
      </c>
      <c r="N83" s="86">
        <f>SUM('Comext mensuel - EUROSTAT'!AB92,'Comext mensuel - EUROSTAT'!AD92,'Comext mensuel - EUROSTAT'!AF92,'Comext mensuel - EUROSTAT'!AH92,'Comext mensuel - EUROSTAT'!AJ92,'Comext mensuel - EUROSTAT'!AL92,'Comext mensuel - EUROSTAT'!AN92,'Comext mensuel - EUROSTAT'!AP92,'Comext mensuel - EUROSTAT'!AR92,'Comext mensuel - EUROSTAT'!AT92,'Comext mensuel - EUROSTAT'!AV92,'Comext mensuel - EUROSTAT'!AX92)/10^4</f>
        <v>8.7801000000000004E-2</v>
      </c>
      <c r="O83" s="86">
        <f>SUM('Comext mensuel - EUROSTAT'!AY92,'Comext mensuel - EUROSTAT'!BA92,'Comext mensuel - EUROSTAT'!BC92,'Comext mensuel - EUROSTAT'!BE92,'Comext mensuel - EUROSTAT'!BG92,'Comext mensuel - EUROSTAT'!BI92,'Comext mensuel - EUROSTAT'!BK92,'Comext mensuel - EUROSTAT'!BM92,'Comext mensuel - EUROSTAT'!BO92,'Comext mensuel - EUROSTAT'!BQ92,'Comext mensuel - EUROSTAT'!BS92,'Comext mensuel - EUROSTAT'!BU92)/10^4</f>
        <v>8.7340000000000001E-2</v>
      </c>
      <c r="P83" s="86">
        <f>SUM('Comext mensuel - EUROSTAT'!AZ92,'Comext mensuel - EUROSTAT'!BB92,'Comext mensuel - EUROSTAT'!BD92,'Comext mensuel - EUROSTAT'!BF92,'Comext mensuel - EUROSTAT'!BH92,'Comext mensuel - EUROSTAT'!BJ92,'Comext mensuel - EUROSTAT'!BL92,'Comext mensuel - EUROSTAT'!BN92,'Comext mensuel - EUROSTAT'!BP92,'Comext mensuel - EUROSTAT'!BR92,'Comext mensuel - EUROSTAT'!BT92,'Comext mensuel - EUROSTAT'!BV92)/10^4</f>
        <v>0.20385999999999996</v>
      </c>
    </row>
    <row r="84" spans="1:16">
      <c r="A84" t="s">
        <v>307</v>
      </c>
      <c r="B84" t="s">
        <v>963</v>
      </c>
      <c r="C84" s="693"/>
      <c r="D84" t="str">
        <f>'Comext annuel - EUROSTAT'!B93</f>
        <v>Farine de maïs, d'une teneur en matières grasses &lt;= 1,5% en poids</v>
      </c>
      <c r="E84" s="86">
        <f>'Comext annuel - EUROSTAT'!C93/10^4</f>
        <v>2.1827139999999998</v>
      </c>
      <c r="F84" s="86">
        <f>'Comext annuel - EUROSTAT'!D93/10^4</f>
        <v>19.561143999999999</v>
      </c>
      <c r="G84" s="86">
        <f>'Comext annuel - EUROSTAT'!E93/10^4</f>
        <v>1.9257919999999997</v>
      </c>
      <c r="H84" s="86">
        <f>'Comext annuel - EUROSTAT'!F93/10^4</f>
        <v>9.63992</v>
      </c>
      <c r="I84" s="86">
        <f>'Comext annuel - EUROSTAT'!G93/10^4</f>
        <v>2.1167419999999999</v>
      </c>
      <c r="J84" s="86">
        <f>'Comext annuel - EUROSTAT'!H93/10^4</f>
        <v>6.1822699999999999</v>
      </c>
      <c r="K84" s="509">
        <f>SUM('Comext mensuel - EUROSTAT'!C93,'Comext mensuel - EUROSTAT'!E93,'Comext mensuel - EUROSTAT'!G93,'Comext mensuel - EUROSTAT'!I93,'Comext mensuel - EUROSTAT'!K93,'Comext mensuel - EUROSTAT'!M93,'Comext mensuel - EUROSTAT'!O93,'Comext mensuel - EUROSTAT'!Q93,'Comext mensuel - EUROSTAT'!S93,'Comext mensuel - EUROSTAT'!U93,'Comext mensuel - EUROSTAT'!W93,'Comext mensuel - EUROSTAT'!Y93)/10^4</f>
        <v>1.5488839999999999</v>
      </c>
      <c r="L84" s="509">
        <f>SUM('Comext mensuel - EUROSTAT'!D93,'Comext mensuel - EUROSTAT'!F93,'Comext mensuel - EUROSTAT'!H93,'Comext mensuel - EUROSTAT'!J93,'Comext mensuel - EUROSTAT'!L93,'Comext mensuel - EUROSTAT'!N93,'Comext mensuel - EUROSTAT'!P93,'Comext mensuel - EUROSTAT'!R93,'Comext mensuel - EUROSTAT'!T93,'Comext mensuel - EUROSTAT'!V93,'Comext mensuel - EUROSTAT'!X93,'Comext mensuel - EUROSTAT'!Z93)/10^4</f>
        <v>20.035752000000002</v>
      </c>
      <c r="M84" s="509">
        <f>SUM('Comext mensuel - EUROSTAT'!AA93,'Comext mensuel - EUROSTAT'!AC93,'Comext mensuel - EUROSTAT'!AE93,'Comext mensuel - EUROSTAT'!AG93,'Comext mensuel - EUROSTAT'!AI93,'Comext mensuel - EUROSTAT'!AK93,'Comext mensuel - EUROSTAT'!AM93,'Comext mensuel - EUROSTAT'!AO93,'Comext mensuel - EUROSTAT'!AQ93,'Comext mensuel - EUROSTAT'!AS93,'Comext mensuel - EUROSTAT'!AU93,'Comext mensuel - EUROSTAT'!AW93)/10^4</f>
        <v>1.8579049999999999</v>
      </c>
      <c r="N84" s="509">
        <f>SUM('Comext mensuel - EUROSTAT'!AB93,'Comext mensuel - EUROSTAT'!AD93,'Comext mensuel - EUROSTAT'!AF93,'Comext mensuel - EUROSTAT'!AH93,'Comext mensuel - EUROSTAT'!AJ93,'Comext mensuel - EUROSTAT'!AL93,'Comext mensuel - EUROSTAT'!AN93,'Comext mensuel - EUROSTAT'!AP93,'Comext mensuel - EUROSTAT'!AR93,'Comext mensuel - EUROSTAT'!AT93,'Comext mensuel - EUROSTAT'!AV93,'Comext mensuel - EUROSTAT'!AX93)/10^4</f>
        <v>9.7532199999999989</v>
      </c>
      <c r="O84" s="509">
        <f>SUM('Comext mensuel - EUROSTAT'!AY93,'Comext mensuel - EUROSTAT'!BA93,'Comext mensuel - EUROSTAT'!BC93,'Comext mensuel - EUROSTAT'!BE93,'Comext mensuel - EUROSTAT'!BG93,'Comext mensuel - EUROSTAT'!BI93,'Comext mensuel - EUROSTAT'!BK93,'Comext mensuel - EUROSTAT'!BM93,'Comext mensuel - EUROSTAT'!BO93,'Comext mensuel - EUROSTAT'!BQ93,'Comext mensuel - EUROSTAT'!BS93,'Comext mensuel - EUROSTAT'!BU93)/10^4</f>
        <v>2.1732480000000001</v>
      </c>
      <c r="P84" s="509">
        <f>SUM('Comext mensuel - EUROSTAT'!AZ93,'Comext mensuel - EUROSTAT'!BB93,'Comext mensuel - EUROSTAT'!BD93,'Comext mensuel - EUROSTAT'!BF93,'Comext mensuel - EUROSTAT'!BH93,'Comext mensuel - EUROSTAT'!BJ93,'Comext mensuel - EUROSTAT'!BL93,'Comext mensuel - EUROSTAT'!BN93,'Comext mensuel - EUROSTAT'!BP93,'Comext mensuel - EUROSTAT'!BR93,'Comext mensuel - EUROSTAT'!BT93,'Comext mensuel - EUROSTAT'!BV93)/10^4</f>
        <v>6.9020890000000001</v>
      </c>
    </row>
    <row r="85" spans="1:16">
      <c r="A85" t="s">
        <v>307</v>
      </c>
      <c r="B85" t="s">
        <v>963</v>
      </c>
      <c r="C85" s="693"/>
      <c r="D85" t="str">
        <f>'Comext annuel - EUROSTAT'!B94</f>
        <v>Farine de maïs, d'une teneur en matières grasses &gt; 1,5% en poids</v>
      </c>
      <c r="E85" s="86">
        <f>'Comext annuel - EUROSTAT'!C94/10^4</f>
        <v>11.031188999999999</v>
      </c>
      <c r="F85" s="86">
        <f>'Comext annuel - EUROSTAT'!D94/10^4</f>
        <v>20.627839999999999</v>
      </c>
      <c r="G85" s="86">
        <f>'Comext annuel - EUROSTAT'!E94/10^4</f>
        <v>19.723004</v>
      </c>
      <c r="H85" s="86">
        <f>'Comext annuel - EUROSTAT'!F94/10^4</f>
        <v>26.432909999999996</v>
      </c>
      <c r="I85" s="86">
        <f>'Comext annuel - EUROSTAT'!G94/10^4</f>
        <v>14.475082</v>
      </c>
      <c r="J85" s="86">
        <f>'Comext annuel - EUROSTAT'!H94/10^4</f>
        <v>23.901502000000001</v>
      </c>
      <c r="K85" s="509">
        <f>SUM('Comext mensuel - EUROSTAT'!C94,'Comext mensuel - EUROSTAT'!E94,'Comext mensuel - EUROSTAT'!G94,'Comext mensuel - EUROSTAT'!I94,'Comext mensuel - EUROSTAT'!K94,'Comext mensuel - EUROSTAT'!M94,'Comext mensuel - EUROSTAT'!O94,'Comext mensuel - EUROSTAT'!Q94,'Comext mensuel - EUROSTAT'!S94,'Comext mensuel - EUROSTAT'!U94,'Comext mensuel - EUROSTAT'!W94,'Comext mensuel - EUROSTAT'!Y94)/10^4</f>
        <v>11.561938999999999</v>
      </c>
      <c r="L85" s="509">
        <f>SUM('Comext mensuel - EUROSTAT'!D94,'Comext mensuel - EUROSTAT'!F94,'Comext mensuel - EUROSTAT'!H94,'Comext mensuel - EUROSTAT'!J94,'Comext mensuel - EUROSTAT'!L94,'Comext mensuel - EUROSTAT'!N94,'Comext mensuel - EUROSTAT'!P94,'Comext mensuel - EUROSTAT'!R94,'Comext mensuel - EUROSTAT'!T94,'Comext mensuel - EUROSTAT'!V94,'Comext mensuel - EUROSTAT'!X94,'Comext mensuel - EUROSTAT'!Z94)/10^4</f>
        <v>22.455598999999996</v>
      </c>
      <c r="M85" s="509">
        <f>SUM('Comext mensuel - EUROSTAT'!AA94,'Comext mensuel - EUROSTAT'!AC94,'Comext mensuel - EUROSTAT'!AE94,'Comext mensuel - EUROSTAT'!AG94,'Comext mensuel - EUROSTAT'!AI94,'Comext mensuel - EUROSTAT'!AK94,'Comext mensuel - EUROSTAT'!AM94,'Comext mensuel - EUROSTAT'!AO94,'Comext mensuel - EUROSTAT'!AQ94,'Comext mensuel - EUROSTAT'!AS94,'Comext mensuel - EUROSTAT'!AU94,'Comext mensuel - EUROSTAT'!AW94)/10^4</f>
        <v>20.725322000000002</v>
      </c>
      <c r="N85" s="509">
        <f>SUM('Comext mensuel - EUROSTAT'!AB94,'Comext mensuel - EUROSTAT'!AD94,'Comext mensuel - EUROSTAT'!AF94,'Comext mensuel - EUROSTAT'!AH94,'Comext mensuel - EUROSTAT'!AJ94,'Comext mensuel - EUROSTAT'!AL94,'Comext mensuel - EUROSTAT'!AN94,'Comext mensuel - EUROSTAT'!AP94,'Comext mensuel - EUROSTAT'!AR94,'Comext mensuel - EUROSTAT'!AT94,'Comext mensuel - EUROSTAT'!AV94,'Comext mensuel - EUROSTAT'!AX94)/10^4</f>
        <v>24.498258</v>
      </c>
      <c r="O85" s="509">
        <f>SUM('Comext mensuel - EUROSTAT'!AY94,'Comext mensuel - EUROSTAT'!BA94,'Comext mensuel - EUROSTAT'!BC94,'Comext mensuel - EUROSTAT'!BE94,'Comext mensuel - EUROSTAT'!BG94,'Comext mensuel - EUROSTAT'!BI94,'Comext mensuel - EUROSTAT'!BK94,'Comext mensuel - EUROSTAT'!BM94,'Comext mensuel - EUROSTAT'!BO94,'Comext mensuel - EUROSTAT'!BQ94,'Comext mensuel - EUROSTAT'!BS94,'Comext mensuel - EUROSTAT'!BU94)/10^4</f>
        <v>14.098642000000003</v>
      </c>
      <c r="P85" s="509">
        <f>SUM('Comext mensuel - EUROSTAT'!AZ94,'Comext mensuel - EUROSTAT'!BB94,'Comext mensuel - EUROSTAT'!BD94,'Comext mensuel - EUROSTAT'!BF94,'Comext mensuel - EUROSTAT'!BH94,'Comext mensuel - EUROSTAT'!BJ94,'Comext mensuel - EUROSTAT'!BL94,'Comext mensuel - EUROSTAT'!BN94,'Comext mensuel - EUROSTAT'!BP94,'Comext mensuel - EUROSTAT'!BR94,'Comext mensuel - EUROSTAT'!BT94,'Comext mensuel - EUROSTAT'!BV94)/10^4</f>
        <v>23.514471999999998</v>
      </c>
    </row>
    <row r="86" spans="1:16">
      <c r="A86" t="s">
        <v>173</v>
      </c>
      <c r="B86" t="s">
        <v>963</v>
      </c>
      <c r="C86" s="693"/>
      <c r="D86" t="str">
        <f>'Comext annuel - EUROSTAT'!B95</f>
        <v>Farine d'orge</v>
      </c>
      <c r="E86" s="86">
        <f>'Comext annuel - EUROSTAT'!C95/10^4</f>
        <v>0.94118799999999991</v>
      </c>
      <c r="F86" s="86">
        <f>'Comext annuel - EUROSTAT'!D95/10^4</f>
        <v>0.41613100000000003</v>
      </c>
      <c r="G86" s="86">
        <f>'Comext annuel - EUROSTAT'!E95/10^4</f>
        <v>1.0642040000000001</v>
      </c>
      <c r="H86" s="86">
        <f>'Comext annuel - EUROSTAT'!F95/10^4</f>
        <v>0.29163800000000001</v>
      </c>
      <c r="I86" s="86">
        <f>'Comext annuel - EUROSTAT'!G95/10^4</f>
        <v>1.171853</v>
      </c>
      <c r="J86" s="86">
        <f>'Comext annuel - EUROSTAT'!H95/10^4</f>
        <v>0.158197</v>
      </c>
      <c r="K86" s="86">
        <f>SUM('Comext mensuel - EUROSTAT'!C95,'Comext mensuel - EUROSTAT'!E95,'Comext mensuel - EUROSTAT'!G95,'Comext mensuel - EUROSTAT'!I95,'Comext mensuel - EUROSTAT'!K95,'Comext mensuel - EUROSTAT'!M95,'Comext mensuel - EUROSTAT'!O95,'Comext mensuel - EUROSTAT'!Q95,'Comext mensuel - EUROSTAT'!S95,'Comext mensuel - EUROSTAT'!U95,'Comext mensuel - EUROSTAT'!W95,'Comext mensuel - EUROSTAT'!Y95)/10^4</f>
        <v>0.95803199999999999</v>
      </c>
      <c r="L86" s="86">
        <f>SUM('Comext mensuel - EUROSTAT'!D95,'Comext mensuel - EUROSTAT'!F95,'Comext mensuel - EUROSTAT'!H95,'Comext mensuel - EUROSTAT'!J95,'Comext mensuel - EUROSTAT'!L95,'Comext mensuel - EUROSTAT'!N95,'Comext mensuel - EUROSTAT'!P95,'Comext mensuel - EUROSTAT'!R95,'Comext mensuel - EUROSTAT'!T95,'Comext mensuel - EUROSTAT'!V95,'Comext mensuel - EUROSTAT'!X95,'Comext mensuel - EUROSTAT'!Z95)/10^4</f>
        <v>0.362319</v>
      </c>
      <c r="M86" s="86">
        <f>SUM('Comext mensuel - EUROSTAT'!AA95,'Comext mensuel - EUROSTAT'!AC95,'Comext mensuel - EUROSTAT'!AE95,'Comext mensuel - EUROSTAT'!AG95,'Comext mensuel - EUROSTAT'!AI95,'Comext mensuel - EUROSTAT'!AK95,'Comext mensuel - EUROSTAT'!AM95,'Comext mensuel - EUROSTAT'!AO95,'Comext mensuel - EUROSTAT'!AQ95,'Comext mensuel - EUROSTAT'!AS95,'Comext mensuel - EUROSTAT'!AU95,'Comext mensuel - EUROSTAT'!AW95)/10^4</f>
        <v>1.2143920000000001</v>
      </c>
      <c r="N86" s="86">
        <f>SUM('Comext mensuel - EUROSTAT'!AB95,'Comext mensuel - EUROSTAT'!AD95,'Comext mensuel - EUROSTAT'!AF95,'Comext mensuel - EUROSTAT'!AH95,'Comext mensuel - EUROSTAT'!AJ95,'Comext mensuel - EUROSTAT'!AL95,'Comext mensuel - EUROSTAT'!AN95,'Comext mensuel - EUROSTAT'!AP95,'Comext mensuel - EUROSTAT'!AR95,'Comext mensuel - EUROSTAT'!AT95,'Comext mensuel - EUROSTAT'!AV95,'Comext mensuel - EUROSTAT'!AX95)/10^4</f>
        <v>0.188391</v>
      </c>
      <c r="O86" s="86">
        <f>SUM('Comext mensuel - EUROSTAT'!AY95,'Comext mensuel - EUROSTAT'!BA95,'Comext mensuel - EUROSTAT'!BC95,'Comext mensuel - EUROSTAT'!BE95,'Comext mensuel - EUROSTAT'!BG95,'Comext mensuel - EUROSTAT'!BI95,'Comext mensuel - EUROSTAT'!BK95,'Comext mensuel - EUROSTAT'!BM95,'Comext mensuel - EUROSTAT'!BO95,'Comext mensuel - EUROSTAT'!BQ95,'Comext mensuel - EUROSTAT'!BS95,'Comext mensuel - EUROSTAT'!BU95)/10^4</f>
        <v>1.06576</v>
      </c>
      <c r="P86" s="86">
        <f>SUM('Comext mensuel - EUROSTAT'!AZ95,'Comext mensuel - EUROSTAT'!BB95,'Comext mensuel - EUROSTAT'!BD95,'Comext mensuel - EUROSTAT'!BF95,'Comext mensuel - EUROSTAT'!BH95,'Comext mensuel - EUROSTAT'!BJ95,'Comext mensuel - EUROSTAT'!BL95,'Comext mensuel - EUROSTAT'!BN95,'Comext mensuel - EUROSTAT'!BP95,'Comext mensuel - EUROSTAT'!BR95,'Comext mensuel - EUROSTAT'!BT95,'Comext mensuel - EUROSTAT'!BV95)/10^4</f>
        <v>0.126058</v>
      </c>
    </row>
    <row r="87" spans="1:16">
      <c r="A87" t="s">
        <v>306</v>
      </c>
      <c r="B87" t="s">
        <v>963</v>
      </c>
      <c r="C87" s="693"/>
      <c r="D87" t="str">
        <f>'Comext annuel - EUROSTAT'!B96</f>
        <v>Farine d'avoine</v>
      </c>
      <c r="E87" s="86">
        <f>'Comext annuel - EUROSTAT'!C96/10^4</f>
        <v>2.2917740000000002</v>
      </c>
      <c r="F87" s="86">
        <f>'Comext annuel - EUROSTAT'!D96/10^4</f>
        <v>4.1901999999999995E-2</v>
      </c>
      <c r="G87" s="86">
        <f>'Comext annuel - EUROSTAT'!E96/10^4</f>
        <v>4.1791609999999997</v>
      </c>
      <c r="H87" s="86">
        <f>'Comext annuel - EUROSTAT'!F96/10^4</f>
        <v>1.4506999999999999E-2</v>
      </c>
      <c r="I87" s="86">
        <f>'Comext annuel - EUROSTAT'!G96/10^4</f>
        <v>7.2931839999999992</v>
      </c>
      <c r="J87" s="86">
        <f>'Comext annuel - EUROSTAT'!H96/10^4</f>
        <v>3.8924E-2</v>
      </c>
      <c r="K87" s="86">
        <f>SUM('Comext mensuel - EUROSTAT'!C96,'Comext mensuel - EUROSTAT'!E96,'Comext mensuel - EUROSTAT'!G96,'Comext mensuel - EUROSTAT'!I96,'Comext mensuel - EUROSTAT'!K96,'Comext mensuel - EUROSTAT'!M96,'Comext mensuel - EUROSTAT'!O96,'Comext mensuel - EUROSTAT'!Q96,'Comext mensuel - EUROSTAT'!S96,'Comext mensuel - EUROSTAT'!U96,'Comext mensuel - EUROSTAT'!W96,'Comext mensuel - EUROSTAT'!Y96)/10^4</f>
        <v>2.7194799999999999</v>
      </c>
      <c r="L87" s="86">
        <f>SUM('Comext mensuel - EUROSTAT'!D96,'Comext mensuel - EUROSTAT'!F96,'Comext mensuel - EUROSTAT'!H96,'Comext mensuel - EUROSTAT'!J96,'Comext mensuel - EUROSTAT'!L96,'Comext mensuel - EUROSTAT'!N96,'Comext mensuel - EUROSTAT'!P96,'Comext mensuel - EUROSTAT'!R96,'Comext mensuel - EUROSTAT'!T96,'Comext mensuel - EUROSTAT'!V96,'Comext mensuel - EUROSTAT'!X96,'Comext mensuel - EUROSTAT'!Z96)/10^4</f>
        <v>5.2195999999999992E-2</v>
      </c>
      <c r="M87" s="86">
        <f>SUM('Comext mensuel - EUROSTAT'!AA96,'Comext mensuel - EUROSTAT'!AC96,'Comext mensuel - EUROSTAT'!AE96,'Comext mensuel - EUROSTAT'!AG96,'Comext mensuel - EUROSTAT'!AI96,'Comext mensuel - EUROSTAT'!AK96,'Comext mensuel - EUROSTAT'!AM96,'Comext mensuel - EUROSTAT'!AO96,'Comext mensuel - EUROSTAT'!AQ96,'Comext mensuel - EUROSTAT'!AS96,'Comext mensuel - EUROSTAT'!AU96,'Comext mensuel - EUROSTAT'!AW96)/10^4</f>
        <v>4.9728659999999998</v>
      </c>
      <c r="N87" s="86">
        <f>SUM('Comext mensuel - EUROSTAT'!AB96,'Comext mensuel - EUROSTAT'!AD96,'Comext mensuel - EUROSTAT'!AF96,'Comext mensuel - EUROSTAT'!AH96,'Comext mensuel - EUROSTAT'!AJ96,'Comext mensuel - EUROSTAT'!AL96,'Comext mensuel - EUROSTAT'!AN96,'Comext mensuel - EUROSTAT'!AP96,'Comext mensuel - EUROSTAT'!AR96,'Comext mensuel - EUROSTAT'!AT96,'Comext mensuel - EUROSTAT'!AV96,'Comext mensuel - EUROSTAT'!AX96)/10^4</f>
        <v>2.4590000000000001E-2</v>
      </c>
      <c r="O87" s="86">
        <f>SUM('Comext mensuel - EUROSTAT'!AY96,'Comext mensuel - EUROSTAT'!BA96,'Comext mensuel - EUROSTAT'!BC96,'Comext mensuel - EUROSTAT'!BE96,'Comext mensuel - EUROSTAT'!BG96,'Comext mensuel - EUROSTAT'!BI96,'Comext mensuel - EUROSTAT'!BK96,'Comext mensuel - EUROSTAT'!BM96,'Comext mensuel - EUROSTAT'!BO96,'Comext mensuel - EUROSTAT'!BQ96,'Comext mensuel - EUROSTAT'!BS96,'Comext mensuel - EUROSTAT'!BU96)/10^4</f>
        <v>8.8661799999999999</v>
      </c>
      <c r="P87" s="86">
        <f>SUM('Comext mensuel - EUROSTAT'!AZ96,'Comext mensuel - EUROSTAT'!BB96,'Comext mensuel - EUROSTAT'!BD96,'Comext mensuel - EUROSTAT'!BF96,'Comext mensuel - EUROSTAT'!BH96,'Comext mensuel - EUROSTAT'!BJ96,'Comext mensuel - EUROSTAT'!BL96,'Comext mensuel - EUROSTAT'!BN96,'Comext mensuel - EUROSTAT'!BP96,'Comext mensuel - EUROSTAT'!BR96,'Comext mensuel - EUROSTAT'!BT96,'Comext mensuel - EUROSTAT'!BV96)/10^4</f>
        <v>6.9789999999999991E-2</v>
      </c>
    </row>
    <row r="88" spans="1:16">
      <c r="A88" t="s">
        <v>309</v>
      </c>
      <c r="B88" t="s">
        <v>963</v>
      </c>
      <c r="C88" s="693"/>
      <c r="D88" t="str">
        <f>'Comext annuel - EUROSTAT'!B97</f>
        <v>Farine de riz</v>
      </c>
      <c r="E88" s="86">
        <f>'Comext annuel - EUROSTAT'!C97/10^4</f>
        <v>10.630985000000001</v>
      </c>
      <c r="F88" s="86">
        <f>'Comext annuel - EUROSTAT'!D97/10^4</f>
        <v>5.758324</v>
      </c>
      <c r="G88" s="86">
        <f>'Comext annuel - EUROSTAT'!E97/10^4</f>
        <v>16.960770999999998</v>
      </c>
      <c r="H88" s="86">
        <f>'Comext annuel - EUROSTAT'!F97/10^4</f>
        <v>5.6170080000000002</v>
      </c>
      <c r="I88" s="86">
        <f>'Comext annuel - EUROSTAT'!G97/10^4</f>
        <v>13.241325</v>
      </c>
      <c r="J88" s="86">
        <f>'Comext annuel - EUROSTAT'!H97/10^4</f>
        <v>15.832364999999999</v>
      </c>
      <c r="K88" s="86">
        <f>SUM('Comext mensuel - EUROSTAT'!C97,'Comext mensuel - EUROSTAT'!E97,'Comext mensuel - EUROSTAT'!G97,'Comext mensuel - EUROSTAT'!I97,'Comext mensuel - EUROSTAT'!K97,'Comext mensuel - EUROSTAT'!M97,'Comext mensuel - EUROSTAT'!O97,'Comext mensuel - EUROSTAT'!Q97,'Comext mensuel - EUROSTAT'!S97,'Comext mensuel - EUROSTAT'!U97,'Comext mensuel - EUROSTAT'!W97,'Comext mensuel - EUROSTAT'!Y97)/10^4</f>
        <v>12.343680000000001</v>
      </c>
      <c r="L88" s="86">
        <f>SUM('Comext mensuel - EUROSTAT'!D97,'Comext mensuel - EUROSTAT'!F97,'Comext mensuel - EUROSTAT'!H97,'Comext mensuel - EUROSTAT'!J97,'Comext mensuel - EUROSTAT'!L97,'Comext mensuel - EUROSTAT'!N97,'Comext mensuel - EUROSTAT'!P97,'Comext mensuel - EUROSTAT'!R97,'Comext mensuel - EUROSTAT'!T97,'Comext mensuel - EUROSTAT'!V97,'Comext mensuel - EUROSTAT'!X97,'Comext mensuel - EUROSTAT'!Z97)/10^4</f>
        <v>4.985653000000001</v>
      </c>
      <c r="M88" s="86">
        <f>SUM('Comext mensuel - EUROSTAT'!AA97,'Comext mensuel - EUROSTAT'!AC97,'Comext mensuel - EUROSTAT'!AE97,'Comext mensuel - EUROSTAT'!AG97,'Comext mensuel - EUROSTAT'!AI97,'Comext mensuel - EUROSTAT'!AK97,'Comext mensuel - EUROSTAT'!AM97,'Comext mensuel - EUROSTAT'!AO97,'Comext mensuel - EUROSTAT'!AQ97,'Comext mensuel - EUROSTAT'!AS97,'Comext mensuel - EUROSTAT'!AU97,'Comext mensuel - EUROSTAT'!AW97)/10^4</f>
        <v>17.083404000000002</v>
      </c>
      <c r="N88" s="86">
        <f>SUM('Comext mensuel - EUROSTAT'!AB97,'Comext mensuel - EUROSTAT'!AD97,'Comext mensuel - EUROSTAT'!AF97,'Comext mensuel - EUROSTAT'!AH97,'Comext mensuel - EUROSTAT'!AJ97,'Comext mensuel - EUROSTAT'!AL97,'Comext mensuel - EUROSTAT'!AN97,'Comext mensuel - EUROSTAT'!AP97,'Comext mensuel - EUROSTAT'!AR97,'Comext mensuel - EUROSTAT'!AT97,'Comext mensuel - EUROSTAT'!AV97,'Comext mensuel - EUROSTAT'!AX97)/10^4</f>
        <v>5.2062490000000006</v>
      </c>
      <c r="O88" s="86">
        <f>SUM('Comext mensuel - EUROSTAT'!AY97,'Comext mensuel - EUROSTAT'!BA97,'Comext mensuel - EUROSTAT'!BC97,'Comext mensuel - EUROSTAT'!BE97,'Comext mensuel - EUROSTAT'!BG97,'Comext mensuel - EUROSTAT'!BI97,'Comext mensuel - EUROSTAT'!BK97,'Comext mensuel - EUROSTAT'!BM97,'Comext mensuel - EUROSTAT'!BO97,'Comext mensuel - EUROSTAT'!BQ97,'Comext mensuel - EUROSTAT'!BS97,'Comext mensuel - EUROSTAT'!BU97)/10^4</f>
        <v>13.204641999999998</v>
      </c>
      <c r="P88" s="86">
        <f>SUM('Comext mensuel - EUROSTAT'!AZ97,'Comext mensuel - EUROSTAT'!BB97,'Comext mensuel - EUROSTAT'!BD97,'Comext mensuel - EUROSTAT'!BF97,'Comext mensuel - EUROSTAT'!BH97,'Comext mensuel - EUROSTAT'!BJ97,'Comext mensuel - EUROSTAT'!BL97,'Comext mensuel - EUROSTAT'!BN97,'Comext mensuel - EUROSTAT'!BP97,'Comext mensuel - EUROSTAT'!BR97,'Comext mensuel - EUROSTAT'!BT97,'Comext mensuel - EUROSTAT'!BV97)/10^4</f>
        <v>16.662890000000001</v>
      </c>
    </row>
    <row r="89" spans="1:16">
      <c r="A89" t="s">
        <v>310</v>
      </c>
      <c r="B89" t="s">
        <v>963</v>
      </c>
      <c r="C89" s="693"/>
      <c r="D89" t="str">
        <f>'Comext annuel - EUROSTAT'!B98</f>
        <v>Farine de seigle</v>
      </c>
      <c r="E89" s="86">
        <f>'Comext annuel - EUROSTAT'!C98/10^4</f>
        <v>11.507708000000001</v>
      </c>
      <c r="F89" s="86">
        <f>'Comext annuel - EUROSTAT'!D98/10^4</f>
        <v>1.1025370000000001</v>
      </c>
      <c r="G89" s="86">
        <f>'Comext annuel - EUROSTAT'!E98/10^4</f>
        <v>9.9212609999999994</v>
      </c>
      <c r="H89" s="86">
        <f>'Comext annuel - EUROSTAT'!F98/10^4</f>
        <v>1.0026569999999999</v>
      </c>
      <c r="I89" s="86">
        <f>'Comext annuel - EUROSTAT'!G98/10^4</f>
        <v>7.7087219999999999</v>
      </c>
      <c r="J89" s="86">
        <f>'Comext annuel - EUROSTAT'!H98/10^4</f>
        <v>1.5485770000000001</v>
      </c>
      <c r="K89" s="509">
        <f>SUM('Comext mensuel - EUROSTAT'!C98,'Comext mensuel - EUROSTAT'!E98,'Comext mensuel - EUROSTAT'!G98,'Comext mensuel - EUROSTAT'!I98,'Comext mensuel - EUROSTAT'!K98,'Comext mensuel - EUROSTAT'!M98,'Comext mensuel - EUROSTAT'!O98,'Comext mensuel - EUROSTAT'!Q98,'Comext mensuel - EUROSTAT'!S98,'Comext mensuel - EUROSTAT'!U98,'Comext mensuel - EUROSTAT'!W98,'Comext mensuel - EUROSTAT'!Y98)/10^4</f>
        <v>12.239141999999999</v>
      </c>
      <c r="L89" s="509">
        <f>SUM('Comext mensuel - EUROSTAT'!D98,'Comext mensuel - EUROSTAT'!F98,'Comext mensuel - EUROSTAT'!H98,'Comext mensuel - EUROSTAT'!J98,'Comext mensuel - EUROSTAT'!L98,'Comext mensuel - EUROSTAT'!N98,'Comext mensuel - EUROSTAT'!P98,'Comext mensuel - EUROSTAT'!R98,'Comext mensuel - EUROSTAT'!T98,'Comext mensuel - EUROSTAT'!V98,'Comext mensuel - EUROSTAT'!X98,'Comext mensuel - EUROSTAT'!Z98)/10^4</f>
        <v>1.2014550000000004</v>
      </c>
      <c r="M89" s="509">
        <f>SUM('Comext mensuel - EUROSTAT'!AA98,'Comext mensuel - EUROSTAT'!AC98,'Comext mensuel - EUROSTAT'!AE98,'Comext mensuel - EUROSTAT'!AG98,'Comext mensuel - EUROSTAT'!AI98,'Comext mensuel - EUROSTAT'!AK98,'Comext mensuel - EUROSTAT'!AM98,'Comext mensuel - EUROSTAT'!AO98,'Comext mensuel - EUROSTAT'!AQ98,'Comext mensuel - EUROSTAT'!AS98,'Comext mensuel - EUROSTAT'!AU98,'Comext mensuel - EUROSTAT'!AW98)/10^4</f>
        <v>9.3683099999999992</v>
      </c>
      <c r="N89" s="509">
        <f>SUM('Comext mensuel - EUROSTAT'!AB98,'Comext mensuel - EUROSTAT'!AD98,'Comext mensuel - EUROSTAT'!AF98,'Comext mensuel - EUROSTAT'!AH98,'Comext mensuel - EUROSTAT'!AJ98,'Comext mensuel - EUROSTAT'!AL98,'Comext mensuel - EUROSTAT'!AN98,'Comext mensuel - EUROSTAT'!AP98,'Comext mensuel - EUROSTAT'!AR98,'Comext mensuel - EUROSTAT'!AT98,'Comext mensuel - EUROSTAT'!AV98,'Comext mensuel - EUROSTAT'!AX98)/10^4</f>
        <v>0.90252800000000011</v>
      </c>
      <c r="O89" s="509">
        <f>SUM('Comext mensuel - EUROSTAT'!AY98,'Comext mensuel - EUROSTAT'!BA98,'Comext mensuel - EUROSTAT'!BC98,'Comext mensuel - EUROSTAT'!BE98,'Comext mensuel - EUROSTAT'!BG98,'Comext mensuel - EUROSTAT'!BI98,'Comext mensuel - EUROSTAT'!BK98,'Comext mensuel - EUROSTAT'!BM98,'Comext mensuel - EUROSTAT'!BO98,'Comext mensuel - EUROSTAT'!BQ98,'Comext mensuel - EUROSTAT'!BS98,'Comext mensuel - EUROSTAT'!BU98)/10^4</f>
        <v>7.2872330000000005</v>
      </c>
      <c r="P89" s="509">
        <f>SUM('Comext mensuel - EUROSTAT'!AZ98,'Comext mensuel - EUROSTAT'!BB98,'Comext mensuel - EUROSTAT'!BD98,'Comext mensuel - EUROSTAT'!BF98,'Comext mensuel - EUROSTAT'!BH98,'Comext mensuel - EUROSTAT'!BJ98,'Comext mensuel - EUROSTAT'!BL98,'Comext mensuel - EUROSTAT'!BN98,'Comext mensuel - EUROSTAT'!BP98,'Comext mensuel - EUROSTAT'!BR98,'Comext mensuel - EUROSTAT'!BT98,'Comext mensuel - EUROSTAT'!BV98)/10^4</f>
        <v>2.053696</v>
      </c>
    </row>
    <row r="90" spans="1:16">
      <c r="B90" t="s">
        <v>963</v>
      </c>
      <c r="C90" s="693"/>
      <c r="D90" t="str">
        <f>'Comext annuel - EUROSTAT'!B99</f>
        <v>Farines de céréales (à l'excl. des farines de froment {blé}, de méteil, de seigle, de maïs, de riz, d'orge et d'avoine)</v>
      </c>
      <c r="E90" s="86">
        <f>'Comext annuel - EUROSTAT'!C99/10^4</f>
        <v>16.311243000000001</v>
      </c>
      <c r="F90" s="86">
        <f>'Comext annuel - EUROSTAT'!D99/10^4</f>
        <v>8.5682270000000003</v>
      </c>
      <c r="G90" s="86">
        <f>'Comext annuel - EUROSTAT'!E99/10^4</f>
        <v>15.294939000000001</v>
      </c>
      <c r="H90" s="86">
        <f>'Comext annuel - EUROSTAT'!F99/10^4</f>
        <v>3.7682830000000003</v>
      </c>
      <c r="I90" s="86">
        <f>'Comext annuel - EUROSTAT'!G99/10^4</f>
        <v>4.3838050000000006</v>
      </c>
      <c r="J90" s="86">
        <f>'Comext annuel - EUROSTAT'!H99/10^4</f>
        <v>4.4732799999999999</v>
      </c>
      <c r="K90" s="86">
        <f>SUM('Comext mensuel - EUROSTAT'!C99,'Comext mensuel - EUROSTAT'!E99,'Comext mensuel - EUROSTAT'!G99,'Comext mensuel - EUROSTAT'!I99,'Comext mensuel - EUROSTAT'!K99,'Comext mensuel - EUROSTAT'!M99,'Comext mensuel - EUROSTAT'!O99,'Comext mensuel - EUROSTAT'!Q99,'Comext mensuel - EUROSTAT'!S99,'Comext mensuel - EUROSTAT'!U99,'Comext mensuel - EUROSTAT'!W99,'Comext mensuel - EUROSTAT'!Y99)/10^4</f>
        <v>15.130565999999998</v>
      </c>
      <c r="L90" s="86">
        <f>SUM('Comext mensuel - EUROSTAT'!D99,'Comext mensuel - EUROSTAT'!F99,'Comext mensuel - EUROSTAT'!H99,'Comext mensuel - EUROSTAT'!J99,'Comext mensuel - EUROSTAT'!L99,'Comext mensuel - EUROSTAT'!N99,'Comext mensuel - EUROSTAT'!P99,'Comext mensuel - EUROSTAT'!R99,'Comext mensuel - EUROSTAT'!T99,'Comext mensuel - EUROSTAT'!V99,'Comext mensuel - EUROSTAT'!X99,'Comext mensuel - EUROSTAT'!Z99)/10^4</f>
        <v>6.8583149999999993</v>
      </c>
      <c r="M90" s="86">
        <f>SUM('Comext mensuel - EUROSTAT'!AA99,'Comext mensuel - EUROSTAT'!AC99,'Comext mensuel - EUROSTAT'!AE99,'Comext mensuel - EUROSTAT'!AG99,'Comext mensuel - EUROSTAT'!AI99,'Comext mensuel - EUROSTAT'!AK99,'Comext mensuel - EUROSTAT'!AM99,'Comext mensuel - EUROSTAT'!AO99,'Comext mensuel - EUROSTAT'!AQ99,'Comext mensuel - EUROSTAT'!AS99,'Comext mensuel - EUROSTAT'!AU99,'Comext mensuel - EUROSTAT'!AW99)/10^4</f>
        <v>10.894292999999999</v>
      </c>
      <c r="N90" s="86">
        <f>SUM('Comext mensuel - EUROSTAT'!AB99,'Comext mensuel - EUROSTAT'!AD99,'Comext mensuel - EUROSTAT'!AF99,'Comext mensuel - EUROSTAT'!AH99,'Comext mensuel - EUROSTAT'!AJ99,'Comext mensuel - EUROSTAT'!AL99,'Comext mensuel - EUROSTAT'!AN99,'Comext mensuel - EUROSTAT'!AP99,'Comext mensuel - EUROSTAT'!AR99,'Comext mensuel - EUROSTAT'!AT99,'Comext mensuel - EUROSTAT'!AV99,'Comext mensuel - EUROSTAT'!AX99)/10^4</f>
        <v>4.7048159999999992</v>
      </c>
      <c r="O90" s="86">
        <f>SUM('Comext mensuel - EUROSTAT'!AY99,'Comext mensuel - EUROSTAT'!BA99,'Comext mensuel - EUROSTAT'!BC99,'Comext mensuel - EUROSTAT'!BE99,'Comext mensuel - EUROSTAT'!BG99,'Comext mensuel - EUROSTAT'!BI99,'Comext mensuel - EUROSTAT'!BK99,'Comext mensuel - EUROSTAT'!BM99,'Comext mensuel - EUROSTAT'!BO99,'Comext mensuel - EUROSTAT'!BQ99,'Comext mensuel - EUROSTAT'!BS99,'Comext mensuel - EUROSTAT'!BU99)/10^4</f>
        <v>6.9359519999999986</v>
      </c>
      <c r="P90" s="86">
        <f>SUM('Comext mensuel - EUROSTAT'!AZ99,'Comext mensuel - EUROSTAT'!BB99,'Comext mensuel - EUROSTAT'!BD99,'Comext mensuel - EUROSTAT'!BF99,'Comext mensuel - EUROSTAT'!BH99,'Comext mensuel - EUROSTAT'!BJ99,'Comext mensuel - EUROSTAT'!BL99,'Comext mensuel - EUROSTAT'!BN99,'Comext mensuel - EUROSTAT'!BP99,'Comext mensuel - EUROSTAT'!BR99,'Comext mensuel - EUROSTAT'!BT99,'Comext mensuel - EUROSTAT'!BV99)/10^4</f>
        <v>3.3647309999999999</v>
      </c>
    </row>
    <row r="91" spans="1:16">
      <c r="A91" t="s">
        <v>172</v>
      </c>
      <c r="B91" t="s">
        <v>967</v>
      </c>
      <c r="C91" s="693" t="s">
        <v>965</v>
      </c>
      <c r="D91" t="str">
        <f>'Comext annuel - EUROSTAT'!B100</f>
        <v>Gruaux et semoules de froment {blé} dur(1994-2500);Gruaux et semoules de froment {blé} dur(1988-1992)</v>
      </c>
      <c r="E91" s="86">
        <f>'Comext annuel - EUROSTAT'!C100/10^4</f>
        <v>57.159544999999994</v>
      </c>
      <c r="F91" s="86">
        <f>'Comext annuel - EUROSTAT'!D100/10^4</f>
        <v>79.293105000000011</v>
      </c>
      <c r="G91" s="86">
        <f>'Comext annuel - EUROSTAT'!E100/10^4</f>
        <v>69.131945000000002</v>
      </c>
      <c r="H91" s="86">
        <f>'Comext annuel - EUROSTAT'!F100/10^4</f>
        <v>70.266956999999991</v>
      </c>
      <c r="I91" s="86">
        <f>'Comext annuel - EUROSTAT'!G100/10^4</f>
        <v>74.200475999999995</v>
      </c>
      <c r="J91" s="86">
        <f>'Comext annuel - EUROSTAT'!H100/10^4</f>
        <v>63.793045999999997</v>
      </c>
      <c r="K91" s="509">
        <f>SUM('Comext mensuel - EUROSTAT'!C100,'Comext mensuel - EUROSTAT'!E100,'Comext mensuel - EUROSTAT'!G100,'Comext mensuel - EUROSTAT'!I100,'Comext mensuel - EUROSTAT'!K100,'Comext mensuel - EUROSTAT'!M100,'Comext mensuel - EUROSTAT'!O100,'Comext mensuel - EUROSTAT'!Q100,'Comext mensuel - EUROSTAT'!S100,'Comext mensuel - EUROSTAT'!U100,'Comext mensuel - EUROSTAT'!W100,'Comext mensuel - EUROSTAT'!Y100)/10^4</f>
        <v>62.947578</v>
      </c>
      <c r="L91" s="509">
        <f>SUM('Comext mensuel - EUROSTAT'!D100,'Comext mensuel - EUROSTAT'!F100,'Comext mensuel - EUROSTAT'!H100,'Comext mensuel - EUROSTAT'!J100,'Comext mensuel - EUROSTAT'!L100,'Comext mensuel - EUROSTAT'!N100,'Comext mensuel - EUROSTAT'!P100,'Comext mensuel - EUROSTAT'!R100,'Comext mensuel - EUROSTAT'!T100,'Comext mensuel - EUROSTAT'!V100,'Comext mensuel - EUROSTAT'!X100,'Comext mensuel - EUROSTAT'!Z100)/10^4</f>
        <v>84.848346000000006</v>
      </c>
      <c r="M91" s="509">
        <f>SUM('Comext mensuel - EUROSTAT'!AA100,'Comext mensuel - EUROSTAT'!AC100,'Comext mensuel - EUROSTAT'!AE100,'Comext mensuel - EUROSTAT'!AG100,'Comext mensuel - EUROSTAT'!AI100,'Comext mensuel - EUROSTAT'!AK100,'Comext mensuel - EUROSTAT'!AM100,'Comext mensuel - EUROSTAT'!AO100,'Comext mensuel - EUROSTAT'!AQ100,'Comext mensuel - EUROSTAT'!AS100,'Comext mensuel - EUROSTAT'!AU100,'Comext mensuel - EUROSTAT'!AW100)/10^4</f>
        <v>69.405883000000003</v>
      </c>
      <c r="N91" s="509">
        <f>SUM('Comext mensuel - EUROSTAT'!AB100,'Comext mensuel - EUROSTAT'!AD100,'Comext mensuel - EUROSTAT'!AF100,'Comext mensuel - EUROSTAT'!AH100,'Comext mensuel - EUROSTAT'!AJ100,'Comext mensuel - EUROSTAT'!AL100,'Comext mensuel - EUROSTAT'!AN100,'Comext mensuel - EUROSTAT'!AP100,'Comext mensuel - EUROSTAT'!AR100,'Comext mensuel - EUROSTAT'!AT100,'Comext mensuel - EUROSTAT'!AV100,'Comext mensuel - EUROSTAT'!AX100)/10^4</f>
        <v>79.68789000000001</v>
      </c>
      <c r="O91" s="509">
        <f>SUM('Comext mensuel - EUROSTAT'!AY100,'Comext mensuel - EUROSTAT'!BA100,'Comext mensuel - EUROSTAT'!BC100,'Comext mensuel - EUROSTAT'!BE100,'Comext mensuel - EUROSTAT'!BG100,'Comext mensuel - EUROSTAT'!BI100,'Comext mensuel - EUROSTAT'!BK100,'Comext mensuel - EUROSTAT'!BM100,'Comext mensuel - EUROSTAT'!BO100,'Comext mensuel - EUROSTAT'!BQ100,'Comext mensuel - EUROSTAT'!BS100,'Comext mensuel - EUROSTAT'!BU100)/10^4</f>
        <v>73.786507999999998</v>
      </c>
      <c r="P91" s="509">
        <f>SUM('Comext mensuel - EUROSTAT'!AZ100,'Comext mensuel - EUROSTAT'!BB100,'Comext mensuel - EUROSTAT'!BD100,'Comext mensuel - EUROSTAT'!BF100,'Comext mensuel - EUROSTAT'!BH100,'Comext mensuel - EUROSTAT'!BJ100,'Comext mensuel - EUROSTAT'!BL100,'Comext mensuel - EUROSTAT'!BN100,'Comext mensuel - EUROSTAT'!BP100,'Comext mensuel - EUROSTAT'!BR100,'Comext mensuel - EUROSTAT'!BT100,'Comext mensuel - EUROSTAT'!BV100)/10^4</f>
        <v>68.236278999999996</v>
      </c>
    </row>
    <row r="92" spans="1:16">
      <c r="A92" t="s">
        <v>966</v>
      </c>
      <c r="B92" t="s">
        <v>967</v>
      </c>
      <c r="C92" s="693"/>
      <c r="D92" t="str">
        <f>'Comext annuel - EUROSTAT'!B101</f>
        <v>Gruaux et semoules de froment {blé} tendre et d'épeautre</v>
      </c>
      <c r="E92" s="86">
        <f>'Comext annuel - EUROSTAT'!C101/10^4</f>
        <v>1.951387</v>
      </c>
      <c r="F92" s="86">
        <f>'Comext annuel - EUROSTAT'!D101/10^4</f>
        <v>2.291112</v>
      </c>
      <c r="G92" s="86">
        <f>'Comext annuel - EUROSTAT'!E101/10^4</f>
        <v>1.2463759999999999</v>
      </c>
      <c r="H92" s="86">
        <f>'Comext annuel - EUROSTAT'!F101/10^4</f>
        <v>0.59561200000000003</v>
      </c>
      <c r="I92" s="86">
        <f>'Comext annuel - EUROSTAT'!G101/10^4</f>
        <v>1.1335329999999999</v>
      </c>
      <c r="J92" s="86">
        <f>'Comext annuel - EUROSTAT'!H101/10^4</f>
        <v>0.60977000000000003</v>
      </c>
      <c r="K92" s="86">
        <f>SUM('Comext mensuel - EUROSTAT'!C101,'Comext mensuel - EUROSTAT'!E101,'Comext mensuel - EUROSTAT'!G101,'Comext mensuel - EUROSTAT'!I101,'Comext mensuel - EUROSTAT'!K101,'Comext mensuel - EUROSTAT'!M101,'Comext mensuel - EUROSTAT'!O101,'Comext mensuel - EUROSTAT'!Q101,'Comext mensuel - EUROSTAT'!S101,'Comext mensuel - EUROSTAT'!U101,'Comext mensuel - EUROSTAT'!W101,'Comext mensuel - EUROSTAT'!Y101)/10^4</f>
        <v>1.417802</v>
      </c>
      <c r="L92" s="86">
        <f>SUM('Comext mensuel - EUROSTAT'!D101,'Comext mensuel - EUROSTAT'!F101,'Comext mensuel - EUROSTAT'!H101,'Comext mensuel - EUROSTAT'!J101,'Comext mensuel - EUROSTAT'!L101,'Comext mensuel - EUROSTAT'!N101,'Comext mensuel - EUROSTAT'!P101,'Comext mensuel - EUROSTAT'!R101,'Comext mensuel - EUROSTAT'!T101,'Comext mensuel - EUROSTAT'!V101,'Comext mensuel - EUROSTAT'!X101,'Comext mensuel - EUROSTAT'!Z101)/10^4</f>
        <v>2.3106829999999996</v>
      </c>
      <c r="M92" s="86">
        <f>SUM('Comext mensuel - EUROSTAT'!AA101,'Comext mensuel - EUROSTAT'!AC101,'Comext mensuel - EUROSTAT'!AE101,'Comext mensuel - EUROSTAT'!AG101,'Comext mensuel - EUROSTAT'!AI101,'Comext mensuel - EUROSTAT'!AK101,'Comext mensuel - EUROSTAT'!AM101,'Comext mensuel - EUROSTAT'!AO101,'Comext mensuel - EUROSTAT'!AQ101,'Comext mensuel - EUROSTAT'!AS101,'Comext mensuel - EUROSTAT'!AU101,'Comext mensuel - EUROSTAT'!AW101)/10^4</f>
        <v>1.0575410000000001</v>
      </c>
      <c r="N92" s="86">
        <f>SUM('Comext mensuel - EUROSTAT'!AB101,'Comext mensuel - EUROSTAT'!AD101,'Comext mensuel - EUROSTAT'!AF101,'Comext mensuel - EUROSTAT'!AH101,'Comext mensuel - EUROSTAT'!AJ101,'Comext mensuel - EUROSTAT'!AL101,'Comext mensuel - EUROSTAT'!AN101,'Comext mensuel - EUROSTAT'!AP101,'Comext mensuel - EUROSTAT'!AR101,'Comext mensuel - EUROSTAT'!AT101,'Comext mensuel - EUROSTAT'!AV101,'Comext mensuel - EUROSTAT'!AX101)/10^4</f>
        <v>0.50086200000000003</v>
      </c>
      <c r="O92" s="86">
        <f>SUM('Comext mensuel - EUROSTAT'!AY101,'Comext mensuel - EUROSTAT'!BA101,'Comext mensuel - EUROSTAT'!BC101,'Comext mensuel - EUROSTAT'!BE101,'Comext mensuel - EUROSTAT'!BG101,'Comext mensuel - EUROSTAT'!BI101,'Comext mensuel - EUROSTAT'!BK101,'Comext mensuel - EUROSTAT'!BM101,'Comext mensuel - EUROSTAT'!BO101,'Comext mensuel - EUROSTAT'!BQ101,'Comext mensuel - EUROSTAT'!BS101,'Comext mensuel - EUROSTAT'!BU101)/10^4</f>
        <v>1.3523849999999999</v>
      </c>
      <c r="P92" s="86">
        <f>SUM('Comext mensuel - EUROSTAT'!AZ101,'Comext mensuel - EUROSTAT'!BB101,'Comext mensuel - EUROSTAT'!BD101,'Comext mensuel - EUROSTAT'!BF101,'Comext mensuel - EUROSTAT'!BH101,'Comext mensuel - EUROSTAT'!BJ101,'Comext mensuel - EUROSTAT'!BL101,'Comext mensuel - EUROSTAT'!BN101,'Comext mensuel - EUROSTAT'!BP101,'Comext mensuel - EUROSTAT'!BR101,'Comext mensuel - EUROSTAT'!BT101,'Comext mensuel - EUROSTAT'!BV101)/10^4</f>
        <v>0.50634599999999996</v>
      </c>
    </row>
    <row r="93" spans="1:16">
      <c r="A93" t="s">
        <v>307</v>
      </c>
      <c r="B93" t="s">
        <v>967</v>
      </c>
      <c r="C93" s="693"/>
      <c r="D93" t="str">
        <f>'Comext annuel - EUROSTAT'!B102</f>
        <v>Gruaux et semoules de maïs, d'une teneur en matières grasses &lt;= 1,5% en poids</v>
      </c>
      <c r="E93" s="86">
        <f>'Comext annuel - EUROSTAT'!C102/10^4</f>
        <v>11.252542</v>
      </c>
      <c r="F93" s="86">
        <f>'Comext annuel - EUROSTAT'!D102/10^4</f>
        <v>85.355219999999989</v>
      </c>
      <c r="G93" s="86">
        <f>'Comext annuel - EUROSTAT'!E102/10^4</f>
        <v>12.241436999999999</v>
      </c>
      <c r="H93" s="86">
        <f>'Comext annuel - EUROSTAT'!F102/10^4</f>
        <v>37.890083000000004</v>
      </c>
      <c r="I93" s="86">
        <f>'Comext annuel - EUROSTAT'!G102/10^4</f>
        <v>6.4510529999999999</v>
      </c>
      <c r="J93" s="86">
        <f>'Comext annuel - EUROSTAT'!H102/10^4</f>
        <v>40.900432000000002</v>
      </c>
      <c r="K93" s="509">
        <f>SUM('Comext mensuel - EUROSTAT'!C102,'Comext mensuel - EUROSTAT'!E102,'Comext mensuel - EUROSTAT'!G102,'Comext mensuel - EUROSTAT'!I102,'Comext mensuel - EUROSTAT'!K102,'Comext mensuel - EUROSTAT'!M102,'Comext mensuel - EUROSTAT'!O102,'Comext mensuel - EUROSTAT'!Q102,'Comext mensuel - EUROSTAT'!S102,'Comext mensuel - EUROSTAT'!U102,'Comext mensuel - EUROSTAT'!W102,'Comext mensuel - EUROSTAT'!Y102)/10^4</f>
        <v>8.2739939999999983</v>
      </c>
      <c r="L93" s="509">
        <f>SUM('Comext mensuel - EUROSTAT'!D102,'Comext mensuel - EUROSTAT'!F102,'Comext mensuel - EUROSTAT'!H102,'Comext mensuel - EUROSTAT'!J102,'Comext mensuel - EUROSTAT'!L102,'Comext mensuel - EUROSTAT'!N102,'Comext mensuel - EUROSTAT'!P102,'Comext mensuel - EUROSTAT'!R102,'Comext mensuel - EUROSTAT'!T102,'Comext mensuel - EUROSTAT'!V102,'Comext mensuel - EUROSTAT'!X102,'Comext mensuel - EUROSTAT'!Z102)/10^4</f>
        <v>83.526746000000003</v>
      </c>
      <c r="M93" s="509">
        <f>SUM('Comext mensuel - EUROSTAT'!AA102,'Comext mensuel - EUROSTAT'!AC102,'Comext mensuel - EUROSTAT'!AE102,'Comext mensuel - EUROSTAT'!AG102,'Comext mensuel - EUROSTAT'!AI102,'Comext mensuel - EUROSTAT'!AK102,'Comext mensuel - EUROSTAT'!AM102,'Comext mensuel - EUROSTAT'!AO102,'Comext mensuel - EUROSTAT'!AQ102,'Comext mensuel - EUROSTAT'!AS102,'Comext mensuel - EUROSTAT'!AU102,'Comext mensuel - EUROSTAT'!AW102)/10^4</f>
        <v>11.805643</v>
      </c>
      <c r="N93" s="509">
        <f>SUM('Comext mensuel - EUROSTAT'!AB102,'Comext mensuel - EUROSTAT'!AD102,'Comext mensuel - EUROSTAT'!AF102,'Comext mensuel - EUROSTAT'!AH102,'Comext mensuel - EUROSTAT'!AJ102,'Comext mensuel - EUROSTAT'!AL102,'Comext mensuel - EUROSTAT'!AN102,'Comext mensuel - EUROSTAT'!AP102,'Comext mensuel - EUROSTAT'!AR102,'Comext mensuel - EUROSTAT'!AT102,'Comext mensuel - EUROSTAT'!AV102,'Comext mensuel - EUROSTAT'!AX102)/10^4</f>
        <v>35.841539999999995</v>
      </c>
      <c r="O93" s="509">
        <f>SUM('Comext mensuel - EUROSTAT'!AY102,'Comext mensuel - EUROSTAT'!BA102,'Comext mensuel - EUROSTAT'!BC102,'Comext mensuel - EUROSTAT'!BE102,'Comext mensuel - EUROSTAT'!BG102,'Comext mensuel - EUROSTAT'!BI102,'Comext mensuel - EUROSTAT'!BK102,'Comext mensuel - EUROSTAT'!BM102,'Comext mensuel - EUROSTAT'!BO102,'Comext mensuel - EUROSTAT'!BQ102,'Comext mensuel - EUROSTAT'!BS102,'Comext mensuel - EUROSTAT'!BU102)/10^4</f>
        <v>6.0960130000000001</v>
      </c>
      <c r="P93" s="509">
        <f>SUM('Comext mensuel - EUROSTAT'!AZ102,'Comext mensuel - EUROSTAT'!BB102,'Comext mensuel - EUROSTAT'!BD102,'Comext mensuel - EUROSTAT'!BF102,'Comext mensuel - EUROSTAT'!BH102,'Comext mensuel - EUROSTAT'!BJ102,'Comext mensuel - EUROSTAT'!BL102,'Comext mensuel - EUROSTAT'!BN102,'Comext mensuel - EUROSTAT'!BP102,'Comext mensuel - EUROSTAT'!BR102,'Comext mensuel - EUROSTAT'!BT102,'Comext mensuel - EUROSTAT'!BV102)/10^4</f>
        <v>41.264007000000007</v>
      </c>
    </row>
    <row r="94" spans="1:16">
      <c r="A94" t="s">
        <v>307</v>
      </c>
      <c r="B94" t="s">
        <v>967</v>
      </c>
      <c r="C94" s="693"/>
      <c r="D94" t="str">
        <f>'Comext annuel - EUROSTAT'!B103</f>
        <v>Gruaux et semoules de maïs, d'une teneur en matières grasses &gt; 1,5% en poids</v>
      </c>
      <c r="E94" s="86">
        <f>'Comext annuel - EUROSTAT'!C103/10^4</f>
        <v>0.54215200000000008</v>
      </c>
      <c r="F94" s="86">
        <f>'Comext annuel - EUROSTAT'!D103/10^4</f>
        <v>12.420167999999999</v>
      </c>
      <c r="G94" s="86">
        <f>'Comext annuel - EUROSTAT'!E103/10^4</f>
        <v>1.059334</v>
      </c>
      <c r="H94" s="86">
        <f>'Comext annuel - EUROSTAT'!F103/10^4</f>
        <v>11.958224000000001</v>
      </c>
      <c r="I94" s="86">
        <f>'Comext annuel - EUROSTAT'!G103/10^4</f>
        <v>2.1857669999999998</v>
      </c>
      <c r="J94" s="86">
        <f>'Comext annuel - EUROSTAT'!H103/10^4</f>
        <v>13.952133999999999</v>
      </c>
      <c r="K94" s="509">
        <f>SUM('Comext mensuel - EUROSTAT'!C103,'Comext mensuel - EUROSTAT'!E103,'Comext mensuel - EUROSTAT'!G103,'Comext mensuel - EUROSTAT'!I103,'Comext mensuel - EUROSTAT'!K103,'Comext mensuel - EUROSTAT'!M103,'Comext mensuel - EUROSTAT'!O103,'Comext mensuel - EUROSTAT'!Q103,'Comext mensuel - EUROSTAT'!S103,'Comext mensuel - EUROSTAT'!U103,'Comext mensuel - EUROSTAT'!W103,'Comext mensuel - EUROSTAT'!Y103)/10^4</f>
        <v>1.1186309999999999</v>
      </c>
      <c r="L94" s="509">
        <f>SUM('Comext mensuel - EUROSTAT'!D103,'Comext mensuel - EUROSTAT'!F103,'Comext mensuel - EUROSTAT'!H103,'Comext mensuel - EUROSTAT'!J103,'Comext mensuel - EUROSTAT'!L103,'Comext mensuel - EUROSTAT'!N103,'Comext mensuel - EUROSTAT'!P103,'Comext mensuel - EUROSTAT'!R103,'Comext mensuel - EUROSTAT'!T103,'Comext mensuel - EUROSTAT'!V103,'Comext mensuel - EUROSTAT'!X103,'Comext mensuel - EUROSTAT'!Z103)/10^4</f>
        <v>12.082365000000003</v>
      </c>
      <c r="M94" s="509">
        <f>SUM('Comext mensuel - EUROSTAT'!AA103,'Comext mensuel - EUROSTAT'!AC103,'Comext mensuel - EUROSTAT'!AE103,'Comext mensuel - EUROSTAT'!AG103,'Comext mensuel - EUROSTAT'!AI103,'Comext mensuel - EUROSTAT'!AK103,'Comext mensuel - EUROSTAT'!AM103,'Comext mensuel - EUROSTAT'!AO103,'Comext mensuel - EUROSTAT'!AQ103,'Comext mensuel - EUROSTAT'!AS103,'Comext mensuel - EUROSTAT'!AU103,'Comext mensuel - EUROSTAT'!AW103)/10^4</f>
        <v>1.144047</v>
      </c>
      <c r="N94" s="509">
        <f>SUM('Comext mensuel - EUROSTAT'!AB103,'Comext mensuel - EUROSTAT'!AD103,'Comext mensuel - EUROSTAT'!AF103,'Comext mensuel - EUROSTAT'!AH103,'Comext mensuel - EUROSTAT'!AJ103,'Comext mensuel - EUROSTAT'!AL103,'Comext mensuel - EUROSTAT'!AN103,'Comext mensuel - EUROSTAT'!AP103,'Comext mensuel - EUROSTAT'!AR103,'Comext mensuel - EUROSTAT'!AT103,'Comext mensuel - EUROSTAT'!AV103,'Comext mensuel - EUROSTAT'!AX103)/10^4</f>
        <v>12.204675999999997</v>
      </c>
      <c r="O94" s="509">
        <f>SUM('Comext mensuel - EUROSTAT'!AY103,'Comext mensuel - EUROSTAT'!BA103,'Comext mensuel - EUROSTAT'!BC103,'Comext mensuel - EUROSTAT'!BE103,'Comext mensuel - EUROSTAT'!BG103,'Comext mensuel - EUROSTAT'!BI103,'Comext mensuel - EUROSTAT'!BK103,'Comext mensuel - EUROSTAT'!BM103,'Comext mensuel - EUROSTAT'!BO103,'Comext mensuel - EUROSTAT'!BQ103,'Comext mensuel - EUROSTAT'!BS103,'Comext mensuel - EUROSTAT'!BU103)/10^4</f>
        <v>2.5901860000000001</v>
      </c>
      <c r="P94" s="509">
        <f>SUM('Comext mensuel - EUROSTAT'!AZ103,'Comext mensuel - EUROSTAT'!BB103,'Comext mensuel - EUROSTAT'!BD103,'Comext mensuel - EUROSTAT'!BF103,'Comext mensuel - EUROSTAT'!BH103,'Comext mensuel - EUROSTAT'!BJ103,'Comext mensuel - EUROSTAT'!BL103,'Comext mensuel - EUROSTAT'!BN103,'Comext mensuel - EUROSTAT'!BP103,'Comext mensuel - EUROSTAT'!BR103,'Comext mensuel - EUROSTAT'!BT103,'Comext mensuel - EUROSTAT'!BV103)/10^4</f>
        <v>13.890204000000001</v>
      </c>
    </row>
    <row r="95" spans="1:16">
      <c r="A95" t="s">
        <v>969</v>
      </c>
      <c r="B95" t="s">
        <v>967</v>
      </c>
      <c r="C95" s="693"/>
      <c r="D95" t="str">
        <f>'Comext annuel - EUROSTAT'!B104</f>
        <v>Gruaux et semoules de seigle ou d'orge</v>
      </c>
      <c r="E95" s="86">
        <f>'Comext annuel - EUROSTAT'!C104/10^4</f>
        <v>8.0103999999999995E-2</v>
      </c>
      <c r="F95" s="86">
        <f>'Comext annuel - EUROSTAT'!D104/10^4</f>
        <v>2.2379E-2</v>
      </c>
      <c r="G95" s="86">
        <f>'Comext annuel - EUROSTAT'!E104/10^4</f>
        <v>0.210202</v>
      </c>
      <c r="H95" s="86">
        <f>'Comext annuel - EUROSTAT'!F104/10^4</f>
        <v>4.2929999999999999E-3</v>
      </c>
      <c r="I95" s="86">
        <f>'Comext annuel - EUROSTAT'!G104/10^4</f>
        <v>0.41071000000000002</v>
      </c>
      <c r="J95" s="86">
        <f>'Comext annuel - EUROSTAT'!H104/10^4</f>
        <v>7.5459999999999998E-3</v>
      </c>
      <c r="K95" s="86">
        <f>SUM('Comext mensuel - EUROSTAT'!C104,'Comext mensuel - EUROSTAT'!E104,'Comext mensuel - EUROSTAT'!G104,'Comext mensuel - EUROSTAT'!I104,'Comext mensuel - EUROSTAT'!K104,'Comext mensuel - EUROSTAT'!M104,'Comext mensuel - EUROSTAT'!O104,'Comext mensuel - EUROSTAT'!Q104,'Comext mensuel - EUROSTAT'!S104,'Comext mensuel - EUROSTAT'!U104,'Comext mensuel - EUROSTAT'!W104,'Comext mensuel - EUROSTAT'!Y104)/10^4</f>
        <v>8.9775999999999995E-2</v>
      </c>
      <c r="L95" s="86">
        <f>SUM('Comext mensuel - EUROSTAT'!D104,'Comext mensuel - EUROSTAT'!F104,'Comext mensuel - EUROSTAT'!H104,'Comext mensuel - EUROSTAT'!J104,'Comext mensuel - EUROSTAT'!L104,'Comext mensuel - EUROSTAT'!N104,'Comext mensuel - EUROSTAT'!P104,'Comext mensuel - EUROSTAT'!R104,'Comext mensuel - EUROSTAT'!T104,'Comext mensuel - EUROSTAT'!V104,'Comext mensuel - EUROSTAT'!X104,'Comext mensuel - EUROSTAT'!Z104)/10^4</f>
        <v>2.8503999999999998E-2</v>
      </c>
      <c r="M95" s="86">
        <f>SUM('Comext mensuel - EUROSTAT'!AA104,'Comext mensuel - EUROSTAT'!AC104,'Comext mensuel - EUROSTAT'!AE104,'Comext mensuel - EUROSTAT'!AG104,'Comext mensuel - EUROSTAT'!AI104,'Comext mensuel - EUROSTAT'!AK104,'Comext mensuel - EUROSTAT'!AM104,'Comext mensuel - EUROSTAT'!AO104,'Comext mensuel - EUROSTAT'!AQ104,'Comext mensuel - EUROSTAT'!AS104,'Comext mensuel - EUROSTAT'!AU104,'Comext mensuel - EUROSTAT'!AW104)/10^4</f>
        <v>0.27409500000000003</v>
      </c>
      <c r="N95" s="86">
        <f>SUM('Comext mensuel - EUROSTAT'!AB104,'Comext mensuel - EUROSTAT'!AD104,'Comext mensuel - EUROSTAT'!AF104,'Comext mensuel - EUROSTAT'!AH104,'Comext mensuel - EUROSTAT'!AJ104,'Comext mensuel - EUROSTAT'!AL104,'Comext mensuel - EUROSTAT'!AN104,'Comext mensuel - EUROSTAT'!AP104,'Comext mensuel - EUROSTAT'!AR104,'Comext mensuel - EUROSTAT'!AT104,'Comext mensuel - EUROSTAT'!AV104,'Comext mensuel - EUROSTAT'!AX104)/10^4</f>
        <v>2.2309999999999999E-3</v>
      </c>
      <c r="O95" s="86">
        <f>SUM('Comext mensuel - EUROSTAT'!AY104,'Comext mensuel - EUROSTAT'!BA104,'Comext mensuel - EUROSTAT'!BC104,'Comext mensuel - EUROSTAT'!BE104,'Comext mensuel - EUROSTAT'!BG104,'Comext mensuel - EUROSTAT'!BI104,'Comext mensuel - EUROSTAT'!BK104,'Comext mensuel - EUROSTAT'!BM104,'Comext mensuel - EUROSTAT'!BO104,'Comext mensuel - EUROSTAT'!BQ104,'Comext mensuel - EUROSTAT'!BS104,'Comext mensuel - EUROSTAT'!BU104)/10^4</f>
        <v>0.8562209999999999</v>
      </c>
      <c r="P95" s="86">
        <f>SUM('Comext mensuel - EUROSTAT'!AZ104,'Comext mensuel - EUROSTAT'!BB104,'Comext mensuel - EUROSTAT'!BD104,'Comext mensuel - EUROSTAT'!BF104,'Comext mensuel - EUROSTAT'!BH104,'Comext mensuel - EUROSTAT'!BJ104,'Comext mensuel - EUROSTAT'!BL104,'Comext mensuel - EUROSTAT'!BN104,'Comext mensuel - EUROSTAT'!BP104,'Comext mensuel - EUROSTAT'!BR104,'Comext mensuel - EUROSTAT'!BT104,'Comext mensuel - EUROSTAT'!BV104)/10^4</f>
        <v>52.081069999999997</v>
      </c>
    </row>
    <row r="96" spans="1:16">
      <c r="A96" t="s">
        <v>306</v>
      </c>
      <c r="B96" t="s">
        <v>967</v>
      </c>
      <c r="C96" s="693"/>
      <c r="D96" t="str">
        <f>'Comext annuel - EUROSTAT'!B105</f>
        <v>Gruaux et semoules d'avoine</v>
      </c>
      <c r="E96" s="86">
        <f>'Comext annuel - EUROSTAT'!C105/10^4</f>
        <v>0.28430300000000003</v>
      </c>
      <c r="F96" s="86">
        <f>'Comext annuel - EUROSTAT'!D105/10^4</f>
        <v>2.9327099999999997</v>
      </c>
      <c r="G96" s="86">
        <f>'Comext annuel - EUROSTAT'!E105/10^4</f>
        <v>0.51778199999999996</v>
      </c>
      <c r="H96" s="86">
        <f>'Comext annuel - EUROSTAT'!F105/10^4</f>
        <v>4.6924410000000005</v>
      </c>
      <c r="I96" s="86">
        <f>'Comext annuel - EUROSTAT'!G105/10^4</f>
        <v>0.19559400000000002</v>
      </c>
      <c r="J96" s="86">
        <f>'Comext annuel - EUROSTAT'!H105/10^4</f>
        <v>2.9270589999999999</v>
      </c>
      <c r="K96" s="86">
        <f>SUM('Comext mensuel - EUROSTAT'!C105,'Comext mensuel - EUROSTAT'!E105,'Comext mensuel - EUROSTAT'!G105,'Comext mensuel - EUROSTAT'!I105,'Comext mensuel - EUROSTAT'!K105,'Comext mensuel - EUROSTAT'!M105,'Comext mensuel - EUROSTAT'!O105,'Comext mensuel - EUROSTAT'!Q105,'Comext mensuel - EUROSTAT'!S105,'Comext mensuel - EUROSTAT'!U105,'Comext mensuel - EUROSTAT'!W105,'Comext mensuel - EUROSTAT'!Y105)/10^4</f>
        <v>0.32300200000000007</v>
      </c>
      <c r="L96" s="86">
        <f>SUM('Comext mensuel - EUROSTAT'!D105,'Comext mensuel - EUROSTAT'!F105,'Comext mensuel - EUROSTAT'!H105,'Comext mensuel - EUROSTAT'!J105,'Comext mensuel - EUROSTAT'!L105,'Comext mensuel - EUROSTAT'!N105,'Comext mensuel - EUROSTAT'!P105,'Comext mensuel - EUROSTAT'!R105,'Comext mensuel - EUROSTAT'!T105,'Comext mensuel - EUROSTAT'!V105,'Comext mensuel - EUROSTAT'!X105,'Comext mensuel - EUROSTAT'!Z105)/10^4</f>
        <v>3.6509930000000002</v>
      </c>
      <c r="M96" s="86">
        <f>SUM('Comext mensuel - EUROSTAT'!AA105,'Comext mensuel - EUROSTAT'!AC105,'Comext mensuel - EUROSTAT'!AE105,'Comext mensuel - EUROSTAT'!AG105,'Comext mensuel - EUROSTAT'!AI105,'Comext mensuel - EUROSTAT'!AK105,'Comext mensuel - EUROSTAT'!AM105,'Comext mensuel - EUROSTAT'!AO105,'Comext mensuel - EUROSTAT'!AQ105,'Comext mensuel - EUROSTAT'!AS105,'Comext mensuel - EUROSTAT'!AU105,'Comext mensuel - EUROSTAT'!AW105)/10^4</f>
        <v>0.48992100000000011</v>
      </c>
      <c r="N96" s="86">
        <f>SUM('Comext mensuel - EUROSTAT'!AB105,'Comext mensuel - EUROSTAT'!AD105,'Comext mensuel - EUROSTAT'!AF105,'Comext mensuel - EUROSTAT'!AH105,'Comext mensuel - EUROSTAT'!AJ105,'Comext mensuel - EUROSTAT'!AL105,'Comext mensuel - EUROSTAT'!AN105,'Comext mensuel - EUROSTAT'!AP105,'Comext mensuel - EUROSTAT'!AR105,'Comext mensuel - EUROSTAT'!AT105,'Comext mensuel - EUROSTAT'!AV105,'Comext mensuel - EUROSTAT'!AX105)/10^4</f>
        <v>4.8002160000000007</v>
      </c>
      <c r="O96" s="86">
        <f>SUM('Comext mensuel - EUROSTAT'!AY105,'Comext mensuel - EUROSTAT'!BA105,'Comext mensuel - EUROSTAT'!BC105,'Comext mensuel - EUROSTAT'!BE105,'Comext mensuel - EUROSTAT'!BG105,'Comext mensuel - EUROSTAT'!BI105,'Comext mensuel - EUROSTAT'!BK105,'Comext mensuel - EUROSTAT'!BM105,'Comext mensuel - EUROSTAT'!BO105,'Comext mensuel - EUROSTAT'!BQ105,'Comext mensuel - EUROSTAT'!BS105,'Comext mensuel - EUROSTAT'!BU105)/10^4</f>
        <v>0.64570400000000006</v>
      </c>
      <c r="P96" s="86">
        <f>SUM('Comext mensuel - EUROSTAT'!AZ105,'Comext mensuel - EUROSTAT'!BB105,'Comext mensuel - EUROSTAT'!BD105,'Comext mensuel - EUROSTAT'!BF105,'Comext mensuel - EUROSTAT'!BH105,'Comext mensuel - EUROSTAT'!BJ105,'Comext mensuel - EUROSTAT'!BL105,'Comext mensuel - EUROSTAT'!BN105,'Comext mensuel - EUROSTAT'!BP105,'Comext mensuel - EUROSTAT'!BR105,'Comext mensuel - EUROSTAT'!BT105,'Comext mensuel - EUROSTAT'!BV105)/10^4</f>
        <v>3.9936410000000002</v>
      </c>
    </row>
    <row r="97" spans="1:16">
      <c r="A97" t="s">
        <v>309</v>
      </c>
      <c r="B97" t="s">
        <v>967</v>
      </c>
      <c r="C97" s="693"/>
      <c r="D97" t="str">
        <f>'Comext annuel - EUROSTAT'!B106</f>
        <v>Gruaux et semoules de riz</v>
      </c>
      <c r="E97" s="86">
        <f>'Comext annuel - EUROSTAT'!C106/10^4</f>
        <v>2.115011</v>
      </c>
      <c r="F97" s="86">
        <f>'Comext annuel - EUROSTAT'!D106/10^4</f>
        <v>2.3469790000000001</v>
      </c>
      <c r="G97" s="86">
        <f>'Comext annuel - EUROSTAT'!E106/10^4</f>
        <v>3.1705459999999999</v>
      </c>
      <c r="H97" s="86">
        <f>'Comext annuel - EUROSTAT'!F106/10^4</f>
        <v>4.5622129999999999</v>
      </c>
      <c r="I97" s="86">
        <f>'Comext annuel - EUROSTAT'!G106/10^4</f>
        <v>3.4179120000000003</v>
      </c>
      <c r="J97" s="86">
        <f>'Comext annuel - EUROSTAT'!H106/10^4</f>
        <v>2.1482730000000001</v>
      </c>
      <c r="K97" s="86">
        <f>SUM('Comext mensuel - EUROSTAT'!C106,'Comext mensuel - EUROSTAT'!E106,'Comext mensuel - EUROSTAT'!G106,'Comext mensuel - EUROSTAT'!I106,'Comext mensuel - EUROSTAT'!K106,'Comext mensuel - EUROSTAT'!M106,'Comext mensuel - EUROSTAT'!O106,'Comext mensuel - EUROSTAT'!Q106,'Comext mensuel - EUROSTAT'!S106,'Comext mensuel - EUROSTAT'!U106,'Comext mensuel - EUROSTAT'!W106,'Comext mensuel - EUROSTAT'!Y106)/10^4</f>
        <v>2.0111319999999995</v>
      </c>
      <c r="L97" s="86">
        <f>SUM('Comext mensuel - EUROSTAT'!D106,'Comext mensuel - EUROSTAT'!F106,'Comext mensuel - EUROSTAT'!H106,'Comext mensuel - EUROSTAT'!J106,'Comext mensuel - EUROSTAT'!L106,'Comext mensuel - EUROSTAT'!N106,'Comext mensuel - EUROSTAT'!P106,'Comext mensuel - EUROSTAT'!R106,'Comext mensuel - EUROSTAT'!T106,'Comext mensuel - EUROSTAT'!V106,'Comext mensuel - EUROSTAT'!X106,'Comext mensuel - EUROSTAT'!Z106)/10^4</f>
        <v>3.9069669999999999</v>
      </c>
      <c r="M97" s="86">
        <f>SUM('Comext mensuel - EUROSTAT'!AA106,'Comext mensuel - EUROSTAT'!AC106,'Comext mensuel - EUROSTAT'!AE106,'Comext mensuel - EUROSTAT'!AG106,'Comext mensuel - EUROSTAT'!AI106,'Comext mensuel - EUROSTAT'!AK106,'Comext mensuel - EUROSTAT'!AM106,'Comext mensuel - EUROSTAT'!AO106,'Comext mensuel - EUROSTAT'!AQ106,'Comext mensuel - EUROSTAT'!AS106,'Comext mensuel - EUROSTAT'!AU106,'Comext mensuel - EUROSTAT'!AW106)/10^4</f>
        <v>3.6565949999999998</v>
      </c>
      <c r="N97" s="86">
        <f>SUM('Comext mensuel - EUROSTAT'!AB106,'Comext mensuel - EUROSTAT'!AD106,'Comext mensuel - EUROSTAT'!AF106,'Comext mensuel - EUROSTAT'!AH106,'Comext mensuel - EUROSTAT'!AJ106,'Comext mensuel - EUROSTAT'!AL106,'Comext mensuel - EUROSTAT'!AN106,'Comext mensuel - EUROSTAT'!AP106,'Comext mensuel - EUROSTAT'!AR106,'Comext mensuel - EUROSTAT'!AT106,'Comext mensuel - EUROSTAT'!AV106,'Comext mensuel - EUROSTAT'!AX106)/10^4</f>
        <v>5.1526339999999999</v>
      </c>
      <c r="O97" s="86">
        <f>SUM('Comext mensuel - EUROSTAT'!AY106,'Comext mensuel - EUROSTAT'!BA106,'Comext mensuel - EUROSTAT'!BC106,'Comext mensuel - EUROSTAT'!BE106,'Comext mensuel - EUROSTAT'!BG106,'Comext mensuel - EUROSTAT'!BI106,'Comext mensuel - EUROSTAT'!BK106,'Comext mensuel - EUROSTAT'!BM106,'Comext mensuel - EUROSTAT'!BO106,'Comext mensuel - EUROSTAT'!BQ106,'Comext mensuel - EUROSTAT'!BS106,'Comext mensuel - EUROSTAT'!BU106)/10^4</f>
        <v>2.4517330000000004</v>
      </c>
      <c r="P97" s="86">
        <f>SUM('Comext mensuel - EUROSTAT'!AZ106,'Comext mensuel - EUROSTAT'!BB106,'Comext mensuel - EUROSTAT'!BD106,'Comext mensuel - EUROSTAT'!BF106,'Comext mensuel - EUROSTAT'!BH106,'Comext mensuel - EUROSTAT'!BJ106,'Comext mensuel - EUROSTAT'!BL106,'Comext mensuel - EUROSTAT'!BN106,'Comext mensuel - EUROSTAT'!BP106,'Comext mensuel - EUROSTAT'!BR106,'Comext mensuel - EUROSTAT'!BT106,'Comext mensuel - EUROSTAT'!BV106)/10^4</f>
        <v>1.8315379999999997</v>
      </c>
    </row>
    <row r="98" spans="1:16">
      <c r="B98" t="s">
        <v>967</v>
      </c>
      <c r="C98" s="693"/>
      <c r="D98" t="str">
        <f>'Comext annuel - EUROSTAT'!B107</f>
        <v>Gruaux et semoules de céréales (à l'excl. des gruaux et semoules de froment {blé}, d'avoine, de maïs, de riz, de seigle et d'orge)</v>
      </c>
      <c r="E98" s="86">
        <f>'Comext annuel - EUROSTAT'!C107/10^4</f>
        <v>7.2160000000000002E-2</v>
      </c>
      <c r="F98" s="86">
        <f>'Comext annuel - EUROSTAT'!D107/10^4</f>
        <v>0.16064800000000001</v>
      </c>
      <c r="G98" s="86">
        <f>'Comext annuel - EUROSTAT'!E107/10^4</f>
        <v>0.14211600000000002</v>
      </c>
      <c r="H98" s="86">
        <f>'Comext annuel - EUROSTAT'!F107/10^4</f>
        <v>3.0149000000000002E-2</v>
      </c>
      <c r="I98" s="86">
        <f>'Comext annuel - EUROSTAT'!G107/10^4</f>
        <v>2.1858430000000002</v>
      </c>
      <c r="J98" s="86">
        <f>'Comext annuel - EUROSTAT'!H107/10^4</f>
        <v>7.6545000000000002E-2</v>
      </c>
      <c r="K98" s="86">
        <f>SUM('Comext mensuel - EUROSTAT'!C107,'Comext mensuel - EUROSTAT'!E107,'Comext mensuel - EUROSTAT'!G107,'Comext mensuel - EUROSTAT'!I107,'Comext mensuel - EUROSTAT'!K107,'Comext mensuel - EUROSTAT'!M107,'Comext mensuel - EUROSTAT'!O107,'Comext mensuel - EUROSTAT'!Q107,'Comext mensuel - EUROSTAT'!S107,'Comext mensuel - EUROSTAT'!U107,'Comext mensuel - EUROSTAT'!W107,'Comext mensuel - EUROSTAT'!Y107)/10^4</f>
        <v>0.16192200000000001</v>
      </c>
      <c r="L98" s="86">
        <f>SUM('Comext mensuel - EUROSTAT'!D107,'Comext mensuel - EUROSTAT'!F107,'Comext mensuel - EUROSTAT'!H107,'Comext mensuel - EUROSTAT'!J107,'Comext mensuel - EUROSTAT'!L107,'Comext mensuel - EUROSTAT'!N107,'Comext mensuel - EUROSTAT'!P107,'Comext mensuel - EUROSTAT'!R107,'Comext mensuel - EUROSTAT'!T107,'Comext mensuel - EUROSTAT'!V107,'Comext mensuel - EUROSTAT'!X107,'Comext mensuel - EUROSTAT'!Z107)/10^4</f>
        <v>7.7686000000000005E-2</v>
      </c>
      <c r="M98" s="86">
        <f>SUM('Comext mensuel - EUROSTAT'!AA107,'Comext mensuel - EUROSTAT'!AC107,'Comext mensuel - EUROSTAT'!AE107,'Comext mensuel - EUROSTAT'!AG107,'Comext mensuel - EUROSTAT'!AI107,'Comext mensuel - EUROSTAT'!AK107,'Comext mensuel - EUROSTAT'!AM107,'Comext mensuel - EUROSTAT'!AO107,'Comext mensuel - EUROSTAT'!AQ107,'Comext mensuel - EUROSTAT'!AS107,'Comext mensuel - EUROSTAT'!AU107,'Comext mensuel - EUROSTAT'!AW107)/10^4</f>
        <v>0.42518900000000004</v>
      </c>
      <c r="N98" s="86">
        <f>SUM('Comext mensuel - EUROSTAT'!AB107,'Comext mensuel - EUROSTAT'!AD107,'Comext mensuel - EUROSTAT'!AF107,'Comext mensuel - EUROSTAT'!AH107,'Comext mensuel - EUROSTAT'!AJ107,'Comext mensuel - EUROSTAT'!AL107,'Comext mensuel - EUROSTAT'!AN107,'Comext mensuel - EUROSTAT'!AP107,'Comext mensuel - EUROSTAT'!AR107,'Comext mensuel - EUROSTAT'!AT107,'Comext mensuel - EUROSTAT'!AV107,'Comext mensuel - EUROSTAT'!AX107)/10^4</f>
        <v>3.4762000000000001E-2</v>
      </c>
      <c r="O98" s="86">
        <f>SUM('Comext mensuel - EUROSTAT'!AY107,'Comext mensuel - EUROSTAT'!BA107,'Comext mensuel - EUROSTAT'!BC107,'Comext mensuel - EUROSTAT'!BE107,'Comext mensuel - EUROSTAT'!BG107,'Comext mensuel - EUROSTAT'!BI107,'Comext mensuel - EUROSTAT'!BK107,'Comext mensuel - EUROSTAT'!BM107,'Comext mensuel - EUROSTAT'!BO107,'Comext mensuel - EUROSTAT'!BQ107,'Comext mensuel - EUROSTAT'!BS107,'Comext mensuel - EUROSTAT'!BU107)/10^4</f>
        <v>1.8044030000000002</v>
      </c>
      <c r="P98" s="86">
        <f>SUM('Comext mensuel - EUROSTAT'!AZ107,'Comext mensuel - EUROSTAT'!BB107,'Comext mensuel - EUROSTAT'!BD107,'Comext mensuel - EUROSTAT'!BF107,'Comext mensuel - EUROSTAT'!BH107,'Comext mensuel - EUROSTAT'!BJ107,'Comext mensuel - EUROSTAT'!BL107,'Comext mensuel - EUROSTAT'!BN107,'Comext mensuel - EUROSTAT'!BP107,'Comext mensuel - EUROSTAT'!BR107,'Comext mensuel - EUROSTAT'!BT107,'Comext mensuel - EUROSTAT'!BV107)/10^4</f>
        <v>6.7708000000000004E-2</v>
      </c>
    </row>
    <row r="99" spans="1:16">
      <c r="A99" t="s">
        <v>969</v>
      </c>
      <c r="B99" t="s">
        <v>968</v>
      </c>
      <c r="C99" s="693" t="s">
        <v>968</v>
      </c>
      <c r="D99" t="str">
        <f>'Comext annuel - EUROSTAT'!B108</f>
        <v>Pellets de seigle ou d'orge</v>
      </c>
      <c r="E99" s="86">
        <f>'Comext annuel - EUROSTAT'!C108/10^4</f>
        <v>1.3616999999999999</v>
      </c>
      <c r="F99" s="86">
        <f>'Comext annuel - EUROSTAT'!D108/10^4</f>
        <v>8.2360000000000003E-2</v>
      </c>
      <c r="G99" s="86">
        <f>'Comext annuel - EUROSTAT'!E108/10^4</f>
        <v>8.0160000000000009E-2</v>
      </c>
      <c r="H99" s="86">
        <f>'Comext annuel - EUROSTAT'!F108/10^4</f>
        <v>2.5340000000000001E-2</v>
      </c>
      <c r="I99" s="86">
        <f>'Comext annuel - EUROSTAT'!G108/10^4</f>
        <v>5.1000000000000004E-3</v>
      </c>
      <c r="J99" s="86" t="e">
        <f>'Comext annuel - EUROSTAT'!H108/10^4</f>
        <v>#VALUE!</v>
      </c>
      <c r="K99" s="86">
        <f>SUM('Comext mensuel - EUROSTAT'!C108,'Comext mensuel - EUROSTAT'!E108,'Comext mensuel - EUROSTAT'!G108,'Comext mensuel - EUROSTAT'!I108,'Comext mensuel - EUROSTAT'!K108,'Comext mensuel - EUROSTAT'!M108,'Comext mensuel - EUROSTAT'!O108,'Comext mensuel - EUROSTAT'!Q108,'Comext mensuel - EUROSTAT'!S108,'Comext mensuel - EUROSTAT'!U108,'Comext mensuel - EUROSTAT'!W108,'Comext mensuel - EUROSTAT'!Y108)/10^4</f>
        <v>1.6536600000000001</v>
      </c>
      <c r="L99" s="86">
        <f>SUM('Comext mensuel - EUROSTAT'!D108,'Comext mensuel - EUROSTAT'!F108,'Comext mensuel - EUROSTAT'!H108,'Comext mensuel - EUROSTAT'!J108,'Comext mensuel - EUROSTAT'!L108,'Comext mensuel - EUROSTAT'!N108,'Comext mensuel - EUROSTAT'!P108,'Comext mensuel - EUROSTAT'!R108,'Comext mensuel - EUROSTAT'!T108,'Comext mensuel - EUROSTAT'!V108,'Comext mensuel - EUROSTAT'!X108,'Comext mensuel - EUROSTAT'!Z108)/10^4</f>
        <v>1E-4</v>
      </c>
      <c r="M99" s="86">
        <f>SUM('Comext mensuel - EUROSTAT'!AA108,'Comext mensuel - EUROSTAT'!AC108,'Comext mensuel - EUROSTAT'!AE108,'Comext mensuel - EUROSTAT'!AG108,'Comext mensuel - EUROSTAT'!AI108,'Comext mensuel - EUROSTAT'!AK108,'Comext mensuel - EUROSTAT'!AM108,'Comext mensuel - EUROSTAT'!AO108,'Comext mensuel - EUROSTAT'!AQ108,'Comext mensuel - EUROSTAT'!AS108,'Comext mensuel - EUROSTAT'!AU108,'Comext mensuel - EUROSTAT'!AW108)/10^4</f>
        <v>3.7839999999999999E-2</v>
      </c>
      <c r="N99" s="86">
        <f>SUM('Comext mensuel - EUROSTAT'!AB108,'Comext mensuel - EUROSTAT'!AD108,'Comext mensuel - EUROSTAT'!AF108,'Comext mensuel - EUROSTAT'!AH108,'Comext mensuel - EUROSTAT'!AJ108,'Comext mensuel - EUROSTAT'!AL108,'Comext mensuel - EUROSTAT'!AN108,'Comext mensuel - EUROSTAT'!AP108,'Comext mensuel - EUROSTAT'!AR108,'Comext mensuel - EUROSTAT'!AT108,'Comext mensuel - EUROSTAT'!AV108,'Comext mensuel - EUROSTAT'!AX108)/10^4</f>
        <v>0</v>
      </c>
      <c r="O99" s="86">
        <f>SUM('Comext mensuel - EUROSTAT'!AY108,'Comext mensuel - EUROSTAT'!BA108,'Comext mensuel - EUROSTAT'!BC108,'Comext mensuel - EUROSTAT'!BE108,'Comext mensuel - EUROSTAT'!BG108,'Comext mensuel - EUROSTAT'!BI108,'Comext mensuel - EUROSTAT'!BK108,'Comext mensuel - EUROSTAT'!BM108,'Comext mensuel - EUROSTAT'!BO108,'Comext mensuel - EUROSTAT'!BQ108,'Comext mensuel - EUROSTAT'!BS108,'Comext mensuel - EUROSTAT'!BU108)/10^4</f>
        <v>1.0859999999999999E-3</v>
      </c>
      <c r="P99" s="86">
        <f>SUM('Comext mensuel - EUROSTAT'!AZ108,'Comext mensuel - EUROSTAT'!BB108,'Comext mensuel - EUROSTAT'!BD108,'Comext mensuel - EUROSTAT'!BF108,'Comext mensuel - EUROSTAT'!BH108,'Comext mensuel - EUROSTAT'!BJ108,'Comext mensuel - EUROSTAT'!BL108,'Comext mensuel - EUROSTAT'!BN108,'Comext mensuel - EUROSTAT'!BP108,'Comext mensuel - EUROSTAT'!BR108,'Comext mensuel - EUROSTAT'!BT108,'Comext mensuel - EUROSTAT'!BV108)/10^4</f>
        <v>0</v>
      </c>
    </row>
    <row r="100" spans="1:16">
      <c r="A100" t="s">
        <v>306</v>
      </c>
      <c r="B100" t="s">
        <v>968</v>
      </c>
      <c r="C100" s="693"/>
      <c r="D100" t="str">
        <f>'Comext annuel - EUROSTAT'!B109</f>
        <v>Agglomérés sous forme de pellets, d'avoine</v>
      </c>
      <c r="E100" s="86">
        <f>'Comext annuel - EUROSTAT'!C109/10^4</f>
        <v>4.4613899999999997</v>
      </c>
      <c r="F100" s="86">
        <f>'Comext annuel - EUROSTAT'!D109/10^4</f>
        <v>0.28110000000000002</v>
      </c>
      <c r="G100" s="86">
        <f>'Comext annuel - EUROSTAT'!E109/10^4</f>
        <v>6.6825800000000006</v>
      </c>
      <c r="H100" s="86">
        <f>'Comext annuel - EUROSTAT'!F109/10^4</f>
        <v>3.4500000000000004E-4</v>
      </c>
      <c r="I100" s="86">
        <f>'Comext annuel - EUROSTAT'!G109/10^4</f>
        <v>1.31582</v>
      </c>
      <c r="J100" s="86">
        <f>'Comext annuel - EUROSTAT'!H109/10^4</f>
        <v>3.9999999999999998E-6</v>
      </c>
      <c r="K100" s="86">
        <f>SUM('Comext mensuel - EUROSTAT'!C109,'Comext mensuel - EUROSTAT'!E109,'Comext mensuel - EUROSTAT'!G109,'Comext mensuel - EUROSTAT'!I109,'Comext mensuel - EUROSTAT'!K109,'Comext mensuel - EUROSTAT'!M109,'Comext mensuel - EUROSTAT'!O109,'Comext mensuel - EUROSTAT'!Q109,'Comext mensuel - EUROSTAT'!S109,'Comext mensuel - EUROSTAT'!U109,'Comext mensuel - EUROSTAT'!W109,'Comext mensuel - EUROSTAT'!Y109)/10^4</f>
        <v>4.7225529999999996</v>
      </c>
      <c r="L100" s="86">
        <f>SUM('Comext mensuel - EUROSTAT'!D109,'Comext mensuel - EUROSTAT'!F109,'Comext mensuel - EUROSTAT'!H109,'Comext mensuel - EUROSTAT'!J109,'Comext mensuel - EUROSTAT'!L109,'Comext mensuel - EUROSTAT'!N109,'Comext mensuel - EUROSTAT'!P109,'Comext mensuel - EUROSTAT'!R109,'Comext mensuel - EUROSTAT'!T109,'Comext mensuel - EUROSTAT'!V109,'Comext mensuel - EUROSTAT'!X109,'Comext mensuel - EUROSTAT'!Z109)/10^4</f>
        <v>0.57296000000000002</v>
      </c>
      <c r="M100" s="86">
        <f>SUM('Comext mensuel - EUROSTAT'!AA109,'Comext mensuel - EUROSTAT'!AC109,'Comext mensuel - EUROSTAT'!AE109,'Comext mensuel - EUROSTAT'!AG109,'Comext mensuel - EUROSTAT'!AI109,'Comext mensuel - EUROSTAT'!AK109,'Comext mensuel - EUROSTAT'!AM109,'Comext mensuel - EUROSTAT'!AO109,'Comext mensuel - EUROSTAT'!AQ109,'Comext mensuel - EUROSTAT'!AS109,'Comext mensuel - EUROSTAT'!AU109,'Comext mensuel - EUROSTAT'!AW109)/10^4</f>
        <v>5.3010129999999993</v>
      </c>
      <c r="N100" s="86">
        <f>SUM('Comext mensuel - EUROSTAT'!AB109,'Comext mensuel - EUROSTAT'!AD109,'Comext mensuel - EUROSTAT'!AF109,'Comext mensuel - EUROSTAT'!AH109,'Comext mensuel - EUROSTAT'!AJ109,'Comext mensuel - EUROSTAT'!AL109,'Comext mensuel - EUROSTAT'!AN109,'Comext mensuel - EUROSTAT'!AP109,'Comext mensuel - EUROSTAT'!AR109,'Comext mensuel - EUROSTAT'!AT109,'Comext mensuel - EUROSTAT'!AV109,'Comext mensuel - EUROSTAT'!AX109)/10^4</f>
        <v>3.4500000000000004E-4</v>
      </c>
      <c r="O100" s="86">
        <f>SUM('Comext mensuel - EUROSTAT'!AY109,'Comext mensuel - EUROSTAT'!BA109,'Comext mensuel - EUROSTAT'!BC109,'Comext mensuel - EUROSTAT'!BE109,'Comext mensuel - EUROSTAT'!BG109,'Comext mensuel - EUROSTAT'!BI109,'Comext mensuel - EUROSTAT'!BK109,'Comext mensuel - EUROSTAT'!BM109,'Comext mensuel - EUROSTAT'!BO109,'Comext mensuel - EUROSTAT'!BQ109,'Comext mensuel - EUROSTAT'!BS109,'Comext mensuel - EUROSTAT'!BU109)/10^4</f>
        <v>1.2636010000000002</v>
      </c>
      <c r="P100" s="86">
        <f>SUM('Comext mensuel - EUROSTAT'!AZ109,'Comext mensuel - EUROSTAT'!BB109,'Comext mensuel - EUROSTAT'!BD109,'Comext mensuel - EUROSTAT'!BF109,'Comext mensuel - EUROSTAT'!BH109,'Comext mensuel - EUROSTAT'!BJ109,'Comext mensuel - EUROSTAT'!BL109,'Comext mensuel - EUROSTAT'!BN109,'Comext mensuel - EUROSTAT'!BP109,'Comext mensuel - EUROSTAT'!BR109,'Comext mensuel - EUROSTAT'!BT109,'Comext mensuel - EUROSTAT'!BV109)/10^4</f>
        <v>0.53232399999999991</v>
      </c>
    </row>
    <row r="101" spans="1:16">
      <c r="A101" t="s">
        <v>307</v>
      </c>
      <c r="B101" t="s">
        <v>968</v>
      </c>
      <c r="C101" s="693"/>
      <c r="D101" t="str">
        <f>'Comext annuel - EUROSTAT'!B110</f>
        <v>Agglomérés sous forme de pellets, de maïs</v>
      </c>
      <c r="E101" s="86">
        <f>'Comext annuel - EUROSTAT'!C110/10^4</f>
        <v>0.46517900000000001</v>
      </c>
      <c r="F101" s="86">
        <f>'Comext annuel - EUROSTAT'!D110/10^4</f>
        <v>0.76145699999999994</v>
      </c>
      <c r="G101" s="86">
        <f>'Comext annuel - EUROSTAT'!E110/10^4</f>
        <v>7.0473999999999995E-2</v>
      </c>
      <c r="H101" s="86">
        <f>'Comext annuel - EUROSTAT'!F110/10^4</f>
        <v>3.7745000000000001E-2</v>
      </c>
      <c r="I101" s="86">
        <f>'Comext annuel - EUROSTAT'!G110/10^4</f>
        <v>0.75692499999999996</v>
      </c>
      <c r="J101" s="86">
        <f>'Comext annuel - EUROSTAT'!H110/10^4</f>
        <v>5.3000000000000001E-5</v>
      </c>
      <c r="K101" s="86">
        <f>SUM('Comext mensuel - EUROSTAT'!C110,'Comext mensuel - EUROSTAT'!E110,'Comext mensuel - EUROSTAT'!G110,'Comext mensuel - EUROSTAT'!I110,'Comext mensuel - EUROSTAT'!K110,'Comext mensuel - EUROSTAT'!M110,'Comext mensuel - EUROSTAT'!O110,'Comext mensuel - EUROSTAT'!Q110,'Comext mensuel - EUROSTAT'!S110,'Comext mensuel - EUROSTAT'!U110,'Comext mensuel - EUROSTAT'!W110,'Comext mensuel - EUROSTAT'!Y110)/10^4</f>
        <v>0.17529299999999998</v>
      </c>
      <c r="L101" s="86">
        <f>SUM('Comext mensuel - EUROSTAT'!D110,'Comext mensuel - EUROSTAT'!F110,'Comext mensuel - EUROSTAT'!H110,'Comext mensuel - EUROSTAT'!J110,'Comext mensuel - EUROSTAT'!L110,'Comext mensuel - EUROSTAT'!N110,'Comext mensuel - EUROSTAT'!P110,'Comext mensuel - EUROSTAT'!R110,'Comext mensuel - EUROSTAT'!T110,'Comext mensuel - EUROSTAT'!V110,'Comext mensuel - EUROSTAT'!X110,'Comext mensuel - EUROSTAT'!Z110)/10^4</f>
        <v>0.36504300000000001</v>
      </c>
      <c r="M101" s="86">
        <f>SUM('Comext mensuel - EUROSTAT'!AA110,'Comext mensuel - EUROSTAT'!AC110,'Comext mensuel - EUROSTAT'!AE110,'Comext mensuel - EUROSTAT'!AG110,'Comext mensuel - EUROSTAT'!AI110,'Comext mensuel - EUROSTAT'!AK110,'Comext mensuel - EUROSTAT'!AM110,'Comext mensuel - EUROSTAT'!AO110,'Comext mensuel - EUROSTAT'!AQ110,'Comext mensuel - EUROSTAT'!AS110,'Comext mensuel - EUROSTAT'!AU110,'Comext mensuel - EUROSTAT'!AW110)/10^4</f>
        <v>0.13994899999999999</v>
      </c>
      <c r="N101" s="86">
        <f>SUM('Comext mensuel - EUROSTAT'!AB110,'Comext mensuel - EUROSTAT'!AD110,'Comext mensuel - EUROSTAT'!AF110,'Comext mensuel - EUROSTAT'!AH110,'Comext mensuel - EUROSTAT'!AJ110,'Comext mensuel - EUROSTAT'!AL110,'Comext mensuel - EUROSTAT'!AN110,'Comext mensuel - EUROSTAT'!AP110,'Comext mensuel - EUROSTAT'!AR110,'Comext mensuel - EUROSTAT'!AT110,'Comext mensuel - EUROSTAT'!AV110,'Comext mensuel - EUROSTAT'!AX110)/10^4</f>
        <v>6.3006999999999994E-2</v>
      </c>
      <c r="O101" s="86">
        <f>SUM('Comext mensuel - EUROSTAT'!AY110,'Comext mensuel - EUROSTAT'!BA110,'Comext mensuel - EUROSTAT'!BC110,'Comext mensuel - EUROSTAT'!BE110,'Comext mensuel - EUROSTAT'!BG110,'Comext mensuel - EUROSTAT'!BI110,'Comext mensuel - EUROSTAT'!BK110,'Comext mensuel - EUROSTAT'!BM110,'Comext mensuel - EUROSTAT'!BO110,'Comext mensuel - EUROSTAT'!BQ110,'Comext mensuel - EUROSTAT'!BS110,'Comext mensuel - EUROSTAT'!BU110)/10^4</f>
        <v>0.85226900000000005</v>
      </c>
      <c r="P101" s="86">
        <f>SUM('Comext mensuel - EUROSTAT'!AZ110,'Comext mensuel - EUROSTAT'!BB110,'Comext mensuel - EUROSTAT'!BD110,'Comext mensuel - EUROSTAT'!BF110,'Comext mensuel - EUROSTAT'!BH110,'Comext mensuel - EUROSTAT'!BJ110,'Comext mensuel - EUROSTAT'!BL110,'Comext mensuel - EUROSTAT'!BN110,'Comext mensuel - EUROSTAT'!BP110,'Comext mensuel - EUROSTAT'!BR110,'Comext mensuel - EUROSTAT'!BT110,'Comext mensuel - EUROSTAT'!BV110)/10^4</f>
        <v>3.4999999999999997E-5</v>
      </c>
    </row>
    <row r="102" spans="1:16">
      <c r="A102" t="s">
        <v>309</v>
      </c>
      <c r="B102" t="s">
        <v>968</v>
      </c>
      <c r="C102" s="693"/>
      <c r="D102" t="str">
        <f>'Comext annuel - EUROSTAT'!B111</f>
        <v>Agglomérés sous forme de pellets, de riz</v>
      </c>
      <c r="E102" s="86">
        <f>'Comext annuel - EUROSTAT'!C111/10^4</f>
        <v>1.0926E-2</v>
      </c>
      <c r="F102" s="86">
        <f>'Comext annuel - EUROSTAT'!D111/10^4</f>
        <v>1.684E-3</v>
      </c>
      <c r="G102" s="86">
        <f>'Comext annuel - EUROSTAT'!E111/10^4</f>
        <v>9.5449999999999997E-3</v>
      </c>
      <c r="H102" s="86">
        <f>'Comext annuel - EUROSTAT'!F111/10^4</f>
        <v>4.3170000000000005E-3</v>
      </c>
      <c r="I102" s="86">
        <f>'Comext annuel - EUROSTAT'!G111/10^4</f>
        <v>5.2849999999999998E-3</v>
      </c>
      <c r="J102" s="86">
        <f>'Comext annuel - EUROSTAT'!H111/10^4</f>
        <v>5.0000000000000004E-6</v>
      </c>
      <c r="K102" s="86">
        <f>SUM('Comext mensuel - EUROSTAT'!C111,'Comext mensuel - EUROSTAT'!E111,'Comext mensuel - EUROSTAT'!G111,'Comext mensuel - EUROSTAT'!I111,'Comext mensuel - EUROSTAT'!K111,'Comext mensuel - EUROSTAT'!M111,'Comext mensuel - EUROSTAT'!O111,'Comext mensuel - EUROSTAT'!Q111,'Comext mensuel - EUROSTAT'!S111,'Comext mensuel - EUROSTAT'!U111,'Comext mensuel - EUROSTAT'!W111,'Comext mensuel - EUROSTAT'!Y111)/10^4</f>
        <v>8.8650000000000014E-3</v>
      </c>
      <c r="L102" s="86">
        <f>SUM('Comext mensuel - EUROSTAT'!D111,'Comext mensuel - EUROSTAT'!F111,'Comext mensuel - EUROSTAT'!H111,'Comext mensuel - EUROSTAT'!J111,'Comext mensuel - EUROSTAT'!L111,'Comext mensuel - EUROSTAT'!N111,'Comext mensuel - EUROSTAT'!P111,'Comext mensuel - EUROSTAT'!R111,'Comext mensuel - EUROSTAT'!T111,'Comext mensuel - EUROSTAT'!V111,'Comext mensuel - EUROSTAT'!X111,'Comext mensuel - EUROSTAT'!Z111)/10^4</f>
        <v>6.8100000000000007E-4</v>
      </c>
      <c r="M102" s="86">
        <f>SUM('Comext mensuel - EUROSTAT'!AA111,'Comext mensuel - EUROSTAT'!AC111,'Comext mensuel - EUROSTAT'!AE111,'Comext mensuel - EUROSTAT'!AG111,'Comext mensuel - EUROSTAT'!AI111,'Comext mensuel - EUROSTAT'!AK111,'Comext mensuel - EUROSTAT'!AM111,'Comext mensuel - EUROSTAT'!AO111,'Comext mensuel - EUROSTAT'!AQ111,'Comext mensuel - EUROSTAT'!AS111,'Comext mensuel - EUROSTAT'!AU111,'Comext mensuel - EUROSTAT'!AW111)/10^4</f>
        <v>6.8190000000000013E-3</v>
      </c>
      <c r="N102" s="86">
        <f>SUM('Comext mensuel - EUROSTAT'!AB111,'Comext mensuel - EUROSTAT'!AD111,'Comext mensuel - EUROSTAT'!AF111,'Comext mensuel - EUROSTAT'!AH111,'Comext mensuel - EUROSTAT'!AJ111,'Comext mensuel - EUROSTAT'!AL111,'Comext mensuel - EUROSTAT'!AN111,'Comext mensuel - EUROSTAT'!AP111,'Comext mensuel - EUROSTAT'!AR111,'Comext mensuel - EUROSTAT'!AT111,'Comext mensuel - EUROSTAT'!AV111,'Comext mensuel - EUROSTAT'!AX111)/10^4</f>
        <v>3.7700000000000003E-3</v>
      </c>
      <c r="O102" s="86">
        <f>SUM('Comext mensuel - EUROSTAT'!AY111,'Comext mensuel - EUROSTAT'!BA111,'Comext mensuel - EUROSTAT'!BC111,'Comext mensuel - EUROSTAT'!BE111,'Comext mensuel - EUROSTAT'!BG111,'Comext mensuel - EUROSTAT'!BI111,'Comext mensuel - EUROSTAT'!BK111,'Comext mensuel - EUROSTAT'!BM111,'Comext mensuel - EUROSTAT'!BO111,'Comext mensuel - EUROSTAT'!BQ111,'Comext mensuel - EUROSTAT'!BS111,'Comext mensuel - EUROSTAT'!BU111)/10^4</f>
        <v>6.3100000000000005E-3</v>
      </c>
      <c r="P102" s="86">
        <f>SUM('Comext mensuel - EUROSTAT'!AZ111,'Comext mensuel - EUROSTAT'!BB111,'Comext mensuel - EUROSTAT'!BD111,'Comext mensuel - EUROSTAT'!BF111,'Comext mensuel - EUROSTAT'!BH111,'Comext mensuel - EUROSTAT'!BJ111,'Comext mensuel - EUROSTAT'!BL111,'Comext mensuel - EUROSTAT'!BN111,'Comext mensuel - EUROSTAT'!BP111,'Comext mensuel - EUROSTAT'!BR111,'Comext mensuel - EUROSTAT'!BT111,'Comext mensuel - EUROSTAT'!BV111)/10^4</f>
        <v>5.0000000000000004E-6</v>
      </c>
    </row>
    <row r="103" spans="1:16">
      <c r="A103" t="s">
        <v>970</v>
      </c>
      <c r="B103" t="s">
        <v>968</v>
      </c>
      <c r="C103" s="693"/>
      <c r="D103" t="str">
        <f>'Comext annuel - EUROSTAT'!B112</f>
        <v>Agglomérés sous forme de pellets, de froment {blé}</v>
      </c>
      <c r="E103" s="86">
        <f>'Comext annuel - EUROSTAT'!C112/10^4</f>
        <v>2.2352259999999999</v>
      </c>
      <c r="F103" s="86">
        <f>'Comext annuel - EUROSTAT'!D112/10^4</f>
        <v>9.4999999999999992E-5</v>
      </c>
      <c r="G103" s="86">
        <f>'Comext annuel - EUROSTAT'!E112/10^4</f>
        <v>3.4930449999999995</v>
      </c>
      <c r="H103" s="86">
        <f>'Comext annuel - EUROSTAT'!F112/10^4</f>
        <v>0.93678799999999995</v>
      </c>
      <c r="I103" s="86">
        <f>'Comext annuel - EUROSTAT'!G112/10^4</f>
        <v>1.264437</v>
      </c>
      <c r="J103" s="86">
        <f>'Comext annuel - EUROSTAT'!H112/10^4</f>
        <v>4.7143879999999996</v>
      </c>
      <c r="K103" s="86">
        <f>SUM('Comext mensuel - EUROSTAT'!C112,'Comext mensuel - EUROSTAT'!E112,'Comext mensuel - EUROSTAT'!G112,'Comext mensuel - EUROSTAT'!I112,'Comext mensuel - EUROSTAT'!K112,'Comext mensuel - EUROSTAT'!M112,'Comext mensuel - EUROSTAT'!O112,'Comext mensuel - EUROSTAT'!Q112,'Comext mensuel - EUROSTAT'!S112,'Comext mensuel - EUROSTAT'!U112,'Comext mensuel - EUROSTAT'!W112,'Comext mensuel - EUROSTAT'!Y112)/10^4</f>
        <v>2.0330529999999998</v>
      </c>
      <c r="L103" s="86">
        <f>SUM('Comext mensuel - EUROSTAT'!D112,'Comext mensuel - EUROSTAT'!F112,'Comext mensuel - EUROSTAT'!H112,'Comext mensuel - EUROSTAT'!J112,'Comext mensuel - EUROSTAT'!L112,'Comext mensuel - EUROSTAT'!N112,'Comext mensuel - EUROSTAT'!P112,'Comext mensuel - EUROSTAT'!R112,'Comext mensuel - EUROSTAT'!T112,'Comext mensuel - EUROSTAT'!V112,'Comext mensuel - EUROSTAT'!X112,'Comext mensuel - EUROSTAT'!Z112)/10^4</f>
        <v>2.5900000000000001E-4</v>
      </c>
      <c r="M103" s="86">
        <f>SUM('Comext mensuel - EUROSTAT'!AA112,'Comext mensuel - EUROSTAT'!AC112,'Comext mensuel - EUROSTAT'!AE112,'Comext mensuel - EUROSTAT'!AG112,'Comext mensuel - EUROSTAT'!AI112,'Comext mensuel - EUROSTAT'!AK112,'Comext mensuel - EUROSTAT'!AM112,'Comext mensuel - EUROSTAT'!AO112,'Comext mensuel - EUROSTAT'!AQ112,'Comext mensuel - EUROSTAT'!AS112,'Comext mensuel - EUROSTAT'!AU112,'Comext mensuel - EUROSTAT'!AW112)/10^4</f>
        <v>2.3019840000000005</v>
      </c>
      <c r="N103" s="86">
        <f>SUM('Comext mensuel - EUROSTAT'!AB112,'Comext mensuel - EUROSTAT'!AD112,'Comext mensuel - EUROSTAT'!AF112,'Comext mensuel - EUROSTAT'!AH112,'Comext mensuel - EUROSTAT'!AJ112,'Comext mensuel - EUROSTAT'!AL112,'Comext mensuel - EUROSTAT'!AN112,'Comext mensuel - EUROSTAT'!AP112,'Comext mensuel - EUROSTAT'!AR112,'Comext mensuel - EUROSTAT'!AT112,'Comext mensuel - EUROSTAT'!AV112,'Comext mensuel - EUROSTAT'!AX112)/10^4</f>
        <v>0.83988800000000008</v>
      </c>
      <c r="O103" s="86">
        <f>SUM('Comext mensuel - EUROSTAT'!AY112,'Comext mensuel - EUROSTAT'!BA112,'Comext mensuel - EUROSTAT'!BC112,'Comext mensuel - EUROSTAT'!BE112,'Comext mensuel - EUROSTAT'!BG112,'Comext mensuel - EUROSTAT'!BI112,'Comext mensuel - EUROSTAT'!BK112,'Comext mensuel - EUROSTAT'!BM112,'Comext mensuel - EUROSTAT'!BO112,'Comext mensuel - EUROSTAT'!BQ112,'Comext mensuel - EUROSTAT'!BS112,'Comext mensuel - EUROSTAT'!BU112)/10^4</f>
        <v>0.77791299999999997</v>
      </c>
      <c r="P103" s="86">
        <f>SUM('Comext mensuel - EUROSTAT'!AZ112,'Comext mensuel - EUROSTAT'!BB112,'Comext mensuel - EUROSTAT'!BD112,'Comext mensuel - EUROSTAT'!BF112,'Comext mensuel - EUROSTAT'!BH112,'Comext mensuel - EUROSTAT'!BJ112,'Comext mensuel - EUROSTAT'!BL112,'Comext mensuel - EUROSTAT'!BN112,'Comext mensuel - EUROSTAT'!BP112,'Comext mensuel - EUROSTAT'!BR112,'Comext mensuel - EUROSTAT'!BT112,'Comext mensuel - EUROSTAT'!BV112)/10^4</f>
        <v>3.8580269999999999</v>
      </c>
    </row>
    <row r="104" spans="1:16">
      <c r="B104" t="s">
        <v>968</v>
      </c>
      <c r="C104" s="693"/>
      <c r="D104" t="str">
        <f>'Comext annuel - EUROSTAT'!B113</f>
        <v>Agglomérés sous forme de pellets, de céréales (à l'excl. des pellets de seigle, d'orge, d'avoine, de maïs, de riz et de froment {blé})</v>
      </c>
      <c r="E104" s="86">
        <f>'Comext annuel - EUROSTAT'!C113/10^4</f>
        <v>2.3990360000000002</v>
      </c>
      <c r="F104" s="86">
        <f>'Comext annuel - EUROSTAT'!D113/10^4</f>
        <v>14.146216000000001</v>
      </c>
      <c r="G104" s="86">
        <f>'Comext annuel - EUROSTAT'!E113/10^4</f>
        <v>1.624787</v>
      </c>
      <c r="H104" s="86">
        <f>'Comext annuel - EUROSTAT'!F113/10^4</f>
        <v>3.7675269999999998</v>
      </c>
      <c r="I104" s="86">
        <f>'Comext annuel - EUROSTAT'!G113/10^4</f>
        <v>2.0181270000000002</v>
      </c>
      <c r="J104" s="86">
        <f>'Comext annuel - EUROSTAT'!H113/10^4</f>
        <v>0.153276</v>
      </c>
      <c r="K104" s="86">
        <f>SUM('Comext mensuel - EUROSTAT'!C113,'Comext mensuel - EUROSTAT'!E113,'Comext mensuel - EUROSTAT'!G113,'Comext mensuel - EUROSTAT'!I113,'Comext mensuel - EUROSTAT'!K113,'Comext mensuel - EUROSTAT'!M113,'Comext mensuel - EUROSTAT'!O113,'Comext mensuel - EUROSTAT'!Q113,'Comext mensuel - EUROSTAT'!S113,'Comext mensuel - EUROSTAT'!U113,'Comext mensuel - EUROSTAT'!W113,'Comext mensuel - EUROSTAT'!Y113)/10^4</f>
        <v>3.1098119999999998</v>
      </c>
      <c r="L104" s="86">
        <f>SUM('Comext mensuel - EUROSTAT'!D113,'Comext mensuel - EUROSTAT'!F113,'Comext mensuel - EUROSTAT'!H113,'Comext mensuel - EUROSTAT'!J113,'Comext mensuel - EUROSTAT'!L113,'Comext mensuel - EUROSTAT'!N113,'Comext mensuel - EUROSTAT'!P113,'Comext mensuel - EUROSTAT'!R113,'Comext mensuel - EUROSTAT'!T113,'Comext mensuel - EUROSTAT'!V113,'Comext mensuel - EUROSTAT'!X113,'Comext mensuel - EUROSTAT'!Z113)/10^4</f>
        <v>13.208164999999999</v>
      </c>
      <c r="M104" s="86">
        <f>SUM('Comext mensuel - EUROSTAT'!AA113,'Comext mensuel - EUROSTAT'!AC113,'Comext mensuel - EUROSTAT'!AE113,'Comext mensuel - EUROSTAT'!AG113,'Comext mensuel - EUROSTAT'!AI113,'Comext mensuel - EUROSTAT'!AK113,'Comext mensuel - EUROSTAT'!AM113,'Comext mensuel - EUROSTAT'!AO113,'Comext mensuel - EUROSTAT'!AQ113,'Comext mensuel - EUROSTAT'!AS113,'Comext mensuel - EUROSTAT'!AU113,'Comext mensuel - EUROSTAT'!AW113)/10^4</f>
        <v>1.2992779999999999</v>
      </c>
      <c r="N104" s="86">
        <f>SUM('Comext mensuel - EUROSTAT'!AB113,'Comext mensuel - EUROSTAT'!AD113,'Comext mensuel - EUROSTAT'!AF113,'Comext mensuel - EUROSTAT'!AH113,'Comext mensuel - EUROSTAT'!AJ113,'Comext mensuel - EUROSTAT'!AL113,'Comext mensuel - EUROSTAT'!AN113,'Comext mensuel - EUROSTAT'!AP113,'Comext mensuel - EUROSTAT'!AR113,'Comext mensuel - EUROSTAT'!AT113,'Comext mensuel - EUROSTAT'!AV113,'Comext mensuel - EUROSTAT'!AX113)/10^4</f>
        <v>3.5018690000000001</v>
      </c>
      <c r="O104" s="86">
        <f>SUM('Comext mensuel - EUROSTAT'!AY113,'Comext mensuel - EUROSTAT'!BA113,'Comext mensuel - EUROSTAT'!BC113,'Comext mensuel - EUROSTAT'!BE113,'Comext mensuel - EUROSTAT'!BG113,'Comext mensuel - EUROSTAT'!BI113,'Comext mensuel - EUROSTAT'!BK113,'Comext mensuel - EUROSTAT'!BM113,'Comext mensuel - EUROSTAT'!BO113,'Comext mensuel - EUROSTAT'!BQ113,'Comext mensuel - EUROSTAT'!BS113,'Comext mensuel - EUROSTAT'!BU113)/10^4</f>
        <v>2.2492349999999997</v>
      </c>
      <c r="P104" s="86">
        <f>SUM('Comext mensuel - EUROSTAT'!AZ113,'Comext mensuel - EUROSTAT'!BB113,'Comext mensuel - EUROSTAT'!BD113,'Comext mensuel - EUROSTAT'!BF113,'Comext mensuel - EUROSTAT'!BH113,'Comext mensuel - EUROSTAT'!BJ113,'Comext mensuel - EUROSTAT'!BL113,'Comext mensuel - EUROSTAT'!BN113,'Comext mensuel - EUROSTAT'!BP113,'Comext mensuel - EUROSTAT'!BR113,'Comext mensuel - EUROSTAT'!BT113,'Comext mensuel - EUROSTAT'!BV113)/10^4</f>
        <v>0.151312</v>
      </c>
    </row>
    <row r="105" spans="1:16">
      <c r="A105" t="s">
        <v>306</v>
      </c>
      <c r="B105" t="s">
        <v>971</v>
      </c>
      <c r="C105" s="693" t="s">
        <v>974</v>
      </c>
      <c r="D105" t="str">
        <f>'Comext annuel - EUROSTAT'!B114</f>
        <v>Grains d'avoine, aplatis</v>
      </c>
      <c r="E105" s="86">
        <f>'Comext annuel - EUROSTAT'!C114/10^4</f>
        <v>6.6075999999999996E-2</v>
      </c>
      <c r="F105" s="86">
        <f>'Comext annuel - EUROSTAT'!D114/10^4</f>
        <v>4.6E-5</v>
      </c>
      <c r="G105" s="86">
        <f>'Comext annuel - EUROSTAT'!E114/10^4</f>
        <v>8.7834999999999996E-2</v>
      </c>
      <c r="H105" s="86">
        <f>'Comext annuel - EUROSTAT'!F114/10^4</f>
        <v>9.1000000000000003E-5</v>
      </c>
      <c r="I105" s="86">
        <f>'Comext annuel - EUROSTAT'!G114/10^4</f>
        <v>0.38413200000000003</v>
      </c>
      <c r="J105" s="86">
        <f>'Comext annuel - EUROSTAT'!H114/10^4</f>
        <v>1.440725</v>
      </c>
      <c r="K105" s="86">
        <f>SUM('Comext mensuel - EUROSTAT'!C114,'Comext mensuel - EUROSTAT'!E114,'Comext mensuel - EUROSTAT'!G114,'Comext mensuel - EUROSTAT'!I114,'Comext mensuel - EUROSTAT'!K114,'Comext mensuel - EUROSTAT'!M114,'Comext mensuel - EUROSTAT'!O114,'Comext mensuel - EUROSTAT'!Q114,'Comext mensuel - EUROSTAT'!S114,'Comext mensuel - EUROSTAT'!U114,'Comext mensuel - EUROSTAT'!W114,'Comext mensuel - EUROSTAT'!Y114)/10^4</f>
        <v>0.12429900000000001</v>
      </c>
      <c r="L105" s="86">
        <f>SUM('Comext mensuel - EUROSTAT'!D114,'Comext mensuel - EUROSTAT'!F114,'Comext mensuel - EUROSTAT'!H114,'Comext mensuel - EUROSTAT'!J114,'Comext mensuel - EUROSTAT'!L114,'Comext mensuel - EUROSTAT'!N114,'Comext mensuel - EUROSTAT'!P114,'Comext mensuel - EUROSTAT'!R114,'Comext mensuel - EUROSTAT'!T114,'Comext mensuel - EUROSTAT'!V114,'Comext mensuel - EUROSTAT'!X114,'Comext mensuel - EUROSTAT'!Z114)/10^4</f>
        <v>6.5550000000000001E-3</v>
      </c>
      <c r="M105" s="86">
        <f>SUM('Comext mensuel - EUROSTAT'!AA114,'Comext mensuel - EUROSTAT'!AC114,'Comext mensuel - EUROSTAT'!AE114,'Comext mensuel - EUROSTAT'!AG114,'Comext mensuel - EUROSTAT'!AI114,'Comext mensuel - EUROSTAT'!AK114,'Comext mensuel - EUROSTAT'!AM114,'Comext mensuel - EUROSTAT'!AO114,'Comext mensuel - EUROSTAT'!AQ114,'Comext mensuel - EUROSTAT'!AS114,'Comext mensuel - EUROSTAT'!AU114,'Comext mensuel - EUROSTAT'!AW114)/10^4</f>
        <v>0.12511900000000001</v>
      </c>
      <c r="N105" s="86">
        <f>SUM('Comext mensuel - EUROSTAT'!AB114,'Comext mensuel - EUROSTAT'!AD114,'Comext mensuel - EUROSTAT'!AF114,'Comext mensuel - EUROSTAT'!AH114,'Comext mensuel - EUROSTAT'!AJ114,'Comext mensuel - EUROSTAT'!AL114,'Comext mensuel - EUROSTAT'!AN114,'Comext mensuel - EUROSTAT'!AP114,'Comext mensuel - EUROSTAT'!AR114,'Comext mensuel - EUROSTAT'!AT114,'Comext mensuel - EUROSTAT'!AV114,'Comext mensuel - EUROSTAT'!AX114)/10^4</f>
        <v>7.2000000000000002E-5</v>
      </c>
      <c r="O105" s="86">
        <f>SUM('Comext mensuel - EUROSTAT'!AY114,'Comext mensuel - EUROSTAT'!BA114,'Comext mensuel - EUROSTAT'!BC114,'Comext mensuel - EUROSTAT'!BE114,'Comext mensuel - EUROSTAT'!BG114,'Comext mensuel - EUROSTAT'!BI114,'Comext mensuel - EUROSTAT'!BK114,'Comext mensuel - EUROSTAT'!BM114,'Comext mensuel - EUROSTAT'!BO114,'Comext mensuel - EUROSTAT'!BQ114,'Comext mensuel - EUROSTAT'!BS114,'Comext mensuel - EUROSTAT'!BU114)/10^4</f>
        <v>0.58774999999999999</v>
      </c>
      <c r="P105" s="86">
        <f>SUM('Comext mensuel - EUROSTAT'!AZ114,'Comext mensuel - EUROSTAT'!BB114,'Comext mensuel - EUROSTAT'!BD114,'Comext mensuel - EUROSTAT'!BF114,'Comext mensuel - EUROSTAT'!BH114,'Comext mensuel - EUROSTAT'!BJ114,'Comext mensuel - EUROSTAT'!BL114,'Comext mensuel - EUROSTAT'!BN114,'Comext mensuel - EUROSTAT'!BP114,'Comext mensuel - EUROSTAT'!BR114,'Comext mensuel - EUROSTAT'!BT114,'Comext mensuel - EUROSTAT'!BV114)/10^4</f>
        <v>3.1151929999999997</v>
      </c>
    </row>
    <row r="106" spans="1:16">
      <c r="A106" t="s">
        <v>306</v>
      </c>
      <c r="B106" t="s">
        <v>971</v>
      </c>
      <c r="C106" s="693"/>
      <c r="D106" t="str">
        <f>'Comext annuel - EUROSTAT'!B115</f>
        <v>Flocons d'avoine</v>
      </c>
      <c r="E106" s="86">
        <f>'Comext annuel - EUROSTAT'!C115/10^4</f>
        <v>23.243863000000001</v>
      </c>
      <c r="F106" s="86">
        <f>'Comext annuel - EUROSTAT'!D115/10^4</f>
        <v>1.019296</v>
      </c>
      <c r="G106" s="86">
        <f>'Comext annuel - EUROSTAT'!E115/10^4</f>
        <v>27.684271000000003</v>
      </c>
      <c r="H106" s="86">
        <f>'Comext annuel - EUROSTAT'!F115/10^4</f>
        <v>2.110109</v>
      </c>
      <c r="I106" s="86">
        <f>'Comext annuel - EUROSTAT'!G115/10^4</f>
        <v>34.226967000000002</v>
      </c>
      <c r="J106" s="86">
        <f>'Comext annuel - EUROSTAT'!H115/10^4</f>
        <v>3.1880700000000002</v>
      </c>
      <c r="K106" s="86">
        <f>SUM('Comext mensuel - EUROSTAT'!C115,'Comext mensuel - EUROSTAT'!E115,'Comext mensuel - EUROSTAT'!G115,'Comext mensuel - EUROSTAT'!I115,'Comext mensuel - EUROSTAT'!K115,'Comext mensuel - EUROSTAT'!M115,'Comext mensuel - EUROSTAT'!O115,'Comext mensuel - EUROSTAT'!Q115,'Comext mensuel - EUROSTAT'!S115,'Comext mensuel - EUROSTAT'!U115,'Comext mensuel - EUROSTAT'!W115,'Comext mensuel - EUROSTAT'!Y115)/10^4</f>
        <v>24.380458999999998</v>
      </c>
      <c r="L106" s="86">
        <f>SUM('Comext mensuel - EUROSTAT'!D115,'Comext mensuel - EUROSTAT'!F115,'Comext mensuel - EUROSTAT'!H115,'Comext mensuel - EUROSTAT'!J115,'Comext mensuel - EUROSTAT'!L115,'Comext mensuel - EUROSTAT'!N115,'Comext mensuel - EUROSTAT'!P115,'Comext mensuel - EUROSTAT'!R115,'Comext mensuel - EUROSTAT'!T115,'Comext mensuel - EUROSTAT'!V115,'Comext mensuel - EUROSTAT'!X115,'Comext mensuel - EUROSTAT'!Z115)/10^4</f>
        <v>1.2986710000000001</v>
      </c>
      <c r="M106" s="86">
        <f>SUM('Comext mensuel - EUROSTAT'!AA115,'Comext mensuel - EUROSTAT'!AC115,'Comext mensuel - EUROSTAT'!AE115,'Comext mensuel - EUROSTAT'!AG115,'Comext mensuel - EUROSTAT'!AI115,'Comext mensuel - EUROSTAT'!AK115,'Comext mensuel - EUROSTAT'!AM115,'Comext mensuel - EUROSTAT'!AO115,'Comext mensuel - EUROSTAT'!AQ115,'Comext mensuel - EUROSTAT'!AS115,'Comext mensuel - EUROSTAT'!AU115,'Comext mensuel - EUROSTAT'!AW115)/10^4</f>
        <v>29.843476000000003</v>
      </c>
      <c r="N106" s="86">
        <f>SUM('Comext mensuel - EUROSTAT'!AB115,'Comext mensuel - EUROSTAT'!AD115,'Comext mensuel - EUROSTAT'!AF115,'Comext mensuel - EUROSTAT'!AH115,'Comext mensuel - EUROSTAT'!AJ115,'Comext mensuel - EUROSTAT'!AL115,'Comext mensuel - EUROSTAT'!AN115,'Comext mensuel - EUROSTAT'!AP115,'Comext mensuel - EUROSTAT'!AR115,'Comext mensuel - EUROSTAT'!AT115,'Comext mensuel - EUROSTAT'!AV115,'Comext mensuel - EUROSTAT'!AX115)/10^4</f>
        <v>3.1261490000000007</v>
      </c>
      <c r="O106" s="86">
        <f>SUM('Comext mensuel - EUROSTAT'!AY115,'Comext mensuel - EUROSTAT'!BA115,'Comext mensuel - EUROSTAT'!BC115,'Comext mensuel - EUROSTAT'!BE115,'Comext mensuel - EUROSTAT'!BG115,'Comext mensuel - EUROSTAT'!BI115,'Comext mensuel - EUROSTAT'!BK115,'Comext mensuel - EUROSTAT'!BM115,'Comext mensuel - EUROSTAT'!BO115,'Comext mensuel - EUROSTAT'!BQ115,'Comext mensuel - EUROSTAT'!BS115,'Comext mensuel - EUROSTAT'!BU115)/10^4</f>
        <v>34.432966</v>
      </c>
      <c r="P106" s="86">
        <f>SUM('Comext mensuel - EUROSTAT'!AZ115,'Comext mensuel - EUROSTAT'!BB115,'Comext mensuel - EUROSTAT'!BD115,'Comext mensuel - EUROSTAT'!BF115,'Comext mensuel - EUROSTAT'!BH115,'Comext mensuel - EUROSTAT'!BJ115,'Comext mensuel - EUROSTAT'!BL115,'Comext mensuel - EUROSTAT'!BN115,'Comext mensuel - EUROSTAT'!BP115,'Comext mensuel - EUROSTAT'!BR115,'Comext mensuel - EUROSTAT'!BT115,'Comext mensuel - EUROSTAT'!BV115)/10^4</f>
        <v>3.8022480000000005</v>
      </c>
    </row>
    <row r="107" spans="1:16">
      <c r="A107" t="s">
        <v>970</v>
      </c>
      <c r="B107" t="s">
        <v>971</v>
      </c>
      <c r="C107" s="693"/>
      <c r="D107" t="str">
        <f>'Comext annuel - EUROSTAT'!B116</f>
        <v>Grains de froment {blé}, aplatis ou en flocons</v>
      </c>
      <c r="E107" s="86">
        <f>'Comext annuel - EUROSTAT'!C116/10^4</f>
        <v>4.2983799999999999</v>
      </c>
      <c r="F107" s="86">
        <f>'Comext annuel - EUROSTAT'!D116/10^4</f>
        <v>0.16708100000000001</v>
      </c>
      <c r="G107" s="86">
        <f>'Comext annuel - EUROSTAT'!E116/10^4</f>
        <v>5.3911940000000005</v>
      </c>
      <c r="H107" s="86">
        <f>'Comext annuel - EUROSTAT'!F116/10^4</f>
        <v>8.9282E-2</v>
      </c>
      <c r="I107" s="86">
        <f>'Comext annuel - EUROSTAT'!G116/10^4</f>
        <v>8.1272970000000004</v>
      </c>
      <c r="J107" s="86">
        <f>'Comext annuel - EUROSTAT'!H116/10^4</f>
        <v>0.19683100000000001</v>
      </c>
      <c r="K107" s="86">
        <f>SUM('Comext mensuel - EUROSTAT'!C116,'Comext mensuel - EUROSTAT'!E116,'Comext mensuel - EUROSTAT'!G116,'Comext mensuel - EUROSTAT'!I116,'Comext mensuel - EUROSTAT'!K116,'Comext mensuel - EUROSTAT'!M116,'Comext mensuel - EUROSTAT'!O116,'Comext mensuel - EUROSTAT'!Q116,'Comext mensuel - EUROSTAT'!S116,'Comext mensuel - EUROSTAT'!U116,'Comext mensuel - EUROSTAT'!W116,'Comext mensuel - EUROSTAT'!Y116)/10^4</f>
        <v>4.7439910000000003</v>
      </c>
      <c r="L107" s="86">
        <f>SUM('Comext mensuel - EUROSTAT'!D116,'Comext mensuel - EUROSTAT'!F116,'Comext mensuel - EUROSTAT'!H116,'Comext mensuel - EUROSTAT'!J116,'Comext mensuel - EUROSTAT'!L116,'Comext mensuel - EUROSTAT'!N116,'Comext mensuel - EUROSTAT'!P116,'Comext mensuel - EUROSTAT'!R116,'Comext mensuel - EUROSTAT'!T116,'Comext mensuel - EUROSTAT'!V116,'Comext mensuel - EUROSTAT'!X116,'Comext mensuel - EUROSTAT'!Z116)/10^4</f>
        <v>0.18981400000000001</v>
      </c>
      <c r="M107" s="86">
        <f>SUM('Comext mensuel - EUROSTAT'!AA116,'Comext mensuel - EUROSTAT'!AC116,'Comext mensuel - EUROSTAT'!AE116,'Comext mensuel - EUROSTAT'!AG116,'Comext mensuel - EUROSTAT'!AI116,'Comext mensuel - EUROSTAT'!AK116,'Comext mensuel - EUROSTAT'!AM116,'Comext mensuel - EUROSTAT'!AO116,'Comext mensuel - EUROSTAT'!AQ116,'Comext mensuel - EUROSTAT'!AS116,'Comext mensuel - EUROSTAT'!AU116,'Comext mensuel - EUROSTAT'!AW116)/10^4</f>
        <v>5.7416319999999992</v>
      </c>
      <c r="N107" s="86">
        <f>SUM('Comext mensuel - EUROSTAT'!AB116,'Comext mensuel - EUROSTAT'!AD116,'Comext mensuel - EUROSTAT'!AF116,'Comext mensuel - EUROSTAT'!AH116,'Comext mensuel - EUROSTAT'!AJ116,'Comext mensuel - EUROSTAT'!AL116,'Comext mensuel - EUROSTAT'!AN116,'Comext mensuel - EUROSTAT'!AP116,'Comext mensuel - EUROSTAT'!AR116,'Comext mensuel - EUROSTAT'!AT116,'Comext mensuel - EUROSTAT'!AV116,'Comext mensuel - EUROSTAT'!AX116)/10^4</f>
        <v>9.0648000000000006E-2</v>
      </c>
      <c r="O107" s="86">
        <f>SUM('Comext mensuel - EUROSTAT'!AY116,'Comext mensuel - EUROSTAT'!BA116,'Comext mensuel - EUROSTAT'!BC116,'Comext mensuel - EUROSTAT'!BE116,'Comext mensuel - EUROSTAT'!BG116,'Comext mensuel - EUROSTAT'!BI116,'Comext mensuel - EUROSTAT'!BK116,'Comext mensuel - EUROSTAT'!BM116,'Comext mensuel - EUROSTAT'!BO116,'Comext mensuel - EUROSTAT'!BQ116,'Comext mensuel - EUROSTAT'!BS116,'Comext mensuel - EUROSTAT'!BU116)/10^4</f>
        <v>6.8923100000000002</v>
      </c>
      <c r="P107" s="86">
        <f>SUM('Comext mensuel - EUROSTAT'!AZ116,'Comext mensuel - EUROSTAT'!BB116,'Comext mensuel - EUROSTAT'!BD116,'Comext mensuel - EUROSTAT'!BF116,'Comext mensuel - EUROSTAT'!BH116,'Comext mensuel - EUROSTAT'!BJ116,'Comext mensuel - EUROSTAT'!BL116,'Comext mensuel - EUROSTAT'!BN116,'Comext mensuel - EUROSTAT'!BP116,'Comext mensuel - EUROSTAT'!BR116,'Comext mensuel - EUROSTAT'!BT116,'Comext mensuel - EUROSTAT'!BV116)/10^4</f>
        <v>0.16566100000000003</v>
      </c>
    </row>
    <row r="108" spans="1:16">
      <c r="A108" t="s">
        <v>310</v>
      </c>
      <c r="B108" t="s">
        <v>971</v>
      </c>
      <c r="C108" s="693"/>
      <c r="D108" t="str">
        <f>'Comext annuel - EUROSTAT'!B117</f>
        <v>Grains de seigle, aplatis ou en flocons</v>
      </c>
      <c r="E108" s="86">
        <f>'Comext annuel - EUROSTAT'!C117/10^4</f>
        <v>0.36904300000000001</v>
      </c>
      <c r="F108" s="86">
        <f>'Comext annuel - EUROSTAT'!D117/10^4</f>
        <v>0.102149</v>
      </c>
      <c r="G108" s="86">
        <f>'Comext annuel - EUROSTAT'!E117/10^4</f>
        <v>0.45312299999999994</v>
      </c>
      <c r="H108" s="86">
        <f>'Comext annuel - EUROSTAT'!F117/10^4</f>
        <v>4.7701E-2</v>
      </c>
      <c r="I108" s="86">
        <f>'Comext annuel - EUROSTAT'!G117/10^4</f>
        <v>0.328351</v>
      </c>
      <c r="J108" s="86">
        <f>'Comext annuel - EUROSTAT'!H117/10^4</f>
        <v>0.21734999999999999</v>
      </c>
      <c r="K108" s="86">
        <f>SUM('Comext mensuel - EUROSTAT'!C117,'Comext mensuel - EUROSTAT'!E117,'Comext mensuel - EUROSTAT'!G117,'Comext mensuel - EUROSTAT'!I117,'Comext mensuel - EUROSTAT'!K117,'Comext mensuel - EUROSTAT'!M117,'Comext mensuel - EUROSTAT'!O117,'Comext mensuel - EUROSTAT'!Q117,'Comext mensuel - EUROSTAT'!S117,'Comext mensuel - EUROSTAT'!U117,'Comext mensuel - EUROSTAT'!W117,'Comext mensuel - EUROSTAT'!Y117)/10^4</f>
        <v>0.25332200000000005</v>
      </c>
      <c r="L108" s="86">
        <f>SUM('Comext mensuel - EUROSTAT'!D117,'Comext mensuel - EUROSTAT'!F117,'Comext mensuel - EUROSTAT'!H117,'Comext mensuel - EUROSTAT'!J117,'Comext mensuel - EUROSTAT'!L117,'Comext mensuel - EUROSTAT'!N117,'Comext mensuel - EUROSTAT'!P117,'Comext mensuel - EUROSTAT'!R117,'Comext mensuel - EUROSTAT'!T117,'Comext mensuel - EUROSTAT'!V117,'Comext mensuel - EUROSTAT'!X117,'Comext mensuel - EUROSTAT'!Z117)/10^4</f>
        <v>0.11438499999999999</v>
      </c>
      <c r="M108" s="86">
        <f>SUM('Comext mensuel - EUROSTAT'!AA117,'Comext mensuel - EUROSTAT'!AC117,'Comext mensuel - EUROSTAT'!AE117,'Comext mensuel - EUROSTAT'!AG117,'Comext mensuel - EUROSTAT'!AI117,'Comext mensuel - EUROSTAT'!AK117,'Comext mensuel - EUROSTAT'!AM117,'Comext mensuel - EUROSTAT'!AO117,'Comext mensuel - EUROSTAT'!AQ117,'Comext mensuel - EUROSTAT'!AS117,'Comext mensuel - EUROSTAT'!AU117,'Comext mensuel - EUROSTAT'!AW117)/10^4</f>
        <v>0.45823000000000003</v>
      </c>
      <c r="N108" s="86">
        <f>SUM('Comext mensuel - EUROSTAT'!AB117,'Comext mensuel - EUROSTAT'!AD117,'Comext mensuel - EUROSTAT'!AF117,'Comext mensuel - EUROSTAT'!AH117,'Comext mensuel - EUROSTAT'!AJ117,'Comext mensuel - EUROSTAT'!AL117,'Comext mensuel - EUROSTAT'!AN117,'Comext mensuel - EUROSTAT'!AP117,'Comext mensuel - EUROSTAT'!AR117,'Comext mensuel - EUROSTAT'!AT117,'Comext mensuel - EUROSTAT'!AV117,'Comext mensuel - EUROSTAT'!AX117)/10^4</f>
        <v>5.4654999999999995E-2</v>
      </c>
      <c r="O108" s="86">
        <f>SUM('Comext mensuel - EUROSTAT'!AY117,'Comext mensuel - EUROSTAT'!BA117,'Comext mensuel - EUROSTAT'!BC117,'Comext mensuel - EUROSTAT'!BE117,'Comext mensuel - EUROSTAT'!BG117,'Comext mensuel - EUROSTAT'!BI117,'Comext mensuel - EUROSTAT'!BK117,'Comext mensuel - EUROSTAT'!BM117,'Comext mensuel - EUROSTAT'!BO117,'Comext mensuel - EUROSTAT'!BQ117,'Comext mensuel - EUROSTAT'!BS117,'Comext mensuel - EUROSTAT'!BU117)/10^4</f>
        <v>0.379415</v>
      </c>
      <c r="P108" s="86">
        <f>SUM('Comext mensuel - EUROSTAT'!AZ117,'Comext mensuel - EUROSTAT'!BB117,'Comext mensuel - EUROSTAT'!BD117,'Comext mensuel - EUROSTAT'!BF117,'Comext mensuel - EUROSTAT'!BH117,'Comext mensuel - EUROSTAT'!BJ117,'Comext mensuel - EUROSTAT'!BL117,'Comext mensuel - EUROSTAT'!BN117,'Comext mensuel - EUROSTAT'!BP117,'Comext mensuel - EUROSTAT'!BR117,'Comext mensuel - EUROSTAT'!BT117,'Comext mensuel - EUROSTAT'!BV117)/10^4</f>
        <v>0.241817</v>
      </c>
    </row>
    <row r="109" spans="1:16">
      <c r="A109" t="s">
        <v>307</v>
      </c>
      <c r="B109" t="s">
        <v>971</v>
      </c>
      <c r="C109" s="693"/>
      <c r="D109" t="str">
        <f>'Comext annuel - EUROSTAT'!B118</f>
        <v>Grains de maïs, aplatis ou en flocons</v>
      </c>
      <c r="E109" s="86">
        <f>'Comext annuel - EUROSTAT'!C118/10^4</f>
        <v>1.9922330000000001</v>
      </c>
      <c r="F109" s="86">
        <f>'Comext annuel - EUROSTAT'!D118/10^4</f>
        <v>8.1048999999999996E-2</v>
      </c>
      <c r="G109" s="86">
        <f>'Comext annuel - EUROSTAT'!E118/10^4</f>
        <v>3.3959679999999999</v>
      </c>
      <c r="H109" s="86">
        <f>'Comext annuel - EUROSTAT'!F118/10^4</f>
        <v>0.177094</v>
      </c>
      <c r="I109" s="86">
        <f>'Comext annuel - EUROSTAT'!G118/10^4</f>
        <v>7.0725809999999996</v>
      </c>
      <c r="J109" s="86">
        <f>'Comext annuel - EUROSTAT'!H118/10^4</f>
        <v>1.0017E-2</v>
      </c>
      <c r="K109" s="86">
        <f>SUM('Comext mensuel - EUROSTAT'!C118,'Comext mensuel - EUROSTAT'!E118,'Comext mensuel - EUROSTAT'!G118,'Comext mensuel - EUROSTAT'!I118,'Comext mensuel - EUROSTAT'!K118,'Comext mensuel - EUROSTAT'!M118,'Comext mensuel - EUROSTAT'!O118,'Comext mensuel - EUROSTAT'!Q118,'Comext mensuel - EUROSTAT'!S118,'Comext mensuel - EUROSTAT'!U118,'Comext mensuel - EUROSTAT'!W118,'Comext mensuel - EUROSTAT'!Y118)/10^4</f>
        <v>2.3562629999999998</v>
      </c>
      <c r="L109" s="86">
        <f>SUM('Comext mensuel - EUROSTAT'!D118,'Comext mensuel - EUROSTAT'!F118,'Comext mensuel - EUROSTAT'!H118,'Comext mensuel - EUROSTAT'!J118,'Comext mensuel - EUROSTAT'!L118,'Comext mensuel - EUROSTAT'!N118,'Comext mensuel - EUROSTAT'!P118,'Comext mensuel - EUROSTAT'!R118,'Comext mensuel - EUROSTAT'!T118,'Comext mensuel - EUROSTAT'!V118,'Comext mensuel - EUROSTAT'!X118,'Comext mensuel - EUROSTAT'!Z118)/10^4</f>
        <v>8.4541999999999992E-2</v>
      </c>
      <c r="M109" s="86">
        <f>SUM('Comext mensuel - EUROSTAT'!AA118,'Comext mensuel - EUROSTAT'!AC118,'Comext mensuel - EUROSTAT'!AE118,'Comext mensuel - EUROSTAT'!AG118,'Comext mensuel - EUROSTAT'!AI118,'Comext mensuel - EUROSTAT'!AK118,'Comext mensuel - EUROSTAT'!AM118,'Comext mensuel - EUROSTAT'!AO118,'Comext mensuel - EUROSTAT'!AQ118,'Comext mensuel - EUROSTAT'!AS118,'Comext mensuel - EUROSTAT'!AU118,'Comext mensuel - EUROSTAT'!AW118)/10^4</f>
        <v>3.5210800000000004</v>
      </c>
      <c r="N109" s="86">
        <f>SUM('Comext mensuel - EUROSTAT'!AB118,'Comext mensuel - EUROSTAT'!AD118,'Comext mensuel - EUROSTAT'!AF118,'Comext mensuel - EUROSTAT'!AH118,'Comext mensuel - EUROSTAT'!AJ118,'Comext mensuel - EUROSTAT'!AL118,'Comext mensuel - EUROSTAT'!AN118,'Comext mensuel - EUROSTAT'!AP118,'Comext mensuel - EUROSTAT'!AR118,'Comext mensuel - EUROSTAT'!AT118,'Comext mensuel - EUROSTAT'!AV118,'Comext mensuel - EUROSTAT'!AX118)/10^4</f>
        <v>0.18847199999999997</v>
      </c>
      <c r="O109" s="86">
        <f>SUM('Comext mensuel - EUROSTAT'!AY118,'Comext mensuel - EUROSTAT'!BA118,'Comext mensuel - EUROSTAT'!BC118,'Comext mensuel - EUROSTAT'!BE118,'Comext mensuel - EUROSTAT'!BG118,'Comext mensuel - EUROSTAT'!BI118,'Comext mensuel - EUROSTAT'!BK118,'Comext mensuel - EUROSTAT'!BM118,'Comext mensuel - EUROSTAT'!BO118,'Comext mensuel - EUROSTAT'!BQ118,'Comext mensuel - EUROSTAT'!BS118,'Comext mensuel - EUROSTAT'!BU118)/10^4</f>
        <v>7.2043479999999995</v>
      </c>
      <c r="P109" s="86">
        <f>SUM('Comext mensuel - EUROSTAT'!AZ118,'Comext mensuel - EUROSTAT'!BB118,'Comext mensuel - EUROSTAT'!BD118,'Comext mensuel - EUROSTAT'!BF118,'Comext mensuel - EUROSTAT'!BH118,'Comext mensuel - EUROSTAT'!BJ118,'Comext mensuel - EUROSTAT'!BL118,'Comext mensuel - EUROSTAT'!BN118,'Comext mensuel - EUROSTAT'!BP118,'Comext mensuel - EUROSTAT'!BR118,'Comext mensuel - EUROSTAT'!BT118,'Comext mensuel - EUROSTAT'!BV118)/10^4</f>
        <v>2.6262999999999998E-2</v>
      </c>
    </row>
    <row r="110" spans="1:16">
      <c r="A110" t="s">
        <v>173</v>
      </c>
      <c r="B110" t="s">
        <v>971</v>
      </c>
      <c r="C110" s="693"/>
      <c r="D110" t="str">
        <f>'Comext annuel - EUROSTAT'!B119</f>
        <v>Grains d'orge, aplatis</v>
      </c>
      <c r="E110" s="86">
        <f>'Comext annuel - EUROSTAT'!C119/10^4</f>
        <v>0.15104800000000002</v>
      </c>
      <c r="F110" s="86">
        <f>'Comext annuel - EUROSTAT'!D119/10^4</f>
        <v>8.0217999999999998E-2</v>
      </c>
      <c r="G110" s="86">
        <f>'Comext annuel - EUROSTAT'!E119/10^4</f>
        <v>0.397231</v>
      </c>
      <c r="H110" s="86">
        <f>'Comext annuel - EUROSTAT'!F119/10^4</f>
        <v>9.5650000000000006E-3</v>
      </c>
      <c r="I110" s="86">
        <f>'Comext annuel - EUROSTAT'!G119/10^4</f>
        <v>0.87726800000000005</v>
      </c>
      <c r="J110" s="86">
        <f>'Comext annuel - EUROSTAT'!H119/10^4</f>
        <v>3.6340000000000005E-3</v>
      </c>
      <c r="K110" s="86">
        <f>SUM('Comext mensuel - EUROSTAT'!C119,'Comext mensuel - EUROSTAT'!E119,'Comext mensuel - EUROSTAT'!G119,'Comext mensuel - EUROSTAT'!I119,'Comext mensuel - EUROSTAT'!K119,'Comext mensuel - EUROSTAT'!M119,'Comext mensuel - EUROSTAT'!O119,'Comext mensuel - EUROSTAT'!Q119,'Comext mensuel - EUROSTAT'!S119,'Comext mensuel - EUROSTAT'!U119,'Comext mensuel - EUROSTAT'!W119,'Comext mensuel - EUROSTAT'!Y119)/10^4</f>
        <v>0.15415000000000001</v>
      </c>
      <c r="L110" s="86">
        <f>SUM('Comext mensuel - EUROSTAT'!D119,'Comext mensuel - EUROSTAT'!F119,'Comext mensuel - EUROSTAT'!H119,'Comext mensuel - EUROSTAT'!J119,'Comext mensuel - EUROSTAT'!L119,'Comext mensuel - EUROSTAT'!N119,'Comext mensuel - EUROSTAT'!P119,'Comext mensuel - EUROSTAT'!R119,'Comext mensuel - EUROSTAT'!T119,'Comext mensuel - EUROSTAT'!V119,'Comext mensuel - EUROSTAT'!X119,'Comext mensuel - EUROSTAT'!Z119)/10^4</f>
        <v>1.8E-5</v>
      </c>
      <c r="M110" s="86">
        <f>SUM('Comext mensuel - EUROSTAT'!AA119,'Comext mensuel - EUROSTAT'!AC119,'Comext mensuel - EUROSTAT'!AE119,'Comext mensuel - EUROSTAT'!AG119,'Comext mensuel - EUROSTAT'!AI119,'Comext mensuel - EUROSTAT'!AK119,'Comext mensuel - EUROSTAT'!AM119,'Comext mensuel - EUROSTAT'!AO119,'Comext mensuel - EUROSTAT'!AQ119,'Comext mensuel - EUROSTAT'!AS119,'Comext mensuel - EUROSTAT'!AU119,'Comext mensuel - EUROSTAT'!AW119)/10^4</f>
        <v>0.30969200000000008</v>
      </c>
      <c r="N110" s="86">
        <f>SUM('Comext mensuel - EUROSTAT'!AB119,'Comext mensuel - EUROSTAT'!AD119,'Comext mensuel - EUROSTAT'!AF119,'Comext mensuel - EUROSTAT'!AH119,'Comext mensuel - EUROSTAT'!AJ119,'Comext mensuel - EUROSTAT'!AL119,'Comext mensuel - EUROSTAT'!AN119,'Comext mensuel - EUROSTAT'!AP119,'Comext mensuel - EUROSTAT'!AR119,'Comext mensuel - EUROSTAT'!AT119,'Comext mensuel - EUROSTAT'!AV119,'Comext mensuel - EUROSTAT'!AX119)/10^4</f>
        <v>1.2445999999999999E-2</v>
      </c>
      <c r="O110" s="86">
        <f>SUM('Comext mensuel - EUROSTAT'!AY119,'Comext mensuel - EUROSTAT'!BA119,'Comext mensuel - EUROSTAT'!BC119,'Comext mensuel - EUROSTAT'!BE119,'Comext mensuel - EUROSTAT'!BG119,'Comext mensuel - EUROSTAT'!BI119,'Comext mensuel - EUROSTAT'!BK119,'Comext mensuel - EUROSTAT'!BM119,'Comext mensuel - EUROSTAT'!BO119,'Comext mensuel - EUROSTAT'!BQ119,'Comext mensuel - EUROSTAT'!BS119,'Comext mensuel - EUROSTAT'!BU119)/10^4</f>
        <v>1.3273529999999998</v>
      </c>
      <c r="P110" s="86">
        <f>SUM('Comext mensuel - EUROSTAT'!AZ119,'Comext mensuel - EUROSTAT'!BB119,'Comext mensuel - EUROSTAT'!BD119,'Comext mensuel - EUROSTAT'!BF119,'Comext mensuel - EUROSTAT'!BH119,'Comext mensuel - EUROSTAT'!BJ119,'Comext mensuel - EUROSTAT'!BL119,'Comext mensuel - EUROSTAT'!BN119,'Comext mensuel - EUROSTAT'!BP119,'Comext mensuel - EUROSTAT'!BR119,'Comext mensuel - EUROSTAT'!BT119,'Comext mensuel - EUROSTAT'!BV119)/10^4</f>
        <v>2E-3</v>
      </c>
    </row>
    <row r="111" spans="1:16">
      <c r="A111" t="s">
        <v>173</v>
      </c>
      <c r="B111" t="s">
        <v>971</v>
      </c>
      <c r="C111" s="693"/>
      <c r="D111" t="str">
        <f>'Comext annuel - EUROSTAT'!B120</f>
        <v>Flocons d'orge</v>
      </c>
      <c r="E111" s="86">
        <f>'Comext annuel - EUROSTAT'!C120/10^4</f>
        <v>1.343099</v>
      </c>
      <c r="F111" s="86">
        <f>'Comext annuel - EUROSTAT'!D120/10^4</f>
        <v>2.0977000000000003E-2</v>
      </c>
      <c r="G111" s="86">
        <f>'Comext annuel - EUROSTAT'!E120/10^4</f>
        <v>1.2100059999999999</v>
      </c>
      <c r="H111" s="86">
        <f>'Comext annuel - EUROSTAT'!F120/10^4</f>
        <v>1.1359000000000001E-2</v>
      </c>
      <c r="I111" s="86">
        <f>'Comext annuel - EUROSTAT'!G120/10^4</f>
        <v>3.1668509999999999</v>
      </c>
      <c r="J111" s="86">
        <f>'Comext annuel - EUROSTAT'!H120/10^4</f>
        <v>0.289657</v>
      </c>
      <c r="K111" s="86">
        <f>SUM('Comext mensuel - EUROSTAT'!C120,'Comext mensuel - EUROSTAT'!E120,'Comext mensuel - EUROSTAT'!G120,'Comext mensuel - EUROSTAT'!I120,'Comext mensuel - EUROSTAT'!K120,'Comext mensuel - EUROSTAT'!M120,'Comext mensuel - EUROSTAT'!O120,'Comext mensuel - EUROSTAT'!Q120,'Comext mensuel - EUROSTAT'!S120,'Comext mensuel - EUROSTAT'!U120,'Comext mensuel - EUROSTAT'!W120,'Comext mensuel - EUROSTAT'!Y120)/10^4</f>
        <v>1.2410099999999999</v>
      </c>
      <c r="L111" s="86">
        <f>SUM('Comext mensuel - EUROSTAT'!D120,'Comext mensuel - EUROSTAT'!F120,'Comext mensuel - EUROSTAT'!H120,'Comext mensuel - EUROSTAT'!J120,'Comext mensuel - EUROSTAT'!L120,'Comext mensuel - EUROSTAT'!N120,'Comext mensuel - EUROSTAT'!P120,'Comext mensuel - EUROSTAT'!R120,'Comext mensuel - EUROSTAT'!T120,'Comext mensuel - EUROSTAT'!V120,'Comext mensuel - EUROSTAT'!X120,'Comext mensuel - EUROSTAT'!Z120)/10^4</f>
        <v>2.6956999999999998E-2</v>
      </c>
      <c r="M111" s="86">
        <f>SUM('Comext mensuel - EUROSTAT'!AA120,'Comext mensuel - EUROSTAT'!AC120,'Comext mensuel - EUROSTAT'!AE120,'Comext mensuel - EUROSTAT'!AG120,'Comext mensuel - EUROSTAT'!AI120,'Comext mensuel - EUROSTAT'!AK120,'Comext mensuel - EUROSTAT'!AM120,'Comext mensuel - EUROSTAT'!AO120,'Comext mensuel - EUROSTAT'!AQ120,'Comext mensuel - EUROSTAT'!AS120,'Comext mensuel - EUROSTAT'!AU120,'Comext mensuel - EUROSTAT'!AW120)/10^4</f>
        <v>1.3365779999999998</v>
      </c>
      <c r="N111" s="86">
        <f>SUM('Comext mensuel - EUROSTAT'!AB120,'Comext mensuel - EUROSTAT'!AD120,'Comext mensuel - EUROSTAT'!AF120,'Comext mensuel - EUROSTAT'!AH120,'Comext mensuel - EUROSTAT'!AJ120,'Comext mensuel - EUROSTAT'!AL120,'Comext mensuel - EUROSTAT'!AN120,'Comext mensuel - EUROSTAT'!AP120,'Comext mensuel - EUROSTAT'!AR120,'Comext mensuel - EUROSTAT'!AT120,'Comext mensuel - EUROSTAT'!AV120,'Comext mensuel - EUROSTAT'!AX120)/10^4</f>
        <v>3.1810000000000005E-2</v>
      </c>
      <c r="O111" s="86">
        <f>SUM('Comext mensuel - EUROSTAT'!AY120,'Comext mensuel - EUROSTAT'!BA120,'Comext mensuel - EUROSTAT'!BC120,'Comext mensuel - EUROSTAT'!BE120,'Comext mensuel - EUROSTAT'!BG120,'Comext mensuel - EUROSTAT'!BI120,'Comext mensuel - EUROSTAT'!BK120,'Comext mensuel - EUROSTAT'!BM120,'Comext mensuel - EUROSTAT'!BO120,'Comext mensuel - EUROSTAT'!BQ120,'Comext mensuel - EUROSTAT'!BS120,'Comext mensuel - EUROSTAT'!BU120)/10^4</f>
        <v>3.3812259999999994</v>
      </c>
      <c r="P111" s="86">
        <f>SUM('Comext mensuel - EUROSTAT'!AZ120,'Comext mensuel - EUROSTAT'!BB120,'Comext mensuel - EUROSTAT'!BD120,'Comext mensuel - EUROSTAT'!BF120,'Comext mensuel - EUROSTAT'!BH120,'Comext mensuel - EUROSTAT'!BJ120,'Comext mensuel - EUROSTAT'!BL120,'Comext mensuel - EUROSTAT'!BN120,'Comext mensuel - EUROSTAT'!BP120,'Comext mensuel - EUROSTAT'!BR120,'Comext mensuel - EUROSTAT'!BT120,'Comext mensuel - EUROSTAT'!BV120)/10^4</f>
        <v>0.51866600000000007</v>
      </c>
    </row>
    <row r="112" spans="1:16">
      <c r="A112" t="s">
        <v>309</v>
      </c>
      <c r="B112" t="s">
        <v>971</v>
      </c>
      <c r="C112" s="693"/>
      <c r="D112" t="str">
        <f>'Comext annuel - EUROSTAT'!B121</f>
        <v>Flocons de riz</v>
      </c>
      <c r="E112" s="86">
        <f>'Comext annuel - EUROSTAT'!C121/10^4</f>
        <v>0.57379499999999994</v>
      </c>
      <c r="F112" s="86">
        <f>'Comext annuel - EUROSTAT'!D121/10^4</f>
        <v>8.3330000000000001E-3</v>
      </c>
      <c r="G112" s="86">
        <f>'Comext annuel - EUROSTAT'!E121/10^4</f>
        <v>0.12183599999999999</v>
      </c>
      <c r="H112" s="86">
        <f>'Comext annuel - EUROSTAT'!F121/10^4</f>
        <v>6.1600000000000005E-3</v>
      </c>
      <c r="I112" s="86">
        <f>'Comext annuel - EUROSTAT'!G121/10^4</f>
        <v>0.102349</v>
      </c>
      <c r="J112" s="86">
        <f>'Comext annuel - EUROSTAT'!H121/10^4</f>
        <v>4.3105000000000004E-2</v>
      </c>
      <c r="K112" s="86">
        <f>SUM('Comext mensuel - EUROSTAT'!C121,'Comext mensuel - EUROSTAT'!E121,'Comext mensuel - EUROSTAT'!G121,'Comext mensuel - EUROSTAT'!I121,'Comext mensuel - EUROSTAT'!K121,'Comext mensuel - EUROSTAT'!M121,'Comext mensuel - EUROSTAT'!O121,'Comext mensuel - EUROSTAT'!Q121,'Comext mensuel - EUROSTAT'!S121,'Comext mensuel - EUROSTAT'!U121,'Comext mensuel - EUROSTAT'!W121,'Comext mensuel - EUROSTAT'!Y121)/10^4</f>
        <v>0.612927</v>
      </c>
      <c r="L112" s="86">
        <f>SUM('Comext mensuel - EUROSTAT'!D121,'Comext mensuel - EUROSTAT'!F121,'Comext mensuel - EUROSTAT'!H121,'Comext mensuel - EUROSTAT'!J121,'Comext mensuel - EUROSTAT'!L121,'Comext mensuel - EUROSTAT'!N121,'Comext mensuel - EUROSTAT'!P121,'Comext mensuel - EUROSTAT'!R121,'Comext mensuel - EUROSTAT'!T121,'Comext mensuel - EUROSTAT'!V121,'Comext mensuel - EUROSTAT'!X121,'Comext mensuel - EUROSTAT'!Z121)/10^4</f>
        <v>8.3099999999999997E-3</v>
      </c>
      <c r="M112" s="86">
        <f>SUM('Comext mensuel - EUROSTAT'!AA121,'Comext mensuel - EUROSTAT'!AC121,'Comext mensuel - EUROSTAT'!AE121,'Comext mensuel - EUROSTAT'!AG121,'Comext mensuel - EUROSTAT'!AI121,'Comext mensuel - EUROSTAT'!AK121,'Comext mensuel - EUROSTAT'!AM121,'Comext mensuel - EUROSTAT'!AO121,'Comext mensuel - EUROSTAT'!AQ121,'Comext mensuel - EUROSTAT'!AS121,'Comext mensuel - EUROSTAT'!AU121,'Comext mensuel - EUROSTAT'!AW121)/10^4</f>
        <v>9.4851000000000005E-2</v>
      </c>
      <c r="N112" s="86">
        <f>SUM('Comext mensuel - EUROSTAT'!AB121,'Comext mensuel - EUROSTAT'!AD121,'Comext mensuel - EUROSTAT'!AF121,'Comext mensuel - EUROSTAT'!AH121,'Comext mensuel - EUROSTAT'!AJ121,'Comext mensuel - EUROSTAT'!AL121,'Comext mensuel - EUROSTAT'!AN121,'Comext mensuel - EUROSTAT'!AP121,'Comext mensuel - EUROSTAT'!AR121,'Comext mensuel - EUROSTAT'!AT121,'Comext mensuel - EUROSTAT'!AV121,'Comext mensuel - EUROSTAT'!AX121)/10^4</f>
        <v>8.320000000000001E-3</v>
      </c>
      <c r="O112" s="86">
        <f>SUM('Comext mensuel - EUROSTAT'!AY121,'Comext mensuel - EUROSTAT'!BA121,'Comext mensuel - EUROSTAT'!BC121,'Comext mensuel - EUROSTAT'!BE121,'Comext mensuel - EUROSTAT'!BG121,'Comext mensuel - EUROSTAT'!BI121,'Comext mensuel - EUROSTAT'!BK121,'Comext mensuel - EUROSTAT'!BM121,'Comext mensuel - EUROSTAT'!BO121,'Comext mensuel - EUROSTAT'!BQ121,'Comext mensuel - EUROSTAT'!BS121,'Comext mensuel - EUROSTAT'!BU121)/10^4</f>
        <v>0.13207199999999999</v>
      </c>
      <c r="P112" s="86">
        <f>SUM('Comext mensuel - EUROSTAT'!AZ121,'Comext mensuel - EUROSTAT'!BB121,'Comext mensuel - EUROSTAT'!BD121,'Comext mensuel - EUROSTAT'!BF121,'Comext mensuel - EUROSTAT'!BH121,'Comext mensuel - EUROSTAT'!BJ121,'Comext mensuel - EUROSTAT'!BL121,'Comext mensuel - EUROSTAT'!BN121,'Comext mensuel - EUROSTAT'!BP121,'Comext mensuel - EUROSTAT'!BR121,'Comext mensuel - EUROSTAT'!BT121,'Comext mensuel - EUROSTAT'!BV121)/10^4</f>
        <v>3.7275000000000003E-2</v>
      </c>
    </row>
    <row r="113" spans="1:16">
      <c r="B113" t="s">
        <v>971</v>
      </c>
      <c r="C113" s="693"/>
      <c r="D113" t="str">
        <f>'Comext annuel - EUROSTAT'!B122</f>
        <v>Grains de céréales, aplatis ou en flocons (à l'excl. des grains d'avoine, de froment {blé}, de seigle, de maïs et d'orge ainsi que des flocons de riz)</v>
      </c>
      <c r="E113" s="86">
        <f>'Comext annuel - EUROSTAT'!C122/10^4</f>
        <v>1.0620829999999999</v>
      </c>
      <c r="F113" s="86">
        <f>'Comext annuel - EUROSTAT'!D122/10^4</f>
        <v>0.120209</v>
      </c>
      <c r="G113" s="86">
        <f>'Comext annuel - EUROSTAT'!E122/10^4</f>
        <v>0.72051399999999999</v>
      </c>
      <c r="H113" s="86">
        <f>'Comext annuel - EUROSTAT'!F122/10^4</f>
        <v>6.5770000000000009E-2</v>
      </c>
      <c r="I113" s="86">
        <f>'Comext annuel - EUROSTAT'!G122/10^4</f>
        <v>0.98121700000000001</v>
      </c>
      <c r="J113" s="86">
        <f>'Comext annuel - EUROSTAT'!H122/10^4</f>
        <v>5.8684E-2</v>
      </c>
      <c r="K113" s="86">
        <f>SUM('Comext mensuel - EUROSTAT'!C122,'Comext mensuel - EUROSTAT'!E122,'Comext mensuel - EUROSTAT'!G122,'Comext mensuel - EUROSTAT'!I122,'Comext mensuel - EUROSTAT'!K122,'Comext mensuel - EUROSTAT'!M122,'Comext mensuel - EUROSTAT'!O122,'Comext mensuel - EUROSTAT'!Q122,'Comext mensuel - EUROSTAT'!S122,'Comext mensuel - EUROSTAT'!U122,'Comext mensuel - EUROSTAT'!W122,'Comext mensuel - EUROSTAT'!Y122)/10^4</f>
        <v>0.92377600000000004</v>
      </c>
      <c r="L113" s="86">
        <f>SUM('Comext mensuel - EUROSTAT'!D122,'Comext mensuel - EUROSTAT'!F122,'Comext mensuel - EUROSTAT'!H122,'Comext mensuel - EUROSTAT'!J122,'Comext mensuel - EUROSTAT'!L122,'Comext mensuel - EUROSTAT'!N122,'Comext mensuel - EUROSTAT'!P122,'Comext mensuel - EUROSTAT'!R122,'Comext mensuel - EUROSTAT'!T122,'Comext mensuel - EUROSTAT'!V122,'Comext mensuel - EUROSTAT'!X122,'Comext mensuel - EUROSTAT'!Z122)/10^4</f>
        <v>8.0197999999999992E-2</v>
      </c>
      <c r="M113" s="86">
        <f>SUM('Comext mensuel - EUROSTAT'!AA122,'Comext mensuel - EUROSTAT'!AC122,'Comext mensuel - EUROSTAT'!AE122,'Comext mensuel - EUROSTAT'!AG122,'Comext mensuel - EUROSTAT'!AI122,'Comext mensuel - EUROSTAT'!AK122,'Comext mensuel - EUROSTAT'!AM122,'Comext mensuel - EUROSTAT'!AO122,'Comext mensuel - EUROSTAT'!AQ122,'Comext mensuel - EUROSTAT'!AS122,'Comext mensuel - EUROSTAT'!AU122,'Comext mensuel - EUROSTAT'!AW122)/10^4</f>
        <v>1.030667</v>
      </c>
      <c r="N113" s="86">
        <f>SUM('Comext mensuel - EUROSTAT'!AB122,'Comext mensuel - EUROSTAT'!AD122,'Comext mensuel - EUROSTAT'!AF122,'Comext mensuel - EUROSTAT'!AH122,'Comext mensuel - EUROSTAT'!AJ122,'Comext mensuel - EUROSTAT'!AL122,'Comext mensuel - EUROSTAT'!AN122,'Comext mensuel - EUROSTAT'!AP122,'Comext mensuel - EUROSTAT'!AR122,'Comext mensuel - EUROSTAT'!AT122,'Comext mensuel - EUROSTAT'!AV122,'Comext mensuel - EUROSTAT'!AX122)/10^4</f>
        <v>9.241000000000002E-2</v>
      </c>
      <c r="O113" s="86">
        <f>SUM('Comext mensuel - EUROSTAT'!AY122,'Comext mensuel - EUROSTAT'!BA122,'Comext mensuel - EUROSTAT'!BC122,'Comext mensuel - EUROSTAT'!BE122,'Comext mensuel - EUROSTAT'!BG122,'Comext mensuel - EUROSTAT'!BI122,'Comext mensuel - EUROSTAT'!BK122,'Comext mensuel - EUROSTAT'!BM122,'Comext mensuel - EUROSTAT'!BO122,'Comext mensuel - EUROSTAT'!BQ122,'Comext mensuel - EUROSTAT'!BS122,'Comext mensuel - EUROSTAT'!BU122)/10^4</f>
        <v>0.87682299999999991</v>
      </c>
      <c r="P113" s="86">
        <f>SUM('Comext mensuel - EUROSTAT'!AZ122,'Comext mensuel - EUROSTAT'!BB122,'Comext mensuel - EUROSTAT'!BD122,'Comext mensuel - EUROSTAT'!BF122,'Comext mensuel - EUROSTAT'!BH122,'Comext mensuel - EUROSTAT'!BJ122,'Comext mensuel - EUROSTAT'!BL122,'Comext mensuel - EUROSTAT'!BN122,'Comext mensuel - EUROSTAT'!BP122,'Comext mensuel - EUROSTAT'!BR122,'Comext mensuel - EUROSTAT'!BT122,'Comext mensuel - EUROSTAT'!BV122)/10^4</f>
        <v>5.0023999999999999E-2</v>
      </c>
    </row>
    <row r="114" spans="1:16">
      <c r="A114" t="s">
        <v>173</v>
      </c>
      <c r="B114" t="s">
        <v>984</v>
      </c>
      <c r="C114" s="693" t="s">
        <v>982</v>
      </c>
      <c r="D114" t="str">
        <f>'Comext annuel - EUROSTAT'!B123</f>
        <v>Grains d'orge (à l'excl. des grains mondés {décortiqués ou pelés}, des grains mondés et tranchés ou concassés {dits Grütze ou grutten}, des grains perlés et des grains seulement concassés)</v>
      </c>
      <c r="E114" s="86" t="e">
        <f>'Comext annuel - EUROSTAT'!C123/10^4</f>
        <v>#VALUE!</v>
      </c>
      <c r="F114" s="86" t="e">
        <f>'Comext annuel - EUROSTAT'!D123/10^4</f>
        <v>#VALUE!</v>
      </c>
      <c r="G114" s="86" t="e">
        <f>'Comext annuel - EUROSTAT'!E123/10^4</f>
        <v>#VALUE!</v>
      </c>
      <c r="H114" s="86" t="e">
        <f>'Comext annuel - EUROSTAT'!F123/10^4</f>
        <v>#VALUE!</v>
      </c>
      <c r="I114" s="86" t="e">
        <f>'Comext annuel - EUROSTAT'!G123/10^4</f>
        <v>#VALUE!</v>
      </c>
      <c r="J114" s="86" t="e">
        <f>'Comext annuel - EUROSTAT'!H123/10^4</f>
        <v>#VALUE!</v>
      </c>
      <c r="K114" s="86">
        <f>SUM('Comext mensuel - EUROSTAT'!C123,'Comext mensuel - EUROSTAT'!E123,'Comext mensuel - EUROSTAT'!G123,'Comext mensuel - EUROSTAT'!I123,'Comext mensuel - EUROSTAT'!K123,'Comext mensuel - EUROSTAT'!M123,'Comext mensuel - EUROSTAT'!O123,'Comext mensuel - EUROSTAT'!Q123,'Comext mensuel - EUROSTAT'!S123,'Comext mensuel - EUROSTAT'!U123,'Comext mensuel - EUROSTAT'!W123,'Comext mensuel - EUROSTAT'!Y123)/10^4</f>
        <v>0</v>
      </c>
      <c r="L114" s="86">
        <f>SUM('Comext mensuel - EUROSTAT'!D123,'Comext mensuel - EUROSTAT'!F123,'Comext mensuel - EUROSTAT'!H123,'Comext mensuel - EUROSTAT'!J123,'Comext mensuel - EUROSTAT'!L123,'Comext mensuel - EUROSTAT'!N123,'Comext mensuel - EUROSTAT'!P123,'Comext mensuel - EUROSTAT'!R123,'Comext mensuel - EUROSTAT'!T123,'Comext mensuel - EUROSTAT'!V123,'Comext mensuel - EUROSTAT'!X123,'Comext mensuel - EUROSTAT'!Z123)/10^4</f>
        <v>0</v>
      </c>
      <c r="M114" s="86">
        <f>SUM('Comext mensuel - EUROSTAT'!AA123,'Comext mensuel - EUROSTAT'!AC123,'Comext mensuel - EUROSTAT'!AE123,'Comext mensuel - EUROSTAT'!AG123,'Comext mensuel - EUROSTAT'!AI123,'Comext mensuel - EUROSTAT'!AK123,'Comext mensuel - EUROSTAT'!AM123,'Comext mensuel - EUROSTAT'!AO123,'Comext mensuel - EUROSTAT'!AQ123,'Comext mensuel - EUROSTAT'!AS123,'Comext mensuel - EUROSTAT'!AU123,'Comext mensuel - EUROSTAT'!AW123)/10^4</f>
        <v>0</v>
      </c>
      <c r="N114" s="86">
        <f>SUM('Comext mensuel - EUROSTAT'!AB123,'Comext mensuel - EUROSTAT'!AD123,'Comext mensuel - EUROSTAT'!AF123,'Comext mensuel - EUROSTAT'!AH123,'Comext mensuel - EUROSTAT'!AJ123,'Comext mensuel - EUROSTAT'!AL123,'Comext mensuel - EUROSTAT'!AN123,'Comext mensuel - EUROSTAT'!AP123,'Comext mensuel - EUROSTAT'!AR123,'Comext mensuel - EUROSTAT'!AT123,'Comext mensuel - EUROSTAT'!AV123,'Comext mensuel - EUROSTAT'!AX123)/10^4</f>
        <v>0</v>
      </c>
      <c r="O114" s="86">
        <f>SUM('Comext mensuel - EUROSTAT'!AY123,'Comext mensuel - EUROSTAT'!BA123,'Comext mensuel - EUROSTAT'!BC123,'Comext mensuel - EUROSTAT'!BE123,'Comext mensuel - EUROSTAT'!BG123,'Comext mensuel - EUROSTAT'!BI123,'Comext mensuel - EUROSTAT'!BK123,'Comext mensuel - EUROSTAT'!BM123,'Comext mensuel - EUROSTAT'!BO123,'Comext mensuel - EUROSTAT'!BQ123,'Comext mensuel - EUROSTAT'!BS123,'Comext mensuel - EUROSTAT'!BU123)/10^4</f>
        <v>0</v>
      </c>
      <c r="P114" s="86">
        <f>SUM('Comext mensuel - EUROSTAT'!AZ123,'Comext mensuel - EUROSTAT'!BB123,'Comext mensuel - EUROSTAT'!BD123,'Comext mensuel - EUROSTAT'!BF123,'Comext mensuel - EUROSTAT'!BH123,'Comext mensuel - EUROSTAT'!BJ123,'Comext mensuel - EUROSTAT'!BL123,'Comext mensuel - EUROSTAT'!BN123,'Comext mensuel - EUROSTAT'!BP123,'Comext mensuel - EUROSTAT'!BR123,'Comext mensuel - EUROSTAT'!BT123,'Comext mensuel - EUROSTAT'!BV123)/10^4</f>
        <v>0</v>
      </c>
    </row>
    <row r="115" spans="1:16">
      <c r="A115" t="s">
        <v>306</v>
      </c>
      <c r="B115" t="s">
        <v>984</v>
      </c>
      <c r="C115" s="693"/>
      <c r="D115" t="str">
        <f>'Comext annuel - EUROSTAT'!B124</f>
        <v>Grains d'avoine, mondés {décortiqués ou pelés} (sauf épointés)</v>
      </c>
      <c r="E115" s="86" t="e">
        <f>'Comext annuel - EUROSTAT'!C124/10^4</f>
        <v>#VALUE!</v>
      </c>
      <c r="F115" s="86" t="e">
        <f>'Comext annuel - EUROSTAT'!D124/10^4</f>
        <v>#VALUE!</v>
      </c>
      <c r="G115" s="86" t="e">
        <f>'Comext annuel - EUROSTAT'!E124/10^4</f>
        <v>#VALUE!</v>
      </c>
      <c r="H115" s="86" t="e">
        <f>'Comext annuel - EUROSTAT'!F124/10^4</f>
        <v>#VALUE!</v>
      </c>
      <c r="I115" s="86" t="e">
        <f>'Comext annuel - EUROSTAT'!G124/10^4</f>
        <v>#VALUE!</v>
      </c>
      <c r="J115" s="86" t="e">
        <f>'Comext annuel - EUROSTAT'!H124/10^4</f>
        <v>#VALUE!</v>
      </c>
      <c r="K115" s="86">
        <f>SUM('Comext mensuel - EUROSTAT'!C124,'Comext mensuel - EUROSTAT'!E124,'Comext mensuel - EUROSTAT'!G124,'Comext mensuel - EUROSTAT'!I124,'Comext mensuel - EUROSTAT'!K124,'Comext mensuel - EUROSTAT'!M124,'Comext mensuel - EUROSTAT'!O124,'Comext mensuel - EUROSTAT'!Q124,'Comext mensuel - EUROSTAT'!S124,'Comext mensuel - EUROSTAT'!U124,'Comext mensuel - EUROSTAT'!W124,'Comext mensuel - EUROSTAT'!Y124)/10^4</f>
        <v>0</v>
      </c>
      <c r="L115" s="86">
        <f>SUM('Comext mensuel - EUROSTAT'!D124,'Comext mensuel - EUROSTAT'!F124,'Comext mensuel - EUROSTAT'!H124,'Comext mensuel - EUROSTAT'!J124,'Comext mensuel - EUROSTAT'!L124,'Comext mensuel - EUROSTAT'!N124,'Comext mensuel - EUROSTAT'!P124,'Comext mensuel - EUROSTAT'!R124,'Comext mensuel - EUROSTAT'!T124,'Comext mensuel - EUROSTAT'!V124,'Comext mensuel - EUROSTAT'!X124,'Comext mensuel - EUROSTAT'!Z124)/10^4</f>
        <v>0</v>
      </c>
      <c r="M115" s="86">
        <f>SUM('Comext mensuel - EUROSTAT'!AA124,'Comext mensuel - EUROSTAT'!AC124,'Comext mensuel - EUROSTAT'!AE124,'Comext mensuel - EUROSTAT'!AG124,'Comext mensuel - EUROSTAT'!AI124,'Comext mensuel - EUROSTAT'!AK124,'Comext mensuel - EUROSTAT'!AM124,'Comext mensuel - EUROSTAT'!AO124,'Comext mensuel - EUROSTAT'!AQ124,'Comext mensuel - EUROSTAT'!AS124,'Comext mensuel - EUROSTAT'!AU124,'Comext mensuel - EUROSTAT'!AW124)/10^4</f>
        <v>0</v>
      </c>
      <c r="N115" s="86">
        <f>SUM('Comext mensuel - EUROSTAT'!AB124,'Comext mensuel - EUROSTAT'!AD124,'Comext mensuel - EUROSTAT'!AF124,'Comext mensuel - EUROSTAT'!AH124,'Comext mensuel - EUROSTAT'!AJ124,'Comext mensuel - EUROSTAT'!AL124,'Comext mensuel - EUROSTAT'!AN124,'Comext mensuel - EUROSTAT'!AP124,'Comext mensuel - EUROSTAT'!AR124,'Comext mensuel - EUROSTAT'!AT124,'Comext mensuel - EUROSTAT'!AV124,'Comext mensuel - EUROSTAT'!AX124)/10^4</f>
        <v>0</v>
      </c>
      <c r="O115" s="86">
        <f>SUM('Comext mensuel - EUROSTAT'!AY124,'Comext mensuel - EUROSTAT'!BA124,'Comext mensuel - EUROSTAT'!BC124,'Comext mensuel - EUROSTAT'!BE124,'Comext mensuel - EUROSTAT'!BG124,'Comext mensuel - EUROSTAT'!BI124,'Comext mensuel - EUROSTAT'!BK124,'Comext mensuel - EUROSTAT'!BM124,'Comext mensuel - EUROSTAT'!BO124,'Comext mensuel - EUROSTAT'!BQ124,'Comext mensuel - EUROSTAT'!BS124,'Comext mensuel - EUROSTAT'!BU124)/10^4</f>
        <v>0</v>
      </c>
      <c r="P115" s="86">
        <f>SUM('Comext mensuel - EUROSTAT'!AZ124,'Comext mensuel - EUROSTAT'!BB124,'Comext mensuel - EUROSTAT'!BD124,'Comext mensuel - EUROSTAT'!BF124,'Comext mensuel - EUROSTAT'!BH124,'Comext mensuel - EUROSTAT'!BJ124,'Comext mensuel - EUROSTAT'!BL124,'Comext mensuel - EUROSTAT'!BN124,'Comext mensuel - EUROSTAT'!BP124,'Comext mensuel - EUROSTAT'!BR124,'Comext mensuel - EUROSTAT'!BT124,'Comext mensuel - EUROSTAT'!BV124)/10^4</f>
        <v>0</v>
      </c>
    </row>
    <row r="116" spans="1:16">
      <c r="A116" t="s">
        <v>306</v>
      </c>
      <c r="B116" t="s">
        <v>984</v>
      </c>
      <c r="C116" s="693"/>
      <c r="D116" t="str">
        <f>'Comext annuel - EUROSTAT'!B125</f>
        <v>Grains d’avoine, mondés, même tranchés ou concassés</v>
      </c>
      <c r="E116" s="86">
        <f>'Comext annuel - EUROSTAT'!C125/10^4</f>
        <v>2.0854080000000002</v>
      </c>
      <c r="F116" s="86">
        <f>'Comext annuel - EUROSTAT'!D125/10^4</f>
        <v>1.4430000000000001E-3</v>
      </c>
      <c r="G116" s="86">
        <f>'Comext annuel - EUROSTAT'!E125/10^4</f>
        <v>2.9548650000000003</v>
      </c>
      <c r="H116" s="86">
        <f>'Comext annuel - EUROSTAT'!F125/10^4</f>
        <v>2.4030000000000002E-3</v>
      </c>
      <c r="I116" s="86">
        <f>'Comext annuel - EUROSTAT'!G125/10^4</f>
        <v>2.0406720000000003</v>
      </c>
      <c r="J116" s="86">
        <f>'Comext annuel - EUROSTAT'!H125/10^4</f>
        <v>6.9250000000000006E-2</v>
      </c>
      <c r="K116" s="86">
        <f>SUM('Comext mensuel - EUROSTAT'!C125,'Comext mensuel - EUROSTAT'!E125,'Comext mensuel - EUROSTAT'!G125,'Comext mensuel - EUROSTAT'!I125,'Comext mensuel - EUROSTAT'!K125,'Comext mensuel - EUROSTAT'!M125,'Comext mensuel - EUROSTAT'!O125,'Comext mensuel - EUROSTAT'!Q125,'Comext mensuel - EUROSTAT'!S125,'Comext mensuel - EUROSTAT'!U125,'Comext mensuel - EUROSTAT'!W125,'Comext mensuel - EUROSTAT'!Y125)/10^4</f>
        <v>2.2711940000000004</v>
      </c>
      <c r="L116" s="86">
        <f>SUM('Comext mensuel - EUROSTAT'!D125,'Comext mensuel - EUROSTAT'!F125,'Comext mensuel - EUROSTAT'!H125,'Comext mensuel - EUROSTAT'!J125,'Comext mensuel - EUROSTAT'!L125,'Comext mensuel - EUROSTAT'!N125,'Comext mensuel - EUROSTAT'!P125,'Comext mensuel - EUROSTAT'!R125,'Comext mensuel - EUROSTAT'!T125,'Comext mensuel - EUROSTAT'!V125,'Comext mensuel - EUROSTAT'!X125,'Comext mensuel - EUROSTAT'!Z125)/10^4</f>
        <v>2.1649999999999998E-3</v>
      </c>
      <c r="M116" s="86">
        <f>SUM('Comext mensuel - EUROSTAT'!AA125,'Comext mensuel - EUROSTAT'!AC125,'Comext mensuel - EUROSTAT'!AE125,'Comext mensuel - EUROSTAT'!AG125,'Comext mensuel - EUROSTAT'!AI125,'Comext mensuel - EUROSTAT'!AK125,'Comext mensuel - EUROSTAT'!AM125,'Comext mensuel - EUROSTAT'!AO125,'Comext mensuel - EUROSTAT'!AQ125,'Comext mensuel - EUROSTAT'!AS125,'Comext mensuel - EUROSTAT'!AU125,'Comext mensuel - EUROSTAT'!AW125)/10^4</f>
        <v>3.4020370000000004</v>
      </c>
      <c r="N116" s="86">
        <f>SUM('Comext mensuel - EUROSTAT'!AB125,'Comext mensuel - EUROSTAT'!AD125,'Comext mensuel - EUROSTAT'!AF125,'Comext mensuel - EUROSTAT'!AH125,'Comext mensuel - EUROSTAT'!AJ125,'Comext mensuel - EUROSTAT'!AL125,'Comext mensuel - EUROSTAT'!AN125,'Comext mensuel - EUROSTAT'!AP125,'Comext mensuel - EUROSTAT'!AR125,'Comext mensuel - EUROSTAT'!AT125,'Comext mensuel - EUROSTAT'!AV125,'Comext mensuel - EUROSTAT'!AX125)/10^4</f>
        <v>2.5050000000000003E-3</v>
      </c>
      <c r="O116" s="86">
        <f>SUM('Comext mensuel - EUROSTAT'!AY125,'Comext mensuel - EUROSTAT'!BA125,'Comext mensuel - EUROSTAT'!BC125,'Comext mensuel - EUROSTAT'!BE125,'Comext mensuel - EUROSTAT'!BG125,'Comext mensuel - EUROSTAT'!BI125,'Comext mensuel - EUROSTAT'!BK125,'Comext mensuel - EUROSTAT'!BM125,'Comext mensuel - EUROSTAT'!BO125,'Comext mensuel - EUROSTAT'!BQ125,'Comext mensuel - EUROSTAT'!BS125,'Comext mensuel - EUROSTAT'!BU125)/10^4</f>
        <v>1.9567580000000002</v>
      </c>
      <c r="P116" s="86">
        <f>SUM('Comext mensuel - EUROSTAT'!AZ125,'Comext mensuel - EUROSTAT'!BB125,'Comext mensuel - EUROSTAT'!BD125,'Comext mensuel - EUROSTAT'!BF125,'Comext mensuel - EUROSTAT'!BH125,'Comext mensuel - EUROSTAT'!BJ125,'Comext mensuel - EUROSTAT'!BL125,'Comext mensuel - EUROSTAT'!BN125,'Comext mensuel - EUROSTAT'!BP125,'Comext mensuel - EUROSTAT'!BR125,'Comext mensuel - EUROSTAT'!BT125,'Comext mensuel - EUROSTAT'!BV125)/10^4</f>
        <v>0.11925000000000002</v>
      </c>
    </row>
    <row r="117" spans="1:16">
      <c r="A117" t="s">
        <v>306</v>
      </c>
      <c r="B117" t="s">
        <v>984</v>
      </c>
      <c r="C117" s="693"/>
      <c r="D117" t="str">
        <f>'Comext annuel - EUROSTAT'!B126</f>
        <v>Grains d'avoine, épointés</v>
      </c>
      <c r="E117" s="86" t="e">
        <f>'Comext annuel - EUROSTAT'!C126/10^4</f>
        <v>#VALUE!</v>
      </c>
      <c r="F117" s="86" t="e">
        <f>'Comext annuel - EUROSTAT'!D126/10^4</f>
        <v>#VALUE!</v>
      </c>
      <c r="G117" s="86" t="e">
        <f>'Comext annuel - EUROSTAT'!E126/10^4</f>
        <v>#VALUE!</v>
      </c>
      <c r="H117" s="86" t="e">
        <f>'Comext annuel - EUROSTAT'!F126/10^4</f>
        <v>#VALUE!</v>
      </c>
      <c r="I117" s="86" t="e">
        <f>'Comext annuel - EUROSTAT'!G126/10^4</f>
        <v>#VALUE!</v>
      </c>
      <c r="J117" s="86" t="e">
        <f>'Comext annuel - EUROSTAT'!H126/10^4</f>
        <v>#VALUE!</v>
      </c>
      <c r="K117" s="86">
        <f>SUM('Comext mensuel - EUROSTAT'!C126,'Comext mensuel - EUROSTAT'!E126,'Comext mensuel - EUROSTAT'!G126,'Comext mensuel - EUROSTAT'!I126,'Comext mensuel - EUROSTAT'!K126,'Comext mensuel - EUROSTAT'!M126,'Comext mensuel - EUROSTAT'!O126,'Comext mensuel - EUROSTAT'!Q126,'Comext mensuel - EUROSTAT'!S126,'Comext mensuel - EUROSTAT'!U126,'Comext mensuel - EUROSTAT'!W126,'Comext mensuel - EUROSTAT'!Y126)/10^4</f>
        <v>0</v>
      </c>
      <c r="L117" s="86">
        <f>SUM('Comext mensuel - EUROSTAT'!D126,'Comext mensuel - EUROSTAT'!F126,'Comext mensuel - EUROSTAT'!H126,'Comext mensuel - EUROSTAT'!J126,'Comext mensuel - EUROSTAT'!L126,'Comext mensuel - EUROSTAT'!N126,'Comext mensuel - EUROSTAT'!P126,'Comext mensuel - EUROSTAT'!R126,'Comext mensuel - EUROSTAT'!T126,'Comext mensuel - EUROSTAT'!V126,'Comext mensuel - EUROSTAT'!X126,'Comext mensuel - EUROSTAT'!Z126)/10^4</f>
        <v>0</v>
      </c>
      <c r="M117" s="86">
        <f>SUM('Comext mensuel - EUROSTAT'!AA126,'Comext mensuel - EUROSTAT'!AC126,'Comext mensuel - EUROSTAT'!AE126,'Comext mensuel - EUROSTAT'!AG126,'Comext mensuel - EUROSTAT'!AI126,'Comext mensuel - EUROSTAT'!AK126,'Comext mensuel - EUROSTAT'!AM126,'Comext mensuel - EUROSTAT'!AO126,'Comext mensuel - EUROSTAT'!AQ126,'Comext mensuel - EUROSTAT'!AS126,'Comext mensuel - EUROSTAT'!AU126,'Comext mensuel - EUROSTAT'!AW126)/10^4</f>
        <v>0</v>
      </c>
      <c r="N117" s="86">
        <f>SUM('Comext mensuel - EUROSTAT'!AB126,'Comext mensuel - EUROSTAT'!AD126,'Comext mensuel - EUROSTAT'!AF126,'Comext mensuel - EUROSTAT'!AH126,'Comext mensuel - EUROSTAT'!AJ126,'Comext mensuel - EUROSTAT'!AL126,'Comext mensuel - EUROSTAT'!AN126,'Comext mensuel - EUROSTAT'!AP126,'Comext mensuel - EUROSTAT'!AR126,'Comext mensuel - EUROSTAT'!AT126,'Comext mensuel - EUROSTAT'!AV126,'Comext mensuel - EUROSTAT'!AX126)/10^4</f>
        <v>0</v>
      </c>
      <c r="O117" s="86">
        <f>SUM('Comext mensuel - EUROSTAT'!AY126,'Comext mensuel - EUROSTAT'!BA126,'Comext mensuel - EUROSTAT'!BC126,'Comext mensuel - EUROSTAT'!BE126,'Comext mensuel - EUROSTAT'!BG126,'Comext mensuel - EUROSTAT'!BI126,'Comext mensuel - EUROSTAT'!BK126,'Comext mensuel - EUROSTAT'!BM126,'Comext mensuel - EUROSTAT'!BO126,'Comext mensuel - EUROSTAT'!BQ126,'Comext mensuel - EUROSTAT'!BS126,'Comext mensuel - EUROSTAT'!BU126)/10^4</f>
        <v>0</v>
      </c>
      <c r="P117" s="86">
        <f>SUM('Comext mensuel - EUROSTAT'!AZ126,'Comext mensuel - EUROSTAT'!BB126,'Comext mensuel - EUROSTAT'!BD126,'Comext mensuel - EUROSTAT'!BF126,'Comext mensuel - EUROSTAT'!BH126,'Comext mensuel - EUROSTAT'!BJ126,'Comext mensuel - EUROSTAT'!BL126,'Comext mensuel - EUROSTAT'!BN126,'Comext mensuel - EUROSTAT'!BP126,'Comext mensuel - EUROSTAT'!BR126,'Comext mensuel - EUROSTAT'!BT126,'Comext mensuel - EUROSTAT'!BV126)/10^4</f>
        <v>0</v>
      </c>
    </row>
    <row r="118" spans="1:16">
      <c r="A118" t="s">
        <v>306</v>
      </c>
      <c r="B118" t="s">
        <v>984</v>
      </c>
      <c r="C118" s="693"/>
      <c r="D118" t="str">
        <f>'Comext annuel - EUROSTAT'!B127</f>
        <v>Grains d'avoine tranchés, concassés ou autrement travaillés (à l'excl. de la farine d'avoine et des grains d'avoine aplatis, en flocons, émondés, perlés et en pellets)</v>
      </c>
      <c r="E118" s="86">
        <f>'Comext annuel - EUROSTAT'!C127/10^4</f>
        <v>0.19844800000000001</v>
      </c>
      <c r="F118" s="86">
        <f>'Comext annuel - EUROSTAT'!D127/10^4</f>
        <v>0.151864</v>
      </c>
      <c r="G118" s="86">
        <f>'Comext annuel - EUROSTAT'!E127/10^4</f>
        <v>0.35534199999999999</v>
      </c>
      <c r="H118" s="86">
        <f>'Comext annuel - EUROSTAT'!F127/10^4</f>
        <v>1.3774000000000002E-2</v>
      </c>
      <c r="I118" s="86">
        <f>'Comext annuel - EUROSTAT'!G127/10^4</f>
        <v>0.425178</v>
      </c>
      <c r="J118" s="86">
        <f>'Comext annuel - EUROSTAT'!H127/10^4</f>
        <v>0.82232499999999997</v>
      </c>
      <c r="K118" s="86">
        <f>SUM('Comext mensuel - EUROSTAT'!C127,'Comext mensuel - EUROSTAT'!E127,'Comext mensuel - EUROSTAT'!G127,'Comext mensuel - EUROSTAT'!I127,'Comext mensuel - EUROSTAT'!K127,'Comext mensuel - EUROSTAT'!M127,'Comext mensuel - EUROSTAT'!O127,'Comext mensuel - EUROSTAT'!Q127,'Comext mensuel - EUROSTAT'!S127,'Comext mensuel - EUROSTAT'!U127,'Comext mensuel - EUROSTAT'!W127,'Comext mensuel - EUROSTAT'!Y127)/10^4</f>
        <v>0.21365699999999996</v>
      </c>
      <c r="L118" s="86">
        <f>SUM('Comext mensuel - EUROSTAT'!D127,'Comext mensuel - EUROSTAT'!F127,'Comext mensuel - EUROSTAT'!H127,'Comext mensuel - EUROSTAT'!J127,'Comext mensuel - EUROSTAT'!L127,'Comext mensuel - EUROSTAT'!N127,'Comext mensuel - EUROSTAT'!P127,'Comext mensuel - EUROSTAT'!R127,'Comext mensuel - EUROSTAT'!T127,'Comext mensuel - EUROSTAT'!V127,'Comext mensuel - EUROSTAT'!X127,'Comext mensuel - EUROSTAT'!Z127)/10^4</f>
        <v>0.15924499999999997</v>
      </c>
      <c r="M118" s="86">
        <f>SUM('Comext mensuel - EUROSTAT'!AA127,'Comext mensuel - EUROSTAT'!AC127,'Comext mensuel - EUROSTAT'!AE127,'Comext mensuel - EUROSTAT'!AG127,'Comext mensuel - EUROSTAT'!AI127,'Comext mensuel - EUROSTAT'!AK127,'Comext mensuel - EUROSTAT'!AM127,'Comext mensuel - EUROSTAT'!AO127,'Comext mensuel - EUROSTAT'!AQ127,'Comext mensuel - EUROSTAT'!AS127,'Comext mensuel - EUROSTAT'!AU127,'Comext mensuel - EUROSTAT'!AW127)/10^4</f>
        <v>0.3585830000000001</v>
      </c>
      <c r="N118" s="86">
        <f>SUM('Comext mensuel - EUROSTAT'!AB127,'Comext mensuel - EUROSTAT'!AD127,'Comext mensuel - EUROSTAT'!AF127,'Comext mensuel - EUROSTAT'!AH127,'Comext mensuel - EUROSTAT'!AJ127,'Comext mensuel - EUROSTAT'!AL127,'Comext mensuel - EUROSTAT'!AN127,'Comext mensuel - EUROSTAT'!AP127,'Comext mensuel - EUROSTAT'!AR127,'Comext mensuel - EUROSTAT'!AT127,'Comext mensuel - EUROSTAT'!AV127,'Comext mensuel - EUROSTAT'!AX127)/10^4</f>
        <v>3.0772000000000004E-2</v>
      </c>
      <c r="O118" s="86">
        <f>SUM('Comext mensuel - EUROSTAT'!AY127,'Comext mensuel - EUROSTAT'!BA127,'Comext mensuel - EUROSTAT'!BC127,'Comext mensuel - EUROSTAT'!BE127,'Comext mensuel - EUROSTAT'!BG127,'Comext mensuel - EUROSTAT'!BI127,'Comext mensuel - EUROSTAT'!BK127,'Comext mensuel - EUROSTAT'!BM127,'Comext mensuel - EUROSTAT'!BO127,'Comext mensuel - EUROSTAT'!BQ127,'Comext mensuel - EUROSTAT'!BS127,'Comext mensuel - EUROSTAT'!BU127)/10^4</f>
        <v>0.46064899999999986</v>
      </c>
      <c r="P118" s="86">
        <f>SUM('Comext mensuel - EUROSTAT'!AZ127,'Comext mensuel - EUROSTAT'!BB127,'Comext mensuel - EUROSTAT'!BD127,'Comext mensuel - EUROSTAT'!BF127,'Comext mensuel - EUROSTAT'!BH127,'Comext mensuel - EUROSTAT'!BJ127,'Comext mensuel - EUROSTAT'!BL127,'Comext mensuel - EUROSTAT'!BN127,'Comext mensuel - EUROSTAT'!BP127,'Comext mensuel - EUROSTAT'!BR127,'Comext mensuel - EUROSTAT'!BT127,'Comext mensuel - EUROSTAT'!BV127)/10^4</f>
        <v>0.86858699999999989</v>
      </c>
    </row>
    <row r="119" spans="1:16">
      <c r="A119" t="s">
        <v>306</v>
      </c>
      <c r="B119" t="s">
        <v>984</v>
      </c>
      <c r="C119" s="693"/>
      <c r="D119" t="str">
        <f>'Comext annuel - EUROSTAT'!B128</f>
        <v>Grains d'avoine (sauf épointés, mondés {décortiqués ou pelés}, mondés {décortiqués ou pelés} et tranchés ou concassés, perlés ainsi que seulement concassés)</v>
      </c>
      <c r="E119" s="86" t="e">
        <f>'Comext annuel - EUROSTAT'!C128/10^4</f>
        <v>#VALUE!</v>
      </c>
      <c r="F119" s="86" t="e">
        <f>'Comext annuel - EUROSTAT'!D128/10^4</f>
        <v>#VALUE!</v>
      </c>
      <c r="G119" s="86" t="e">
        <f>'Comext annuel - EUROSTAT'!E128/10^4</f>
        <v>#VALUE!</v>
      </c>
      <c r="H119" s="86" t="e">
        <f>'Comext annuel - EUROSTAT'!F128/10^4</f>
        <v>#VALUE!</v>
      </c>
      <c r="I119" s="86" t="e">
        <f>'Comext annuel - EUROSTAT'!G128/10^4</f>
        <v>#VALUE!</v>
      </c>
      <c r="J119" s="86" t="e">
        <f>'Comext annuel - EUROSTAT'!H128/10^4</f>
        <v>#VALUE!</v>
      </c>
      <c r="K119" s="86">
        <f>SUM('Comext mensuel - EUROSTAT'!C128,'Comext mensuel - EUROSTAT'!E128,'Comext mensuel - EUROSTAT'!G128,'Comext mensuel - EUROSTAT'!I128,'Comext mensuel - EUROSTAT'!K128,'Comext mensuel - EUROSTAT'!M128,'Comext mensuel - EUROSTAT'!O128,'Comext mensuel - EUROSTAT'!Q128,'Comext mensuel - EUROSTAT'!S128,'Comext mensuel - EUROSTAT'!U128,'Comext mensuel - EUROSTAT'!W128,'Comext mensuel - EUROSTAT'!Y128)/10^4</f>
        <v>0</v>
      </c>
      <c r="L119" s="86">
        <f>SUM('Comext mensuel - EUROSTAT'!D128,'Comext mensuel - EUROSTAT'!F128,'Comext mensuel - EUROSTAT'!H128,'Comext mensuel - EUROSTAT'!J128,'Comext mensuel - EUROSTAT'!L128,'Comext mensuel - EUROSTAT'!N128,'Comext mensuel - EUROSTAT'!P128,'Comext mensuel - EUROSTAT'!R128,'Comext mensuel - EUROSTAT'!T128,'Comext mensuel - EUROSTAT'!V128,'Comext mensuel - EUROSTAT'!X128,'Comext mensuel - EUROSTAT'!Z128)/10^4</f>
        <v>0</v>
      </c>
      <c r="M119" s="86">
        <f>SUM('Comext mensuel - EUROSTAT'!AA128,'Comext mensuel - EUROSTAT'!AC128,'Comext mensuel - EUROSTAT'!AE128,'Comext mensuel - EUROSTAT'!AG128,'Comext mensuel - EUROSTAT'!AI128,'Comext mensuel - EUROSTAT'!AK128,'Comext mensuel - EUROSTAT'!AM128,'Comext mensuel - EUROSTAT'!AO128,'Comext mensuel - EUROSTAT'!AQ128,'Comext mensuel - EUROSTAT'!AS128,'Comext mensuel - EUROSTAT'!AU128,'Comext mensuel - EUROSTAT'!AW128)/10^4</f>
        <v>0</v>
      </c>
      <c r="N119" s="86">
        <f>SUM('Comext mensuel - EUROSTAT'!AB128,'Comext mensuel - EUROSTAT'!AD128,'Comext mensuel - EUROSTAT'!AF128,'Comext mensuel - EUROSTAT'!AH128,'Comext mensuel - EUROSTAT'!AJ128,'Comext mensuel - EUROSTAT'!AL128,'Comext mensuel - EUROSTAT'!AN128,'Comext mensuel - EUROSTAT'!AP128,'Comext mensuel - EUROSTAT'!AR128,'Comext mensuel - EUROSTAT'!AT128,'Comext mensuel - EUROSTAT'!AV128,'Comext mensuel - EUROSTAT'!AX128)/10^4</f>
        <v>0</v>
      </c>
      <c r="O119" s="86">
        <f>SUM('Comext mensuel - EUROSTAT'!AY128,'Comext mensuel - EUROSTAT'!BA128,'Comext mensuel - EUROSTAT'!BC128,'Comext mensuel - EUROSTAT'!BE128,'Comext mensuel - EUROSTAT'!BG128,'Comext mensuel - EUROSTAT'!BI128,'Comext mensuel - EUROSTAT'!BK128,'Comext mensuel - EUROSTAT'!BM128,'Comext mensuel - EUROSTAT'!BO128,'Comext mensuel - EUROSTAT'!BQ128,'Comext mensuel - EUROSTAT'!BS128,'Comext mensuel - EUROSTAT'!BU128)/10^4</f>
        <v>0</v>
      </c>
      <c r="P119" s="86">
        <f>SUM('Comext mensuel - EUROSTAT'!AZ128,'Comext mensuel - EUROSTAT'!BB128,'Comext mensuel - EUROSTAT'!BD128,'Comext mensuel - EUROSTAT'!BF128,'Comext mensuel - EUROSTAT'!BH128,'Comext mensuel - EUROSTAT'!BJ128,'Comext mensuel - EUROSTAT'!BL128,'Comext mensuel - EUROSTAT'!BN128,'Comext mensuel - EUROSTAT'!BP128,'Comext mensuel - EUROSTAT'!BR128,'Comext mensuel - EUROSTAT'!BT128,'Comext mensuel - EUROSTAT'!BV128)/10^4</f>
        <v>0</v>
      </c>
    </row>
    <row r="120" spans="1:16">
      <c r="A120" t="s">
        <v>306</v>
      </c>
      <c r="B120" t="s">
        <v>984</v>
      </c>
      <c r="C120" s="693"/>
      <c r="D120" t="str">
        <f>'Comext annuel - EUROSTAT'!B129</f>
        <v>Grains d'avoine (à l'excl. des grains mondés {décortiqués ou pelés}, des grains mondés et tranchés ou concassés {dits grutze ou grutten}, des grains perlés et des grains seulement concassés)</v>
      </c>
      <c r="E120" s="86" t="e">
        <f>'Comext annuel - EUROSTAT'!C129/10^4</f>
        <v>#VALUE!</v>
      </c>
      <c r="F120" s="86" t="e">
        <f>'Comext annuel - EUROSTAT'!D129/10^4</f>
        <v>#VALUE!</v>
      </c>
      <c r="G120" s="86" t="e">
        <f>'Comext annuel - EUROSTAT'!E129/10^4</f>
        <v>#VALUE!</v>
      </c>
      <c r="H120" s="86" t="e">
        <f>'Comext annuel - EUROSTAT'!F129/10^4</f>
        <v>#VALUE!</v>
      </c>
      <c r="I120" s="86" t="e">
        <f>'Comext annuel - EUROSTAT'!G129/10^4</f>
        <v>#VALUE!</v>
      </c>
      <c r="J120" s="86" t="e">
        <f>'Comext annuel - EUROSTAT'!H129/10^4</f>
        <v>#VALUE!</v>
      </c>
      <c r="K120" s="86">
        <f>SUM('Comext mensuel - EUROSTAT'!C129,'Comext mensuel - EUROSTAT'!E129,'Comext mensuel - EUROSTAT'!G129,'Comext mensuel - EUROSTAT'!I129,'Comext mensuel - EUROSTAT'!K129,'Comext mensuel - EUROSTAT'!M129,'Comext mensuel - EUROSTAT'!O129,'Comext mensuel - EUROSTAT'!Q129,'Comext mensuel - EUROSTAT'!S129,'Comext mensuel - EUROSTAT'!U129,'Comext mensuel - EUROSTAT'!W129,'Comext mensuel - EUROSTAT'!Y129)/10^4</f>
        <v>0</v>
      </c>
      <c r="L120" s="86">
        <f>SUM('Comext mensuel - EUROSTAT'!D129,'Comext mensuel - EUROSTAT'!F129,'Comext mensuel - EUROSTAT'!H129,'Comext mensuel - EUROSTAT'!J129,'Comext mensuel - EUROSTAT'!L129,'Comext mensuel - EUROSTAT'!N129,'Comext mensuel - EUROSTAT'!P129,'Comext mensuel - EUROSTAT'!R129,'Comext mensuel - EUROSTAT'!T129,'Comext mensuel - EUROSTAT'!V129,'Comext mensuel - EUROSTAT'!X129,'Comext mensuel - EUROSTAT'!Z129)/10^4</f>
        <v>0</v>
      </c>
      <c r="M120" s="86">
        <f>SUM('Comext mensuel - EUROSTAT'!AA129,'Comext mensuel - EUROSTAT'!AC129,'Comext mensuel - EUROSTAT'!AE129,'Comext mensuel - EUROSTAT'!AG129,'Comext mensuel - EUROSTAT'!AI129,'Comext mensuel - EUROSTAT'!AK129,'Comext mensuel - EUROSTAT'!AM129,'Comext mensuel - EUROSTAT'!AO129,'Comext mensuel - EUROSTAT'!AQ129,'Comext mensuel - EUROSTAT'!AS129,'Comext mensuel - EUROSTAT'!AU129,'Comext mensuel - EUROSTAT'!AW129)/10^4</f>
        <v>0</v>
      </c>
      <c r="N120" s="86">
        <f>SUM('Comext mensuel - EUROSTAT'!AB129,'Comext mensuel - EUROSTAT'!AD129,'Comext mensuel - EUROSTAT'!AF129,'Comext mensuel - EUROSTAT'!AH129,'Comext mensuel - EUROSTAT'!AJ129,'Comext mensuel - EUROSTAT'!AL129,'Comext mensuel - EUROSTAT'!AN129,'Comext mensuel - EUROSTAT'!AP129,'Comext mensuel - EUROSTAT'!AR129,'Comext mensuel - EUROSTAT'!AT129,'Comext mensuel - EUROSTAT'!AV129,'Comext mensuel - EUROSTAT'!AX129)/10^4</f>
        <v>0</v>
      </c>
      <c r="O120" s="86">
        <f>SUM('Comext mensuel - EUROSTAT'!AY129,'Comext mensuel - EUROSTAT'!BA129,'Comext mensuel - EUROSTAT'!BC129,'Comext mensuel - EUROSTAT'!BE129,'Comext mensuel - EUROSTAT'!BG129,'Comext mensuel - EUROSTAT'!BI129,'Comext mensuel - EUROSTAT'!BK129,'Comext mensuel - EUROSTAT'!BM129,'Comext mensuel - EUROSTAT'!BO129,'Comext mensuel - EUROSTAT'!BQ129,'Comext mensuel - EUROSTAT'!BS129,'Comext mensuel - EUROSTAT'!BU129)/10^4</f>
        <v>0</v>
      </c>
      <c r="P120" s="86">
        <f>SUM('Comext mensuel - EUROSTAT'!AZ129,'Comext mensuel - EUROSTAT'!BB129,'Comext mensuel - EUROSTAT'!BD129,'Comext mensuel - EUROSTAT'!BF129,'Comext mensuel - EUROSTAT'!BH129,'Comext mensuel - EUROSTAT'!BJ129,'Comext mensuel - EUROSTAT'!BL129,'Comext mensuel - EUROSTAT'!BN129,'Comext mensuel - EUROSTAT'!BP129,'Comext mensuel - EUROSTAT'!BR129,'Comext mensuel - EUROSTAT'!BT129,'Comext mensuel - EUROSTAT'!BV129)/10^4</f>
        <v>0</v>
      </c>
    </row>
    <row r="121" spans="1:16">
      <c r="A121" t="s">
        <v>307</v>
      </c>
      <c r="B121" t="s">
        <v>984</v>
      </c>
      <c r="C121" s="693"/>
      <c r="D121" t="str">
        <f>'Comext annuel - EUROSTAT'!B130</f>
        <v>Grains de maïs, mondés, même tranchés ou concassés; grains de maïs perlés</v>
      </c>
      <c r="E121" s="86">
        <f>'Comext annuel - EUROSTAT'!C130/10^4</f>
        <v>4.0101269999999998</v>
      </c>
      <c r="F121" s="86">
        <f>'Comext annuel - EUROSTAT'!D130/10^4</f>
        <v>2.3711519999999999</v>
      </c>
      <c r="G121" s="86">
        <f>'Comext annuel - EUROSTAT'!E130/10^4</f>
        <v>5.3292080000000004</v>
      </c>
      <c r="H121" s="86">
        <f>'Comext annuel - EUROSTAT'!F130/10^4</f>
        <v>0.82380599999999993</v>
      </c>
      <c r="I121" s="86">
        <f>'Comext annuel - EUROSTAT'!G130/10^4</f>
        <v>4.7251629999999993</v>
      </c>
      <c r="J121" s="86">
        <f>'Comext annuel - EUROSTAT'!H130/10^4</f>
        <v>2.9758049999999998</v>
      </c>
      <c r="K121" s="86">
        <f>SUM('Comext mensuel - EUROSTAT'!C130,'Comext mensuel - EUROSTAT'!E130,'Comext mensuel - EUROSTAT'!G130,'Comext mensuel - EUROSTAT'!I130,'Comext mensuel - EUROSTAT'!K130,'Comext mensuel - EUROSTAT'!M130,'Comext mensuel - EUROSTAT'!O130,'Comext mensuel - EUROSTAT'!Q130,'Comext mensuel - EUROSTAT'!S130,'Comext mensuel - EUROSTAT'!U130,'Comext mensuel - EUROSTAT'!W130,'Comext mensuel - EUROSTAT'!Y130)/10^4</f>
        <v>4.1175160000000002</v>
      </c>
      <c r="L121" s="86">
        <f>SUM('Comext mensuel - EUROSTAT'!D130,'Comext mensuel - EUROSTAT'!F130,'Comext mensuel - EUROSTAT'!H130,'Comext mensuel - EUROSTAT'!J130,'Comext mensuel - EUROSTAT'!L130,'Comext mensuel - EUROSTAT'!N130,'Comext mensuel - EUROSTAT'!P130,'Comext mensuel - EUROSTAT'!R130,'Comext mensuel - EUROSTAT'!T130,'Comext mensuel - EUROSTAT'!V130,'Comext mensuel - EUROSTAT'!X130,'Comext mensuel - EUROSTAT'!Z130)/10^4</f>
        <v>2.6987959999999998</v>
      </c>
      <c r="M121" s="86">
        <f>SUM('Comext mensuel - EUROSTAT'!AA130,'Comext mensuel - EUROSTAT'!AC130,'Comext mensuel - EUROSTAT'!AE130,'Comext mensuel - EUROSTAT'!AG130,'Comext mensuel - EUROSTAT'!AI130,'Comext mensuel - EUROSTAT'!AK130,'Comext mensuel - EUROSTAT'!AM130,'Comext mensuel - EUROSTAT'!AO130,'Comext mensuel - EUROSTAT'!AQ130,'Comext mensuel - EUROSTAT'!AS130,'Comext mensuel - EUROSTAT'!AU130,'Comext mensuel - EUROSTAT'!AW130)/10^4</f>
        <v>5.8457280000000003</v>
      </c>
      <c r="N121" s="86">
        <f>SUM('Comext mensuel - EUROSTAT'!AB130,'Comext mensuel - EUROSTAT'!AD130,'Comext mensuel - EUROSTAT'!AF130,'Comext mensuel - EUROSTAT'!AH130,'Comext mensuel - EUROSTAT'!AJ130,'Comext mensuel - EUROSTAT'!AL130,'Comext mensuel - EUROSTAT'!AN130,'Comext mensuel - EUROSTAT'!AP130,'Comext mensuel - EUROSTAT'!AR130,'Comext mensuel - EUROSTAT'!AT130,'Comext mensuel - EUROSTAT'!AV130,'Comext mensuel - EUROSTAT'!AX130)/10^4</f>
        <v>0.94646299999999994</v>
      </c>
      <c r="O121" s="86">
        <f>SUM('Comext mensuel - EUROSTAT'!AY130,'Comext mensuel - EUROSTAT'!BA130,'Comext mensuel - EUROSTAT'!BC130,'Comext mensuel - EUROSTAT'!BE130,'Comext mensuel - EUROSTAT'!BG130,'Comext mensuel - EUROSTAT'!BI130,'Comext mensuel - EUROSTAT'!BK130,'Comext mensuel - EUROSTAT'!BM130,'Comext mensuel - EUROSTAT'!BO130,'Comext mensuel - EUROSTAT'!BQ130,'Comext mensuel - EUROSTAT'!BS130,'Comext mensuel - EUROSTAT'!BU130)/10^4</f>
        <v>5.2191749999999999</v>
      </c>
      <c r="P121" s="86">
        <f>SUM('Comext mensuel - EUROSTAT'!AZ130,'Comext mensuel - EUROSTAT'!BB130,'Comext mensuel - EUROSTAT'!BD130,'Comext mensuel - EUROSTAT'!BF130,'Comext mensuel - EUROSTAT'!BH130,'Comext mensuel - EUROSTAT'!BJ130,'Comext mensuel - EUROSTAT'!BL130,'Comext mensuel - EUROSTAT'!BN130,'Comext mensuel - EUROSTAT'!BP130,'Comext mensuel - EUROSTAT'!BR130,'Comext mensuel - EUROSTAT'!BT130,'Comext mensuel - EUROSTAT'!BV130)/10^4</f>
        <v>2.9849000000000001</v>
      </c>
    </row>
    <row r="122" spans="1:16">
      <c r="A122" t="s">
        <v>307</v>
      </c>
      <c r="B122" t="s">
        <v>984</v>
      </c>
      <c r="C122" s="693"/>
      <c r="D122" t="str">
        <f>'Comext annuel - EUROSTAT'!B131</f>
        <v>Grains de maïs, mondés, perlés ou autrement travaillés (à l'excl. de la farine de maïs et des grains de maïs aplatis, en flocons, mondés, perlés et en pellets)</v>
      </c>
      <c r="E122" s="86">
        <f>'Comext annuel - EUROSTAT'!C131/10^4</f>
        <v>0.75376200000000004</v>
      </c>
      <c r="F122" s="86">
        <f>'Comext annuel - EUROSTAT'!D131/10^4</f>
        <v>1.46699</v>
      </c>
      <c r="G122" s="86">
        <f>'Comext annuel - EUROSTAT'!E131/10^4</f>
        <v>1.2604090000000001</v>
      </c>
      <c r="H122" s="86">
        <f>'Comext annuel - EUROSTAT'!F131/10^4</f>
        <v>1.1120110000000001</v>
      </c>
      <c r="I122" s="86">
        <f>'Comext annuel - EUROSTAT'!G131/10^4</f>
        <v>0.52219700000000002</v>
      </c>
      <c r="J122" s="86">
        <f>'Comext annuel - EUROSTAT'!H131/10^4</f>
        <v>0.70030300000000001</v>
      </c>
      <c r="K122" s="86">
        <f>SUM('Comext mensuel - EUROSTAT'!C131,'Comext mensuel - EUROSTAT'!E131,'Comext mensuel - EUROSTAT'!G131,'Comext mensuel - EUROSTAT'!I131,'Comext mensuel - EUROSTAT'!K131,'Comext mensuel - EUROSTAT'!M131,'Comext mensuel - EUROSTAT'!O131,'Comext mensuel - EUROSTAT'!Q131,'Comext mensuel - EUROSTAT'!S131,'Comext mensuel - EUROSTAT'!U131,'Comext mensuel - EUROSTAT'!W131,'Comext mensuel - EUROSTAT'!Y131)/10^4</f>
        <v>0.76466000000000001</v>
      </c>
      <c r="L122" s="86">
        <f>SUM('Comext mensuel - EUROSTAT'!D131,'Comext mensuel - EUROSTAT'!F131,'Comext mensuel - EUROSTAT'!H131,'Comext mensuel - EUROSTAT'!J131,'Comext mensuel - EUROSTAT'!L131,'Comext mensuel - EUROSTAT'!N131,'Comext mensuel - EUROSTAT'!P131,'Comext mensuel - EUROSTAT'!R131,'Comext mensuel - EUROSTAT'!T131,'Comext mensuel - EUROSTAT'!V131,'Comext mensuel - EUROSTAT'!X131,'Comext mensuel - EUROSTAT'!Z131)/10^4</f>
        <v>2.3569880000000003</v>
      </c>
      <c r="M122" s="86">
        <f>SUM('Comext mensuel - EUROSTAT'!AA131,'Comext mensuel - EUROSTAT'!AC131,'Comext mensuel - EUROSTAT'!AE131,'Comext mensuel - EUROSTAT'!AG131,'Comext mensuel - EUROSTAT'!AI131,'Comext mensuel - EUROSTAT'!AK131,'Comext mensuel - EUROSTAT'!AM131,'Comext mensuel - EUROSTAT'!AO131,'Comext mensuel - EUROSTAT'!AQ131,'Comext mensuel - EUROSTAT'!AS131,'Comext mensuel - EUROSTAT'!AU131,'Comext mensuel - EUROSTAT'!AW131)/10^4</f>
        <v>1.4033770000000003</v>
      </c>
      <c r="N122" s="86">
        <f>SUM('Comext mensuel - EUROSTAT'!AB131,'Comext mensuel - EUROSTAT'!AD131,'Comext mensuel - EUROSTAT'!AF131,'Comext mensuel - EUROSTAT'!AH131,'Comext mensuel - EUROSTAT'!AJ131,'Comext mensuel - EUROSTAT'!AL131,'Comext mensuel - EUROSTAT'!AN131,'Comext mensuel - EUROSTAT'!AP131,'Comext mensuel - EUROSTAT'!AR131,'Comext mensuel - EUROSTAT'!AT131,'Comext mensuel - EUROSTAT'!AV131,'Comext mensuel - EUROSTAT'!AX131)/10^4</f>
        <v>0.55211699999999997</v>
      </c>
      <c r="O122" s="86">
        <f>SUM('Comext mensuel - EUROSTAT'!AY131,'Comext mensuel - EUROSTAT'!BA131,'Comext mensuel - EUROSTAT'!BC131,'Comext mensuel - EUROSTAT'!BE131,'Comext mensuel - EUROSTAT'!BG131,'Comext mensuel - EUROSTAT'!BI131,'Comext mensuel - EUROSTAT'!BK131,'Comext mensuel - EUROSTAT'!BM131,'Comext mensuel - EUROSTAT'!BO131,'Comext mensuel - EUROSTAT'!BQ131,'Comext mensuel - EUROSTAT'!BS131,'Comext mensuel - EUROSTAT'!BU131)/10^4</f>
        <v>0.48102200000000012</v>
      </c>
      <c r="P122" s="86">
        <f>SUM('Comext mensuel - EUROSTAT'!AZ131,'Comext mensuel - EUROSTAT'!BB131,'Comext mensuel - EUROSTAT'!BD131,'Comext mensuel - EUROSTAT'!BF131,'Comext mensuel - EUROSTAT'!BH131,'Comext mensuel - EUROSTAT'!BJ131,'Comext mensuel - EUROSTAT'!BL131,'Comext mensuel - EUROSTAT'!BN131,'Comext mensuel - EUROSTAT'!BP131,'Comext mensuel - EUROSTAT'!BR131,'Comext mensuel - EUROSTAT'!BT131,'Comext mensuel - EUROSTAT'!BV131)/10^4</f>
        <v>0.84429200000000004</v>
      </c>
    </row>
    <row r="123" spans="1:16">
      <c r="A123" t="s">
        <v>307</v>
      </c>
      <c r="B123" t="s">
        <v>984</v>
      </c>
      <c r="C123" s="693"/>
      <c r="D123" t="str">
        <f>'Comext annuel - EUROSTAT'!B132</f>
        <v>Grains de maïs (à l'excl. des grains mondés {décortiqués ou pelés}, même tranchés ou concassés, des grains perlés et des grains seulement concassés)</v>
      </c>
      <c r="E123" s="86" t="e">
        <f>'Comext annuel - EUROSTAT'!C132/10^4</f>
        <v>#VALUE!</v>
      </c>
      <c r="F123" s="86" t="e">
        <f>'Comext annuel - EUROSTAT'!D132/10^4</f>
        <v>#VALUE!</v>
      </c>
      <c r="G123" s="86" t="e">
        <f>'Comext annuel - EUROSTAT'!E132/10^4</f>
        <v>#VALUE!</v>
      </c>
      <c r="H123" s="86" t="e">
        <f>'Comext annuel - EUROSTAT'!F132/10^4</f>
        <v>#VALUE!</v>
      </c>
      <c r="I123" s="86" t="e">
        <f>'Comext annuel - EUROSTAT'!G132/10^4</f>
        <v>#VALUE!</v>
      </c>
      <c r="J123" s="86" t="e">
        <f>'Comext annuel - EUROSTAT'!H132/10^4</f>
        <v>#VALUE!</v>
      </c>
      <c r="K123" s="86">
        <f>SUM('Comext mensuel - EUROSTAT'!C132,'Comext mensuel - EUROSTAT'!E132,'Comext mensuel - EUROSTAT'!G132,'Comext mensuel - EUROSTAT'!I132,'Comext mensuel - EUROSTAT'!K132,'Comext mensuel - EUROSTAT'!M132,'Comext mensuel - EUROSTAT'!O132,'Comext mensuel - EUROSTAT'!Q132,'Comext mensuel - EUROSTAT'!S132,'Comext mensuel - EUROSTAT'!U132,'Comext mensuel - EUROSTAT'!W132,'Comext mensuel - EUROSTAT'!Y132)/10^4</f>
        <v>0</v>
      </c>
      <c r="L123" s="86">
        <f>SUM('Comext mensuel - EUROSTAT'!D132,'Comext mensuel - EUROSTAT'!F132,'Comext mensuel - EUROSTAT'!H132,'Comext mensuel - EUROSTAT'!J132,'Comext mensuel - EUROSTAT'!L132,'Comext mensuel - EUROSTAT'!N132,'Comext mensuel - EUROSTAT'!P132,'Comext mensuel - EUROSTAT'!R132,'Comext mensuel - EUROSTAT'!T132,'Comext mensuel - EUROSTAT'!V132,'Comext mensuel - EUROSTAT'!X132,'Comext mensuel - EUROSTAT'!Z132)/10^4</f>
        <v>0</v>
      </c>
      <c r="M123" s="86">
        <f>SUM('Comext mensuel - EUROSTAT'!AA132,'Comext mensuel - EUROSTAT'!AC132,'Comext mensuel - EUROSTAT'!AE132,'Comext mensuel - EUROSTAT'!AG132,'Comext mensuel - EUROSTAT'!AI132,'Comext mensuel - EUROSTAT'!AK132,'Comext mensuel - EUROSTAT'!AM132,'Comext mensuel - EUROSTAT'!AO132,'Comext mensuel - EUROSTAT'!AQ132,'Comext mensuel - EUROSTAT'!AS132,'Comext mensuel - EUROSTAT'!AU132,'Comext mensuel - EUROSTAT'!AW132)/10^4</f>
        <v>0</v>
      </c>
      <c r="N123" s="86">
        <f>SUM('Comext mensuel - EUROSTAT'!AB132,'Comext mensuel - EUROSTAT'!AD132,'Comext mensuel - EUROSTAT'!AF132,'Comext mensuel - EUROSTAT'!AH132,'Comext mensuel - EUROSTAT'!AJ132,'Comext mensuel - EUROSTAT'!AL132,'Comext mensuel - EUROSTAT'!AN132,'Comext mensuel - EUROSTAT'!AP132,'Comext mensuel - EUROSTAT'!AR132,'Comext mensuel - EUROSTAT'!AT132,'Comext mensuel - EUROSTAT'!AV132,'Comext mensuel - EUROSTAT'!AX132)/10^4</f>
        <v>0</v>
      </c>
      <c r="O123" s="86">
        <f>SUM('Comext mensuel - EUROSTAT'!AY132,'Comext mensuel - EUROSTAT'!BA132,'Comext mensuel - EUROSTAT'!BC132,'Comext mensuel - EUROSTAT'!BE132,'Comext mensuel - EUROSTAT'!BG132,'Comext mensuel - EUROSTAT'!BI132,'Comext mensuel - EUROSTAT'!BK132,'Comext mensuel - EUROSTAT'!BM132,'Comext mensuel - EUROSTAT'!BO132,'Comext mensuel - EUROSTAT'!BQ132,'Comext mensuel - EUROSTAT'!BS132,'Comext mensuel - EUROSTAT'!BU132)/10^4</f>
        <v>0</v>
      </c>
      <c r="P123" s="86">
        <f>SUM('Comext mensuel - EUROSTAT'!AZ132,'Comext mensuel - EUROSTAT'!BB132,'Comext mensuel - EUROSTAT'!BD132,'Comext mensuel - EUROSTAT'!BF132,'Comext mensuel - EUROSTAT'!BH132,'Comext mensuel - EUROSTAT'!BJ132,'Comext mensuel - EUROSTAT'!BL132,'Comext mensuel - EUROSTAT'!BN132,'Comext mensuel - EUROSTAT'!BP132,'Comext mensuel - EUROSTAT'!BR132,'Comext mensuel - EUROSTAT'!BT132,'Comext mensuel - EUROSTAT'!BV132)/10^4</f>
        <v>0</v>
      </c>
    </row>
    <row r="124" spans="1:16">
      <c r="A124" t="s">
        <v>173</v>
      </c>
      <c r="B124" t="s">
        <v>984</v>
      </c>
      <c r="C124" s="693"/>
      <c r="D124" t="str">
        <f>'Comext annuel - EUROSTAT'!B133</f>
        <v>Grains d'orge, mondés {décortiqués ou pelés}</v>
      </c>
      <c r="E124" s="86" t="e">
        <f>'Comext annuel - EUROSTAT'!C133/10^4</f>
        <v>#VALUE!</v>
      </c>
      <c r="F124" s="86" t="e">
        <f>'Comext annuel - EUROSTAT'!D133/10^4</f>
        <v>#VALUE!</v>
      </c>
      <c r="G124" s="86" t="e">
        <f>'Comext annuel - EUROSTAT'!E133/10^4</f>
        <v>#VALUE!</v>
      </c>
      <c r="H124" s="86" t="e">
        <f>'Comext annuel - EUROSTAT'!F133/10^4</f>
        <v>#VALUE!</v>
      </c>
      <c r="I124" s="86" t="e">
        <f>'Comext annuel - EUROSTAT'!G133/10^4</f>
        <v>#VALUE!</v>
      </c>
      <c r="J124" s="86" t="e">
        <f>'Comext annuel - EUROSTAT'!H133/10^4</f>
        <v>#VALUE!</v>
      </c>
      <c r="K124" s="86">
        <f>SUM('Comext mensuel - EUROSTAT'!C133,'Comext mensuel - EUROSTAT'!E133,'Comext mensuel - EUROSTAT'!G133,'Comext mensuel - EUROSTAT'!I133,'Comext mensuel - EUROSTAT'!K133,'Comext mensuel - EUROSTAT'!M133,'Comext mensuel - EUROSTAT'!O133,'Comext mensuel - EUROSTAT'!Q133,'Comext mensuel - EUROSTAT'!S133,'Comext mensuel - EUROSTAT'!U133,'Comext mensuel - EUROSTAT'!W133,'Comext mensuel - EUROSTAT'!Y133)/10^4</f>
        <v>0</v>
      </c>
      <c r="L124" s="86">
        <f>SUM('Comext mensuel - EUROSTAT'!D133,'Comext mensuel - EUROSTAT'!F133,'Comext mensuel - EUROSTAT'!H133,'Comext mensuel - EUROSTAT'!J133,'Comext mensuel - EUROSTAT'!L133,'Comext mensuel - EUROSTAT'!N133,'Comext mensuel - EUROSTAT'!P133,'Comext mensuel - EUROSTAT'!R133,'Comext mensuel - EUROSTAT'!T133,'Comext mensuel - EUROSTAT'!V133,'Comext mensuel - EUROSTAT'!X133,'Comext mensuel - EUROSTAT'!Z133)/10^4</f>
        <v>0</v>
      </c>
      <c r="M124" s="86">
        <f>SUM('Comext mensuel - EUROSTAT'!AA133,'Comext mensuel - EUROSTAT'!AC133,'Comext mensuel - EUROSTAT'!AE133,'Comext mensuel - EUROSTAT'!AG133,'Comext mensuel - EUROSTAT'!AI133,'Comext mensuel - EUROSTAT'!AK133,'Comext mensuel - EUROSTAT'!AM133,'Comext mensuel - EUROSTAT'!AO133,'Comext mensuel - EUROSTAT'!AQ133,'Comext mensuel - EUROSTAT'!AS133,'Comext mensuel - EUROSTAT'!AU133,'Comext mensuel - EUROSTAT'!AW133)/10^4</f>
        <v>0</v>
      </c>
      <c r="N124" s="86">
        <f>SUM('Comext mensuel - EUROSTAT'!AB133,'Comext mensuel - EUROSTAT'!AD133,'Comext mensuel - EUROSTAT'!AF133,'Comext mensuel - EUROSTAT'!AH133,'Comext mensuel - EUROSTAT'!AJ133,'Comext mensuel - EUROSTAT'!AL133,'Comext mensuel - EUROSTAT'!AN133,'Comext mensuel - EUROSTAT'!AP133,'Comext mensuel - EUROSTAT'!AR133,'Comext mensuel - EUROSTAT'!AT133,'Comext mensuel - EUROSTAT'!AV133,'Comext mensuel - EUROSTAT'!AX133)/10^4</f>
        <v>0</v>
      </c>
      <c r="O124" s="86">
        <f>SUM('Comext mensuel - EUROSTAT'!AY133,'Comext mensuel - EUROSTAT'!BA133,'Comext mensuel - EUROSTAT'!BC133,'Comext mensuel - EUROSTAT'!BE133,'Comext mensuel - EUROSTAT'!BG133,'Comext mensuel - EUROSTAT'!BI133,'Comext mensuel - EUROSTAT'!BK133,'Comext mensuel - EUROSTAT'!BM133,'Comext mensuel - EUROSTAT'!BO133,'Comext mensuel - EUROSTAT'!BQ133,'Comext mensuel - EUROSTAT'!BS133,'Comext mensuel - EUROSTAT'!BU133)/10^4</f>
        <v>0</v>
      </c>
      <c r="P124" s="86">
        <f>SUM('Comext mensuel - EUROSTAT'!AZ133,'Comext mensuel - EUROSTAT'!BB133,'Comext mensuel - EUROSTAT'!BD133,'Comext mensuel - EUROSTAT'!BF133,'Comext mensuel - EUROSTAT'!BH133,'Comext mensuel - EUROSTAT'!BJ133,'Comext mensuel - EUROSTAT'!BL133,'Comext mensuel - EUROSTAT'!BN133,'Comext mensuel - EUROSTAT'!BP133,'Comext mensuel - EUROSTAT'!BR133,'Comext mensuel - EUROSTAT'!BT133,'Comext mensuel - EUROSTAT'!BV133)/10^4</f>
        <v>0</v>
      </c>
    </row>
    <row r="125" spans="1:16">
      <c r="A125" t="s">
        <v>173</v>
      </c>
      <c r="B125" t="s">
        <v>984</v>
      </c>
      <c r="C125" s="693"/>
      <c r="D125" t="str">
        <f>'Comext annuel - EUROSTAT'!B134</f>
        <v>Grains d'orge, mondés et tranchés ou concassés, dits 'Grütze' ou 'grutten'</v>
      </c>
      <c r="E125" s="86" t="e">
        <f>'Comext annuel - EUROSTAT'!C134/10^4</f>
        <v>#VALUE!</v>
      </c>
      <c r="F125" s="86" t="e">
        <f>'Comext annuel - EUROSTAT'!D134/10^4</f>
        <v>#VALUE!</v>
      </c>
      <c r="G125" s="86" t="e">
        <f>'Comext annuel - EUROSTAT'!E134/10^4</f>
        <v>#VALUE!</v>
      </c>
      <c r="H125" s="86" t="e">
        <f>'Comext annuel - EUROSTAT'!F134/10^4</f>
        <v>#VALUE!</v>
      </c>
      <c r="I125" s="86" t="e">
        <f>'Comext annuel - EUROSTAT'!G134/10^4</f>
        <v>#VALUE!</v>
      </c>
      <c r="J125" s="86" t="e">
        <f>'Comext annuel - EUROSTAT'!H134/10^4</f>
        <v>#VALUE!</v>
      </c>
      <c r="K125" s="86">
        <f>SUM('Comext mensuel - EUROSTAT'!C134,'Comext mensuel - EUROSTAT'!E134,'Comext mensuel - EUROSTAT'!G134,'Comext mensuel - EUROSTAT'!I134,'Comext mensuel - EUROSTAT'!K134,'Comext mensuel - EUROSTAT'!M134,'Comext mensuel - EUROSTAT'!O134,'Comext mensuel - EUROSTAT'!Q134,'Comext mensuel - EUROSTAT'!S134,'Comext mensuel - EUROSTAT'!U134,'Comext mensuel - EUROSTAT'!W134,'Comext mensuel - EUROSTAT'!Y134)/10^4</f>
        <v>0</v>
      </c>
      <c r="L125" s="86">
        <f>SUM('Comext mensuel - EUROSTAT'!D134,'Comext mensuel - EUROSTAT'!F134,'Comext mensuel - EUROSTAT'!H134,'Comext mensuel - EUROSTAT'!J134,'Comext mensuel - EUROSTAT'!L134,'Comext mensuel - EUROSTAT'!N134,'Comext mensuel - EUROSTAT'!P134,'Comext mensuel - EUROSTAT'!R134,'Comext mensuel - EUROSTAT'!T134,'Comext mensuel - EUROSTAT'!V134,'Comext mensuel - EUROSTAT'!X134,'Comext mensuel - EUROSTAT'!Z134)/10^4</f>
        <v>0</v>
      </c>
      <c r="M125" s="86">
        <f>SUM('Comext mensuel - EUROSTAT'!AA134,'Comext mensuel - EUROSTAT'!AC134,'Comext mensuel - EUROSTAT'!AE134,'Comext mensuel - EUROSTAT'!AG134,'Comext mensuel - EUROSTAT'!AI134,'Comext mensuel - EUROSTAT'!AK134,'Comext mensuel - EUROSTAT'!AM134,'Comext mensuel - EUROSTAT'!AO134,'Comext mensuel - EUROSTAT'!AQ134,'Comext mensuel - EUROSTAT'!AS134,'Comext mensuel - EUROSTAT'!AU134,'Comext mensuel - EUROSTAT'!AW134)/10^4</f>
        <v>0</v>
      </c>
      <c r="N125" s="86">
        <f>SUM('Comext mensuel - EUROSTAT'!AB134,'Comext mensuel - EUROSTAT'!AD134,'Comext mensuel - EUROSTAT'!AF134,'Comext mensuel - EUROSTAT'!AH134,'Comext mensuel - EUROSTAT'!AJ134,'Comext mensuel - EUROSTAT'!AL134,'Comext mensuel - EUROSTAT'!AN134,'Comext mensuel - EUROSTAT'!AP134,'Comext mensuel - EUROSTAT'!AR134,'Comext mensuel - EUROSTAT'!AT134,'Comext mensuel - EUROSTAT'!AV134,'Comext mensuel - EUROSTAT'!AX134)/10^4</f>
        <v>0</v>
      </c>
      <c r="O125" s="86">
        <f>SUM('Comext mensuel - EUROSTAT'!AY134,'Comext mensuel - EUROSTAT'!BA134,'Comext mensuel - EUROSTAT'!BC134,'Comext mensuel - EUROSTAT'!BE134,'Comext mensuel - EUROSTAT'!BG134,'Comext mensuel - EUROSTAT'!BI134,'Comext mensuel - EUROSTAT'!BK134,'Comext mensuel - EUROSTAT'!BM134,'Comext mensuel - EUROSTAT'!BO134,'Comext mensuel - EUROSTAT'!BQ134,'Comext mensuel - EUROSTAT'!BS134,'Comext mensuel - EUROSTAT'!BU134)/10^4</f>
        <v>0</v>
      </c>
      <c r="P125" s="86">
        <f>SUM('Comext mensuel - EUROSTAT'!AZ134,'Comext mensuel - EUROSTAT'!BB134,'Comext mensuel - EUROSTAT'!BD134,'Comext mensuel - EUROSTAT'!BF134,'Comext mensuel - EUROSTAT'!BH134,'Comext mensuel - EUROSTAT'!BJ134,'Comext mensuel - EUROSTAT'!BL134,'Comext mensuel - EUROSTAT'!BN134,'Comext mensuel - EUROSTAT'!BP134,'Comext mensuel - EUROSTAT'!BR134,'Comext mensuel - EUROSTAT'!BT134,'Comext mensuel - EUROSTAT'!BV134)/10^4</f>
        <v>0</v>
      </c>
    </row>
    <row r="126" spans="1:16">
      <c r="A126" t="s">
        <v>173</v>
      </c>
      <c r="B126" t="s">
        <v>984</v>
      </c>
      <c r="C126" s="693"/>
      <c r="D126" t="str">
        <f>'Comext annuel - EUROSTAT'!B135</f>
        <v>Grains d’orge, mondés, même tranchés ou concassés</v>
      </c>
      <c r="E126" s="86">
        <f>'Comext annuel - EUROSTAT'!C135/10^4</f>
        <v>0.35122800000000004</v>
      </c>
      <c r="F126" s="86">
        <f>'Comext annuel - EUROSTAT'!D135/10^4</f>
        <v>0.15310099999999999</v>
      </c>
      <c r="G126" s="86">
        <f>'Comext annuel - EUROSTAT'!E135/10^4</f>
        <v>0.54439399999999993</v>
      </c>
      <c r="H126" s="86">
        <f>'Comext annuel - EUROSTAT'!F135/10^4</f>
        <v>7.3891999999999999E-2</v>
      </c>
      <c r="I126" s="86">
        <f>'Comext annuel - EUROSTAT'!G135/10^4</f>
        <v>0.28072399999999997</v>
      </c>
      <c r="J126" s="86">
        <f>'Comext annuel - EUROSTAT'!H135/10^4</f>
        <v>0.49805200000000005</v>
      </c>
      <c r="K126" s="86">
        <f>SUM('Comext mensuel - EUROSTAT'!C135,'Comext mensuel - EUROSTAT'!E135,'Comext mensuel - EUROSTAT'!G135,'Comext mensuel - EUROSTAT'!I135,'Comext mensuel - EUROSTAT'!K135,'Comext mensuel - EUROSTAT'!M135,'Comext mensuel - EUROSTAT'!O135,'Comext mensuel - EUROSTAT'!Q135,'Comext mensuel - EUROSTAT'!S135,'Comext mensuel - EUROSTAT'!U135,'Comext mensuel - EUROSTAT'!W135,'Comext mensuel - EUROSTAT'!Y135)/10^4</f>
        <v>0.31745800000000002</v>
      </c>
      <c r="L126" s="86">
        <f>SUM('Comext mensuel - EUROSTAT'!D135,'Comext mensuel - EUROSTAT'!F135,'Comext mensuel - EUROSTAT'!H135,'Comext mensuel - EUROSTAT'!J135,'Comext mensuel - EUROSTAT'!L135,'Comext mensuel - EUROSTAT'!N135,'Comext mensuel - EUROSTAT'!P135,'Comext mensuel - EUROSTAT'!R135,'Comext mensuel - EUROSTAT'!T135,'Comext mensuel - EUROSTAT'!V135,'Comext mensuel - EUROSTAT'!X135,'Comext mensuel - EUROSTAT'!Z135)/10^4</f>
        <v>9.4919000000000003E-2</v>
      </c>
      <c r="M126" s="86">
        <f>SUM('Comext mensuel - EUROSTAT'!AA135,'Comext mensuel - EUROSTAT'!AC135,'Comext mensuel - EUROSTAT'!AE135,'Comext mensuel - EUROSTAT'!AG135,'Comext mensuel - EUROSTAT'!AI135,'Comext mensuel - EUROSTAT'!AK135,'Comext mensuel - EUROSTAT'!AM135,'Comext mensuel - EUROSTAT'!AO135,'Comext mensuel - EUROSTAT'!AQ135,'Comext mensuel - EUROSTAT'!AS135,'Comext mensuel - EUROSTAT'!AU135,'Comext mensuel - EUROSTAT'!AW135)/10^4</f>
        <v>0.57002199999999992</v>
      </c>
      <c r="N126" s="86">
        <f>SUM('Comext mensuel - EUROSTAT'!AB135,'Comext mensuel - EUROSTAT'!AD135,'Comext mensuel - EUROSTAT'!AF135,'Comext mensuel - EUROSTAT'!AH135,'Comext mensuel - EUROSTAT'!AJ135,'Comext mensuel - EUROSTAT'!AL135,'Comext mensuel - EUROSTAT'!AN135,'Comext mensuel - EUROSTAT'!AP135,'Comext mensuel - EUROSTAT'!AR135,'Comext mensuel - EUROSTAT'!AT135,'Comext mensuel - EUROSTAT'!AV135,'Comext mensuel - EUROSTAT'!AX135)/10^4</f>
        <v>8.0099000000000017E-2</v>
      </c>
      <c r="O126" s="86">
        <f>SUM('Comext mensuel - EUROSTAT'!AY135,'Comext mensuel - EUROSTAT'!BA135,'Comext mensuel - EUROSTAT'!BC135,'Comext mensuel - EUROSTAT'!BE135,'Comext mensuel - EUROSTAT'!BG135,'Comext mensuel - EUROSTAT'!BI135,'Comext mensuel - EUROSTAT'!BK135,'Comext mensuel - EUROSTAT'!BM135,'Comext mensuel - EUROSTAT'!BO135,'Comext mensuel - EUROSTAT'!BQ135,'Comext mensuel - EUROSTAT'!BS135,'Comext mensuel - EUROSTAT'!BU135)/10^4</f>
        <v>0.53208299999999986</v>
      </c>
      <c r="P126" s="86">
        <f>SUM('Comext mensuel - EUROSTAT'!AZ135,'Comext mensuel - EUROSTAT'!BB135,'Comext mensuel - EUROSTAT'!BD135,'Comext mensuel - EUROSTAT'!BF135,'Comext mensuel - EUROSTAT'!BH135,'Comext mensuel - EUROSTAT'!BJ135,'Comext mensuel - EUROSTAT'!BL135,'Comext mensuel - EUROSTAT'!BN135,'Comext mensuel - EUROSTAT'!BP135,'Comext mensuel - EUROSTAT'!BR135,'Comext mensuel - EUROSTAT'!BT135,'Comext mensuel - EUROSTAT'!BV135)/10^4</f>
        <v>0.30085800000000001</v>
      </c>
    </row>
    <row r="127" spans="1:16">
      <c r="A127" t="s">
        <v>173</v>
      </c>
      <c r="B127" t="s">
        <v>984</v>
      </c>
      <c r="C127" s="693"/>
      <c r="D127" t="str">
        <f>'Comext annuel - EUROSTAT'!B136</f>
        <v>Grains d'orge, perlés</v>
      </c>
      <c r="E127" s="86">
        <f>'Comext annuel - EUROSTAT'!C136/10^4</f>
        <v>4.5408999999999998E-2</v>
      </c>
      <c r="F127" s="86">
        <f>'Comext annuel - EUROSTAT'!D136/10^4</f>
        <v>1.7394999999999997E-2</v>
      </c>
      <c r="G127" s="86">
        <f>'Comext annuel - EUROSTAT'!E136/10^4</f>
        <v>0.49569200000000002</v>
      </c>
      <c r="H127" s="86">
        <f>'Comext annuel - EUROSTAT'!F136/10^4</f>
        <v>0.39473400000000003</v>
      </c>
      <c r="I127" s="86">
        <f>'Comext annuel - EUROSTAT'!G136/10^4</f>
        <v>0.12595699999999999</v>
      </c>
      <c r="J127" s="86">
        <f>'Comext annuel - EUROSTAT'!H136/10^4</f>
        <v>9.1012999999999997E-2</v>
      </c>
      <c r="K127" s="86">
        <f>SUM('Comext mensuel - EUROSTAT'!C136,'Comext mensuel - EUROSTAT'!E136,'Comext mensuel - EUROSTAT'!G136,'Comext mensuel - EUROSTAT'!I136,'Comext mensuel - EUROSTAT'!K136,'Comext mensuel - EUROSTAT'!M136,'Comext mensuel - EUROSTAT'!O136,'Comext mensuel - EUROSTAT'!Q136,'Comext mensuel - EUROSTAT'!S136,'Comext mensuel - EUROSTAT'!U136,'Comext mensuel - EUROSTAT'!W136,'Comext mensuel - EUROSTAT'!Y136)/10^4</f>
        <v>0.11539400000000001</v>
      </c>
      <c r="L127" s="86">
        <f>SUM('Comext mensuel - EUROSTAT'!D136,'Comext mensuel - EUROSTAT'!F136,'Comext mensuel - EUROSTAT'!H136,'Comext mensuel - EUROSTAT'!J136,'Comext mensuel - EUROSTAT'!L136,'Comext mensuel - EUROSTAT'!N136,'Comext mensuel - EUROSTAT'!P136,'Comext mensuel - EUROSTAT'!R136,'Comext mensuel - EUROSTAT'!T136,'Comext mensuel - EUROSTAT'!V136,'Comext mensuel - EUROSTAT'!X136,'Comext mensuel - EUROSTAT'!Z136)/10^4</f>
        <v>3.2701999999999995E-2</v>
      </c>
      <c r="M127" s="86">
        <f>SUM('Comext mensuel - EUROSTAT'!AA136,'Comext mensuel - EUROSTAT'!AC136,'Comext mensuel - EUROSTAT'!AE136,'Comext mensuel - EUROSTAT'!AG136,'Comext mensuel - EUROSTAT'!AI136,'Comext mensuel - EUROSTAT'!AK136,'Comext mensuel - EUROSTAT'!AM136,'Comext mensuel - EUROSTAT'!AO136,'Comext mensuel - EUROSTAT'!AQ136,'Comext mensuel - EUROSTAT'!AS136,'Comext mensuel - EUROSTAT'!AU136,'Comext mensuel - EUROSTAT'!AW136)/10^4</f>
        <v>0.43075199999999997</v>
      </c>
      <c r="N127" s="86">
        <f>SUM('Comext mensuel - EUROSTAT'!AB136,'Comext mensuel - EUROSTAT'!AD136,'Comext mensuel - EUROSTAT'!AF136,'Comext mensuel - EUROSTAT'!AH136,'Comext mensuel - EUROSTAT'!AJ136,'Comext mensuel - EUROSTAT'!AL136,'Comext mensuel - EUROSTAT'!AN136,'Comext mensuel - EUROSTAT'!AP136,'Comext mensuel - EUROSTAT'!AR136,'Comext mensuel - EUROSTAT'!AT136,'Comext mensuel - EUROSTAT'!AV136,'Comext mensuel - EUROSTAT'!AX136)/10^4</f>
        <v>0.33056999999999997</v>
      </c>
      <c r="O127" s="86">
        <f>SUM('Comext mensuel - EUROSTAT'!AY136,'Comext mensuel - EUROSTAT'!BA136,'Comext mensuel - EUROSTAT'!BC136,'Comext mensuel - EUROSTAT'!BE136,'Comext mensuel - EUROSTAT'!BG136,'Comext mensuel - EUROSTAT'!BI136,'Comext mensuel - EUROSTAT'!BK136,'Comext mensuel - EUROSTAT'!BM136,'Comext mensuel - EUROSTAT'!BO136,'Comext mensuel - EUROSTAT'!BQ136,'Comext mensuel - EUROSTAT'!BS136,'Comext mensuel - EUROSTAT'!BU136)/10^4</f>
        <v>0.108373</v>
      </c>
      <c r="P127" s="86">
        <f>SUM('Comext mensuel - EUROSTAT'!AZ136,'Comext mensuel - EUROSTAT'!BB136,'Comext mensuel - EUROSTAT'!BD136,'Comext mensuel - EUROSTAT'!BF136,'Comext mensuel - EUROSTAT'!BH136,'Comext mensuel - EUROSTAT'!BJ136,'Comext mensuel - EUROSTAT'!BL136,'Comext mensuel - EUROSTAT'!BN136,'Comext mensuel - EUROSTAT'!BP136,'Comext mensuel - EUROSTAT'!BR136,'Comext mensuel - EUROSTAT'!BT136,'Comext mensuel - EUROSTAT'!BV136)/10^4</f>
        <v>6.1257999999999993E-2</v>
      </c>
    </row>
    <row r="128" spans="1:16">
      <c r="A128" t="s">
        <v>173</v>
      </c>
      <c r="B128" t="s">
        <v>984</v>
      </c>
      <c r="C128" s="693"/>
      <c r="D128" t="str">
        <f>'Comext annuel - EUROSTAT'!B137</f>
        <v>Grains d'orge, seulement concassés</v>
      </c>
      <c r="E128" s="86" t="e">
        <f>'Comext annuel - EUROSTAT'!C137/10^4</f>
        <v>#VALUE!</v>
      </c>
      <c r="F128" s="86" t="e">
        <f>'Comext annuel - EUROSTAT'!D137/10^4</f>
        <v>#VALUE!</v>
      </c>
      <c r="G128" s="86" t="e">
        <f>'Comext annuel - EUROSTAT'!E137/10^4</f>
        <v>#VALUE!</v>
      </c>
      <c r="H128" s="86" t="e">
        <f>'Comext annuel - EUROSTAT'!F137/10^4</f>
        <v>#VALUE!</v>
      </c>
      <c r="I128" s="86" t="e">
        <f>'Comext annuel - EUROSTAT'!G137/10^4</f>
        <v>#VALUE!</v>
      </c>
      <c r="J128" s="86" t="e">
        <f>'Comext annuel - EUROSTAT'!H137/10^4</f>
        <v>#VALUE!</v>
      </c>
      <c r="K128" s="86">
        <f>SUM('Comext mensuel - EUROSTAT'!C137,'Comext mensuel - EUROSTAT'!E137,'Comext mensuel - EUROSTAT'!G137,'Comext mensuel - EUROSTAT'!I137,'Comext mensuel - EUROSTAT'!K137,'Comext mensuel - EUROSTAT'!M137,'Comext mensuel - EUROSTAT'!O137,'Comext mensuel - EUROSTAT'!Q137,'Comext mensuel - EUROSTAT'!S137,'Comext mensuel - EUROSTAT'!U137,'Comext mensuel - EUROSTAT'!W137,'Comext mensuel - EUROSTAT'!Y137)/10^4</f>
        <v>0</v>
      </c>
      <c r="L128" s="86">
        <f>SUM('Comext mensuel - EUROSTAT'!D137,'Comext mensuel - EUROSTAT'!F137,'Comext mensuel - EUROSTAT'!H137,'Comext mensuel - EUROSTAT'!J137,'Comext mensuel - EUROSTAT'!L137,'Comext mensuel - EUROSTAT'!N137,'Comext mensuel - EUROSTAT'!P137,'Comext mensuel - EUROSTAT'!R137,'Comext mensuel - EUROSTAT'!T137,'Comext mensuel - EUROSTAT'!V137,'Comext mensuel - EUROSTAT'!X137,'Comext mensuel - EUROSTAT'!Z137)/10^4</f>
        <v>0</v>
      </c>
      <c r="M128" s="86">
        <f>SUM('Comext mensuel - EUROSTAT'!AA137,'Comext mensuel - EUROSTAT'!AC137,'Comext mensuel - EUROSTAT'!AE137,'Comext mensuel - EUROSTAT'!AG137,'Comext mensuel - EUROSTAT'!AI137,'Comext mensuel - EUROSTAT'!AK137,'Comext mensuel - EUROSTAT'!AM137,'Comext mensuel - EUROSTAT'!AO137,'Comext mensuel - EUROSTAT'!AQ137,'Comext mensuel - EUROSTAT'!AS137,'Comext mensuel - EUROSTAT'!AU137,'Comext mensuel - EUROSTAT'!AW137)/10^4</f>
        <v>0</v>
      </c>
      <c r="N128" s="86">
        <f>SUM('Comext mensuel - EUROSTAT'!AB137,'Comext mensuel - EUROSTAT'!AD137,'Comext mensuel - EUROSTAT'!AF137,'Comext mensuel - EUROSTAT'!AH137,'Comext mensuel - EUROSTAT'!AJ137,'Comext mensuel - EUROSTAT'!AL137,'Comext mensuel - EUROSTAT'!AN137,'Comext mensuel - EUROSTAT'!AP137,'Comext mensuel - EUROSTAT'!AR137,'Comext mensuel - EUROSTAT'!AT137,'Comext mensuel - EUROSTAT'!AV137,'Comext mensuel - EUROSTAT'!AX137)/10^4</f>
        <v>0</v>
      </c>
      <c r="O128" s="86">
        <f>SUM('Comext mensuel - EUROSTAT'!AY137,'Comext mensuel - EUROSTAT'!BA137,'Comext mensuel - EUROSTAT'!BC137,'Comext mensuel - EUROSTAT'!BE137,'Comext mensuel - EUROSTAT'!BG137,'Comext mensuel - EUROSTAT'!BI137,'Comext mensuel - EUROSTAT'!BK137,'Comext mensuel - EUROSTAT'!BM137,'Comext mensuel - EUROSTAT'!BO137,'Comext mensuel - EUROSTAT'!BQ137,'Comext mensuel - EUROSTAT'!BS137,'Comext mensuel - EUROSTAT'!BU137)/10^4</f>
        <v>0</v>
      </c>
      <c r="P128" s="86">
        <f>SUM('Comext mensuel - EUROSTAT'!AZ137,'Comext mensuel - EUROSTAT'!BB137,'Comext mensuel - EUROSTAT'!BD137,'Comext mensuel - EUROSTAT'!BF137,'Comext mensuel - EUROSTAT'!BH137,'Comext mensuel - EUROSTAT'!BJ137,'Comext mensuel - EUROSTAT'!BL137,'Comext mensuel - EUROSTAT'!BN137,'Comext mensuel - EUROSTAT'!BP137,'Comext mensuel - EUROSTAT'!BR137,'Comext mensuel - EUROSTAT'!BT137,'Comext mensuel - EUROSTAT'!BV137)/10^4</f>
        <v>0</v>
      </c>
    </row>
    <row r="129" spans="1:16">
      <c r="A129" t="s">
        <v>173</v>
      </c>
      <c r="B129" t="s">
        <v>984</v>
      </c>
      <c r="C129" s="693"/>
      <c r="D129" t="str">
        <f>'Comext annuel - EUROSTAT'!B138</f>
        <v>Grains d'orge tranchés, concassés ou autrement travaillés (à l'excl. de la farine d'orge et des grains d'orge aplatis, en flocons, mondés, perlés et en pellets)</v>
      </c>
      <c r="E129" s="86">
        <f>'Comext annuel - EUROSTAT'!C138/10^4</f>
        <v>0.21306599999999998</v>
      </c>
      <c r="F129" s="86">
        <f>'Comext annuel - EUROSTAT'!D138/10^4</f>
        <v>1.6816000000000001E-2</v>
      </c>
      <c r="G129" s="86">
        <f>'Comext annuel - EUROSTAT'!E138/10^4</f>
        <v>2.2969999999999997E-2</v>
      </c>
      <c r="H129" s="86">
        <f>'Comext annuel - EUROSTAT'!F138/10^4</f>
        <v>1.25E-4</v>
      </c>
      <c r="I129" s="86">
        <f>'Comext annuel - EUROSTAT'!G138/10^4</f>
        <v>2.8601999999999999E-2</v>
      </c>
      <c r="J129" s="86">
        <f>'Comext annuel - EUROSTAT'!H138/10^4</f>
        <v>9.0000000000000006E-5</v>
      </c>
      <c r="K129" s="86">
        <f>SUM('Comext mensuel - EUROSTAT'!C138,'Comext mensuel - EUROSTAT'!E138,'Comext mensuel - EUROSTAT'!G138,'Comext mensuel - EUROSTAT'!I138,'Comext mensuel - EUROSTAT'!K138,'Comext mensuel - EUROSTAT'!M138,'Comext mensuel - EUROSTAT'!O138,'Comext mensuel - EUROSTAT'!Q138,'Comext mensuel - EUROSTAT'!S138,'Comext mensuel - EUROSTAT'!U138,'Comext mensuel - EUROSTAT'!W138,'Comext mensuel - EUROSTAT'!Y138)/10^4</f>
        <v>0.14027200000000001</v>
      </c>
      <c r="L129" s="86">
        <f>SUM('Comext mensuel - EUROSTAT'!D138,'Comext mensuel - EUROSTAT'!F138,'Comext mensuel - EUROSTAT'!H138,'Comext mensuel - EUROSTAT'!J138,'Comext mensuel - EUROSTAT'!L138,'Comext mensuel - EUROSTAT'!N138,'Comext mensuel - EUROSTAT'!P138,'Comext mensuel - EUROSTAT'!R138,'Comext mensuel - EUROSTAT'!T138,'Comext mensuel - EUROSTAT'!V138,'Comext mensuel - EUROSTAT'!X138,'Comext mensuel - EUROSTAT'!Z138)/10^4</f>
        <v>1.8726999999999997E-2</v>
      </c>
      <c r="M129" s="86">
        <f>SUM('Comext mensuel - EUROSTAT'!AA138,'Comext mensuel - EUROSTAT'!AC138,'Comext mensuel - EUROSTAT'!AE138,'Comext mensuel - EUROSTAT'!AG138,'Comext mensuel - EUROSTAT'!AI138,'Comext mensuel - EUROSTAT'!AK138,'Comext mensuel - EUROSTAT'!AM138,'Comext mensuel - EUROSTAT'!AO138,'Comext mensuel - EUROSTAT'!AQ138,'Comext mensuel - EUROSTAT'!AS138,'Comext mensuel - EUROSTAT'!AU138,'Comext mensuel - EUROSTAT'!AW138)/10^4</f>
        <v>1.5117999999999998E-2</v>
      </c>
      <c r="N129" s="86">
        <f>SUM('Comext mensuel - EUROSTAT'!AB138,'Comext mensuel - EUROSTAT'!AD138,'Comext mensuel - EUROSTAT'!AF138,'Comext mensuel - EUROSTAT'!AH138,'Comext mensuel - EUROSTAT'!AJ138,'Comext mensuel - EUROSTAT'!AL138,'Comext mensuel - EUROSTAT'!AN138,'Comext mensuel - EUROSTAT'!AP138,'Comext mensuel - EUROSTAT'!AR138,'Comext mensuel - EUROSTAT'!AT138,'Comext mensuel - EUROSTAT'!AV138,'Comext mensuel - EUROSTAT'!AX138)/10^4</f>
        <v>4.75E-4</v>
      </c>
      <c r="O129" s="86">
        <f>SUM('Comext mensuel - EUROSTAT'!AY138,'Comext mensuel - EUROSTAT'!BA138,'Comext mensuel - EUROSTAT'!BC138,'Comext mensuel - EUROSTAT'!BE138,'Comext mensuel - EUROSTAT'!BG138,'Comext mensuel - EUROSTAT'!BI138,'Comext mensuel - EUROSTAT'!BK138,'Comext mensuel - EUROSTAT'!BM138,'Comext mensuel - EUROSTAT'!BO138,'Comext mensuel - EUROSTAT'!BQ138,'Comext mensuel - EUROSTAT'!BS138,'Comext mensuel - EUROSTAT'!BU138)/10^4</f>
        <v>2.6683999999999996E-2</v>
      </c>
      <c r="P129" s="86">
        <f>SUM('Comext mensuel - EUROSTAT'!AZ138,'Comext mensuel - EUROSTAT'!BB138,'Comext mensuel - EUROSTAT'!BD138,'Comext mensuel - EUROSTAT'!BF138,'Comext mensuel - EUROSTAT'!BH138,'Comext mensuel - EUROSTAT'!BJ138,'Comext mensuel - EUROSTAT'!BL138,'Comext mensuel - EUROSTAT'!BN138,'Comext mensuel - EUROSTAT'!BP138,'Comext mensuel - EUROSTAT'!BR138,'Comext mensuel - EUROSTAT'!BT138,'Comext mensuel - EUROSTAT'!BV138)/10^4</f>
        <v>1.8999999999999998E-4</v>
      </c>
    </row>
    <row r="130" spans="1:16">
      <c r="A130" t="s">
        <v>173</v>
      </c>
      <c r="B130" t="s">
        <v>984</v>
      </c>
      <c r="C130" s="693"/>
      <c r="D130" t="str">
        <f>'Comext annuel - EUROSTAT'!B139</f>
        <v>Grains d'orge (à l'excl. des grains mondés {décortiqués ou pelés}, des grains mondés et tranchés ou concassés {dits Grütze ou grutten}, des grains perlés et des grains seulement concassés)</v>
      </c>
      <c r="E130" s="86" t="e">
        <f>'Comext annuel - EUROSTAT'!C139/10^4</f>
        <v>#VALUE!</v>
      </c>
      <c r="F130" s="86" t="e">
        <f>'Comext annuel - EUROSTAT'!D139/10^4</f>
        <v>#VALUE!</v>
      </c>
      <c r="G130" s="86" t="e">
        <f>'Comext annuel - EUROSTAT'!E139/10^4</f>
        <v>#VALUE!</v>
      </c>
      <c r="H130" s="86" t="e">
        <f>'Comext annuel - EUROSTAT'!F139/10^4</f>
        <v>#VALUE!</v>
      </c>
      <c r="I130" s="86" t="e">
        <f>'Comext annuel - EUROSTAT'!G139/10^4</f>
        <v>#VALUE!</v>
      </c>
      <c r="J130" s="86" t="e">
        <f>'Comext annuel - EUROSTAT'!H139/10^4</f>
        <v>#VALUE!</v>
      </c>
      <c r="K130" s="86">
        <f>SUM('Comext mensuel - EUROSTAT'!C139,'Comext mensuel - EUROSTAT'!E139,'Comext mensuel - EUROSTAT'!G139,'Comext mensuel - EUROSTAT'!I139,'Comext mensuel - EUROSTAT'!K139,'Comext mensuel - EUROSTAT'!M139,'Comext mensuel - EUROSTAT'!O139,'Comext mensuel - EUROSTAT'!Q139,'Comext mensuel - EUROSTAT'!S139,'Comext mensuel - EUROSTAT'!U139,'Comext mensuel - EUROSTAT'!W139,'Comext mensuel - EUROSTAT'!Y139)/10^4</f>
        <v>0</v>
      </c>
      <c r="L130" s="86">
        <f>SUM('Comext mensuel - EUROSTAT'!D139,'Comext mensuel - EUROSTAT'!F139,'Comext mensuel - EUROSTAT'!H139,'Comext mensuel - EUROSTAT'!J139,'Comext mensuel - EUROSTAT'!L139,'Comext mensuel - EUROSTAT'!N139,'Comext mensuel - EUROSTAT'!P139,'Comext mensuel - EUROSTAT'!R139,'Comext mensuel - EUROSTAT'!T139,'Comext mensuel - EUROSTAT'!V139,'Comext mensuel - EUROSTAT'!X139,'Comext mensuel - EUROSTAT'!Z139)/10^4</f>
        <v>0</v>
      </c>
      <c r="M130" s="86">
        <f>SUM('Comext mensuel - EUROSTAT'!AA139,'Comext mensuel - EUROSTAT'!AC139,'Comext mensuel - EUROSTAT'!AE139,'Comext mensuel - EUROSTAT'!AG139,'Comext mensuel - EUROSTAT'!AI139,'Comext mensuel - EUROSTAT'!AK139,'Comext mensuel - EUROSTAT'!AM139,'Comext mensuel - EUROSTAT'!AO139,'Comext mensuel - EUROSTAT'!AQ139,'Comext mensuel - EUROSTAT'!AS139,'Comext mensuel - EUROSTAT'!AU139,'Comext mensuel - EUROSTAT'!AW139)/10^4</f>
        <v>0</v>
      </c>
      <c r="N130" s="86">
        <f>SUM('Comext mensuel - EUROSTAT'!AB139,'Comext mensuel - EUROSTAT'!AD139,'Comext mensuel - EUROSTAT'!AF139,'Comext mensuel - EUROSTAT'!AH139,'Comext mensuel - EUROSTAT'!AJ139,'Comext mensuel - EUROSTAT'!AL139,'Comext mensuel - EUROSTAT'!AN139,'Comext mensuel - EUROSTAT'!AP139,'Comext mensuel - EUROSTAT'!AR139,'Comext mensuel - EUROSTAT'!AT139,'Comext mensuel - EUROSTAT'!AV139,'Comext mensuel - EUROSTAT'!AX139)/10^4</f>
        <v>0</v>
      </c>
      <c r="O130" s="86">
        <f>SUM('Comext mensuel - EUROSTAT'!AY139,'Comext mensuel - EUROSTAT'!BA139,'Comext mensuel - EUROSTAT'!BC139,'Comext mensuel - EUROSTAT'!BE139,'Comext mensuel - EUROSTAT'!BG139,'Comext mensuel - EUROSTAT'!BI139,'Comext mensuel - EUROSTAT'!BK139,'Comext mensuel - EUROSTAT'!BM139,'Comext mensuel - EUROSTAT'!BO139,'Comext mensuel - EUROSTAT'!BQ139,'Comext mensuel - EUROSTAT'!BS139,'Comext mensuel - EUROSTAT'!BU139)/10^4</f>
        <v>0</v>
      </c>
      <c r="P130" s="86">
        <f>SUM('Comext mensuel - EUROSTAT'!AZ139,'Comext mensuel - EUROSTAT'!BB139,'Comext mensuel - EUROSTAT'!BD139,'Comext mensuel - EUROSTAT'!BF139,'Comext mensuel - EUROSTAT'!BH139,'Comext mensuel - EUROSTAT'!BJ139,'Comext mensuel - EUROSTAT'!BL139,'Comext mensuel - EUROSTAT'!BN139,'Comext mensuel - EUROSTAT'!BP139,'Comext mensuel - EUROSTAT'!BR139,'Comext mensuel - EUROSTAT'!BT139,'Comext mensuel - EUROSTAT'!BV139)/10^4</f>
        <v>0</v>
      </c>
    </row>
    <row r="131" spans="1:16">
      <c r="B131" t="s">
        <v>984</v>
      </c>
      <c r="C131" s="693"/>
      <c r="D131" t="str">
        <f>'Comext annuel - EUROSTAT'!B140</f>
        <v>Grains de céréales, mondés, (autres que d'orge, d'avoine, de mais, de riz)</v>
      </c>
      <c r="E131" s="86" t="e">
        <f>'Comext annuel - EUROSTAT'!C140/10^4</f>
        <v>#VALUE!</v>
      </c>
      <c r="F131" s="86" t="e">
        <f>'Comext annuel - EUROSTAT'!D140/10^4</f>
        <v>#VALUE!</v>
      </c>
      <c r="G131" s="86" t="e">
        <f>'Comext annuel - EUROSTAT'!E140/10^4</f>
        <v>#VALUE!</v>
      </c>
      <c r="H131" s="86" t="e">
        <f>'Comext annuel - EUROSTAT'!F140/10^4</f>
        <v>#VALUE!</v>
      </c>
      <c r="I131" s="86" t="e">
        <f>'Comext annuel - EUROSTAT'!G140/10^4</f>
        <v>#VALUE!</v>
      </c>
      <c r="J131" s="86" t="e">
        <f>'Comext annuel - EUROSTAT'!H140/10^4</f>
        <v>#VALUE!</v>
      </c>
      <c r="K131" s="86">
        <f>SUM('Comext mensuel - EUROSTAT'!C140,'Comext mensuel - EUROSTAT'!E140,'Comext mensuel - EUROSTAT'!G140,'Comext mensuel - EUROSTAT'!I140,'Comext mensuel - EUROSTAT'!K140,'Comext mensuel - EUROSTAT'!M140,'Comext mensuel - EUROSTAT'!O140,'Comext mensuel - EUROSTAT'!Q140,'Comext mensuel - EUROSTAT'!S140,'Comext mensuel - EUROSTAT'!U140,'Comext mensuel - EUROSTAT'!W140,'Comext mensuel - EUROSTAT'!Y140)/10^4</f>
        <v>0</v>
      </c>
      <c r="L131" s="86">
        <f>SUM('Comext mensuel - EUROSTAT'!D140,'Comext mensuel - EUROSTAT'!F140,'Comext mensuel - EUROSTAT'!H140,'Comext mensuel - EUROSTAT'!J140,'Comext mensuel - EUROSTAT'!L140,'Comext mensuel - EUROSTAT'!N140,'Comext mensuel - EUROSTAT'!P140,'Comext mensuel - EUROSTAT'!R140,'Comext mensuel - EUROSTAT'!T140,'Comext mensuel - EUROSTAT'!V140,'Comext mensuel - EUROSTAT'!X140,'Comext mensuel - EUROSTAT'!Z140)/10^4</f>
        <v>0</v>
      </c>
      <c r="M131" s="86">
        <f>SUM('Comext mensuel - EUROSTAT'!AA140,'Comext mensuel - EUROSTAT'!AC140,'Comext mensuel - EUROSTAT'!AE140,'Comext mensuel - EUROSTAT'!AG140,'Comext mensuel - EUROSTAT'!AI140,'Comext mensuel - EUROSTAT'!AK140,'Comext mensuel - EUROSTAT'!AM140,'Comext mensuel - EUROSTAT'!AO140,'Comext mensuel - EUROSTAT'!AQ140,'Comext mensuel - EUROSTAT'!AS140,'Comext mensuel - EUROSTAT'!AU140,'Comext mensuel - EUROSTAT'!AW140)/10^4</f>
        <v>0</v>
      </c>
      <c r="N131" s="86">
        <f>SUM('Comext mensuel - EUROSTAT'!AB140,'Comext mensuel - EUROSTAT'!AD140,'Comext mensuel - EUROSTAT'!AF140,'Comext mensuel - EUROSTAT'!AH140,'Comext mensuel - EUROSTAT'!AJ140,'Comext mensuel - EUROSTAT'!AL140,'Comext mensuel - EUROSTAT'!AN140,'Comext mensuel - EUROSTAT'!AP140,'Comext mensuel - EUROSTAT'!AR140,'Comext mensuel - EUROSTAT'!AT140,'Comext mensuel - EUROSTAT'!AV140,'Comext mensuel - EUROSTAT'!AX140)/10^4</f>
        <v>0</v>
      </c>
      <c r="O131" s="86">
        <f>SUM('Comext mensuel - EUROSTAT'!AY140,'Comext mensuel - EUROSTAT'!BA140,'Comext mensuel - EUROSTAT'!BC140,'Comext mensuel - EUROSTAT'!BE140,'Comext mensuel - EUROSTAT'!BG140,'Comext mensuel - EUROSTAT'!BI140,'Comext mensuel - EUROSTAT'!BK140,'Comext mensuel - EUROSTAT'!BM140,'Comext mensuel - EUROSTAT'!BO140,'Comext mensuel - EUROSTAT'!BQ140,'Comext mensuel - EUROSTAT'!BS140,'Comext mensuel - EUROSTAT'!BU140)/10^4</f>
        <v>0</v>
      </c>
      <c r="P131" s="86">
        <f>SUM('Comext mensuel - EUROSTAT'!AZ140,'Comext mensuel - EUROSTAT'!BB140,'Comext mensuel - EUROSTAT'!BD140,'Comext mensuel - EUROSTAT'!BF140,'Comext mensuel - EUROSTAT'!BH140,'Comext mensuel - EUROSTAT'!BJ140,'Comext mensuel - EUROSTAT'!BL140,'Comext mensuel - EUROSTAT'!BN140,'Comext mensuel - EUROSTAT'!BP140,'Comext mensuel - EUROSTAT'!BR140,'Comext mensuel - EUROSTAT'!BT140,'Comext mensuel - EUROSTAT'!BV140)/10^4</f>
        <v>0</v>
      </c>
    </row>
    <row r="132" spans="1:16">
      <c r="B132" t="s">
        <v>984</v>
      </c>
      <c r="C132" s="693"/>
      <c r="D132" t="str">
        <f>'Comext annuel - EUROSTAT'!B141</f>
        <v>Grains de céréales, mondés, même tranchés ou concassés (à l’excl. des grains d’orge, d’avoine, de maïs et de riz)</v>
      </c>
      <c r="E132" s="86">
        <f>'Comext annuel - EUROSTAT'!C141/10^4</f>
        <v>4.3775029999999999</v>
      </c>
      <c r="F132" s="86">
        <f>'Comext annuel - EUROSTAT'!D141/10^4</f>
        <v>0.345059</v>
      </c>
      <c r="G132" s="86">
        <f>'Comext annuel - EUROSTAT'!E141/10^4</f>
        <v>7.3343009999999991</v>
      </c>
      <c r="H132" s="86">
        <f>'Comext annuel - EUROSTAT'!F141/10^4</f>
        <v>0.44229399999999996</v>
      </c>
      <c r="I132" s="86">
        <f>'Comext annuel - EUROSTAT'!G141/10^4</f>
        <v>2.9716459999999998</v>
      </c>
      <c r="J132" s="86">
        <f>'Comext annuel - EUROSTAT'!H141/10^4</f>
        <v>0.20521900000000001</v>
      </c>
      <c r="K132" s="86">
        <f>SUM('Comext mensuel - EUROSTAT'!C141,'Comext mensuel - EUROSTAT'!E141,'Comext mensuel - EUROSTAT'!G141,'Comext mensuel - EUROSTAT'!I141,'Comext mensuel - EUROSTAT'!K141,'Comext mensuel - EUROSTAT'!M141,'Comext mensuel - EUROSTAT'!O141,'Comext mensuel - EUROSTAT'!Q141,'Comext mensuel - EUROSTAT'!S141,'Comext mensuel - EUROSTAT'!U141,'Comext mensuel - EUROSTAT'!W141,'Comext mensuel - EUROSTAT'!Y141)/10^4</f>
        <v>4.0354430000000008</v>
      </c>
      <c r="L132" s="86">
        <f>SUM('Comext mensuel - EUROSTAT'!D141,'Comext mensuel - EUROSTAT'!F141,'Comext mensuel - EUROSTAT'!H141,'Comext mensuel - EUROSTAT'!J141,'Comext mensuel - EUROSTAT'!L141,'Comext mensuel - EUROSTAT'!N141,'Comext mensuel - EUROSTAT'!P141,'Comext mensuel - EUROSTAT'!R141,'Comext mensuel - EUROSTAT'!T141,'Comext mensuel - EUROSTAT'!V141,'Comext mensuel - EUROSTAT'!X141,'Comext mensuel - EUROSTAT'!Z141)/10^4</f>
        <v>0.22250000000000006</v>
      </c>
      <c r="M132" s="86">
        <f>SUM('Comext mensuel - EUROSTAT'!AA141,'Comext mensuel - EUROSTAT'!AC141,'Comext mensuel - EUROSTAT'!AE141,'Comext mensuel - EUROSTAT'!AG141,'Comext mensuel - EUROSTAT'!AI141,'Comext mensuel - EUROSTAT'!AK141,'Comext mensuel - EUROSTAT'!AM141,'Comext mensuel - EUROSTAT'!AO141,'Comext mensuel - EUROSTAT'!AQ141,'Comext mensuel - EUROSTAT'!AS141,'Comext mensuel - EUROSTAT'!AU141,'Comext mensuel - EUROSTAT'!AW141)/10^4</f>
        <v>7.1368869999999998</v>
      </c>
      <c r="N132" s="86">
        <f>SUM('Comext mensuel - EUROSTAT'!AB141,'Comext mensuel - EUROSTAT'!AD141,'Comext mensuel - EUROSTAT'!AF141,'Comext mensuel - EUROSTAT'!AH141,'Comext mensuel - EUROSTAT'!AJ141,'Comext mensuel - EUROSTAT'!AL141,'Comext mensuel - EUROSTAT'!AN141,'Comext mensuel - EUROSTAT'!AP141,'Comext mensuel - EUROSTAT'!AR141,'Comext mensuel - EUROSTAT'!AT141,'Comext mensuel - EUROSTAT'!AV141,'Comext mensuel - EUROSTAT'!AX141)/10^4</f>
        <v>0.29474900000000004</v>
      </c>
      <c r="O132" s="86">
        <f>SUM('Comext mensuel - EUROSTAT'!AY141,'Comext mensuel - EUROSTAT'!BA141,'Comext mensuel - EUROSTAT'!BC141,'Comext mensuel - EUROSTAT'!BE141,'Comext mensuel - EUROSTAT'!BG141,'Comext mensuel - EUROSTAT'!BI141,'Comext mensuel - EUROSTAT'!BK141,'Comext mensuel - EUROSTAT'!BM141,'Comext mensuel - EUROSTAT'!BO141,'Comext mensuel - EUROSTAT'!BQ141,'Comext mensuel - EUROSTAT'!BS141,'Comext mensuel - EUROSTAT'!BU141)/10^4</f>
        <v>2.8792080000000002</v>
      </c>
      <c r="P132" s="86">
        <f>SUM('Comext mensuel - EUROSTAT'!AZ141,'Comext mensuel - EUROSTAT'!BB141,'Comext mensuel - EUROSTAT'!BD141,'Comext mensuel - EUROSTAT'!BF141,'Comext mensuel - EUROSTAT'!BH141,'Comext mensuel - EUROSTAT'!BJ141,'Comext mensuel - EUROSTAT'!BL141,'Comext mensuel - EUROSTAT'!BN141,'Comext mensuel - EUROSTAT'!BP141,'Comext mensuel - EUROSTAT'!BR141,'Comext mensuel - EUROSTAT'!BT141,'Comext mensuel - EUROSTAT'!BV141)/10^4</f>
        <v>0.143152</v>
      </c>
    </row>
    <row r="133" spans="1:16">
      <c r="B133" t="s">
        <v>984</v>
      </c>
      <c r="C133" s="693"/>
      <c r="D133" t="str">
        <f>'Comext annuel - EUROSTAT'!B142</f>
        <v>Grains de céréales, mondés {décortiqués ou pelés}, même tranchés ou concassés (à l'excl. des grains d'orge, d'avoine, de maïs, de riz et de froment {blé})</v>
      </c>
      <c r="E133" s="86" t="e">
        <f>'Comext annuel - EUROSTAT'!C142/10^4</f>
        <v>#VALUE!</v>
      </c>
      <c r="F133" s="86" t="e">
        <f>'Comext annuel - EUROSTAT'!D142/10^4</f>
        <v>#VALUE!</v>
      </c>
      <c r="G133" s="86" t="e">
        <f>'Comext annuel - EUROSTAT'!E142/10^4</f>
        <v>#VALUE!</v>
      </c>
      <c r="H133" s="86" t="e">
        <f>'Comext annuel - EUROSTAT'!F142/10^4</f>
        <v>#VALUE!</v>
      </c>
      <c r="I133" s="86" t="e">
        <f>'Comext annuel - EUROSTAT'!G142/10^4</f>
        <v>#VALUE!</v>
      </c>
      <c r="J133" s="86" t="e">
        <f>'Comext annuel - EUROSTAT'!H142/10^4</f>
        <v>#VALUE!</v>
      </c>
      <c r="K133" s="86">
        <f>SUM('Comext mensuel - EUROSTAT'!C142,'Comext mensuel - EUROSTAT'!E142,'Comext mensuel - EUROSTAT'!G142,'Comext mensuel - EUROSTAT'!I142,'Comext mensuel - EUROSTAT'!K142,'Comext mensuel - EUROSTAT'!M142,'Comext mensuel - EUROSTAT'!O142,'Comext mensuel - EUROSTAT'!Q142,'Comext mensuel - EUROSTAT'!S142,'Comext mensuel - EUROSTAT'!U142,'Comext mensuel - EUROSTAT'!W142,'Comext mensuel - EUROSTAT'!Y142)/10^4</f>
        <v>0</v>
      </c>
      <c r="L133" s="86">
        <f>SUM('Comext mensuel - EUROSTAT'!D142,'Comext mensuel - EUROSTAT'!F142,'Comext mensuel - EUROSTAT'!H142,'Comext mensuel - EUROSTAT'!J142,'Comext mensuel - EUROSTAT'!L142,'Comext mensuel - EUROSTAT'!N142,'Comext mensuel - EUROSTAT'!P142,'Comext mensuel - EUROSTAT'!R142,'Comext mensuel - EUROSTAT'!T142,'Comext mensuel - EUROSTAT'!V142,'Comext mensuel - EUROSTAT'!X142,'Comext mensuel - EUROSTAT'!Z142)/10^4</f>
        <v>0</v>
      </c>
      <c r="M133" s="86">
        <f>SUM('Comext mensuel - EUROSTAT'!AA142,'Comext mensuel - EUROSTAT'!AC142,'Comext mensuel - EUROSTAT'!AE142,'Comext mensuel - EUROSTAT'!AG142,'Comext mensuel - EUROSTAT'!AI142,'Comext mensuel - EUROSTAT'!AK142,'Comext mensuel - EUROSTAT'!AM142,'Comext mensuel - EUROSTAT'!AO142,'Comext mensuel - EUROSTAT'!AQ142,'Comext mensuel - EUROSTAT'!AS142,'Comext mensuel - EUROSTAT'!AU142,'Comext mensuel - EUROSTAT'!AW142)/10^4</f>
        <v>0</v>
      </c>
      <c r="N133" s="86">
        <f>SUM('Comext mensuel - EUROSTAT'!AB142,'Comext mensuel - EUROSTAT'!AD142,'Comext mensuel - EUROSTAT'!AF142,'Comext mensuel - EUROSTAT'!AH142,'Comext mensuel - EUROSTAT'!AJ142,'Comext mensuel - EUROSTAT'!AL142,'Comext mensuel - EUROSTAT'!AN142,'Comext mensuel - EUROSTAT'!AP142,'Comext mensuel - EUROSTAT'!AR142,'Comext mensuel - EUROSTAT'!AT142,'Comext mensuel - EUROSTAT'!AV142,'Comext mensuel - EUROSTAT'!AX142)/10^4</f>
        <v>0</v>
      </c>
      <c r="O133" s="86">
        <f>SUM('Comext mensuel - EUROSTAT'!AY142,'Comext mensuel - EUROSTAT'!BA142,'Comext mensuel - EUROSTAT'!BC142,'Comext mensuel - EUROSTAT'!BE142,'Comext mensuel - EUROSTAT'!BG142,'Comext mensuel - EUROSTAT'!BI142,'Comext mensuel - EUROSTAT'!BK142,'Comext mensuel - EUROSTAT'!BM142,'Comext mensuel - EUROSTAT'!BO142,'Comext mensuel - EUROSTAT'!BQ142,'Comext mensuel - EUROSTAT'!BS142,'Comext mensuel - EUROSTAT'!BU142)/10^4</f>
        <v>0</v>
      </c>
      <c r="P133" s="86">
        <f>SUM('Comext mensuel - EUROSTAT'!AZ142,'Comext mensuel - EUROSTAT'!BB142,'Comext mensuel - EUROSTAT'!BD142,'Comext mensuel - EUROSTAT'!BF142,'Comext mensuel - EUROSTAT'!BH142,'Comext mensuel - EUROSTAT'!BJ142,'Comext mensuel - EUROSTAT'!BL142,'Comext mensuel - EUROSTAT'!BN142,'Comext mensuel - EUROSTAT'!BP142,'Comext mensuel - EUROSTAT'!BR142,'Comext mensuel - EUROSTAT'!BT142,'Comext mensuel - EUROSTAT'!BV142)/10^4</f>
        <v>0</v>
      </c>
    </row>
    <row r="134" spans="1:16">
      <c r="B134" t="s">
        <v>984</v>
      </c>
      <c r="C134" s="693"/>
      <c r="D134" t="str">
        <f>'Comext annuel - EUROSTAT'!B143</f>
        <v>Grains de céréales, perlés (à l'excl. des grains d'orge, d'avoine, de maïs ou de riz)(2006-2500);Grains de céréales, perlés (à l'excl. des grains d'orge, d'avoine, de maïs ou de riz)(1988-1989)</v>
      </c>
      <c r="E134" s="86">
        <f>'Comext annuel - EUROSTAT'!C143/10^4</f>
        <v>0.42724499999999999</v>
      </c>
      <c r="F134" s="86">
        <f>'Comext annuel - EUROSTAT'!D143/10^4</f>
        <v>5.1440999999999994E-2</v>
      </c>
      <c r="G134" s="86">
        <f>'Comext annuel - EUROSTAT'!E143/10^4</f>
        <v>0.48998500000000006</v>
      </c>
      <c r="H134" s="86">
        <f>'Comext annuel - EUROSTAT'!F143/10^4</f>
        <v>2.2373000000000001E-2</v>
      </c>
      <c r="I134" s="86">
        <f>'Comext annuel - EUROSTAT'!G143/10^4</f>
        <v>0.40943200000000002</v>
      </c>
      <c r="J134" s="86">
        <f>'Comext annuel - EUROSTAT'!H143/10^4</f>
        <v>0.175673</v>
      </c>
      <c r="K134" s="86">
        <f>SUM('Comext mensuel - EUROSTAT'!C143,'Comext mensuel - EUROSTAT'!E143,'Comext mensuel - EUROSTAT'!G143,'Comext mensuel - EUROSTAT'!I143,'Comext mensuel - EUROSTAT'!K143,'Comext mensuel - EUROSTAT'!M143,'Comext mensuel - EUROSTAT'!O143,'Comext mensuel - EUROSTAT'!Q143,'Comext mensuel - EUROSTAT'!S143,'Comext mensuel - EUROSTAT'!U143,'Comext mensuel - EUROSTAT'!W143,'Comext mensuel - EUROSTAT'!Y143)/10^4</f>
        <v>0.43756800000000001</v>
      </c>
      <c r="L134" s="86">
        <f>SUM('Comext mensuel - EUROSTAT'!D143,'Comext mensuel - EUROSTAT'!F143,'Comext mensuel - EUROSTAT'!H143,'Comext mensuel - EUROSTAT'!J143,'Comext mensuel - EUROSTAT'!L143,'Comext mensuel - EUROSTAT'!N143,'Comext mensuel - EUROSTAT'!P143,'Comext mensuel - EUROSTAT'!R143,'Comext mensuel - EUROSTAT'!T143,'Comext mensuel - EUROSTAT'!V143,'Comext mensuel - EUROSTAT'!X143,'Comext mensuel - EUROSTAT'!Z143)/10^4</f>
        <v>5.0040000000000001E-2</v>
      </c>
      <c r="M134" s="86">
        <f>SUM('Comext mensuel - EUROSTAT'!AA143,'Comext mensuel - EUROSTAT'!AC143,'Comext mensuel - EUROSTAT'!AE143,'Comext mensuel - EUROSTAT'!AG143,'Comext mensuel - EUROSTAT'!AI143,'Comext mensuel - EUROSTAT'!AK143,'Comext mensuel - EUROSTAT'!AM143,'Comext mensuel - EUROSTAT'!AO143,'Comext mensuel - EUROSTAT'!AQ143,'Comext mensuel - EUROSTAT'!AS143,'Comext mensuel - EUROSTAT'!AU143,'Comext mensuel - EUROSTAT'!AW143)/10^4</f>
        <v>0.55762900000000004</v>
      </c>
      <c r="N134" s="86">
        <f>SUM('Comext mensuel - EUROSTAT'!AB143,'Comext mensuel - EUROSTAT'!AD143,'Comext mensuel - EUROSTAT'!AF143,'Comext mensuel - EUROSTAT'!AH143,'Comext mensuel - EUROSTAT'!AJ143,'Comext mensuel - EUROSTAT'!AL143,'Comext mensuel - EUROSTAT'!AN143,'Comext mensuel - EUROSTAT'!AP143,'Comext mensuel - EUROSTAT'!AR143,'Comext mensuel - EUROSTAT'!AT143,'Comext mensuel - EUROSTAT'!AV143,'Comext mensuel - EUROSTAT'!AX143)/10^4</f>
        <v>3.8676000000000002E-2</v>
      </c>
      <c r="O134" s="86">
        <f>SUM('Comext mensuel - EUROSTAT'!AY143,'Comext mensuel - EUROSTAT'!BA143,'Comext mensuel - EUROSTAT'!BC143,'Comext mensuel - EUROSTAT'!BE143,'Comext mensuel - EUROSTAT'!BG143,'Comext mensuel - EUROSTAT'!BI143,'Comext mensuel - EUROSTAT'!BK143,'Comext mensuel - EUROSTAT'!BM143,'Comext mensuel - EUROSTAT'!BO143,'Comext mensuel - EUROSTAT'!BQ143,'Comext mensuel - EUROSTAT'!BS143,'Comext mensuel - EUROSTAT'!BU143)/10^4</f>
        <v>0.49240299999999998</v>
      </c>
      <c r="P134" s="86">
        <f>SUM('Comext mensuel - EUROSTAT'!AZ143,'Comext mensuel - EUROSTAT'!BB143,'Comext mensuel - EUROSTAT'!BD143,'Comext mensuel - EUROSTAT'!BF143,'Comext mensuel - EUROSTAT'!BH143,'Comext mensuel - EUROSTAT'!BJ143,'Comext mensuel - EUROSTAT'!BL143,'Comext mensuel - EUROSTAT'!BN143,'Comext mensuel - EUROSTAT'!BP143,'Comext mensuel - EUROSTAT'!BR143,'Comext mensuel - EUROSTAT'!BT143,'Comext mensuel - EUROSTAT'!BV143)/10^4</f>
        <v>9.0394999999999989E-2</v>
      </c>
    </row>
    <row r="135" spans="1:16">
      <c r="A135" t="s">
        <v>970</v>
      </c>
      <c r="B135" t="s">
        <v>984</v>
      </c>
      <c r="C135" s="693"/>
      <c r="D135" t="str">
        <f>'Comext annuel - EUROSTAT'!B144</f>
        <v>Grains de froment {blé}, seulement concassés</v>
      </c>
      <c r="E135" s="86">
        <f>'Comext annuel - EUROSTAT'!C144/10^4</f>
        <v>0.92032700000000001</v>
      </c>
      <c r="F135" s="86">
        <f>'Comext annuel - EUROSTAT'!D144/10^4</f>
        <v>2.8410000000000002E-3</v>
      </c>
      <c r="G135" s="86">
        <f>'Comext annuel - EUROSTAT'!E144/10^4</f>
        <v>1.254162</v>
      </c>
      <c r="H135" s="86">
        <f>'Comext annuel - EUROSTAT'!F144/10^4</f>
        <v>1.4053999999999999E-2</v>
      </c>
      <c r="I135" s="86">
        <f>'Comext annuel - EUROSTAT'!G144/10^4</f>
        <v>1.467203</v>
      </c>
      <c r="J135" s="86">
        <f>'Comext annuel - EUROSTAT'!H144/10^4</f>
        <v>3.6761000000000002E-2</v>
      </c>
      <c r="K135" s="86">
        <f>SUM('Comext mensuel - EUROSTAT'!C144,'Comext mensuel - EUROSTAT'!E144,'Comext mensuel - EUROSTAT'!G144,'Comext mensuel - EUROSTAT'!I144,'Comext mensuel - EUROSTAT'!K144,'Comext mensuel - EUROSTAT'!M144,'Comext mensuel - EUROSTAT'!O144,'Comext mensuel - EUROSTAT'!Q144,'Comext mensuel - EUROSTAT'!S144,'Comext mensuel - EUROSTAT'!U144,'Comext mensuel - EUROSTAT'!W144,'Comext mensuel - EUROSTAT'!Y144)/10^4</f>
        <v>1.1422429999999999</v>
      </c>
      <c r="L135" s="86">
        <f>SUM('Comext mensuel - EUROSTAT'!D144,'Comext mensuel - EUROSTAT'!F144,'Comext mensuel - EUROSTAT'!H144,'Comext mensuel - EUROSTAT'!J144,'Comext mensuel - EUROSTAT'!L144,'Comext mensuel - EUROSTAT'!N144,'Comext mensuel - EUROSTAT'!P144,'Comext mensuel - EUROSTAT'!R144,'Comext mensuel - EUROSTAT'!T144,'Comext mensuel - EUROSTAT'!V144,'Comext mensuel - EUROSTAT'!X144,'Comext mensuel - EUROSTAT'!Z144)/10^4</f>
        <v>9.1E-4</v>
      </c>
      <c r="M135" s="86">
        <f>SUM('Comext mensuel - EUROSTAT'!AA144,'Comext mensuel - EUROSTAT'!AC144,'Comext mensuel - EUROSTAT'!AE144,'Comext mensuel - EUROSTAT'!AG144,'Comext mensuel - EUROSTAT'!AI144,'Comext mensuel - EUROSTAT'!AK144,'Comext mensuel - EUROSTAT'!AM144,'Comext mensuel - EUROSTAT'!AO144,'Comext mensuel - EUROSTAT'!AQ144,'Comext mensuel - EUROSTAT'!AS144,'Comext mensuel - EUROSTAT'!AU144,'Comext mensuel - EUROSTAT'!AW144)/10^4</f>
        <v>1.0409159999999997</v>
      </c>
      <c r="N135" s="86">
        <f>SUM('Comext mensuel - EUROSTAT'!AB144,'Comext mensuel - EUROSTAT'!AD144,'Comext mensuel - EUROSTAT'!AF144,'Comext mensuel - EUROSTAT'!AH144,'Comext mensuel - EUROSTAT'!AJ144,'Comext mensuel - EUROSTAT'!AL144,'Comext mensuel - EUROSTAT'!AN144,'Comext mensuel - EUROSTAT'!AP144,'Comext mensuel - EUROSTAT'!AR144,'Comext mensuel - EUROSTAT'!AT144,'Comext mensuel - EUROSTAT'!AV144,'Comext mensuel - EUROSTAT'!AX144)/10^4</f>
        <v>1.5104999999999999E-2</v>
      </c>
      <c r="O135" s="86">
        <f>SUM('Comext mensuel - EUROSTAT'!AY144,'Comext mensuel - EUROSTAT'!BA144,'Comext mensuel - EUROSTAT'!BC144,'Comext mensuel - EUROSTAT'!BE144,'Comext mensuel - EUROSTAT'!BG144,'Comext mensuel - EUROSTAT'!BI144,'Comext mensuel - EUROSTAT'!BK144,'Comext mensuel - EUROSTAT'!BM144,'Comext mensuel - EUROSTAT'!BO144,'Comext mensuel - EUROSTAT'!BQ144,'Comext mensuel - EUROSTAT'!BS144,'Comext mensuel - EUROSTAT'!BU144)/10^4</f>
        <v>1.4939100000000001</v>
      </c>
      <c r="P135" s="86">
        <f>SUM('Comext mensuel - EUROSTAT'!AZ144,'Comext mensuel - EUROSTAT'!BB144,'Comext mensuel - EUROSTAT'!BD144,'Comext mensuel - EUROSTAT'!BF144,'Comext mensuel - EUROSTAT'!BH144,'Comext mensuel - EUROSTAT'!BJ144,'Comext mensuel - EUROSTAT'!BL144,'Comext mensuel - EUROSTAT'!BN144,'Comext mensuel - EUROSTAT'!BP144,'Comext mensuel - EUROSTAT'!BR144,'Comext mensuel - EUROSTAT'!BT144,'Comext mensuel - EUROSTAT'!BV144)/10^4</f>
        <v>2.2668999999999998E-2</v>
      </c>
    </row>
    <row r="136" spans="1:16">
      <c r="A136" t="s">
        <v>310</v>
      </c>
      <c r="B136" t="s">
        <v>984</v>
      </c>
      <c r="C136" s="693"/>
      <c r="D136" t="str">
        <f>'Comext annuel - EUROSTAT'!B145</f>
        <v>Grains de seigle, seulement concassés</v>
      </c>
      <c r="E136" s="86">
        <f>'Comext annuel - EUROSTAT'!C145/10^4</f>
        <v>0.22825999999999999</v>
      </c>
      <c r="F136" s="86">
        <f>'Comext annuel - EUROSTAT'!D145/10^4</f>
        <v>9.129E-3</v>
      </c>
      <c r="G136" s="86">
        <f>'Comext annuel - EUROSTAT'!E145/10^4</f>
        <v>0.58040000000000003</v>
      </c>
      <c r="H136" s="86">
        <f>'Comext annuel - EUROSTAT'!F145/10^4</f>
        <v>7.6500000000000005E-4</v>
      </c>
      <c r="I136" s="86">
        <f>'Comext annuel - EUROSTAT'!G145/10^4</f>
        <v>0.30030699999999999</v>
      </c>
      <c r="J136" s="86">
        <f>'Comext annuel - EUROSTAT'!H145/10^4</f>
        <v>7.76E-4</v>
      </c>
      <c r="K136" s="86">
        <f>SUM('Comext mensuel - EUROSTAT'!C145,'Comext mensuel - EUROSTAT'!E145,'Comext mensuel - EUROSTAT'!G145,'Comext mensuel - EUROSTAT'!I145,'Comext mensuel - EUROSTAT'!K145,'Comext mensuel - EUROSTAT'!M145,'Comext mensuel - EUROSTAT'!O145,'Comext mensuel - EUROSTAT'!Q145,'Comext mensuel - EUROSTAT'!S145,'Comext mensuel - EUROSTAT'!U145,'Comext mensuel - EUROSTAT'!W145,'Comext mensuel - EUROSTAT'!Y145)/10^4</f>
        <v>0.33815000000000001</v>
      </c>
      <c r="L136" s="86">
        <f>SUM('Comext mensuel - EUROSTAT'!D145,'Comext mensuel - EUROSTAT'!F145,'Comext mensuel - EUROSTAT'!H145,'Comext mensuel - EUROSTAT'!J145,'Comext mensuel - EUROSTAT'!L145,'Comext mensuel - EUROSTAT'!N145,'Comext mensuel - EUROSTAT'!P145,'Comext mensuel - EUROSTAT'!R145,'Comext mensuel - EUROSTAT'!T145,'Comext mensuel - EUROSTAT'!V145,'Comext mensuel - EUROSTAT'!X145,'Comext mensuel - EUROSTAT'!Z145)/10^4</f>
        <v>6.7499999999999999E-3</v>
      </c>
      <c r="M136" s="86">
        <f>SUM('Comext mensuel - EUROSTAT'!AA145,'Comext mensuel - EUROSTAT'!AC145,'Comext mensuel - EUROSTAT'!AE145,'Comext mensuel - EUROSTAT'!AG145,'Comext mensuel - EUROSTAT'!AI145,'Comext mensuel - EUROSTAT'!AK145,'Comext mensuel - EUROSTAT'!AM145,'Comext mensuel - EUROSTAT'!AO145,'Comext mensuel - EUROSTAT'!AQ145,'Comext mensuel - EUROSTAT'!AS145,'Comext mensuel - EUROSTAT'!AU145,'Comext mensuel - EUROSTAT'!AW145)/10^4</f>
        <v>0.48807099999999998</v>
      </c>
      <c r="N136" s="86">
        <f>SUM('Comext mensuel - EUROSTAT'!AB145,'Comext mensuel - EUROSTAT'!AD145,'Comext mensuel - EUROSTAT'!AF145,'Comext mensuel - EUROSTAT'!AH145,'Comext mensuel - EUROSTAT'!AJ145,'Comext mensuel - EUROSTAT'!AL145,'Comext mensuel - EUROSTAT'!AN145,'Comext mensuel - EUROSTAT'!AP145,'Comext mensuel - EUROSTAT'!AR145,'Comext mensuel - EUROSTAT'!AT145,'Comext mensuel - EUROSTAT'!AV145,'Comext mensuel - EUROSTAT'!AX145)/10^4</f>
        <v>5.0790000000000002E-3</v>
      </c>
      <c r="O136" s="86">
        <f>SUM('Comext mensuel - EUROSTAT'!AY145,'Comext mensuel - EUROSTAT'!BA145,'Comext mensuel - EUROSTAT'!BC145,'Comext mensuel - EUROSTAT'!BE145,'Comext mensuel - EUROSTAT'!BG145,'Comext mensuel - EUROSTAT'!BI145,'Comext mensuel - EUROSTAT'!BK145,'Comext mensuel - EUROSTAT'!BM145,'Comext mensuel - EUROSTAT'!BO145,'Comext mensuel - EUROSTAT'!BQ145,'Comext mensuel - EUROSTAT'!BS145,'Comext mensuel - EUROSTAT'!BU145)/10^4</f>
        <v>0.28892499999999999</v>
      </c>
      <c r="P136" s="86">
        <f>SUM('Comext mensuel - EUROSTAT'!AZ145,'Comext mensuel - EUROSTAT'!BB145,'Comext mensuel - EUROSTAT'!BD145,'Comext mensuel - EUROSTAT'!BF145,'Comext mensuel - EUROSTAT'!BH145,'Comext mensuel - EUROSTAT'!BJ145,'Comext mensuel - EUROSTAT'!BL145,'Comext mensuel - EUROSTAT'!BN145,'Comext mensuel - EUROSTAT'!BP145,'Comext mensuel - EUROSTAT'!BR145,'Comext mensuel - EUROSTAT'!BT145,'Comext mensuel - EUROSTAT'!BV145)/10^4</f>
        <v>2.5499999999999996E-4</v>
      </c>
    </row>
    <row r="137" spans="1:16">
      <c r="B137" t="s">
        <v>984</v>
      </c>
      <c r="C137" s="693"/>
      <c r="D137" t="str">
        <f>'Comext annuel - EUROSTAT'!B146</f>
        <v>Grains de céréales, seulement concassés (à l'excl. des grains d'orge, d'avoine, de maïs, de froment {blé} et de seigle)</v>
      </c>
      <c r="E137" s="86">
        <f>'Comext annuel - EUROSTAT'!C146/10^4</f>
        <v>0.16305</v>
      </c>
      <c r="F137" s="86">
        <f>'Comext annuel - EUROSTAT'!D146/10^4</f>
        <v>1.3758000000000001E-2</v>
      </c>
      <c r="G137" s="86">
        <f>'Comext annuel - EUROSTAT'!E146/10^4</f>
        <v>0.178568</v>
      </c>
      <c r="H137" s="86">
        <f>'Comext annuel - EUROSTAT'!F146/10^4</f>
        <v>2.3809999999999999E-3</v>
      </c>
      <c r="I137" s="86">
        <f>'Comext annuel - EUROSTAT'!G146/10^4</f>
        <v>0.16123399999999999</v>
      </c>
      <c r="J137" s="86">
        <f>'Comext annuel - EUROSTAT'!H146/10^4</f>
        <v>1.0643000000000001E-2</v>
      </c>
      <c r="K137" s="86">
        <f>SUM('Comext mensuel - EUROSTAT'!C146,'Comext mensuel - EUROSTAT'!E146,'Comext mensuel - EUROSTAT'!G146,'Comext mensuel - EUROSTAT'!I146,'Comext mensuel - EUROSTAT'!K146,'Comext mensuel - EUROSTAT'!M146,'Comext mensuel - EUROSTAT'!O146,'Comext mensuel - EUROSTAT'!Q146,'Comext mensuel - EUROSTAT'!S146,'Comext mensuel - EUROSTAT'!U146,'Comext mensuel - EUROSTAT'!W146,'Comext mensuel - EUROSTAT'!Y146)/10^4</f>
        <v>0.21051800000000004</v>
      </c>
      <c r="L137" s="86">
        <f>SUM('Comext mensuel - EUROSTAT'!D146,'Comext mensuel - EUROSTAT'!F146,'Comext mensuel - EUROSTAT'!H146,'Comext mensuel - EUROSTAT'!J146,'Comext mensuel - EUROSTAT'!L146,'Comext mensuel - EUROSTAT'!N146,'Comext mensuel - EUROSTAT'!P146,'Comext mensuel - EUROSTAT'!R146,'Comext mensuel - EUROSTAT'!T146,'Comext mensuel - EUROSTAT'!V146,'Comext mensuel - EUROSTAT'!X146,'Comext mensuel - EUROSTAT'!Z146)/10^4</f>
        <v>1.3440000000000001E-2</v>
      </c>
      <c r="M137" s="86">
        <f>SUM('Comext mensuel - EUROSTAT'!AA146,'Comext mensuel - EUROSTAT'!AC146,'Comext mensuel - EUROSTAT'!AE146,'Comext mensuel - EUROSTAT'!AG146,'Comext mensuel - EUROSTAT'!AI146,'Comext mensuel - EUROSTAT'!AK146,'Comext mensuel - EUROSTAT'!AM146,'Comext mensuel - EUROSTAT'!AO146,'Comext mensuel - EUROSTAT'!AQ146,'Comext mensuel - EUROSTAT'!AS146,'Comext mensuel - EUROSTAT'!AU146,'Comext mensuel - EUROSTAT'!AW146)/10^4</f>
        <v>0.21327199999999999</v>
      </c>
      <c r="N137" s="86">
        <f>SUM('Comext mensuel - EUROSTAT'!AB146,'Comext mensuel - EUROSTAT'!AD146,'Comext mensuel - EUROSTAT'!AF146,'Comext mensuel - EUROSTAT'!AH146,'Comext mensuel - EUROSTAT'!AJ146,'Comext mensuel - EUROSTAT'!AL146,'Comext mensuel - EUROSTAT'!AN146,'Comext mensuel - EUROSTAT'!AP146,'Comext mensuel - EUROSTAT'!AR146,'Comext mensuel - EUROSTAT'!AT146,'Comext mensuel - EUROSTAT'!AV146,'Comext mensuel - EUROSTAT'!AX146)/10^4</f>
        <v>5.2503999999999995E-2</v>
      </c>
      <c r="O137" s="86">
        <f>SUM('Comext mensuel - EUROSTAT'!AY146,'Comext mensuel - EUROSTAT'!BA146,'Comext mensuel - EUROSTAT'!BC146,'Comext mensuel - EUROSTAT'!BE146,'Comext mensuel - EUROSTAT'!BG146,'Comext mensuel - EUROSTAT'!BI146,'Comext mensuel - EUROSTAT'!BK146,'Comext mensuel - EUROSTAT'!BM146,'Comext mensuel - EUROSTAT'!BO146,'Comext mensuel - EUROSTAT'!BQ146,'Comext mensuel - EUROSTAT'!BS146,'Comext mensuel - EUROSTAT'!BU146)/10^4</f>
        <v>0.17860900000000002</v>
      </c>
      <c r="P137" s="86">
        <f>SUM('Comext mensuel - EUROSTAT'!AZ146,'Comext mensuel - EUROSTAT'!BB146,'Comext mensuel - EUROSTAT'!BD146,'Comext mensuel - EUROSTAT'!BF146,'Comext mensuel - EUROSTAT'!BH146,'Comext mensuel - EUROSTAT'!BJ146,'Comext mensuel - EUROSTAT'!BL146,'Comext mensuel - EUROSTAT'!BN146,'Comext mensuel - EUROSTAT'!BP146,'Comext mensuel - EUROSTAT'!BR146,'Comext mensuel - EUROSTAT'!BT146,'Comext mensuel - EUROSTAT'!BV146)/10^4</f>
        <v>1.0461E-2</v>
      </c>
    </row>
    <row r="138" spans="1:16">
      <c r="A138" t="s">
        <v>970</v>
      </c>
      <c r="B138" t="s">
        <v>984</v>
      </c>
      <c r="C138" s="693"/>
      <c r="D138" t="str">
        <f>'Comext annuel - EUROSTAT'!B147</f>
        <v>Grains de blé tranchés, concassés ou autrement travaillés (à l'excl. de la farine et des grains aplatis, en flocons, en pellets, mondés, perlés et seulement concassés)</v>
      </c>
      <c r="E138" s="86">
        <f>'Comext annuel - EUROSTAT'!C147/10^4</f>
        <v>0.53651000000000004</v>
      </c>
      <c r="F138" s="86">
        <f>'Comext annuel - EUROSTAT'!D147/10^4</f>
        <v>5.3247000000000003E-2</v>
      </c>
      <c r="G138" s="86">
        <f>'Comext annuel - EUROSTAT'!E147/10^4</f>
        <v>0.419958</v>
      </c>
      <c r="H138" s="86">
        <f>'Comext annuel - EUROSTAT'!F147/10^4</f>
        <v>1.3253000000000001E-2</v>
      </c>
      <c r="I138" s="86">
        <f>'Comext annuel - EUROSTAT'!G147/10^4</f>
        <v>0.67257900000000004</v>
      </c>
      <c r="J138" s="86">
        <f>'Comext annuel - EUROSTAT'!H147/10^4</f>
        <v>1.725E-3</v>
      </c>
      <c r="K138" s="86">
        <f>SUM('Comext mensuel - EUROSTAT'!C147,'Comext mensuel - EUROSTAT'!E147,'Comext mensuel - EUROSTAT'!G147,'Comext mensuel - EUROSTAT'!I147,'Comext mensuel - EUROSTAT'!K147,'Comext mensuel - EUROSTAT'!M147,'Comext mensuel - EUROSTAT'!O147,'Comext mensuel - EUROSTAT'!Q147,'Comext mensuel - EUROSTAT'!S147,'Comext mensuel - EUROSTAT'!U147,'Comext mensuel - EUROSTAT'!W147,'Comext mensuel - EUROSTAT'!Y147)/10^4</f>
        <v>0.53192499999999998</v>
      </c>
      <c r="L138" s="86">
        <f>SUM('Comext mensuel - EUROSTAT'!D147,'Comext mensuel - EUROSTAT'!F147,'Comext mensuel - EUROSTAT'!H147,'Comext mensuel - EUROSTAT'!J147,'Comext mensuel - EUROSTAT'!L147,'Comext mensuel - EUROSTAT'!N147,'Comext mensuel - EUROSTAT'!P147,'Comext mensuel - EUROSTAT'!R147,'Comext mensuel - EUROSTAT'!T147,'Comext mensuel - EUROSTAT'!V147,'Comext mensuel - EUROSTAT'!X147,'Comext mensuel - EUROSTAT'!Z147)/10^4</f>
        <v>4.6326000000000006E-2</v>
      </c>
      <c r="M138" s="86">
        <f>SUM('Comext mensuel - EUROSTAT'!AA147,'Comext mensuel - EUROSTAT'!AC147,'Comext mensuel - EUROSTAT'!AE147,'Comext mensuel - EUROSTAT'!AG147,'Comext mensuel - EUROSTAT'!AI147,'Comext mensuel - EUROSTAT'!AK147,'Comext mensuel - EUROSTAT'!AM147,'Comext mensuel - EUROSTAT'!AO147,'Comext mensuel - EUROSTAT'!AQ147,'Comext mensuel - EUROSTAT'!AS147,'Comext mensuel - EUROSTAT'!AU147,'Comext mensuel - EUROSTAT'!AW147)/10^4</f>
        <v>0.496778</v>
      </c>
      <c r="N138" s="86">
        <f>SUM('Comext mensuel - EUROSTAT'!AB147,'Comext mensuel - EUROSTAT'!AD147,'Comext mensuel - EUROSTAT'!AF147,'Comext mensuel - EUROSTAT'!AH147,'Comext mensuel - EUROSTAT'!AJ147,'Comext mensuel - EUROSTAT'!AL147,'Comext mensuel - EUROSTAT'!AN147,'Comext mensuel - EUROSTAT'!AP147,'Comext mensuel - EUROSTAT'!AR147,'Comext mensuel - EUROSTAT'!AT147,'Comext mensuel - EUROSTAT'!AV147,'Comext mensuel - EUROSTAT'!AX147)/10^4</f>
        <v>2.1519E-2</v>
      </c>
      <c r="O138" s="86">
        <f>SUM('Comext mensuel - EUROSTAT'!AY147,'Comext mensuel - EUROSTAT'!BA147,'Comext mensuel - EUROSTAT'!BC147,'Comext mensuel - EUROSTAT'!BE147,'Comext mensuel - EUROSTAT'!BG147,'Comext mensuel - EUROSTAT'!BI147,'Comext mensuel - EUROSTAT'!BK147,'Comext mensuel - EUROSTAT'!BM147,'Comext mensuel - EUROSTAT'!BO147,'Comext mensuel - EUROSTAT'!BQ147,'Comext mensuel - EUROSTAT'!BS147,'Comext mensuel - EUROSTAT'!BU147)/10^4</f>
        <v>0.62400800000000001</v>
      </c>
      <c r="P138" s="86">
        <f>SUM('Comext mensuel - EUROSTAT'!AZ147,'Comext mensuel - EUROSTAT'!BB147,'Comext mensuel - EUROSTAT'!BD147,'Comext mensuel - EUROSTAT'!BF147,'Comext mensuel - EUROSTAT'!BH147,'Comext mensuel - EUROSTAT'!BJ147,'Comext mensuel - EUROSTAT'!BL147,'Comext mensuel - EUROSTAT'!BN147,'Comext mensuel - EUROSTAT'!BP147,'Comext mensuel - EUROSTAT'!BR147,'Comext mensuel - EUROSTAT'!BT147,'Comext mensuel - EUROSTAT'!BV147)/10^4</f>
        <v>1.276E-3</v>
      </c>
    </row>
    <row r="139" spans="1:16">
      <c r="A139" t="s">
        <v>310</v>
      </c>
      <c r="B139" t="s">
        <v>984</v>
      </c>
      <c r="C139" s="693"/>
      <c r="D139" t="str">
        <f>'Comext annuel - EUROSTAT'!B148</f>
        <v>Grains de seigle tranchés, concassés ou autrement travaillés (à l'excl. de la farine et des grains aplatis, en flocons, en pellets, mondés, perlés et seulement concassés)</v>
      </c>
      <c r="E139" s="86" t="e">
        <f>'Comext annuel - EUROSTAT'!C148/10^4</f>
        <v>#VALUE!</v>
      </c>
      <c r="F139" s="86" t="e">
        <f>'Comext annuel - EUROSTAT'!D148/10^4</f>
        <v>#VALUE!</v>
      </c>
      <c r="G139" s="86">
        <f>'Comext annuel - EUROSTAT'!E148/10^4</f>
        <v>2.1863999999999998E-2</v>
      </c>
      <c r="H139" s="86">
        <f>'Comext annuel - EUROSTAT'!F148/10^4</f>
        <v>1.0029000000000001E-2</v>
      </c>
      <c r="I139" s="86">
        <f>'Comext annuel - EUROSTAT'!G148/10^4</f>
        <v>2.2828999999999999E-2</v>
      </c>
      <c r="J139" s="86">
        <f>'Comext annuel - EUROSTAT'!H148/10^4</f>
        <v>5.7499999999999999E-3</v>
      </c>
      <c r="K139" s="86">
        <f>SUM('Comext mensuel - EUROSTAT'!C148,'Comext mensuel - EUROSTAT'!E148,'Comext mensuel - EUROSTAT'!G148,'Comext mensuel - EUROSTAT'!I148,'Comext mensuel - EUROSTAT'!K148,'Comext mensuel - EUROSTAT'!M148,'Comext mensuel - EUROSTAT'!O148,'Comext mensuel - EUROSTAT'!Q148,'Comext mensuel - EUROSTAT'!S148,'Comext mensuel - EUROSTAT'!U148,'Comext mensuel - EUROSTAT'!W148,'Comext mensuel - EUROSTAT'!Y148)/10^4</f>
        <v>4.0500000000000001E-2</v>
      </c>
      <c r="L139" s="86">
        <f>SUM('Comext mensuel - EUROSTAT'!D148,'Comext mensuel - EUROSTAT'!F148,'Comext mensuel - EUROSTAT'!H148,'Comext mensuel - EUROSTAT'!J148,'Comext mensuel - EUROSTAT'!L148,'Comext mensuel - EUROSTAT'!N148,'Comext mensuel - EUROSTAT'!P148,'Comext mensuel - EUROSTAT'!R148,'Comext mensuel - EUROSTAT'!T148,'Comext mensuel - EUROSTAT'!V148,'Comext mensuel - EUROSTAT'!X148,'Comext mensuel - EUROSTAT'!Z148)/10^4</f>
        <v>5.0000000000000004E-6</v>
      </c>
      <c r="M139" s="86">
        <f>SUM('Comext mensuel - EUROSTAT'!AA148,'Comext mensuel - EUROSTAT'!AC148,'Comext mensuel - EUROSTAT'!AE148,'Comext mensuel - EUROSTAT'!AG148,'Comext mensuel - EUROSTAT'!AI148,'Comext mensuel - EUROSTAT'!AK148,'Comext mensuel - EUROSTAT'!AM148,'Comext mensuel - EUROSTAT'!AO148,'Comext mensuel - EUROSTAT'!AQ148,'Comext mensuel - EUROSTAT'!AS148,'Comext mensuel - EUROSTAT'!AU148,'Comext mensuel - EUROSTAT'!AW148)/10^4</f>
        <v>1.7250000000000001E-2</v>
      </c>
      <c r="N139" s="86">
        <f>SUM('Comext mensuel - EUROSTAT'!AB148,'Comext mensuel - EUROSTAT'!AD148,'Comext mensuel - EUROSTAT'!AF148,'Comext mensuel - EUROSTAT'!AH148,'Comext mensuel - EUROSTAT'!AJ148,'Comext mensuel - EUROSTAT'!AL148,'Comext mensuel - EUROSTAT'!AN148,'Comext mensuel - EUROSTAT'!AP148,'Comext mensuel - EUROSTAT'!AR148,'Comext mensuel - EUROSTAT'!AT148,'Comext mensuel - EUROSTAT'!AV148,'Comext mensuel - EUROSTAT'!AX148)/10^4</f>
        <v>8.1670000000000006E-3</v>
      </c>
      <c r="O139" s="86">
        <f>SUM('Comext mensuel - EUROSTAT'!AY148,'Comext mensuel - EUROSTAT'!BA148,'Comext mensuel - EUROSTAT'!BC148,'Comext mensuel - EUROSTAT'!BE148,'Comext mensuel - EUROSTAT'!BG148,'Comext mensuel - EUROSTAT'!BI148,'Comext mensuel - EUROSTAT'!BK148,'Comext mensuel - EUROSTAT'!BM148,'Comext mensuel - EUROSTAT'!BO148,'Comext mensuel - EUROSTAT'!BQ148,'Comext mensuel - EUROSTAT'!BS148,'Comext mensuel - EUROSTAT'!BU148)/10^4</f>
        <v>1.9570000000000001E-2</v>
      </c>
      <c r="P139" s="86">
        <f>SUM('Comext mensuel - EUROSTAT'!AZ148,'Comext mensuel - EUROSTAT'!BB148,'Comext mensuel - EUROSTAT'!BD148,'Comext mensuel - EUROSTAT'!BF148,'Comext mensuel - EUROSTAT'!BH148,'Comext mensuel - EUROSTAT'!BJ148,'Comext mensuel - EUROSTAT'!BL148,'Comext mensuel - EUROSTAT'!BN148,'Comext mensuel - EUROSTAT'!BP148,'Comext mensuel - EUROSTAT'!BR148,'Comext mensuel - EUROSTAT'!BT148,'Comext mensuel - EUROSTAT'!BV148)/10^4</f>
        <v>8.9999999999999993E-3</v>
      </c>
    </row>
    <row r="140" spans="1:16">
      <c r="B140" t="s">
        <v>984</v>
      </c>
      <c r="C140" s="693"/>
      <c r="D140" t="str">
        <f>'Comext annuel - EUROSTAT'!B149</f>
        <v>Grains de céréales tranchés, concassés ou autrement travaillés (à l'excl. de la farine d'avoine, d'orge, de maïs, de blé et de seigle, de la farine et des grains de céréales aplatis, en flocons, en pellets mondés, perlés, seulement concassés, ainsi que du riz semi-blanchi ou blanchi et en brisures)</v>
      </c>
      <c r="E140" s="86">
        <f>'Comext annuel - EUROSTAT'!C149/10^4</f>
        <v>0.49591899999999994</v>
      </c>
      <c r="F140" s="86">
        <f>'Comext annuel - EUROSTAT'!D149/10^4</f>
        <v>7.3516999999999999E-2</v>
      </c>
      <c r="G140" s="86">
        <f>'Comext annuel - EUROSTAT'!E149/10^4</f>
        <v>0.60920799999999997</v>
      </c>
      <c r="H140" s="86">
        <f>'Comext annuel - EUROSTAT'!F149/10^4</f>
        <v>0.11840299999999999</v>
      </c>
      <c r="I140" s="86">
        <f>'Comext annuel - EUROSTAT'!G149/10^4</f>
        <v>0.10396</v>
      </c>
      <c r="J140" s="86">
        <f>'Comext annuel - EUROSTAT'!H149/10^4</f>
        <v>4.385E-3</v>
      </c>
      <c r="K140" s="86">
        <f>SUM('Comext mensuel - EUROSTAT'!C149,'Comext mensuel - EUROSTAT'!E149,'Comext mensuel - EUROSTAT'!G149,'Comext mensuel - EUROSTAT'!I149,'Comext mensuel - EUROSTAT'!K149,'Comext mensuel - EUROSTAT'!M149,'Comext mensuel - EUROSTAT'!O149,'Comext mensuel - EUROSTAT'!Q149,'Comext mensuel - EUROSTAT'!S149,'Comext mensuel - EUROSTAT'!U149,'Comext mensuel - EUROSTAT'!W149,'Comext mensuel - EUROSTAT'!Y149)/10^4</f>
        <v>0.54280699999999993</v>
      </c>
      <c r="L140" s="86">
        <f>SUM('Comext mensuel - EUROSTAT'!D149,'Comext mensuel - EUROSTAT'!F149,'Comext mensuel - EUROSTAT'!H149,'Comext mensuel - EUROSTAT'!J149,'Comext mensuel - EUROSTAT'!L149,'Comext mensuel - EUROSTAT'!N149,'Comext mensuel - EUROSTAT'!P149,'Comext mensuel - EUROSTAT'!R149,'Comext mensuel - EUROSTAT'!T149,'Comext mensuel - EUROSTAT'!V149,'Comext mensuel - EUROSTAT'!X149,'Comext mensuel - EUROSTAT'!Z149)/10^4</f>
        <v>0.28955999999999998</v>
      </c>
      <c r="M140" s="86">
        <f>SUM('Comext mensuel - EUROSTAT'!AA149,'Comext mensuel - EUROSTAT'!AC149,'Comext mensuel - EUROSTAT'!AE149,'Comext mensuel - EUROSTAT'!AG149,'Comext mensuel - EUROSTAT'!AI149,'Comext mensuel - EUROSTAT'!AK149,'Comext mensuel - EUROSTAT'!AM149,'Comext mensuel - EUROSTAT'!AO149,'Comext mensuel - EUROSTAT'!AQ149,'Comext mensuel - EUROSTAT'!AS149,'Comext mensuel - EUROSTAT'!AU149,'Comext mensuel - EUROSTAT'!AW149)/10^4</f>
        <v>0.7951339999999999</v>
      </c>
      <c r="N140" s="86">
        <f>SUM('Comext mensuel - EUROSTAT'!AB149,'Comext mensuel - EUROSTAT'!AD149,'Comext mensuel - EUROSTAT'!AF149,'Comext mensuel - EUROSTAT'!AH149,'Comext mensuel - EUROSTAT'!AJ149,'Comext mensuel - EUROSTAT'!AL149,'Comext mensuel - EUROSTAT'!AN149,'Comext mensuel - EUROSTAT'!AP149,'Comext mensuel - EUROSTAT'!AR149,'Comext mensuel - EUROSTAT'!AT149,'Comext mensuel - EUROSTAT'!AV149,'Comext mensuel - EUROSTAT'!AX149)/10^4</f>
        <v>0.13599</v>
      </c>
      <c r="O140" s="86">
        <f>SUM('Comext mensuel - EUROSTAT'!AY149,'Comext mensuel - EUROSTAT'!BA149,'Comext mensuel - EUROSTAT'!BC149,'Comext mensuel - EUROSTAT'!BE149,'Comext mensuel - EUROSTAT'!BG149,'Comext mensuel - EUROSTAT'!BI149,'Comext mensuel - EUROSTAT'!BK149,'Comext mensuel - EUROSTAT'!BM149,'Comext mensuel - EUROSTAT'!BO149,'Comext mensuel - EUROSTAT'!BQ149,'Comext mensuel - EUROSTAT'!BS149,'Comext mensuel - EUROSTAT'!BU149)/10^4</f>
        <v>8.3739000000000022E-2</v>
      </c>
      <c r="P140" s="86">
        <f>SUM('Comext mensuel - EUROSTAT'!AZ149,'Comext mensuel - EUROSTAT'!BB149,'Comext mensuel - EUROSTAT'!BD149,'Comext mensuel - EUROSTAT'!BF149,'Comext mensuel - EUROSTAT'!BH149,'Comext mensuel - EUROSTAT'!BJ149,'Comext mensuel - EUROSTAT'!BL149,'Comext mensuel - EUROSTAT'!BN149,'Comext mensuel - EUROSTAT'!BP149,'Comext mensuel - EUROSTAT'!BR149,'Comext mensuel - EUROSTAT'!BT149,'Comext mensuel - EUROSTAT'!BV149)/10^4</f>
        <v>1.6628999999999998E-2</v>
      </c>
    </row>
    <row r="141" spans="1:16">
      <c r="A141" t="s">
        <v>970</v>
      </c>
      <c r="B141" t="s">
        <v>984</v>
      </c>
      <c r="C141" s="693" t="s">
        <v>983</v>
      </c>
      <c r="D141" t="str">
        <f>'Comext annuel - EUROSTAT'!B150</f>
        <v>Germes de froment {blé}, entiers, aplatis, en flocons ou moulus</v>
      </c>
      <c r="E141" s="86">
        <f>'Comext annuel - EUROSTAT'!C150/10^4</f>
        <v>2.5162139999999997</v>
      </c>
      <c r="F141" s="86">
        <f>'Comext annuel - EUROSTAT'!D150/10^4</f>
        <v>0.386347</v>
      </c>
      <c r="G141" s="86">
        <f>'Comext annuel - EUROSTAT'!E150/10^4</f>
        <v>1.6180950000000001</v>
      </c>
      <c r="H141" s="86">
        <f>'Comext annuel - EUROSTAT'!F150/10^4</f>
        <v>0.38900800000000002</v>
      </c>
      <c r="I141" s="86">
        <f>'Comext annuel - EUROSTAT'!G150/10^4</f>
        <v>1.4183709999999998</v>
      </c>
      <c r="J141" s="86">
        <f>'Comext annuel - EUROSTAT'!H150/10^4</f>
        <v>0.42642799999999997</v>
      </c>
      <c r="K141" s="86">
        <f>SUM('Comext mensuel - EUROSTAT'!C150,'Comext mensuel - EUROSTAT'!E150,'Comext mensuel - EUROSTAT'!G150,'Comext mensuel - EUROSTAT'!I150,'Comext mensuel - EUROSTAT'!K150,'Comext mensuel - EUROSTAT'!M150,'Comext mensuel - EUROSTAT'!O150,'Comext mensuel - EUROSTAT'!Q150,'Comext mensuel - EUROSTAT'!S150,'Comext mensuel - EUROSTAT'!U150,'Comext mensuel - EUROSTAT'!W150,'Comext mensuel - EUROSTAT'!Y150)/10^4</f>
        <v>2.557604</v>
      </c>
      <c r="L141" s="86">
        <f>SUM('Comext mensuel - EUROSTAT'!D150,'Comext mensuel - EUROSTAT'!F150,'Comext mensuel - EUROSTAT'!H150,'Comext mensuel - EUROSTAT'!J150,'Comext mensuel - EUROSTAT'!L150,'Comext mensuel - EUROSTAT'!N150,'Comext mensuel - EUROSTAT'!P150,'Comext mensuel - EUROSTAT'!R150,'Comext mensuel - EUROSTAT'!T150,'Comext mensuel - EUROSTAT'!V150,'Comext mensuel - EUROSTAT'!X150,'Comext mensuel - EUROSTAT'!Z150)/10^4</f>
        <v>0.34221699999999999</v>
      </c>
      <c r="M141" s="86">
        <f>SUM('Comext mensuel - EUROSTAT'!AA150,'Comext mensuel - EUROSTAT'!AC150,'Comext mensuel - EUROSTAT'!AE150,'Comext mensuel - EUROSTAT'!AG150,'Comext mensuel - EUROSTAT'!AI150,'Comext mensuel - EUROSTAT'!AK150,'Comext mensuel - EUROSTAT'!AM150,'Comext mensuel - EUROSTAT'!AO150,'Comext mensuel - EUROSTAT'!AQ150,'Comext mensuel - EUROSTAT'!AS150,'Comext mensuel - EUROSTAT'!AU150,'Comext mensuel - EUROSTAT'!AW150)/10^4</f>
        <v>1.5990949999999999</v>
      </c>
      <c r="N141" s="86">
        <f>SUM('Comext mensuel - EUROSTAT'!AB150,'Comext mensuel - EUROSTAT'!AD150,'Comext mensuel - EUROSTAT'!AF150,'Comext mensuel - EUROSTAT'!AH150,'Comext mensuel - EUROSTAT'!AJ150,'Comext mensuel - EUROSTAT'!AL150,'Comext mensuel - EUROSTAT'!AN150,'Comext mensuel - EUROSTAT'!AP150,'Comext mensuel - EUROSTAT'!AR150,'Comext mensuel - EUROSTAT'!AT150,'Comext mensuel - EUROSTAT'!AV150,'Comext mensuel - EUROSTAT'!AX150)/10^4</f>
        <v>0.44275500000000001</v>
      </c>
      <c r="O141" s="86">
        <f>SUM('Comext mensuel - EUROSTAT'!AY150,'Comext mensuel - EUROSTAT'!BA150,'Comext mensuel - EUROSTAT'!BC150,'Comext mensuel - EUROSTAT'!BE150,'Comext mensuel - EUROSTAT'!BG150,'Comext mensuel - EUROSTAT'!BI150,'Comext mensuel - EUROSTAT'!BK150,'Comext mensuel - EUROSTAT'!BM150,'Comext mensuel - EUROSTAT'!BO150,'Comext mensuel - EUROSTAT'!BQ150,'Comext mensuel - EUROSTAT'!BS150,'Comext mensuel - EUROSTAT'!BU150)/10^4</f>
        <v>1.2494459999999998</v>
      </c>
      <c r="P141" s="86">
        <f>SUM('Comext mensuel - EUROSTAT'!AZ150,'Comext mensuel - EUROSTAT'!BB150,'Comext mensuel - EUROSTAT'!BD150,'Comext mensuel - EUROSTAT'!BF150,'Comext mensuel - EUROSTAT'!BH150,'Comext mensuel - EUROSTAT'!BJ150,'Comext mensuel - EUROSTAT'!BL150,'Comext mensuel - EUROSTAT'!BN150,'Comext mensuel - EUROSTAT'!BP150,'Comext mensuel - EUROSTAT'!BR150,'Comext mensuel - EUROSTAT'!BT150,'Comext mensuel - EUROSTAT'!BV150)/10^4</f>
        <v>0.35266999999999998</v>
      </c>
    </row>
    <row r="142" spans="1:16">
      <c r="B142" t="s">
        <v>984</v>
      </c>
      <c r="C142" s="693"/>
      <c r="D142" t="str">
        <f>'Comext annuel - EUROSTAT'!B151</f>
        <v>Germes de céréales, entiers, aplatis, en flocons ou moulus (à l'excl. des germes de froment {blé})</v>
      </c>
      <c r="E142" s="86">
        <f>'Comext annuel - EUROSTAT'!C151/10^4</f>
        <v>4.2049250000000002</v>
      </c>
      <c r="F142" s="86">
        <f>'Comext annuel - EUROSTAT'!D151/10^4</f>
        <v>70.438456000000002</v>
      </c>
      <c r="G142" s="86">
        <f>'Comext annuel - EUROSTAT'!E151/10^4</f>
        <v>9.2236960000000003</v>
      </c>
      <c r="H142" s="86">
        <f>'Comext annuel - EUROSTAT'!F151/10^4</f>
        <v>67.768235000000004</v>
      </c>
      <c r="I142" s="86">
        <f>'Comext annuel - EUROSTAT'!G151/10^4</f>
        <v>5.51851</v>
      </c>
      <c r="J142" s="86">
        <f>'Comext annuel - EUROSTAT'!H151/10^4</f>
        <v>46.044598000000001</v>
      </c>
      <c r="K142" s="86">
        <f>SUM('Comext mensuel - EUROSTAT'!C151,'Comext mensuel - EUROSTAT'!E151,'Comext mensuel - EUROSTAT'!G151,'Comext mensuel - EUROSTAT'!I151,'Comext mensuel - EUROSTAT'!K151,'Comext mensuel - EUROSTAT'!M151,'Comext mensuel - EUROSTAT'!O151,'Comext mensuel - EUROSTAT'!Q151,'Comext mensuel - EUROSTAT'!S151,'Comext mensuel - EUROSTAT'!U151,'Comext mensuel - EUROSTAT'!W151,'Comext mensuel - EUROSTAT'!Y151)/10^4</f>
        <v>5.1228880000000006</v>
      </c>
      <c r="L142" s="86">
        <f>SUM('Comext mensuel - EUROSTAT'!D151,'Comext mensuel - EUROSTAT'!F151,'Comext mensuel - EUROSTAT'!H151,'Comext mensuel - EUROSTAT'!J151,'Comext mensuel - EUROSTAT'!L151,'Comext mensuel - EUROSTAT'!N151,'Comext mensuel - EUROSTAT'!P151,'Comext mensuel - EUROSTAT'!R151,'Comext mensuel - EUROSTAT'!T151,'Comext mensuel - EUROSTAT'!V151,'Comext mensuel - EUROSTAT'!X151,'Comext mensuel - EUROSTAT'!Z151)/10^4</f>
        <v>70.205128000000002</v>
      </c>
      <c r="M142" s="86">
        <f>SUM('Comext mensuel - EUROSTAT'!AA151,'Comext mensuel - EUROSTAT'!AC151,'Comext mensuel - EUROSTAT'!AE151,'Comext mensuel - EUROSTAT'!AG151,'Comext mensuel - EUROSTAT'!AI151,'Comext mensuel - EUROSTAT'!AK151,'Comext mensuel - EUROSTAT'!AM151,'Comext mensuel - EUROSTAT'!AO151,'Comext mensuel - EUROSTAT'!AQ151,'Comext mensuel - EUROSTAT'!AS151,'Comext mensuel - EUROSTAT'!AU151,'Comext mensuel - EUROSTAT'!AW151)/10^4</f>
        <v>7.3227219999999997</v>
      </c>
      <c r="N142" s="86">
        <f>SUM('Comext mensuel - EUROSTAT'!AB151,'Comext mensuel - EUROSTAT'!AD151,'Comext mensuel - EUROSTAT'!AF151,'Comext mensuel - EUROSTAT'!AH151,'Comext mensuel - EUROSTAT'!AJ151,'Comext mensuel - EUROSTAT'!AL151,'Comext mensuel - EUROSTAT'!AN151,'Comext mensuel - EUROSTAT'!AP151,'Comext mensuel - EUROSTAT'!AR151,'Comext mensuel - EUROSTAT'!AT151,'Comext mensuel - EUROSTAT'!AV151,'Comext mensuel - EUROSTAT'!AX151)/10^4</f>
        <v>68.120722000000001</v>
      </c>
      <c r="O142" s="86">
        <f>SUM('Comext mensuel - EUROSTAT'!AY151,'Comext mensuel - EUROSTAT'!BA151,'Comext mensuel - EUROSTAT'!BC151,'Comext mensuel - EUROSTAT'!BE151,'Comext mensuel - EUROSTAT'!BG151,'Comext mensuel - EUROSTAT'!BI151,'Comext mensuel - EUROSTAT'!BK151,'Comext mensuel - EUROSTAT'!BM151,'Comext mensuel - EUROSTAT'!BO151,'Comext mensuel - EUROSTAT'!BQ151,'Comext mensuel - EUROSTAT'!BS151,'Comext mensuel - EUROSTAT'!BU151)/10^4</f>
        <v>3.0416979999999998</v>
      </c>
      <c r="P142" s="86">
        <f>SUM('Comext mensuel - EUROSTAT'!AZ151,'Comext mensuel - EUROSTAT'!BB151,'Comext mensuel - EUROSTAT'!BD151,'Comext mensuel - EUROSTAT'!BF151,'Comext mensuel - EUROSTAT'!BH151,'Comext mensuel - EUROSTAT'!BJ151,'Comext mensuel - EUROSTAT'!BL151,'Comext mensuel - EUROSTAT'!BN151,'Comext mensuel - EUROSTAT'!BP151,'Comext mensuel - EUROSTAT'!BR151,'Comext mensuel - EUROSTAT'!BT151,'Comext mensuel - EUROSTAT'!BV151)/10^4</f>
        <v>48.264170999999997</v>
      </c>
    </row>
    <row r="143" spans="1:16">
      <c r="A143" t="s">
        <v>970</v>
      </c>
      <c r="B143" t="s">
        <v>972</v>
      </c>
      <c r="C143" s="693" t="s">
        <v>972</v>
      </c>
      <c r="D143" t="str">
        <f>'Comext annuel - EUROSTAT'!B152</f>
        <v>Malt de froment {blé}, non torréfié, présenté sous forme de farine</v>
      </c>
      <c r="E143" s="86">
        <f>'Comext annuel - EUROSTAT'!C152/10^4</f>
        <v>1.536451</v>
      </c>
      <c r="F143" s="86">
        <f>'Comext annuel - EUROSTAT'!D152/10^4</f>
        <v>0.97327299999999994</v>
      </c>
      <c r="G143" s="86">
        <f>'Comext annuel - EUROSTAT'!E152/10^4</f>
        <v>2.7612799999999997</v>
      </c>
      <c r="H143" s="86">
        <f>'Comext annuel - EUROSTAT'!F152/10^4</f>
        <v>0.59915299999999994</v>
      </c>
      <c r="I143" s="86">
        <f>'Comext annuel - EUROSTAT'!G152/10^4</f>
        <v>0.16453599999999999</v>
      </c>
      <c r="J143" s="86">
        <f>'Comext annuel - EUROSTAT'!H152/10^4</f>
        <v>0.46717799999999998</v>
      </c>
      <c r="K143" s="509">
        <f>SUM('Comext mensuel - EUROSTAT'!C152,'Comext mensuel - EUROSTAT'!E152,'Comext mensuel - EUROSTAT'!G152,'Comext mensuel - EUROSTAT'!I152,'Comext mensuel - EUROSTAT'!K152,'Comext mensuel - EUROSTAT'!M152,'Comext mensuel - EUROSTAT'!O152,'Comext mensuel - EUROSTAT'!Q152,'Comext mensuel - EUROSTAT'!S152,'Comext mensuel - EUROSTAT'!U152,'Comext mensuel - EUROSTAT'!W152,'Comext mensuel - EUROSTAT'!Y152)/10^4</f>
        <v>1.6740220000000001</v>
      </c>
      <c r="L143" s="509">
        <f>SUM('Comext mensuel - EUROSTAT'!D152,'Comext mensuel - EUROSTAT'!F152,'Comext mensuel - EUROSTAT'!H152,'Comext mensuel - EUROSTAT'!J152,'Comext mensuel - EUROSTAT'!L152,'Comext mensuel - EUROSTAT'!N152,'Comext mensuel - EUROSTAT'!P152,'Comext mensuel - EUROSTAT'!R152,'Comext mensuel - EUROSTAT'!T152,'Comext mensuel - EUROSTAT'!V152,'Comext mensuel - EUROSTAT'!X152,'Comext mensuel - EUROSTAT'!Z152)/10^4</f>
        <v>0.98640000000000005</v>
      </c>
      <c r="M143" s="509">
        <f>SUM('Comext mensuel - EUROSTAT'!AA152,'Comext mensuel - EUROSTAT'!AC152,'Comext mensuel - EUROSTAT'!AE152,'Comext mensuel - EUROSTAT'!AG152,'Comext mensuel - EUROSTAT'!AI152,'Comext mensuel - EUROSTAT'!AK152,'Comext mensuel - EUROSTAT'!AM152,'Comext mensuel - EUROSTAT'!AO152,'Comext mensuel - EUROSTAT'!AQ152,'Comext mensuel - EUROSTAT'!AS152,'Comext mensuel - EUROSTAT'!AU152,'Comext mensuel - EUROSTAT'!AW152)/10^4</f>
        <v>2.094049</v>
      </c>
      <c r="N143" s="509">
        <f>SUM('Comext mensuel - EUROSTAT'!AB152,'Comext mensuel - EUROSTAT'!AD152,'Comext mensuel - EUROSTAT'!AF152,'Comext mensuel - EUROSTAT'!AH152,'Comext mensuel - EUROSTAT'!AJ152,'Comext mensuel - EUROSTAT'!AL152,'Comext mensuel - EUROSTAT'!AN152,'Comext mensuel - EUROSTAT'!AP152,'Comext mensuel - EUROSTAT'!AR152,'Comext mensuel - EUROSTAT'!AT152,'Comext mensuel - EUROSTAT'!AV152,'Comext mensuel - EUROSTAT'!AX152)/10^4</f>
        <v>0.48313500000000004</v>
      </c>
      <c r="O143" s="509">
        <f>SUM('Comext mensuel - EUROSTAT'!AY152,'Comext mensuel - EUROSTAT'!BA152,'Comext mensuel - EUROSTAT'!BC152,'Comext mensuel - EUROSTAT'!BE152,'Comext mensuel - EUROSTAT'!BG152,'Comext mensuel - EUROSTAT'!BI152,'Comext mensuel - EUROSTAT'!BK152,'Comext mensuel - EUROSTAT'!BM152,'Comext mensuel - EUROSTAT'!BO152,'Comext mensuel - EUROSTAT'!BQ152,'Comext mensuel - EUROSTAT'!BS152,'Comext mensuel - EUROSTAT'!BU152)/10^4</f>
        <v>0.24599499999999999</v>
      </c>
      <c r="P143" s="509">
        <f>SUM('Comext mensuel - EUROSTAT'!AZ152,'Comext mensuel - EUROSTAT'!BB152,'Comext mensuel - EUROSTAT'!BD152,'Comext mensuel - EUROSTAT'!BF152,'Comext mensuel - EUROSTAT'!BH152,'Comext mensuel - EUROSTAT'!BJ152,'Comext mensuel - EUROSTAT'!BL152,'Comext mensuel - EUROSTAT'!BN152,'Comext mensuel - EUROSTAT'!BP152,'Comext mensuel - EUROSTAT'!BR152,'Comext mensuel - EUROSTAT'!BT152,'Comext mensuel - EUROSTAT'!BV152)/10^4</f>
        <v>0.4978760000000001</v>
      </c>
    </row>
    <row r="144" spans="1:16">
      <c r="A144" t="s">
        <v>970</v>
      </c>
      <c r="B144" t="s">
        <v>972</v>
      </c>
      <c r="C144" s="693"/>
      <c r="D144" t="str">
        <f>'Comext annuel - EUROSTAT'!B153</f>
        <v>Malt de froment {blé}, non torréfié (à l'excl. du malt présenté sous forme de farine)</v>
      </c>
      <c r="E144" s="86">
        <f>'Comext annuel - EUROSTAT'!C153/10^4</f>
        <v>1.6835369999999998</v>
      </c>
      <c r="F144" s="86">
        <f>'Comext annuel - EUROSTAT'!D153/10^4</f>
        <v>15.922545999999999</v>
      </c>
      <c r="G144" s="86">
        <f>'Comext annuel - EUROSTAT'!E153/10^4</f>
        <v>1.102196</v>
      </c>
      <c r="H144" s="86">
        <f>'Comext annuel - EUROSTAT'!F153/10^4</f>
        <v>8.8259500000000006</v>
      </c>
      <c r="I144" s="86">
        <f>'Comext annuel - EUROSTAT'!G153/10^4</f>
        <v>1.5064600000000001</v>
      </c>
      <c r="J144" s="86">
        <f>'Comext annuel - EUROSTAT'!H153/10^4</f>
        <v>10.904046000000001</v>
      </c>
      <c r="K144" s="509">
        <f>SUM('Comext mensuel - EUROSTAT'!C153,'Comext mensuel - EUROSTAT'!E153,'Comext mensuel - EUROSTAT'!G153,'Comext mensuel - EUROSTAT'!I153,'Comext mensuel - EUROSTAT'!K153,'Comext mensuel - EUROSTAT'!M153,'Comext mensuel - EUROSTAT'!O153,'Comext mensuel - EUROSTAT'!Q153,'Comext mensuel - EUROSTAT'!S153,'Comext mensuel - EUROSTAT'!U153,'Comext mensuel - EUROSTAT'!W153,'Comext mensuel - EUROSTAT'!Y153)/10^4</f>
        <v>1.4539260000000003</v>
      </c>
      <c r="L144" s="509">
        <f>SUM('Comext mensuel - EUROSTAT'!D153,'Comext mensuel - EUROSTAT'!F153,'Comext mensuel - EUROSTAT'!H153,'Comext mensuel - EUROSTAT'!J153,'Comext mensuel - EUROSTAT'!L153,'Comext mensuel - EUROSTAT'!N153,'Comext mensuel - EUROSTAT'!P153,'Comext mensuel - EUROSTAT'!R153,'Comext mensuel - EUROSTAT'!T153,'Comext mensuel - EUROSTAT'!V153,'Comext mensuel - EUROSTAT'!X153,'Comext mensuel - EUROSTAT'!Z153)/10^4</f>
        <v>14.518143999999999</v>
      </c>
      <c r="M144" s="509">
        <f>SUM('Comext mensuel - EUROSTAT'!AA153,'Comext mensuel - EUROSTAT'!AC153,'Comext mensuel - EUROSTAT'!AE153,'Comext mensuel - EUROSTAT'!AG153,'Comext mensuel - EUROSTAT'!AI153,'Comext mensuel - EUROSTAT'!AK153,'Comext mensuel - EUROSTAT'!AM153,'Comext mensuel - EUROSTAT'!AO153,'Comext mensuel - EUROSTAT'!AQ153,'Comext mensuel - EUROSTAT'!AS153,'Comext mensuel - EUROSTAT'!AU153,'Comext mensuel - EUROSTAT'!AW153)/10^4</f>
        <v>1.10094</v>
      </c>
      <c r="N144" s="509">
        <f>SUM('Comext mensuel - EUROSTAT'!AB153,'Comext mensuel - EUROSTAT'!AD153,'Comext mensuel - EUROSTAT'!AF153,'Comext mensuel - EUROSTAT'!AH153,'Comext mensuel - EUROSTAT'!AJ153,'Comext mensuel - EUROSTAT'!AL153,'Comext mensuel - EUROSTAT'!AN153,'Comext mensuel - EUROSTAT'!AP153,'Comext mensuel - EUROSTAT'!AR153,'Comext mensuel - EUROSTAT'!AT153,'Comext mensuel - EUROSTAT'!AV153,'Comext mensuel - EUROSTAT'!AX153)/10^4</f>
        <v>8.850543</v>
      </c>
      <c r="O144" s="509">
        <f>SUM('Comext mensuel - EUROSTAT'!AY153,'Comext mensuel - EUROSTAT'!BA153,'Comext mensuel - EUROSTAT'!BC153,'Comext mensuel - EUROSTAT'!BE153,'Comext mensuel - EUROSTAT'!BG153,'Comext mensuel - EUROSTAT'!BI153,'Comext mensuel - EUROSTAT'!BK153,'Comext mensuel - EUROSTAT'!BM153,'Comext mensuel - EUROSTAT'!BO153,'Comext mensuel - EUROSTAT'!BQ153,'Comext mensuel - EUROSTAT'!BS153,'Comext mensuel - EUROSTAT'!BU153)/10^4</f>
        <v>1.9127970000000001</v>
      </c>
      <c r="P144" s="509">
        <f>SUM('Comext mensuel - EUROSTAT'!AZ153,'Comext mensuel - EUROSTAT'!BB153,'Comext mensuel - EUROSTAT'!BD153,'Comext mensuel - EUROSTAT'!BF153,'Comext mensuel - EUROSTAT'!BH153,'Comext mensuel - EUROSTAT'!BJ153,'Comext mensuel - EUROSTAT'!BL153,'Comext mensuel - EUROSTAT'!BN153,'Comext mensuel - EUROSTAT'!BP153,'Comext mensuel - EUROSTAT'!BR153,'Comext mensuel - EUROSTAT'!BT153,'Comext mensuel - EUROSTAT'!BV153)/10^4</f>
        <v>11.456363999999999</v>
      </c>
    </row>
    <row r="145" spans="1:16">
      <c r="A145" t="s">
        <v>173</v>
      </c>
      <c r="B145" t="s">
        <v>972</v>
      </c>
      <c r="C145" s="693"/>
      <c r="D145" t="str">
        <f>'Comext annuel - EUROSTAT'!B154</f>
        <v>Malt, non torréfié, présenté sous forme de farine (à l'excl. du malt de froment {blé})</v>
      </c>
      <c r="E145" s="86">
        <f>'Comext annuel - EUROSTAT'!C154/10^4</f>
        <v>0.39236799999999999</v>
      </c>
      <c r="F145" s="86">
        <f>'Comext annuel - EUROSTAT'!D154/10^4</f>
        <v>0.1138</v>
      </c>
      <c r="G145" s="86">
        <f>'Comext annuel - EUROSTAT'!E154/10^4</f>
        <v>0.29512500000000003</v>
      </c>
      <c r="H145" s="86">
        <f>'Comext annuel - EUROSTAT'!F154/10^4</f>
        <v>0.20301900000000001</v>
      </c>
      <c r="I145" s="86">
        <f>'Comext annuel - EUROSTAT'!G154/10^4</f>
        <v>0.58480399999999999</v>
      </c>
      <c r="J145" s="86">
        <f>'Comext annuel - EUROSTAT'!H154/10^4</f>
        <v>0.44891899999999996</v>
      </c>
      <c r="K145" s="509">
        <f>SUM('Comext mensuel - EUROSTAT'!C154,'Comext mensuel - EUROSTAT'!E154,'Comext mensuel - EUROSTAT'!G154,'Comext mensuel - EUROSTAT'!I154,'Comext mensuel - EUROSTAT'!K154,'Comext mensuel - EUROSTAT'!M154,'Comext mensuel - EUROSTAT'!O154,'Comext mensuel - EUROSTAT'!Q154,'Comext mensuel - EUROSTAT'!S154,'Comext mensuel - EUROSTAT'!U154,'Comext mensuel - EUROSTAT'!W154,'Comext mensuel - EUROSTAT'!Y154)/10^4</f>
        <v>0.37690199999999996</v>
      </c>
      <c r="L145" s="509">
        <f>SUM('Comext mensuel - EUROSTAT'!D154,'Comext mensuel - EUROSTAT'!F154,'Comext mensuel - EUROSTAT'!H154,'Comext mensuel - EUROSTAT'!J154,'Comext mensuel - EUROSTAT'!L154,'Comext mensuel - EUROSTAT'!N154,'Comext mensuel - EUROSTAT'!P154,'Comext mensuel - EUROSTAT'!R154,'Comext mensuel - EUROSTAT'!T154,'Comext mensuel - EUROSTAT'!V154,'Comext mensuel - EUROSTAT'!X154,'Comext mensuel - EUROSTAT'!Z154)/10^4</f>
        <v>0.110003</v>
      </c>
      <c r="M145" s="509">
        <f>SUM('Comext mensuel - EUROSTAT'!AA154,'Comext mensuel - EUROSTAT'!AC154,'Comext mensuel - EUROSTAT'!AE154,'Comext mensuel - EUROSTAT'!AG154,'Comext mensuel - EUROSTAT'!AI154,'Comext mensuel - EUROSTAT'!AK154,'Comext mensuel - EUROSTAT'!AM154,'Comext mensuel - EUROSTAT'!AO154,'Comext mensuel - EUROSTAT'!AQ154,'Comext mensuel - EUROSTAT'!AS154,'Comext mensuel - EUROSTAT'!AU154,'Comext mensuel - EUROSTAT'!AW154)/10^4</f>
        <v>0.27463300000000002</v>
      </c>
      <c r="N145" s="509">
        <f>SUM('Comext mensuel - EUROSTAT'!AB154,'Comext mensuel - EUROSTAT'!AD154,'Comext mensuel - EUROSTAT'!AF154,'Comext mensuel - EUROSTAT'!AH154,'Comext mensuel - EUROSTAT'!AJ154,'Comext mensuel - EUROSTAT'!AL154,'Comext mensuel - EUROSTAT'!AN154,'Comext mensuel - EUROSTAT'!AP154,'Comext mensuel - EUROSTAT'!AR154,'Comext mensuel - EUROSTAT'!AT154,'Comext mensuel - EUROSTAT'!AV154,'Comext mensuel - EUROSTAT'!AX154)/10^4</f>
        <v>0.203879</v>
      </c>
      <c r="O145" s="509">
        <f>SUM('Comext mensuel - EUROSTAT'!AY154,'Comext mensuel - EUROSTAT'!BA154,'Comext mensuel - EUROSTAT'!BC154,'Comext mensuel - EUROSTAT'!BE154,'Comext mensuel - EUROSTAT'!BG154,'Comext mensuel - EUROSTAT'!BI154,'Comext mensuel - EUROSTAT'!BK154,'Comext mensuel - EUROSTAT'!BM154,'Comext mensuel - EUROSTAT'!BO154,'Comext mensuel - EUROSTAT'!BQ154,'Comext mensuel - EUROSTAT'!BS154,'Comext mensuel - EUROSTAT'!BU154)/10^4</f>
        <v>0.56766300000000014</v>
      </c>
      <c r="P145" s="509">
        <f>SUM('Comext mensuel - EUROSTAT'!AZ154,'Comext mensuel - EUROSTAT'!BB154,'Comext mensuel - EUROSTAT'!BD154,'Comext mensuel - EUROSTAT'!BF154,'Comext mensuel - EUROSTAT'!BH154,'Comext mensuel - EUROSTAT'!BJ154,'Comext mensuel - EUROSTAT'!BL154,'Comext mensuel - EUROSTAT'!BN154,'Comext mensuel - EUROSTAT'!BP154,'Comext mensuel - EUROSTAT'!BR154,'Comext mensuel - EUROSTAT'!BT154,'Comext mensuel - EUROSTAT'!BV154)/10^4</f>
        <v>0.45265999999999995</v>
      </c>
    </row>
    <row r="146" spans="1:16">
      <c r="A146" t="s">
        <v>173</v>
      </c>
      <c r="B146" t="s">
        <v>972</v>
      </c>
      <c r="C146" s="693"/>
      <c r="D146" t="str">
        <f>'Comext annuel - EUROSTAT'!B155</f>
        <v>Malt, non torréfié (à l'excl. du malt de froment {blé} et du malt présenté sous forme de farine)</v>
      </c>
      <c r="E146" s="86">
        <f>'Comext annuel - EUROSTAT'!C155/10^4</f>
        <v>10.239948</v>
      </c>
      <c r="F146" s="86">
        <f>'Comext annuel - EUROSTAT'!D155/10^4</f>
        <v>1170.8623810000001</v>
      </c>
      <c r="G146" s="86">
        <f>'Comext annuel - EUROSTAT'!E155/10^4</f>
        <v>29.697651</v>
      </c>
      <c r="H146" s="86">
        <f>'Comext annuel - EUROSTAT'!F155/10^4</f>
        <v>1120.329281</v>
      </c>
      <c r="I146" s="86">
        <f>'Comext annuel - EUROSTAT'!G155/10^4</f>
        <v>19.076648000000002</v>
      </c>
      <c r="J146" s="86">
        <f>'Comext annuel - EUROSTAT'!H155/10^4</f>
        <v>1059.7421859999999</v>
      </c>
      <c r="K146" s="509">
        <f>SUM('Comext mensuel - EUROSTAT'!C155,'Comext mensuel - EUROSTAT'!E155,'Comext mensuel - EUROSTAT'!G155,'Comext mensuel - EUROSTAT'!I155,'Comext mensuel - EUROSTAT'!K155,'Comext mensuel - EUROSTAT'!M155,'Comext mensuel - EUROSTAT'!O155,'Comext mensuel - EUROSTAT'!Q155,'Comext mensuel - EUROSTAT'!S155,'Comext mensuel - EUROSTAT'!U155,'Comext mensuel - EUROSTAT'!W155,'Comext mensuel - EUROSTAT'!Y155)/10^4</f>
        <v>10.399588</v>
      </c>
      <c r="L146" s="509">
        <f>SUM('Comext mensuel - EUROSTAT'!D155,'Comext mensuel - EUROSTAT'!F155,'Comext mensuel - EUROSTAT'!H155,'Comext mensuel - EUROSTAT'!J155,'Comext mensuel - EUROSTAT'!L155,'Comext mensuel - EUROSTAT'!N155,'Comext mensuel - EUROSTAT'!P155,'Comext mensuel - EUROSTAT'!R155,'Comext mensuel - EUROSTAT'!T155,'Comext mensuel - EUROSTAT'!V155,'Comext mensuel - EUROSTAT'!X155,'Comext mensuel - EUROSTAT'!Z155)/10^4</f>
        <v>1127.703865</v>
      </c>
      <c r="M146" s="509">
        <f>SUM('Comext mensuel - EUROSTAT'!AA155,'Comext mensuel - EUROSTAT'!AC155,'Comext mensuel - EUROSTAT'!AE155,'Comext mensuel - EUROSTAT'!AG155,'Comext mensuel - EUROSTAT'!AI155,'Comext mensuel - EUROSTAT'!AK155,'Comext mensuel - EUROSTAT'!AM155,'Comext mensuel - EUROSTAT'!AO155,'Comext mensuel - EUROSTAT'!AQ155,'Comext mensuel - EUROSTAT'!AS155,'Comext mensuel - EUROSTAT'!AU155,'Comext mensuel - EUROSTAT'!AW155)/10^4</f>
        <v>28.341470000000001</v>
      </c>
      <c r="N146" s="509">
        <f>SUM('Comext mensuel - EUROSTAT'!AB155,'Comext mensuel - EUROSTAT'!AD155,'Comext mensuel - EUROSTAT'!AF155,'Comext mensuel - EUROSTAT'!AH155,'Comext mensuel - EUROSTAT'!AJ155,'Comext mensuel - EUROSTAT'!AL155,'Comext mensuel - EUROSTAT'!AN155,'Comext mensuel - EUROSTAT'!AP155,'Comext mensuel - EUROSTAT'!AR155,'Comext mensuel - EUROSTAT'!AT155,'Comext mensuel - EUROSTAT'!AV155,'Comext mensuel - EUROSTAT'!AX155)/10^4</f>
        <v>1034.0331199999998</v>
      </c>
      <c r="O146" s="509">
        <f>SUM('Comext mensuel - EUROSTAT'!AY155,'Comext mensuel - EUROSTAT'!BA155,'Comext mensuel - EUROSTAT'!BC155,'Comext mensuel - EUROSTAT'!BE155,'Comext mensuel - EUROSTAT'!BG155,'Comext mensuel - EUROSTAT'!BI155,'Comext mensuel - EUROSTAT'!BK155,'Comext mensuel - EUROSTAT'!BM155,'Comext mensuel - EUROSTAT'!BO155,'Comext mensuel - EUROSTAT'!BQ155,'Comext mensuel - EUROSTAT'!BS155,'Comext mensuel - EUROSTAT'!BU155)/10^4</f>
        <v>19.991569000000002</v>
      </c>
      <c r="P146" s="509">
        <f>SUM('Comext mensuel - EUROSTAT'!AZ155,'Comext mensuel - EUROSTAT'!BB155,'Comext mensuel - EUROSTAT'!BD155,'Comext mensuel - EUROSTAT'!BF155,'Comext mensuel - EUROSTAT'!BH155,'Comext mensuel - EUROSTAT'!BJ155,'Comext mensuel - EUROSTAT'!BL155,'Comext mensuel - EUROSTAT'!BN155,'Comext mensuel - EUROSTAT'!BP155,'Comext mensuel - EUROSTAT'!BR155,'Comext mensuel - EUROSTAT'!BT155,'Comext mensuel - EUROSTAT'!BV155)/10^4</f>
        <v>1066.6432199999999</v>
      </c>
    </row>
    <row r="147" spans="1:16">
      <c r="B147" t="s">
        <v>972</v>
      </c>
      <c r="C147" s="693"/>
      <c r="D147" t="str">
        <f>'Comext annuel - EUROSTAT'!B156</f>
        <v>Malt, torréfié</v>
      </c>
      <c r="E147" s="86">
        <f>'Comext annuel - EUROSTAT'!C156/10^4</f>
        <v>1.5441009999999999</v>
      </c>
      <c r="F147" s="86">
        <f>'Comext annuel - EUROSTAT'!D156/10^4</f>
        <v>6.0894890000000004</v>
      </c>
      <c r="G147" s="86">
        <f>'Comext annuel - EUROSTAT'!E156/10^4</f>
        <v>3.3165589999999998</v>
      </c>
      <c r="H147" s="86">
        <f>'Comext annuel - EUROSTAT'!F156/10^4</f>
        <v>9.6116639999999993</v>
      </c>
      <c r="I147" s="86">
        <f>'Comext annuel - EUROSTAT'!G156/10^4</f>
        <v>5.3863529999999997</v>
      </c>
      <c r="J147" s="86">
        <f>'Comext annuel - EUROSTAT'!H156/10^4</f>
        <v>7.4035539999999997</v>
      </c>
      <c r="K147" s="86">
        <f>SUM('Comext mensuel - EUROSTAT'!C156,'Comext mensuel - EUROSTAT'!E156,'Comext mensuel - EUROSTAT'!G156,'Comext mensuel - EUROSTAT'!I156,'Comext mensuel - EUROSTAT'!K156,'Comext mensuel - EUROSTAT'!M156,'Comext mensuel - EUROSTAT'!O156,'Comext mensuel - EUROSTAT'!Q156,'Comext mensuel - EUROSTAT'!S156,'Comext mensuel - EUROSTAT'!U156,'Comext mensuel - EUROSTAT'!W156,'Comext mensuel - EUROSTAT'!Y156)/10^4</f>
        <v>1.5693309999999998</v>
      </c>
      <c r="L147" s="86">
        <f>SUM('Comext mensuel - EUROSTAT'!D156,'Comext mensuel - EUROSTAT'!F156,'Comext mensuel - EUROSTAT'!H156,'Comext mensuel - EUROSTAT'!J156,'Comext mensuel - EUROSTAT'!L156,'Comext mensuel - EUROSTAT'!N156,'Comext mensuel - EUROSTAT'!P156,'Comext mensuel - EUROSTAT'!R156,'Comext mensuel - EUROSTAT'!T156,'Comext mensuel - EUROSTAT'!V156,'Comext mensuel - EUROSTAT'!X156,'Comext mensuel - EUROSTAT'!Z156)/10^4</f>
        <v>6.4425189999999999</v>
      </c>
      <c r="M147" s="86">
        <f>SUM('Comext mensuel - EUROSTAT'!AA156,'Comext mensuel - EUROSTAT'!AC156,'Comext mensuel - EUROSTAT'!AE156,'Comext mensuel - EUROSTAT'!AG156,'Comext mensuel - EUROSTAT'!AI156,'Comext mensuel - EUROSTAT'!AK156,'Comext mensuel - EUROSTAT'!AM156,'Comext mensuel - EUROSTAT'!AO156,'Comext mensuel - EUROSTAT'!AQ156,'Comext mensuel - EUROSTAT'!AS156,'Comext mensuel - EUROSTAT'!AU156,'Comext mensuel - EUROSTAT'!AW156)/10^4</f>
        <v>2.7267229999999998</v>
      </c>
      <c r="N147" s="86">
        <f>SUM('Comext mensuel - EUROSTAT'!AB156,'Comext mensuel - EUROSTAT'!AD156,'Comext mensuel - EUROSTAT'!AF156,'Comext mensuel - EUROSTAT'!AH156,'Comext mensuel - EUROSTAT'!AJ156,'Comext mensuel - EUROSTAT'!AL156,'Comext mensuel - EUROSTAT'!AN156,'Comext mensuel - EUROSTAT'!AP156,'Comext mensuel - EUROSTAT'!AR156,'Comext mensuel - EUROSTAT'!AT156,'Comext mensuel - EUROSTAT'!AV156,'Comext mensuel - EUROSTAT'!AX156)/10^4</f>
        <v>23.488681999999997</v>
      </c>
      <c r="O147" s="86">
        <f>SUM('Comext mensuel - EUROSTAT'!AY156,'Comext mensuel - EUROSTAT'!BA156,'Comext mensuel - EUROSTAT'!BC156,'Comext mensuel - EUROSTAT'!BE156,'Comext mensuel - EUROSTAT'!BG156,'Comext mensuel - EUROSTAT'!BI156,'Comext mensuel - EUROSTAT'!BK156,'Comext mensuel - EUROSTAT'!BM156,'Comext mensuel - EUROSTAT'!BO156,'Comext mensuel - EUROSTAT'!BQ156,'Comext mensuel - EUROSTAT'!BS156,'Comext mensuel - EUROSTAT'!BU156)/10^4</f>
        <v>6.3529259999999992</v>
      </c>
      <c r="P147" s="86">
        <f>SUM('Comext mensuel - EUROSTAT'!AZ156,'Comext mensuel - EUROSTAT'!BB156,'Comext mensuel - EUROSTAT'!BD156,'Comext mensuel - EUROSTAT'!BF156,'Comext mensuel - EUROSTAT'!BH156,'Comext mensuel - EUROSTAT'!BJ156,'Comext mensuel - EUROSTAT'!BL156,'Comext mensuel - EUROSTAT'!BN156,'Comext mensuel - EUROSTAT'!BP156,'Comext mensuel - EUROSTAT'!BR156,'Comext mensuel - EUROSTAT'!BT156,'Comext mensuel - EUROSTAT'!BV156)/10^4</f>
        <v>6.2930849999999987</v>
      </c>
    </row>
    <row r="148" spans="1:16">
      <c r="A148" t="s">
        <v>970</v>
      </c>
      <c r="B148" t="s">
        <v>975</v>
      </c>
      <c r="C148" s="693" t="s">
        <v>979</v>
      </c>
      <c r="D148" t="str">
        <f>'Comext annuel - EUROSTAT'!B157</f>
        <v>Amidon de froment {blé}</v>
      </c>
      <c r="E148" s="86">
        <f>'Comext annuel - EUROSTAT'!C157/10^4</f>
        <v>57.624333999999998</v>
      </c>
      <c r="F148" s="86">
        <f>'Comext annuel - EUROSTAT'!D157/10^4</f>
        <v>69.706319999999991</v>
      </c>
      <c r="G148" s="86">
        <f>'Comext annuel - EUROSTAT'!E157/10^4</f>
        <v>46.440018000000002</v>
      </c>
      <c r="H148" s="86">
        <f>'Comext annuel - EUROSTAT'!F157/10^4</f>
        <v>95.670982999999993</v>
      </c>
      <c r="I148" s="86">
        <f>'Comext annuel - EUROSTAT'!G157/10^4</f>
        <v>92.249149000000003</v>
      </c>
      <c r="J148" s="86">
        <f>'Comext annuel - EUROSTAT'!H157/10^4</f>
        <v>46.839585</v>
      </c>
      <c r="K148" s="509">
        <f>SUM('Comext mensuel - EUROSTAT'!C157,'Comext mensuel - EUROSTAT'!E157,'Comext mensuel - EUROSTAT'!G157,'Comext mensuel - EUROSTAT'!I157,'Comext mensuel - EUROSTAT'!K157,'Comext mensuel - EUROSTAT'!M157,'Comext mensuel - EUROSTAT'!O157,'Comext mensuel - EUROSTAT'!Q157,'Comext mensuel - EUROSTAT'!S157,'Comext mensuel - EUROSTAT'!U157,'Comext mensuel - EUROSTAT'!W157,'Comext mensuel - EUROSTAT'!Y157)/10^4</f>
        <v>59.849809999999998</v>
      </c>
      <c r="L148" s="509">
        <f>SUM('Comext mensuel - EUROSTAT'!D157,'Comext mensuel - EUROSTAT'!F157,'Comext mensuel - EUROSTAT'!H157,'Comext mensuel - EUROSTAT'!J157,'Comext mensuel - EUROSTAT'!L157,'Comext mensuel - EUROSTAT'!N157,'Comext mensuel - EUROSTAT'!P157,'Comext mensuel - EUROSTAT'!R157,'Comext mensuel - EUROSTAT'!T157,'Comext mensuel - EUROSTAT'!V157,'Comext mensuel - EUROSTAT'!X157,'Comext mensuel - EUROSTAT'!Z157)/10^4</f>
        <v>63.372717999999992</v>
      </c>
      <c r="M148" s="509">
        <f>SUM('Comext mensuel - EUROSTAT'!AA157,'Comext mensuel - EUROSTAT'!AC157,'Comext mensuel - EUROSTAT'!AE157,'Comext mensuel - EUROSTAT'!AG157,'Comext mensuel - EUROSTAT'!AI157,'Comext mensuel - EUROSTAT'!AK157,'Comext mensuel - EUROSTAT'!AM157,'Comext mensuel - EUROSTAT'!AO157,'Comext mensuel - EUROSTAT'!AQ157,'Comext mensuel - EUROSTAT'!AS157,'Comext mensuel - EUROSTAT'!AU157,'Comext mensuel - EUROSTAT'!AW157)/10^4</f>
        <v>47.667580000000001</v>
      </c>
      <c r="N148" s="509">
        <f>SUM('Comext mensuel - EUROSTAT'!AB157,'Comext mensuel - EUROSTAT'!AD157,'Comext mensuel - EUROSTAT'!AF157,'Comext mensuel - EUROSTAT'!AH157,'Comext mensuel - EUROSTAT'!AJ157,'Comext mensuel - EUROSTAT'!AL157,'Comext mensuel - EUROSTAT'!AN157,'Comext mensuel - EUROSTAT'!AP157,'Comext mensuel - EUROSTAT'!AR157,'Comext mensuel - EUROSTAT'!AT157,'Comext mensuel - EUROSTAT'!AV157,'Comext mensuel - EUROSTAT'!AX157)/10^4</f>
        <v>91.255592999999976</v>
      </c>
      <c r="O148" s="509">
        <f>SUM('Comext mensuel - EUROSTAT'!AY157,'Comext mensuel - EUROSTAT'!BA157,'Comext mensuel - EUROSTAT'!BC157,'Comext mensuel - EUROSTAT'!BE157,'Comext mensuel - EUROSTAT'!BG157,'Comext mensuel - EUROSTAT'!BI157,'Comext mensuel - EUROSTAT'!BK157,'Comext mensuel - EUROSTAT'!BM157,'Comext mensuel - EUROSTAT'!BO157,'Comext mensuel - EUROSTAT'!BQ157,'Comext mensuel - EUROSTAT'!BS157,'Comext mensuel - EUROSTAT'!BU157)/10^4</f>
        <v>102.46397299999998</v>
      </c>
      <c r="P148" s="509">
        <f>SUM('Comext mensuel - EUROSTAT'!AZ157,'Comext mensuel - EUROSTAT'!BB157,'Comext mensuel - EUROSTAT'!BD157,'Comext mensuel - EUROSTAT'!BF157,'Comext mensuel - EUROSTAT'!BH157,'Comext mensuel - EUROSTAT'!BJ157,'Comext mensuel - EUROSTAT'!BL157,'Comext mensuel - EUROSTAT'!BN157,'Comext mensuel - EUROSTAT'!BP157,'Comext mensuel - EUROSTAT'!BR157,'Comext mensuel - EUROSTAT'!BT157,'Comext mensuel - EUROSTAT'!BV157)/10^4</f>
        <v>45.585858999999999</v>
      </c>
    </row>
    <row r="149" spans="1:16">
      <c r="A149" t="s">
        <v>307</v>
      </c>
      <c r="B149" t="s">
        <v>975</v>
      </c>
      <c r="C149" s="693"/>
      <c r="D149" t="str">
        <f>'Comext annuel - EUROSTAT'!B158</f>
        <v>Amidon de maïs</v>
      </c>
      <c r="E149" s="86">
        <f>'Comext annuel - EUROSTAT'!C158/10^4</f>
        <v>79.387360000000001</v>
      </c>
      <c r="F149" s="86" t="e">
        <f>'Comext annuel - EUROSTAT'!D158/10^4</f>
        <v>#VALUE!</v>
      </c>
      <c r="G149" s="86">
        <f>'Comext annuel - EUROSTAT'!E158/10^4</f>
        <v>133.25715099999999</v>
      </c>
      <c r="H149" s="86" t="e">
        <f>'Comext annuel - EUROSTAT'!F158/10^4</f>
        <v>#VALUE!</v>
      </c>
      <c r="I149" s="86">
        <f>'Comext annuel - EUROSTAT'!G158/10^4</f>
        <v>124.56436399999998</v>
      </c>
      <c r="J149" s="86">
        <f>'Comext annuel - EUROSTAT'!H158/10^4</f>
        <v>96.174169999999989</v>
      </c>
      <c r="K149" s="509">
        <f>SUM('Comext mensuel - EUROSTAT'!C158,'Comext mensuel - EUROSTAT'!E158,'Comext mensuel - EUROSTAT'!G158,'Comext mensuel - EUROSTAT'!I158,'Comext mensuel - EUROSTAT'!K158,'Comext mensuel - EUROSTAT'!M158,'Comext mensuel - EUROSTAT'!O158,'Comext mensuel - EUROSTAT'!Q158,'Comext mensuel - EUROSTAT'!S158,'Comext mensuel - EUROSTAT'!U158,'Comext mensuel - EUROSTAT'!W158,'Comext mensuel - EUROSTAT'!Y158)/10^4</f>
        <v>90.634009000000006</v>
      </c>
      <c r="L149" s="509">
        <f>SUM('Comext mensuel - EUROSTAT'!D158,'Comext mensuel - EUROSTAT'!F158,'Comext mensuel - EUROSTAT'!H158,'Comext mensuel - EUROSTAT'!J158,'Comext mensuel - EUROSTAT'!L158,'Comext mensuel - EUROSTAT'!N158,'Comext mensuel - EUROSTAT'!P158,'Comext mensuel - EUROSTAT'!R158,'Comext mensuel - EUROSTAT'!T158,'Comext mensuel - EUROSTAT'!V158,'Comext mensuel - EUROSTAT'!X158,'Comext mensuel - EUROSTAT'!Z158)/10^4</f>
        <v>0</v>
      </c>
      <c r="M149" s="509">
        <f>SUM('Comext mensuel - EUROSTAT'!AA158,'Comext mensuel - EUROSTAT'!AC158,'Comext mensuel - EUROSTAT'!AE158,'Comext mensuel - EUROSTAT'!AG158,'Comext mensuel - EUROSTAT'!AI158,'Comext mensuel - EUROSTAT'!AK158,'Comext mensuel - EUROSTAT'!AM158,'Comext mensuel - EUROSTAT'!AO158,'Comext mensuel - EUROSTAT'!AQ158,'Comext mensuel - EUROSTAT'!AS158,'Comext mensuel - EUROSTAT'!AU158,'Comext mensuel - EUROSTAT'!AW158)/10^4</f>
        <v>110.760411</v>
      </c>
      <c r="N149" s="509">
        <f>SUM('Comext mensuel - EUROSTAT'!AB158,'Comext mensuel - EUROSTAT'!AD158,'Comext mensuel - EUROSTAT'!AF158,'Comext mensuel - EUROSTAT'!AH158,'Comext mensuel - EUROSTAT'!AJ158,'Comext mensuel - EUROSTAT'!AL158,'Comext mensuel - EUROSTAT'!AN158,'Comext mensuel - EUROSTAT'!AP158,'Comext mensuel - EUROSTAT'!AR158,'Comext mensuel - EUROSTAT'!AT158,'Comext mensuel - EUROSTAT'!AV158,'Comext mensuel - EUROSTAT'!AX158)/10^4</f>
        <v>0</v>
      </c>
      <c r="O149" s="509">
        <f>SUM('Comext mensuel - EUROSTAT'!AY158,'Comext mensuel - EUROSTAT'!BA158,'Comext mensuel - EUROSTAT'!BC158,'Comext mensuel - EUROSTAT'!BE158,'Comext mensuel - EUROSTAT'!BG158,'Comext mensuel - EUROSTAT'!BI158,'Comext mensuel - EUROSTAT'!BK158,'Comext mensuel - EUROSTAT'!BM158,'Comext mensuel - EUROSTAT'!BO158,'Comext mensuel - EUROSTAT'!BQ158,'Comext mensuel - EUROSTAT'!BS158,'Comext mensuel - EUROSTAT'!BU158)/10^4</f>
        <v>111.736907</v>
      </c>
      <c r="P149" s="509">
        <f>SUM('Comext mensuel - EUROSTAT'!AZ158,'Comext mensuel - EUROSTAT'!BB158,'Comext mensuel - EUROSTAT'!BD158,'Comext mensuel - EUROSTAT'!BF158,'Comext mensuel - EUROSTAT'!BH158,'Comext mensuel - EUROSTAT'!BJ158,'Comext mensuel - EUROSTAT'!BL158,'Comext mensuel - EUROSTAT'!BN158,'Comext mensuel - EUROSTAT'!BP158,'Comext mensuel - EUROSTAT'!BR158,'Comext mensuel - EUROSTAT'!BT158,'Comext mensuel - EUROSTAT'!BV158)/10^4</f>
        <v>103.74243200000001</v>
      </c>
    </row>
    <row r="150" spans="1:16">
      <c r="A150" t="s">
        <v>309</v>
      </c>
      <c r="B150" t="s">
        <v>975</v>
      </c>
      <c r="C150" s="693"/>
      <c r="D150" t="str">
        <f>'Comext annuel - EUROSTAT'!B159</f>
        <v>Amidon de riz</v>
      </c>
      <c r="E150" s="86">
        <f>'Comext annuel - EUROSTAT'!C159/10^4</f>
        <v>1.2645660000000001</v>
      </c>
      <c r="F150" s="86">
        <f>'Comext annuel - EUROSTAT'!D159/10^4</f>
        <v>0.22361700000000001</v>
      </c>
      <c r="G150" s="86">
        <f>'Comext annuel - EUROSTAT'!E159/10^4</f>
        <v>1.7026680000000001</v>
      </c>
      <c r="H150" s="86">
        <f>'Comext annuel - EUROSTAT'!F159/10^4</f>
        <v>1.9497999999999998E-2</v>
      </c>
      <c r="I150" s="86">
        <f>'Comext annuel - EUROSTAT'!G159/10^4</f>
        <v>2.803194</v>
      </c>
      <c r="J150" s="86">
        <f>'Comext annuel - EUROSTAT'!H159/10^4</f>
        <v>2.8781999999999999E-2</v>
      </c>
      <c r="K150" s="568">
        <f>SUM('Comext mensuel - EUROSTAT'!C159,'Comext mensuel - EUROSTAT'!E159,'Comext mensuel - EUROSTAT'!G159,'Comext mensuel - EUROSTAT'!I159,'Comext mensuel - EUROSTAT'!K159,'Comext mensuel - EUROSTAT'!M159,'Comext mensuel - EUROSTAT'!O159,'Comext mensuel - EUROSTAT'!Q159,'Comext mensuel - EUROSTAT'!S159,'Comext mensuel - EUROSTAT'!U159,'Comext mensuel - EUROSTAT'!W159,'Comext mensuel - EUROSTAT'!Y159)/10^4</f>
        <v>1.3415350000000001</v>
      </c>
      <c r="L150" s="568">
        <f>SUM('Comext mensuel - EUROSTAT'!D159,'Comext mensuel - EUROSTAT'!F159,'Comext mensuel - EUROSTAT'!H159,'Comext mensuel - EUROSTAT'!J159,'Comext mensuel - EUROSTAT'!L159,'Comext mensuel - EUROSTAT'!N159,'Comext mensuel - EUROSTAT'!P159,'Comext mensuel - EUROSTAT'!R159,'Comext mensuel - EUROSTAT'!T159,'Comext mensuel - EUROSTAT'!V159,'Comext mensuel - EUROSTAT'!X159,'Comext mensuel - EUROSTAT'!Z159)/10^4</f>
        <v>0.10682799999999999</v>
      </c>
      <c r="M150" s="568">
        <f>SUM('Comext mensuel - EUROSTAT'!AA159,'Comext mensuel - EUROSTAT'!AC159,'Comext mensuel - EUROSTAT'!AE159,'Comext mensuel - EUROSTAT'!AG159,'Comext mensuel - EUROSTAT'!AI159,'Comext mensuel - EUROSTAT'!AK159,'Comext mensuel - EUROSTAT'!AM159,'Comext mensuel - EUROSTAT'!AO159,'Comext mensuel - EUROSTAT'!AQ159,'Comext mensuel - EUROSTAT'!AS159,'Comext mensuel - EUROSTAT'!AU159,'Comext mensuel - EUROSTAT'!AW159)/10^4</f>
        <v>1.8444929999999999</v>
      </c>
      <c r="N150" s="568">
        <f>SUM('Comext mensuel - EUROSTAT'!AB159,'Comext mensuel - EUROSTAT'!AD159,'Comext mensuel - EUROSTAT'!AF159,'Comext mensuel - EUROSTAT'!AH159,'Comext mensuel - EUROSTAT'!AJ159,'Comext mensuel - EUROSTAT'!AL159,'Comext mensuel - EUROSTAT'!AN159,'Comext mensuel - EUROSTAT'!AP159,'Comext mensuel - EUROSTAT'!AR159,'Comext mensuel - EUROSTAT'!AT159,'Comext mensuel - EUROSTAT'!AV159,'Comext mensuel - EUROSTAT'!AX159)/10^4</f>
        <v>1.8779000000000001E-2</v>
      </c>
      <c r="O150" s="568">
        <f>SUM('Comext mensuel - EUROSTAT'!AY159,'Comext mensuel - EUROSTAT'!BA159,'Comext mensuel - EUROSTAT'!BC159,'Comext mensuel - EUROSTAT'!BE159,'Comext mensuel - EUROSTAT'!BG159,'Comext mensuel - EUROSTAT'!BI159,'Comext mensuel - EUROSTAT'!BK159,'Comext mensuel - EUROSTAT'!BM159,'Comext mensuel - EUROSTAT'!BO159,'Comext mensuel - EUROSTAT'!BQ159,'Comext mensuel - EUROSTAT'!BS159,'Comext mensuel - EUROSTAT'!BU159)/10^4</f>
        <v>3.0334969999999992</v>
      </c>
      <c r="P150" s="568">
        <f>SUM('Comext mensuel - EUROSTAT'!AZ159,'Comext mensuel - EUROSTAT'!BB159,'Comext mensuel - EUROSTAT'!BD159,'Comext mensuel - EUROSTAT'!BF159,'Comext mensuel - EUROSTAT'!BH159,'Comext mensuel - EUROSTAT'!BJ159,'Comext mensuel - EUROSTAT'!BL159,'Comext mensuel - EUROSTAT'!BN159,'Comext mensuel - EUROSTAT'!BP159,'Comext mensuel - EUROSTAT'!BR159,'Comext mensuel - EUROSTAT'!BT159,'Comext mensuel - EUROSTAT'!BV159)/10^4</f>
        <v>2.5633000000000003E-2</v>
      </c>
    </row>
    <row r="151" spans="1:16">
      <c r="A151" t="s">
        <v>970</v>
      </c>
      <c r="B151" t="s">
        <v>976</v>
      </c>
      <c r="C151" s="693"/>
      <c r="D151" t="str">
        <f>'Comext annuel - EUROSTAT'!B160</f>
        <v>Gluten de froment {blé}, même à l'état sec</v>
      </c>
      <c r="E151" s="86">
        <f>'Comext annuel - EUROSTAT'!C160/10^4</f>
        <v>48.882435000000001</v>
      </c>
      <c r="F151" s="86">
        <f>'Comext annuel - EUROSTAT'!D160/10^4</f>
        <v>122.888057</v>
      </c>
      <c r="G151" s="86">
        <f>'Comext annuel - EUROSTAT'!E160/10^4</f>
        <v>63.656358999999995</v>
      </c>
      <c r="H151" s="86">
        <f>'Comext annuel - EUROSTAT'!F160/10^4</f>
        <v>129.67873700000001</v>
      </c>
      <c r="I151" s="86">
        <f>'Comext annuel - EUROSTAT'!G160/10^4</f>
        <v>72.263742000000008</v>
      </c>
      <c r="J151" s="86">
        <f>'Comext annuel - EUROSTAT'!H160/10^4</f>
        <v>122.44066299999999</v>
      </c>
      <c r="K151" s="509">
        <f>SUM('Comext mensuel - EUROSTAT'!C160,'Comext mensuel - EUROSTAT'!E160,'Comext mensuel - EUROSTAT'!G160,'Comext mensuel - EUROSTAT'!I160,'Comext mensuel - EUROSTAT'!K160,'Comext mensuel - EUROSTAT'!M160,'Comext mensuel - EUROSTAT'!O160,'Comext mensuel - EUROSTAT'!Q160,'Comext mensuel - EUROSTAT'!S160,'Comext mensuel - EUROSTAT'!U160,'Comext mensuel - EUROSTAT'!W160,'Comext mensuel - EUROSTAT'!Y160)/10^4</f>
        <v>46.958866999999998</v>
      </c>
      <c r="L151" s="509">
        <f>SUM('Comext mensuel - EUROSTAT'!D160,'Comext mensuel - EUROSTAT'!F160,'Comext mensuel - EUROSTAT'!H160,'Comext mensuel - EUROSTAT'!J160,'Comext mensuel - EUROSTAT'!L160,'Comext mensuel - EUROSTAT'!N160,'Comext mensuel - EUROSTAT'!P160,'Comext mensuel - EUROSTAT'!R160,'Comext mensuel - EUROSTAT'!T160,'Comext mensuel - EUROSTAT'!V160,'Comext mensuel - EUROSTAT'!X160,'Comext mensuel - EUROSTAT'!Z160)/10^4</f>
        <v>135.0497</v>
      </c>
      <c r="M151" s="509">
        <f>SUM('Comext mensuel - EUROSTAT'!AA160,'Comext mensuel - EUROSTAT'!AC160,'Comext mensuel - EUROSTAT'!AE160,'Comext mensuel - EUROSTAT'!AG160,'Comext mensuel - EUROSTAT'!AI160,'Comext mensuel - EUROSTAT'!AK160,'Comext mensuel - EUROSTAT'!AM160,'Comext mensuel - EUROSTAT'!AO160,'Comext mensuel - EUROSTAT'!AQ160,'Comext mensuel - EUROSTAT'!AS160,'Comext mensuel - EUROSTAT'!AU160,'Comext mensuel - EUROSTAT'!AW160)/10^4</f>
        <v>59.637708999999994</v>
      </c>
      <c r="N151" s="509">
        <f>SUM('Comext mensuel - EUROSTAT'!AB160,'Comext mensuel - EUROSTAT'!AD160,'Comext mensuel - EUROSTAT'!AF160,'Comext mensuel - EUROSTAT'!AH160,'Comext mensuel - EUROSTAT'!AJ160,'Comext mensuel - EUROSTAT'!AL160,'Comext mensuel - EUROSTAT'!AN160,'Comext mensuel - EUROSTAT'!AP160,'Comext mensuel - EUROSTAT'!AR160,'Comext mensuel - EUROSTAT'!AT160,'Comext mensuel - EUROSTAT'!AV160,'Comext mensuel - EUROSTAT'!AX160)/10^4</f>
        <v>128.74934000000002</v>
      </c>
      <c r="O151" s="509">
        <f>SUM('Comext mensuel - EUROSTAT'!AY160,'Comext mensuel - EUROSTAT'!BA160,'Comext mensuel - EUROSTAT'!BC160,'Comext mensuel - EUROSTAT'!BE160,'Comext mensuel - EUROSTAT'!BG160,'Comext mensuel - EUROSTAT'!BI160,'Comext mensuel - EUROSTAT'!BK160,'Comext mensuel - EUROSTAT'!BM160,'Comext mensuel - EUROSTAT'!BO160,'Comext mensuel - EUROSTAT'!BQ160,'Comext mensuel - EUROSTAT'!BS160,'Comext mensuel - EUROSTAT'!BU160)/10^4</f>
        <v>66.882270000000005</v>
      </c>
      <c r="P151" s="509">
        <f>SUM('Comext mensuel - EUROSTAT'!AZ160,'Comext mensuel - EUROSTAT'!BB160,'Comext mensuel - EUROSTAT'!BD160,'Comext mensuel - EUROSTAT'!BF160,'Comext mensuel - EUROSTAT'!BH160,'Comext mensuel - EUROSTAT'!BJ160,'Comext mensuel - EUROSTAT'!BL160,'Comext mensuel - EUROSTAT'!BN160,'Comext mensuel - EUROSTAT'!BP160,'Comext mensuel - EUROSTAT'!BR160,'Comext mensuel - EUROSTAT'!BT160,'Comext mensuel - EUROSTAT'!BV160)/10^4</f>
        <v>121.81864100000001</v>
      </c>
    </row>
    <row r="152" spans="1:16">
      <c r="A152" t="s">
        <v>307</v>
      </c>
      <c r="B152" t="s">
        <v>980</v>
      </c>
      <c r="C152" s="693" t="s">
        <v>977</v>
      </c>
      <c r="D152" t="str">
        <f>'Comext annuel - EUROSTAT'!B161</f>
        <v>Huile de maïs, brute, destinée à des usages techniques ou industriels (autres que la fabrication de produits pour l'alimentation humaine)</v>
      </c>
      <c r="E152" s="86">
        <f>'Comext annuel - EUROSTAT'!C161/10^4</f>
        <v>0.46983400000000003</v>
      </c>
      <c r="F152" s="86">
        <f>'Comext annuel - EUROSTAT'!D161/10^4</f>
        <v>1.114E-3</v>
      </c>
      <c r="G152" s="86">
        <f>'Comext annuel - EUROSTAT'!E161/10^4</f>
        <v>2.9664999999999997E-2</v>
      </c>
      <c r="H152" s="86">
        <f>'Comext annuel - EUROSTAT'!F161/10^4</f>
        <v>2.686E-3</v>
      </c>
      <c r="I152" s="86">
        <f>'Comext annuel - EUROSTAT'!G161/10^4</f>
        <v>2.405E-3</v>
      </c>
      <c r="J152" s="86">
        <f>'Comext annuel - EUROSTAT'!H161/10^4</f>
        <v>3.4415629999999999</v>
      </c>
      <c r="K152" s="509">
        <f>SUM('Comext mensuel - EUROSTAT'!C161,'Comext mensuel - EUROSTAT'!E161,'Comext mensuel - EUROSTAT'!G161,'Comext mensuel - EUROSTAT'!I161,'Comext mensuel - EUROSTAT'!K161,'Comext mensuel - EUROSTAT'!M161,'Comext mensuel - EUROSTAT'!O161,'Comext mensuel - EUROSTAT'!Q161,'Comext mensuel - EUROSTAT'!S161,'Comext mensuel - EUROSTAT'!U161,'Comext mensuel - EUROSTAT'!W161,'Comext mensuel - EUROSTAT'!Y161)/10^4</f>
        <v>0.44958300000000001</v>
      </c>
      <c r="L152" s="509">
        <f>SUM('Comext mensuel - EUROSTAT'!D161,'Comext mensuel - EUROSTAT'!F161,'Comext mensuel - EUROSTAT'!H161,'Comext mensuel - EUROSTAT'!J161,'Comext mensuel - EUROSTAT'!L161,'Comext mensuel - EUROSTAT'!N161,'Comext mensuel - EUROSTAT'!P161,'Comext mensuel - EUROSTAT'!R161,'Comext mensuel - EUROSTAT'!T161,'Comext mensuel - EUROSTAT'!V161,'Comext mensuel - EUROSTAT'!X161,'Comext mensuel - EUROSTAT'!Z161)/10^4</f>
        <v>2.7460000000000002E-3</v>
      </c>
      <c r="M152" s="509">
        <f>SUM('Comext mensuel - EUROSTAT'!AA161,'Comext mensuel - EUROSTAT'!AC161,'Comext mensuel - EUROSTAT'!AE161,'Comext mensuel - EUROSTAT'!AG161,'Comext mensuel - EUROSTAT'!AI161,'Comext mensuel - EUROSTAT'!AK161,'Comext mensuel - EUROSTAT'!AM161,'Comext mensuel - EUROSTAT'!AO161,'Comext mensuel - EUROSTAT'!AQ161,'Comext mensuel - EUROSTAT'!AS161,'Comext mensuel - EUROSTAT'!AU161,'Comext mensuel - EUROSTAT'!AW161)/10^4</f>
        <v>2.3833999999999998E-2</v>
      </c>
      <c r="N152" s="509">
        <f>SUM('Comext mensuel - EUROSTAT'!AB161,'Comext mensuel - EUROSTAT'!AD161,'Comext mensuel - EUROSTAT'!AF161,'Comext mensuel - EUROSTAT'!AH161,'Comext mensuel - EUROSTAT'!AJ161,'Comext mensuel - EUROSTAT'!AL161,'Comext mensuel - EUROSTAT'!AN161,'Comext mensuel - EUROSTAT'!AP161,'Comext mensuel - EUROSTAT'!AR161,'Comext mensuel - EUROSTAT'!AT161,'Comext mensuel - EUROSTAT'!AV161,'Comext mensuel - EUROSTAT'!AX161)/10^4</f>
        <v>0.51267399999999996</v>
      </c>
      <c r="O152" s="509">
        <f>SUM('Comext mensuel - EUROSTAT'!AY161,'Comext mensuel - EUROSTAT'!BA161,'Comext mensuel - EUROSTAT'!BC161,'Comext mensuel - EUROSTAT'!BE161,'Comext mensuel - EUROSTAT'!BG161,'Comext mensuel - EUROSTAT'!BI161,'Comext mensuel - EUROSTAT'!BK161,'Comext mensuel - EUROSTAT'!BM161,'Comext mensuel - EUROSTAT'!BO161,'Comext mensuel - EUROSTAT'!BQ161,'Comext mensuel - EUROSTAT'!BS161,'Comext mensuel - EUROSTAT'!BU161)/10^4</f>
        <v>3.2539999999999999E-3</v>
      </c>
      <c r="P152" s="509">
        <f>SUM('Comext mensuel - EUROSTAT'!AZ161,'Comext mensuel - EUROSTAT'!BB161,'Comext mensuel - EUROSTAT'!BD161,'Comext mensuel - EUROSTAT'!BF161,'Comext mensuel - EUROSTAT'!BH161,'Comext mensuel - EUROSTAT'!BJ161,'Comext mensuel - EUROSTAT'!BL161,'Comext mensuel - EUROSTAT'!BN161,'Comext mensuel - EUROSTAT'!BP161,'Comext mensuel - EUROSTAT'!BR161,'Comext mensuel - EUROSTAT'!BT161,'Comext mensuel - EUROSTAT'!BV161)/10^4</f>
        <v>2.9011629999999999</v>
      </c>
    </row>
    <row r="153" spans="1:16">
      <c r="A153" t="s">
        <v>307</v>
      </c>
      <c r="B153" t="s">
        <v>980</v>
      </c>
      <c r="C153" s="693"/>
      <c r="D153" t="str">
        <f>'Comext annuel - EUROSTAT'!B162</f>
        <v>Huile de maïs, brute (à l'excl. de l'huile destinée à des usages techniques ou industriels)</v>
      </c>
      <c r="E153" s="86">
        <f>'Comext annuel - EUROSTAT'!C162/10^4</f>
        <v>1.6741599999999999</v>
      </c>
      <c r="F153" s="86">
        <f>'Comext annuel - EUROSTAT'!D162/10^4</f>
        <v>9.4467289999999995</v>
      </c>
      <c r="G153" s="86">
        <f>'Comext annuel - EUROSTAT'!E162/10^4</f>
        <v>1.9381979999999999</v>
      </c>
      <c r="H153" s="86">
        <f>'Comext annuel - EUROSTAT'!F162/10^4</f>
        <v>3.402574</v>
      </c>
      <c r="I153" s="86">
        <f>'Comext annuel - EUROSTAT'!G162/10^4</f>
        <v>1.8748240000000003</v>
      </c>
      <c r="J153" s="86">
        <f>'Comext annuel - EUROSTAT'!H162/10^4</f>
        <v>8.6935929999999999</v>
      </c>
      <c r="K153" s="509">
        <f>SUM('Comext mensuel - EUROSTAT'!C162,'Comext mensuel - EUROSTAT'!E162,'Comext mensuel - EUROSTAT'!G162,'Comext mensuel - EUROSTAT'!I162,'Comext mensuel - EUROSTAT'!K162,'Comext mensuel - EUROSTAT'!M162,'Comext mensuel - EUROSTAT'!O162,'Comext mensuel - EUROSTAT'!Q162,'Comext mensuel - EUROSTAT'!S162,'Comext mensuel - EUROSTAT'!U162,'Comext mensuel - EUROSTAT'!W162,'Comext mensuel - EUROSTAT'!Y162)/10^4</f>
        <v>1.6807669999999999</v>
      </c>
      <c r="L153" s="509">
        <f>SUM('Comext mensuel - EUROSTAT'!D162,'Comext mensuel - EUROSTAT'!F162,'Comext mensuel - EUROSTAT'!H162,'Comext mensuel - EUROSTAT'!J162,'Comext mensuel - EUROSTAT'!L162,'Comext mensuel - EUROSTAT'!N162,'Comext mensuel - EUROSTAT'!P162,'Comext mensuel - EUROSTAT'!R162,'Comext mensuel - EUROSTAT'!T162,'Comext mensuel - EUROSTAT'!V162,'Comext mensuel - EUROSTAT'!X162,'Comext mensuel - EUROSTAT'!Z162)/10^4</f>
        <v>4.510117000000001</v>
      </c>
      <c r="M153" s="509">
        <f>SUM('Comext mensuel - EUROSTAT'!AA162,'Comext mensuel - EUROSTAT'!AC162,'Comext mensuel - EUROSTAT'!AE162,'Comext mensuel - EUROSTAT'!AG162,'Comext mensuel - EUROSTAT'!AI162,'Comext mensuel - EUROSTAT'!AK162,'Comext mensuel - EUROSTAT'!AM162,'Comext mensuel - EUROSTAT'!AO162,'Comext mensuel - EUROSTAT'!AQ162,'Comext mensuel - EUROSTAT'!AS162,'Comext mensuel - EUROSTAT'!AU162,'Comext mensuel - EUROSTAT'!AW162)/10^4</f>
        <v>2.2348110000000001</v>
      </c>
      <c r="N153" s="509">
        <f>SUM('Comext mensuel - EUROSTAT'!AB162,'Comext mensuel - EUROSTAT'!AD162,'Comext mensuel - EUROSTAT'!AF162,'Comext mensuel - EUROSTAT'!AH162,'Comext mensuel - EUROSTAT'!AJ162,'Comext mensuel - EUROSTAT'!AL162,'Comext mensuel - EUROSTAT'!AN162,'Comext mensuel - EUROSTAT'!AP162,'Comext mensuel - EUROSTAT'!AR162,'Comext mensuel - EUROSTAT'!AT162,'Comext mensuel - EUROSTAT'!AV162,'Comext mensuel - EUROSTAT'!AX162)/10^4</f>
        <v>5.3295139999999996</v>
      </c>
      <c r="O153" s="509">
        <f>SUM('Comext mensuel - EUROSTAT'!AY162,'Comext mensuel - EUROSTAT'!BA162,'Comext mensuel - EUROSTAT'!BC162,'Comext mensuel - EUROSTAT'!BE162,'Comext mensuel - EUROSTAT'!BG162,'Comext mensuel - EUROSTAT'!BI162,'Comext mensuel - EUROSTAT'!BK162,'Comext mensuel - EUROSTAT'!BM162,'Comext mensuel - EUROSTAT'!BO162,'Comext mensuel - EUROSTAT'!BQ162,'Comext mensuel - EUROSTAT'!BS162,'Comext mensuel - EUROSTAT'!BU162)/10^4</f>
        <v>2.231071</v>
      </c>
      <c r="P153" s="509">
        <f>SUM('Comext mensuel - EUROSTAT'!AZ162,'Comext mensuel - EUROSTAT'!BB162,'Comext mensuel - EUROSTAT'!BD162,'Comext mensuel - EUROSTAT'!BF162,'Comext mensuel - EUROSTAT'!BH162,'Comext mensuel - EUROSTAT'!BJ162,'Comext mensuel - EUROSTAT'!BL162,'Comext mensuel - EUROSTAT'!BN162,'Comext mensuel - EUROSTAT'!BP162,'Comext mensuel - EUROSTAT'!BR162,'Comext mensuel - EUROSTAT'!BT162,'Comext mensuel - EUROSTAT'!BV162)/10^4</f>
        <v>8.2632999999999992</v>
      </c>
    </row>
    <row r="154" spans="1:16">
      <c r="A154" t="s">
        <v>307</v>
      </c>
      <c r="B154" t="s">
        <v>981</v>
      </c>
      <c r="C154" s="693"/>
      <c r="D154" t="str">
        <f>'Comext annuel - EUROSTAT'!B163</f>
        <v>Huile de maïs et ses fractions, même raffinées, mais non chimiquement modifiées, destinées à des usages techniques ou industriels (à l'excl. de l'huile brute et de l'huile destinée à la fabrication de produits pour l'alimentation humaine)</v>
      </c>
      <c r="E154" s="86">
        <f>'Comext annuel - EUROSTAT'!C163/10^4</f>
        <v>1.4168879999999999</v>
      </c>
      <c r="F154" s="86">
        <f>'Comext annuel - EUROSTAT'!D163/10^4</f>
        <v>0.21596700000000002</v>
      </c>
      <c r="G154" s="86">
        <f>'Comext annuel - EUROSTAT'!E163/10^4</f>
        <v>1.1791049999999998</v>
      </c>
      <c r="H154" s="86">
        <f>'Comext annuel - EUROSTAT'!F163/10^4</f>
        <v>0.191193</v>
      </c>
      <c r="I154" s="86">
        <f>'Comext annuel - EUROSTAT'!G163/10^4</f>
        <v>0.57101999999999997</v>
      </c>
      <c r="J154" s="86">
        <f>'Comext annuel - EUROSTAT'!H163/10^4</f>
        <v>0.14956900000000001</v>
      </c>
      <c r="K154" s="509">
        <f>SUM('Comext mensuel - EUROSTAT'!C163,'Comext mensuel - EUROSTAT'!E163,'Comext mensuel - EUROSTAT'!G163,'Comext mensuel - EUROSTAT'!I163,'Comext mensuel - EUROSTAT'!K163,'Comext mensuel - EUROSTAT'!M163,'Comext mensuel - EUROSTAT'!O163,'Comext mensuel - EUROSTAT'!Q163,'Comext mensuel - EUROSTAT'!S163,'Comext mensuel - EUROSTAT'!U163,'Comext mensuel - EUROSTAT'!W163,'Comext mensuel - EUROSTAT'!Y163)/10^4</f>
        <v>0.97247299999999981</v>
      </c>
      <c r="L154" s="509">
        <f>SUM('Comext mensuel - EUROSTAT'!D163,'Comext mensuel - EUROSTAT'!F163,'Comext mensuel - EUROSTAT'!H163,'Comext mensuel - EUROSTAT'!J163,'Comext mensuel - EUROSTAT'!L163,'Comext mensuel - EUROSTAT'!N163,'Comext mensuel - EUROSTAT'!P163,'Comext mensuel - EUROSTAT'!R163,'Comext mensuel - EUROSTAT'!T163,'Comext mensuel - EUROSTAT'!V163,'Comext mensuel - EUROSTAT'!X163,'Comext mensuel - EUROSTAT'!Z163)/10^4</f>
        <v>0.10663700000000001</v>
      </c>
      <c r="M154" s="509">
        <f>SUM('Comext mensuel - EUROSTAT'!AA163,'Comext mensuel - EUROSTAT'!AC163,'Comext mensuel - EUROSTAT'!AE163,'Comext mensuel - EUROSTAT'!AG163,'Comext mensuel - EUROSTAT'!AI163,'Comext mensuel - EUROSTAT'!AK163,'Comext mensuel - EUROSTAT'!AM163,'Comext mensuel - EUROSTAT'!AO163,'Comext mensuel - EUROSTAT'!AQ163,'Comext mensuel - EUROSTAT'!AS163,'Comext mensuel - EUROSTAT'!AU163,'Comext mensuel - EUROSTAT'!AW163)/10^4</f>
        <v>1.090303</v>
      </c>
      <c r="N154" s="509">
        <f>SUM('Comext mensuel - EUROSTAT'!AB163,'Comext mensuel - EUROSTAT'!AD163,'Comext mensuel - EUROSTAT'!AF163,'Comext mensuel - EUROSTAT'!AH163,'Comext mensuel - EUROSTAT'!AJ163,'Comext mensuel - EUROSTAT'!AL163,'Comext mensuel - EUROSTAT'!AN163,'Comext mensuel - EUROSTAT'!AP163,'Comext mensuel - EUROSTAT'!AR163,'Comext mensuel - EUROSTAT'!AT163,'Comext mensuel - EUROSTAT'!AV163,'Comext mensuel - EUROSTAT'!AX163)/10^4</f>
        <v>0.21337200000000003</v>
      </c>
      <c r="O154" s="509">
        <f>SUM('Comext mensuel - EUROSTAT'!AY163,'Comext mensuel - EUROSTAT'!BA163,'Comext mensuel - EUROSTAT'!BC163,'Comext mensuel - EUROSTAT'!BE163,'Comext mensuel - EUROSTAT'!BG163,'Comext mensuel - EUROSTAT'!BI163,'Comext mensuel - EUROSTAT'!BK163,'Comext mensuel - EUROSTAT'!BM163,'Comext mensuel - EUROSTAT'!BO163,'Comext mensuel - EUROSTAT'!BQ163,'Comext mensuel - EUROSTAT'!BS163,'Comext mensuel - EUROSTAT'!BU163)/10^4</f>
        <v>0.43523500000000004</v>
      </c>
      <c r="P154" s="509">
        <f>SUM('Comext mensuel - EUROSTAT'!AZ163,'Comext mensuel - EUROSTAT'!BB163,'Comext mensuel - EUROSTAT'!BD163,'Comext mensuel - EUROSTAT'!BF163,'Comext mensuel - EUROSTAT'!BH163,'Comext mensuel - EUROSTAT'!BJ163,'Comext mensuel - EUROSTAT'!BL163,'Comext mensuel - EUROSTAT'!BN163,'Comext mensuel - EUROSTAT'!BP163,'Comext mensuel - EUROSTAT'!BR163,'Comext mensuel - EUROSTAT'!BT163,'Comext mensuel - EUROSTAT'!BV163)/10^4</f>
        <v>0.186142</v>
      </c>
    </row>
    <row r="155" spans="1:16">
      <c r="A155" t="s">
        <v>307</v>
      </c>
      <c r="B155" t="s">
        <v>981</v>
      </c>
      <c r="C155" s="693"/>
      <c r="D155" t="str">
        <f>'Comext annuel - EUROSTAT'!B164</f>
        <v>Huile de maïs et ses fractions, même raffinées, mais non chimiquement modifiées (à l'excl. de l'huile brute et de l'huile destinée à des usages techniques ou industriels)</v>
      </c>
      <c r="E155" s="86">
        <f>'Comext annuel - EUROSTAT'!C164/10^4</f>
        <v>1.8750240000000002</v>
      </c>
      <c r="F155" s="86">
        <f>'Comext annuel - EUROSTAT'!D164/10^4</f>
        <v>20.249855</v>
      </c>
      <c r="G155" s="86">
        <f>'Comext annuel - EUROSTAT'!E164/10^4</f>
        <v>0.75816899999999998</v>
      </c>
      <c r="H155" s="86">
        <f>'Comext annuel - EUROSTAT'!F164/10^4</f>
        <v>17.257217000000001</v>
      </c>
      <c r="I155" s="86">
        <f>'Comext annuel - EUROSTAT'!G164/10^4</f>
        <v>1.0182599999999999</v>
      </c>
      <c r="J155" s="86">
        <f>'Comext annuel - EUROSTAT'!H164/10^4</f>
        <v>3.6679849999999998</v>
      </c>
      <c r="K155" s="509">
        <f>SUM('Comext mensuel - EUROSTAT'!C164,'Comext mensuel - EUROSTAT'!E164,'Comext mensuel - EUROSTAT'!G164,'Comext mensuel - EUROSTAT'!I164,'Comext mensuel - EUROSTAT'!K164,'Comext mensuel - EUROSTAT'!M164,'Comext mensuel - EUROSTAT'!O164,'Comext mensuel - EUROSTAT'!Q164,'Comext mensuel - EUROSTAT'!S164,'Comext mensuel - EUROSTAT'!U164,'Comext mensuel - EUROSTAT'!W164,'Comext mensuel - EUROSTAT'!Y164)/10^4</f>
        <v>2.0636229999999998</v>
      </c>
      <c r="L155" s="509">
        <f>SUM('Comext mensuel - EUROSTAT'!D164,'Comext mensuel - EUROSTAT'!F164,'Comext mensuel - EUROSTAT'!H164,'Comext mensuel - EUROSTAT'!J164,'Comext mensuel - EUROSTAT'!L164,'Comext mensuel - EUROSTAT'!N164,'Comext mensuel - EUROSTAT'!P164,'Comext mensuel - EUROSTAT'!R164,'Comext mensuel - EUROSTAT'!T164,'Comext mensuel - EUROSTAT'!V164,'Comext mensuel - EUROSTAT'!X164,'Comext mensuel - EUROSTAT'!Z164)/10^4</f>
        <v>22.639602</v>
      </c>
      <c r="M155" s="509">
        <f>SUM('Comext mensuel - EUROSTAT'!AA164,'Comext mensuel - EUROSTAT'!AC164,'Comext mensuel - EUROSTAT'!AE164,'Comext mensuel - EUROSTAT'!AG164,'Comext mensuel - EUROSTAT'!AI164,'Comext mensuel - EUROSTAT'!AK164,'Comext mensuel - EUROSTAT'!AM164,'Comext mensuel - EUROSTAT'!AO164,'Comext mensuel - EUROSTAT'!AQ164,'Comext mensuel - EUROSTAT'!AS164,'Comext mensuel - EUROSTAT'!AU164,'Comext mensuel - EUROSTAT'!AW164)/10^4</f>
        <v>0.74289800000000006</v>
      </c>
      <c r="N155" s="509">
        <f>SUM('Comext mensuel - EUROSTAT'!AB164,'Comext mensuel - EUROSTAT'!AD164,'Comext mensuel - EUROSTAT'!AF164,'Comext mensuel - EUROSTAT'!AH164,'Comext mensuel - EUROSTAT'!AJ164,'Comext mensuel - EUROSTAT'!AL164,'Comext mensuel - EUROSTAT'!AN164,'Comext mensuel - EUROSTAT'!AP164,'Comext mensuel - EUROSTAT'!AR164,'Comext mensuel - EUROSTAT'!AT164,'Comext mensuel - EUROSTAT'!AV164,'Comext mensuel - EUROSTAT'!AX164)/10^4</f>
        <v>11.131513999999999</v>
      </c>
      <c r="O155" s="509">
        <f>SUM('Comext mensuel - EUROSTAT'!AY164,'Comext mensuel - EUROSTAT'!BA164,'Comext mensuel - EUROSTAT'!BC164,'Comext mensuel - EUROSTAT'!BE164,'Comext mensuel - EUROSTAT'!BG164,'Comext mensuel - EUROSTAT'!BI164,'Comext mensuel - EUROSTAT'!BK164,'Comext mensuel - EUROSTAT'!BM164,'Comext mensuel - EUROSTAT'!BO164,'Comext mensuel - EUROSTAT'!BQ164,'Comext mensuel - EUROSTAT'!BS164,'Comext mensuel - EUROSTAT'!BU164)/10^4</f>
        <v>1.043858</v>
      </c>
      <c r="P155" s="509">
        <f>SUM('Comext mensuel - EUROSTAT'!AZ164,'Comext mensuel - EUROSTAT'!BB164,'Comext mensuel - EUROSTAT'!BD164,'Comext mensuel - EUROSTAT'!BF164,'Comext mensuel - EUROSTAT'!BH164,'Comext mensuel - EUROSTAT'!BJ164,'Comext mensuel - EUROSTAT'!BL164,'Comext mensuel - EUROSTAT'!BN164,'Comext mensuel - EUROSTAT'!BP164,'Comext mensuel - EUROSTAT'!BR164,'Comext mensuel - EUROSTAT'!BT164,'Comext mensuel - EUROSTAT'!BV164)/10^4</f>
        <v>3.7323649999999993</v>
      </c>
    </row>
    <row r="156" spans="1:16">
      <c r="D156" t="str">
        <f>'Comext annuel - EUROSTAT'!B165</f>
        <v>Mélanges et pâtes à base de farines, gruaux, semoules, amidons, fécules ou extraits de malt, ne contenant pas de cacao ou contenant &lt; 40% en poids de cacao calculés sur une base entièrement dégraissée, n.d.a.; mélanges et pâtes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 préparation des produits de la boulangerie, de la pâtisserie ou de la biscuiterie du n° 1905</v>
      </c>
      <c r="E156" s="86">
        <f>'Comext annuel - EUROSTAT'!C165/10^4</f>
        <v>67.88680699999999</v>
      </c>
      <c r="F156" s="86">
        <f>'Comext annuel - EUROSTAT'!D165/10^4</f>
        <v>260.66992099999999</v>
      </c>
      <c r="G156" s="86">
        <f>'Comext annuel - EUROSTAT'!E165/10^4</f>
        <v>78.446728000000007</v>
      </c>
      <c r="H156" s="86">
        <f>'Comext annuel - EUROSTAT'!F165/10^4</f>
        <v>260.58287000000001</v>
      </c>
      <c r="I156" s="86">
        <f>'Comext annuel - EUROSTAT'!G165/10^4</f>
        <v>102.63980699999999</v>
      </c>
      <c r="J156" s="86">
        <f>'Comext annuel - EUROSTAT'!H165/10^4</f>
        <v>319.130448</v>
      </c>
      <c r="K156" s="86">
        <f>SUM('Comext mensuel - EUROSTAT'!C165,'Comext mensuel - EUROSTAT'!E165,'Comext mensuel - EUROSTAT'!G165,'Comext mensuel - EUROSTAT'!I165,'Comext mensuel - EUROSTAT'!K165,'Comext mensuel - EUROSTAT'!M165,'Comext mensuel - EUROSTAT'!O165,'Comext mensuel - EUROSTAT'!Q165,'Comext mensuel - EUROSTAT'!S165,'Comext mensuel - EUROSTAT'!U165,'Comext mensuel - EUROSTAT'!W165,'Comext mensuel - EUROSTAT'!Y165)/10^4</f>
        <v>70.313073000000003</v>
      </c>
      <c r="L156" s="86">
        <f>SUM('Comext mensuel - EUROSTAT'!D165,'Comext mensuel - EUROSTAT'!F165,'Comext mensuel - EUROSTAT'!H165,'Comext mensuel - EUROSTAT'!J165,'Comext mensuel - EUROSTAT'!L165,'Comext mensuel - EUROSTAT'!N165,'Comext mensuel - EUROSTAT'!P165,'Comext mensuel - EUROSTAT'!R165,'Comext mensuel - EUROSTAT'!T165,'Comext mensuel - EUROSTAT'!V165,'Comext mensuel - EUROSTAT'!X165,'Comext mensuel - EUROSTAT'!Z165)/10^4</f>
        <v>255.54440499999993</v>
      </c>
      <c r="M156" s="86">
        <f>SUM('Comext mensuel - EUROSTAT'!AA165,'Comext mensuel - EUROSTAT'!AC165,'Comext mensuel - EUROSTAT'!AE165,'Comext mensuel - EUROSTAT'!AG165,'Comext mensuel - EUROSTAT'!AI165,'Comext mensuel - EUROSTAT'!AK165,'Comext mensuel - EUROSTAT'!AM165,'Comext mensuel - EUROSTAT'!AO165,'Comext mensuel - EUROSTAT'!AQ165,'Comext mensuel - EUROSTAT'!AS165,'Comext mensuel - EUROSTAT'!AU165,'Comext mensuel - EUROSTAT'!AW165)/10^4</f>
        <v>78.882675000000006</v>
      </c>
      <c r="N156" s="86">
        <f>SUM('Comext mensuel - EUROSTAT'!AB165,'Comext mensuel - EUROSTAT'!AD165,'Comext mensuel - EUROSTAT'!AF165,'Comext mensuel - EUROSTAT'!AH165,'Comext mensuel - EUROSTAT'!AJ165,'Comext mensuel - EUROSTAT'!AL165,'Comext mensuel - EUROSTAT'!AN165,'Comext mensuel - EUROSTAT'!AP165,'Comext mensuel - EUROSTAT'!AR165,'Comext mensuel - EUROSTAT'!AT165,'Comext mensuel - EUROSTAT'!AV165,'Comext mensuel - EUROSTAT'!AX165)/10^4</f>
        <v>235.83696300000003</v>
      </c>
      <c r="O156" s="86">
        <f>SUM('Comext mensuel - EUROSTAT'!AY165,'Comext mensuel - EUROSTAT'!BA165,'Comext mensuel - EUROSTAT'!BC165,'Comext mensuel - EUROSTAT'!BE165,'Comext mensuel - EUROSTAT'!BG165,'Comext mensuel - EUROSTAT'!BI165,'Comext mensuel - EUROSTAT'!BK165,'Comext mensuel - EUROSTAT'!BM165,'Comext mensuel - EUROSTAT'!BO165,'Comext mensuel - EUROSTAT'!BQ165,'Comext mensuel - EUROSTAT'!BS165,'Comext mensuel - EUROSTAT'!BU165)/10^4</f>
        <v>103.182783</v>
      </c>
      <c r="P156" s="86">
        <f>SUM('Comext mensuel - EUROSTAT'!AZ165,'Comext mensuel - EUROSTAT'!BB165,'Comext mensuel - EUROSTAT'!BD165,'Comext mensuel - EUROSTAT'!BF165,'Comext mensuel - EUROSTAT'!BH165,'Comext mensuel - EUROSTAT'!BJ165,'Comext mensuel - EUROSTAT'!BL165,'Comext mensuel - EUROSTAT'!BN165,'Comext mensuel - EUROSTAT'!BP165,'Comext mensuel - EUROSTAT'!BR165,'Comext mensuel - EUROSTAT'!BT165,'Comext mensuel - EUROSTAT'!BV165)/10^4</f>
        <v>383.43099599999994</v>
      </c>
    </row>
    <row r="157" spans="1:16">
      <c r="D157" t="str">
        <f>'Comext annuel - EUROSTAT'!B166</f>
        <v>Extraits de malt, d'une teneur en extrait sec &gt;= 90% en poids</v>
      </c>
      <c r="E157" s="86">
        <f>'Comext annuel - EUROSTAT'!C166/10^4</f>
        <v>0.47536499999999998</v>
      </c>
      <c r="F157" s="86">
        <f>'Comext annuel - EUROSTAT'!D166/10^4</f>
        <v>6.6052E-2</v>
      </c>
      <c r="G157" s="86">
        <f>'Comext annuel - EUROSTAT'!E166/10^4</f>
        <v>0.89393299999999998</v>
      </c>
      <c r="H157" s="86">
        <f>'Comext annuel - EUROSTAT'!F166/10^4</f>
        <v>2.9014999999999999E-2</v>
      </c>
      <c r="I157" s="86">
        <f>'Comext annuel - EUROSTAT'!G166/10^4</f>
        <v>0.57015300000000002</v>
      </c>
      <c r="J157" s="86">
        <f>'Comext annuel - EUROSTAT'!H166/10^4</f>
        <v>4.9450000000000001E-2</v>
      </c>
      <c r="K157" s="86">
        <f>SUM('Comext mensuel - EUROSTAT'!C166,'Comext mensuel - EUROSTAT'!E166,'Comext mensuel - EUROSTAT'!G166,'Comext mensuel - EUROSTAT'!I166,'Comext mensuel - EUROSTAT'!K166,'Comext mensuel - EUROSTAT'!M166,'Comext mensuel - EUROSTAT'!O166,'Comext mensuel - EUROSTAT'!Q166,'Comext mensuel - EUROSTAT'!S166,'Comext mensuel - EUROSTAT'!U166,'Comext mensuel - EUROSTAT'!W166,'Comext mensuel - EUROSTAT'!Y166)/10^4</f>
        <v>0.46599099999999999</v>
      </c>
      <c r="L157" s="86">
        <f>SUM('Comext mensuel - EUROSTAT'!D166,'Comext mensuel - EUROSTAT'!F166,'Comext mensuel - EUROSTAT'!H166,'Comext mensuel - EUROSTAT'!J166,'Comext mensuel - EUROSTAT'!L166,'Comext mensuel - EUROSTAT'!N166,'Comext mensuel - EUROSTAT'!P166,'Comext mensuel - EUROSTAT'!R166,'Comext mensuel - EUROSTAT'!T166,'Comext mensuel - EUROSTAT'!V166,'Comext mensuel - EUROSTAT'!X166,'Comext mensuel - EUROSTAT'!Z166)/10^4</f>
        <v>6.3057999999999989E-2</v>
      </c>
      <c r="M157" s="86">
        <f>SUM('Comext mensuel - EUROSTAT'!AA166,'Comext mensuel - EUROSTAT'!AC166,'Comext mensuel - EUROSTAT'!AE166,'Comext mensuel - EUROSTAT'!AG166,'Comext mensuel - EUROSTAT'!AI166,'Comext mensuel - EUROSTAT'!AK166,'Comext mensuel - EUROSTAT'!AM166,'Comext mensuel - EUROSTAT'!AO166,'Comext mensuel - EUROSTAT'!AQ166,'Comext mensuel - EUROSTAT'!AS166,'Comext mensuel - EUROSTAT'!AU166,'Comext mensuel - EUROSTAT'!AW166)/10^4</f>
        <v>0.54164699999999999</v>
      </c>
      <c r="N157" s="86">
        <f>SUM('Comext mensuel - EUROSTAT'!AB166,'Comext mensuel - EUROSTAT'!AD166,'Comext mensuel - EUROSTAT'!AF166,'Comext mensuel - EUROSTAT'!AH166,'Comext mensuel - EUROSTAT'!AJ166,'Comext mensuel - EUROSTAT'!AL166,'Comext mensuel - EUROSTAT'!AN166,'Comext mensuel - EUROSTAT'!AP166,'Comext mensuel - EUROSTAT'!AR166,'Comext mensuel - EUROSTAT'!AT166,'Comext mensuel - EUROSTAT'!AV166,'Comext mensuel - EUROSTAT'!AX166)/10^4</f>
        <v>3.2557999999999997E-2</v>
      </c>
      <c r="O157" s="86">
        <f>SUM('Comext mensuel - EUROSTAT'!AY166,'Comext mensuel - EUROSTAT'!BA166,'Comext mensuel - EUROSTAT'!BC166,'Comext mensuel - EUROSTAT'!BE166,'Comext mensuel - EUROSTAT'!BG166,'Comext mensuel - EUROSTAT'!BI166,'Comext mensuel - EUROSTAT'!BK166,'Comext mensuel - EUROSTAT'!BM166,'Comext mensuel - EUROSTAT'!BO166,'Comext mensuel - EUROSTAT'!BQ166,'Comext mensuel - EUROSTAT'!BS166,'Comext mensuel - EUROSTAT'!BU166)/10^4</f>
        <v>0.58343400000000001</v>
      </c>
      <c r="P157" s="86">
        <f>SUM('Comext mensuel - EUROSTAT'!AZ166,'Comext mensuel - EUROSTAT'!BB166,'Comext mensuel - EUROSTAT'!BD166,'Comext mensuel - EUROSTAT'!BF166,'Comext mensuel - EUROSTAT'!BH166,'Comext mensuel - EUROSTAT'!BJ166,'Comext mensuel - EUROSTAT'!BL166,'Comext mensuel - EUROSTAT'!BN166,'Comext mensuel - EUROSTAT'!BP166,'Comext mensuel - EUROSTAT'!BR166,'Comext mensuel - EUROSTAT'!BT166,'Comext mensuel - EUROSTAT'!BV166)/10^4</f>
        <v>0.104145</v>
      </c>
    </row>
    <row r="158" spans="1:16">
      <c r="D158" t="str">
        <f>'Comext annuel - EUROSTAT'!B167</f>
        <v>Extraits de malt, d'une teneur en extrait sec &lt; 90% en poids</v>
      </c>
      <c r="E158" s="86">
        <f>'Comext annuel - EUROSTAT'!C167/10^4</f>
        <v>4.1586129999999999</v>
      </c>
      <c r="F158" s="86">
        <f>'Comext annuel - EUROSTAT'!D167/10^4</f>
        <v>0.28310100000000005</v>
      </c>
      <c r="G158" s="86">
        <f>'Comext annuel - EUROSTAT'!E167/10^4</f>
        <v>3.2971190000000004</v>
      </c>
      <c r="H158" s="86">
        <f>'Comext annuel - EUROSTAT'!F167/10^4</f>
        <v>0.52185200000000009</v>
      </c>
      <c r="I158" s="86">
        <f>'Comext annuel - EUROSTAT'!G167/10^4</f>
        <v>10.035501</v>
      </c>
      <c r="J158" s="86">
        <f>'Comext annuel - EUROSTAT'!H167/10^4</f>
        <v>1.9234849999999999</v>
      </c>
      <c r="K158" s="86">
        <f>SUM('Comext mensuel - EUROSTAT'!C167,'Comext mensuel - EUROSTAT'!E167,'Comext mensuel - EUROSTAT'!G167,'Comext mensuel - EUROSTAT'!I167,'Comext mensuel - EUROSTAT'!K167,'Comext mensuel - EUROSTAT'!M167,'Comext mensuel - EUROSTAT'!O167,'Comext mensuel - EUROSTAT'!Q167,'Comext mensuel - EUROSTAT'!S167,'Comext mensuel - EUROSTAT'!U167,'Comext mensuel - EUROSTAT'!W167,'Comext mensuel - EUROSTAT'!Y167)/10^4</f>
        <v>4.1491300000000004</v>
      </c>
      <c r="L158" s="86">
        <f>SUM('Comext mensuel - EUROSTAT'!D167,'Comext mensuel - EUROSTAT'!F167,'Comext mensuel - EUROSTAT'!H167,'Comext mensuel - EUROSTAT'!J167,'Comext mensuel - EUROSTAT'!L167,'Comext mensuel - EUROSTAT'!N167,'Comext mensuel - EUROSTAT'!P167,'Comext mensuel - EUROSTAT'!R167,'Comext mensuel - EUROSTAT'!T167,'Comext mensuel - EUROSTAT'!V167,'Comext mensuel - EUROSTAT'!X167,'Comext mensuel - EUROSTAT'!Z167)/10^4</f>
        <v>0.434778</v>
      </c>
      <c r="M158" s="86">
        <f>SUM('Comext mensuel - EUROSTAT'!AA167,'Comext mensuel - EUROSTAT'!AC167,'Comext mensuel - EUROSTAT'!AE167,'Comext mensuel - EUROSTAT'!AG167,'Comext mensuel - EUROSTAT'!AI167,'Comext mensuel - EUROSTAT'!AK167,'Comext mensuel - EUROSTAT'!AM167,'Comext mensuel - EUROSTAT'!AO167,'Comext mensuel - EUROSTAT'!AQ167,'Comext mensuel - EUROSTAT'!AS167,'Comext mensuel - EUROSTAT'!AU167,'Comext mensuel - EUROSTAT'!AW167)/10^4</f>
        <v>3.6219709999999998</v>
      </c>
      <c r="N158" s="86">
        <f>SUM('Comext mensuel - EUROSTAT'!AB167,'Comext mensuel - EUROSTAT'!AD167,'Comext mensuel - EUROSTAT'!AF167,'Comext mensuel - EUROSTAT'!AH167,'Comext mensuel - EUROSTAT'!AJ167,'Comext mensuel - EUROSTAT'!AL167,'Comext mensuel - EUROSTAT'!AN167,'Comext mensuel - EUROSTAT'!AP167,'Comext mensuel - EUROSTAT'!AR167,'Comext mensuel - EUROSTAT'!AT167,'Comext mensuel - EUROSTAT'!AV167,'Comext mensuel - EUROSTAT'!AX167)/10^4</f>
        <v>0.50897899999999996</v>
      </c>
      <c r="O158" s="86">
        <f>SUM('Comext mensuel - EUROSTAT'!AY167,'Comext mensuel - EUROSTAT'!BA167,'Comext mensuel - EUROSTAT'!BC167,'Comext mensuel - EUROSTAT'!BE167,'Comext mensuel - EUROSTAT'!BG167,'Comext mensuel - EUROSTAT'!BI167,'Comext mensuel - EUROSTAT'!BK167,'Comext mensuel - EUROSTAT'!BM167,'Comext mensuel - EUROSTAT'!BO167,'Comext mensuel - EUROSTAT'!BQ167,'Comext mensuel - EUROSTAT'!BS167,'Comext mensuel - EUROSTAT'!BU167)/10^4</f>
        <v>10.715861000000002</v>
      </c>
      <c r="P158" s="86">
        <f>SUM('Comext mensuel - EUROSTAT'!AZ167,'Comext mensuel - EUROSTAT'!BB167,'Comext mensuel - EUROSTAT'!BD167,'Comext mensuel - EUROSTAT'!BF167,'Comext mensuel - EUROSTAT'!BH167,'Comext mensuel - EUROSTAT'!BJ167,'Comext mensuel - EUROSTAT'!BL167,'Comext mensuel - EUROSTAT'!BN167,'Comext mensuel - EUROSTAT'!BP167,'Comext mensuel - EUROSTAT'!BR167,'Comext mensuel - EUROSTAT'!BT167,'Comext mensuel - EUROSTAT'!BV167)/10^4</f>
        <v>1.8575090000000003</v>
      </c>
    </row>
    <row r="159" spans="1:16">
      <c r="C159" s="144"/>
      <c r="D159" t="str">
        <f>'Comext annuel - EUROSTAT'!B168</f>
        <v>Préparations alimentaires de farines, gruaux, semoules, amidons, fécules ou extraits de malt, ne contenant pas de matières grasses provenant du lait, de saccharose, d'isoglucose, de glucose, d'amidon ou de fécule ou contenant en poids &lt; 1,5% de matières grasses provenant du lait, &lt; 5% en poids de saccharose, d'isoglucose, de glucose, d'amidon ou de fécule, ne contenant pas de cacao ou en contenant &lt; 40% en poids, calculés sur une base entièrement dégraissée (à l'excl. des extraits de malt, des préparations pour l'alimentation des enfants conditionnées pour la vente au détail, des mélanges et pâtes pour la préparation des produits de la boulangerie, de la pâtisserie ou de la biscuiterie ainsi que des préparations alimentaires en poudre à base de lait, de crème de lait, de babeurre, de lait caillé, de crème caillée, de lactosérum, de yoghourt, de képhir et autres produits simil. des n° 0401 à 0404)(2022-2500);Préparations alimentaires de farines, gruaux, semoules, amidons, fécules ou extraits de malt, ne contenant pas de matières grasses provenant du lait, de saccharose, d'isoglucose, de glucose, d'amidon ou de fécule ou contenant en poids &lt; 1,5% de matières grasses provenant du lait, &lt; 5% en poids de saccharose, d'isoglucose, de glucose, d'amidon ou de fécule, ne contenant pas de cacao ou en contenant &lt; 40% en poids, calculés sur une base entièrement dégraissée (à l'excl. des extraits de malt, des préparations pour l'alimentation des enfants conditionnées pour la vente au détail, des mélanges et pâtes pour la préparation des produits de la boulangerie, de la pâtisserie ou de la biscuiterie ainsi que des préparations alimentaires en poudre à base de lait, de crème de lait, de babeurre, de lait caillé, de crème caillée, de lactosérum, de yoghourt, de képhir et autres produits simil. des n° 0401 à 0404)(1995-2021)</v>
      </c>
      <c r="E159" s="86">
        <f>'Comext annuel - EUROSTAT'!C168/10^4</f>
        <v>2.6043249999999998</v>
      </c>
      <c r="F159" s="86">
        <f>'Comext annuel - EUROSTAT'!D168/10^4</f>
        <v>1.8572400000000002</v>
      </c>
      <c r="G159" s="86">
        <f>'Comext annuel - EUROSTAT'!E168/10^4</f>
        <v>3.7255480000000003</v>
      </c>
      <c r="H159" s="86">
        <f>'Comext annuel - EUROSTAT'!F168/10^4</f>
        <v>3.5743779999999998</v>
      </c>
      <c r="I159" s="86">
        <f>'Comext annuel - EUROSTAT'!G168/10^4</f>
        <v>5.3679699999999997</v>
      </c>
      <c r="J159" s="86">
        <f>'Comext annuel - EUROSTAT'!H168/10^4</f>
        <v>1.4616129999999998</v>
      </c>
      <c r="K159" s="86">
        <f>SUM('Comext mensuel - EUROSTAT'!C168,'Comext mensuel - EUROSTAT'!E168,'Comext mensuel - EUROSTAT'!G168,'Comext mensuel - EUROSTAT'!I168,'Comext mensuel - EUROSTAT'!K168,'Comext mensuel - EUROSTAT'!M168,'Comext mensuel - EUROSTAT'!O168,'Comext mensuel - EUROSTAT'!Q168,'Comext mensuel - EUROSTAT'!S168,'Comext mensuel - EUROSTAT'!U168,'Comext mensuel - EUROSTAT'!W168,'Comext mensuel - EUROSTAT'!Y168)/10^4</f>
        <v>2.5718769999999997</v>
      </c>
      <c r="L159" s="86">
        <f>SUM('Comext mensuel - EUROSTAT'!D168,'Comext mensuel - EUROSTAT'!F168,'Comext mensuel - EUROSTAT'!H168,'Comext mensuel - EUROSTAT'!J168,'Comext mensuel - EUROSTAT'!L168,'Comext mensuel - EUROSTAT'!N168,'Comext mensuel - EUROSTAT'!P168,'Comext mensuel - EUROSTAT'!R168,'Comext mensuel - EUROSTAT'!T168,'Comext mensuel - EUROSTAT'!V168,'Comext mensuel - EUROSTAT'!X168,'Comext mensuel - EUROSTAT'!Z168)/10^4</f>
        <v>1.8195239999999997</v>
      </c>
      <c r="M159" s="86">
        <f>SUM('Comext mensuel - EUROSTAT'!AA168,'Comext mensuel - EUROSTAT'!AC168,'Comext mensuel - EUROSTAT'!AE168,'Comext mensuel - EUROSTAT'!AG168,'Comext mensuel - EUROSTAT'!AI168,'Comext mensuel - EUROSTAT'!AK168,'Comext mensuel - EUROSTAT'!AM168,'Comext mensuel - EUROSTAT'!AO168,'Comext mensuel - EUROSTAT'!AQ168,'Comext mensuel - EUROSTAT'!AS168,'Comext mensuel - EUROSTAT'!AU168,'Comext mensuel - EUROSTAT'!AW168)/10^4</f>
        <v>3.5988590000000005</v>
      </c>
      <c r="N159" s="86">
        <f>SUM('Comext mensuel - EUROSTAT'!AB168,'Comext mensuel - EUROSTAT'!AD168,'Comext mensuel - EUROSTAT'!AF168,'Comext mensuel - EUROSTAT'!AH168,'Comext mensuel - EUROSTAT'!AJ168,'Comext mensuel - EUROSTAT'!AL168,'Comext mensuel - EUROSTAT'!AN168,'Comext mensuel - EUROSTAT'!AP168,'Comext mensuel - EUROSTAT'!AR168,'Comext mensuel - EUROSTAT'!AT168,'Comext mensuel - EUROSTAT'!AV168,'Comext mensuel - EUROSTAT'!AX168)/10^4</f>
        <v>3.9200699999999995</v>
      </c>
      <c r="O159" s="86">
        <f>SUM('Comext mensuel - EUROSTAT'!AY168,'Comext mensuel - EUROSTAT'!BA168,'Comext mensuel - EUROSTAT'!BC168,'Comext mensuel - EUROSTAT'!BE168,'Comext mensuel - EUROSTAT'!BG168,'Comext mensuel - EUROSTAT'!BI168,'Comext mensuel - EUROSTAT'!BK168,'Comext mensuel - EUROSTAT'!BM168,'Comext mensuel - EUROSTAT'!BO168,'Comext mensuel - EUROSTAT'!BQ168,'Comext mensuel - EUROSTAT'!BS168,'Comext mensuel - EUROSTAT'!BU168)/10^4</f>
        <v>5.7957759999999992</v>
      </c>
      <c r="P159" s="86">
        <f>SUM('Comext mensuel - EUROSTAT'!AZ168,'Comext mensuel - EUROSTAT'!BB168,'Comext mensuel - EUROSTAT'!BD168,'Comext mensuel - EUROSTAT'!BF168,'Comext mensuel - EUROSTAT'!BH168,'Comext mensuel - EUROSTAT'!BJ168,'Comext mensuel - EUROSTAT'!BL168,'Comext mensuel - EUROSTAT'!BN168,'Comext mensuel - EUROSTAT'!BP168,'Comext mensuel - EUROSTAT'!BR168,'Comext mensuel - EUROSTAT'!BT168,'Comext mensuel - EUROSTAT'!BV168)/10^4</f>
        <v>1.572117</v>
      </c>
    </row>
    <row r="160" spans="1:16">
      <c r="C160" s="144"/>
      <c r="D160" t="str">
        <f>'Comext annuel - EUROSTAT'!B169</f>
        <v>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95)(2022-2500);Préparations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95)(2020-2021);Mélanges ou préparations non alimentaires de graisses ou d'huiles animales ou végétales ou de fractions de différentes graisses ou huiles du présent chapitre, n.d.a.(1995-2019)</v>
      </c>
      <c r="E160" s="86">
        <f>'Comext annuel - EUROSTAT'!C169/10^4</f>
        <v>73.905434</v>
      </c>
      <c r="F160" s="86">
        <f>'Comext annuel - EUROSTAT'!D169/10^4</f>
        <v>172.64109299999998</v>
      </c>
      <c r="G160" s="86">
        <f>'Comext annuel - EUROSTAT'!E169/10^4</f>
        <v>89.057146000000003</v>
      </c>
      <c r="H160" s="86">
        <f>'Comext annuel - EUROSTAT'!F169/10^4</f>
        <v>175.68119799999999</v>
      </c>
      <c r="I160" s="86">
        <f>'Comext annuel - EUROSTAT'!G169/10^4</f>
        <v>99.779011999999994</v>
      </c>
      <c r="J160" s="86">
        <f>'Comext annuel - EUROSTAT'!H169/10^4</f>
        <v>182.073534</v>
      </c>
      <c r="K160" s="568">
        <f>SUM('Comext mensuel - EUROSTAT'!C169,'Comext mensuel - EUROSTAT'!E169,'Comext mensuel - EUROSTAT'!G169,'Comext mensuel - EUROSTAT'!I169,'Comext mensuel - EUROSTAT'!K169,'Comext mensuel - EUROSTAT'!M169,'Comext mensuel - EUROSTAT'!O169,'Comext mensuel - EUROSTAT'!Q169,'Comext mensuel - EUROSTAT'!S169,'Comext mensuel - EUROSTAT'!U169,'Comext mensuel - EUROSTAT'!W169,'Comext mensuel - EUROSTAT'!Y169)/10^4</f>
        <v>80.285157999999981</v>
      </c>
      <c r="L160" s="568">
        <f>SUM('Comext mensuel - EUROSTAT'!D169,'Comext mensuel - EUROSTAT'!F169,'Comext mensuel - EUROSTAT'!H169,'Comext mensuel - EUROSTAT'!J169,'Comext mensuel - EUROSTAT'!L169,'Comext mensuel - EUROSTAT'!N169,'Comext mensuel - EUROSTAT'!P169,'Comext mensuel - EUROSTAT'!R169,'Comext mensuel - EUROSTAT'!T169,'Comext mensuel - EUROSTAT'!V169,'Comext mensuel - EUROSTAT'!X169,'Comext mensuel - EUROSTAT'!Z169)/10^4</f>
        <v>161.96090100000001</v>
      </c>
      <c r="M160" s="568">
        <f>SUM('Comext mensuel - EUROSTAT'!AA169,'Comext mensuel - EUROSTAT'!AC169,'Comext mensuel - EUROSTAT'!AE169,'Comext mensuel - EUROSTAT'!AG169,'Comext mensuel - EUROSTAT'!AI169,'Comext mensuel - EUROSTAT'!AK169,'Comext mensuel - EUROSTAT'!AM169,'Comext mensuel - EUROSTAT'!AO169,'Comext mensuel - EUROSTAT'!AQ169,'Comext mensuel - EUROSTAT'!AS169,'Comext mensuel - EUROSTAT'!AU169,'Comext mensuel - EUROSTAT'!AW169)/10^4</f>
        <v>81.937379000000021</v>
      </c>
      <c r="N160" s="568">
        <f>SUM('Comext mensuel - EUROSTAT'!AB169,'Comext mensuel - EUROSTAT'!AD169,'Comext mensuel - EUROSTAT'!AF169,'Comext mensuel - EUROSTAT'!AH169,'Comext mensuel - EUROSTAT'!AJ169,'Comext mensuel - EUROSTAT'!AL169,'Comext mensuel - EUROSTAT'!AN169,'Comext mensuel - EUROSTAT'!AP169,'Comext mensuel - EUROSTAT'!AR169,'Comext mensuel - EUROSTAT'!AT169,'Comext mensuel - EUROSTAT'!AV169,'Comext mensuel - EUROSTAT'!AX169)/10^4</f>
        <v>160.94439000000003</v>
      </c>
      <c r="O160" s="568">
        <f>SUM('Comext mensuel - EUROSTAT'!AY169,'Comext mensuel - EUROSTAT'!BA169,'Comext mensuel - EUROSTAT'!BC169,'Comext mensuel - EUROSTAT'!BE169,'Comext mensuel - EUROSTAT'!BG169,'Comext mensuel - EUROSTAT'!BI169,'Comext mensuel - EUROSTAT'!BK169,'Comext mensuel - EUROSTAT'!BM169,'Comext mensuel - EUROSTAT'!BO169,'Comext mensuel - EUROSTAT'!BQ169,'Comext mensuel - EUROSTAT'!BS169,'Comext mensuel - EUROSTAT'!BU169)/10^4</f>
        <v>98.483770000000007</v>
      </c>
      <c r="P160" s="568">
        <f>SUM('Comext mensuel - EUROSTAT'!AZ169,'Comext mensuel - EUROSTAT'!BB169,'Comext mensuel - EUROSTAT'!BD169,'Comext mensuel - EUROSTAT'!BF169,'Comext mensuel - EUROSTAT'!BH169,'Comext mensuel - EUROSTAT'!BJ169,'Comext mensuel - EUROSTAT'!BL169,'Comext mensuel - EUROSTAT'!BN169,'Comext mensuel - EUROSTAT'!BP169,'Comext mensuel - EUROSTAT'!BR169,'Comext mensuel - EUROSTAT'!BT169,'Comext mensuel - EUROSTAT'!BV169)/10^4</f>
        <v>171.77942099999999</v>
      </c>
    </row>
    <row r="161" spans="1:16">
      <c r="A161" t="s">
        <v>172</v>
      </c>
      <c r="B161" t="s">
        <v>1003</v>
      </c>
      <c r="C161" s="693" t="s">
        <v>1002</v>
      </c>
      <c r="D161" t="str">
        <f>'Comext annuel - EUROSTAT'!B170</f>
        <v>Pâtes alimentaires non cuites ni farcies ni autrement préparées, contenant des oeufs(1993-2500);Pâtes alimentaires non-cuites ni farcies ni autrement préparées, contenant des oeufs(1988-1990)</v>
      </c>
      <c r="E161" s="86">
        <f>'Comext annuel - EUROSTAT'!C170/10^4</f>
        <v>24.385462</v>
      </c>
      <c r="F161" s="86">
        <f>'Comext annuel - EUROSTAT'!D170/10^4</f>
        <v>12.855714000000001</v>
      </c>
      <c r="G161" s="86">
        <f>'Comext annuel - EUROSTAT'!E170/10^4</f>
        <v>37.674720000000001</v>
      </c>
      <c r="H161" s="86">
        <f>'Comext annuel - EUROSTAT'!F170/10^4</f>
        <v>11.429507000000001</v>
      </c>
      <c r="I161" s="86">
        <f>'Comext annuel - EUROSTAT'!G170/10^4</f>
        <v>30.708096999999999</v>
      </c>
      <c r="J161" s="86">
        <f>'Comext annuel - EUROSTAT'!H170/10^4</f>
        <v>9.0896969999999992</v>
      </c>
      <c r="K161" s="509">
        <f>SUM('Comext mensuel - EUROSTAT'!C170,'Comext mensuel - EUROSTAT'!E170,'Comext mensuel - EUROSTAT'!G170,'Comext mensuel - EUROSTAT'!I170,'Comext mensuel - EUROSTAT'!K170,'Comext mensuel - EUROSTAT'!M170,'Comext mensuel - EUROSTAT'!O170,'Comext mensuel - EUROSTAT'!Q170,'Comext mensuel - EUROSTAT'!S170,'Comext mensuel - EUROSTAT'!U170,'Comext mensuel - EUROSTAT'!W170,'Comext mensuel - EUROSTAT'!Y170)/10^4</f>
        <v>25.355781</v>
      </c>
      <c r="L161" s="509">
        <f>SUM('Comext mensuel - EUROSTAT'!D170,'Comext mensuel - EUROSTAT'!F170,'Comext mensuel - EUROSTAT'!H170,'Comext mensuel - EUROSTAT'!J170,'Comext mensuel - EUROSTAT'!L170,'Comext mensuel - EUROSTAT'!N170,'Comext mensuel - EUROSTAT'!P170,'Comext mensuel - EUROSTAT'!R170,'Comext mensuel - EUROSTAT'!T170,'Comext mensuel - EUROSTAT'!V170,'Comext mensuel - EUROSTAT'!X170,'Comext mensuel - EUROSTAT'!Z170)/10^4</f>
        <v>13.189418000000002</v>
      </c>
      <c r="M161" s="509">
        <f>SUM('Comext mensuel - EUROSTAT'!AA170,'Comext mensuel - EUROSTAT'!AC170,'Comext mensuel - EUROSTAT'!AE170,'Comext mensuel - EUROSTAT'!AG170,'Comext mensuel - EUROSTAT'!AI170,'Comext mensuel - EUROSTAT'!AK170,'Comext mensuel - EUROSTAT'!AM170,'Comext mensuel - EUROSTAT'!AO170,'Comext mensuel - EUROSTAT'!AQ170,'Comext mensuel - EUROSTAT'!AS170,'Comext mensuel - EUROSTAT'!AU170,'Comext mensuel - EUROSTAT'!AW170)/10^4</f>
        <v>43.141264</v>
      </c>
      <c r="N161" s="509">
        <f>SUM('Comext mensuel - EUROSTAT'!AB170,'Comext mensuel - EUROSTAT'!AD170,'Comext mensuel - EUROSTAT'!AF170,'Comext mensuel - EUROSTAT'!AH170,'Comext mensuel - EUROSTAT'!AJ170,'Comext mensuel - EUROSTAT'!AL170,'Comext mensuel - EUROSTAT'!AN170,'Comext mensuel - EUROSTAT'!AP170,'Comext mensuel - EUROSTAT'!AR170,'Comext mensuel - EUROSTAT'!AT170,'Comext mensuel - EUROSTAT'!AV170,'Comext mensuel - EUROSTAT'!AX170)/10^4</f>
        <v>12.276381000000001</v>
      </c>
      <c r="O161" s="509">
        <f>SUM('Comext mensuel - EUROSTAT'!AY170,'Comext mensuel - EUROSTAT'!BA170,'Comext mensuel - EUROSTAT'!BC170,'Comext mensuel - EUROSTAT'!BE170,'Comext mensuel - EUROSTAT'!BG170,'Comext mensuel - EUROSTAT'!BI170,'Comext mensuel - EUROSTAT'!BK170,'Comext mensuel - EUROSTAT'!BM170,'Comext mensuel - EUROSTAT'!BO170,'Comext mensuel - EUROSTAT'!BQ170,'Comext mensuel - EUROSTAT'!BS170,'Comext mensuel - EUROSTAT'!BU170)/10^4</f>
        <v>31.719984999999998</v>
      </c>
      <c r="P161" s="509">
        <f>SUM('Comext mensuel - EUROSTAT'!AZ170,'Comext mensuel - EUROSTAT'!BB170,'Comext mensuel - EUROSTAT'!BD170,'Comext mensuel - EUROSTAT'!BF170,'Comext mensuel - EUROSTAT'!BH170,'Comext mensuel - EUROSTAT'!BJ170,'Comext mensuel - EUROSTAT'!BL170,'Comext mensuel - EUROSTAT'!BN170,'Comext mensuel - EUROSTAT'!BP170,'Comext mensuel - EUROSTAT'!BR170,'Comext mensuel - EUROSTAT'!BT170,'Comext mensuel - EUROSTAT'!BV170)/10^4</f>
        <v>7.6765109999999996</v>
      </c>
    </row>
    <row r="162" spans="1:16">
      <c r="A162" t="s">
        <v>172</v>
      </c>
      <c r="B162" t="s">
        <v>1003</v>
      </c>
      <c r="C162" s="693"/>
      <c r="D162" t="str">
        <f>'Comext annuel - EUROSTAT'!B171</f>
        <v>Pâtes alimentaires, non cuites ni farcies ni autrement préparées, ne contenant ni oeufs ni farine ou semoule de froment {blé} tendre(1995-2500);Pâtes alimentaires, non-cuites ni farcies ni autrement préparées, ne contenant ni oeufs ni farine ou semoule de froment {blé} tendre(1988-1990)</v>
      </c>
      <c r="E162" s="86">
        <f>'Comext annuel - EUROSTAT'!C171/10^4</f>
        <v>292.17971</v>
      </c>
      <c r="F162" s="86">
        <f>'Comext annuel - EUROSTAT'!D171/10^4</f>
        <v>19.255043000000001</v>
      </c>
      <c r="G162" s="86">
        <f>'Comext annuel - EUROSTAT'!E171/10^4</f>
        <v>293.39086800000001</v>
      </c>
      <c r="H162" s="86">
        <f>'Comext annuel - EUROSTAT'!F171/10^4</f>
        <v>23.369906</v>
      </c>
      <c r="I162" s="86">
        <f>'Comext annuel - EUROSTAT'!G171/10^4</f>
        <v>309.00529299999999</v>
      </c>
      <c r="J162" s="86">
        <f>'Comext annuel - EUROSTAT'!H171/10^4</f>
        <v>22.952801999999998</v>
      </c>
      <c r="K162" s="509">
        <f>SUM('Comext mensuel - EUROSTAT'!C171,'Comext mensuel - EUROSTAT'!E171,'Comext mensuel - EUROSTAT'!G171,'Comext mensuel - EUROSTAT'!I171,'Comext mensuel - EUROSTAT'!K171,'Comext mensuel - EUROSTAT'!M171,'Comext mensuel - EUROSTAT'!O171,'Comext mensuel - EUROSTAT'!Q171,'Comext mensuel - EUROSTAT'!S171,'Comext mensuel - EUROSTAT'!U171,'Comext mensuel - EUROSTAT'!W171,'Comext mensuel - EUROSTAT'!Y171)/10^4</f>
        <v>285.93235699999997</v>
      </c>
      <c r="L162" s="509">
        <f>SUM('Comext mensuel - EUROSTAT'!D171,'Comext mensuel - EUROSTAT'!F171,'Comext mensuel - EUROSTAT'!H171,'Comext mensuel - EUROSTAT'!J171,'Comext mensuel - EUROSTAT'!L171,'Comext mensuel - EUROSTAT'!N171,'Comext mensuel - EUROSTAT'!P171,'Comext mensuel - EUROSTAT'!R171,'Comext mensuel - EUROSTAT'!T171,'Comext mensuel - EUROSTAT'!V171,'Comext mensuel - EUROSTAT'!X171,'Comext mensuel - EUROSTAT'!Z171)/10^4</f>
        <v>15.678764000000001</v>
      </c>
      <c r="M162" s="509">
        <f>SUM('Comext mensuel - EUROSTAT'!AA171,'Comext mensuel - EUROSTAT'!AC171,'Comext mensuel - EUROSTAT'!AE171,'Comext mensuel - EUROSTAT'!AG171,'Comext mensuel - EUROSTAT'!AI171,'Comext mensuel - EUROSTAT'!AK171,'Comext mensuel - EUROSTAT'!AM171,'Comext mensuel - EUROSTAT'!AO171,'Comext mensuel - EUROSTAT'!AQ171,'Comext mensuel - EUROSTAT'!AS171,'Comext mensuel - EUROSTAT'!AU171,'Comext mensuel - EUROSTAT'!AW171)/10^4</f>
        <v>322.86544199999997</v>
      </c>
      <c r="N162" s="509">
        <f>SUM('Comext mensuel - EUROSTAT'!AB171,'Comext mensuel - EUROSTAT'!AD171,'Comext mensuel - EUROSTAT'!AF171,'Comext mensuel - EUROSTAT'!AH171,'Comext mensuel - EUROSTAT'!AJ171,'Comext mensuel - EUROSTAT'!AL171,'Comext mensuel - EUROSTAT'!AN171,'Comext mensuel - EUROSTAT'!AP171,'Comext mensuel - EUROSTAT'!AR171,'Comext mensuel - EUROSTAT'!AT171,'Comext mensuel - EUROSTAT'!AV171,'Comext mensuel - EUROSTAT'!AX171)/10^4</f>
        <v>27.717295</v>
      </c>
      <c r="O162" s="509">
        <f>SUM('Comext mensuel - EUROSTAT'!AY171,'Comext mensuel - EUROSTAT'!BA171,'Comext mensuel - EUROSTAT'!BC171,'Comext mensuel - EUROSTAT'!BE171,'Comext mensuel - EUROSTAT'!BG171,'Comext mensuel - EUROSTAT'!BI171,'Comext mensuel - EUROSTAT'!BK171,'Comext mensuel - EUROSTAT'!BM171,'Comext mensuel - EUROSTAT'!BO171,'Comext mensuel - EUROSTAT'!BQ171,'Comext mensuel - EUROSTAT'!BS171,'Comext mensuel - EUROSTAT'!BU171)/10^4</f>
        <v>295.53220100000004</v>
      </c>
      <c r="P162" s="509">
        <f>SUM('Comext mensuel - EUROSTAT'!AZ171,'Comext mensuel - EUROSTAT'!BB171,'Comext mensuel - EUROSTAT'!BD171,'Comext mensuel - EUROSTAT'!BF171,'Comext mensuel - EUROSTAT'!BH171,'Comext mensuel - EUROSTAT'!BJ171,'Comext mensuel - EUROSTAT'!BL171,'Comext mensuel - EUROSTAT'!BN171,'Comext mensuel - EUROSTAT'!BP171,'Comext mensuel - EUROSTAT'!BR171,'Comext mensuel - EUROSTAT'!BT171,'Comext mensuel - EUROSTAT'!BV171)/10^4</f>
        <v>22.713953</v>
      </c>
    </row>
    <row r="163" spans="1:16">
      <c r="A163" t="s">
        <v>172</v>
      </c>
      <c r="B163" t="s">
        <v>1003</v>
      </c>
      <c r="C163" s="693"/>
      <c r="D163" t="str">
        <f>'Comext annuel - EUROSTAT'!B172</f>
        <v>Pâtes alimentaires, non cuites ni farcies ni autrement préparées, contenant de la farine ou de la semoule de froment {blé} tendre, mais ne contenant pas d'oeufs(1995-2500);Pâtes alimentaires, non-cuites ni farcies ni autrement préparées, contenant de la farine ou de la semoule de froment {blé} tendre, mais ne contenant pas d'oeufs(1988-1992)</v>
      </c>
      <c r="E163" s="86">
        <f>'Comext annuel - EUROSTAT'!C172/10^4</f>
        <v>10.582511</v>
      </c>
      <c r="F163" s="86">
        <f>'Comext annuel - EUROSTAT'!D172/10^4</f>
        <v>6.2129560000000001</v>
      </c>
      <c r="G163" s="86">
        <f>'Comext annuel - EUROSTAT'!E172/10^4</f>
        <v>14.006325</v>
      </c>
      <c r="H163" s="86">
        <f>'Comext annuel - EUROSTAT'!F172/10^4</f>
        <v>3.9092220000000002</v>
      </c>
      <c r="I163" s="86">
        <f>'Comext annuel - EUROSTAT'!G172/10^4</f>
        <v>31.809378999999996</v>
      </c>
      <c r="J163" s="86">
        <f>'Comext annuel - EUROSTAT'!H172/10^4</f>
        <v>3.3037610000000002</v>
      </c>
      <c r="K163" s="509">
        <f>SUM('Comext mensuel - EUROSTAT'!C172,'Comext mensuel - EUROSTAT'!E172,'Comext mensuel - EUROSTAT'!G172,'Comext mensuel - EUROSTAT'!I172,'Comext mensuel - EUROSTAT'!K172,'Comext mensuel - EUROSTAT'!M172,'Comext mensuel - EUROSTAT'!O172,'Comext mensuel - EUROSTAT'!Q172,'Comext mensuel - EUROSTAT'!S172,'Comext mensuel - EUROSTAT'!U172,'Comext mensuel - EUROSTAT'!W172,'Comext mensuel - EUROSTAT'!Y172)/10^4</f>
        <v>12.072114000000001</v>
      </c>
      <c r="L163" s="509">
        <f>SUM('Comext mensuel - EUROSTAT'!D172,'Comext mensuel - EUROSTAT'!F172,'Comext mensuel - EUROSTAT'!H172,'Comext mensuel - EUROSTAT'!J172,'Comext mensuel - EUROSTAT'!L172,'Comext mensuel - EUROSTAT'!N172,'Comext mensuel - EUROSTAT'!P172,'Comext mensuel - EUROSTAT'!R172,'Comext mensuel - EUROSTAT'!T172,'Comext mensuel - EUROSTAT'!V172,'Comext mensuel - EUROSTAT'!X172,'Comext mensuel - EUROSTAT'!Z172)/10^4</f>
        <v>6.8886629999999993</v>
      </c>
      <c r="M163" s="509">
        <f>SUM('Comext mensuel - EUROSTAT'!AA172,'Comext mensuel - EUROSTAT'!AC172,'Comext mensuel - EUROSTAT'!AE172,'Comext mensuel - EUROSTAT'!AG172,'Comext mensuel - EUROSTAT'!AI172,'Comext mensuel - EUROSTAT'!AK172,'Comext mensuel - EUROSTAT'!AM172,'Comext mensuel - EUROSTAT'!AO172,'Comext mensuel - EUROSTAT'!AQ172,'Comext mensuel - EUROSTAT'!AS172,'Comext mensuel - EUROSTAT'!AU172,'Comext mensuel - EUROSTAT'!AW172)/10^4</f>
        <v>16.19323</v>
      </c>
      <c r="N163" s="509">
        <f>SUM('Comext mensuel - EUROSTAT'!AB172,'Comext mensuel - EUROSTAT'!AD172,'Comext mensuel - EUROSTAT'!AF172,'Comext mensuel - EUROSTAT'!AH172,'Comext mensuel - EUROSTAT'!AJ172,'Comext mensuel - EUROSTAT'!AL172,'Comext mensuel - EUROSTAT'!AN172,'Comext mensuel - EUROSTAT'!AP172,'Comext mensuel - EUROSTAT'!AR172,'Comext mensuel - EUROSTAT'!AT172,'Comext mensuel - EUROSTAT'!AV172,'Comext mensuel - EUROSTAT'!AX172)/10^4</f>
        <v>2.6713299999999998</v>
      </c>
      <c r="O163" s="509">
        <f>SUM('Comext mensuel - EUROSTAT'!AY172,'Comext mensuel - EUROSTAT'!BA172,'Comext mensuel - EUROSTAT'!BC172,'Comext mensuel - EUROSTAT'!BE172,'Comext mensuel - EUROSTAT'!BG172,'Comext mensuel - EUROSTAT'!BI172,'Comext mensuel - EUROSTAT'!BK172,'Comext mensuel - EUROSTAT'!BM172,'Comext mensuel - EUROSTAT'!BO172,'Comext mensuel - EUROSTAT'!BQ172,'Comext mensuel - EUROSTAT'!BS172,'Comext mensuel - EUROSTAT'!BU172)/10^4</f>
        <v>33.993062999999999</v>
      </c>
      <c r="P163" s="509">
        <f>SUM('Comext mensuel - EUROSTAT'!AZ172,'Comext mensuel - EUROSTAT'!BB172,'Comext mensuel - EUROSTAT'!BD172,'Comext mensuel - EUROSTAT'!BF172,'Comext mensuel - EUROSTAT'!BH172,'Comext mensuel - EUROSTAT'!BJ172,'Comext mensuel - EUROSTAT'!BL172,'Comext mensuel - EUROSTAT'!BN172,'Comext mensuel - EUROSTAT'!BP172,'Comext mensuel - EUROSTAT'!BR172,'Comext mensuel - EUROSTAT'!BT172,'Comext mensuel - EUROSTAT'!BV172)/10^4</f>
        <v>2.98603</v>
      </c>
    </row>
    <row r="164" spans="1:16">
      <c r="A164" t="s">
        <v>172</v>
      </c>
      <c r="B164" t="s">
        <v>775</v>
      </c>
      <c r="C164" s="693" t="s">
        <v>920</v>
      </c>
      <c r="D164" t="str">
        <f>'Comext annuel - EUROSTAT'!B173</f>
        <v>Couscous, non préparé</v>
      </c>
      <c r="E164" s="86">
        <f>'Comext annuel - EUROSTAT'!C173/10^4</f>
        <v>25.512239000000001</v>
      </c>
      <c r="F164" s="86">
        <f>'Comext annuel - EUROSTAT'!D173/10^4</f>
        <v>29.720610999999998</v>
      </c>
      <c r="G164" s="86">
        <f>'Comext annuel - EUROSTAT'!E173/10^4</f>
        <v>28.705864000000002</v>
      </c>
      <c r="H164" s="86">
        <f>'Comext annuel - EUROSTAT'!F173/10^4</f>
        <v>24.375109999999999</v>
      </c>
      <c r="I164" s="86">
        <f>'Comext annuel - EUROSTAT'!G173/10^4</f>
        <v>35.591706000000002</v>
      </c>
      <c r="J164" s="86">
        <f>'Comext annuel - EUROSTAT'!H173/10^4</f>
        <v>16.362793</v>
      </c>
      <c r="K164" s="509">
        <f>SUM('Comext mensuel - EUROSTAT'!C173,'Comext mensuel - EUROSTAT'!E173,'Comext mensuel - EUROSTAT'!G173,'Comext mensuel - EUROSTAT'!I173,'Comext mensuel - EUROSTAT'!K173,'Comext mensuel - EUROSTAT'!M173,'Comext mensuel - EUROSTAT'!O173,'Comext mensuel - EUROSTAT'!Q173,'Comext mensuel - EUROSTAT'!S173,'Comext mensuel - EUROSTAT'!U173,'Comext mensuel - EUROSTAT'!W173,'Comext mensuel - EUROSTAT'!Y173)/10^4</f>
        <v>26.346551000000002</v>
      </c>
      <c r="L164" s="509">
        <f>SUM('Comext mensuel - EUROSTAT'!D173,'Comext mensuel - EUROSTAT'!F173,'Comext mensuel - EUROSTAT'!H173,'Comext mensuel - EUROSTAT'!J173,'Comext mensuel - EUROSTAT'!L173,'Comext mensuel - EUROSTAT'!N173,'Comext mensuel - EUROSTAT'!P173,'Comext mensuel - EUROSTAT'!R173,'Comext mensuel - EUROSTAT'!T173,'Comext mensuel - EUROSTAT'!V173,'Comext mensuel - EUROSTAT'!X173,'Comext mensuel - EUROSTAT'!Z173)/10^4</f>
        <v>31.969597000000004</v>
      </c>
      <c r="M164" s="509">
        <f>SUM('Comext mensuel - EUROSTAT'!AA173,'Comext mensuel - EUROSTAT'!AC173,'Comext mensuel - EUROSTAT'!AE173,'Comext mensuel - EUROSTAT'!AG173,'Comext mensuel - EUROSTAT'!AI173,'Comext mensuel - EUROSTAT'!AK173,'Comext mensuel - EUROSTAT'!AM173,'Comext mensuel - EUROSTAT'!AO173,'Comext mensuel - EUROSTAT'!AQ173,'Comext mensuel - EUROSTAT'!AS173,'Comext mensuel - EUROSTAT'!AU173,'Comext mensuel - EUROSTAT'!AW173)/10^4</f>
        <v>31.541584000000004</v>
      </c>
      <c r="N164" s="509">
        <f>SUM('Comext mensuel - EUROSTAT'!AB173,'Comext mensuel - EUROSTAT'!AD173,'Comext mensuel - EUROSTAT'!AF173,'Comext mensuel - EUROSTAT'!AH173,'Comext mensuel - EUROSTAT'!AJ173,'Comext mensuel - EUROSTAT'!AL173,'Comext mensuel - EUROSTAT'!AN173,'Comext mensuel - EUROSTAT'!AP173,'Comext mensuel - EUROSTAT'!AR173,'Comext mensuel - EUROSTAT'!AT173,'Comext mensuel - EUROSTAT'!AV173,'Comext mensuel - EUROSTAT'!AX173)/10^4</f>
        <v>25.739187000000001</v>
      </c>
      <c r="O164" s="509">
        <f>SUM('Comext mensuel - EUROSTAT'!AY173,'Comext mensuel - EUROSTAT'!BA173,'Comext mensuel - EUROSTAT'!BC173,'Comext mensuel - EUROSTAT'!BE173,'Comext mensuel - EUROSTAT'!BG173,'Comext mensuel - EUROSTAT'!BI173,'Comext mensuel - EUROSTAT'!BK173,'Comext mensuel - EUROSTAT'!BM173,'Comext mensuel - EUROSTAT'!BO173,'Comext mensuel - EUROSTAT'!BQ173,'Comext mensuel - EUROSTAT'!BS173,'Comext mensuel - EUROSTAT'!BU173)/10^4</f>
        <v>35.519889999999997</v>
      </c>
      <c r="P164" s="509">
        <f>SUM('Comext mensuel - EUROSTAT'!AZ173,'Comext mensuel - EUROSTAT'!BB173,'Comext mensuel - EUROSTAT'!BD173,'Comext mensuel - EUROSTAT'!BF173,'Comext mensuel - EUROSTAT'!BH173,'Comext mensuel - EUROSTAT'!BJ173,'Comext mensuel - EUROSTAT'!BL173,'Comext mensuel - EUROSTAT'!BN173,'Comext mensuel - EUROSTAT'!BP173,'Comext mensuel - EUROSTAT'!BR173,'Comext mensuel - EUROSTAT'!BT173,'Comext mensuel - EUROSTAT'!BV173)/10^4</f>
        <v>15.693076999999999</v>
      </c>
    </row>
    <row r="165" spans="1:16">
      <c r="A165" t="s">
        <v>172</v>
      </c>
      <c r="B165" t="s">
        <v>1001</v>
      </c>
      <c r="C165" s="693"/>
      <c r="D165" t="str">
        <f>'Comext annuel - EUROSTAT'!B174</f>
        <v>Couscous, cuit ou autrement préparé</v>
      </c>
      <c r="E165" s="86">
        <f>'Comext annuel - EUROSTAT'!C174/10^4</f>
        <v>1.3982019999999999</v>
      </c>
      <c r="F165" s="86">
        <f>'Comext annuel - EUROSTAT'!D174/10^4</f>
        <v>3.029156</v>
      </c>
      <c r="G165" s="86">
        <f>'Comext annuel - EUROSTAT'!E174/10^4</f>
        <v>2.9418599999999997</v>
      </c>
      <c r="H165" s="86">
        <f>'Comext annuel - EUROSTAT'!F174/10^4</f>
        <v>3.9891900000000002</v>
      </c>
      <c r="I165" s="86">
        <f>'Comext annuel - EUROSTAT'!G174/10^4</f>
        <v>1.1108069999999999</v>
      </c>
      <c r="J165" s="86">
        <f>'Comext annuel - EUROSTAT'!H174/10^4</f>
        <v>3.286575</v>
      </c>
      <c r="K165" s="86">
        <f>SUM('Comext mensuel - EUROSTAT'!C174,'Comext mensuel - EUROSTAT'!E174,'Comext mensuel - EUROSTAT'!G174,'Comext mensuel - EUROSTAT'!I174,'Comext mensuel - EUROSTAT'!K174,'Comext mensuel - EUROSTAT'!M174,'Comext mensuel - EUROSTAT'!O174,'Comext mensuel - EUROSTAT'!Q174,'Comext mensuel - EUROSTAT'!S174,'Comext mensuel - EUROSTAT'!U174,'Comext mensuel - EUROSTAT'!W174,'Comext mensuel - EUROSTAT'!Y174)/10^4</f>
        <v>2.4848299999999997</v>
      </c>
      <c r="L165" s="86">
        <f>SUM('Comext mensuel - EUROSTAT'!D174,'Comext mensuel - EUROSTAT'!F174,'Comext mensuel - EUROSTAT'!H174,'Comext mensuel - EUROSTAT'!J174,'Comext mensuel - EUROSTAT'!L174,'Comext mensuel - EUROSTAT'!N174,'Comext mensuel - EUROSTAT'!P174,'Comext mensuel - EUROSTAT'!R174,'Comext mensuel - EUROSTAT'!T174,'Comext mensuel - EUROSTAT'!V174,'Comext mensuel - EUROSTAT'!X174,'Comext mensuel - EUROSTAT'!Z174)/10^4</f>
        <v>2.89954</v>
      </c>
      <c r="M165" s="86">
        <f>SUM('Comext mensuel - EUROSTAT'!AA174,'Comext mensuel - EUROSTAT'!AC174,'Comext mensuel - EUROSTAT'!AE174,'Comext mensuel - EUROSTAT'!AG174,'Comext mensuel - EUROSTAT'!AI174,'Comext mensuel - EUROSTAT'!AK174,'Comext mensuel - EUROSTAT'!AM174,'Comext mensuel - EUROSTAT'!AO174,'Comext mensuel - EUROSTAT'!AQ174,'Comext mensuel - EUROSTAT'!AS174,'Comext mensuel - EUROSTAT'!AU174,'Comext mensuel - EUROSTAT'!AW174)/10^4</f>
        <v>2.3922279999999998</v>
      </c>
      <c r="N165" s="86">
        <f>SUM('Comext mensuel - EUROSTAT'!AB174,'Comext mensuel - EUROSTAT'!AD174,'Comext mensuel - EUROSTAT'!AF174,'Comext mensuel - EUROSTAT'!AH174,'Comext mensuel - EUROSTAT'!AJ174,'Comext mensuel - EUROSTAT'!AL174,'Comext mensuel - EUROSTAT'!AN174,'Comext mensuel - EUROSTAT'!AP174,'Comext mensuel - EUROSTAT'!AR174,'Comext mensuel - EUROSTAT'!AT174,'Comext mensuel - EUROSTAT'!AV174,'Comext mensuel - EUROSTAT'!AX174)/10^4</f>
        <v>4.065232</v>
      </c>
      <c r="O165" s="86">
        <f>SUM('Comext mensuel - EUROSTAT'!AY174,'Comext mensuel - EUROSTAT'!BA174,'Comext mensuel - EUROSTAT'!BC174,'Comext mensuel - EUROSTAT'!BE174,'Comext mensuel - EUROSTAT'!BG174,'Comext mensuel - EUROSTAT'!BI174,'Comext mensuel - EUROSTAT'!BK174,'Comext mensuel - EUROSTAT'!BM174,'Comext mensuel - EUROSTAT'!BO174,'Comext mensuel - EUROSTAT'!BQ174,'Comext mensuel - EUROSTAT'!BS174,'Comext mensuel - EUROSTAT'!BU174)/10^4</f>
        <v>1.1434790000000001</v>
      </c>
      <c r="P165" s="86">
        <f>SUM('Comext mensuel - EUROSTAT'!AZ174,'Comext mensuel - EUROSTAT'!BB174,'Comext mensuel - EUROSTAT'!BD174,'Comext mensuel - EUROSTAT'!BF174,'Comext mensuel - EUROSTAT'!BH174,'Comext mensuel - EUROSTAT'!BJ174,'Comext mensuel - EUROSTAT'!BL174,'Comext mensuel - EUROSTAT'!BN174,'Comext mensuel - EUROSTAT'!BP174,'Comext mensuel - EUROSTAT'!BR174,'Comext mensuel - EUROSTAT'!BT174,'Comext mensuel - EUROSTAT'!BV174)/10^4</f>
        <v>2.9687220000000001</v>
      </c>
    </row>
    <row r="166" spans="1:16">
      <c r="A166" t="s">
        <v>307</v>
      </c>
      <c r="C166" s="693" t="s">
        <v>996</v>
      </c>
      <c r="D166" t="str">
        <f>'Comext annuel - EUROSTAT'!B175</f>
        <v>Produits à base de maïs obtenus par soufflage ou grillage(1996-2500);Produits à base de maïs obtenus par soufflage ou grillage(1988-1995)</v>
      </c>
      <c r="E166" s="86">
        <f>'Comext annuel - EUROSTAT'!C175/10^4</f>
        <v>17.771170999999999</v>
      </c>
      <c r="F166" s="86">
        <f>'Comext annuel - EUROSTAT'!D175/10^4</f>
        <v>10.572458000000001</v>
      </c>
      <c r="G166" s="86">
        <f>'Comext annuel - EUROSTAT'!E175/10^4</f>
        <v>21.756057999999999</v>
      </c>
      <c r="H166" s="86">
        <f>'Comext annuel - EUROSTAT'!F175/10^4</f>
        <v>9.1778729999999999</v>
      </c>
      <c r="I166" s="86">
        <f>'Comext annuel - EUROSTAT'!G175/10^4</f>
        <v>25.605848000000002</v>
      </c>
      <c r="J166" s="86">
        <f>'Comext annuel - EUROSTAT'!H175/10^4</f>
        <v>9.3281489999999998</v>
      </c>
      <c r="K166" s="509">
        <f>SUM('Comext mensuel - EUROSTAT'!C175,'Comext mensuel - EUROSTAT'!E175,'Comext mensuel - EUROSTAT'!G175,'Comext mensuel - EUROSTAT'!I175,'Comext mensuel - EUROSTAT'!K175,'Comext mensuel - EUROSTAT'!M175,'Comext mensuel - EUROSTAT'!O175,'Comext mensuel - EUROSTAT'!Q175,'Comext mensuel - EUROSTAT'!S175,'Comext mensuel - EUROSTAT'!U175,'Comext mensuel - EUROSTAT'!W175,'Comext mensuel - EUROSTAT'!Y175)/10^4</f>
        <v>16.971596000000002</v>
      </c>
      <c r="L166" s="509">
        <f>SUM('Comext mensuel - EUROSTAT'!D175,'Comext mensuel - EUROSTAT'!F175,'Comext mensuel - EUROSTAT'!H175,'Comext mensuel - EUROSTAT'!J175,'Comext mensuel - EUROSTAT'!L175,'Comext mensuel - EUROSTAT'!N175,'Comext mensuel - EUROSTAT'!P175,'Comext mensuel - EUROSTAT'!R175,'Comext mensuel - EUROSTAT'!T175,'Comext mensuel - EUROSTAT'!V175,'Comext mensuel - EUROSTAT'!X175,'Comext mensuel - EUROSTAT'!Z175)/10^4</f>
        <v>10.093197999999999</v>
      </c>
      <c r="M166" s="509">
        <f>SUM('Comext mensuel - EUROSTAT'!AA175,'Comext mensuel - EUROSTAT'!AC175,'Comext mensuel - EUROSTAT'!AE175,'Comext mensuel - EUROSTAT'!AG175,'Comext mensuel - EUROSTAT'!AI175,'Comext mensuel - EUROSTAT'!AK175,'Comext mensuel - EUROSTAT'!AM175,'Comext mensuel - EUROSTAT'!AO175,'Comext mensuel - EUROSTAT'!AQ175,'Comext mensuel - EUROSTAT'!AS175,'Comext mensuel - EUROSTAT'!AU175,'Comext mensuel - EUROSTAT'!AW175)/10^4</f>
        <v>21.439291000000004</v>
      </c>
      <c r="N166" s="509">
        <f>SUM('Comext mensuel - EUROSTAT'!AB175,'Comext mensuel - EUROSTAT'!AD175,'Comext mensuel - EUROSTAT'!AF175,'Comext mensuel - EUROSTAT'!AH175,'Comext mensuel - EUROSTAT'!AJ175,'Comext mensuel - EUROSTAT'!AL175,'Comext mensuel - EUROSTAT'!AN175,'Comext mensuel - EUROSTAT'!AP175,'Comext mensuel - EUROSTAT'!AR175,'Comext mensuel - EUROSTAT'!AT175,'Comext mensuel - EUROSTAT'!AV175,'Comext mensuel - EUROSTAT'!AX175)/10^4</f>
        <v>9.1962850000000014</v>
      </c>
      <c r="O166" s="509">
        <f>SUM('Comext mensuel - EUROSTAT'!AY175,'Comext mensuel - EUROSTAT'!BA175,'Comext mensuel - EUROSTAT'!BC175,'Comext mensuel - EUROSTAT'!BE175,'Comext mensuel - EUROSTAT'!BG175,'Comext mensuel - EUROSTAT'!BI175,'Comext mensuel - EUROSTAT'!BK175,'Comext mensuel - EUROSTAT'!BM175,'Comext mensuel - EUROSTAT'!BO175,'Comext mensuel - EUROSTAT'!BQ175,'Comext mensuel - EUROSTAT'!BS175,'Comext mensuel - EUROSTAT'!BU175)/10^4</f>
        <v>21.316779999999998</v>
      </c>
      <c r="P166" s="509">
        <f>SUM('Comext mensuel - EUROSTAT'!AZ175,'Comext mensuel - EUROSTAT'!BB175,'Comext mensuel - EUROSTAT'!BD175,'Comext mensuel - EUROSTAT'!BF175,'Comext mensuel - EUROSTAT'!BH175,'Comext mensuel - EUROSTAT'!BJ175,'Comext mensuel - EUROSTAT'!BL175,'Comext mensuel - EUROSTAT'!BN175,'Comext mensuel - EUROSTAT'!BP175,'Comext mensuel - EUROSTAT'!BR175,'Comext mensuel - EUROSTAT'!BT175,'Comext mensuel - EUROSTAT'!BV175)/10^4</f>
        <v>8.759174999999999</v>
      </c>
    </row>
    <row r="167" spans="1:16">
      <c r="A167" t="s">
        <v>309</v>
      </c>
      <c r="C167" s="693"/>
      <c r="D167" t="str">
        <f>'Comext annuel - EUROSTAT'!B176</f>
        <v>Produits à base de riz obtenus par soufflage ou grillage(1996-2500);Produits à base de riz obtenus par soufflage ou grillage(1988-1995)</v>
      </c>
      <c r="E167" s="86">
        <f>'Comext annuel - EUROSTAT'!C176/10^4</f>
        <v>17.780435000000001</v>
      </c>
      <c r="F167" s="86">
        <f>'Comext annuel - EUROSTAT'!D176/10^4</f>
        <v>16.698239000000001</v>
      </c>
      <c r="G167" s="86">
        <f>'Comext annuel - EUROSTAT'!E176/10^4</f>
        <v>13.597454000000001</v>
      </c>
      <c r="H167" s="86">
        <f>'Comext annuel - EUROSTAT'!F176/10^4</f>
        <v>18.623957999999998</v>
      </c>
      <c r="I167" s="86">
        <f>'Comext annuel - EUROSTAT'!G176/10^4</f>
        <v>9.8983490000000014</v>
      </c>
      <c r="J167" s="86">
        <f>'Comext annuel - EUROSTAT'!H176/10^4</f>
        <v>25.37745</v>
      </c>
      <c r="K167" s="86">
        <f>SUM('Comext mensuel - EUROSTAT'!C176,'Comext mensuel - EUROSTAT'!E176,'Comext mensuel - EUROSTAT'!G176,'Comext mensuel - EUROSTAT'!I176,'Comext mensuel - EUROSTAT'!K176,'Comext mensuel - EUROSTAT'!M176,'Comext mensuel - EUROSTAT'!O176,'Comext mensuel - EUROSTAT'!Q176,'Comext mensuel - EUROSTAT'!S176,'Comext mensuel - EUROSTAT'!U176,'Comext mensuel - EUROSTAT'!W176,'Comext mensuel - EUROSTAT'!Y176)/10^4</f>
        <v>17.143164999999996</v>
      </c>
      <c r="L167" s="86">
        <f>SUM('Comext mensuel - EUROSTAT'!D176,'Comext mensuel - EUROSTAT'!F176,'Comext mensuel - EUROSTAT'!H176,'Comext mensuel - EUROSTAT'!J176,'Comext mensuel - EUROSTAT'!L176,'Comext mensuel - EUROSTAT'!N176,'Comext mensuel - EUROSTAT'!P176,'Comext mensuel - EUROSTAT'!R176,'Comext mensuel - EUROSTAT'!T176,'Comext mensuel - EUROSTAT'!V176,'Comext mensuel - EUROSTAT'!X176,'Comext mensuel - EUROSTAT'!Z176)/10^4</f>
        <v>17.258042</v>
      </c>
      <c r="M167" s="86">
        <f>SUM('Comext mensuel - EUROSTAT'!AA176,'Comext mensuel - EUROSTAT'!AC176,'Comext mensuel - EUROSTAT'!AE176,'Comext mensuel - EUROSTAT'!AG176,'Comext mensuel - EUROSTAT'!AI176,'Comext mensuel - EUROSTAT'!AK176,'Comext mensuel - EUROSTAT'!AM176,'Comext mensuel - EUROSTAT'!AO176,'Comext mensuel - EUROSTAT'!AQ176,'Comext mensuel - EUROSTAT'!AS176,'Comext mensuel - EUROSTAT'!AU176,'Comext mensuel - EUROSTAT'!AW176)/10^4</f>
        <v>13.447825</v>
      </c>
      <c r="N167" s="86">
        <f>SUM('Comext mensuel - EUROSTAT'!AB176,'Comext mensuel - EUROSTAT'!AD176,'Comext mensuel - EUROSTAT'!AF176,'Comext mensuel - EUROSTAT'!AH176,'Comext mensuel - EUROSTAT'!AJ176,'Comext mensuel - EUROSTAT'!AL176,'Comext mensuel - EUROSTAT'!AN176,'Comext mensuel - EUROSTAT'!AP176,'Comext mensuel - EUROSTAT'!AR176,'Comext mensuel - EUROSTAT'!AT176,'Comext mensuel - EUROSTAT'!AV176,'Comext mensuel - EUROSTAT'!AX176)/10^4</f>
        <v>19.537337000000001</v>
      </c>
      <c r="O167" s="86">
        <f>SUM('Comext mensuel - EUROSTAT'!AY176,'Comext mensuel - EUROSTAT'!BA176,'Comext mensuel - EUROSTAT'!BC176,'Comext mensuel - EUROSTAT'!BE176,'Comext mensuel - EUROSTAT'!BG176,'Comext mensuel - EUROSTAT'!BI176,'Comext mensuel - EUROSTAT'!BK176,'Comext mensuel - EUROSTAT'!BM176,'Comext mensuel - EUROSTAT'!BO176,'Comext mensuel - EUROSTAT'!BQ176,'Comext mensuel - EUROSTAT'!BS176,'Comext mensuel - EUROSTAT'!BU176)/10^4</f>
        <v>9.2018010000000015</v>
      </c>
      <c r="P167" s="86">
        <f>SUM('Comext mensuel - EUROSTAT'!AZ176,'Comext mensuel - EUROSTAT'!BB176,'Comext mensuel - EUROSTAT'!BD176,'Comext mensuel - EUROSTAT'!BF176,'Comext mensuel - EUROSTAT'!BH176,'Comext mensuel - EUROSTAT'!BJ176,'Comext mensuel - EUROSTAT'!BL176,'Comext mensuel - EUROSTAT'!BN176,'Comext mensuel - EUROSTAT'!BP176,'Comext mensuel - EUROSTAT'!BR176,'Comext mensuel - EUROSTAT'!BT176,'Comext mensuel - EUROSTAT'!BV176)/10^4</f>
        <v>25.203040999999999</v>
      </c>
    </row>
    <row r="168" spans="1:16">
      <c r="C168" s="693"/>
      <c r="D168" t="str">
        <f>'Comext annuel - EUROSTAT'!B177</f>
        <v>Produits à base de céréales obtenus par soufflage ou grillage (à l'excl. des produits à base de maïs ou de riz)(1996-2500);Produits à base de céréales obtenus par soufflage ou grillage (à l'excl. des produits à base de maïs ou de riz)(1988-1995)</v>
      </c>
      <c r="E168" s="86">
        <f>'Comext annuel - EUROSTAT'!C177/10^4</f>
        <v>55.474392000000002</v>
      </c>
      <c r="F168" s="86">
        <f>'Comext annuel - EUROSTAT'!D177/10^4</f>
        <v>76.831331000000006</v>
      </c>
      <c r="G168" s="86">
        <f>'Comext annuel - EUROSTAT'!E177/10^4</f>
        <v>60.654522</v>
      </c>
      <c r="H168" s="86">
        <f>'Comext annuel - EUROSTAT'!F177/10^4</f>
        <v>64.350712000000001</v>
      </c>
      <c r="I168" s="86">
        <f>'Comext annuel - EUROSTAT'!G177/10^4</f>
        <v>64.073071999999996</v>
      </c>
      <c r="J168" s="86">
        <f>'Comext annuel - EUROSTAT'!H177/10^4</f>
        <v>72.126191000000006</v>
      </c>
      <c r="K168" s="86">
        <f>SUM('Comext mensuel - EUROSTAT'!C177,'Comext mensuel - EUROSTAT'!E177,'Comext mensuel - EUROSTAT'!G177,'Comext mensuel - EUROSTAT'!I177,'Comext mensuel - EUROSTAT'!K177,'Comext mensuel - EUROSTAT'!M177,'Comext mensuel - EUROSTAT'!O177,'Comext mensuel - EUROSTAT'!Q177,'Comext mensuel - EUROSTAT'!S177,'Comext mensuel - EUROSTAT'!U177,'Comext mensuel - EUROSTAT'!W177,'Comext mensuel - EUROSTAT'!Y177)/10^4</f>
        <v>55.514317999999996</v>
      </c>
      <c r="L168" s="86">
        <f>SUM('Comext mensuel - EUROSTAT'!D177,'Comext mensuel - EUROSTAT'!F177,'Comext mensuel - EUROSTAT'!H177,'Comext mensuel - EUROSTAT'!J177,'Comext mensuel - EUROSTAT'!L177,'Comext mensuel - EUROSTAT'!N177,'Comext mensuel - EUROSTAT'!P177,'Comext mensuel - EUROSTAT'!R177,'Comext mensuel - EUROSTAT'!T177,'Comext mensuel - EUROSTAT'!V177,'Comext mensuel - EUROSTAT'!X177,'Comext mensuel - EUROSTAT'!Z177)/10^4</f>
        <v>74.916577000000018</v>
      </c>
      <c r="M168" s="86">
        <f>SUM('Comext mensuel - EUROSTAT'!AA177,'Comext mensuel - EUROSTAT'!AC177,'Comext mensuel - EUROSTAT'!AE177,'Comext mensuel - EUROSTAT'!AG177,'Comext mensuel - EUROSTAT'!AI177,'Comext mensuel - EUROSTAT'!AK177,'Comext mensuel - EUROSTAT'!AM177,'Comext mensuel - EUROSTAT'!AO177,'Comext mensuel - EUROSTAT'!AQ177,'Comext mensuel - EUROSTAT'!AS177,'Comext mensuel - EUROSTAT'!AU177,'Comext mensuel - EUROSTAT'!AW177)/10^4</f>
        <v>64.238323000000008</v>
      </c>
      <c r="N168" s="86">
        <f>SUM('Comext mensuel - EUROSTAT'!AB177,'Comext mensuel - EUROSTAT'!AD177,'Comext mensuel - EUROSTAT'!AF177,'Comext mensuel - EUROSTAT'!AH177,'Comext mensuel - EUROSTAT'!AJ177,'Comext mensuel - EUROSTAT'!AL177,'Comext mensuel - EUROSTAT'!AN177,'Comext mensuel - EUROSTAT'!AP177,'Comext mensuel - EUROSTAT'!AR177,'Comext mensuel - EUROSTAT'!AT177,'Comext mensuel - EUROSTAT'!AV177,'Comext mensuel - EUROSTAT'!AX177)/10^4</f>
        <v>69.658990000000003</v>
      </c>
      <c r="O168" s="86">
        <f>SUM('Comext mensuel - EUROSTAT'!AY177,'Comext mensuel - EUROSTAT'!BA177,'Comext mensuel - EUROSTAT'!BC177,'Comext mensuel - EUROSTAT'!BE177,'Comext mensuel - EUROSTAT'!BG177,'Comext mensuel - EUROSTAT'!BI177,'Comext mensuel - EUROSTAT'!BK177,'Comext mensuel - EUROSTAT'!BM177,'Comext mensuel - EUROSTAT'!BO177,'Comext mensuel - EUROSTAT'!BQ177,'Comext mensuel - EUROSTAT'!BS177,'Comext mensuel - EUROSTAT'!BU177)/10^4</f>
        <v>59.28220499999999</v>
      </c>
      <c r="P168" s="86">
        <f>SUM('Comext mensuel - EUROSTAT'!AZ177,'Comext mensuel - EUROSTAT'!BB177,'Comext mensuel - EUROSTAT'!BD177,'Comext mensuel - EUROSTAT'!BF177,'Comext mensuel - EUROSTAT'!BH177,'Comext mensuel - EUROSTAT'!BJ177,'Comext mensuel - EUROSTAT'!BL177,'Comext mensuel - EUROSTAT'!BN177,'Comext mensuel - EUROSTAT'!BP177,'Comext mensuel - EUROSTAT'!BR177,'Comext mensuel - EUROSTAT'!BT177,'Comext mensuel - EUROSTAT'!BV177)/10^4</f>
        <v>67.751615000000001</v>
      </c>
    </row>
    <row r="169" spans="1:16">
      <c r="D169" t="str">
        <f>'Comext annuel - EUROSTAT'!B178</f>
        <v>Préparations du type 'Müsli' à base de flocons de céréales non grillés</v>
      </c>
      <c r="E169" s="86">
        <f>'Comext annuel - EUROSTAT'!C178/10^4</f>
        <v>14.316008999999999</v>
      </c>
      <c r="F169" s="86">
        <f>'Comext annuel - EUROSTAT'!D178/10^4</f>
        <v>5.6291789999999997</v>
      </c>
      <c r="G169" s="86">
        <f>'Comext annuel - EUROSTAT'!E178/10^4</f>
        <v>14.494234000000001</v>
      </c>
      <c r="H169" s="86">
        <f>'Comext annuel - EUROSTAT'!F178/10^4</f>
        <v>5.0656870000000005</v>
      </c>
      <c r="I169" s="86">
        <f>'Comext annuel - EUROSTAT'!G178/10^4</f>
        <v>13.943564000000002</v>
      </c>
      <c r="J169" s="86">
        <f>'Comext annuel - EUROSTAT'!H178/10^4</f>
        <v>3.1087569999999998</v>
      </c>
      <c r="K169" s="86">
        <f>SUM('Comext mensuel - EUROSTAT'!C178,'Comext mensuel - EUROSTAT'!E178,'Comext mensuel - EUROSTAT'!G178,'Comext mensuel - EUROSTAT'!I178,'Comext mensuel - EUROSTAT'!K178,'Comext mensuel - EUROSTAT'!M178,'Comext mensuel - EUROSTAT'!O178,'Comext mensuel - EUROSTAT'!Q178,'Comext mensuel - EUROSTAT'!S178,'Comext mensuel - EUROSTAT'!U178,'Comext mensuel - EUROSTAT'!W178,'Comext mensuel - EUROSTAT'!Y178)/10^4</f>
        <v>15.085780999999999</v>
      </c>
      <c r="L169" s="86">
        <f>SUM('Comext mensuel - EUROSTAT'!D178,'Comext mensuel - EUROSTAT'!F178,'Comext mensuel - EUROSTAT'!H178,'Comext mensuel - EUROSTAT'!J178,'Comext mensuel - EUROSTAT'!L178,'Comext mensuel - EUROSTAT'!N178,'Comext mensuel - EUROSTAT'!P178,'Comext mensuel - EUROSTAT'!R178,'Comext mensuel - EUROSTAT'!T178,'Comext mensuel - EUROSTAT'!V178,'Comext mensuel - EUROSTAT'!X178,'Comext mensuel - EUROSTAT'!Z178)/10^4</f>
        <v>5.6155680000000006</v>
      </c>
      <c r="M169" s="86">
        <f>SUM('Comext mensuel - EUROSTAT'!AA178,'Comext mensuel - EUROSTAT'!AC178,'Comext mensuel - EUROSTAT'!AE178,'Comext mensuel - EUROSTAT'!AG178,'Comext mensuel - EUROSTAT'!AI178,'Comext mensuel - EUROSTAT'!AK178,'Comext mensuel - EUROSTAT'!AM178,'Comext mensuel - EUROSTAT'!AO178,'Comext mensuel - EUROSTAT'!AQ178,'Comext mensuel - EUROSTAT'!AS178,'Comext mensuel - EUROSTAT'!AU178,'Comext mensuel - EUROSTAT'!AW178)/10^4</f>
        <v>15.571552000000002</v>
      </c>
      <c r="N169" s="86">
        <f>SUM('Comext mensuel - EUROSTAT'!AB178,'Comext mensuel - EUROSTAT'!AD178,'Comext mensuel - EUROSTAT'!AF178,'Comext mensuel - EUROSTAT'!AH178,'Comext mensuel - EUROSTAT'!AJ178,'Comext mensuel - EUROSTAT'!AL178,'Comext mensuel - EUROSTAT'!AN178,'Comext mensuel - EUROSTAT'!AP178,'Comext mensuel - EUROSTAT'!AR178,'Comext mensuel - EUROSTAT'!AT178,'Comext mensuel - EUROSTAT'!AV178,'Comext mensuel - EUROSTAT'!AX178)/10^4</f>
        <v>4.6181900000000002</v>
      </c>
      <c r="O169" s="86">
        <f>SUM('Comext mensuel - EUROSTAT'!AY178,'Comext mensuel - EUROSTAT'!BA178,'Comext mensuel - EUROSTAT'!BC178,'Comext mensuel - EUROSTAT'!BE178,'Comext mensuel - EUROSTAT'!BG178,'Comext mensuel - EUROSTAT'!BI178,'Comext mensuel - EUROSTAT'!BK178,'Comext mensuel - EUROSTAT'!BM178,'Comext mensuel - EUROSTAT'!BO178,'Comext mensuel - EUROSTAT'!BQ178,'Comext mensuel - EUROSTAT'!BS178,'Comext mensuel - EUROSTAT'!BU178)/10^4</f>
        <v>13.956745000000002</v>
      </c>
      <c r="P169" s="86">
        <f>SUM('Comext mensuel - EUROSTAT'!AZ178,'Comext mensuel - EUROSTAT'!BB178,'Comext mensuel - EUROSTAT'!BD178,'Comext mensuel - EUROSTAT'!BF178,'Comext mensuel - EUROSTAT'!BH178,'Comext mensuel - EUROSTAT'!BJ178,'Comext mensuel - EUROSTAT'!BL178,'Comext mensuel - EUROSTAT'!BN178,'Comext mensuel - EUROSTAT'!BP178,'Comext mensuel - EUROSTAT'!BR178,'Comext mensuel - EUROSTAT'!BT178,'Comext mensuel - EUROSTAT'!BV178)/10^4</f>
        <v>2.7812109999999999</v>
      </c>
    </row>
    <row r="170" spans="1:16">
      <c r="A170" t="s">
        <v>307</v>
      </c>
      <c r="C170" s="693" t="s">
        <v>997</v>
      </c>
      <c r="D170" t="str">
        <f>'Comext annuel - EUROSTAT'!B179</f>
        <v>Préparations alimentaires obtenues à partir de flocons de céréales non grillés ou de mélanges de flocons de céréales grillés et non grillés ou de céréales soufflées, à base de maïs (à l'excl. des préparations du type 'Müsli' à base de flocons de céréales non grillés)</v>
      </c>
      <c r="E170" s="86">
        <f>'Comext annuel - EUROSTAT'!C179/10^4</f>
        <v>2.3525689999999999</v>
      </c>
      <c r="F170" s="86">
        <f>'Comext annuel - EUROSTAT'!D179/10^4</f>
        <v>0.327291</v>
      </c>
      <c r="G170" s="86">
        <f>'Comext annuel - EUROSTAT'!E179/10^4</f>
        <v>0.16477800000000001</v>
      </c>
      <c r="H170" s="86">
        <f>'Comext annuel - EUROSTAT'!F179/10^4</f>
        <v>0.23385400000000001</v>
      </c>
      <c r="I170" s="86">
        <f>'Comext annuel - EUROSTAT'!G179/10^4</f>
        <v>0.128141</v>
      </c>
      <c r="J170" s="86">
        <f>'Comext annuel - EUROSTAT'!H179/10^4</f>
        <v>0.37775399999999998</v>
      </c>
      <c r="K170" s="86">
        <f>SUM('Comext mensuel - EUROSTAT'!C179,'Comext mensuel - EUROSTAT'!E179,'Comext mensuel - EUROSTAT'!G179,'Comext mensuel - EUROSTAT'!I179,'Comext mensuel - EUROSTAT'!K179,'Comext mensuel - EUROSTAT'!M179,'Comext mensuel - EUROSTAT'!O179,'Comext mensuel - EUROSTAT'!Q179,'Comext mensuel - EUROSTAT'!S179,'Comext mensuel - EUROSTAT'!U179,'Comext mensuel - EUROSTAT'!W179,'Comext mensuel - EUROSTAT'!Y179)/10^4</f>
        <v>0.56987300000000007</v>
      </c>
      <c r="L170" s="86">
        <f>SUM('Comext mensuel - EUROSTAT'!D179,'Comext mensuel - EUROSTAT'!F179,'Comext mensuel - EUROSTAT'!H179,'Comext mensuel - EUROSTAT'!J179,'Comext mensuel - EUROSTAT'!L179,'Comext mensuel - EUROSTAT'!N179,'Comext mensuel - EUROSTAT'!P179,'Comext mensuel - EUROSTAT'!R179,'Comext mensuel - EUROSTAT'!T179,'Comext mensuel - EUROSTAT'!V179,'Comext mensuel - EUROSTAT'!X179,'Comext mensuel - EUROSTAT'!Z179)/10^4</f>
        <v>0.58556000000000008</v>
      </c>
      <c r="M170" s="86">
        <f>SUM('Comext mensuel - EUROSTAT'!AA179,'Comext mensuel - EUROSTAT'!AC179,'Comext mensuel - EUROSTAT'!AE179,'Comext mensuel - EUROSTAT'!AG179,'Comext mensuel - EUROSTAT'!AI179,'Comext mensuel - EUROSTAT'!AK179,'Comext mensuel - EUROSTAT'!AM179,'Comext mensuel - EUROSTAT'!AO179,'Comext mensuel - EUROSTAT'!AQ179,'Comext mensuel - EUROSTAT'!AS179,'Comext mensuel - EUROSTAT'!AU179,'Comext mensuel - EUROSTAT'!AW179)/10^4</f>
        <v>0.15904699999999997</v>
      </c>
      <c r="N170" s="86">
        <f>SUM('Comext mensuel - EUROSTAT'!AB179,'Comext mensuel - EUROSTAT'!AD179,'Comext mensuel - EUROSTAT'!AF179,'Comext mensuel - EUROSTAT'!AH179,'Comext mensuel - EUROSTAT'!AJ179,'Comext mensuel - EUROSTAT'!AL179,'Comext mensuel - EUROSTAT'!AN179,'Comext mensuel - EUROSTAT'!AP179,'Comext mensuel - EUROSTAT'!AR179,'Comext mensuel - EUROSTAT'!AT179,'Comext mensuel - EUROSTAT'!AV179,'Comext mensuel - EUROSTAT'!AX179)/10^4</f>
        <v>0.19357800000000003</v>
      </c>
      <c r="O170" s="86">
        <f>SUM('Comext mensuel - EUROSTAT'!AY179,'Comext mensuel - EUROSTAT'!BA179,'Comext mensuel - EUROSTAT'!BC179,'Comext mensuel - EUROSTAT'!BE179,'Comext mensuel - EUROSTAT'!BG179,'Comext mensuel - EUROSTAT'!BI179,'Comext mensuel - EUROSTAT'!BK179,'Comext mensuel - EUROSTAT'!BM179,'Comext mensuel - EUROSTAT'!BO179,'Comext mensuel - EUROSTAT'!BQ179,'Comext mensuel - EUROSTAT'!BS179,'Comext mensuel - EUROSTAT'!BU179)/10^4</f>
        <v>0.13407100000000002</v>
      </c>
      <c r="P170" s="86">
        <f>SUM('Comext mensuel - EUROSTAT'!AZ179,'Comext mensuel - EUROSTAT'!BB179,'Comext mensuel - EUROSTAT'!BD179,'Comext mensuel - EUROSTAT'!BF179,'Comext mensuel - EUROSTAT'!BH179,'Comext mensuel - EUROSTAT'!BJ179,'Comext mensuel - EUROSTAT'!BL179,'Comext mensuel - EUROSTAT'!BN179,'Comext mensuel - EUROSTAT'!BP179,'Comext mensuel - EUROSTAT'!BR179,'Comext mensuel - EUROSTAT'!BT179,'Comext mensuel - EUROSTAT'!BV179)/10^4</f>
        <v>0.41648199999999996</v>
      </c>
    </row>
    <row r="171" spans="1:16">
      <c r="A171" t="s">
        <v>309</v>
      </c>
      <c r="C171" s="693"/>
      <c r="D171" t="str">
        <f>'Comext annuel - EUROSTAT'!B180</f>
        <v>Préparations alimentaires obtenues à partir de flocons de céréales non grillés ou de mélanges de flocons de céréales grillés et non grillés ou de céréales soufflées, à base de riz (à l'excl. des préparations du type 'Müsli' à base de flocons de céréales non grillés)</v>
      </c>
      <c r="E171" s="86">
        <f>'Comext annuel - EUROSTAT'!C180/10^4</f>
        <v>0.78217799999999993</v>
      </c>
      <c r="F171" s="86">
        <f>'Comext annuel - EUROSTAT'!D180/10^4</f>
        <v>0.28242800000000001</v>
      </c>
      <c r="G171" s="86">
        <f>'Comext annuel - EUROSTAT'!E180/10^4</f>
        <v>8.8372000000000006E-2</v>
      </c>
      <c r="H171" s="86">
        <f>'Comext annuel - EUROSTAT'!F180/10^4</f>
        <v>0.40988900000000006</v>
      </c>
      <c r="I171" s="86">
        <f>'Comext annuel - EUROSTAT'!G180/10^4</f>
        <v>0.191858</v>
      </c>
      <c r="J171" s="86">
        <f>'Comext annuel - EUROSTAT'!H180/10^4</f>
        <v>0.35046900000000003</v>
      </c>
      <c r="K171" s="86">
        <f>SUM('Comext mensuel - EUROSTAT'!C180,'Comext mensuel - EUROSTAT'!E180,'Comext mensuel - EUROSTAT'!G180,'Comext mensuel - EUROSTAT'!I180,'Comext mensuel - EUROSTAT'!K180,'Comext mensuel - EUROSTAT'!M180,'Comext mensuel - EUROSTAT'!O180,'Comext mensuel - EUROSTAT'!Q180,'Comext mensuel - EUROSTAT'!S180,'Comext mensuel - EUROSTAT'!U180,'Comext mensuel - EUROSTAT'!W180,'Comext mensuel - EUROSTAT'!Y180)/10^4</f>
        <v>0.83917200000000014</v>
      </c>
      <c r="L171" s="86">
        <f>SUM('Comext mensuel - EUROSTAT'!D180,'Comext mensuel - EUROSTAT'!F180,'Comext mensuel - EUROSTAT'!H180,'Comext mensuel - EUROSTAT'!J180,'Comext mensuel - EUROSTAT'!L180,'Comext mensuel - EUROSTAT'!N180,'Comext mensuel - EUROSTAT'!P180,'Comext mensuel - EUROSTAT'!R180,'Comext mensuel - EUROSTAT'!T180,'Comext mensuel - EUROSTAT'!V180,'Comext mensuel - EUROSTAT'!X180,'Comext mensuel - EUROSTAT'!Z180)/10^4</f>
        <v>0.33455599999999996</v>
      </c>
      <c r="M171" s="86">
        <f>SUM('Comext mensuel - EUROSTAT'!AA180,'Comext mensuel - EUROSTAT'!AC180,'Comext mensuel - EUROSTAT'!AE180,'Comext mensuel - EUROSTAT'!AG180,'Comext mensuel - EUROSTAT'!AI180,'Comext mensuel - EUROSTAT'!AK180,'Comext mensuel - EUROSTAT'!AM180,'Comext mensuel - EUROSTAT'!AO180,'Comext mensuel - EUROSTAT'!AQ180,'Comext mensuel - EUROSTAT'!AS180,'Comext mensuel - EUROSTAT'!AU180,'Comext mensuel - EUROSTAT'!AW180)/10^4</f>
        <v>8.4034000000000011E-2</v>
      </c>
      <c r="N171" s="86">
        <f>SUM('Comext mensuel - EUROSTAT'!AB180,'Comext mensuel - EUROSTAT'!AD180,'Comext mensuel - EUROSTAT'!AF180,'Comext mensuel - EUROSTAT'!AH180,'Comext mensuel - EUROSTAT'!AJ180,'Comext mensuel - EUROSTAT'!AL180,'Comext mensuel - EUROSTAT'!AN180,'Comext mensuel - EUROSTAT'!AP180,'Comext mensuel - EUROSTAT'!AR180,'Comext mensuel - EUROSTAT'!AT180,'Comext mensuel - EUROSTAT'!AV180,'Comext mensuel - EUROSTAT'!AX180)/10^4</f>
        <v>0.46836299999999992</v>
      </c>
      <c r="O171" s="86">
        <f>SUM('Comext mensuel - EUROSTAT'!AY180,'Comext mensuel - EUROSTAT'!BA180,'Comext mensuel - EUROSTAT'!BC180,'Comext mensuel - EUROSTAT'!BE180,'Comext mensuel - EUROSTAT'!BG180,'Comext mensuel - EUROSTAT'!BI180,'Comext mensuel - EUROSTAT'!BK180,'Comext mensuel - EUROSTAT'!BM180,'Comext mensuel - EUROSTAT'!BO180,'Comext mensuel - EUROSTAT'!BQ180,'Comext mensuel - EUROSTAT'!BS180,'Comext mensuel - EUROSTAT'!BU180)/10^4</f>
        <v>0.26466499999999998</v>
      </c>
      <c r="P171" s="86">
        <f>SUM('Comext mensuel - EUROSTAT'!AZ180,'Comext mensuel - EUROSTAT'!BB180,'Comext mensuel - EUROSTAT'!BD180,'Comext mensuel - EUROSTAT'!BF180,'Comext mensuel - EUROSTAT'!BH180,'Comext mensuel - EUROSTAT'!BJ180,'Comext mensuel - EUROSTAT'!BL180,'Comext mensuel - EUROSTAT'!BN180,'Comext mensuel - EUROSTAT'!BP180,'Comext mensuel - EUROSTAT'!BR180,'Comext mensuel - EUROSTAT'!BT180,'Comext mensuel - EUROSTAT'!BV180)/10^4</f>
        <v>0.23326799999999998</v>
      </c>
    </row>
    <row r="172" spans="1:16">
      <c r="C172" s="693"/>
      <c r="D172" t="str">
        <f>'Comext annuel - EUROSTAT'!B181</f>
        <v>Préparations alimentaires obtenues à partir de flocons de céréales non grillés ou de mélanges de flocons de céréales grillés et non grillés ou de céréales soufflées (à l'excl. des préparations à base de maïs ou de riz ainsi que des préparations du type 'Müsli' à base de flocons de céréales non grillés)</v>
      </c>
      <c r="E172" s="86">
        <f>'Comext annuel - EUROSTAT'!C181/10^4</f>
        <v>4.4568300000000001</v>
      </c>
      <c r="F172" s="86">
        <f>'Comext annuel - EUROSTAT'!D181/10^4</f>
        <v>1.57396</v>
      </c>
      <c r="G172" s="86">
        <f>'Comext annuel - EUROSTAT'!E181/10^4</f>
        <v>6.1434280000000001</v>
      </c>
      <c r="H172" s="86">
        <f>'Comext annuel - EUROSTAT'!F181/10^4</f>
        <v>5.4008690000000001</v>
      </c>
      <c r="I172" s="86">
        <f>'Comext annuel - EUROSTAT'!G181/10^4</f>
        <v>11.155705000000001</v>
      </c>
      <c r="J172" s="86">
        <f>'Comext annuel - EUROSTAT'!H181/10^4</f>
        <v>2.003555</v>
      </c>
      <c r="K172" s="86">
        <f>SUM('Comext mensuel - EUROSTAT'!C181,'Comext mensuel - EUROSTAT'!E181,'Comext mensuel - EUROSTAT'!G181,'Comext mensuel - EUROSTAT'!I181,'Comext mensuel - EUROSTAT'!K181,'Comext mensuel - EUROSTAT'!M181,'Comext mensuel - EUROSTAT'!O181,'Comext mensuel - EUROSTAT'!Q181,'Comext mensuel - EUROSTAT'!S181,'Comext mensuel - EUROSTAT'!U181,'Comext mensuel - EUROSTAT'!W181,'Comext mensuel - EUROSTAT'!Y181)/10^4</f>
        <v>4.9790269999999985</v>
      </c>
      <c r="L172" s="86">
        <f>SUM('Comext mensuel - EUROSTAT'!D181,'Comext mensuel - EUROSTAT'!F181,'Comext mensuel - EUROSTAT'!H181,'Comext mensuel - EUROSTAT'!J181,'Comext mensuel - EUROSTAT'!L181,'Comext mensuel - EUROSTAT'!N181,'Comext mensuel - EUROSTAT'!P181,'Comext mensuel - EUROSTAT'!R181,'Comext mensuel - EUROSTAT'!T181,'Comext mensuel - EUROSTAT'!V181,'Comext mensuel - EUROSTAT'!X181,'Comext mensuel - EUROSTAT'!Z181)/10^4</f>
        <v>1.663138</v>
      </c>
      <c r="M172" s="86">
        <f>SUM('Comext mensuel - EUROSTAT'!AA181,'Comext mensuel - EUROSTAT'!AC181,'Comext mensuel - EUROSTAT'!AE181,'Comext mensuel - EUROSTAT'!AG181,'Comext mensuel - EUROSTAT'!AI181,'Comext mensuel - EUROSTAT'!AK181,'Comext mensuel - EUROSTAT'!AM181,'Comext mensuel - EUROSTAT'!AO181,'Comext mensuel - EUROSTAT'!AQ181,'Comext mensuel - EUROSTAT'!AS181,'Comext mensuel - EUROSTAT'!AU181,'Comext mensuel - EUROSTAT'!AW181)/10^4</f>
        <v>6.1095739999999994</v>
      </c>
      <c r="N172" s="86">
        <f>SUM('Comext mensuel - EUROSTAT'!AB181,'Comext mensuel - EUROSTAT'!AD181,'Comext mensuel - EUROSTAT'!AF181,'Comext mensuel - EUROSTAT'!AH181,'Comext mensuel - EUROSTAT'!AJ181,'Comext mensuel - EUROSTAT'!AL181,'Comext mensuel - EUROSTAT'!AN181,'Comext mensuel - EUROSTAT'!AP181,'Comext mensuel - EUROSTAT'!AR181,'Comext mensuel - EUROSTAT'!AT181,'Comext mensuel - EUROSTAT'!AV181,'Comext mensuel - EUROSTAT'!AX181)/10^4</f>
        <v>5.8971199999999993</v>
      </c>
      <c r="O172" s="86">
        <f>SUM('Comext mensuel - EUROSTAT'!AY181,'Comext mensuel - EUROSTAT'!BA181,'Comext mensuel - EUROSTAT'!BC181,'Comext mensuel - EUROSTAT'!BE181,'Comext mensuel - EUROSTAT'!BG181,'Comext mensuel - EUROSTAT'!BI181,'Comext mensuel - EUROSTAT'!BK181,'Comext mensuel - EUROSTAT'!BM181,'Comext mensuel - EUROSTAT'!BO181,'Comext mensuel - EUROSTAT'!BQ181,'Comext mensuel - EUROSTAT'!BS181,'Comext mensuel - EUROSTAT'!BU181)/10^4</f>
        <v>11.097363</v>
      </c>
      <c r="P172" s="86">
        <f>SUM('Comext mensuel - EUROSTAT'!AZ181,'Comext mensuel - EUROSTAT'!BB181,'Comext mensuel - EUROSTAT'!BD181,'Comext mensuel - EUROSTAT'!BF181,'Comext mensuel - EUROSTAT'!BH181,'Comext mensuel - EUROSTAT'!BJ181,'Comext mensuel - EUROSTAT'!BL181,'Comext mensuel - EUROSTAT'!BN181,'Comext mensuel - EUROSTAT'!BP181,'Comext mensuel - EUROSTAT'!BR181,'Comext mensuel - EUROSTAT'!BT181,'Comext mensuel - EUROSTAT'!BV181)/10^4</f>
        <v>2.126843</v>
      </c>
    </row>
    <row r="173" spans="1:16">
      <c r="A173" t="s">
        <v>172</v>
      </c>
      <c r="B173" t="s">
        <v>999</v>
      </c>
      <c r="C173" s="693" t="s">
        <v>998</v>
      </c>
      <c r="D173" t="str">
        <f>'Comext annuel - EUROSTAT'!B182</f>
        <v>Bulgur de blé sous forme de grains travaillés, obtenu par cuisson des grains de blé dur</v>
      </c>
      <c r="E173" s="86">
        <f>'Comext annuel - EUROSTAT'!C182/10^4</f>
        <v>4.4316580000000005</v>
      </c>
      <c r="F173" s="86">
        <f>'Comext annuel - EUROSTAT'!D182/10^4</f>
        <v>2.3749990000000003</v>
      </c>
      <c r="G173" s="86">
        <f>'Comext annuel - EUROSTAT'!E182/10^4</f>
        <v>6.8895580000000001</v>
      </c>
      <c r="H173" s="86">
        <f>'Comext annuel - EUROSTAT'!F182/10^4</f>
        <v>2.5882130000000001</v>
      </c>
      <c r="I173" s="86">
        <f>'Comext annuel - EUROSTAT'!G182/10^4</f>
        <v>10.318037</v>
      </c>
      <c r="J173" s="86">
        <f>'Comext annuel - EUROSTAT'!H182/10^4</f>
        <v>1.467611</v>
      </c>
      <c r="K173" s="86">
        <f>SUM('Comext mensuel - EUROSTAT'!C182,'Comext mensuel - EUROSTAT'!E182,'Comext mensuel - EUROSTAT'!G182,'Comext mensuel - EUROSTAT'!I182,'Comext mensuel - EUROSTAT'!K182,'Comext mensuel - EUROSTAT'!M182,'Comext mensuel - EUROSTAT'!O182,'Comext mensuel - EUROSTAT'!Q182,'Comext mensuel - EUROSTAT'!S182,'Comext mensuel - EUROSTAT'!U182,'Comext mensuel - EUROSTAT'!W182,'Comext mensuel - EUROSTAT'!Y182)/10^4</f>
        <v>5.1510610000000003</v>
      </c>
      <c r="L173" s="86">
        <f>SUM('Comext mensuel - EUROSTAT'!D182,'Comext mensuel - EUROSTAT'!F182,'Comext mensuel - EUROSTAT'!H182,'Comext mensuel - EUROSTAT'!J182,'Comext mensuel - EUROSTAT'!L182,'Comext mensuel - EUROSTAT'!N182,'Comext mensuel - EUROSTAT'!P182,'Comext mensuel - EUROSTAT'!R182,'Comext mensuel - EUROSTAT'!T182,'Comext mensuel - EUROSTAT'!V182,'Comext mensuel - EUROSTAT'!X182,'Comext mensuel - EUROSTAT'!Z182)/10^4</f>
        <v>2.7638889999999998</v>
      </c>
      <c r="M173" s="86">
        <f>SUM('Comext mensuel - EUROSTAT'!AA182,'Comext mensuel - EUROSTAT'!AC182,'Comext mensuel - EUROSTAT'!AE182,'Comext mensuel - EUROSTAT'!AG182,'Comext mensuel - EUROSTAT'!AI182,'Comext mensuel - EUROSTAT'!AK182,'Comext mensuel - EUROSTAT'!AM182,'Comext mensuel - EUROSTAT'!AO182,'Comext mensuel - EUROSTAT'!AQ182,'Comext mensuel - EUROSTAT'!AS182,'Comext mensuel - EUROSTAT'!AU182,'Comext mensuel - EUROSTAT'!AW182)/10^4</f>
        <v>7.2872110000000001</v>
      </c>
      <c r="N173" s="86">
        <f>SUM('Comext mensuel - EUROSTAT'!AB182,'Comext mensuel - EUROSTAT'!AD182,'Comext mensuel - EUROSTAT'!AF182,'Comext mensuel - EUROSTAT'!AH182,'Comext mensuel - EUROSTAT'!AJ182,'Comext mensuel - EUROSTAT'!AL182,'Comext mensuel - EUROSTAT'!AN182,'Comext mensuel - EUROSTAT'!AP182,'Comext mensuel - EUROSTAT'!AR182,'Comext mensuel - EUROSTAT'!AT182,'Comext mensuel - EUROSTAT'!AV182,'Comext mensuel - EUROSTAT'!AX182)/10^4</f>
        <v>2.6900899999999996</v>
      </c>
      <c r="O173" s="86">
        <f>SUM('Comext mensuel - EUROSTAT'!AY182,'Comext mensuel - EUROSTAT'!BA182,'Comext mensuel - EUROSTAT'!BC182,'Comext mensuel - EUROSTAT'!BE182,'Comext mensuel - EUROSTAT'!BG182,'Comext mensuel - EUROSTAT'!BI182,'Comext mensuel - EUROSTAT'!BK182,'Comext mensuel - EUROSTAT'!BM182,'Comext mensuel - EUROSTAT'!BO182,'Comext mensuel - EUROSTAT'!BQ182,'Comext mensuel - EUROSTAT'!BS182,'Comext mensuel - EUROSTAT'!BU182)/10^4</f>
        <v>8.4998520000000006</v>
      </c>
      <c r="P173" s="86">
        <f>SUM('Comext mensuel - EUROSTAT'!AZ182,'Comext mensuel - EUROSTAT'!BB182,'Comext mensuel - EUROSTAT'!BD182,'Comext mensuel - EUROSTAT'!BF182,'Comext mensuel - EUROSTAT'!BH182,'Comext mensuel - EUROSTAT'!BJ182,'Comext mensuel - EUROSTAT'!BL182,'Comext mensuel - EUROSTAT'!BN182,'Comext mensuel - EUROSTAT'!BP182,'Comext mensuel - EUROSTAT'!BR182,'Comext mensuel - EUROSTAT'!BT182,'Comext mensuel - EUROSTAT'!BV182)/10^4</f>
        <v>1.612471</v>
      </c>
    </row>
    <row r="174" spans="1:16">
      <c r="A174" t="s">
        <v>309</v>
      </c>
      <c r="B174" t="s">
        <v>1000</v>
      </c>
      <c r="C174" s="693"/>
      <c r="D174" t="str">
        <f>'Comext annuel - EUROSTAT'!B183</f>
        <v>Riz, précuit ou autrement préparé, n.d.a. (à l'excl. de la farine du gruau et de la semoule, des produits alimentaires obtenus par soufflage ou grillage, des préparations alimentaires à base de flocons de céréales non grillés, des préparations alimentaires à base de mélanges de flocons de céréales grillés et non grillés ou de céréales soufflées)</v>
      </c>
      <c r="E174" s="86">
        <f>'Comext annuel - EUROSTAT'!C183/10^4</f>
        <v>14.997764999999999</v>
      </c>
      <c r="F174" s="86">
        <f>'Comext annuel - EUROSTAT'!D183/10^4</f>
        <v>23.911301999999999</v>
      </c>
      <c r="G174" s="86">
        <f>'Comext annuel - EUROSTAT'!E183/10^4</f>
        <v>14.698335999999999</v>
      </c>
      <c r="H174" s="86">
        <f>'Comext annuel - EUROSTAT'!F183/10^4</f>
        <v>33.531775000000003</v>
      </c>
      <c r="I174" s="86">
        <f>'Comext annuel - EUROSTAT'!G183/10^4</f>
        <v>14.677427</v>
      </c>
      <c r="J174" s="86">
        <f>'Comext annuel - EUROSTAT'!H183/10^4</f>
        <v>28.603429999999999</v>
      </c>
      <c r="K174" s="86">
        <f>SUM('Comext mensuel - EUROSTAT'!C183,'Comext mensuel - EUROSTAT'!E183,'Comext mensuel - EUROSTAT'!G183,'Comext mensuel - EUROSTAT'!I183,'Comext mensuel - EUROSTAT'!K183,'Comext mensuel - EUROSTAT'!M183,'Comext mensuel - EUROSTAT'!O183,'Comext mensuel - EUROSTAT'!Q183,'Comext mensuel - EUROSTAT'!S183,'Comext mensuel - EUROSTAT'!U183,'Comext mensuel - EUROSTAT'!W183,'Comext mensuel - EUROSTAT'!Y183)/10^4</f>
        <v>15.351770999999999</v>
      </c>
      <c r="L174" s="86">
        <f>SUM('Comext mensuel - EUROSTAT'!D183,'Comext mensuel - EUROSTAT'!F183,'Comext mensuel - EUROSTAT'!H183,'Comext mensuel - EUROSTAT'!J183,'Comext mensuel - EUROSTAT'!L183,'Comext mensuel - EUROSTAT'!N183,'Comext mensuel - EUROSTAT'!P183,'Comext mensuel - EUROSTAT'!R183,'Comext mensuel - EUROSTAT'!T183,'Comext mensuel - EUROSTAT'!V183,'Comext mensuel - EUROSTAT'!X183,'Comext mensuel - EUROSTAT'!Z183)/10^4</f>
        <v>23.747691000000003</v>
      </c>
      <c r="M174" s="86">
        <f>SUM('Comext mensuel - EUROSTAT'!AA183,'Comext mensuel - EUROSTAT'!AC183,'Comext mensuel - EUROSTAT'!AE183,'Comext mensuel - EUROSTAT'!AG183,'Comext mensuel - EUROSTAT'!AI183,'Comext mensuel - EUROSTAT'!AK183,'Comext mensuel - EUROSTAT'!AM183,'Comext mensuel - EUROSTAT'!AO183,'Comext mensuel - EUROSTAT'!AQ183,'Comext mensuel - EUROSTAT'!AS183,'Comext mensuel - EUROSTAT'!AU183,'Comext mensuel - EUROSTAT'!AW183)/10^4</f>
        <v>14.455116</v>
      </c>
      <c r="N174" s="86">
        <f>SUM('Comext mensuel - EUROSTAT'!AB183,'Comext mensuel - EUROSTAT'!AD183,'Comext mensuel - EUROSTAT'!AF183,'Comext mensuel - EUROSTAT'!AH183,'Comext mensuel - EUROSTAT'!AJ183,'Comext mensuel - EUROSTAT'!AL183,'Comext mensuel - EUROSTAT'!AN183,'Comext mensuel - EUROSTAT'!AP183,'Comext mensuel - EUROSTAT'!AR183,'Comext mensuel - EUROSTAT'!AT183,'Comext mensuel - EUROSTAT'!AV183,'Comext mensuel - EUROSTAT'!AX183)/10^4</f>
        <v>34.492483</v>
      </c>
      <c r="O174" s="86">
        <f>SUM('Comext mensuel - EUROSTAT'!AY183,'Comext mensuel - EUROSTAT'!BA183,'Comext mensuel - EUROSTAT'!BC183,'Comext mensuel - EUROSTAT'!BE183,'Comext mensuel - EUROSTAT'!BG183,'Comext mensuel - EUROSTAT'!BI183,'Comext mensuel - EUROSTAT'!BK183,'Comext mensuel - EUROSTAT'!BM183,'Comext mensuel - EUROSTAT'!BO183,'Comext mensuel - EUROSTAT'!BQ183,'Comext mensuel - EUROSTAT'!BS183,'Comext mensuel - EUROSTAT'!BU183)/10^4</f>
        <v>14.984151999999998</v>
      </c>
      <c r="P174" s="86">
        <f>SUM('Comext mensuel - EUROSTAT'!AZ183,'Comext mensuel - EUROSTAT'!BB183,'Comext mensuel - EUROSTAT'!BD183,'Comext mensuel - EUROSTAT'!BF183,'Comext mensuel - EUROSTAT'!BH183,'Comext mensuel - EUROSTAT'!BJ183,'Comext mensuel - EUROSTAT'!BL183,'Comext mensuel - EUROSTAT'!BN183,'Comext mensuel - EUROSTAT'!BP183,'Comext mensuel - EUROSTAT'!BR183,'Comext mensuel - EUROSTAT'!BT183,'Comext mensuel - EUROSTAT'!BV183)/10^4</f>
        <v>31.221017</v>
      </c>
    </row>
    <row r="175" spans="1:16">
      <c r="C175" s="693"/>
      <c r="D175" t="str">
        <f>'Comext annuel - EUROSTAT'!B184</f>
        <v>Céréales en grain ou sous forme de flocons ou de grains autrement travaillés, précuites ou autrement préparées, n.d.a. (à l'excl. du riz, du maïs, de la farine, du gruau et de la semoule, des produits alimentaires obtenus par soufflage ou grillage, des préparations alimentaires à base de flocons de céréales non grillés ou de mélanges de flocons de céréales grillés et non grillés ou de céréales soufflées et du bulgur de blé)(2022-2500);Céréales en grain ou sous forme de flocons ou de grains autrement travaillés, précuites ou autrement préparées, n.d.a. (à l'excl. du riz, du maïs, de la farine, du gruau et de la semoule, des produits alimentaires obtenus par soufflage ou grillage, des préparations alimentaires à base de flocons de céréales non grillés ou de mélanges de flocons de céréales grillés et non grillés ou de céréales soufflées et du bulgur de blé)(2002-2021)</v>
      </c>
      <c r="E175" s="86">
        <f>'Comext annuel - EUROSTAT'!C184/10^4</f>
        <v>4.4352480000000005</v>
      </c>
      <c r="F175" s="86">
        <f>'Comext annuel - EUROSTAT'!D184/10^4</f>
        <v>10.768364</v>
      </c>
      <c r="G175" s="86">
        <f>'Comext annuel - EUROSTAT'!E184/10^4</f>
        <v>6.6370649999999998</v>
      </c>
      <c r="H175" s="86">
        <f>'Comext annuel - EUROSTAT'!F184/10^4</f>
        <v>8.4230149999999995</v>
      </c>
      <c r="I175" s="86">
        <f>'Comext annuel - EUROSTAT'!G184/10^4</f>
        <v>7.7813050000000006</v>
      </c>
      <c r="J175" s="86">
        <f>'Comext annuel - EUROSTAT'!H184/10^4</f>
        <v>11.712374000000001</v>
      </c>
      <c r="K175" s="86">
        <f>SUM('Comext mensuel - EUROSTAT'!C184,'Comext mensuel - EUROSTAT'!E184,'Comext mensuel - EUROSTAT'!G184,'Comext mensuel - EUROSTAT'!I184,'Comext mensuel - EUROSTAT'!K184,'Comext mensuel - EUROSTAT'!M184,'Comext mensuel - EUROSTAT'!O184,'Comext mensuel - EUROSTAT'!Q184,'Comext mensuel - EUROSTAT'!S184,'Comext mensuel - EUROSTAT'!U184,'Comext mensuel - EUROSTAT'!W184,'Comext mensuel - EUROSTAT'!Y184)/10^4</f>
        <v>4.2613799999999999</v>
      </c>
      <c r="L175" s="86">
        <f>SUM('Comext mensuel - EUROSTAT'!D184,'Comext mensuel - EUROSTAT'!F184,'Comext mensuel - EUROSTAT'!H184,'Comext mensuel - EUROSTAT'!J184,'Comext mensuel - EUROSTAT'!L184,'Comext mensuel - EUROSTAT'!N184,'Comext mensuel - EUROSTAT'!P184,'Comext mensuel - EUROSTAT'!R184,'Comext mensuel - EUROSTAT'!T184,'Comext mensuel - EUROSTAT'!V184,'Comext mensuel - EUROSTAT'!X184,'Comext mensuel - EUROSTAT'!Z184)/10^4</f>
        <v>11.241801000000001</v>
      </c>
      <c r="M175" s="86">
        <f>SUM('Comext mensuel - EUROSTAT'!AA184,'Comext mensuel - EUROSTAT'!AC184,'Comext mensuel - EUROSTAT'!AE184,'Comext mensuel - EUROSTAT'!AG184,'Comext mensuel - EUROSTAT'!AI184,'Comext mensuel - EUROSTAT'!AK184,'Comext mensuel - EUROSTAT'!AM184,'Comext mensuel - EUROSTAT'!AO184,'Comext mensuel - EUROSTAT'!AQ184,'Comext mensuel - EUROSTAT'!AS184,'Comext mensuel - EUROSTAT'!AU184,'Comext mensuel - EUROSTAT'!AW184)/10^4</f>
        <v>6.3734450000000002</v>
      </c>
      <c r="N175" s="86">
        <f>SUM('Comext mensuel - EUROSTAT'!AB184,'Comext mensuel - EUROSTAT'!AD184,'Comext mensuel - EUROSTAT'!AF184,'Comext mensuel - EUROSTAT'!AH184,'Comext mensuel - EUROSTAT'!AJ184,'Comext mensuel - EUROSTAT'!AL184,'Comext mensuel - EUROSTAT'!AN184,'Comext mensuel - EUROSTAT'!AP184,'Comext mensuel - EUROSTAT'!AR184,'Comext mensuel - EUROSTAT'!AT184,'Comext mensuel - EUROSTAT'!AV184,'Comext mensuel - EUROSTAT'!AX184)/10^4</f>
        <v>7.5662469999999997</v>
      </c>
      <c r="O175" s="86">
        <f>SUM('Comext mensuel - EUROSTAT'!AY184,'Comext mensuel - EUROSTAT'!BA184,'Comext mensuel - EUROSTAT'!BC184,'Comext mensuel - EUROSTAT'!BE184,'Comext mensuel - EUROSTAT'!BG184,'Comext mensuel - EUROSTAT'!BI184,'Comext mensuel - EUROSTAT'!BK184,'Comext mensuel - EUROSTAT'!BM184,'Comext mensuel - EUROSTAT'!BO184,'Comext mensuel - EUROSTAT'!BQ184,'Comext mensuel - EUROSTAT'!BS184,'Comext mensuel - EUROSTAT'!BU184)/10^4</f>
        <v>8.5167210000000004</v>
      </c>
      <c r="P175" s="86">
        <f>SUM('Comext mensuel - EUROSTAT'!AZ184,'Comext mensuel - EUROSTAT'!BB184,'Comext mensuel - EUROSTAT'!BD184,'Comext mensuel - EUROSTAT'!BF184,'Comext mensuel - EUROSTAT'!BH184,'Comext mensuel - EUROSTAT'!BJ184,'Comext mensuel - EUROSTAT'!BL184,'Comext mensuel - EUROSTAT'!BN184,'Comext mensuel - EUROSTAT'!BP184,'Comext mensuel - EUROSTAT'!BR184,'Comext mensuel - EUROSTAT'!BT184,'Comext mensuel - EUROSTAT'!BV184)/10^4</f>
        <v>11.481241000000001</v>
      </c>
    </row>
    <row r="176" spans="1:16">
      <c r="D176" t="str">
        <f>'Comext annuel - EUROSTAT'!B185</f>
        <v>Concentrats de protéines et substances protéiques texturées, ne contenant pas de matières grasses provenant du lait, de saccharose, d'isoglucose, de glucose, d'amidon ou de fécule ou contenant en poids &lt; 1,5% de matières grasses provenant du lait, &lt; 5% de saccharose ou d'isoglucose, &lt; 5% de glucose ou d'amidon ou de fécule</v>
      </c>
      <c r="E176" s="86">
        <f>'Comext annuel - EUROSTAT'!C185/10^4</f>
        <v>11.017681</v>
      </c>
      <c r="F176" s="86">
        <f>'Comext annuel - EUROSTAT'!D185/10^4</f>
        <v>4.5443879999999996</v>
      </c>
      <c r="G176" s="86">
        <f>'Comext annuel - EUROSTAT'!E185/10^4</f>
        <v>10.95575</v>
      </c>
      <c r="H176" s="86">
        <f>'Comext annuel - EUROSTAT'!F185/10^4</f>
        <v>26.473420000000001</v>
      </c>
      <c r="I176" s="86">
        <f>'Comext annuel - EUROSTAT'!G185/10^4</f>
        <v>16.880991000000002</v>
      </c>
      <c r="J176" s="86">
        <f>'Comext annuel - EUROSTAT'!H185/10^4</f>
        <v>2.022564</v>
      </c>
      <c r="K176" s="86">
        <f>SUM('Comext mensuel - EUROSTAT'!C185,'Comext mensuel - EUROSTAT'!E185,'Comext mensuel - EUROSTAT'!G185,'Comext mensuel - EUROSTAT'!I185,'Comext mensuel - EUROSTAT'!K185,'Comext mensuel - EUROSTAT'!M185,'Comext mensuel - EUROSTAT'!O185,'Comext mensuel - EUROSTAT'!Q185,'Comext mensuel - EUROSTAT'!S185,'Comext mensuel - EUROSTAT'!U185,'Comext mensuel - EUROSTAT'!W185,'Comext mensuel - EUROSTAT'!Y185)/10^4</f>
        <v>10.130026999999998</v>
      </c>
      <c r="L176" s="86">
        <f>SUM('Comext mensuel - EUROSTAT'!D185,'Comext mensuel - EUROSTAT'!F185,'Comext mensuel - EUROSTAT'!H185,'Comext mensuel - EUROSTAT'!J185,'Comext mensuel - EUROSTAT'!L185,'Comext mensuel - EUROSTAT'!N185,'Comext mensuel - EUROSTAT'!P185,'Comext mensuel - EUROSTAT'!R185,'Comext mensuel - EUROSTAT'!T185,'Comext mensuel - EUROSTAT'!V185,'Comext mensuel - EUROSTAT'!X185,'Comext mensuel - EUROSTAT'!Z185)/10^4</f>
        <v>4.3533049999999998</v>
      </c>
      <c r="M176" s="86">
        <f>SUM('Comext mensuel - EUROSTAT'!AA185,'Comext mensuel - EUROSTAT'!AC185,'Comext mensuel - EUROSTAT'!AE185,'Comext mensuel - EUROSTAT'!AG185,'Comext mensuel - EUROSTAT'!AI185,'Comext mensuel - EUROSTAT'!AK185,'Comext mensuel - EUROSTAT'!AM185,'Comext mensuel - EUROSTAT'!AO185,'Comext mensuel - EUROSTAT'!AQ185,'Comext mensuel - EUROSTAT'!AS185,'Comext mensuel - EUROSTAT'!AU185,'Comext mensuel - EUROSTAT'!AW185)/10^4</f>
        <v>12.543058000000002</v>
      </c>
      <c r="N176" s="86">
        <f>SUM('Comext mensuel - EUROSTAT'!AB185,'Comext mensuel - EUROSTAT'!AD185,'Comext mensuel - EUROSTAT'!AF185,'Comext mensuel - EUROSTAT'!AH185,'Comext mensuel - EUROSTAT'!AJ185,'Comext mensuel - EUROSTAT'!AL185,'Comext mensuel - EUROSTAT'!AN185,'Comext mensuel - EUROSTAT'!AP185,'Comext mensuel - EUROSTAT'!AR185,'Comext mensuel - EUROSTAT'!AT185,'Comext mensuel - EUROSTAT'!AV185,'Comext mensuel - EUROSTAT'!AX185)/10^4</f>
        <v>25.728578000000002</v>
      </c>
      <c r="O176" s="86">
        <f>SUM('Comext mensuel - EUROSTAT'!AY185,'Comext mensuel - EUROSTAT'!BA185,'Comext mensuel - EUROSTAT'!BC185,'Comext mensuel - EUROSTAT'!BE185,'Comext mensuel - EUROSTAT'!BG185,'Comext mensuel - EUROSTAT'!BI185,'Comext mensuel - EUROSTAT'!BK185,'Comext mensuel - EUROSTAT'!BM185,'Comext mensuel - EUROSTAT'!BO185,'Comext mensuel - EUROSTAT'!BQ185,'Comext mensuel - EUROSTAT'!BS185,'Comext mensuel - EUROSTAT'!BU185)/10^4</f>
        <v>16.551002</v>
      </c>
      <c r="P176" s="86">
        <f>SUM('Comext mensuel - EUROSTAT'!AZ185,'Comext mensuel - EUROSTAT'!BB185,'Comext mensuel - EUROSTAT'!BD185,'Comext mensuel - EUROSTAT'!BF185,'Comext mensuel - EUROSTAT'!BH185,'Comext mensuel - EUROSTAT'!BJ185,'Comext mensuel - EUROSTAT'!BL185,'Comext mensuel - EUROSTAT'!BN185,'Comext mensuel - EUROSTAT'!BP185,'Comext mensuel - EUROSTAT'!BR185,'Comext mensuel - EUROSTAT'!BT185,'Comext mensuel - EUROSTAT'!BV185)/10^4</f>
        <v>1.760359</v>
      </c>
    </row>
    <row r="177" spans="1:16">
      <c r="D177" t="str">
        <f>'Comext annuel - EUROSTAT'!B186</f>
        <v>Concentrats de protéines et substances protéiques texturées, contenant en poids 1,5% de matières grasses provenant du lait, 5% de saccharose ou d'isoglucose, 5% de glucose ou d'amidon ou de fécule</v>
      </c>
      <c r="E177" s="86">
        <f>'Comext annuel - EUROSTAT'!C186/10^4</f>
        <v>3.9103260000000004</v>
      </c>
      <c r="F177" s="86">
        <f>'Comext annuel - EUROSTAT'!D186/10^4</f>
        <v>1.315024</v>
      </c>
      <c r="G177" s="86">
        <f>'Comext annuel - EUROSTAT'!E186/10^4</f>
        <v>12.794847000000001</v>
      </c>
      <c r="H177" s="86">
        <f>'Comext annuel - EUROSTAT'!F186/10^4</f>
        <v>2.3705859999999999</v>
      </c>
      <c r="I177" s="86">
        <f>'Comext annuel - EUROSTAT'!G186/10^4</f>
        <v>8.688464999999999</v>
      </c>
      <c r="J177" s="86">
        <f>'Comext annuel - EUROSTAT'!H186/10^4</f>
        <v>4.2151870000000002</v>
      </c>
      <c r="K177" s="86">
        <f>SUM('Comext mensuel - EUROSTAT'!C186,'Comext mensuel - EUROSTAT'!E186,'Comext mensuel - EUROSTAT'!G186,'Comext mensuel - EUROSTAT'!I186,'Comext mensuel - EUROSTAT'!K186,'Comext mensuel - EUROSTAT'!M186,'Comext mensuel - EUROSTAT'!O186,'Comext mensuel - EUROSTAT'!Q186,'Comext mensuel - EUROSTAT'!S186,'Comext mensuel - EUROSTAT'!U186,'Comext mensuel - EUROSTAT'!W186,'Comext mensuel - EUROSTAT'!Y186)/10^4</f>
        <v>3.9003100000000006</v>
      </c>
      <c r="L177" s="86">
        <f>SUM('Comext mensuel - EUROSTAT'!D186,'Comext mensuel - EUROSTAT'!F186,'Comext mensuel - EUROSTAT'!H186,'Comext mensuel - EUROSTAT'!J186,'Comext mensuel - EUROSTAT'!L186,'Comext mensuel - EUROSTAT'!N186,'Comext mensuel - EUROSTAT'!P186,'Comext mensuel - EUROSTAT'!R186,'Comext mensuel - EUROSTAT'!T186,'Comext mensuel - EUROSTAT'!V186,'Comext mensuel - EUROSTAT'!X186,'Comext mensuel - EUROSTAT'!Z186)/10^4</f>
        <v>1.4319490000000001</v>
      </c>
      <c r="M177" s="86">
        <f>SUM('Comext mensuel - EUROSTAT'!AA186,'Comext mensuel - EUROSTAT'!AC186,'Comext mensuel - EUROSTAT'!AE186,'Comext mensuel - EUROSTAT'!AG186,'Comext mensuel - EUROSTAT'!AI186,'Comext mensuel - EUROSTAT'!AK186,'Comext mensuel - EUROSTAT'!AM186,'Comext mensuel - EUROSTAT'!AO186,'Comext mensuel - EUROSTAT'!AQ186,'Comext mensuel - EUROSTAT'!AS186,'Comext mensuel - EUROSTAT'!AU186,'Comext mensuel - EUROSTAT'!AW186)/10^4</f>
        <v>8.2314010000000017</v>
      </c>
      <c r="N177" s="86">
        <f>SUM('Comext mensuel - EUROSTAT'!AB186,'Comext mensuel - EUROSTAT'!AD186,'Comext mensuel - EUROSTAT'!AF186,'Comext mensuel - EUROSTAT'!AH186,'Comext mensuel - EUROSTAT'!AJ186,'Comext mensuel - EUROSTAT'!AL186,'Comext mensuel - EUROSTAT'!AN186,'Comext mensuel - EUROSTAT'!AP186,'Comext mensuel - EUROSTAT'!AR186,'Comext mensuel - EUROSTAT'!AT186,'Comext mensuel - EUROSTAT'!AV186,'Comext mensuel - EUROSTAT'!AX186)/10^4</f>
        <v>2.4184009999999994</v>
      </c>
      <c r="O177" s="86">
        <f>SUM('Comext mensuel - EUROSTAT'!AY186,'Comext mensuel - EUROSTAT'!BA186,'Comext mensuel - EUROSTAT'!BC186,'Comext mensuel - EUROSTAT'!BE186,'Comext mensuel - EUROSTAT'!BG186,'Comext mensuel - EUROSTAT'!BI186,'Comext mensuel - EUROSTAT'!BK186,'Comext mensuel - EUROSTAT'!BM186,'Comext mensuel - EUROSTAT'!BO186,'Comext mensuel - EUROSTAT'!BQ186,'Comext mensuel - EUROSTAT'!BS186,'Comext mensuel - EUROSTAT'!BU186)/10^4</f>
        <v>8.5549099999999996</v>
      </c>
      <c r="P177" s="86">
        <f>SUM('Comext mensuel - EUROSTAT'!AZ186,'Comext mensuel - EUROSTAT'!BB186,'Comext mensuel - EUROSTAT'!BD186,'Comext mensuel - EUROSTAT'!BF186,'Comext mensuel - EUROSTAT'!BH186,'Comext mensuel - EUROSTAT'!BJ186,'Comext mensuel - EUROSTAT'!BL186,'Comext mensuel - EUROSTAT'!BN186,'Comext mensuel - EUROSTAT'!BP186,'Comext mensuel - EUROSTAT'!BR186,'Comext mensuel - EUROSTAT'!BT186,'Comext mensuel - EUROSTAT'!BV186)/10^4</f>
        <v>4.3098239999999999</v>
      </c>
    </row>
    <row r="178" spans="1:16">
      <c r="A178" t="s">
        <v>987</v>
      </c>
      <c r="B178" t="s">
        <v>985</v>
      </c>
      <c r="C178" s="693" t="s">
        <v>986</v>
      </c>
      <c r="D178" t="str">
        <f>'Comext annuel - EUROSTAT'!B187</f>
        <v>Bières de malt, présentées dans des bouteilles d'une contenance &lt;= 10 l</v>
      </c>
      <c r="E178" s="86">
        <f>'Comext annuel - EUROSTAT'!C187/10^4</f>
        <v>252.02336099999999</v>
      </c>
      <c r="F178" s="86">
        <f>'Comext annuel - EUROSTAT'!D187/10^4</f>
        <v>199.95576800000001</v>
      </c>
      <c r="G178" s="86">
        <f>'Comext annuel - EUROSTAT'!E187/10^4</f>
        <v>414.72305399999999</v>
      </c>
      <c r="H178" s="86">
        <f>'Comext annuel - EUROSTAT'!F187/10^4</f>
        <v>157.940258</v>
      </c>
      <c r="I178" s="86">
        <f>'Comext annuel - EUROSTAT'!G187/10^4</f>
        <v>405.85825199999999</v>
      </c>
      <c r="J178" s="86">
        <f>'Comext annuel - EUROSTAT'!H187/10^4</f>
        <v>147.72895400000002</v>
      </c>
      <c r="K178" s="509">
        <f>SUM('Comext mensuel - EUROSTAT'!C187,'Comext mensuel - EUROSTAT'!E187,'Comext mensuel - EUROSTAT'!G187,'Comext mensuel - EUROSTAT'!I187,'Comext mensuel - EUROSTAT'!K187,'Comext mensuel - EUROSTAT'!M187,'Comext mensuel - EUROSTAT'!O187,'Comext mensuel - EUROSTAT'!Q187,'Comext mensuel - EUROSTAT'!S187,'Comext mensuel - EUROSTAT'!U187,'Comext mensuel - EUROSTAT'!W187,'Comext mensuel - EUROSTAT'!Y187)/10^4</f>
        <v>273.18407999999999</v>
      </c>
      <c r="L178" s="509">
        <f>SUM('Comext mensuel - EUROSTAT'!D187,'Comext mensuel - EUROSTAT'!F187,'Comext mensuel - EUROSTAT'!H187,'Comext mensuel - EUROSTAT'!J187,'Comext mensuel - EUROSTAT'!L187,'Comext mensuel - EUROSTAT'!N187,'Comext mensuel - EUROSTAT'!P187,'Comext mensuel - EUROSTAT'!R187,'Comext mensuel - EUROSTAT'!T187,'Comext mensuel - EUROSTAT'!V187,'Comext mensuel - EUROSTAT'!X187,'Comext mensuel - EUROSTAT'!Z187)/10^4</f>
        <v>201.46565100000001</v>
      </c>
      <c r="M178" s="509">
        <f>SUM('Comext mensuel - EUROSTAT'!AA187,'Comext mensuel - EUROSTAT'!AC187,'Comext mensuel - EUROSTAT'!AE187,'Comext mensuel - EUROSTAT'!AG187,'Comext mensuel - EUROSTAT'!AI187,'Comext mensuel - EUROSTAT'!AK187,'Comext mensuel - EUROSTAT'!AM187,'Comext mensuel - EUROSTAT'!AO187,'Comext mensuel - EUROSTAT'!AQ187,'Comext mensuel - EUROSTAT'!AS187,'Comext mensuel - EUROSTAT'!AU187,'Comext mensuel - EUROSTAT'!AW187)/10^4</f>
        <v>480.18786500000004</v>
      </c>
      <c r="N178" s="509">
        <f>SUM('Comext mensuel - EUROSTAT'!AB187,'Comext mensuel - EUROSTAT'!AD187,'Comext mensuel - EUROSTAT'!AF187,'Comext mensuel - EUROSTAT'!AH187,'Comext mensuel - EUROSTAT'!AJ187,'Comext mensuel - EUROSTAT'!AL187,'Comext mensuel - EUROSTAT'!AN187,'Comext mensuel - EUROSTAT'!AP187,'Comext mensuel - EUROSTAT'!AR187,'Comext mensuel - EUROSTAT'!AT187,'Comext mensuel - EUROSTAT'!AV187,'Comext mensuel - EUROSTAT'!AX187)/10^4</f>
        <v>189.024811</v>
      </c>
      <c r="O178" s="509">
        <f>SUM('Comext mensuel - EUROSTAT'!AY187,'Comext mensuel - EUROSTAT'!BA187,'Comext mensuel - EUROSTAT'!BC187,'Comext mensuel - EUROSTAT'!BE187,'Comext mensuel - EUROSTAT'!BG187,'Comext mensuel - EUROSTAT'!BI187,'Comext mensuel - EUROSTAT'!BK187,'Comext mensuel - EUROSTAT'!BM187,'Comext mensuel - EUROSTAT'!BO187,'Comext mensuel - EUROSTAT'!BQ187,'Comext mensuel - EUROSTAT'!BS187,'Comext mensuel - EUROSTAT'!BU187)/10^4</f>
        <v>401.76581600000003</v>
      </c>
      <c r="P178" s="509">
        <f>SUM('Comext mensuel - EUROSTAT'!AZ187,'Comext mensuel - EUROSTAT'!BB187,'Comext mensuel - EUROSTAT'!BD187,'Comext mensuel - EUROSTAT'!BF187,'Comext mensuel - EUROSTAT'!BH187,'Comext mensuel - EUROSTAT'!BJ187,'Comext mensuel - EUROSTAT'!BL187,'Comext mensuel - EUROSTAT'!BN187,'Comext mensuel - EUROSTAT'!BP187,'Comext mensuel - EUROSTAT'!BR187,'Comext mensuel - EUROSTAT'!BT187,'Comext mensuel - EUROSTAT'!BV187)/10^4</f>
        <v>141.76970299999999</v>
      </c>
    </row>
    <row r="179" spans="1:16">
      <c r="A179" t="s">
        <v>987</v>
      </c>
      <c r="B179" t="s">
        <v>985</v>
      </c>
      <c r="C179" s="693"/>
      <c r="D179" t="str">
        <f>'Comext annuel - EUROSTAT'!B188</f>
        <v>Bières de malt, en récipients d'une contenance &lt;= 10 l (à l'excl. des bières présentées dans des bouteilles)</v>
      </c>
      <c r="E179" s="86">
        <f>'Comext annuel - EUROSTAT'!C188/10^4</f>
        <v>299.10497599999997</v>
      </c>
      <c r="F179" s="86">
        <f>'Comext annuel - EUROSTAT'!D188/10^4</f>
        <v>411.40765399999998</v>
      </c>
      <c r="G179" s="86">
        <f>'Comext annuel - EUROSTAT'!E188/10^4</f>
        <v>282.07455699999997</v>
      </c>
      <c r="H179" s="86">
        <f>'Comext annuel - EUROSTAT'!F188/10^4</f>
        <v>294.37996600000002</v>
      </c>
      <c r="I179" s="86">
        <f>'Comext annuel - EUROSTAT'!G188/10^4</f>
        <v>268.40326400000004</v>
      </c>
      <c r="J179" s="86">
        <f>'Comext annuel - EUROSTAT'!H188/10^4</f>
        <v>267.68207200000001</v>
      </c>
      <c r="K179" s="509">
        <f>SUM('Comext mensuel - EUROSTAT'!C188,'Comext mensuel - EUROSTAT'!E188,'Comext mensuel - EUROSTAT'!G188,'Comext mensuel - EUROSTAT'!I188,'Comext mensuel - EUROSTAT'!K188,'Comext mensuel - EUROSTAT'!M188,'Comext mensuel - EUROSTAT'!O188,'Comext mensuel - EUROSTAT'!Q188,'Comext mensuel - EUROSTAT'!S188,'Comext mensuel - EUROSTAT'!U188,'Comext mensuel - EUROSTAT'!W188,'Comext mensuel - EUROSTAT'!Y188)/10^4</f>
        <v>307.28439500000002</v>
      </c>
      <c r="L179" s="509">
        <f>SUM('Comext mensuel - EUROSTAT'!D188,'Comext mensuel - EUROSTAT'!F188,'Comext mensuel - EUROSTAT'!H188,'Comext mensuel - EUROSTAT'!J188,'Comext mensuel - EUROSTAT'!L188,'Comext mensuel - EUROSTAT'!N188,'Comext mensuel - EUROSTAT'!P188,'Comext mensuel - EUROSTAT'!R188,'Comext mensuel - EUROSTAT'!T188,'Comext mensuel - EUROSTAT'!V188,'Comext mensuel - EUROSTAT'!X188,'Comext mensuel - EUROSTAT'!Z188)/10^4</f>
        <v>413.77885800000001</v>
      </c>
      <c r="M179" s="509">
        <f>SUM('Comext mensuel - EUROSTAT'!AA188,'Comext mensuel - EUROSTAT'!AC188,'Comext mensuel - EUROSTAT'!AE188,'Comext mensuel - EUROSTAT'!AG188,'Comext mensuel - EUROSTAT'!AI188,'Comext mensuel - EUROSTAT'!AK188,'Comext mensuel - EUROSTAT'!AM188,'Comext mensuel - EUROSTAT'!AO188,'Comext mensuel - EUROSTAT'!AQ188,'Comext mensuel - EUROSTAT'!AS188,'Comext mensuel - EUROSTAT'!AU188,'Comext mensuel - EUROSTAT'!AW188)/10^4</f>
        <v>278.77588400000002</v>
      </c>
      <c r="N179" s="509">
        <f>SUM('Comext mensuel - EUROSTAT'!AB188,'Comext mensuel - EUROSTAT'!AD188,'Comext mensuel - EUROSTAT'!AF188,'Comext mensuel - EUROSTAT'!AH188,'Comext mensuel - EUROSTAT'!AJ188,'Comext mensuel - EUROSTAT'!AL188,'Comext mensuel - EUROSTAT'!AN188,'Comext mensuel - EUROSTAT'!AP188,'Comext mensuel - EUROSTAT'!AR188,'Comext mensuel - EUROSTAT'!AT188,'Comext mensuel - EUROSTAT'!AV188,'Comext mensuel - EUROSTAT'!AX188)/10^4</f>
        <v>287.93803899999995</v>
      </c>
      <c r="O179" s="509">
        <f>SUM('Comext mensuel - EUROSTAT'!AY188,'Comext mensuel - EUROSTAT'!BA188,'Comext mensuel - EUROSTAT'!BC188,'Comext mensuel - EUROSTAT'!BE188,'Comext mensuel - EUROSTAT'!BG188,'Comext mensuel - EUROSTAT'!BI188,'Comext mensuel - EUROSTAT'!BK188,'Comext mensuel - EUROSTAT'!BM188,'Comext mensuel - EUROSTAT'!BO188,'Comext mensuel - EUROSTAT'!BQ188,'Comext mensuel - EUROSTAT'!BS188,'Comext mensuel - EUROSTAT'!BU188)/10^4</f>
        <v>285.086254</v>
      </c>
      <c r="P179" s="509">
        <f>SUM('Comext mensuel - EUROSTAT'!AZ188,'Comext mensuel - EUROSTAT'!BB188,'Comext mensuel - EUROSTAT'!BD188,'Comext mensuel - EUROSTAT'!BF188,'Comext mensuel - EUROSTAT'!BH188,'Comext mensuel - EUROSTAT'!BJ188,'Comext mensuel - EUROSTAT'!BL188,'Comext mensuel - EUROSTAT'!BN188,'Comext mensuel - EUROSTAT'!BP188,'Comext mensuel - EUROSTAT'!BR188,'Comext mensuel - EUROSTAT'!BT188,'Comext mensuel - EUROSTAT'!BV188)/10^4</f>
        <v>240.19896999999997</v>
      </c>
    </row>
    <row r="180" spans="1:16">
      <c r="A180" t="s">
        <v>987</v>
      </c>
      <c r="B180" t="s">
        <v>985</v>
      </c>
      <c r="C180" s="693"/>
      <c r="D180" t="str">
        <f>'Comext annuel - EUROSTAT'!B189</f>
        <v>Bières de malt, en récipients d'une contenance &gt; 10 l</v>
      </c>
      <c r="E180" s="86">
        <f>'Comext annuel - EUROSTAT'!C189/10^4</f>
        <v>187.10390100000001</v>
      </c>
      <c r="F180" s="86">
        <f>'Comext annuel - EUROSTAT'!D189/10^4</f>
        <v>35.530737000000002</v>
      </c>
      <c r="G180" s="86">
        <f>'Comext annuel - EUROSTAT'!E189/10^4</f>
        <v>262.49740700000001</v>
      </c>
      <c r="H180" s="86">
        <f>'Comext annuel - EUROSTAT'!F189/10^4</f>
        <v>46.047360999999995</v>
      </c>
      <c r="I180" s="86">
        <f>'Comext annuel - EUROSTAT'!G189/10^4</f>
        <v>209.323207</v>
      </c>
      <c r="J180" s="86">
        <f>'Comext annuel - EUROSTAT'!H189/10^4</f>
        <v>20.678697</v>
      </c>
      <c r="K180" s="509">
        <f>SUM('Comext mensuel - EUROSTAT'!C189,'Comext mensuel - EUROSTAT'!E189,'Comext mensuel - EUROSTAT'!G189,'Comext mensuel - EUROSTAT'!I189,'Comext mensuel - EUROSTAT'!K189,'Comext mensuel - EUROSTAT'!M189,'Comext mensuel - EUROSTAT'!O189,'Comext mensuel - EUROSTAT'!Q189,'Comext mensuel - EUROSTAT'!S189,'Comext mensuel - EUROSTAT'!U189,'Comext mensuel - EUROSTAT'!W189,'Comext mensuel - EUROSTAT'!Y189)/10^4</f>
        <v>194.63273900000002</v>
      </c>
      <c r="L180" s="509">
        <f>SUM('Comext mensuel - EUROSTAT'!D189,'Comext mensuel - EUROSTAT'!F189,'Comext mensuel - EUROSTAT'!H189,'Comext mensuel - EUROSTAT'!J189,'Comext mensuel - EUROSTAT'!L189,'Comext mensuel - EUROSTAT'!N189,'Comext mensuel - EUROSTAT'!P189,'Comext mensuel - EUROSTAT'!R189,'Comext mensuel - EUROSTAT'!T189,'Comext mensuel - EUROSTAT'!V189,'Comext mensuel - EUROSTAT'!X189,'Comext mensuel - EUROSTAT'!Z189)/10^4</f>
        <v>38.319266000000006</v>
      </c>
      <c r="M180" s="509">
        <f>SUM('Comext mensuel - EUROSTAT'!AA189,'Comext mensuel - EUROSTAT'!AC189,'Comext mensuel - EUROSTAT'!AE189,'Comext mensuel - EUROSTAT'!AG189,'Comext mensuel - EUROSTAT'!AI189,'Comext mensuel - EUROSTAT'!AK189,'Comext mensuel - EUROSTAT'!AM189,'Comext mensuel - EUROSTAT'!AO189,'Comext mensuel - EUROSTAT'!AQ189,'Comext mensuel - EUROSTAT'!AS189,'Comext mensuel - EUROSTAT'!AU189,'Comext mensuel - EUROSTAT'!AW189)/10^4</f>
        <v>213.71080000000001</v>
      </c>
      <c r="N180" s="509">
        <f>SUM('Comext mensuel - EUROSTAT'!AB189,'Comext mensuel - EUROSTAT'!AD189,'Comext mensuel - EUROSTAT'!AF189,'Comext mensuel - EUROSTAT'!AH189,'Comext mensuel - EUROSTAT'!AJ189,'Comext mensuel - EUROSTAT'!AL189,'Comext mensuel - EUROSTAT'!AN189,'Comext mensuel - EUROSTAT'!AP189,'Comext mensuel - EUROSTAT'!AR189,'Comext mensuel - EUROSTAT'!AT189,'Comext mensuel - EUROSTAT'!AV189,'Comext mensuel - EUROSTAT'!AX189)/10^4</f>
        <v>41.755596000000011</v>
      </c>
      <c r="O180" s="509">
        <f>SUM('Comext mensuel - EUROSTAT'!AY189,'Comext mensuel - EUROSTAT'!BA189,'Comext mensuel - EUROSTAT'!BC189,'Comext mensuel - EUROSTAT'!BE189,'Comext mensuel - EUROSTAT'!BG189,'Comext mensuel - EUROSTAT'!BI189,'Comext mensuel - EUROSTAT'!BK189,'Comext mensuel - EUROSTAT'!BM189,'Comext mensuel - EUROSTAT'!BO189,'Comext mensuel - EUROSTAT'!BQ189,'Comext mensuel - EUROSTAT'!BS189,'Comext mensuel - EUROSTAT'!BU189)/10^4</f>
        <v>199.89974900000001</v>
      </c>
      <c r="P180" s="509">
        <f>SUM('Comext mensuel - EUROSTAT'!AZ189,'Comext mensuel - EUROSTAT'!BB189,'Comext mensuel - EUROSTAT'!BD189,'Comext mensuel - EUROSTAT'!BF189,'Comext mensuel - EUROSTAT'!BH189,'Comext mensuel - EUROSTAT'!BJ189,'Comext mensuel - EUROSTAT'!BL189,'Comext mensuel - EUROSTAT'!BN189,'Comext mensuel - EUROSTAT'!BP189,'Comext mensuel - EUROSTAT'!BR189,'Comext mensuel - EUROSTAT'!BT189,'Comext mensuel - EUROSTAT'!BV189)/10^4</f>
        <v>22.832545</v>
      </c>
    </row>
    <row r="181" spans="1:16">
      <c r="A181" t="s">
        <v>307</v>
      </c>
      <c r="B181" t="s">
        <v>988</v>
      </c>
      <c r="C181" s="693" t="s">
        <v>988</v>
      </c>
      <c r="D181" t="str">
        <f>'Comext annuel - EUROSTAT'!B190</f>
        <v>Sons, remoulages et autres résidus, même agglomérés sous forme de pellets, du criblage, de la mouture ou d'autres traitements de maïs d'une teneur en amidon &lt;= 35% en poids</v>
      </c>
      <c r="E181" s="86">
        <f>'Comext annuel - EUROSTAT'!C190/10^4</f>
        <v>14.979611999999999</v>
      </c>
      <c r="F181" s="86">
        <f>'Comext annuel - EUROSTAT'!D190/10^4</f>
        <v>25.504414000000001</v>
      </c>
      <c r="G181" s="86">
        <f>'Comext annuel - EUROSTAT'!E190/10^4</f>
        <v>2.6578810000000002</v>
      </c>
      <c r="H181" s="86">
        <f>'Comext annuel - EUROSTAT'!F190/10^4</f>
        <v>38.604818000000002</v>
      </c>
      <c r="I181" s="86">
        <f>'Comext annuel - EUROSTAT'!G190/10^4</f>
        <v>1.6961279999999999</v>
      </c>
      <c r="J181" s="86">
        <f>'Comext annuel - EUROSTAT'!H190/10^4</f>
        <v>53.367308999999999</v>
      </c>
      <c r="K181" s="86">
        <f>SUM('Comext mensuel - EUROSTAT'!C190,'Comext mensuel - EUROSTAT'!E190,'Comext mensuel - EUROSTAT'!G190,'Comext mensuel - EUROSTAT'!I190,'Comext mensuel - EUROSTAT'!K190,'Comext mensuel - EUROSTAT'!M190,'Comext mensuel - EUROSTAT'!O190,'Comext mensuel - EUROSTAT'!Q190,'Comext mensuel - EUROSTAT'!S190,'Comext mensuel - EUROSTAT'!U190,'Comext mensuel - EUROSTAT'!W190,'Comext mensuel - EUROSTAT'!Y190)/10^4</f>
        <v>3.2038989999999998</v>
      </c>
      <c r="L181" s="86">
        <f>SUM('Comext mensuel - EUROSTAT'!D190,'Comext mensuel - EUROSTAT'!F190,'Comext mensuel - EUROSTAT'!H190,'Comext mensuel - EUROSTAT'!J190,'Comext mensuel - EUROSTAT'!L190,'Comext mensuel - EUROSTAT'!N190,'Comext mensuel - EUROSTAT'!P190,'Comext mensuel - EUROSTAT'!R190,'Comext mensuel - EUROSTAT'!T190,'Comext mensuel - EUROSTAT'!V190,'Comext mensuel - EUROSTAT'!X190,'Comext mensuel - EUROSTAT'!Z190)/10^4</f>
        <v>28.444746000000002</v>
      </c>
      <c r="M181" s="86">
        <f>SUM('Comext mensuel - EUROSTAT'!AA190,'Comext mensuel - EUROSTAT'!AC190,'Comext mensuel - EUROSTAT'!AE190,'Comext mensuel - EUROSTAT'!AG190,'Comext mensuel - EUROSTAT'!AI190,'Comext mensuel - EUROSTAT'!AK190,'Comext mensuel - EUROSTAT'!AM190,'Comext mensuel - EUROSTAT'!AO190,'Comext mensuel - EUROSTAT'!AQ190,'Comext mensuel - EUROSTAT'!AS190,'Comext mensuel - EUROSTAT'!AU190,'Comext mensuel - EUROSTAT'!AW190)/10^4</f>
        <v>3.799728</v>
      </c>
      <c r="N181" s="86">
        <f>SUM('Comext mensuel - EUROSTAT'!AB190,'Comext mensuel - EUROSTAT'!AD190,'Comext mensuel - EUROSTAT'!AF190,'Comext mensuel - EUROSTAT'!AH190,'Comext mensuel - EUROSTAT'!AJ190,'Comext mensuel - EUROSTAT'!AL190,'Comext mensuel - EUROSTAT'!AN190,'Comext mensuel - EUROSTAT'!AP190,'Comext mensuel - EUROSTAT'!AR190,'Comext mensuel - EUROSTAT'!AT190,'Comext mensuel - EUROSTAT'!AV190,'Comext mensuel - EUROSTAT'!AX190)/10^4</f>
        <v>39.325607999999995</v>
      </c>
      <c r="O181" s="86">
        <f>SUM('Comext mensuel - EUROSTAT'!AY190,'Comext mensuel - EUROSTAT'!BA190,'Comext mensuel - EUROSTAT'!BC190,'Comext mensuel - EUROSTAT'!BE190,'Comext mensuel - EUROSTAT'!BG190,'Comext mensuel - EUROSTAT'!BI190,'Comext mensuel - EUROSTAT'!BK190,'Comext mensuel - EUROSTAT'!BM190,'Comext mensuel - EUROSTAT'!BO190,'Comext mensuel - EUROSTAT'!BQ190,'Comext mensuel - EUROSTAT'!BS190,'Comext mensuel - EUROSTAT'!BU190)/10^4</f>
        <v>1.5532940000000002</v>
      </c>
      <c r="P181" s="86">
        <f>SUM('Comext mensuel - EUROSTAT'!AZ190,'Comext mensuel - EUROSTAT'!BB190,'Comext mensuel - EUROSTAT'!BD190,'Comext mensuel - EUROSTAT'!BF190,'Comext mensuel - EUROSTAT'!BH190,'Comext mensuel - EUROSTAT'!BJ190,'Comext mensuel - EUROSTAT'!BL190,'Comext mensuel - EUROSTAT'!BN190,'Comext mensuel - EUROSTAT'!BP190,'Comext mensuel - EUROSTAT'!BR190,'Comext mensuel - EUROSTAT'!BT190,'Comext mensuel - EUROSTAT'!BV190)/10^4</f>
        <v>40.153193999999999</v>
      </c>
    </row>
    <row r="182" spans="1:16">
      <c r="A182" t="s">
        <v>307</v>
      </c>
      <c r="B182" t="s">
        <v>988</v>
      </c>
      <c r="C182" s="693"/>
      <c r="D182" t="str">
        <f>'Comext annuel - EUROSTAT'!B191</f>
        <v>Sons, remoulages et autres résidus, même agglomérés sous forme de pellets, du criblage, de la mouture ou d'autres traitements de maïs d'une teneur en amidon &gt; 35% en poids</v>
      </c>
      <c r="E182" s="86">
        <f>'Comext annuel - EUROSTAT'!C191/10^4</f>
        <v>6.1167099999999994</v>
      </c>
      <c r="F182" s="86">
        <f>'Comext annuel - EUROSTAT'!D191/10^4</f>
        <v>110.581855</v>
      </c>
      <c r="G182" s="86">
        <f>'Comext annuel - EUROSTAT'!E191/10^4</f>
        <v>6.4074939999999998</v>
      </c>
      <c r="H182" s="86">
        <f>'Comext annuel - EUROSTAT'!F191/10^4</f>
        <v>23.811401</v>
      </c>
      <c r="I182" s="86">
        <f>'Comext annuel - EUROSTAT'!G191/10^4</f>
        <v>17.769603</v>
      </c>
      <c r="J182" s="86">
        <f>'Comext annuel - EUROSTAT'!H191/10^4</f>
        <v>8.8369229999999988</v>
      </c>
      <c r="K182" s="86">
        <f>SUM('Comext mensuel - EUROSTAT'!C191,'Comext mensuel - EUROSTAT'!E191,'Comext mensuel - EUROSTAT'!G191,'Comext mensuel - EUROSTAT'!I191,'Comext mensuel - EUROSTAT'!K191,'Comext mensuel - EUROSTAT'!M191,'Comext mensuel - EUROSTAT'!O191,'Comext mensuel - EUROSTAT'!Q191,'Comext mensuel - EUROSTAT'!S191,'Comext mensuel - EUROSTAT'!U191,'Comext mensuel - EUROSTAT'!W191,'Comext mensuel - EUROSTAT'!Y191)/10^4</f>
        <v>5.4938189999999993</v>
      </c>
      <c r="L182" s="86">
        <f>SUM('Comext mensuel - EUROSTAT'!D191,'Comext mensuel - EUROSTAT'!F191,'Comext mensuel - EUROSTAT'!H191,'Comext mensuel - EUROSTAT'!J191,'Comext mensuel - EUROSTAT'!L191,'Comext mensuel - EUROSTAT'!N191,'Comext mensuel - EUROSTAT'!P191,'Comext mensuel - EUROSTAT'!R191,'Comext mensuel - EUROSTAT'!T191,'Comext mensuel - EUROSTAT'!V191,'Comext mensuel - EUROSTAT'!X191,'Comext mensuel - EUROSTAT'!Z191)/10^4</f>
        <v>97.88172800000001</v>
      </c>
      <c r="M182" s="86">
        <f>SUM('Comext mensuel - EUROSTAT'!AA191,'Comext mensuel - EUROSTAT'!AC191,'Comext mensuel - EUROSTAT'!AE191,'Comext mensuel - EUROSTAT'!AG191,'Comext mensuel - EUROSTAT'!AI191,'Comext mensuel - EUROSTAT'!AK191,'Comext mensuel - EUROSTAT'!AM191,'Comext mensuel - EUROSTAT'!AO191,'Comext mensuel - EUROSTAT'!AQ191,'Comext mensuel - EUROSTAT'!AS191,'Comext mensuel - EUROSTAT'!AU191,'Comext mensuel - EUROSTAT'!AW191)/10^4</f>
        <v>5.8001779999999998</v>
      </c>
      <c r="N182" s="86">
        <f>SUM('Comext mensuel - EUROSTAT'!AB191,'Comext mensuel - EUROSTAT'!AD191,'Comext mensuel - EUROSTAT'!AF191,'Comext mensuel - EUROSTAT'!AH191,'Comext mensuel - EUROSTAT'!AJ191,'Comext mensuel - EUROSTAT'!AL191,'Comext mensuel - EUROSTAT'!AN191,'Comext mensuel - EUROSTAT'!AP191,'Comext mensuel - EUROSTAT'!AR191,'Comext mensuel - EUROSTAT'!AT191,'Comext mensuel - EUROSTAT'!AV191,'Comext mensuel - EUROSTAT'!AX191)/10^4</f>
        <v>23.053117000000004</v>
      </c>
      <c r="O182" s="86">
        <f>SUM('Comext mensuel - EUROSTAT'!AY191,'Comext mensuel - EUROSTAT'!BA191,'Comext mensuel - EUROSTAT'!BC191,'Comext mensuel - EUROSTAT'!BE191,'Comext mensuel - EUROSTAT'!BG191,'Comext mensuel - EUROSTAT'!BI191,'Comext mensuel - EUROSTAT'!BK191,'Comext mensuel - EUROSTAT'!BM191,'Comext mensuel - EUROSTAT'!BO191,'Comext mensuel - EUROSTAT'!BQ191,'Comext mensuel - EUROSTAT'!BS191,'Comext mensuel - EUROSTAT'!BU191)/10^4</f>
        <v>12.149894000000002</v>
      </c>
      <c r="P182" s="86">
        <f>SUM('Comext mensuel - EUROSTAT'!AZ191,'Comext mensuel - EUROSTAT'!BB191,'Comext mensuel - EUROSTAT'!BD191,'Comext mensuel - EUROSTAT'!BF191,'Comext mensuel - EUROSTAT'!BH191,'Comext mensuel - EUROSTAT'!BJ191,'Comext mensuel - EUROSTAT'!BL191,'Comext mensuel - EUROSTAT'!BN191,'Comext mensuel - EUROSTAT'!BP191,'Comext mensuel - EUROSTAT'!BR191,'Comext mensuel - EUROSTAT'!BT191,'Comext mensuel - EUROSTAT'!BV191)/10^4</f>
        <v>7.1776260000000009</v>
      </c>
    </row>
    <row r="183" spans="1:16">
      <c r="A183" t="s">
        <v>1744</v>
      </c>
      <c r="B183" t="s">
        <v>988</v>
      </c>
      <c r="C183" s="693"/>
      <c r="D183" t="str">
        <f>'Comext annuel - EUROSTAT'!B192</f>
        <v>Sons, remoulages et autres résidus, même agglomérés sous forme de pellets, du criblage, de la mouture ou d'autres traitements de froments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v>
      </c>
      <c r="E183" s="86">
        <f>'Comext annuel - EUROSTAT'!C192/10^4</f>
        <v>11.224917999999999</v>
      </c>
      <c r="F183" s="86">
        <f>'Comext annuel - EUROSTAT'!D192/10^4</f>
        <v>207.52322599999999</v>
      </c>
      <c r="G183" s="86">
        <f>'Comext annuel - EUROSTAT'!E192/10^4</f>
        <v>8.1720929999999985</v>
      </c>
      <c r="H183" s="86">
        <f>'Comext annuel - EUROSTAT'!F192/10^4</f>
        <v>130.04442</v>
      </c>
      <c r="I183" s="86">
        <f>'Comext annuel - EUROSTAT'!G192/10^4</f>
        <v>3.4642360000000001</v>
      </c>
      <c r="J183" s="86">
        <f>'Comext annuel - EUROSTAT'!H192/10^4</f>
        <v>127.828478</v>
      </c>
      <c r="K183" s="509">
        <f>SUM('Comext mensuel - EUROSTAT'!C192,'Comext mensuel - EUROSTAT'!E192,'Comext mensuel - EUROSTAT'!G192,'Comext mensuel - EUROSTAT'!I192,'Comext mensuel - EUROSTAT'!K192,'Comext mensuel - EUROSTAT'!M192,'Comext mensuel - EUROSTAT'!O192,'Comext mensuel - EUROSTAT'!Q192,'Comext mensuel - EUROSTAT'!S192,'Comext mensuel - EUROSTAT'!U192,'Comext mensuel - EUROSTAT'!W192,'Comext mensuel - EUROSTAT'!Y192)/10^4</f>
        <v>10.138276999999999</v>
      </c>
      <c r="L183" s="509">
        <f>SUM('Comext mensuel - EUROSTAT'!D192,'Comext mensuel - EUROSTAT'!F192,'Comext mensuel - EUROSTAT'!H192,'Comext mensuel - EUROSTAT'!J192,'Comext mensuel - EUROSTAT'!L192,'Comext mensuel - EUROSTAT'!N192,'Comext mensuel - EUROSTAT'!P192,'Comext mensuel - EUROSTAT'!R192,'Comext mensuel - EUROSTAT'!T192,'Comext mensuel - EUROSTAT'!V192,'Comext mensuel - EUROSTAT'!X192,'Comext mensuel - EUROSTAT'!Z192)/10^4</f>
        <v>215.96263599999997</v>
      </c>
      <c r="M183" s="509">
        <f>SUM('Comext mensuel - EUROSTAT'!AA192,'Comext mensuel - EUROSTAT'!AC192,'Comext mensuel - EUROSTAT'!AE192,'Comext mensuel - EUROSTAT'!AG192,'Comext mensuel - EUROSTAT'!AI192,'Comext mensuel - EUROSTAT'!AK192,'Comext mensuel - EUROSTAT'!AM192,'Comext mensuel - EUROSTAT'!AO192,'Comext mensuel - EUROSTAT'!AQ192,'Comext mensuel - EUROSTAT'!AS192,'Comext mensuel - EUROSTAT'!AU192,'Comext mensuel - EUROSTAT'!AW192)/10^4</f>
        <v>5.8969549999999993</v>
      </c>
      <c r="N183" s="509">
        <f>SUM('Comext mensuel - EUROSTAT'!AB192,'Comext mensuel - EUROSTAT'!AD192,'Comext mensuel - EUROSTAT'!AF192,'Comext mensuel - EUROSTAT'!AH192,'Comext mensuel - EUROSTAT'!AJ192,'Comext mensuel - EUROSTAT'!AL192,'Comext mensuel - EUROSTAT'!AN192,'Comext mensuel - EUROSTAT'!AP192,'Comext mensuel - EUROSTAT'!AR192,'Comext mensuel - EUROSTAT'!AT192,'Comext mensuel - EUROSTAT'!AV192,'Comext mensuel - EUROSTAT'!AX192)/10^4</f>
        <v>122.29261300000003</v>
      </c>
      <c r="O183" s="509">
        <f>SUM('Comext mensuel - EUROSTAT'!AY192,'Comext mensuel - EUROSTAT'!BA192,'Comext mensuel - EUROSTAT'!BC192,'Comext mensuel - EUROSTAT'!BE192,'Comext mensuel - EUROSTAT'!BG192,'Comext mensuel - EUROSTAT'!BI192,'Comext mensuel - EUROSTAT'!BK192,'Comext mensuel - EUROSTAT'!BM192,'Comext mensuel - EUROSTAT'!BO192,'Comext mensuel - EUROSTAT'!BQ192,'Comext mensuel - EUROSTAT'!BS192,'Comext mensuel - EUROSTAT'!BU192)/10^4</f>
        <v>3.0138660000000002</v>
      </c>
      <c r="P183" s="509">
        <f>SUM('Comext mensuel - EUROSTAT'!AZ192,'Comext mensuel - EUROSTAT'!BB192,'Comext mensuel - EUROSTAT'!BD192,'Comext mensuel - EUROSTAT'!BF192,'Comext mensuel - EUROSTAT'!BH192,'Comext mensuel - EUROSTAT'!BJ192,'Comext mensuel - EUROSTAT'!BL192,'Comext mensuel - EUROSTAT'!BN192,'Comext mensuel - EUROSTAT'!BP192,'Comext mensuel - EUROSTAT'!BR192,'Comext mensuel - EUROSTAT'!BT192,'Comext mensuel - EUROSTAT'!BV192)/10^4</f>
        <v>148.33546600000003</v>
      </c>
    </row>
    <row r="184" spans="1:16">
      <c r="A184" t="s">
        <v>1744</v>
      </c>
      <c r="B184" t="s">
        <v>988</v>
      </c>
      <c r="C184" s="693"/>
      <c r="D184" t="str">
        <f>'Comext annuel - EUROSTAT'!B193</f>
        <v>Sons, remoulages et autres résidus, même agglomérés sous forme de pellets, du criblage, de la mouture ou d'autres traitements du froment (sauf ceux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v>
      </c>
      <c r="E184" s="86">
        <f>'Comext annuel - EUROSTAT'!C193/10^4</f>
        <v>16.226535000000002</v>
      </c>
      <c r="F184" s="86">
        <f>'Comext annuel - EUROSTAT'!D193/10^4</f>
        <v>183.26558199999999</v>
      </c>
      <c r="G184" s="86">
        <f>'Comext annuel - EUROSTAT'!E193/10^4</f>
        <v>24.668717999999998</v>
      </c>
      <c r="H184" s="86">
        <f>'Comext annuel - EUROSTAT'!F193/10^4</f>
        <v>220.94280699999999</v>
      </c>
      <c r="I184" s="86">
        <f>'Comext annuel - EUROSTAT'!G193/10^4</f>
        <v>17.921837</v>
      </c>
      <c r="J184" s="86">
        <f>'Comext annuel - EUROSTAT'!H193/10^4</f>
        <v>190.853488</v>
      </c>
      <c r="K184" s="509">
        <f>SUM('Comext mensuel - EUROSTAT'!C193,'Comext mensuel - EUROSTAT'!E193,'Comext mensuel - EUROSTAT'!G193,'Comext mensuel - EUROSTAT'!I193,'Comext mensuel - EUROSTAT'!K193,'Comext mensuel - EUROSTAT'!M193,'Comext mensuel - EUROSTAT'!O193,'Comext mensuel - EUROSTAT'!Q193,'Comext mensuel - EUROSTAT'!S193,'Comext mensuel - EUROSTAT'!U193,'Comext mensuel - EUROSTAT'!W193,'Comext mensuel - EUROSTAT'!Y193)/10^4</f>
        <v>15.295132000000001</v>
      </c>
      <c r="L184" s="509">
        <f>SUM('Comext mensuel - EUROSTAT'!D193,'Comext mensuel - EUROSTAT'!F193,'Comext mensuel - EUROSTAT'!H193,'Comext mensuel - EUROSTAT'!J193,'Comext mensuel - EUROSTAT'!L193,'Comext mensuel - EUROSTAT'!N193,'Comext mensuel - EUROSTAT'!P193,'Comext mensuel - EUROSTAT'!R193,'Comext mensuel - EUROSTAT'!T193,'Comext mensuel - EUROSTAT'!V193,'Comext mensuel - EUROSTAT'!X193,'Comext mensuel - EUROSTAT'!Z193)/10^4</f>
        <v>202.39506</v>
      </c>
      <c r="M184" s="509">
        <f>SUM('Comext mensuel - EUROSTAT'!AA193,'Comext mensuel - EUROSTAT'!AC193,'Comext mensuel - EUROSTAT'!AE193,'Comext mensuel - EUROSTAT'!AG193,'Comext mensuel - EUROSTAT'!AI193,'Comext mensuel - EUROSTAT'!AK193,'Comext mensuel - EUROSTAT'!AM193,'Comext mensuel - EUROSTAT'!AO193,'Comext mensuel - EUROSTAT'!AQ193,'Comext mensuel - EUROSTAT'!AS193,'Comext mensuel - EUROSTAT'!AU193,'Comext mensuel - EUROSTAT'!AW193)/10^4</f>
        <v>9.1056919999999977</v>
      </c>
      <c r="N184" s="509">
        <f>SUM('Comext mensuel - EUROSTAT'!AB193,'Comext mensuel - EUROSTAT'!AD193,'Comext mensuel - EUROSTAT'!AF193,'Comext mensuel - EUROSTAT'!AH193,'Comext mensuel - EUROSTAT'!AJ193,'Comext mensuel - EUROSTAT'!AL193,'Comext mensuel - EUROSTAT'!AN193,'Comext mensuel - EUROSTAT'!AP193,'Comext mensuel - EUROSTAT'!AR193,'Comext mensuel - EUROSTAT'!AT193,'Comext mensuel - EUROSTAT'!AV193,'Comext mensuel - EUROSTAT'!AX193)/10^4</f>
        <v>245.56464000000003</v>
      </c>
      <c r="O184" s="509">
        <f>SUM('Comext mensuel - EUROSTAT'!AY193,'Comext mensuel - EUROSTAT'!BA193,'Comext mensuel - EUROSTAT'!BC193,'Comext mensuel - EUROSTAT'!BE193,'Comext mensuel - EUROSTAT'!BG193,'Comext mensuel - EUROSTAT'!BI193,'Comext mensuel - EUROSTAT'!BK193,'Comext mensuel - EUROSTAT'!BM193,'Comext mensuel - EUROSTAT'!BO193,'Comext mensuel - EUROSTAT'!BQ193,'Comext mensuel - EUROSTAT'!BS193,'Comext mensuel - EUROSTAT'!BU193)/10^4</f>
        <v>16.555692999999998</v>
      </c>
      <c r="P184" s="509">
        <f>SUM('Comext mensuel - EUROSTAT'!AZ193,'Comext mensuel - EUROSTAT'!BB193,'Comext mensuel - EUROSTAT'!BD193,'Comext mensuel - EUROSTAT'!BF193,'Comext mensuel - EUROSTAT'!BH193,'Comext mensuel - EUROSTAT'!BJ193,'Comext mensuel - EUROSTAT'!BL193,'Comext mensuel - EUROSTAT'!BN193,'Comext mensuel - EUROSTAT'!BP193,'Comext mensuel - EUROSTAT'!BR193,'Comext mensuel - EUROSTAT'!BT193,'Comext mensuel - EUROSTAT'!BV193)/10^4</f>
        <v>192.64980699999995</v>
      </c>
    </row>
    <row r="185" spans="1:16">
      <c r="A185" t="s">
        <v>309</v>
      </c>
      <c r="B185" t="s">
        <v>988</v>
      </c>
      <c r="C185" s="693"/>
      <c r="D185" t="str">
        <f>'Comext annuel - EUROSTAT'!B194</f>
        <v>Sons, remoulages et autres résidus, même agglomérés sous forme de pellets, du criblage, de la mouture ou d'autres traitements de riz d'une teneur en amidon &lt;= 35% en poids</v>
      </c>
      <c r="E185" s="86">
        <f>'Comext annuel - EUROSTAT'!C194/10^4</f>
        <v>8.118862</v>
      </c>
      <c r="F185" s="86">
        <f>'Comext annuel - EUROSTAT'!D194/10^4</f>
        <v>5.9634150000000004</v>
      </c>
      <c r="G185" s="86">
        <f>'Comext annuel - EUROSTAT'!E194/10^4</f>
        <v>5.7030620000000001</v>
      </c>
      <c r="H185" s="86">
        <f>'Comext annuel - EUROSTAT'!F194/10^4</f>
        <v>6.3180809999999994</v>
      </c>
      <c r="I185" s="86">
        <f>'Comext annuel - EUROSTAT'!G194/10^4</f>
        <v>8.7150649999999992</v>
      </c>
      <c r="J185" s="86">
        <f>'Comext annuel - EUROSTAT'!H194/10^4</f>
        <v>2.4218160000000002</v>
      </c>
      <c r="K185" s="86">
        <f>SUM('Comext mensuel - EUROSTAT'!C194,'Comext mensuel - EUROSTAT'!E194,'Comext mensuel - EUROSTAT'!G194,'Comext mensuel - EUROSTAT'!I194,'Comext mensuel - EUROSTAT'!K194,'Comext mensuel - EUROSTAT'!M194,'Comext mensuel - EUROSTAT'!O194,'Comext mensuel - EUROSTAT'!Q194,'Comext mensuel - EUROSTAT'!S194,'Comext mensuel - EUROSTAT'!U194,'Comext mensuel - EUROSTAT'!W194,'Comext mensuel - EUROSTAT'!Y194)/10^4</f>
        <v>5.5844869999999993</v>
      </c>
      <c r="L185" s="86">
        <f>SUM('Comext mensuel - EUROSTAT'!D194,'Comext mensuel - EUROSTAT'!F194,'Comext mensuel - EUROSTAT'!H194,'Comext mensuel - EUROSTAT'!J194,'Comext mensuel - EUROSTAT'!L194,'Comext mensuel - EUROSTAT'!N194,'Comext mensuel - EUROSTAT'!P194,'Comext mensuel - EUROSTAT'!R194,'Comext mensuel - EUROSTAT'!T194,'Comext mensuel - EUROSTAT'!V194,'Comext mensuel - EUROSTAT'!X194,'Comext mensuel - EUROSTAT'!Z194)/10^4</f>
        <v>5.7981870000000013</v>
      </c>
      <c r="M185" s="86">
        <f>SUM('Comext mensuel - EUROSTAT'!AA194,'Comext mensuel - EUROSTAT'!AC194,'Comext mensuel - EUROSTAT'!AE194,'Comext mensuel - EUROSTAT'!AG194,'Comext mensuel - EUROSTAT'!AI194,'Comext mensuel - EUROSTAT'!AK194,'Comext mensuel - EUROSTAT'!AM194,'Comext mensuel - EUROSTAT'!AO194,'Comext mensuel - EUROSTAT'!AQ194,'Comext mensuel - EUROSTAT'!AS194,'Comext mensuel - EUROSTAT'!AU194,'Comext mensuel - EUROSTAT'!AW194)/10^4</f>
        <v>5.7842229999999999</v>
      </c>
      <c r="N185" s="86">
        <f>SUM('Comext mensuel - EUROSTAT'!AB194,'Comext mensuel - EUROSTAT'!AD194,'Comext mensuel - EUROSTAT'!AF194,'Comext mensuel - EUROSTAT'!AH194,'Comext mensuel - EUROSTAT'!AJ194,'Comext mensuel - EUROSTAT'!AL194,'Comext mensuel - EUROSTAT'!AN194,'Comext mensuel - EUROSTAT'!AP194,'Comext mensuel - EUROSTAT'!AR194,'Comext mensuel - EUROSTAT'!AT194,'Comext mensuel - EUROSTAT'!AV194,'Comext mensuel - EUROSTAT'!AX194)/10^4</f>
        <v>7.6265979999999995</v>
      </c>
      <c r="O185" s="86">
        <f>SUM('Comext mensuel - EUROSTAT'!AY194,'Comext mensuel - EUROSTAT'!BA194,'Comext mensuel - EUROSTAT'!BC194,'Comext mensuel - EUROSTAT'!BE194,'Comext mensuel - EUROSTAT'!BG194,'Comext mensuel - EUROSTAT'!BI194,'Comext mensuel - EUROSTAT'!BK194,'Comext mensuel - EUROSTAT'!BM194,'Comext mensuel - EUROSTAT'!BO194,'Comext mensuel - EUROSTAT'!BQ194,'Comext mensuel - EUROSTAT'!BS194,'Comext mensuel - EUROSTAT'!BU194)/10^4</f>
        <v>9.5452230000000018</v>
      </c>
      <c r="P185" s="86">
        <f>SUM('Comext mensuel - EUROSTAT'!AZ194,'Comext mensuel - EUROSTAT'!BB194,'Comext mensuel - EUROSTAT'!BD194,'Comext mensuel - EUROSTAT'!BF194,'Comext mensuel - EUROSTAT'!BH194,'Comext mensuel - EUROSTAT'!BJ194,'Comext mensuel - EUROSTAT'!BL194,'Comext mensuel - EUROSTAT'!BN194,'Comext mensuel - EUROSTAT'!BP194,'Comext mensuel - EUROSTAT'!BR194,'Comext mensuel - EUROSTAT'!BT194,'Comext mensuel - EUROSTAT'!BV194)/10^4</f>
        <v>2.9712140000000007</v>
      </c>
    </row>
    <row r="186" spans="1:16">
      <c r="A186" t="s">
        <v>309</v>
      </c>
      <c r="B186" t="s">
        <v>988</v>
      </c>
      <c r="C186" s="693"/>
      <c r="D186" t="str">
        <f>'Comext annuel - EUROSTAT'!B195</f>
        <v>Sons, remoulages et autres résidus, même agglomérés sous forme de pellets, du criblage, de la mouture ou d'autres traitements de riz d'une teneur en amidon &gt; 35% en poids</v>
      </c>
      <c r="E186" s="86">
        <f>'Comext annuel - EUROSTAT'!C195/10^4</f>
        <v>3.7518359999999999</v>
      </c>
      <c r="F186" s="86">
        <f>'Comext annuel - EUROSTAT'!D195/10^4</f>
        <v>4.5479849999999997</v>
      </c>
      <c r="G186" s="86">
        <f>'Comext annuel - EUROSTAT'!E195/10^4</f>
        <v>6.4813289999999997</v>
      </c>
      <c r="H186" s="86">
        <f>'Comext annuel - EUROSTAT'!F195/10^4</f>
        <v>0.43362200000000001</v>
      </c>
      <c r="I186" s="86">
        <f>'Comext annuel - EUROSTAT'!G195/10^4</f>
        <v>0.59424200000000005</v>
      </c>
      <c r="J186" s="86">
        <f>'Comext annuel - EUROSTAT'!H195/10^4</f>
        <v>4.7181980000000001</v>
      </c>
      <c r="K186" s="86">
        <f>SUM('Comext mensuel - EUROSTAT'!C195,'Comext mensuel - EUROSTAT'!E195,'Comext mensuel - EUROSTAT'!G195,'Comext mensuel - EUROSTAT'!I195,'Comext mensuel - EUROSTAT'!K195,'Comext mensuel - EUROSTAT'!M195,'Comext mensuel - EUROSTAT'!O195,'Comext mensuel - EUROSTAT'!Q195,'Comext mensuel - EUROSTAT'!S195,'Comext mensuel - EUROSTAT'!U195,'Comext mensuel - EUROSTAT'!W195,'Comext mensuel - EUROSTAT'!Y195)/10^4</f>
        <v>3.7786390000000001</v>
      </c>
      <c r="L186" s="86">
        <f>SUM('Comext mensuel - EUROSTAT'!D195,'Comext mensuel - EUROSTAT'!F195,'Comext mensuel - EUROSTAT'!H195,'Comext mensuel - EUROSTAT'!J195,'Comext mensuel - EUROSTAT'!L195,'Comext mensuel - EUROSTAT'!N195,'Comext mensuel - EUROSTAT'!P195,'Comext mensuel - EUROSTAT'!R195,'Comext mensuel - EUROSTAT'!T195,'Comext mensuel - EUROSTAT'!V195,'Comext mensuel - EUROSTAT'!X195,'Comext mensuel - EUROSTAT'!Z195)/10^4</f>
        <v>5.0117949999999993</v>
      </c>
      <c r="M186" s="86">
        <f>SUM('Comext mensuel - EUROSTAT'!AA195,'Comext mensuel - EUROSTAT'!AC195,'Comext mensuel - EUROSTAT'!AE195,'Comext mensuel - EUROSTAT'!AG195,'Comext mensuel - EUROSTAT'!AI195,'Comext mensuel - EUROSTAT'!AK195,'Comext mensuel - EUROSTAT'!AM195,'Comext mensuel - EUROSTAT'!AO195,'Comext mensuel - EUROSTAT'!AQ195,'Comext mensuel - EUROSTAT'!AS195,'Comext mensuel - EUROSTAT'!AU195,'Comext mensuel - EUROSTAT'!AW195)/10^4</f>
        <v>5.588601999999999</v>
      </c>
      <c r="N186" s="86">
        <f>SUM('Comext mensuel - EUROSTAT'!AB195,'Comext mensuel - EUROSTAT'!AD195,'Comext mensuel - EUROSTAT'!AF195,'Comext mensuel - EUROSTAT'!AH195,'Comext mensuel - EUROSTAT'!AJ195,'Comext mensuel - EUROSTAT'!AL195,'Comext mensuel - EUROSTAT'!AN195,'Comext mensuel - EUROSTAT'!AP195,'Comext mensuel - EUROSTAT'!AR195,'Comext mensuel - EUROSTAT'!AT195,'Comext mensuel - EUROSTAT'!AV195,'Comext mensuel - EUROSTAT'!AX195)/10^4</f>
        <v>4.0550699999999997</v>
      </c>
      <c r="O186" s="86">
        <f>SUM('Comext mensuel - EUROSTAT'!AY195,'Comext mensuel - EUROSTAT'!BA195,'Comext mensuel - EUROSTAT'!BC195,'Comext mensuel - EUROSTAT'!BE195,'Comext mensuel - EUROSTAT'!BG195,'Comext mensuel - EUROSTAT'!BI195,'Comext mensuel - EUROSTAT'!BK195,'Comext mensuel - EUROSTAT'!BM195,'Comext mensuel - EUROSTAT'!BO195,'Comext mensuel - EUROSTAT'!BQ195,'Comext mensuel - EUROSTAT'!BS195,'Comext mensuel - EUROSTAT'!BU195)/10^4</f>
        <v>0.38684499999999999</v>
      </c>
      <c r="P186" s="86">
        <f>SUM('Comext mensuel - EUROSTAT'!AZ195,'Comext mensuel - EUROSTAT'!BB195,'Comext mensuel - EUROSTAT'!BD195,'Comext mensuel - EUROSTAT'!BF195,'Comext mensuel - EUROSTAT'!BH195,'Comext mensuel - EUROSTAT'!BJ195,'Comext mensuel - EUROSTAT'!BL195,'Comext mensuel - EUROSTAT'!BN195,'Comext mensuel - EUROSTAT'!BP195,'Comext mensuel - EUROSTAT'!BR195,'Comext mensuel - EUROSTAT'!BT195,'Comext mensuel - EUROSTAT'!BV195)/10^4</f>
        <v>3.3761179999999995</v>
      </c>
    </row>
    <row r="187" spans="1:16">
      <c r="B187" t="s">
        <v>988</v>
      </c>
      <c r="C187" s="693"/>
      <c r="D187" t="str">
        <f>'Comext annuel - EUROSTAT'!B196</f>
        <v>Sons, remoulages et autres résidus, même agglomérés sous forme de pellets, du criblage, de la mouture ou d'autres traitements des céréales (sauf maïs, riz et froment)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v>
      </c>
      <c r="E187" s="86">
        <f>'Comext annuel - EUROSTAT'!C196/10^4</f>
        <v>3.689667</v>
      </c>
      <c r="F187" s="86">
        <f>'Comext annuel - EUROSTAT'!D196/10^4</f>
        <v>0.74083900000000003</v>
      </c>
      <c r="G187" s="86">
        <f>'Comext annuel - EUROSTAT'!E196/10^4</f>
        <v>2.8253490000000001</v>
      </c>
      <c r="H187" s="86">
        <f>'Comext annuel - EUROSTAT'!F196/10^4</f>
        <v>3.6025860000000001</v>
      </c>
      <c r="I187" s="86">
        <f>'Comext annuel - EUROSTAT'!G196/10^4</f>
        <v>8.4134720000000005</v>
      </c>
      <c r="J187" s="86">
        <f>'Comext annuel - EUROSTAT'!H196/10^4</f>
        <v>4.6872879999999997</v>
      </c>
      <c r="K187" s="86">
        <f>SUM('Comext mensuel - EUROSTAT'!C196,'Comext mensuel - EUROSTAT'!E196,'Comext mensuel - EUROSTAT'!G196,'Comext mensuel - EUROSTAT'!I196,'Comext mensuel - EUROSTAT'!K196,'Comext mensuel - EUROSTAT'!M196,'Comext mensuel - EUROSTAT'!O196,'Comext mensuel - EUROSTAT'!Q196,'Comext mensuel - EUROSTAT'!S196,'Comext mensuel - EUROSTAT'!U196,'Comext mensuel - EUROSTAT'!W196,'Comext mensuel - EUROSTAT'!Y196)/10^4</f>
        <v>3.5675829999999995</v>
      </c>
      <c r="L187" s="86">
        <f>SUM('Comext mensuel - EUROSTAT'!D196,'Comext mensuel - EUROSTAT'!F196,'Comext mensuel - EUROSTAT'!H196,'Comext mensuel - EUROSTAT'!J196,'Comext mensuel - EUROSTAT'!L196,'Comext mensuel - EUROSTAT'!N196,'Comext mensuel - EUROSTAT'!P196,'Comext mensuel - EUROSTAT'!R196,'Comext mensuel - EUROSTAT'!T196,'Comext mensuel - EUROSTAT'!V196,'Comext mensuel - EUROSTAT'!X196,'Comext mensuel - EUROSTAT'!Z196)/10^4</f>
        <v>1.0989220000000002</v>
      </c>
      <c r="M187" s="86">
        <f>SUM('Comext mensuel - EUROSTAT'!AA196,'Comext mensuel - EUROSTAT'!AC196,'Comext mensuel - EUROSTAT'!AE196,'Comext mensuel - EUROSTAT'!AG196,'Comext mensuel - EUROSTAT'!AI196,'Comext mensuel - EUROSTAT'!AK196,'Comext mensuel - EUROSTAT'!AM196,'Comext mensuel - EUROSTAT'!AO196,'Comext mensuel - EUROSTAT'!AQ196,'Comext mensuel - EUROSTAT'!AS196,'Comext mensuel - EUROSTAT'!AU196,'Comext mensuel - EUROSTAT'!AW196)/10^4</f>
        <v>1.358212</v>
      </c>
      <c r="N187" s="86">
        <f>SUM('Comext mensuel - EUROSTAT'!AB196,'Comext mensuel - EUROSTAT'!AD196,'Comext mensuel - EUROSTAT'!AF196,'Comext mensuel - EUROSTAT'!AH196,'Comext mensuel - EUROSTAT'!AJ196,'Comext mensuel - EUROSTAT'!AL196,'Comext mensuel - EUROSTAT'!AN196,'Comext mensuel - EUROSTAT'!AP196,'Comext mensuel - EUROSTAT'!AR196,'Comext mensuel - EUROSTAT'!AT196,'Comext mensuel - EUROSTAT'!AV196,'Comext mensuel - EUROSTAT'!AX196)/10^4</f>
        <v>3.2717329999999998</v>
      </c>
      <c r="O187" s="86">
        <f>SUM('Comext mensuel - EUROSTAT'!AY196,'Comext mensuel - EUROSTAT'!BA196,'Comext mensuel - EUROSTAT'!BC196,'Comext mensuel - EUROSTAT'!BE196,'Comext mensuel - EUROSTAT'!BG196,'Comext mensuel - EUROSTAT'!BI196,'Comext mensuel - EUROSTAT'!BK196,'Comext mensuel - EUROSTAT'!BM196,'Comext mensuel - EUROSTAT'!BO196,'Comext mensuel - EUROSTAT'!BQ196,'Comext mensuel - EUROSTAT'!BS196,'Comext mensuel - EUROSTAT'!BU196)/10^4</f>
        <v>5.2732239999999981</v>
      </c>
      <c r="P187" s="86">
        <f>SUM('Comext mensuel - EUROSTAT'!AZ196,'Comext mensuel - EUROSTAT'!BB196,'Comext mensuel - EUROSTAT'!BD196,'Comext mensuel - EUROSTAT'!BF196,'Comext mensuel - EUROSTAT'!BH196,'Comext mensuel - EUROSTAT'!BJ196,'Comext mensuel - EUROSTAT'!BL196,'Comext mensuel - EUROSTAT'!BN196,'Comext mensuel - EUROSTAT'!BP196,'Comext mensuel - EUROSTAT'!BR196,'Comext mensuel - EUROSTAT'!BT196,'Comext mensuel - EUROSTAT'!BV196)/10^4</f>
        <v>6.4502180000000005</v>
      </c>
    </row>
    <row r="188" spans="1:16">
      <c r="B188" t="s">
        <v>988</v>
      </c>
      <c r="C188" s="693"/>
      <c r="D188" t="str">
        <f>'Comext annuel - EUROSTAT'!B197</f>
        <v>Sons, remoulages et autres résidus, même agglomérés sous forme de pellets, du criblage, de la mouture ou d'autres traitements des céréales (sauf maïs, riz et froment et à l'excl. des produits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v>
      </c>
      <c r="E188" s="86">
        <f>'Comext annuel - EUROSTAT'!C197/10^4</f>
        <v>11.013411</v>
      </c>
      <c r="F188" s="86">
        <f>'Comext annuel - EUROSTAT'!D197/10^4</f>
        <v>21.102426000000001</v>
      </c>
      <c r="G188" s="86">
        <f>'Comext annuel - EUROSTAT'!E197/10^4</f>
        <v>11.984106000000001</v>
      </c>
      <c r="H188" s="86">
        <f>'Comext annuel - EUROSTAT'!F197/10^4</f>
        <v>12.807487</v>
      </c>
      <c r="I188" s="86">
        <f>'Comext annuel - EUROSTAT'!G197/10^4</f>
        <v>19.489872000000002</v>
      </c>
      <c r="J188" s="86">
        <f>'Comext annuel - EUROSTAT'!H197/10^4</f>
        <v>8.9980499999999992</v>
      </c>
      <c r="K188" s="86">
        <f>SUM('Comext mensuel - EUROSTAT'!C197,'Comext mensuel - EUROSTAT'!E197,'Comext mensuel - EUROSTAT'!G197,'Comext mensuel - EUROSTAT'!I197,'Comext mensuel - EUROSTAT'!K197,'Comext mensuel - EUROSTAT'!M197,'Comext mensuel - EUROSTAT'!O197,'Comext mensuel - EUROSTAT'!Q197,'Comext mensuel - EUROSTAT'!S197,'Comext mensuel - EUROSTAT'!U197,'Comext mensuel - EUROSTAT'!W197,'Comext mensuel - EUROSTAT'!Y197)/10^4</f>
        <v>10.676723999999998</v>
      </c>
      <c r="L188" s="86">
        <f>SUM('Comext mensuel - EUROSTAT'!D197,'Comext mensuel - EUROSTAT'!F197,'Comext mensuel - EUROSTAT'!H197,'Comext mensuel - EUROSTAT'!J197,'Comext mensuel - EUROSTAT'!L197,'Comext mensuel - EUROSTAT'!N197,'Comext mensuel - EUROSTAT'!P197,'Comext mensuel - EUROSTAT'!R197,'Comext mensuel - EUROSTAT'!T197,'Comext mensuel - EUROSTAT'!V197,'Comext mensuel - EUROSTAT'!X197,'Comext mensuel - EUROSTAT'!Z197)/10^4</f>
        <v>16.323869000000002</v>
      </c>
      <c r="M188" s="86">
        <f>SUM('Comext mensuel - EUROSTAT'!AA197,'Comext mensuel - EUROSTAT'!AC197,'Comext mensuel - EUROSTAT'!AE197,'Comext mensuel - EUROSTAT'!AG197,'Comext mensuel - EUROSTAT'!AI197,'Comext mensuel - EUROSTAT'!AK197,'Comext mensuel - EUROSTAT'!AM197,'Comext mensuel - EUROSTAT'!AO197,'Comext mensuel - EUROSTAT'!AQ197,'Comext mensuel - EUROSTAT'!AS197,'Comext mensuel - EUROSTAT'!AU197,'Comext mensuel - EUROSTAT'!AW197)/10^4</f>
        <v>14.470223999999998</v>
      </c>
      <c r="N188" s="86">
        <f>SUM('Comext mensuel - EUROSTAT'!AB197,'Comext mensuel - EUROSTAT'!AD197,'Comext mensuel - EUROSTAT'!AF197,'Comext mensuel - EUROSTAT'!AH197,'Comext mensuel - EUROSTAT'!AJ197,'Comext mensuel - EUROSTAT'!AL197,'Comext mensuel - EUROSTAT'!AN197,'Comext mensuel - EUROSTAT'!AP197,'Comext mensuel - EUROSTAT'!AR197,'Comext mensuel - EUROSTAT'!AT197,'Comext mensuel - EUROSTAT'!AV197,'Comext mensuel - EUROSTAT'!AX197)/10^4</f>
        <v>13.753798999999999</v>
      </c>
      <c r="O188" s="86">
        <f>SUM('Comext mensuel - EUROSTAT'!AY197,'Comext mensuel - EUROSTAT'!BA197,'Comext mensuel - EUROSTAT'!BC197,'Comext mensuel - EUROSTAT'!BE197,'Comext mensuel - EUROSTAT'!BG197,'Comext mensuel - EUROSTAT'!BI197,'Comext mensuel - EUROSTAT'!BK197,'Comext mensuel - EUROSTAT'!BM197,'Comext mensuel - EUROSTAT'!BO197,'Comext mensuel - EUROSTAT'!BQ197,'Comext mensuel - EUROSTAT'!BS197,'Comext mensuel - EUROSTAT'!BU197)/10^4</f>
        <v>20.445742000000003</v>
      </c>
      <c r="P188" s="86">
        <f>SUM('Comext mensuel - EUROSTAT'!AZ197,'Comext mensuel - EUROSTAT'!BB197,'Comext mensuel - EUROSTAT'!BD197,'Comext mensuel - EUROSTAT'!BF197,'Comext mensuel - EUROSTAT'!BH197,'Comext mensuel - EUROSTAT'!BJ197,'Comext mensuel - EUROSTAT'!BL197,'Comext mensuel - EUROSTAT'!BN197,'Comext mensuel - EUROSTAT'!BP197,'Comext mensuel - EUROSTAT'!BR197,'Comext mensuel - EUROSTAT'!BT197,'Comext mensuel - EUROSTAT'!BV197)/10^4</f>
        <v>6.6711099999999988</v>
      </c>
    </row>
    <row r="189" spans="1:16">
      <c r="A189" t="s">
        <v>307</v>
      </c>
      <c r="B189" t="s">
        <v>995</v>
      </c>
      <c r="C189" s="693" t="s">
        <v>989</v>
      </c>
      <c r="D189" t="str">
        <f>'Comext annuel - EUROSTAT'!B198</f>
        <v>Résidus de l'amidonnerie du maïs, d'une teneur en protéines, calculée sur la matière sèche, &gt; 40% en poids (à l'excl. des eaux de trempe concentrées)</v>
      </c>
      <c r="E189" s="86">
        <f>'Comext annuel - EUROSTAT'!C198/10^4</f>
        <v>50.149549999999998</v>
      </c>
      <c r="F189" s="86">
        <f>'Comext annuel - EUROSTAT'!D198/10^4</f>
        <v>63.605354000000005</v>
      </c>
      <c r="G189" s="86">
        <f>'Comext annuel - EUROSTAT'!E198/10^4</f>
        <v>59.678522999999998</v>
      </c>
      <c r="H189" s="86">
        <f>'Comext annuel - EUROSTAT'!F198/10^4</f>
        <v>54.997577</v>
      </c>
      <c r="I189" s="86">
        <f>'Comext annuel - EUROSTAT'!G198/10^4</f>
        <v>45.244752000000005</v>
      </c>
      <c r="J189" s="86">
        <f>'Comext annuel - EUROSTAT'!H198/10^4</f>
        <v>32.227612000000001</v>
      </c>
      <c r="K189" s="509">
        <f>SUM('Comext mensuel - EUROSTAT'!C198,'Comext mensuel - EUROSTAT'!E198,'Comext mensuel - EUROSTAT'!G198,'Comext mensuel - EUROSTAT'!I198,'Comext mensuel - EUROSTAT'!K198,'Comext mensuel - EUROSTAT'!M198,'Comext mensuel - EUROSTAT'!O198,'Comext mensuel - EUROSTAT'!Q198,'Comext mensuel - EUROSTAT'!S198,'Comext mensuel - EUROSTAT'!U198,'Comext mensuel - EUROSTAT'!W198,'Comext mensuel - EUROSTAT'!Y198)/10^4</f>
        <v>45.654083</v>
      </c>
      <c r="L189" s="509">
        <f>SUM('Comext mensuel - EUROSTAT'!D198,'Comext mensuel - EUROSTAT'!F198,'Comext mensuel - EUROSTAT'!H198,'Comext mensuel - EUROSTAT'!J198,'Comext mensuel - EUROSTAT'!L198,'Comext mensuel - EUROSTAT'!N198,'Comext mensuel - EUROSTAT'!P198,'Comext mensuel - EUROSTAT'!R198,'Comext mensuel - EUROSTAT'!T198,'Comext mensuel - EUROSTAT'!V198,'Comext mensuel - EUROSTAT'!X198,'Comext mensuel - EUROSTAT'!Z198)/10^4</f>
        <v>59.527841000000002</v>
      </c>
      <c r="M189" s="509">
        <f>SUM('Comext mensuel - EUROSTAT'!AA198,'Comext mensuel - EUROSTAT'!AC198,'Comext mensuel - EUROSTAT'!AE198,'Comext mensuel - EUROSTAT'!AG198,'Comext mensuel - EUROSTAT'!AI198,'Comext mensuel - EUROSTAT'!AK198,'Comext mensuel - EUROSTAT'!AM198,'Comext mensuel - EUROSTAT'!AO198,'Comext mensuel - EUROSTAT'!AQ198,'Comext mensuel - EUROSTAT'!AS198,'Comext mensuel - EUROSTAT'!AU198,'Comext mensuel - EUROSTAT'!AW198)/10^4</f>
        <v>62.074175000000011</v>
      </c>
      <c r="N189" s="509">
        <f>SUM('Comext mensuel - EUROSTAT'!AB198,'Comext mensuel - EUROSTAT'!AD198,'Comext mensuel - EUROSTAT'!AF198,'Comext mensuel - EUROSTAT'!AH198,'Comext mensuel - EUROSTAT'!AJ198,'Comext mensuel - EUROSTAT'!AL198,'Comext mensuel - EUROSTAT'!AN198,'Comext mensuel - EUROSTAT'!AP198,'Comext mensuel - EUROSTAT'!AR198,'Comext mensuel - EUROSTAT'!AT198,'Comext mensuel - EUROSTAT'!AV198,'Comext mensuel - EUROSTAT'!AX198)/10^4</f>
        <v>47.148057999999999</v>
      </c>
      <c r="O189" s="509">
        <f>SUM('Comext mensuel - EUROSTAT'!AY198,'Comext mensuel - EUROSTAT'!BA198,'Comext mensuel - EUROSTAT'!BC198,'Comext mensuel - EUROSTAT'!BE198,'Comext mensuel - EUROSTAT'!BG198,'Comext mensuel - EUROSTAT'!BI198,'Comext mensuel - EUROSTAT'!BK198,'Comext mensuel - EUROSTAT'!BM198,'Comext mensuel - EUROSTAT'!BO198,'Comext mensuel - EUROSTAT'!BQ198,'Comext mensuel - EUROSTAT'!BS198,'Comext mensuel - EUROSTAT'!BU198)/10^4</f>
        <v>46.480306000000006</v>
      </c>
      <c r="P189" s="509">
        <f>SUM('Comext mensuel - EUROSTAT'!AZ198,'Comext mensuel - EUROSTAT'!BB198,'Comext mensuel - EUROSTAT'!BD198,'Comext mensuel - EUROSTAT'!BF198,'Comext mensuel - EUROSTAT'!BH198,'Comext mensuel - EUROSTAT'!BJ198,'Comext mensuel - EUROSTAT'!BL198,'Comext mensuel - EUROSTAT'!BN198,'Comext mensuel - EUROSTAT'!BP198,'Comext mensuel - EUROSTAT'!BR198,'Comext mensuel - EUROSTAT'!BT198,'Comext mensuel - EUROSTAT'!BV198)/10^4</f>
        <v>40.429396000000004</v>
      </c>
    </row>
    <row r="190" spans="1:16">
      <c r="A190" t="s">
        <v>307</v>
      </c>
      <c r="B190" t="s">
        <v>995</v>
      </c>
      <c r="C190" s="693"/>
      <c r="D190" t="str">
        <f>'Comext annuel - EUROSTAT'!B199</f>
        <v>Résidus de l'amidonnerie du maïs, d'une teneur en protéines, calculée sur la matière sèche, &lt;= 40% en poids (à l'excl. des eaux de trempe concentrées)</v>
      </c>
      <c r="E190" s="86">
        <f>'Comext annuel - EUROSTAT'!C199/10^4</f>
        <v>39.043944000000003</v>
      </c>
      <c r="F190" s="86">
        <f>'Comext annuel - EUROSTAT'!D199/10^4</f>
        <v>298.89937400000002</v>
      </c>
      <c r="G190" s="86">
        <f>'Comext annuel - EUROSTAT'!E199/10^4</f>
        <v>54.660823999999998</v>
      </c>
      <c r="H190" s="86">
        <f>'Comext annuel - EUROSTAT'!F199/10^4</f>
        <v>126.15285800000001</v>
      </c>
      <c r="I190" s="86">
        <f>'Comext annuel - EUROSTAT'!G199/10^4</f>
        <v>22.417748</v>
      </c>
      <c r="J190" s="86">
        <f>'Comext annuel - EUROSTAT'!H199/10^4</f>
        <v>101.31016700000001</v>
      </c>
      <c r="K190" s="509">
        <f>SUM('Comext mensuel - EUROSTAT'!C199,'Comext mensuel - EUROSTAT'!E199,'Comext mensuel - EUROSTAT'!G199,'Comext mensuel - EUROSTAT'!I199,'Comext mensuel - EUROSTAT'!K199,'Comext mensuel - EUROSTAT'!M199,'Comext mensuel - EUROSTAT'!O199,'Comext mensuel - EUROSTAT'!Q199,'Comext mensuel - EUROSTAT'!S199,'Comext mensuel - EUROSTAT'!U199,'Comext mensuel - EUROSTAT'!W199,'Comext mensuel - EUROSTAT'!Y199)/10^4</f>
        <v>36.913891000000007</v>
      </c>
      <c r="L190" s="509">
        <f>SUM('Comext mensuel - EUROSTAT'!D199,'Comext mensuel - EUROSTAT'!F199,'Comext mensuel - EUROSTAT'!H199,'Comext mensuel - EUROSTAT'!J199,'Comext mensuel - EUROSTAT'!L199,'Comext mensuel - EUROSTAT'!N199,'Comext mensuel - EUROSTAT'!P199,'Comext mensuel - EUROSTAT'!R199,'Comext mensuel - EUROSTAT'!T199,'Comext mensuel - EUROSTAT'!V199,'Comext mensuel - EUROSTAT'!X199,'Comext mensuel - EUROSTAT'!Z199)/10^4</f>
        <v>290.47376300000002</v>
      </c>
      <c r="M190" s="509">
        <f>SUM('Comext mensuel - EUROSTAT'!AA199,'Comext mensuel - EUROSTAT'!AC199,'Comext mensuel - EUROSTAT'!AE199,'Comext mensuel - EUROSTAT'!AG199,'Comext mensuel - EUROSTAT'!AI199,'Comext mensuel - EUROSTAT'!AK199,'Comext mensuel - EUROSTAT'!AM199,'Comext mensuel - EUROSTAT'!AO199,'Comext mensuel - EUROSTAT'!AQ199,'Comext mensuel - EUROSTAT'!AS199,'Comext mensuel - EUROSTAT'!AU199,'Comext mensuel - EUROSTAT'!AW199)/10^4</f>
        <v>43.968277999999998</v>
      </c>
      <c r="N190" s="509">
        <f>SUM('Comext mensuel - EUROSTAT'!AB199,'Comext mensuel - EUROSTAT'!AD199,'Comext mensuel - EUROSTAT'!AF199,'Comext mensuel - EUROSTAT'!AH199,'Comext mensuel - EUROSTAT'!AJ199,'Comext mensuel - EUROSTAT'!AL199,'Comext mensuel - EUROSTAT'!AN199,'Comext mensuel - EUROSTAT'!AP199,'Comext mensuel - EUROSTAT'!AR199,'Comext mensuel - EUROSTAT'!AT199,'Comext mensuel - EUROSTAT'!AV199,'Comext mensuel - EUROSTAT'!AX199)/10^4</f>
        <v>157.57614799999999</v>
      </c>
      <c r="O190" s="509">
        <f>SUM('Comext mensuel - EUROSTAT'!AY199,'Comext mensuel - EUROSTAT'!BA199,'Comext mensuel - EUROSTAT'!BC199,'Comext mensuel - EUROSTAT'!BE199,'Comext mensuel - EUROSTAT'!BG199,'Comext mensuel - EUROSTAT'!BI199,'Comext mensuel - EUROSTAT'!BK199,'Comext mensuel - EUROSTAT'!BM199,'Comext mensuel - EUROSTAT'!BO199,'Comext mensuel - EUROSTAT'!BQ199,'Comext mensuel - EUROSTAT'!BS199,'Comext mensuel - EUROSTAT'!BU199)/10^4</f>
        <v>18.958617999999998</v>
      </c>
      <c r="P190" s="509">
        <f>SUM('Comext mensuel - EUROSTAT'!AZ199,'Comext mensuel - EUROSTAT'!BB199,'Comext mensuel - EUROSTAT'!BD199,'Comext mensuel - EUROSTAT'!BF199,'Comext mensuel - EUROSTAT'!BH199,'Comext mensuel - EUROSTAT'!BJ199,'Comext mensuel - EUROSTAT'!BL199,'Comext mensuel - EUROSTAT'!BN199,'Comext mensuel - EUROSTAT'!BP199,'Comext mensuel - EUROSTAT'!BR199,'Comext mensuel - EUROSTAT'!BT199,'Comext mensuel - EUROSTAT'!BV199)/10^4</f>
        <v>105.760874</v>
      </c>
    </row>
    <row r="191" spans="1:16">
      <c r="A191" t="s">
        <v>994</v>
      </c>
      <c r="B191" t="s">
        <v>995</v>
      </c>
      <c r="C191" s="693"/>
      <c r="D191" t="str">
        <f>'Comext annuel - EUROSTAT'!B200</f>
        <v>Résidus de l'amidonnerie et résidus simil. (à l'excl. des résidus de l'amidonnerie du maïs)</v>
      </c>
      <c r="E191" s="86">
        <f>'Comext annuel - EUROSTAT'!C200/10^4</f>
        <v>52.775206999999995</v>
      </c>
      <c r="F191" s="86">
        <f>'Comext annuel - EUROSTAT'!D200/10^4</f>
        <v>260.11135999999999</v>
      </c>
      <c r="G191" s="86">
        <f>'Comext annuel - EUROSTAT'!E200/10^4</f>
        <v>62.808312000000001</v>
      </c>
      <c r="H191" s="86">
        <f>'Comext annuel - EUROSTAT'!F200/10^4</f>
        <v>189.91908600000002</v>
      </c>
      <c r="I191" s="86">
        <f>'Comext annuel - EUROSTAT'!G200/10^4</f>
        <v>33.492909000000004</v>
      </c>
      <c r="J191" s="86">
        <f>'Comext annuel - EUROSTAT'!H200/10^4</f>
        <v>61.106076000000002</v>
      </c>
      <c r="K191" s="86">
        <f>SUM('Comext mensuel - EUROSTAT'!C200,'Comext mensuel - EUROSTAT'!E200,'Comext mensuel - EUROSTAT'!G200,'Comext mensuel - EUROSTAT'!I200,'Comext mensuel - EUROSTAT'!K200,'Comext mensuel - EUROSTAT'!M200,'Comext mensuel - EUROSTAT'!O200,'Comext mensuel - EUROSTAT'!Q200,'Comext mensuel - EUROSTAT'!S200,'Comext mensuel - EUROSTAT'!U200,'Comext mensuel - EUROSTAT'!W200,'Comext mensuel - EUROSTAT'!Y200)/10^4</f>
        <v>54.901715000000003</v>
      </c>
      <c r="L191" s="86">
        <f>SUM('Comext mensuel - EUROSTAT'!D200,'Comext mensuel - EUROSTAT'!F200,'Comext mensuel - EUROSTAT'!H200,'Comext mensuel - EUROSTAT'!J200,'Comext mensuel - EUROSTAT'!L200,'Comext mensuel - EUROSTAT'!N200,'Comext mensuel - EUROSTAT'!P200,'Comext mensuel - EUROSTAT'!R200,'Comext mensuel - EUROSTAT'!T200,'Comext mensuel - EUROSTAT'!V200,'Comext mensuel - EUROSTAT'!X200,'Comext mensuel - EUROSTAT'!Z200)/10^4</f>
        <v>269.29410899999993</v>
      </c>
      <c r="M191" s="86">
        <f>SUM('Comext mensuel - EUROSTAT'!AA200,'Comext mensuel - EUROSTAT'!AC200,'Comext mensuel - EUROSTAT'!AE200,'Comext mensuel - EUROSTAT'!AG200,'Comext mensuel - EUROSTAT'!AI200,'Comext mensuel - EUROSTAT'!AK200,'Comext mensuel - EUROSTAT'!AM200,'Comext mensuel - EUROSTAT'!AO200,'Comext mensuel - EUROSTAT'!AQ200,'Comext mensuel - EUROSTAT'!AS200,'Comext mensuel - EUROSTAT'!AU200,'Comext mensuel - EUROSTAT'!AW200)/10^4</f>
        <v>58.047603000000002</v>
      </c>
      <c r="N191" s="86">
        <f>SUM('Comext mensuel - EUROSTAT'!AB200,'Comext mensuel - EUROSTAT'!AD200,'Comext mensuel - EUROSTAT'!AF200,'Comext mensuel - EUROSTAT'!AH200,'Comext mensuel - EUROSTAT'!AJ200,'Comext mensuel - EUROSTAT'!AL200,'Comext mensuel - EUROSTAT'!AN200,'Comext mensuel - EUROSTAT'!AP200,'Comext mensuel - EUROSTAT'!AR200,'Comext mensuel - EUROSTAT'!AT200,'Comext mensuel - EUROSTAT'!AV200,'Comext mensuel - EUROSTAT'!AX200)/10^4</f>
        <v>144.396051</v>
      </c>
      <c r="O191" s="86">
        <f>SUM('Comext mensuel - EUROSTAT'!AY200,'Comext mensuel - EUROSTAT'!BA200,'Comext mensuel - EUROSTAT'!BC200,'Comext mensuel - EUROSTAT'!BE200,'Comext mensuel - EUROSTAT'!BG200,'Comext mensuel - EUROSTAT'!BI200,'Comext mensuel - EUROSTAT'!BK200,'Comext mensuel - EUROSTAT'!BM200,'Comext mensuel - EUROSTAT'!BO200,'Comext mensuel - EUROSTAT'!BQ200,'Comext mensuel - EUROSTAT'!BS200,'Comext mensuel - EUROSTAT'!BU200)/10^4</f>
        <v>29.875363</v>
      </c>
      <c r="P191" s="86">
        <f>SUM('Comext mensuel - EUROSTAT'!AZ200,'Comext mensuel - EUROSTAT'!BB200,'Comext mensuel - EUROSTAT'!BD200,'Comext mensuel - EUROSTAT'!BF200,'Comext mensuel - EUROSTAT'!BH200,'Comext mensuel - EUROSTAT'!BJ200,'Comext mensuel - EUROSTAT'!BL200,'Comext mensuel - EUROSTAT'!BN200,'Comext mensuel - EUROSTAT'!BP200,'Comext mensuel - EUROSTAT'!BR200,'Comext mensuel - EUROSTAT'!BT200,'Comext mensuel - EUROSTAT'!BV200)/10^4</f>
        <v>56.28676699999999</v>
      </c>
    </row>
    <row r="192" spans="1:16">
      <c r="A192" t="s">
        <v>993</v>
      </c>
      <c r="B192" t="s">
        <v>992</v>
      </c>
      <c r="C192" t="s">
        <v>990</v>
      </c>
      <c r="D192" t="str">
        <f>'Comext annuel - EUROSTAT'!B201</f>
        <v>Drêches et déchets de brasserie ou de distillerie</v>
      </c>
      <c r="E192" s="86">
        <f>'Comext annuel - EUROSTAT'!C201/10^4</f>
        <v>182.64712499999999</v>
      </c>
      <c r="F192" s="86">
        <f>'Comext annuel - EUROSTAT'!D201/10^4</f>
        <v>93.200491</v>
      </c>
      <c r="G192" s="86">
        <f>'Comext annuel - EUROSTAT'!E201/10^4</f>
        <v>246.571471</v>
      </c>
      <c r="H192" s="86">
        <f>'Comext annuel - EUROSTAT'!F201/10^4</f>
        <v>123.72207299999999</v>
      </c>
      <c r="I192" s="86">
        <f>'Comext annuel - EUROSTAT'!G201/10^4</f>
        <v>223.01042400000003</v>
      </c>
      <c r="J192" s="86">
        <f>'Comext annuel - EUROSTAT'!H201/10^4</f>
        <v>146.052222</v>
      </c>
      <c r="K192" s="568">
        <f>SUM('Comext mensuel - EUROSTAT'!C201,'Comext mensuel - EUROSTAT'!E201,'Comext mensuel - EUROSTAT'!G201,'Comext mensuel - EUROSTAT'!I201,'Comext mensuel - EUROSTAT'!K201,'Comext mensuel - EUROSTAT'!M201,'Comext mensuel - EUROSTAT'!O201,'Comext mensuel - EUROSTAT'!Q201,'Comext mensuel - EUROSTAT'!S201,'Comext mensuel - EUROSTAT'!U201,'Comext mensuel - EUROSTAT'!W201,'Comext mensuel - EUROSTAT'!Y201)/10^4</f>
        <v>186.633939</v>
      </c>
      <c r="L192" s="568">
        <f>SUM('Comext mensuel - EUROSTAT'!D201,'Comext mensuel - EUROSTAT'!F201,'Comext mensuel - EUROSTAT'!H201,'Comext mensuel - EUROSTAT'!J201,'Comext mensuel - EUROSTAT'!L201,'Comext mensuel - EUROSTAT'!N201,'Comext mensuel - EUROSTAT'!P201,'Comext mensuel - EUROSTAT'!R201,'Comext mensuel - EUROSTAT'!T201,'Comext mensuel - EUROSTAT'!V201,'Comext mensuel - EUROSTAT'!X201,'Comext mensuel - EUROSTAT'!Z201)/10^4</f>
        <v>90.350879999999989</v>
      </c>
      <c r="M192" s="568">
        <f>SUM('Comext mensuel - EUROSTAT'!AA201,'Comext mensuel - EUROSTAT'!AC201,'Comext mensuel - EUROSTAT'!AE201,'Comext mensuel - EUROSTAT'!AG201,'Comext mensuel - EUROSTAT'!AI201,'Comext mensuel - EUROSTAT'!AK201,'Comext mensuel - EUROSTAT'!AM201,'Comext mensuel - EUROSTAT'!AO201,'Comext mensuel - EUROSTAT'!AQ201,'Comext mensuel - EUROSTAT'!AS201,'Comext mensuel - EUROSTAT'!AU201,'Comext mensuel - EUROSTAT'!AW201)/10^4</f>
        <v>267.08980600000001</v>
      </c>
      <c r="N192" s="568">
        <f>SUM('Comext mensuel - EUROSTAT'!AB201,'Comext mensuel - EUROSTAT'!AD201,'Comext mensuel - EUROSTAT'!AF201,'Comext mensuel - EUROSTAT'!AH201,'Comext mensuel - EUROSTAT'!AJ201,'Comext mensuel - EUROSTAT'!AL201,'Comext mensuel - EUROSTAT'!AN201,'Comext mensuel - EUROSTAT'!AP201,'Comext mensuel - EUROSTAT'!AR201,'Comext mensuel - EUROSTAT'!AT201,'Comext mensuel - EUROSTAT'!AV201,'Comext mensuel - EUROSTAT'!AX201)/10^4</f>
        <v>144.061668</v>
      </c>
      <c r="O192" s="568">
        <f>SUM('Comext mensuel - EUROSTAT'!AY201,'Comext mensuel - EUROSTAT'!BA201,'Comext mensuel - EUROSTAT'!BC201,'Comext mensuel - EUROSTAT'!BE201,'Comext mensuel - EUROSTAT'!BG201,'Comext mensuel - EUROSTAT'!BI201,'Comext mensuel - EUROSTAT'!BK201,'Comext mensuel - EUROSTAT'!BM201,'Comext mensuel - EUROSTAT'!BO201,'Comext mensuel - EUROSTAT'!BQ201,'Comext mensuel - EUROSTAT'!BS201,'Comext mensuel - EUROSTAT'!BU201)/10^4</f>
        <v>253.88427999999999</v>
      </c>
      <c r="P192" s="568">
        <f>SUM('Comext mensuel - EUROSTAT'!AZ201,'Comext mensuel - EUROSTAT'!BB201,'Comext mensuel - EUROSTAT'!BD201,'Comext mensuel - EUROSTAT'!BF201,'Comext mensuel - EUROSTAT'!BH201,'Comext mensuel - EUROSTAT'!BJ201,'Comext mensuel - EUROSTAT'!BL201,'Comext mensuel - EUROSTAT'!BN201,'Comext mensuel - EUROSTAT'!BP201,'Comext mensuel - EUROSTAT'!BR201,'Comext mensuel - EUROSTAT'!BT201,'Comext mensuel - EUROSTAT'!BV201)/10^4</f>
        <v>150.972452</v>
      </c>
    </row>
    <row r="193" spans="1:16">
      <c r="A193" t="s">
        <v>307</v>
      </c>
      <c r="B193" t="s">
        <v>991</v>
      </c>
      <c r="C193" t="s">
        <v>991</v>
      </c>
      <c r="D193" t="str">
        <f>'Comext annuel - EUROSTAT'!B202</f>
        <v>Tourteaux et autres résidus solides, même broyés ou agglomérés sous forme de pellets, de l'extraction des graisses ou huiles de germes de maïs</v>
      </c>
      <c r="E193" s="86">
        <f>'Comext annuel - EUROSTAT'!C202/10^4</f>
        <v>53.636707999999999</v>
      </c>
      <c r="F193" s="86">
        <f>'Comext annuel - EUROSTAT'!D202/10^4</f>
        <v>7.0211240000000004</v>
      </c>
      <c r="G193" s="86">
        <f>'Comext annuel - EUROSTAT'!E202/10^4</f>
        <v>36.09646</v>
      </c>
      <c r="H193" s="86">
        <f>'Comext annuel - EUROSTAT'!F202/10^4</f>
        <v>9.4717450000000003</v>
      </c>
      <c r="I193" s="86">
        <f>'Comext annuel - EUROSTAT'!G202/10^4</f>
        <v>30.063578000000003</v>
      </c>
      <c r="J193" s="86">
        <f>'Comext annuel - EUROSTAT'!H202/10^4</f>
        <v>7.2714360000000005</v>
      </c>
      <c r="K193" s="509">
        <f>SUM('Comext mensuel - EUROSTAT'!C202,'Comext mensuel - EUROSTAT'!E202,'Comext mensuel - EUROSTAT'!G202,'Comext mensuel - EUROSTAT'!I202,'Comext mensuel - EUROSTAT'!K202,'Comext mensuel - EUROSTAT'!M202,'Comext mensuel - EUROSTAT'!O202,'Comext mensuel - EUROSTAT'!Q202,'Comext mensuel - EUROSTAT'!S202,'Comext mensuel - EUROSTAT'!U202,'Comext mensuel - EUROSTAT'!W202,'Comext mensuel - EUROSTAT'!Y202)/10^4</f>
        <v>44.940016</v>
      </c>
      <c r="L193" s="509">
        <f>SUM('Comext mensuel - EUROSTAT'!D202,'Comext mensuel - EUROSTAT'!F202,'Comext mensuel - EUROSTAT'!H202,'Comext mensuel - EUROSTAT'!J202,'Comext mensuel - EUROSTAT'!L202,'Comext mensuel - EUROSTAT'!N202,'Comext mensuel - EUROSTAT'!P202,'Comext mensuel - EUROSTAT'!R202,'Comext mensuel - EUROSTAT'!T202,'Comext mensuel - EUROSTAT'!V202,'Comext mensuel - EUROSTAT'!X202,'Comext mensuel - EUROSTAT'!Z202)/10^4</f>
        <v>6.2505039999999985</v>
      </c>
      <c r="M193" s="509">
        <f>SUM('Comext mensuel - EUROSTAT'!AA202,'Comext mensuel - EUROSTAT'!AC202,'Comext mensuel - EUROSTAT'!AE202,'Comext mensuel - EUROSTAT'!AG202,'Comext mensuel - EUROSTAT'!AI202,'Comext mensuel - EUROSTAT'!AK202,'Comext mensuel - EUROSTAT'!AM202,'Comext mensuel - EUROSTAT'!AO202,'Comext mensuel - EUROSTAT'!AQ202,'Comext mensuel - EUROSTAT'!AS202,'Comext mensuel - EUROSTAT'!AU202,'Comext mensuel - EUROSTAT'!AW202)/10^4</f>
        <v>35.049267999999998</v>
      </c>
      <c r="N193" s="509">
        <f>SUM('Comext mensuel - EUROSTAT'!AB202,'Comext mensuel - EUROSTAT'!AD202,'Comext mensuel - EUROSTAT'!AF202,'Comext mensuel - EUROSTAT'!AH202,'Comext mensuel - EUROSTAT'!AJ202,'Comext mensuel - EUROSTAT'!AL202,'Comext mensuel - EUROSTAT'!AN202,'Comext mensuel - EUROSTAT'!AP202,'Comext mensuel - EUROSTAT'!AR202,'Comext mensuel - EUROSTAT'!AT202,'Comext mensuel - EUROSTAT'!AV202,'Comext mensuel - EUROSTAT'!AX202)/10^4</f>
        <v>8.9110899999999997</v>
      </c>
      <c r="O193" s="509">
        <f>SUM('Comext mensuel - EUROSTAT'!AY202,'Comext mensuel - EUROSTAT'!BA202,'Comext mensuel - EUROSTAT'!BC202,'Comext mensuel - EUROSTAT'!BE202,'Comext mensuel - EUROSTAT'!BG202,'Comext mensuel - EUROSTAT'!BI202,'Comext mensuel - EUROSTAT'!BK202,'Comext mensuel - EUROSTAT'!BM202,'Comext mensuel - EUROSTAT'!BO202,'Comext mensuel - EUROSTAT'!BQ202,'Comext mensuel - EUROSTAT'!BS202,'Comext mensuel - EUROSTAT'!BU202)/10^4</f>
        <v>35.143808</v>
      </c>
      <c r="P193" s="509">
        <f>SUM('Comext mensuel - EUROSTAT'!AZ202,'Comext mensuel - EUROSTAT'!BB202,'Comext mensuel - EUROSTAT'!BD202,'Comext mensuel - EUROSTAT'!BF202,'Comext mensuel - EUROSTAT'!BH202,'Comext mensuel - EUROSTAT'!BJ202,'Comext mensuel - EUROSTAT'!BL202,'Comext mensuel - EUROSTAT'!BN202,'Comext mensuel - EUROSTAT'!BP202,'Comext mensuel - EUROSTAT'!BR202,'Comext mensuel - EUROSTAT'!BT202,'Comext mensuel - EUROSTAT'!BV202)/10^4</f>
        <v>5.9187159999999999</v>
      </c>
    </row>
    <row r="194" spans="1:16">
      <c r="E194" s="86"/>
      <c r="F194" s="86"/>
      <c r="G194" s="86"/>
      <c r="H194" s="86"/>
      <c r="I194" s="86"/>
      <c r="J194" s="86"/>
    </row>
    <row r="195" spans="1:16">
      <c r="E195" s="86"/>
      <c r="F195" s="86"/>
      <c r="G195" s="86"/>
      <c r="H195" s="86"/>
      <c r="I195" s="86"/>
      <c r="J195" s="86"/>
    </row>
    <row r="196" spans="1:16">
      <c r="E196" s="86"/>
      <c r="F196" s="86"/>
      <c r="G196" s="86"/>
      <c r="H196" s="86"/>
      <c r="I196" s="86"/>
      <c r="J196" s="86"/>
    </row>
    <row r="197" spans="1:16">
      <c r="E197" s="86"/>
      <c r="F197" s="86"/>
      <c r="G197" s="86"/>
      <c r="H197" s="86"/>
      <c r="I197" s="86"/>
      <c r="J197" s="86"/>
    </row>
    <row r="198" spans="1:16">
      <c r="E198" s="86"/>
      <c r="F198" s="86"/>
      <c r="G198" s="86"/>
      <c r="H198" s="86"/>
      <c r="I198" s="86"/>
      <c r="J198" s="86"/>
    </row>
    <row r="199" spans="1:16">
      <c r="E199" s="86"/>
      <c r="F199" s="86"/>
      <c r="G199" s="86"/>
      <c r="H199" s="86"/>
      <c r="I199" s="86"/>
      <c r="J199" s="86"/>
    </row>
    <row r="200" spans="1:16">
      <c r="E200" s="86"/>
      <c r="F200" s="86"/>
      <c r="G200" s="86"/>
      <c r="H200" s="86"/>
      <c r="I200" s="86"/>
      <c r="J200" s="86"/>
    </row>
    <row r="201" spans="1:16">
      <c r="E201" s="86"/>
      <c r="F201" s="86"/>
      <c r="G201" s="86"/>
      <c r="H201" s="86"/>
      <c r="I201" s="86"/>
      <c r="J201" s="86"/>
    </row>
    <row r="202" spans="1:16">
      <c r="E202" s="86"/>
      <c r="F202" s="86"/>
      <c r="G202" s="86"/>
      <c r="H202" s="86"/>
      <c r="I202" s="86"/>
      <c r="J202" s="86"/>
    </row>
    <row r="203" spans="1:16">
      <c r="E203" s="86"/>
      <c r="F203" s="86"/>
      <c r="G203" s="86"/>
      <c r="H203" s="86"/>
      <c r="I203" s="86"/>
      <c r="J203" s="86"/>
    </row>
    <row r="204" spans="1:16">
      <c r="E204" s="86"/>
      <c r="F204" s="86"/>
      <c r="G204" s="86"/>
      <c r="H204" s="86"/>
      <c r="I204" s="86"/>
      <c r="J204" s="86"/>
    </row>
    <row r="205" spans="1:16">
      <c r="E205" s="86"/>
      <c r="F205" s="86"/>
      <c r="G205" s="86"/>
      <c r="H205" s="86"/>
      <c r="I205" s="86"/>
      <c r="J205" s="86"/>
    </row>
    <row r="206" spans="1:16">
      <c r="E206" s="86"/>
      <c r="F206" s="86"/>
      <c r="G206" s="86"/>
      <c r="H206" s="86"/>
      <c r="I206" s="86"/>
      <c r="J206" s="86"/>
    </row>
    <row r="207" spans="1:16">
      <c r="E207" s="86"/>
      <c r="F207" s="86"/>
      <c r="G207" s="86"/>
      <c r="H207" s="86"/>
      <c r="I207" s="86"/>
      <c r="J207" s="86"/>
    </row>
    <row r="208" spans="1:16">
      <c r="E208" s="86"/>
      <c r="F208" s="86"/>
      <c r="G208" s="86"/>
      <c r="H208" s="86"/>
      <c r="I208" s="86"/>
      <c r="J208" s="86"/>
    </row>
    <row r="209" spans="5:10">
      <c r="E209" s="86"/>
      <c r="F209" s="86"/>
      <c r="G209" s="86"/>
      <c r="H209" s="86"/>
      <c r="I209" s="86"/>
      <c r="J209" s="86"/>
    </row>
    <row r="210" spans="5:10">
      <c r="E210" s="86"/>
      <c r="F210" s="86"/>
      <c r="G210" s="86"/>
      <c r="H210" s="86"/>
      <c r="I210" s="86"/>
      <c r="J210" s="86"/>
    </row>
    <row r="211" spans="5:10">
      <c r="E211" s="86"/>
      <c r="F211" s="86"/>
      <c r="G211" s="86"/>
      <c r="H211" s="86"/>
      <c r="I211" s="86"/>
      <c r="J211" s="86"/>
    </row>
    <row r="212" spans="5:10">
      <c r="E212" s="86"/>
      <c r="F212" s="86"/>
      <c r="G212" s="86"/>
      <c r="H212" s="86"/>
      <c r="I212" s="86"/>
      <c r="J212" s="86"/>
    </row>
    <row r="213" spans="5:10">
      <c r="E213" s="86"/>
      <c r="F213" s="86"/>
      <c r="G213" s="86"/>
      <c r="H213" s="86"/>
      <c r="I213" s="86"/>
      <c r="J213" s="86"/>
    </row>
    <row r="214" spans="5:10">
      <c r="E214" s="86"/>
      <c r="F214" s="86"/>
      <c r="G214" s="86"/>
      <c r="H214" s="86"/>
      <c r="I214" s="86"/>
      <c r="J214" s="86"/>
    </row>
    <row r="215" spans="5:10">
      <c r="E215" s="86"/>
      <c r="F215" s="86"/>
      <c r="G215" s="86"/>
      <c r="H215" s="86"/>
      <c r="I215" s="86"/>
      <c r="J215" s="86"/>
    </row>
    <row r="216" spans="5:10">
      <c r="E216" s="86"/>
      <c r="F216" s="86"/>
      <c r="G216" s="86"/>
      <c r="H216" s="86"/>
      <c r="I216" s="86"/>
      <c r="J216" s="86"/>
    </row>
    <row r="217" spans="5:10">
      <c r="E217" s="86"/>
      <c r="F217" s="86"/>
      <c r="G217" s="86"/>
      <c r="H217" s="86"/>
      <c r="I217" s="86"/>
      <c r="J217" s="86"/>
    </row>
    <row r="218" spans="5:10">
      <c r="E218" s="86"/>
      <c r="F218" s="86"/>
      <c r="G218" s="86"/>
      <c r="H218" s="86"/>
      <c r="I218" s="86"/>
      <c r="J218" s="86"/>
    </row>
    <row r="219" spans="5:10">
      <c r="E219" s="86"/>
      <c r="F219" s="86"/>
      <c r="G219" s="86"/>
      <c r="H219" s="86"/>
      <c r="I219" s="86"/>
      <c r="J219" s="86"/>
    </row>
    <row r="220" spans="5:10">
      <c r="E220" s="86"/>
      <c r="F220" s="86"/>
      <c r="G220" s="86"/>
      <c r="H220" s="86"/>
      <c r="I220" s="86"/>
      <c r="J220" s="86"/>
    </row>
    <row r="221" spans="5:10">
      <c r="E221" s="86"/>
      <c r="F221" s="86"/>
      <c r="G221" s="86"/>
      <c r="H221" s="86"/>
      <c r="I221" s="86"/>
      <c r="J221" s="86"/>
    </row>
    <row r="222" spans="5:10">
      <c r="E222" s="86"/>
      <c r="F222" s="86"/>
      <c r="G222" s="86"/>
      <c r="H222" s="86"/>
      <c r="I222" s="86"/>
      <c r="J222" s="86"/>
    </row>
    <row r="223" spans="5:10">
      <c r="E223" s="86"/>
      <c r="F223" s="86"/>
      <c r="G223" s="86"/>
      <c r="H223" s="86"/>
      <c r="I223" s="86"/>
      <c r="J223" s="86"/>
    </row>
    <row r="224" spans="5:10">
      <c r="E224" s="86"/>
      <c r="F224" s="86"/>
      <c r="G224" s="86"/>
      <c r="H224" s="86"/>
      <c r="I224" s="86"/>
      <c r="J224" s="86"/>
    </row>
    <row r="225" spans="5:10">
      <c r="E225" s="86"/>
      <c r="F225" s="86"/>
      <c r="G225" s="86"/>
      <c r="H225" s="86"/>
      <c r="I225" s="86"/>
      <c r="J225" s="86"/>
    </row>
    <row r="226" spans="5:10">
      <c r="E226" s="86"/>
      <c r="F226" s="86"/>
      <c r="G226" s="86"/>
      <c r="H226" s="86"/>
      <c r="I226" s="86"/>
      <c r="J226" s="86"/>
    </row>
    <row r="227" spans="5:10">
      <c r="E227" s="86"/>
      <c r="F227" s="86"/>
      <c r="G227" s="86"/>
      <c r="H227" s="86"/>
      <c r="I227" s="86"/>
      <c r="J227" s="86"/>
    </row>
    <row r="228" spans="5:10">
      <c r="E228" s="86"/>
      <c r="F228" s="86"/>
      <c r="G228" s="86"/>
      <c r="H228" s="86"/>
      <c r="I228" s="86"/>
      <c r="J228" s="86"/>
    </row>
    <row r="229" spans="5:10">
      <c r="E229" s="86"/>
      <c r="F229" s="86"/>
      <c r="G229" s="86"/>
      <c r="H229" s="86"/>
      <c r="I229" s="86"/>
      <c r="J229" s="86"/>
    </row>
    <row r="230" spans="5:10">
      <c r="E230" s="86"/>
      <c r="F230" s="86"/>
      <c r="G230" s="86"/>
      <c r="H230" s="86"/>
      <c r="I230" s="86"/>
      <c r="J230" s="86"/>
    </row>
  </sheetData>
  <mergeCells count="36">
    <mergeCell ref="Q1:V1"/>
    <mergeCell ref="Q2:R2"/>
    <mergeCell ref="S2:T2"/>
    <mergeCell ref="U2:V2"/>
    <mergeCell ref="C164:C165"/>
    <mergeCell ref="C161:C163"/>
    <mergeCell ref="K1:P1"/>
    <mergeCell ref="K2:L2"/>
    <mergeCell ref="M2:N2"/>
    <mergeCell ref="O2:P2"/>
    <mergeCell ref="C91:C98"/>
    <mergeCell ref="C99:C104"/>
    <mergeCell ref="C105:C113"/>
    <mergeCell ref="C143:C147"/>
    <mergeCell ref="C148:C151"/>
    <mergeCell ref="C152:C155"/>
    <mergeCell ref="C178:C180"/>
    <mergeCell ref="C181:C188"/>
    <mergeCell ref="C189:C191"/>
    <mergeCell ref="C166:C168"/>
    <mergeCell ref="C170:C172"/>
    <mergeCell ref="C173:C175"/>
    <mergeCell ref="C114:C140"/>
    <mergeCell ref="C141:C142"/>
    <mergeCell ref="C39:C69"/>
    <mergeCell ref="C70:C80"/>
    <mergeCell ref="C81:C90"/>
    <mergeCell ref="C24:C38"/>
    <mergeCell ref="B1:D1"/>
    <mergeCell ref="D2:D3"/>
    <mergeCell ref="I2:J2"/>
    <mergeCell ref="G2:H2"/>
    <mergeCell ref="E2:F2"/>
    <mergeCell ref="E1:J1"/>
    <mergeCell ref="A2:B2"/>
    <mergeCell ref="C3:C23"/>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76157-91F7-403D-9153-3E47C69C1A5D}">
  <dimension ref="A1:H205"/>
  <sheetViews>
    <sheetView workbookViewId="0">
      <pane xSplit="2" ySplit="12" topLeftCell="C149" activePane="bottomRight" state="frozen"/>
      <selection activeCell="F172" sqref="F172"/>
      <selection pane="topRight" activeCell="F172" sqref="F172"/>
      <selection pane="bottomLeft" activeCell="F172" sqref="F172"/>
      <selection pane="bottomRight" activeCell="B184" sqref="B184"/>
    </sheetView>
  </sheetViews>
  <sheetFormatPr baseColWidth="10" defaultColWidth="8.88671875" defaultRowHeight="11.4" customHeight="1"/>
  <cols>
    <col min="1" max="1" width="14.88671875" style="73" customWidth="1"/>
    <col min="2" max="2" width="122.88671875" style="73" customWidth="1"/>
    <col min="3" max="8" width="11" style="73" customWidth="1"/>
    <col min="9" max="16384" width="8.88671875" style="73"/>
  </cols>
  <sheetData>
    <row r="1" spans="1:8">
      <c r="A1" s="72" t="s">
        <v>453</v>
      </c>
    </row>
    <row r="2" spans="1:8">
      <c r="A2" s="72" t="s">
        <v>181</v>
      </c>
      <c r="B2" s="74" t="s">
        <v>454</v>
      </c>
    </row>
    <row r="3" spans="1:8">
      <c r="A3" s="72" t="s">
        <v>455</v>
      </c>
      <c r="B3" s="72" t="s">
        <v>202</v>
      </c>
    </row>
    <row r="4" spans="1:8"/>
    <row r="5" spans="1:8">
      <c r="A5" s="74" t="s">
        <v>184</v>
      </c>
      <c r="C5" s="72" t="s">
        <v>185</v>
      </c>
    </row>
    <row r="6" spans="1:8">
      <c r="A6" s="74" t="s">
        <v>203</v>
      </c>
      <c r="C6" s="72" t="s">
        <v>204</v>
      </c>
    </row>
    <row r="7" spans="1:8">
      <c r="A7" s="74" t="s">
        <v>205</v>
      </c>
      <c r="C7" s="72" t="s">
        <v>206</v>
      </c>
    </row>
    <row r="8" spans="1:8">
      <c r="A8" s="74" t="s">
        <v>187</v>
      </c>
      <c r="C8" s="72" t="s">
        <v>207</v>
      </c>
    </row>
    <row r="9" spans="1:8"/>
    <row r="10" spans="1:8">
      <c r="A10" s="766" t="s">
        <v>189</v>
      </c>
      <c r="B10" s="766" t="s">
        <v>189</v>
      </c>
      <c r="C10" s="767" t="s">
        <v>190</v>
      </c>
      <c r="D10" s="767" t="s">
        <v>190</v>
      </c>
      <c r="E10" s="767" t="s">
        <v>191</v>
      </c>
      <c r="F10" s="767" t="s">
        <v>191</v>
      </c>
      <c r="G10" s="767" t="s">
        <v>192</v>
      </c>
      <c r="H10" s="767" t="s">
        <v>192</v>
      </c>
    </row>
    <row r="11" spans="1:8">
      <c r="A11" s="766" t="s">
        <v>456</v>
      </c>
      <c r="B11" s="766" t="s">
        <v>456</v>
      </c>
      <c r="C11" s="75" t="s">
        <v>208</v>
      </c>
      <c r="D11" s="75" t="s">
        <v>209</v>
      </c>
      <c r="E11" s="75" t="s">
        <v>208</v>
      </c>
      <c r="F11" s="75" t="s">
        <v>209</v>
      </c>
      <c r="G11" s="75" t="s">
        <v>208</v>
      </c>
      <c r="H11" s="75" t="s">
        <v>209</v>
      </c>
    </row>
    <row r="12" spans="1:8">
      <c r="A12" s="76" t="s">
        <v>210</v>
      </c>
      <c r="B12" s="76" t="s">
        <v>457</v>
      </c>
      <c r="C12" s="77" t="s">
        <v>89</v>
      </c>
      <c r="D12" s="77" t="s">
        <v>89</v>
      </c>
      <c r="E12" s="77" t="s">
        <v>89</v>
      </c>
      <c r="F12" s="77" t="s">
        <v>89</v>
      </c>
      <c r="G12" s="77" t="s">
        <v>89</v>
      </c>
      <c r="H12" s="77" t="s">
        <v>89</v>
      </c>
    </row>
    <row r="13" spans="1:8">
      <c r="A13" s="78" t="s">
        <v>458</v>
      </c>
      <c r="B13" s="78" t="s">
        <v>459</v>
      </c>
      <c r="C13" s="81">
        <v>109133.61</v>
      </c>
      <c r="D13" s="81">
        <v>838333.05</v>
      </c>
      <c r="E13" s="81">
        <v>62811.79</v>
      </c>
      <c r="F13" s="81">
        <v>941874.05</v>
      </c>
      <c r="G13" s="81">
        <v>116384.92</v>
      </c>
      <c r="H13" s="81">
        <v>644764.47</v>
      </c>
    </row>
    <row r="14" spans="1:8">
      <c r="A14" s="78" t="s">
        <v>460</v>
      </c>
      <c r="B14" s="78" t="s">
        <v>461</v>
      </c>
      <c r="C14" s="82">
        <v>1246530.08</v>
      </c>
      <c r="D14" s="82">
        <v>10724513.42</v>
      </c>
      <c r="E14" s="82">
        <v>360904.74</v>
      </c>
      <c r="F14" s="82">
        <v>15769141.869999999</v>
      </c>
      <c r="G14" s="82">
        <v>185048.55</v>
      </c>
      <c r="H14" s="82">
        <v>7419188.8600000003</v>
      </c>
    </row>
    <row r="15" spans="1:8">
      <c r="A15" s="78" t="s">
        <v>462</v>
      </c>
      <c r="B15" s="78" t="s">
        <v>463</v>
      </c>
      <c r="C15" s="82">
        <v>4204.04</v>
      </c>
      <c r="D15" s="82">
        <v>4935.8100000000004</v>
      </c>
      <c r="E15" s="82">
        <v>8688.82</v>
      </c>
      <c r="F15" s="82">
        <v>39172.720000000001</v>
      </c>
      <c r="G15" s="82">
        <v>3957.23</v>
      </c>
      <c r="H15" s="82">
        <v>6695.41</v>
      </c>
    </row>
    <row r="16" spans="1:8">
      <c r="A16" s="78" t="s">
        <v>464</v>
      </c>
      <c r="B16" s="78" t="s">
        <v>465</v>
      </c>
      <c r="C16" s="81">
        <v>598770.86</v>
      </c>
      <c r="D16" s="81">
        <v>789069.67</v>
      </c>
      <c r="E16" s="81">
        <v>42426.97</v>
      </c>
      <c r="F16" s="81">
        <v>1187307.3400000001</v>
      </c>
      <c r="G16" s="81">
        <v>100138.26</v>
      </c>
      <c r="H16" s="81">
        <v>1427493.26</v>
      </c>
    </row>
    <row r="17" spans="1:8">
      <c r="A17" s="78" t="s">
        <v>466</v>
      </c>
      <c r="B17" s="78" t="s">
        <v>467</v>
      </c>
      <c r="C17" s="82">
        <v>87255.18</v>
      </c>
      <c r="D17" s="82">
        <v>1056625.55</v>
      </c>
      <c r="E17" s="82">
        <v>5227.49</v>
      </c>
      <c r="F17" s="82">
        <v>1801886.68</v>
      </c>
      <c r="G17" s="82">
        <v>24924.84</v>
      </c>
      <c r="H17" s="82">
        <v>3340369.54</v>
      </c>
    </row>
    <row r="18" spans="1:8">
      <c r="A18" s="78" t="s">
        <v>468</v>
      </c>
      <c r="B18" s="78" t="s">
        <v>469</v>
      </c>
      <c r="C18" s="81">
        <v>4450293.28</v>
      </c>
      <c r="D18" s="84">
        <v>185358181.40000001</v>
      </c>
      <c r="E18" s="81">
        <v>2536587.12</v>
      </c>
      <c r="F18" s="81">
        <v>179832818.94</v>
      </c>
      <c r="G18" s="84">
        <v>1297586.6000000001</v>
      </c>
      <c r="H18" s="81">
        <v>122037410.31999999</v>
      </c>
    </row>
    <row r="19" spans="1:8">
      <c r="A19" s="78" t="s">
        <v>470</v>
      </c>
      <c r="B19" s="78" t="s">
        <v>471</v>
      </c>
      <c r="C19" s="84">
        <v>3006.8</v>
      </c>
      <c r="D19" s="81">
        <v>146617.64000000001</v>
      </c>
      <c r="E19" s="81">
        <v>28666.17</v>
      </c>
      <c r="F19" s="81">
        <v>89715.07</v>
      </c>
      <c r="G19" s="81">
        <v>26551.79</v>
      </c>
      <c r="H19" s="81">
        <v>70974.98</v>
      </c>
    </row>
    <row r="20" spans="1:8">
      <c r="A20" s="78" t="s">
        <v>472</v>
      </c>
      <c r="B20" s="78" t="s">
        <v>473</v>
      </c>
      <c r="C20" s="82">
        <v>6274.19</v>
      </c>
      <c r="D20" s="82">
        <v>264647.94</v>
      </c>
      <c r="E20" s="82">
        <v>17673.89</v>
      </c>
      <c r="F20" s="82">
        <v>89145.91</v>
      </c>
      <c r="G20" s="82">
        <v>4526.22</v>
      </c>
      <c r="H20" s="82">
        <v>225515.18</v>
      </c>
    </row>
    <row r="21" spans="1:8">
      <c r="A21" s="78" t="s">
        <v>474</v>
      </c>
      <c r="B21" s="78" t="s">
        <v>475</v>
      </c>
      <c r="C21" s="81">
        <v>13452.93</v>
      </c>
      <c r="D21" s="81">
        <v>191134.18</v>
      </c>
      <c r="E21" s="81">
        <v>20222.82</v>
      </c>
      <c r="F21" s="81">
        <v>229885.06</v>
      </c>
      <c r="G21" s="84">
        <v>45114.400000000001</v>
      </c>
      <c r="H21" s="81">
        <v>1166441.98</v>
      </c>
    </row>
    <row r="22" spans="1:8">
      <c r="A22" s="78" t="s">
        <v>476</v>
      </c>
      <c r="B22" s="78" t="s">
        <v>477</v>
      </c>
      <c r="C22" s="83">
        <v>835169.1</v>
      </c>
      <c r="D22" s="82">
        <v>75400862.409999996</v>
      </c>
      <c r="E22" s="82">
        <v>914440.63</v>
      </c>
      <c r="F22" s="83">
        <v>71495810.200000003</v>
      </c>
      <c r="G22" s="82">
        <v>495817.75</v>
      </c>
      <c r="H22" s="82">
        <v>67123963.469999999</v>
      </c>
    </row>
    <row r="23" spans="1:8">
      <c r="A23" s="78" t="s">
        <v>478</v>
      </c>
      <c r="B23" s="78" t="s">
        <v>479</v>
      </c>
      <c r="C23" s="82">
        <v>22318.85</v>
      </c>
      <c r="D23" s="82">
        <v>79979.179999999993</v>
      </c>
      <c r="E23" s="82">
        <v>30322.89</v>
      </c>
      <c r="F23" s="82">
        <v>37274.050000000003</v>
      </c>
      <c r="G23" s="82">
        <v>33253.71</v>
      </c>
      <c r="H23" s="82">
        <v>49266.39</v>
      </c>
    </row>
    <row r="24" spans="1:8">
      <c r="A24" s="78" t="s">
        <v>480</v>
      </c>
      <c r="B24" s="78" t="s">
        <v>481</v>
      </c>
      <c r="C24" s="81">
        <v>60851.13</v>
      </c>
      <c r="D24" s="81">
        <v>769221.68</v>
      </c>
      <c r="E24" s="81">
        <v>97995.96</v>
      </c>
      <c r="F24" s="81">
        <v>1066262.73</v>
      </c>
      <c r="G24" s="81">
        <v>58777.89</v>
      </c>
      <c r="H24" s="81">
        <v>1030217.49</v>
      </c>
    </row>
    <row r="25" spans="1:8">
      <c r="A25" s="78" t="s">
        <v>482</v>
      </c>
      <c r="B25" s="78" t="s">
        <v>483</v>
      </c>
      <c r="C25" s="80" t="s">
        <v>195</v>
      </c>
      <c r="D25" s="80" t="s">
        <v>195</v>
      </c>
      <c r="E25" s="80" t="s">
        <v>195</v>
      </c>
      <c r="F25" s="80" t="s">
        <v>195</v>
      </c>
      <c r="G25" s="80" t="s">
        <v>195</v>
      </c>
      <c r="H25" s="80" t="s">
        <v>195</v>
      </c>
    </row>
    <row r="26" spans="1:8">
      <c r="A26" s="78" t="s">
        <v>484</v>
      </c>
      <c r="B26" s="78" t="s">
        <v>485</v>
      </c>
      <c r="C26" s="81">
        <v>39343.769999999997</v>
      </c>
      <c r="D26" s="81">
        <v>366574.28</v>
      </c>
      <c r="E26" s="81">
        <v>31174.11</v>
      </c>
      <c r="F26" s="81">
        <v>218596.46</v>
      </c>
      <c r="G26" s="81">
        <v>39761.14</v>
      </c>
      <c r="H26" s="81">
        <v>200047.64</v>
      </c>
    </row>
    <row r="27" spans="1:8">
      <c r="A27" s="78" t="s">
        <v>486</v>
      </c>
      <c r="B27" s="78" t="s">
        <v>487</v>
      </c>
      <c r="C27" s="82">
        <v>341615.93</v>
      </c>
      <c r="D27" s="82">
        <v>1639998.01</v>
      </c>
      <c r="E27" s="82">
        <v>383651.22</v>
      </c>
      <c r="F27" s="82">
        <v>1333474.92</v>
      </c>
      <c r="G27" s="83">
        <v>481988.2</v>
      </c>
      <c r="H27" s="82">
        <v>1387979.97</v>
      </c>
    </row>
    <row r="28" spans="1:8">
      <c r="A28" s="78" t="s">
        <v>488</v>
      </c>
      <c r="B28" s="78" t="s">
        <v>489</v>
      </c>
      <c r="C28" s="81">
        <v>3159.73</v>
      </c>
      <c r="D28" s="81">
        <v>6986.83</v>
      </c>
      <c r="E28" s="84">
        <v>4840.1000000000004</v>
      </c>
      <c r="F28" s="81">
        <v>6286.49</v>
      </c>
      <c r="G28" s="81">
        <v>2848.76</v>
      </c>
      <c r="H28" s="81">
        <v>7557.86</v>
      </c>
    </row>
    <row r="29" spans="1:8">
      <c r="A29" s="78" t="s">
        <v>490</v>
      </c>
      <c r="B29" s="78" t="s">
        <v>491</v>
      </c>
      <c r="C29" s="80" t="s">
        <v>195</v>
      </c>
      <c r="D29" s="80" t="s">
        <v>195</v>
      </c>
      <c r="E29" s="80" t="s">
        <v>195</v>
      </c>
      <c r="F29" s="80" t="s">
        <v>195</v>
      </c>
      <c r="G29" s="80" t="s">
        <v>195</v>
      </c>
      <c r="H29" s="80" t="s">
        <v>195</v>
      </c>
    </row>
    <row r="30" spans="1:8">
      <c r="A30" s="78" t="s">
        <v>492</v>
      </c>
      <c r="B30" s="78" t="s">
        <v>493</v>
      </c>
      <c r="C30" s="81">
        <v>12142.83</v>
      </c>
      <c r="D30" s="81">
        <v>1168452.8600000001</v>
      </c>
      <c r="E30" s="81">
        <v>20003.669999999998</v>
      </c>
      <c r="F30" s="81">
        <v>197708.06</v>
      </c>
      <c r="G30" s="81">
        <v>8639.44</v>
      </c>
      <c r="H30" s="81">
        <v>405468.41</v>
      </c>
    </row>
    <row r="31" spans="1:8">
      <c r="A31" s="78" t="s">
        <v>494</v>
      </c>
      <c r="B31" s="78" t="s">
        <v>495</v>
      </c>
      <c r="C31" s="83">
        <v>3245624.5</v>
      </c>
      <c r="D31" s="82">
        <v>68791242.370000005</v>
      </c>
      <c r="E31" s="82">
        <v>6610296.75</v>
      </c>
      <c r="F31" s="82">
        <v>34967385.219999999</v>
      </c>
      <c r="G31" s="82">
        <v>3996032.38</v>
      </c>
      <c r="H31" s="82">
        <v>35541763.57</v>
      </c>
    </row>
    <row r="32" spans="1:8">
      <c r="A32" s="78" t="s">
        <v>496</v>
      </c>
      <c r="B32" s="78" t="s">
        <v>497</v>
      </c>
      <c r="C32" s="84">
        <v>10733.4</v>
      </c>
      <c r="D32" s="81">
        <v>566.85</v>
      </c>
      <c r="E32" s="81">
        <v>4794.04</v>
      </c>
      <c r="F32" s="81">
        <v>2540.84</v>
      </c>
      <c r="G32" s="81">
        <v>6609.04</v>
      </c>
      <c r="H32" s="81">
        <v>76.56</v>
      </c>
    </row>
    <row r="33" spans="1:8">
      <c r="A33" s="78" t="s">
        <v>498</v>
      </c>
      <c r="B33" s="78" t="s">
        <v>499</v>
      </c>
      <c r="C33" s="82">
        <v>785.84</v>
      </c>
      <c r="D33" s="82">
        <v>43868.26</v>
      </c>
      <c r="E33" s="80" t="s">
        <v>195</v>
      </c>
      <c r="F33" s="80" t="s">
        <v>195</v>
      </c>
      <c r="G33" s="80" t="s">
        <v>195</v>
      </c>
      <c r="H33" s="80" t="s">
        <v>195</v>
      </c>
    </row>
    <row r="34" spans="1:8">
      <c r="A34" s="78" t="s">
        <v>500</v>
      </c>
      <c r="B34" s="78" t="s">
        <v>501</v>
      </c>
      <c r="C34" s="81">
        <v>1998.69</v>
      </c>
      <c r="D34" s="84">
        <v>14.1</v>
      </c>
      <c r="E34" s="79" t="s">
        <v>195</v>
      </c>
      <c r="F34" s="79" t="s">
        <v>195</v>
      </c>
      <c r="G34" s="79" t="s">
        <v>195</v>
      </c>
      <c r="H34" s="79" t="s">
        <v>195</v>
      </c>
    </row>
    <row r="35" spans="1:8">
      <c r="A35" s="78" t="s">
        <v>502</v>
      </c>
      <c r="B35" s="78" t="s">
        <v>503</v>
      </c>
      <c r="C35" s="80" t="s">
        <v>195</v>
      </c>
      <c r="D35" s="82">
        <v>22073.56</v>
      </c>
      <c r="E35" s="80" t="s">
        <v>195</v>
      </c>
      <c r="F35" s="80" t="s">
        <v>195</v>
      </c>
      <c r="G35" s="80" t="s">
        <v>195</v>
      </c>
      <c r="H35" s="80" t="s">
        <v>195</v>
      </c>
    </row>
    <row r="36" spans="1:8">
      <c r="A36" s="78" t="s">
        <v>504</v>
      </c>
      <c r="B36" s="78" t="s">
        <v>505</v>
      </c>
      <c r="C36" s="79" t="s">
        <v>195</v>
      </c>
      <c r="D36" s="81">
        <v>0.72</v>
      </c>
      <c r="E36" s="79" t="s">
        <v>195</v>
      </c>
      <c r="F36" s="79" t="s">
        <v>195</v>
      </c>
      <c r="G36" s="79" t="s">
        <v>195</v>
      </c>
      <c r="H36" s="79" t="s">
        <v>195</v>
      </c>
    </row>
    <row r="37" spans="1:8">
      <c r="A37" s="78" t="s">
        <v>506</v>
      </c>
      <c r="B37" s="78" t="s">
        <v>507</v>
      </c>
      <c r="C37" s="80" t="s">
        <v>195</v>
      </c>
      <c r="D37" s="80" t="s">
        <v>195</v>
      </c>
      <c r="E37" s="83">
        <v>6190.5</v>
      </c>
      <c r="F37" s="83">
        <v>56894.2</v>
      </c>
      <c r="G37" s="82">
        <v>7212.87</v>
      </c>
      <c r="H37" s="82">
        <v>5321.37</v>
      </c>
    </row>
    <row r="38" spans="1:8">
      <c r="A38" s="78" t="s">
        <v>508</v>
      </c>
      <c r="B38" s="78" t="s">
        <v>509</v>
      </c>
      <c r="C38" s="79" t="s">
        <v>195</v>
      </c>
      <c r="D38" s="79" t="s">
        <v>195</v>
      </c>
      <c r="E38" s="81">
        <v>592.04999999999995</v>
      </c>
      <c r="F38" s="84">
        <v>5.6</v>
      </c>
      <c r="G38" s="84">
        <v>361.5</v>
      </c>
      <c r="H38" s="84">
        <v>0.4</v>
      </c>
    </row>
    <row r="39" spans="1:8">
      <c r="A39" s="78" t="s">
        <v>510</v>
      </c>
      <c r="B39" s="78" t="s">
        <v>511</v>
      </c>
      <c r="C39" s="80" t="s">
        <v>195</v>
      </c>
      <c r="D39" s="80" t="s">
        <v>195</v>
      </c>
      <c r="E39" s="82">
        <v>4747.45</v>
      </c>
      <c r="F39" s="82">
        <v>45794.52</v>
      </c>
      <c r="G39" s="82">
        <v>3023.78</v>
      </c>
      <c r="H39" s="83">
        <v>9513.2000000000007</v>
      </c>
    </row>
    <row r="40" spans="1:8">
      <c r="A40" s="78" t="s">
        <v>512</v>
      </c>
      <c r="B40" s="78" t="s">
        <v>513</v>
      </c>
      <c r="C40" s="79" t="s">
        <v>195</v>
      </c>
      <c r="D40" s="79" t="s">
        <v>195</v>
      </c>
      <c r="E40" s="81">
        <v>76752.12</v>
      </c>
      <c r="F40" s="81">
        <v>14.79</v>
      </c>
      <c r="G40" s="81">
        <v>6327.37</v>
      </c>
      <c r="H40" s="84">
        <v>547.1</v>
      </c>
    </row>
    <row r="41" spans="1:8">
      <c r="A41" s="78" t="s">
        <v>514</v>
      </c>
      <c r="B41" s="78" t="s">
        <v>515</v>
      </c>
      <c r="C41" s="80" t="s">
        <v>195</v>
      </c>
      <c r="D41" s="80" t="s">
        <v>195</v>
      </c>
      <c r="E41" s="80" t="s">
        <v>195</v>
      </c>
      <c r="F41" s="80" t="s">
        <v>195</v>
      </c>
      <c r="G41" s="82">
        <v>21.18</v>
      </c>
      <c r="H41" s="82">
        <v>43.49</v>
      </c>
    </row>
    <row r="42" spans="1:8">
      <c r="A42" s="78" t="s">
        <v>516</v>
      </c>
      <c r="B42" s="78" t="s">
        <v>517</v>
      </c>
      <c r="C42" s="79" t="s">
        <v>195</v>
      </c>
      <c r="D42" s="79" t="s">
        <v>195</v>
      </c>
      <c r="E42" s="79" t="s">
        <v>195</v>
      </c>
      <c r="F42" s="79" t="s">
        <v>195</v>
      </c>
      <c r="G42" s="79" t="s">
        <v>195</v>
      </c>
      <c r="H42" s="79" t="s">
        <v>195</v>
      </c>
    </row>
    <row r="43" spans="1:8">
      <c r="A43" s="78" t="s">
        <v>518</v>
      </c>
      <c r="B43" s="78" t="s">
        <v>519</v>
      </c>
      <c r="C43" s="82">
        <v>11930.11</v>
      </c>
      <c r="D43" s="82">
        <v>61337.23</v>
      </c>
      <c r="E43" s="80" t="s">
        <v>195</v>
      </c>
      <c r="F43" s="80" t="s">
        <v>195</v>
      </c>
      <c r="G43" s="80" t="s">
        <v>195</v>
      </c>
      <c r="H43" s="80" t="s">
        <v>195</v>
      </c>
    </row>
    <row r="44" spans="1:8">
      <c r="A44" s="78" t="s">
        <v>520</v>
      </c>
      <c r="B44" s="78" t="s">
        <v>521</v>
      </c>
      <c r="C44" s="81">
        <v>3156.21</v>
      </c>
      <c r="D44" s="81">
        <v>4.5199999999999996</v>
      </c>
      <c r="E44" s="79" t="s">
        <v>195</v>
      </c>
      <c r="F44" s="79" t="s">
        <v>195</v>
      </c>
      <c r="G44" s="79" t="s">
        <v>195</v>
      </c>
      <c r="H44" s="79" t="s">
        <v>195</v>
      </c>
    </row>
    <row r="45" spans="1:8">
      <c r="A45" s="78" t="s">
        <v>522</v>
      </c>
      <c r="B45" s="78" t="s">
        <v>523</v>
      </c>
      <c r="C45" s="82">
        <v>26378.15</v>
      </c>
      <c r="D45" s="82">
        <v>8917.1200000000008</v>
      </c>
      <c r="E45" s="80" t="s">
        <v>195</v>
      </c>
      <c r="F45" s="80" t="s">
        <v>195</v>
      </c>
      <c r="G45" s="80" t="s">
        <v>195</v>
      </c>
      <c r="H45" s="80" t="s">
        <v>195</v>
      </c>
    </row>
    <row r="46" spans="1:8">
      <c r="A46" s="78" t="s">
        <v>524</v>
      </c>
      <c r="B46" s="78" t="s">
        <v>525</v>
      </c>
      <c r="C46" s="81">
        <v>58229.39</v>
      </c>
      <c r="D46" s="81">
        <v>200.62</v>
      </c>
      <c r="E46" s="79" t="s">
        <v>195</v>
      </c>
      <c r="F46" s="79" t="s">
        <v>195</v>
      </c>
      <c r="G46" s="79" t="s">
        <v>195</v>
      </c>
      <c r="H46" s="79" t="s">
        <v>195</v>
      </c>
    </row>
    <row r="47" spans="1:8">
      <c r="A47" s="78" t="s">
        <v>526</v>
      </c>
      <c r="B47" s="78" t="s">
        <v>527</v>
      </c>
      <c r="C47" s="80" t="s">
        <v>195</v>
      </c>
      <c r="D47" s="80" t="s">
        <v>195</v>
      </c>
      <c r="E47" s="80" t="s">
        <v>195</v>
      </c>
      <c r="F47" s="80" t="s">
        <v>195</v>
      </c>
      <c r="G47" s="80" t="s">
        <v>195</v>
      </c>
      <c r="H47" s="80" t="s">
        <v>195</v>
      </c>
    </row>
    <row r="48" spans="1:8">
      <c r="A48" s="78" t="s">
        <v>528</v>
      </c>
      <c r="B48" s="78" t="s">
        <v>529</v>
      </c>
      <c r="C48" s="82">
        <v>1636.11</v>
      </c>
      <c r="D48" s="82">
        <v>106.65</v>
      </c>
      <c r="E48" s="82">
        <v>2141.16</v>
      </c>
      <c r="F48" s="82">
        <v>80.98</v>
      </c>
      <c r="G48" s="82">
        <v>1646.32</v>
      </c>
      <c r="H48" s="83">
        <v>21</v>
      </c>
    </row>
    <row r="49" spans="1:8">
      <c r="A49" s="78" t="s">
        <v>530</v>
      </c>
      <c r="B49" s="78" t="s">
        <v>531</v>
      </c>
      <c r="C49" s="81">
        <v>3908.87</v>
      </c>
      <c r="D49" s="81">
        <v>753.09</v>
      </c>
      <c r="E49" s="81">
        <v>13508.08</v>
      </c>
      <c r="F49" s="81">
        <v>815.14</v>
      </c>
      <c r="G49" s="81">
        <v>33157.629999999997</v>
      </c>
      <c r="H49" s="81">
        <v>3437.69</v>
      </c>
    </row>
    <row r="50" spans="1:8">
      <c r="A50" s="78" t="s">
        <v>532</v>
      </c>
      <c r="B50" s="78" t="s">
        <v>533</v>
      </c>
      <c r="C50" s="82">
        <v>6677.99</v>
      </c>
      <c r="D50" s="82">
        <v>820.34</v>
      </c>
      <c r="E50" s="82">
        <v>1228.1199999999999</v>
      </c>
      <c r="F50" s="82">
        <v>566.02</v>
      </c>
      <c r="G50" s="82">
        <v>1047.99</v>
      </c>
      <c r="H50" s="82">
        <v>4105.74</v>
      </c>
    </row>
    <row r="51" spans="1:8">
      <c r="A51" s="78" t="s">
        <v>534</v>
      </c>
      <c r="B51" s="78" t="s">
        <v>535</v>
      </c>
      <c r="C51" s="84">
        <v>269343.59999999998</v>
      </c>
      <c r="D51" s="81">
        <v>1834.92</v>
      </c>
      <c r="E51" s="81">
        <v>376283.12</v>
      </c>
      <c r="F51" s="81">
        <v>8569.6299999999992</v>
      </c>
      <c r="G51" s="81">
        <v>302787.89</v>
      </c>
      <c r="H51" s="81">
        <v>1974.46</v>
      </c>
    </row>
    <row r="52" spans="1:8">
      <c r="A52" s="78" t="s">
        <v>536</v>
      </c>
      <c r="B52" s="78" t="s">
        <v>537</v>
      </c>
      <c r="C52" s="80" t="s">
        <v>195</v>
      </c>
      <c r="D52" s="80" t="s">
        <v>195</v>
      </c>
      <c r="E52" s="80" t="s">
        <v>195</v>
      </c>
      <c r="F52" s="80" t="s">
        <v>195</v>
      </c>
      <c r="G52" s="82">
        <v>278.49</v>
      </c>
      <c r="H52" s="82">
        <v>162.01</v>
      </c>
    </row>
    <row r="53" spans="1:8">
      <c r="A53" s="78" t="s">
        <v>538</v>
      </c>
      <c r="B53" s="78" t="s">
        <v>539</v>
      </c>
      <c r="C53" s="82">
        <v>11216.88</v>
      </c>
      <c r="D53" s="83">
        <v>30568.400000000001</v>
      </c>
      <c r="E53" s="82">
        <v>13690.67</v>
      </c>
      <c r="F53" s="82">
        <v>2687.04</v>
      </c>
      <c r="G53" s="82">
        <v>7605.24</v>
      </c>
      <c r="H53" s="82">
        <v>794.31</v>
      </c>
    </row>
    <row r="54" spans="1:8">
      <c r="A54" s="78" t="s">
        <v>540</v>
      </c>
      <c r="B54" s="78" t="s">
        <v>541</v>
      </c>
      <c r="C54" s="81">
        <v>1875.67</v>
      </c>
      <c r="D54" s="81">
        <v>192.46</v>
      </c>
      <c r="E54" s="81">
        <v>2177.54</v>
      </c>
      <c r="F54" s="81">
        <v>817.34</v>
      </c>
      <c r="G54" s="81">
        <v>2529.1799999999998</v>
      </c>
      <c r="H54" s="81">
        <v>287.98</v>
      </c>
    </row>
    <row r="55" spans="1:8">
      <c r="A55" s="78" t="s">
        <v>542</v>
      </c>
      <c r="B55" s="78" t="s">
        <v>543</v>
      </c>
      <c r="C55" s="82">
        <v>20212.45</v>
      </c>
      <c r="D55" s="82">
        <v>9980.3799999999992</v>
      </c>
      <c r="E55" s="82">
        <v>6527.61</v>
      </c>
      <c r="F55" s="82">
        <v>2035.25</v>
      </c>
      <c r="G55" s="82">
        <v>2754.78</v>
      </c>
      <c r="H55" s="83">
        <v>849.2</v>
      </c>
    </row>
    <row r="56" spans="1:8">
      <c r="A56" s="78" t="s">
        <v>544</v>
      </c>
      <c r="B56" s="78" t="s">
        <v>545</v>
      </c>
      <c r="C56" s="81">
        <v>743166.16</v>
      </c>
      <c r="D56" s="81">
        <v>34850.089999999997</v>
      </c>
      <c r="E56" s="81">
        <v>602715.84</v>
      </c>
      <c r="F56" s="81">
        <v>23544.29</v>
      </c>
      <c r="G56" s="84">
        <v>524595.80000000005</v>
      </c>
      <c r="H56" s="84">
        <v>3745.8</v>
      </c>
    </row>
    <row r="57" spans="1:8">
      <c r="A57" s="78" t="s">
        <v>546</v>
      </c>
      <c r="B57" s="78" t="s">
        <v>547</v>
      </c>
      <c r="C57" s="80" t="s">
        <v>195</v>
      </c>
      <c r="D57" s="80" t="s">
        <v>195</v>
      </c>
      <c r="E57" s="80" t="s">
        <v>195</v>
      </c>
      <c r="F57" s="80" t="s">
        <v>195</v>
      </c>
      <c r="G57" s="82">
        <v>82.13</v>
      </c>
      <c r="H57" s="82">
        <v>23.13</v>
      </c>
    </row>
    <row r="58" spans="1:8">
      <c r="A58" s="78" t="s">
        <v>548</v>
      </c>
      <c r="B58" s="78" t="s">
        <v>549</v>
      </c>
      <c r="C58" s="81">
        <v>2354.0100000000002</v>
      </c>
      <c r="D58" s="81">
        <v>95.56</v>
      </c>
      <c r="E58" s="84">
        <v>1056.9000000000001</v>
      </c>
      <c r="F58" s="81">
        <v>147.47</v>
      </c>
      <c r="G58" s="81">
        <v>3025.89</v>
      </c>
      <c r="H58" s="84">
        <v>55</v>
      </c>
    </row>
    <row r="59" spans="1:8">
      <c r="A59" s="78" t="s">
        <v>550</v>
      </c>
      <c r="B59" s="78" t="s">
        <v>551</v>
      </c>
      <c r="C59" s="82">
        <v>4733.9399999999996</v>
      </c>
      <c r="D59" s="83">
        <v>1370.8</v>
      </c>
      <c r="E59" s="82">
        <v>5267.64</v>
      </c>
      <c r="F59" s="82">
        <v>1406.11</v>
      </c>
      <c r="G59" s="82">
        <v>5398.22</v>
      </c>
      <c r="H59" s="82">
        <v>264.45999999999998</v>
      </c>
    </row>
    <row r="60" spans="1:8">
      <c r="A60" s="78" t="s">
        <v>552</v>
      </c>
      <c r="B60" s="78" t="s">
        <v>553</v>
      </c>
      <c r="C60" s="81">
        <v>2363.0700000000002</v>
      </c>
      <c r="D60" s="84">
        <v>445.9</v>
      </c>
      <c r="E60" s="81">
        <v>4139.7299999999996</v>
      </c>
      <c r="F60" s="84">
        <v>660.1</v>
      </c>
      <c r="G60" s="81">
        <v>2775.84</v>
      </c>
      <c r="H60" s="81">
        <v>972.77</v>
      </c>
    </row>
    <row r="61" spans="1:8">
      <c r="A61" s="78" t="s">
        <v>554</v>
      </c>
      <c r="B61" s="78" t="s">
        <v>555</v>
      </c>
      <c r="C61" s="82">
        <v>41998.79</v>
      </c>
      <c r="D61" s="82">
        <v>254.11</v>
      </c>
      <c r="E61" s="82">
        <v>42124.79</v>
      </c>
      <c r="F61" s="82">
        <v>253.85</v>
      </c>
      <c r="G61" s="82">
        <v>11542.46</v>
      </c>
      <c r="H61" s="82">
        <v>553.41</v>
      </c>
    </row>
    <row r="62" spans="1:8">
      <c r="A62" s="78" t="s">
        <v>556</v>
      </c>
      <c r="B62" s="78" t="s">
        <v>557</v>
      </c>
      <c r="C62" s="79" t="s">
        <v>195</v>
      </c>
      <c r="D62" s="79" t="s">
        <v>195</v>
      </c>
      <c r="E62" s="79" t="s">
        <v>195</v>
      </c>
      <c r="F62" s="79" t="s">
        <v>195</v>
      </c>
      <c r="G62" s="81">
        <v>2160.5700000000002</v>
      </c>
      <c r="H62" s="81">
        <v>0.45</v>
      </c>
    </row>
    <row r="63" spans="1:8">
      <c r="A63" s="78" t="s">
        <v>558</v>
      </c>
      <c r="B63" s="78" t="s">
        <v>559</v>
      </c>
      <c r="C63" s="82">
        <v>24788.19</v>
      </c>
      <c r="D63" s="82">
        <v>326.27</v>
      </c>
      <c r="E63" s="82">
        <v>42225.35</v>
      </c>
      <c r="F63" s="82">
        <v>85.82</v>
      </c>
      <c r="G63" s="82">
        <v>35729.24</v>
      </c>
      <c r="H63" s="82">
        <v>101.15</v>
      </c>
    </row>
    <row r="64" spans="1:8">
      <c r="A64" s="78" t="s">
        <v>560</v>
      </c>
      <c r="B64" s="78" t="s">
        <v>561</v>
      </c>
      <c r="C64" s="81">
        <v>7074.96</v>
      </c>
      <c r="D64" s="81">
        <v>1056.76</v>
      </c>
      <c r="E64" s="81">
        <v>10680.87</v>
      </c>
      <c r="F64" s="81">
        <v>571.89</v>
      </c>
      <c r="G64" s="84">
        <v>11635.9</v>
      </c>
      <c r="H64" s="81">
        <v>937.38</v>
      </c>
    </row>
    <row r="65" spans="1:8">
      <c r="A65" s="78" t="s">
        <v>562</v>
      </c>
      <c r="B65" s="78" t="s">
        <v>563</v>
      </c>
      <c r="C65" s="82">
        <v>13674.65</v>
      </c>
      <c r="D65" s="83">
        <v>583.20000000000005</v>
      </c>
      <c r="E65" s="82">
        <v>13871.76</v>
      </c>
      <c r="F65" s="82">
        <v>1402.26</v>
      </c>
      <c r="G65" s="82">
        <v>10068.49</v>
      </c>
      <c r="H65" s="82">
        <v>988.28</v>
      </c>
    </row>
    <row r="66" spans="1:8">
      <c r="A66" s="78" t="s">
        <v>564</v>
      </c>
      <c r="B66" s="78" t="s">
        <v>565</v>
      </c>
      <c r="C66" s="81">
        <v>24871.18</v>
      </c>
      <c r="D66" s="81">
        <v>298.54000000000002</v>
      </c>
      <c r="E66" s="81">
        <v>20882.41</v>
      </c>
      <c r="F66" s="81">
        <v>205.65</v>
      </c>
      <c r="G66" s="84">
        <v>22718.2</v>
      </c>
      <c r="H66" s="81">
        <v>360.39</v>
      </c>
    </row>
    <row r="67" spans="1:8">
      <c r="A67" s="78" t="s">
        <v>566</v>
      </c>
      <c r="B67" s="78" t="s">
        <v>567</v>
      </c>
      <c r="C67" s="80" t="s">
        <v>195</v>
      </c>
      <c r="D67" s="80" t="s">
        <v>195</v>
      </c>
      <c r="E67" s="80" t="s">
        <v>195</v>
      </c>
      <c r="F67" s="80" t="s">
        <v>195</v>
      </c>
      <c r="G67" s="82">
        <v>71.67</v>
      </c>
      <c r="H67" s="82">
        <v>70.86</v>
      </c>
    </row>
    <row r="68" spans="1:8">
      <c r="A68" s="78" t="s">
        <v>568</v>
      </c>
      <c r="B68" s="78" t="s">
        <v>569</v>
      </c>
      <c r="C68" s="81">
        <v>8656.93</v>
      </c>
      <c r="D68" s="81">
        <v>108.91</v>
      </c>
      <c r="E68" s="81">
        <v>11926.35</v>
      </c>
      <c r="F68" s="81">
        <v>164.91</v>
      </c>
      <c r="G68" s="81">
        <v>35600.51</v>
      </c>
      <c r="H68" s="81">
        <v>688.77</v>
      </c>
    </row>
    <row r="69" spans="1:8">
      <c r="A69" s="78" t="s">
        <v>570</v>
      </c>
      <c r="B69" s="78" t="s">
        <v>571</v>
      </c>
      <c r="C69" s="82">
        <v>20682.25</v>
      </c>
      <c r="D69" s="82">
        <v>993.85</v>
      </c>
      <c r="E69" s="82">
        <v>12558.51</v>
      </c>
      <c r="F69" s="83">
        <v>2506.6999999999998</v>
      </c>
      <c r="G69" s="82">
        <v>15794.18</v>
      </c>
      <c r="H69" s="82">
        <v>4941.37</v>
      </c>
    </row>
    <row r="70" spans="1:8">
      <c r="A70" s="78" t="s">
        <v>572</v>
      </c>
      <c r="B70" s="78" t="s">
        <v>573</v>
      </c>
      <c r="C70" s="81">
        <v>226851.81</v>
      </c>
      <c r="D70" s="81">
        <v>2500.83</v>
      </c>
      <c r="E70" s="81">
        <v>254416.64000000001</v>
      </c>
      <c r="F70" s="81">
        <v>3740.47</v>
      </c>
      <c r="G70" s="81">
        <v>220225.14</v>
      </c>
      <c r="H70" s="81">
        <v>2451.8200000000002</v>
      </c>
    </row>
    <row r="71" spans="1:8">
      <c r="A71" s="78" t="s">
        <v>574</v>
      </c>
      <c r="B71" s="78" t="s">
        <v>575</v>
      </c>
      <c r="C71" s="82">
        <v>934729.19</v>
      </c>
      <c r="D71" s="83">
        <v>151443.70000000001</v>
      </c>
      <c r="E71" s="82">
        <v>832721.18</v>
      </c>
      <c r="F71" s="82">
        <v>142797.88</v>
      </c>
      <c r="G71" s="82">
        <v>703142.66</v>
      </c>
      <c r="H71" s="82">
        <v>114362.88</v>
      </c>
    </row>
    <row r="72" spans="1:8">
      <c r="A72" s="78" t="s">
        <v>576</v>
      </c>
      <c r="B72" s="78" t="s">
        <v>577</v>
      </c>
      <c r="C72" s="79" t="s">
        <v>195</v>
      </c>
      <c r="D72" s="79" t="s">
        <v>195</v>
      </c>
      <c r="E72" s="79" t="s">
        <v>195</v>
      </c>
      <c r="F72" s="79" t="s">
        <v>195</v>
      </c>
      <c r="G72" s="81">
        <v>2685.56</v>
      </c>
      <c r="H72" s="81">
        <v>256.27999999999997</v>
      </c>
    </row>
    <row r="73" spans="1:8">
      <c r="A73" s="78" t="s">
        <v>578</v>
      </c>
      <c r="B73" s="78" t="s">
        <v>579</v>
      </c>
      <c r="C73" s="81">
        <v>170603.08</v>
      </c>
      <c r="D73" s="81">
        <v>90407.039999999994</v>
      </c>
      <c r="E73" s="84">
        <v>209150</v>
      </c>
      <c r="F73" s="81">
        <v>43027.77</v>
      </c>
      <c r="G73" s="81">
        <v>187263.83</v>
      </c>
      <c r="H73" s="81">
        <v>23565.81</v>
      </c>
    </row>
    <row r="74" spans="1:8">
      <c r="A74" s="78" t="s">
        <v>580</v>
      </c>
      <c r="B74" s="78" t="s">
        <v>581</v>
      </c>
      <c r="C74" s="82">
        <v>160782.91</v>
      </c>
      <c r="D74" s="82">
        <v>16543.89</v>
      </c>
      <c r="E74" s="82">
        <v>84030.16</v>
      </c>
      <c r="F74" s="82">
        <v>13858.78</v>
      </c>
      <c r="G74" s="82">
        <v>76592.56</v>
      </c>
      <c r="H74" s="82">
        <v>4761.04</v>
      </c>
    </row>
    <row r="75" spans="1:8">
      <c r="A75" s="78" t="s">
        <v>582</v>
      </c>
      <c r="B75" s="78" t="s">
        <v>583</v>
      </c>
      <c r="C75" s="81">
        <v>111804.73</v>
      </c>
      <c r="D75" s="81">
        <v>62255.48</v>
      </c>
      <c r="E75" s="84">
        <v>110100.6</v>
      </c>
      <c r="F75" s="81">
        <v>36320.15</v>
      </c>
      <c r="G75" s="81">
        <v>153241.82</v>
      </c>
      <c r="H75" s="81">
        <v>19448.84</v>
      </c>
    </row>
    <row r="76" spans="1:8">
      <c r="A76" s="78" t="s">
        <v>584</v>
      </c>
      <c r="B76" s="78" t="s">
        <v>585</v>
      </c>
      <c r="C76" s="82">
        <v>1640296.13</v>
      </c>
      <c r="D76" s="82">
        <v>156455.78</v>
      </c>
      <c r="E76" s="82">
        <v>2014506.67</v>
      </c>
      <c r="F76" s="82">
        <v>109171.71</v>
      </c>
      <c r="G76" s="82">
        <v>2219682.29</v>
      </c>
      <c r="H76" s="82">
        <v>80787.89</v>
      </c>
    </row>
    <row r="77" spans="1:8">
      <c r="A77" s="78" t="s">
        <v>586</v>
      </c>
      <c r="B77" s="78" t="s">
        <v>587</v>
      </c>
      <c r="C77" s="79" t="s">
        <v>195</v>
      </c>
      <c r="D77" s="79" t="s">
        <v>195</v>
      </c>
      <c r="E77" s="79" t="s">
        <v>195</v>
      </c>
      <c r="F77" s="79" t="s">
        <v>195</v>
      </c>
      <c r="G77" s="81">
        <v>20549.59</v>
      </c>
      <c r="H77" s="81">
        <v>344.84</v>
      </c>
    </row>
    <row r="78" spans="1:8">
      <c r="A78" s="78" t="s">
        <v>588</v>
      </c>
      <c r="B78" s="78" t="s">
        <v>589</v>
      </c>
      <c r="C78" s="82">
        <v>1149860.6399999999</v>
      </c>
      <c r="D78" s="82">
        <v>52662.61</v>
      </c>
      <c r="E78" s="82">
        <v>1169369.81</v>
      </c>
      <c r="F78" s="82">
        <v>48781.56</v>
      </c>
      <c r="G78" s="82">
        <v>1336143.83</v>
      </c>
      <c r="H78" s="82">
        <v>20490.93</v>
      </c>
    </row>
    <row r="79" spans="1:8">
      <c r="A79" s="78" t="s">
        <v>590</v>
      </c>
      <c r="B79" s="78" t="s">
        <v>591</v>
      </c>
      <c r="C79" s="81">
        <v>28067.22</v>
      </c>
      <c r="D79" s="81">
        <v>37877.660000000003</v>
      </c>
      <c r="E79" s="81">
        <v>9464.69</v>
      </c>
      <c r="F79" s="81">
        <v>19066.03</v>
      </c>
      <c r="G79" s="84">
        <v>20485.8</v>
      </c>
      <c r="H79" s="81">
        <v>33462.980000000003</v>
      </c>
    </row>
    <row r="80" spans="1:8">
      <c r="A80" s="78" t="s">
        <v>592</v>
      </c>
      <c r="B80" s="78" t="s">
        <v>593</v>
      </c>
      <c r="C80" s="82">
        <v>899.22</v>
      </c>
      <c r="D80" s="82">
        <v>51218.68</v>
      </c>
      <c r="E80" s="82">
        <v>978.83</v>
      </c>
      <c r="F80" s="83">
        <v>55770</v>
      </c>
      <c r="G80" s="82">
        <v>5262.82</v>
      </c>
      <c r="H80" s="83">
        <v>103676.2</v>
      </c>
    </row>
    <row r="81" spans="1:8">
      <c r="A81" s="78" t="s">
        <v>594</v>
      </c>
      <c r="B81" s="78" t="s">
        <v>595</v>
      </c>
      <c r="C81" s="81">
        <v>4198.54</v>
      </c>
      <c r="D81" s="81">
        <v>1771639.66</v>
      </c>
      <c r="E81" s="81">
        <v>8267.0400000000009</v>
      </c>
      <c r="F81" s="81">
        <v>1180239.28</v>
      </c>
      <c r="G81" s="81">
        <v>6927.28</v>
      </c>
      <c r="H81" s="81">
        <v>935138.99</v>
      </c>
    </row>
    <row r="82" spans="1:8">
      <c r="A82" s="78" t="s">
        <v>596</v>
      </c>
      <c r="B82" s="78" t="s">
        <v>316</v>
      </c>
      <c r="C82" s="82">
        <v>126938.75</v>
      </c>
      <c r="D82" s="83">
        <v>719</v>
      </c>
      <c r="E82" s="82">
        <v>49083.71</v>
      </c>
      <c r="F82" s="82">
        <v>10920.16</v>
      </c>
      <c r="G82" s="82">
        <v>88287.72</v>
      </c>
      <c r="H82" s="82">
        <v>3460.68</v>
      </c>
    </row>
    <row r="83" spans="1:8">
      <c r="A83" s="78" t="s">
        <v>597</v>
      </c>
      <c r="B83" s="78" t="s">
        <v>598</v>
      </c>
      <c r="C83" s="82">
        <v>870.87</v>
      </c>
      <c r="D83" s="83">
        <v>1411</v>
      </c>
      <c r="E83" s="82">
        <v>2617.9499999999998</v>
      </c>
      <c r="F83" s="83">
        <v>23201.5</v>
      </c>
      <c r="G83" s="82">
        <v>2495.08</v>
      </c>
      <c r="H83" s="82">
        <v>18775.09</v>
      </c>
    </row>
    <row r="84" spans="1:8">
      <c r="A84" s="78" t="s">
        <v>599</v>
      </c>
      <c r="B84" s="78" t="s">
        <v>600</v>
      </c>
      <c r="C84" s="81">
        <v>20088.46</v>
      </c>
      <c r="D84" s="81">
        <v>242749.87</v>
      </c>
      <c r="E84" s="81">
        <v>24469.15</v>
      </c>
      <c r="F84" s="81">
        <v>304585.63</v>
      </c>
      <c r="G84" s="81">
        <v>29965.54</v>
      </c>
      <c r="H84" s="81">
        <v>212565.56</v>
      </c>
    </row>
    <row r="85" spans="1:8">
      <c r="A85" s="78" t="s">
        <v>601</v>
      </c>
      <c r="B85" s="78" t="s">
        <v>314</v>
      </c>
      <c r="C85" s="82">
        <v>14264.77</v>
      </c>
      <c r="D85" s="82">
        <v>121.76</v>
      </c>
      <c r="E85" s="83">
        <v>15449.6</v>
      </c>
      <c r="F85" s="82">
        <v>23.97</v>
      </c>
      <c r="G85" s="83">
        <v>15902</v>
      </c>
      <c r="H85" s="82">
        <v>3127.17</v>
      </c>
    </row>
    <row r="86" spans="1:8">
      <c r="A86" s="78" t="s">
        <v>602</v>
      </c>
      <c r="B86" s="78" t="s">
        <v>603</v>
      </c>
      <c r="C86" s="84">
        <v>734.8</v>
      </c>
      <c r="D86" s="81">
        <v>1.86</v>
      </c>
      <c r="E86" s="81">
        <v>1689.26</v>
      </c>
      <c r="F86" s="81">
        <v>39.979999999999997</v>
      </c>
      <c r="G86" s="81">
        <v>1663.13</v>
      </c>
      <c r="H86" s="81">
        <v>49.96</v>
      </c>
    </row>
    <row r="87" spans="1:8">
      <c r="A87" s="78" t="s">
        <v>604</v>
      </c>
      <c r="B87" s="78" t="s">
        <v>605</v>
      </c>
      <c r="C87" s="83">
        <v>52767.8</v>
      </c>
      <c r="D87" s="82">
        <v>10737.18</v>
      </c>
      <c r="E87" s="82">
        <v>90078.46</v>
      </c>
      <c r="F87" s="82">
        <v>20425.36</v>
      </c>
      <c r="G87" s="82">
        <v>42000.160000000003</v>
      </c>
      <c r="H87" s="82">
        <v>9710.69</v>
      </c>
    </row>
    <row r="88" spans="1:8">
      <c r="A88" s="78" t="s">
        <v>606</v>
      </c>
      <c r="B88" s="78" t="s">
        <v>174</v>
      </c>
      <c r="C88" s="81">
        <v>89428.36</v>
      </c>
      <c r="D88" s="81">
        <v>802047.78</v>
      </c>
      <c r="E88" s="81">
        <v>165013.38</v>
      </c>
      <c r="F88" s="81">
        <v>612480.86</v>
      </c>
      <c r="G88" s="81">
        <v>12218.66</v>
      </c>
      <c r="H88" s="81">
        <v>880157.31</v>
      </c>
    </row>
    <row r="89" spans="1:8">
      <c r="A89" s="78" t="s">
        <v>607</v>
      </c>
      <c r="B89" s="78" t="s">
        <v>608</v>
      </c>
      <c r="C89" s="82">
        <v>81955.23</v>
      </c>
      <c r="D89" s="82">
        <v>763624.12</v>
      </c>
      <c r="E89" s="82">
        <v>69448.039999999994</v>
      </c>
      <c r="F89" s="83">
        <v>933529</v>
      </c>
      <c r="G89" s="82">
        <v>87998.67</v>
      </c>
      <c r="H89" s="82">
        <v>722719.35</v>
      </c>
    </row>
    <row r="90" spans="1:8">
      <c r="A90" s="78" t="s">
        <v>609</v>
      </c>
      <c r="B90" s="78" t="s">
        <v>610</v>
      </c>
      <c r="C90" s="82">
        <v>251223.38</v>
      </c>
      <c r="D90" s="82">
        <v>10144.129999999999</v>
      </c>
      <c r="E90" s="82">
        <v>187815.78</v>
      </c>
      <c r="F90" s="83">
        <v>21873</v>
      </c>
      <c r="G90" s="82">
        <v>208746.69</v>
      </c>
      <c r="H90" s="82">
        <v>26782.63</v>
      </c>
    </row>
    <row r="91" spans="1:8">
      <c r="A91" s="78" t="s">
        <v>611</v>
      </c>
      <c r="B91" s="78" t="s">
        <v>612</v>
      </c>
      <c r="C91" s="81">
        <v>2980160.87</v>
      </c>
      <c r="D91" s="81">
        <v>3741919.33</v>
      </c>
      <c r="E91" s="81">
        <v>2497159.06</v>
      </c>
      <c r="F91" s="81">
        <v>1670313.73</v>
      </c>
      <c r="G91" s="84">
        <v>2932080.3</v>
      </c>
      <c r="H91" s="81">
        <v>2023087.15</v>
      </c>
    </row>
    <row r="92" spans="1:8">
      <c r="A92" s="78" t="s">
        <v>613</v>
      </c>
      <c r="B92" s="78" t="s">
        <v>614</v>
      </c>
      <c r="C92" s="82">
        <v>6707.84</v>
      </c>
      <c r="D92" s="82">
        <v>2128.4899999999998</v>
      </c>
      <c r="E92" s="82">
        <v>857.31</v>
      </c>
      <c r="F92" s="82">
        <v>750.11</v>
      </c>
      <c r="G92" s="82">
        <v>613.63</v>
      </c>
      <c r="H92" s="82">
        <v>1842.34</v>
      </c>
    </row>
    <row r="93" spans="1:8">
      <c r="A93" s="78" t="s">
        <v>616</v>
      </c>
      <c r="B93" s="78" t="s">
        <v>617</v>
      </c>
      <c r="C93" s="82">
        <v>21827.14</v>
      </c>
      <c r="D93" s="82">
        <v>195611.44</v>
      </c>
      <c r="E93" s="82">
        <v>19257.919999999998</v>
      </c>
      <c r="F93" s="83">
        <v>96399.2</v>
      </c>
      <c r="G93" s="82">
        <v>21167.42</v>
      </c>
      <c r="H93" s="83">
        <v>61822.7</v>
      </c>
    </row>
    <row r="94" spans="1:8">
      <c r="A94" s="78" t="s">
        <v>618</v>
      </c>
      <c r="B94" s="78" t="s">
        <v>619</v>
      </c>
      <c r="C94" s="81">
        <v>110311.89</v>
      </c>
      <c r="D94" s="84">
        <v>206278.39999999999</v>
      </c>
      <c r="E94" s="81">
        <v>197230.04</v>
      </c>
      <c r="F94" s="84">
        <v>264329.09999999998</v>
      </c>
      <c r="G94" s="81">
        <v>144750.82</v>
      </c>
      <c r="H94" s="81">
        <v>239015.02</v>
      </c>
    </row>
    <row r="95" spans="1:8">
      <c r="A95" s="78" t="s">
        <v>621</v>
      </c>
      <c r="B95" s="78" t="s">
        <v>622</v>
      </c>
      <c r="C95" s="81">
        <v>9411.8799999999992</v>
      </c>
      <c r="D95" s="81">
        <v>4161.3100000000004</v>
      </c>
      <c r="E95" s="81">
        <v>10642.04</v>
      </c>
      <c r="F95" s="81">
        <v>2916.38</v>
      </c>
      <c r="G95" s="81">
        <v>11718.53</v>
      </c>
      <c r="H95" s="81">
        <v>1581.97</v>
      </c>
    </row>
    <row r="96" spans="1:8">
      <c r="A96" s="78" t="s">
        <v>623</v>
      </c>
      <c r="B96" s="78" t="s">
        <v>624</v>
      </c>
      <c r="C96" s="82">
        <v>22917.74</v>
      </c>
      <c r="D96" s="82">
        <v>419.02</v>
      </c>
      <c r="E96" s="82">
        <v>41791.61</v>
      </c>
      <c r="F96" s="82">
        <v>145.07</v>
      </c>
      <c r="G96" s="82">
        <v>72931.839999999997</v>
      </c>
      <c r="H96" s="82">
        <v>389.24</v>
      </c>
    </row>
    <row r="97" spans="1:8">
      <c r="A97" s="78" t="s">
        <v>625</v>
      </c>
      <c r="B97" s="78" t="s">
        <v>620</v>
      </c>
      <c r="C97" s="81">
        <v>106309.85</v>
      </c>
      <c r="D97" s="81">
        <v>57583.24</v>
      </c>
      <c r="E97" s="81">
        <v>169607.71</v>
      </c>
      <c r="F97" s="81">
        <v>56170.080000000002</v>
      </c>
      <c r="G97" s="81">
        <v>132413.25</v>
      </c>
      <c r="H97" s="81">
        <v>158323.65</v>
      </c>
    </row>
    <row r="98" spans="1:8">
      <c r="A98" s="78" t="s">
        <v>626</v>
      </c>
      <c r="B98" s="78" t="s">
        <v>615</v>
      </c>
      <c r="C98" s="82">
        <v>115077.08</v>
      </c>
      <c r="D98" s="82">
        <v>11025.37</v>
      </c>
      <c r="E98" s="82">
        <v>99212.61</v>
      </c>
      <c r="F98" s="82">
        <v>10026.57</v>
      </c>
      <c r="G98" s="82">
        <v>77087.22</v>
      </c>
      <c r="H98" s="82">
        <v>15485.77</v>
      </c>
    </row>
    <row r="99" spans="1:8">
      <c r="A99" s="78" t="s">
        <v>627</v>
      </c>
      <c r="B99" s="78" t="s">
        <v>628</v>
      </c>
      <c r="C99" s="81">
        <v>163112.43</v>
      </c>
      <c r="D99" s="81">
        <v>85682.27</v>
      </c>
      <c r="E99" s="81">
        <v>152949.39000000001</v>
      </c>
      <c r="F99" s="81">
        <v>37682.83</v>
      </c>
      <c r="G99" s="81">
        <v>43838.05</v>
      </c>
      <c r="H99" s="84">
        <v>44732.800000000003</v>
      </c>
    </row>
    <row r="100" spans="1:8">
      <c r="A100" s="78" t="s">
        <v>629</v>
      </c>
      <c r="B100" s="78" t="s">
        <v>630</v>
      </c>
      <c r="C100" s="82">
        <v>571595.44999999995</v>
      </c>
      <c r="D100" s="82">
        <v>792931.05</v>
      </c>
      <c r="E100" s="82">
        <v>691319.45</v>
      </c>
      <c r="F100" s="82">
        <v>702669.57</v>
      </c>
      <c r="G100" s="82">
        <v>742004.76</v>
      </c>
      <c r="H100" s="82">
        <v>637930.46</v>
      </c>
    </row>
    <row r="101" spans="1:8">
      <c r="A101" s="78" t="s">
        <v>631</v>
      </c>
      <c r="B101" s="78" t="s">
        <v>632</v>
      </c>
      <c r="C101" s="81">
        <v>19513.87</v>
      </c>
      <c r="D101" s="81">
        <v>22911.119999999999</v>
      </c>
      <c r="E101" s="81">
        <v>12463.76</v>
      </c>
      <c r="F101" s="81">
        <v>5956.12</v>
      </c>
      <c r="G101" s="81">
        <v>11335.33</v>
      </c>
      <c r="H101" s="84">
        <v>6097.7</v>
      </c>
    </row>
    <row r="102" spans="1:8">
      <c r="A102" s="78" t="s">
        <v>634</v>
      </c>
      <c r="B102" s="78" t="s">
        <v>635</v>
      </c>
      <c r="C102" s="81">
        <v>112525.42</v>
      </c>
      <c r="D102" s="84">
        <v>853552.2</v>
      </c>
      <c r="E102" s="81">
        <v>122414.37</v>
      </c>
      <c r="F102" s="81">
        <v>378900.83</v>
      </c>
      <c r="G102" s="81">
        <v>64510.53</v>
      </c>
      <c r="H102" s="81">
        <v>409004.32</v>
      </c>
    </row>
    <row r="103" spans="1:8">
      <c r="A103" s="78" t="s">
        <v>636</v>
      </c>
      <c r="B103" s="78" t="s">
        <v>637</v>
      </c>
      <c r="C103" s="82">
        <v>5421.52</v>
      </c>
      <c r="D103" s="82">
        <v>124201.68</v>
      </c>
      <c r="E103" s="82">
        <v>10593.34</v>
      </c>
      <c r="F103" s="82">
        <v>119582.24</v>
      </c>
      <c r="G103" s="82">
        <v>21857.67</v>
      </c>
      <c r="H103" s="82">
        <v>139521.34</v>
      </c>
    </row>
    <row r="104" spans="1:8">
      <c r="A104" s="78" t="s">
        <v>639</v>
      </c>
      <c r="B104" s="78" t="s">
        <v>640</v>
      </c>
      <c r="C104" s="81">
        <v>801.04</v>
      </c>
      <c r="D104" s="81">
        <v>223.79</v>
      </c>
      <c r="E104" s="81">
        <v>2102.02</v>
      </c>
      <c r="F104" s="81">
        <v>42.93</v>
      </c>
      <c r="G104" s="84">
        <v>4107.1000000000004</v>
      </c>
      <c r="H104" s="81">
        <v>75.459999999999994</v>
      </c>
    </row>
    <row r="105" spans="1:8">
      <c r="A105" s="78" t="s">
        <v>641</v>
      </c>
      <c r="B105" s="78" t="s">
        <v>633</v>
      </c>
      <c r="C105" s="81">
        <v>2843.03</v>
      </c>
      <c r="D105" s="84">
        <v>29327.1</v>
      </c>
      <c r="E105" s="81">
        <v>5177.82</v>
      </c>
      <c r="F105" s="81">
        <v>46924.41</v>
      </c>
      <c r="G105" s="81">
        <v>1955.94</v>
      </c>
      <c r="H105" s="81">
        <v>29270.59</v>
      </c>
    </row>
    <row r="106" spans="1:8">
      <c r="A106" s="78" t="s">
        <v>642</v>
      </c>
      <c r="B106" s="78" t="s">
        <v>638</v>
      </c>
      <c r="C106" s="82">
        <v>21150.11</v>
      </c>
      <c r="D106" s="82">
        <v>23469.79</v>
      </c>
      <c r="E106" s="82">
        <v>31705.46</v>
      </c>
      <c r="F106" s="82">
        <v>45622.13</v>
      </c>
      <c r="G106" s="82">
        <v>34179.120000000003</v>
      </c>
      <c r="H106" s="82">
        <v>21482.73</v>
      </c>
    </row>
    <row r="107" spans="1:8">
      <c r="A107" s="78" t="s">
        <v>643</v>
      </c>
      <c r="B107" s="78" t="s">
        <v>644</v>
      </c>
      <c r="C107" s="84">
        <v>721.6</v>
      </c>
      <c r="D107" s="81">
        <v>1606.48</v>
      </c>
      <c r="E107" s="81">
        <v>1421.16</v>
      </c>
      <c r="F107" s="81">
        <v>301.49</v>
      </c>
      <c r="G107" s="81">
        <v>21858.43</v>
      </c>
      <c r="H107" s="81">
        <v>765.45</v>
      </c>
    </row>
    <row r="108" spans="1:8">
      <c r="A108" s="78" t="s">
        <v>645</v>
      </c>
      <c r="B108" s="78" t="s">
        <v>646</v>
      </c>
      <c r="C108" s="83">
        <v>13617</v>
      </c>
      <c r="D108" s="83">
        <v>823.6</v>
      </c>
      <c r="E108" s="83">
        <v>801.6</v>
      </c>
      <c r="F108" s="83">
        <v>253.4</v>
      </c>
      <c r="G108" s="83">
        <v>51</v>
      </c>
      <c r="H108" s="80" t="s">
        <v>195</v>
      </c>
    </row>
    <row r="109" spans="1:8">
      <c r="A109" s="78" t="s">
        <v>647</v>
      </c>
      <c r="B109" s="78" t="s">
        <v>648</v>
      </c>
      <c r="C109" s="84">
        <v>44613.9</v>
      </c>
      <c r="D109" s="84">
        <v>2811</v>
      </c>
      <c r="E109" s="84">
        <v>66825.8</v>
      </c>
      <c r="F109" s="81">
        <v>3.45</v>
      </c>
      <c r="G109" s="84">
        <v>13158.2</v>
      </c>
      <c r="H109" s="81">
        <v>0.04</v>
      </c>
    </row>
    <row r="110" spans="1:8">
      <c r="A110" s="78" t="s">
        <v>649</v>
      </c>
      <c r="B110" s="78" t="s">
        <v>650</v>
      </c>
      <c r="C110" s="82">
        <v>4651.79</v>
      </c>
      <c r="D110" s="82">
        <v>7614.57</v>
      </c>
      <c r="E110" s="82">
        <v>704.74</v>
      </c>
      <c r="F110" s="82">
        <v>377.45</v>
      </c>
      <c r="G110" s="82">
        <v>7569.25</v>
      </c>
      <c r="H110" s="82">
        <v>0.53</v>
      </c>
    </row>
    <row r="111" spans="1:8">
      <c r="A111" s="78" t="s">
        <v>651</v>
      </c>
      <c r="B111" s="78" t="s">
        <v>652</v>
      </c>
      <c r="C111" s="81">
        <v>109.26</v>
      </c>
      <c r="D111" s="81">
        <v>16.84</v>
      </c>
      <c r="E111" s="81">
        <v>95.45</v>
      </c>
      <c r="F111" s="81">
        <v>43.17</v>
      </c>
      <c r="G111" s="81">
        <v>52.85</v>
      </c>
      <c r="H111" s="81">
        <v>0.05</v>
      </c>
    </row>
    <row r="112" spans="1:8">
      <c r="A112" s="78" t="s">
        <v>653</v>
      </c>
      <c r="B112" s="78" t="s">
        <v>654</v>
      </c>
      <c r="C112" s="82">
        <v>22352.26</v>
      </c>
      <c r="D112" s="82">
        <v>0.95</v>
      </c>
      <c r="E112" s="82">
        <v>34930.449999999997</v>
      </c>
      <c r="F112" s="82">
        <v>9367.8799999999992</v>
      </c>
      <c r="G112" s="82">
        <v>12644.37</v>
      </c>
      <c r="H112" s="82">
        <v>47143.88</v>
      </c>
    </row>
    <row r="113" spans="1:8">
      <c r="A113" s="78" t="s">
        <v>655</v>
      </c>
      <c r="B113" s="78" t="s">
        <v>656</v>
      </c>
      <c r="C113" s="81">
        <v>23990.36</v>
      </c>
      <c r="D113" s="81">
        <v>141462.16</v>
      </c>
      <c r="E113" s="81">
        <v>16247.87</v>
      </c>
      <c r="F113" s="81">
        <v>37675.269999999997</v>
      </c>
      <c r="G113" s="81">
        <v>20181.27</v>
      </c>
      <c r="H113" s="81">
        <v>1532.76</v>
      </c>
    </row>
    <row r="114" spans="1:8">
      <c r="A114" s="78" t="s">
        <v>659</v>
      </c>
      <c r="B114" s="78" t="s">
        <v>660</v>
      </c>
      <c r="C114" s="81">
        <v>660.76</v>
      </c>
      <c r="D114" s="81">
        <v>0.46</v>
      </c>
      <c r="E114" s="81">
        <v>878.35</v>
      </c>
      <c r="F114" s="81">
        <v>0.91</v>
      </c>
      <c r="G114" s="81">
        <v>3841.32</v>
      </c>
      <c r="H114" s="81">
        <v>14407.25</v>
      </c>
    </row>
    <row r="115" spans="1:8">
      <c r="A115" s="78" t="s">
        <v>661</v>
      </c>
      <c r="B115" s="78" t="s">
        <v>662</v>
      </c>
      <c r="C115" s="82">
        <v>232438.63</v>
      </c>
      <c r="D115" s="82">
        <v>10192.959999999999</v>
      </c>
      <c r="E115" s="82">
        <v>276842.71000000002</v>
      </c>
      <c r="F115" s="82">
        <v>21101.09</v>
      </c>
      <c r="G115" s="82">
        <v>342269.67</v>
      </c>
      <c r="H115" s="83">
        <v>31880.7</v>
      </c>
    </row>
    <row r="116" spans="1:8">
      <c r="A116" s="78" t="s">
        <v>663</v>
      </c>
      <c r="B116" s="78" t="s">
        <v>664</v>
      </c>
      <c r="C116" s="84">
        <v>42983.8</v>
      </c>
      <c r="D116" s="81">
        <v>1670.81</v>
      </c>
      <c r="E116" s="81">
        <v>53911.94</v>
      </c>
      <c r="F116" s="81">
        <v>892.82</v>
      </c>
      <c r="G116" s="81">
        <v>81272.97</v>
      </c>
      <c r="H116" s="81">
        <v>1968.31</v>
      </c>
    </row>
    <row r="117" spans="1:8">
      <c r="A117" s="78" t="s">
        <v>665</v>
      </c>
      <c r="B117" s="78" t="s">
        <v>666</v>
      </c>
      <c r="C117" s="82">
        <v>3690.43</v>
      </c>
      <c r="D117" s="82">
        <v>1021.49</v>
      </c>
      <c r="E117" s="82">
        <v>4531.2299999999996</v>
      </c>
      <c r="F117" s="82">
        <v>477.01</v>
      </c>
      <c r="G117" s="82">
        <v>3283.51</v>
      </c>
      <c r="H117" s="83">
        <v>2173.5</v>
      </c>
    </row>
    <row r="118" spans="1:8">
      <c r="A118" s="78" t="s">
        <v>667</v>
      </c>
      <c r="B118" s="78" t="s">
        <v>668</v>
      </c>
      <c r="C118" s="81">
        <v>19922.330000000002</v>
      </c>
      <c r="D118" s="81">
        <v>810.49</v>
      </c>
      <c r="E118" s="81">
        <v>33959.68</v>
      </c>
      <c r="F118" s="81">
        <v>1770.94</v>
      </c>
      <c r="G118" s="81">
        <v>70725.81</v>
      </c>
      <c r="H118" s="81">
        <v>100.17</v>
      </c>
    </row>
    <row r="119" spans="1:8">
      <c r="A119" s="78" t="s">
        <v>669</v>
      </c>
      <c r="B119" s="78" t="s">
        <v>657</v>
      </c>
      <c r="C119" s="82">
        <v>1510.48</v>
      </c>
      <c r="D119" s="82">
        <v>802.18</v>
      </c>
      <c r="E119" s="82">
        <v>3972.31</v>
      </c>
      <c r="F119" s="82">
        <v>95.65</v>
      </c>
      <c r="G119" s="82">
        <v>8772.68</v>
      </c>
      <c r="H119" s="82">
        <v>36.340000000000003</v>
      </c>
    </row>
    <row r="120" spans="1:8">
      <c r="A120" s="78" t="s">
        <v>670</v>
      </c>
      <c r="B120" s="78" t="s">
        <v>658</v>
      </c>
      <c r="C120" s="81">
        <v>13430.99</v>
      </c>
      <c r="D120" s="81">
        <v>209.77</v>
      </c>
      <c r="E120" s="81">
        <v>12100.06</v>
      </c>
      <c r="F120" s="81">
        <v>113.59</v>
      </c>
      <c r="G120" s="81">
        <v>31668.51</v>
      </c>
      <c r="H120" s="81">
        <v>2896.57</v>
      </c>
    </row>
    <row r="121" spans="1:8">
      <c r="A121" s="78" t="s">
        <v>671</v>
      </c>
      <c r="B121" s="78" t="s">
        <v>672</v>
      </c>
      <c r="C121" s="82">
        <v>5737.95</v>
      </c>
      <c r="D121" s="82">
        <v>83.33</v>
      </c>
      <c r="E121" s="82">
        <v>1218.3599999999999</v>
      </c>
      <c r="F121" s="83">
        <v>61.6</v>
      </c>
      <c r="G121" s="82">
        <v>1023.49</v>
      </c>
      <c r="H121" s="82">
        <v>431.05</v>
      </c>
    </row>
    <row r="122" spans="1:8">
      <c r="A122" s="78" t="s">
        <v>673</v>
      </c>
      <c r="B122" s="78" t="s">
        <v>674</v>
      </c>
      <c r="C122" s="81">
        <v>10620.83</v>
      </c>
      <c r="D122" s="81">
        <v>1202.0899999999999</v>
      </c>
      <c r="E122" s="81">
        <v>7205.14</v>
      </c>
      <c r="F122" s="84">
        <v>657.7</v>
      </c>
      <c r="G122" s="81">
        <v>9812.17</v>
      </c>
      <c r="H122" s="81">
        <v>586.84</v>
      </c>
    </row>
    <row r="123" spans="1:8">
      <c r="A123" s="78" t="s">
        <v>675</v>
      </c>
      <c r="B123" s="78" t="s">
        <v>676</v>
      </c>
      <c r="C123" s="80" t="s">
        <v>195</v>
      </c>
      <c r="D123" s="80" t="s">
        <v>195</v>
      </c>
      <c r="E123" s="80" t="s">
        <v>195</v>
      </c>
      <c r="F123" s="80" t="s">
        <v>195</v>
      </c>
      <c r="G123" s="80" t="s">
        <v>195</v>
      </c>
      <c r="H123" s="80" t="s">
        <v>195</v>
      </c>
    </row>
    <row r="124" spans="1:8">
      <c r="A124" s="78" t="s">
        <v>677</v>
      </c>
      <c r="B124" s="78" t="s">
        <v>678</v>
      </c>
      <c r="C124" s="80" t="s">
        <v>195</v>
      </c>
      <c r="D124" s="80" t="s">
        <v>195</v>
      </c>
      <c r="E124" s="80" t="s">
        <v>195</v>
      </c>
      <c r="F124" s="80" t="s">
        <v>195</v>
      </c>
      <c r="G124" s="80" t="s">
        <v>195</v>
      </c>
      <c r="H124" s="80" t="s">
        <v>195</v>
      </c>
    </row>
    <row r="125" spans="1:8">
      <c r="A125" s="78" t="s">
        <v>679</v>
      </c>
      <c r="B125" s="78" t="s">
        <v>680</v>
      </c>
      <c r="C125" s="82">
        <v>20854.080000000002</v>
      </c>
      <c r="D125" s="82">
        <v>14.43</v>
      </c>
      <c r="E125" s="82">
        <v>29548.65</v>
      </c>
      <c r="F125" s="82">
        <v>24.03</v>
      </c>
      <c r="G125" s="82">
        <v>20406.72</v>
      </c>
      <c r="H125" s="83">
        <v>692.5</v>
      </c>
    </row>
    <row r="126" spans="1:8">
      <c r="A126" s="78" t="s">
        <v>681</v>
      </c>
      <c r="B126" s="78" t="s">
        <v>682</v>
      </c>
      <c r="C126" s="79" t="s">
        <v>195</v>
      </c>
      <c r="D126" s="79" t="s">
        <v>195</v>
      </c>
      <c r="E126" s="79" t="s">
        <v>195</v>
      </c>
      <c r="F126" s="79" t="s">
        <v>195</v>
      </c>
      <c r="G126" s="79" t="s">
        <v>195</v>
      </c>
      <c r="H126" s="79" t="s">
        <v>195</v>
      </c>
    </row>
    <row r="127" spans="1:8">
      <c r="A127" s="78" t="s">
        <v>683</v>
      </c>
      <c r="B127" s="78" t="s">
        <v>684</v>
      </c>
      <c r="C127" s="82">
        <v>1984.48</v>
      </c>
      <c r="D127" s="82">
        <v>1518.64</v>
      </c>
      <c r="E127" s="82">
        <v>3553.42</v>
      </c>
      <c r="F127" s="82">
        <v>137.74</v>
      </c>
      <c r="G127" s="82">
        <v>4251.78</v>
      </c>
      <c r="H127" s="82">
        <v>8223.25</v>
      </c>
    </row>
    <row r="128" spans="1:8">
      <c r="A128" s="78" t="s">
        <v>685</v>
      </c>
      <c r="B128" s="78" t="s">
        <v>686</v>
      </c>
      <c r="C128" s="79" t="s">
        <v>195</v>
      </c>
      <c r="D128" s="79" t="s">
        <v>195</v>
      </c>
      <c r="E128" s="79" t="s">
        <v>195</v>
      </c>
      <c r="F128" s="79" t="s">
        <v>195</v>
      </c>
      <c r="G128" s="79" t="s">
        <v>195</v>
      </c>
      <c r="H128" s="79" t="s">
        <v>195</v>
      </c>
    </row>
    <row r="129" spans="1:8">
      <c r="A129" s="78" t="s">
        <v>687</v>
      </c>
      <c r="B129" s="78" t="s">
        <v>688</v>
      </c>
      <c r="C129" s="80" t="s">
        <v>195</v>
      </c>
      <c r="D129" s="80" t="s">
        <v>195</v>
      </c>
      <c r="E129" s="80" t="s">
        <v>195</v>
      </c>
      <c r="F129" s="80" t="s">
        <v>195</v>
      </c>
      <c r="G129" s="80" t="s">
        <v>195</v>
      </c>
      <c r="H129" s="80" t="s">
        <v>195</v>
      </c>
    </row>
    <row r="130" spans="1:8">
      <c r="A130" s="78" t="s">
        <v>689</v>
      </c>
      <c r="B130" s="78" t="s">
        <v>690</v>
      </c>
      <c r="C130" s="81">
        <v>40101.269999999997</v>
      </c>
      <c r="D130" s="81">
        <v>23711.52</v>
      </c>
      <c r="E130" s="81">
        <v>53292.08</v>
      </c>
      <c r="F130" s="81">
        <v>8238.06</v>
      </c>
      <c r="G130" s="81">
        <v>47251.63</v>
      </c>
      <c r="H130" s="81">
        <v>29758.05</v>
      </c>
    </row>
    <row r="131" spans="1:8">
      <c r="A131" s="78" t="s">
        <v>691</v>
      </c>
      <c r="B131" s="78" t="s">
        <v>692</v>
      </c>
      <c r="C131" s="81">
        <v>7537.62</v>
      </c>
      <c r="D131" s="84">
        <v>14669.9</v>
      </c>
      <c r="E131" s="81">
        <v>12604.09</v>
      </c>
      <c r="F131" s="81">
        <v>11120.11</v>
      </c>
      <c r="G131" s="81">
        <v>5221.97</v>
      </c>
      <c r="H131" s="81">
        <v>7003.03</v>
      </c>
    </row>
    <row r="132" spans="1:8">
      <c r="A132" s="78" t="s">
        <v>693</v>
      </c>
      <c r="B132" s="78" t="s">
        <v>694</v>
      </c>
      <c r="C132" s="80" t="s">
        <v>195</v>
      </c>
      <c r="D132" s="80" t="s">
        <v>195</v>
      </c>
      <c r="E132" s="80" t="s">
        <v>195</v>
      </c>
      <c r="F132" s="80" t="s">
        <v>195</v>
      </c>
      <c r="G132" s="80" t="s">
        <v>195</v>
      </c>
      <c r="H132" s="80" t="s">
        <v>195</v>
      </c>
    </row>
    <row r="133" spans="1:8">
      <c r="A133" s="78" t="s">
        <v>695</v>
      </c>
      <c r="B133" s="78" t="s">
        <v>696</v>
      </c>
      <c r="C133" s="79" t="s">
        <v>195</v>
      </c>
      <c r="D133" s="79" t="s">
        <v>195</v>
      </c>
      <c r="E133" s="79" t="s">
        <v>195</v>
      </c>
      <c r="F133" s="79" t="s">
        <v>195</v>
      </c>
      <c r="G133" s="79" t="s">
        <v>195</v>
      </c>
      <c r="H133" s="79" t="s">
        <v>195</v>
      </c>
    </row>
    <row r="134" spans="1:8">
      <c r="A134" s="78" t="s">
        <v>697</v>
      </c>
      <c r="B134" s="78" t="s">
        <v>698</v>
      </c>
      <c r="C134" s="80" t="s">
        <v>195</v>
      </c>
      <c r="D134" s="80" t="s">
        <v>195</v>
      </c>
      <c r="E134" s="80" t="s">
        <v>195</v>
      </c>
      <c r="F134" s="80" t="s">
        <v>195</v>
      </c>
      <c r="G134" s="80" t="s">
        <v>195</v>
      </c>
      <c r="H134" s="80" t="s">
        <v>195</v>
      </c>
    </row>
    <row r="135" spans="1:8">
      <c r="A135" s="78" t="s">
        <v>699</v>
      </c>
      <c r="B135" s="78" t="s">
        <v>700</v>
      </c>
      <c r="C135" s="81">
        <v>3512.28</v>
      </c>
      <c r="D135" s="81">
        <v>1531.01</v>
      </c>
      <c r="E135" s="81">
        <v>5443.94</v>
      </c>
      <c r="F135" s="81">
        <v>738.92</v>
      </c>
      <c r="G135" s="81">
        <v>2807.24</v>
      </c>
      <c r="H135" s="81">
        <v>4980.5200000000004</v>
      </c>
    </row>
    <row r="136" spans="1:8">
      <c r="A136" s="78" t="s">
        <v>701</v>
      </c>
      <c r="B136" s="78" t="s">
        <v>702</v>
      </c>
      <c r="C136" s="82">
        <v>454.09</v>
      </c>
      <c r="D136" s="82">
        <v>173.95</v>
      </c>
      <c r="E136" s="82">
        <v>4956.92</v>
      </c>
      <c r="F136" s="82">
        <v>3947.34</v>
      </c>
      <c r="G136" s="82">
        <v>1259.57</v>
      </c>
      <c r="H136" s="82">
        <v>910.13</v>
      </c>
    </row>
    <row r="137" spans="1:8">
      <c r="A137" s="78" t="s">
        <v>703</v>
      </c>
      <c r="B137" s="78" t="s">
        <v>704</v>
      </c>
      <c r="C137" s="79" t="s">
        <v>195</v>
      </c>
      <c r="D137" s="79" t="s">
        <v>195</v>
      </c>
      <c r="E137" s="79" t="s">
        <v>195</v>
      </c>
      <c r="F137" s="79" t="s">
        <v>195</v>
      </c>
      <c r="G137" s="79" t="s">
        <v>195</v>
      </c>
      <c r="H137" s="79" t="s">
        <v>195</v>
      </c>
    </row>
    <row r="138" spans="1:8">
      <c r="A138" s="78" t="s">
        <v>705</v>
      </c>
      <c r="B138" s="78" t="s">
        <v>706</v>
      </c>
      <c r="C138" s="82">
        <v>2130.66</v>
      </c>
      <c r="D138" s="82">
        <v>168.16</v>
      </c>
      <c r="E138" s="83">
        <v>229.7</v>
      </c>
      <c r="F138" s="82">
        <v>1.25</v>
      </c>
      <c r="G138" s="82">
        <v>286.02</v>
      </c>
      <c r="H138" s="83">
        <v>0.9</v>
      </c>
    </row>
    <row r="139" spans="1:8">
      <c r="A139" s="78" t="s">
        <v>707</v>
      </c>
      <c r="B139" s="78" t="s">
        <v>676</v>
      </c>
      <c r="C139" s="79" t="s">
        <v>195</v>
      </c>
      <c r="D139" s="79" t="s">
        <v>195</v>
      </c>
      <c r="E139" s="79" t="s">
        <v>195</v>
      </c>
      <c r="F139" s="79" t="s">
        <v>195</v>
      </c>
      <c r="G139" s="79" t="s">
        <v>195</v>
      </c>
      <c r="H139" s="79" t="s">
        <v>195</v>
      </c>
    </row>
    <row r="140" spans="1:8">
      <c r="A140" s="78" t="s">
        <v>708</v>
      </c>
      <c r="B140" s="78" t="s">
        <v>709</v>
      </c>
      <c r="C140" s="80" t="s">
        <v>195</v>
      </c>
      <c r="D140" s="80" t="s">
        <v>195</v>
      </c>
      <c r="E140" s="80" t="s">
        <v>195</v>
      </c>
      <c r="F140" s="80" t="s">
        <v>195</v>
      </c>
      <c r="G140" s="80" t="s">
        <v>195</v>
      </c>
      <c r="H140" s="80" t="s">
        <v>195</v>
      </c>
    </row>
    <row r="141" spans="1:8">
      <c r="A141" s="78" t="s">
        <v>710</v>
      </c>
      <c r="B141" s="78" t="s">
        <v>711</v>
      </c>
      <c r="C141" s="81">
        <v>43775.03</v>
      </c>
      <c r="D141" s="81">
        <v>3450.59</v>
      </c>
      <c r="E141" s="81">
        <v>73343.009999999995</v>
      </c>
      <c r="F141" s="81">
        <v>4422.9399999999996</v>
      </c>
      <c r="G141" s="81">
        <v>29716.46</v>
      </c>
      <c r="H141" s="81">
        <v>2052.19</v>
      </c>
    </row>
    <row r="142" spans="1:8">
      <c r="A142" s="78" t="s">
        <v>712</v>
      </c>
      <c r="B142" s="78" t="s">
        <v>713</v>
      </c>
      <c r="C142" s="80" t="s">
        <v>195</v>
      </c>
      <c r="D142" s="80" t="s">
        <v>195</v>
      </c>
      <c r="E142" s="80" t="s">
        <v>195</v>
      </c>
      <c r="F142" s="80" t="s">
        <v>195</v>
      </c>
      <c r="G142" s="80" t="s">
        <v>195</v>
      </c>
      <c r="H142" s="80" t="s">
        <v>195</v>
      </c>
    </row>
    <row r="143" spans="1:8">
      <c r="A143" s="78" t="s">
        <v>714</v>
      </c>
      <c r="B143" s="78" t="s">
        <v>715</v>
      </c>
      <c r="C143" s="82">
        <v>4272.45</v>
      </c>
      <c r="D143" s="82">
        <v>514.41</v>
      </c>
      <c r="E143" s="82">
        <v>4899.8500000000004</v>
      </c>
      <c r="F143" s="82">
        <v>223.73</v>
      </c>
      <c r="G143" s="82">
        <v>4094.32</v>
      </c>
      <c r="H143" s="82">
        <v>1756.73</v>
      </c>
    </row>
    <row r="144" spans="1:8">
      <c r="A144" s="78" t="s">
        <v>716</v>
      </c>
      <c r="B144" s="78" t="s">
        <v>717</v>
      </c>
      <c r="C144" s="82">
        <v>9203.27</v>
      </c>
      <c r="D144" s="82">
        <v>28.41</v>
      </c>
      <c r="E144" s="82">
        <v>12541.62</v>
      </c>
      <c r="F144" s="82">
        <v>140.54</v>
      </c>
      <c r="G144" s="82">
        <v>14672.03</v>
      </c>
      <c r="H144" s="82">
        <v>367.61</v>
      </c>
    </row>
    <row r="145" spans="1:8">
      <c r="A145" s="78" t="s">
        <v>718</v>
      </c>
      <c r="B145" s="78" t="s">
        <v>719</v>
      </c>
      <c r="C145" s="84">
        <v>2282.6</v>
      </c>
      <c r="D145" s="81">
        <v>91.29</v>
      </c>
      <c r="E145" s="84">
        <v>5804</v>
      </c>
      <c r="F145" s="81">
        <v>7.65</v>
      </c>
      <c r="G145" s="81">
        <v>3003.07</v>
      </c>
      <c r="H145" s="81">
        <v>7.76</v>
      </c>
    </row>
    <row r="146" spans="1:8">
      <c r="A146" s="78" t="s">
        <v>720</v>
      </c>
      <c r="B146" s="78" t="s">
        <v>721</v>
      </c>
      <c r="C146" s="83">
        <v>1630.5</v>
      </c>
      <c r="D146" s="82">
        <v>137.58000000000001</v>
      </c>
      <c r="E146" s="82">
        <v>1785.68</v>
      </c>
      <c r="F146" s="82">
        <v>23.81</v>
      </c>
      <c r="G146" s="82">
        <v>1612.34</v>
      </c>
      <c r="H146" s="82">
        <v>106.43</v>
      </c>
    </row>
    <row r="147" spans="1:8">
      <c r="A147" s="78" t="s">
        <v>722</v>
      </c>
      <c r="B147" s="78" t="s">
        <v>723</v>
      </c>
      <c r="C147" s="84">
        <v>5365.1</v>
      </c>
      <c r="D147" s="81">
        <v>532.47</v>
      </c>
      <c r="E147" s="81">
        <v>4199.58</v>
      </c>
      <c r="F147" s="81">
        <v>132.53</v>
      </c>
      <c r="G147" s="81">
        <v>6725.79</v>
      </c>
      <c r="H147" s="81">
        <v>17.25</v>
      </c>
    </row>
    <row r="148" spans="1:8">
      <c r="A148" s="78" t="s">
        <v>724</v>
      </c>
      <c r="B148" s="78" t="s">
        <v>725</v>
      </c>
      <c r="C148" s="80" t="s">
        <v>195</v>
      </c>
      <c r="D148" s="80" t="s">
        <v>195</v>
      </c>
      <c r="E148" s="82">
        <v>218.64</v>
      </c>
      <c r="F148" s="82">
        <v>100.29</v>
      </c>
      <c r="G148" s="82">
        <v>228.29</v>
      </c>
      <c r="H148" s="83">
        <v>57.5</v>
      </c>
    </row>
    <row r="149" spans="1:8">
      <c r="A149" s="78" t="s">
        <v>726</v>
      </c>
      <c r="B149" s="78" t="s">
        <v>727</v>
      </c>
      <c r="C149" s="81">
        <v>4959.1899999999996</v>
      </c>
      <c r="D149" s="81">
        <v>735.17</v>
      </c>
      <c r="E149" s="81">
        <v>6092.08</v>
      </c>
      <c r="F149" s="81">
        <v>1184.03</v>
      </c>
      <c r="G149" s="84">
        <v>1039.5999999999999</v>
      </c>
      <c r="H149" s="81">
        <v>43.85</v>
      </c>
    </row>
    <row r="150" spans="1:8">
      <c r="A150" s="78" t="s">
        <v>728</v>
      </c>
      <c r="B150" s="78" t="s">
        <v>729</v>
      </c>
      <c r="C150" s="81">
        <v>25162.14</v>
      </c>
      <c r="D150" s="81">
        <v>3863.47</v>
      </c>
      <c r="E150" s="81">
        <v>16180.95</v>
      </c>
      <c r="F150" s="81">
        <v>3890.08</v>
      </c>
      <c r="G150" s="81">
        <v>14183.71</v>
      </c>
      <c r="H150" s="81">
        <v>4264.28</v>
      </c>
    </row>
    <row r="151" spans="1:8">
      <c r="A151" s="78" t="s">
        <v>730</v>
      </c>
      <c r="B151" s="78" t="s">
        <v>731</v>
      </c>
      <c r="C151" s="82">
        <v>42049.25</v>
      </c>
      <c r="D151" s="82">
        <v>704384.56</v>
      </c>
      <c r="E151" s="82">
        <v>92236.96</v>
      </c>
      <c r="F151" s="82">
        <v>677682.35</v>
      </c>
      <c r="G151" s="83">
        <v>55185.1</v>
      </c>
      <c r="H151" s="82">
        <v>460445.98</v>
      </c>
    </row>
    <row r="152" spans="1:8">
      <c r="A152" s="78" t="s">
        <v>732</v>
      </c>
      <c r="B152" s="78" t="s">
        <v>733</v>
      </c>
      <c r="C152" s="81">
        <v>15364.51</v>
      </c>
      <c r="D152" s="81">
        <v>9732.73</v>
      </c>
      <c r="E152" s="84">
        <v>27612.799999999999</v>
      </c>
      <c r="F152" s="81">
        <v>5991.53</v>
      </c>
      <c r="G152" s="81">
        <v>1645.36</v>
      </c>
      <c r="H152" s="81">
        <v>4671.78</v>
      </c>
    </row>
    <row r="153" spans="1:8">
      <c r="A153" s="78" t="s">
        <v>734</v>
      </c>
      <c r="B153" s="78" t="s">
        <v>735</v>
      </c>
      <c r="C153" s="82">
        <v>16835.37</v>
      </c>
      <c r="D153" s="82">
        <v>159225.46</v>
      </c>
      <c r="E153" s="82">
        <v>11021.96</v>
      </c>
      <c r="F153" s="83">
        <v>88259.5</v>
      </c>
      <c r="G153" s="83">
        <v>15064.6</v>
      </c>
      <c r="H153" s="82">
        <v>109040.46</v>
      </c>
    </row>
    <row r="154" spans="1:8">
      <c r="A154" s="78" t="s">
        <v>736</v>
      </c>
      <c r="B154" s="78" t="s">
        <v>737</v>
      </c>
      <c r="C154" s="81">
        <v>3923.68</v>
      </c>
      <c r="D154" s="84">
        <v>1138</v>
      </c>
      <c r="E154" s="81">
        <v>2951.25</v>
      </c>
      <c r="F154" s="81">
        <v>2030.19</v>
      </c>
      <c r="G154" s="81">
        <v>5848.04</v>
      </c>
      <c r="H154" s="81">
        <v>4489.1899999999996</v>
      </c>
    </row>
    <row r="155" spans="1:8">
      <c r="A155" s="78" t="s">
        <v>738</v>
      </c>
      <c r="B155" s="78" t="s">
        <v>739</v>
      </c>
      <c r="C155" s="82">
        <v>102399.48</v>
      </c>
      <c r="D155" s="82">
        <v>11708623.810000001</v>
      </c>
      <c r="E155" s="82">
        <v>296976.51</v>
      </c>
      <c r="F155" s="82">
        <v>11203292.810000001</v>
      </c>
      <c r="G155" s="82">
        <v>190766.48</v>
      </c>
      <c r="H155" s="82">
        <v>10597421.859999999</v>
      </c>
    </row>
    <row r="156" spans="1:8">
      <c r="A156" s="78" t="s">
        <v>740</v>
      </c>
      <c r="B156" s="78" t="s">
        <v>741</v>
      </c>
      <c r="C156" s="81">
        <v>15441.01</v>
      </c>
      <c r="D156" s="81">
        <v>60894.89</v>
      </c>
      <c r="E156" s="81">
        <v>33165.589999999997</v>
      </c>
      <c r="F156" s="81">
        <v>96116.64</v>
      </c>
      <c r="G156" s="81">
        <v>53863.53</v>
      </c>
      <c r="H156" s="81">
        <v>74035.539999999994</v>
      </c>
    </row>
    <row r="157" spans="1:8">
      <c r="A157" s="78" t="s">
        <v>742</v>
      </c>
      <c r="B157" s="78" t="s">
        <v>743</v>
      </c>
      <c r="C157" s="82">
        <v>576243.34</v>
      </c>
      <c r="D157" s="83">
        <v>697063.2</v>
      </c>
      <c r="E157" s="82">
        <v>464400.18</v>
      </c>
      <c r="F157" s="82">
        <v>956709.83</v>
      </c>
      <c r="G157" s="82">
        <v>922491.49</v>
      </c>
      <c r="H157" s="82">
        <v>468395.85</v>
      </c>
    </row>
    <row r="158" spans="1:8">
      <c r="A158" s="78" t="s">
        <v>744</v>
      </c>
      <c r="B158" s="78" t="s">
        <v>745</v>
      </c>
      <c r="C158" s="84">
        <v>793873.6</v>
      </c>
      <c r="D158" s="79" t="s">
        <v>195</v>
      </c>
      <c r="E158" s="81">
        <v>1332571.51</v>
      </c>
      <c r="F158" s="79" t="s">
        <v>195</v>
      </c>
      <c r="G158" s="81">
        <v>1245643.6399999999</v>
      </c>
      <c r="H158" s="84">
        <v>961741.7</v>
      </c>
    </row>
    <row r="159" spans="1:8">
      <c r="A159" s="78" t="s">
        <v>746</v>
      </c>
      <c r="B159" s="78" t="s">
        <v>747</v>
      </c>
      <c r="C159" s="82">
        <v>12645.66</v>
      </c>
      <c r="D159" s="82">
        <v>2236.17</v>
      </c>
      <c r="E159" s="82">
        <v>17026.68</v>
      </c>
      <c r="F159" s="82">
        <v>194.98</v>
      </c>
      <c r="G159" s="82">
        <v>28031.94</v>
      </c>
      <c r="H159" s="82">
        <v>287.82</v>
      </c>
    </row>
    <row r="160" spans="1:8">
      <c r="A160" s="78" t="s">
        <v>748</v>
      </c>
      <c r="B160" s="78" t="s">
        <v>749</v>
      </c>
      <c r="C160" s="81">
        <v>488824.35</v>
      </c>
      <c r="D160" s="81">
        <v>1228880.57</v>
      </c>
      <c r="E160" s="81">
        <v>636563.59</v>
      </c>
      <c r="F160" s="81">
        <v>1296787.3700000001</v>
      </c>
      <c r="G160" s="81">
        <v>722637.42</v>
      </c>
      <c r="H160" s="81">
        <v>1224406.6299999999</v>
      </c>
    </row>
    <row r="161" spans="1:8">
      <c r="A161" s="78" t="s">
        <v>750</v>
      </c>
      <c r="B161" s="78" t="s">
        <v>751</v>
      </c>
      <c r="C161" s="82">
        <v>4698.34</v>
      </c>
      <c r="D161" s="82">
        <v>11.14</v>
      </c>
      <c r="E161" s="82">
        <v>296.64999999999998</v>
      </c>
      <c r="F161" s="82">
        <v>26.86</v>
      </c>
      <c r="G161" s="82">
        <v>24.05</v>
      </c>
      <c r="H161" s="82">
        <v>34415.629999999997</v>
      </c>
    </row>
    <row r="162" spans="1:8">
      <c r="A162" s="78" t="s">
        <v>752</v>
      </c>
      <c r="B162" s="78" t="s">
        <v>753</v>
      </c>
      <c r="C162" s="84">
        <v>16741.599999999999</v>
      </c>
      <c r="D162" s="81">
        <v>94467.29</v>
      </c>
      <c r="E162" s="81">
        <v>19381.98</v>
      </c>
      <c r="F162" s="81">
        <v>34025.74</v>
      </c>
      <c r="G162" s="81">
        <v>18748.240000000002</v>
      </c>
      <c r="H162" s="81">
        <v>86935.93</v>
      </c>
    </row>
    <row r="163" spans="1:8">
      <c r="A163" s="78" t="s">
        <v>754</v>
      </c>
      <c r="B163" s="78" t="s">
        <v>755</v>
      </c>
      <c r="C163" s="82">
        <v>14168.88</v>
      </c>
      <c r="D163" s="82">
        <v>2159.67</v>
      </c>
      <c r="E163" s="82">
        <v>11791.05</v>
      </c>
      <c r="F163" s="82">
        <v>1911.93</v>
      </c>
      <c r="G163" s="83">
        <v>5710.2</v>
      </c>
      <c r="H163" s="82">
        <v>1495.69</v>
      </c>
    </row>
    <row r="164" spans="1:8">
      <c r="A164" s="78" t="s">
        <v>756</v>
      </c>
      <c r="B164" s="78" t="s">
        <v>757</v>
      </c>
      <c r="C164" s="81">
        <v>18750.240000000002</v>
      </c>
      <c r="D164" s="81">
        <v>202498.55</v>
      </c>
      <c r="E164" s="81">
        <v>7581.69</v>
      </c>
      <c r="F164" s="81">
        <v>172572.17</v>
      </c>
      <c r="G164" s="84">
        <v>10182.6</v>
      </c>
      <c r="H164" s="81">
        <v>36679.85</v>
      </c>
    </row>
    <row r="165" spans="1:8">
      <c r="A165" s="78" t="s">
        <v>758</v>
      </c>
      <c r="B165" s="78" t="s">
        <v>759</v>
      </c>
      <c r="C165" s="82">
        <v>678868.07</v>
      </c>
      <c r="D165" s="82">
        <v>2606699.21</v>
      </c>
      <c r="E165" s="82">
        <v>784467.28</v>
      </c>
      <c r="F165" s="83">
        <v>2605828.7000000002</v>
      </c>
      <c r="G165" s="82">
        <v>1026398.07</v>
      </c>
      <c r="H165" s="82">
        <v>3191304.48</v>
      </c>
    </row>
    <row r="166" spans="1:8">
      <c r="A166" s="78" t="s">
        <v>760</v>
      </c>
      <c r="B166" s="78" t="s">
        <v>761</v>
      </c>
      <c r="C166" s="81">
        <v>4753.6499999999996</v>
      </c>
      <c r="D166" s="81">
        <v>660.52</v>
      </c>
      <c r="E166" s="81">
        <v>8939.33</v>
      </c>
      <c r="F166" s="81">
        <v>290.14999999999998</v>
      </c>
      <c r="G166" s="81">
        <v>5701.53</v>
      </c>
      <c r="H166" s="84">
        <v>494.5</v>
      </c>
    </row>
    <row r="167" spans="1:8">
      <c r="A167" s="78" t="s">
        <v>762</v>
      </c>
      <c r="B167" s="78" t="s">
        <v>763</v>
      </c>
      <c r="C167" s="82">
        <v>41586.129999999997</v>
      </c>
      <c r="D167" s="82">
        <v>2831.01</v>
      </c>
      <c r="E167" s="82">
        <v>32971.19</v>
      </c>
      <c r="F167" s="82">
        <v>5218.5200000000004</v>
      </c>
      <c r="G167" s="82">
        <v>100355.01</v>
      </c>
      <c r="H167" s="82">
        <v>19234.849999999999</v>
      </c>
    </row>
    <row r="168" spans="1:8">
      <c r="A168" s="78" t="s">
        <v>764</v>
      </c>
      <c r="B168" s="78" t="s">
        <v>765</v>
      </c>
      <c r="C168" s="82">
        <v>26043.25</v>
      </c>
      <c r="D168" s="83">
        <v>18572.400000000001</v>
      </c>
      <c r="E168" s="82">
        <v>37255.480000000003</v>
      </c>
      <c r="F168" s="82">
        <v>35743.78</v>
      </c>
      <c r="G168" s="83">
        <v>53679.7</v>
      </c>
      <c r="H168" s="82">
        <v>14616.13</v>
      </c>
    </row>
    <row r="169" spans="1:8">
      <c r="A169" s="78" t="s">
        <v>766</v>
      </c>
      <c r="B169" s="78" t="s">
        <v>767</v>
      </c>
      <c r="C169" s="81">
        <v>739054.34</v>
      </c>
      <c r="D169" s="81">
        <v>1726410.93</v>
      </c>
      <c r="E169" s="81">
        <v>890571.46</v>
      </c>
      <c r="F169" s="81">
        <v>1756811.98</v>
      </c>
      <c r="G169" s="81">
        <v>997790.12</v>
      </c>
      <c r="H169" s="81">
        <v>1820735.34</v>
      </c>
    </row>
    <row r="170" spans="1:8">
      <c r="A170" s="78" t="s">
        <v>768</v>
      </c>
      <c r="B170" s="78" t="s">
        <v>769</v>
      </c>
      <c r="C170" s="82">
        <v>243854.62</v>
      </c>
      <c r="D170" s="82">
        <v>128557.14</v>
      </c>
      <c r="E170" s="83">
        <v>376747.2</v>
      </c>
      <c r="F170" s="82">
        <v>114295.07</v>
      </c>
      <c r="G170" s="82">
        <v>307080.96999999997</v>
      </c>
      <c r="H170" s="82">
        <v>90896.97</v>
      </c>
    </row>
    <row r="171" spans="1:8">
      <c r="A171" s="78" t="s">
        <v>770</v>
      </c>
      <c r="B171" s="78" t="s">
        <v>771</v>
      </c>
      <c r="C171" s="83">
        <v>2921797.1</v>
      </c>
      <c r="D171" s="82">
        <v>192550.43</v>
      </c>
      <c r="E171" s="82">
        <v>2933908.68</v>
      </c>
      <c r="F171" s="82">
        <v>233699.06</v>
      </c>
      <c r="G171" s="82">
        <v>3090052.93</v>
      </c>
      <c r="H171" s="82">
        <v>229528.02</v>
      </c>
    </row>
    <row r="172" spans="1:8">
      <c r="A172" s="78" t="s">
        <v>772</v>
      </c>
      <c r="B172" s="78" t="s">
        <v>773</v>
      </c>
      <c r="C172" s="81">
        <v>105825.11</v>
      </c>
      <c r="D172" s="81">
        <v>62129.56</v>
      </c>
      <c r="E172" s="81">
        <v>140063.25</v>
      </c>
      <c r="F172" s="81">
        <v>39092.22</v>
      </c>
      <c r="G172" s="81">
        <v>318093.78999999998</v>
      </c>
      <c r="H172" s="81">
        <v>33037.61</v>
      </c>
    </row>
    <row r="173" spans="1:8">
      <c r="A173" s="78" t="s">
        <v>774</v>
      </c>
      <c r="B173" s="78" t="s">
        <v>775</v>
      </c>
      <c r="C173" s="82">
        <v>255122.39</v>
      </c>
      <c r="D173" s="82">
        <v>297206.11</v>
      </c>
      <c r="E173" s="82">
        <v>287058.64</v>
      </c>
      <c r="F173" s="83">
        <v>243751.1</v>
      </c>
      <c r="G173" s="82">
        <v>355917.06</v>
      </c>
      <c r="H173" s="82">
        <v>163627.93</v>
      </c>
    </row>
    <row r="174" spans="1:8">
      <c r="A174" s="78" t="s">
        <v>776</v>
      </c>
      <c r="B174" s="78" t="s">
        <v>777</v>
      </c>
      <c r="C174" s="81">
        <v>13982.02</v>
      </c>
      <c r="D174" s="81">
        <v>30291.56</v>
      </c>
      <c r="E174" s="84">
        <v>29418.6</v>
      </c>
      <c r="F174" s="84">
        <v>39891.9</v>
      </c>
      <c r="G174" s="81">
        <v>11108.07</v>
      </c>
      <c r="H174" s="81">
        <v>32865.75</v>
      </c>
    </row>
    <row r="175" spans="1:8">
      <c r="A175" s="78" t="s">
        <v>778</v>
      </c>
      <c r="B175" s="78" t="s">
        <v>779</v>
      </c>
      <c r="C175" s="82">
        <v>177711.71</v>
      </c>
      <c r="D175" s="82">
        <v>105724.58</v>
      </c>
      <c r="E175" s="82">
        <v>217560.58</v>
      </c>
      <c r="F175" s="82">
        <v>91778.73</v>
      </c>
      <c r="G175" s="82">
        <v>256058.48</v>
      </c>
      <c r="H175" s="82">
        <v>93281.49</v>
      </c>
    </row>
    <row r="176" spans="1:8">
      <c r="A176" s="78" t="s">
        <v>780</v>
      </c>
      <c r="B176" s="78" t="s">
        <v>781</v>
      </c>
      <c r="C176" s="81">
        <v>177804.35</v>
      </c>
      <c r="D176" s="81">
        <v>166982.39000000001</v>
      </c>
      <c r="E176" s="81">
        <v>135974.54</v>
      </c>
      <c r="F176" s="81">
        <v>186239.58</v>
      </c>
      <c r="G176" s="81">
        <v>98983.49</v>
      </c>
      <c r="H176" s="84">
        <v>253774.5</v>
      </c>
    </row>
    <row r="177" spans="1:8">
      <c r="A177" s="78" t="s">
        <v>782</v>
      </c>
      <c r="B177" s="78" t="s">
        <v>783</v>
      </c>
      <c r="C177" s="82">
        <v>554743.92000000004</v>
      </c>
      <c r="D177" s="82">
        <v>768313.31</v>
      </c>
      <c r="E177" s="82">
        <v>606545.22</v>
      </c>
      <c r="F177" s="82">
        <v>643507.12</v>
      </c>
      <c r="G177" s="82">
        <v>640730.72</v>
      </c>
      <c r="H177" s="82">
        <v>721261.91</v>
      </c>
    </row>
    <row r="178" spans="1:8">
      <c r="A178" s="78" t="s">
        <v>784</v>
      </c>
      <c r="B178" s="78" t="s">
        <v>785</v>
      </c>
      <c r="C178" s="81">
        <v>143160.09</v>
      </c>
      <c r="D178" s="81">
        <v>56291.79</v>
      </c>
      <c r="E178" s="81">
        <v>144942.34</v>
      </c>
      <c r="F178" s="81">
        <v>50656.87</v>
      </c>
      <c r="G178" s="81">
        <v>139435.64000000001</v>
      </c>
      <c r="H178" s="81">
        <v>31087.57</v>
      </c>
    </row>
    <row r="179" spans="1:8">
      <c r="A179" s="78" t="s">
        <v>786</v>
      </c>
      <c r="B179" s="78" t="s">
        <v>787</v>
      </c>
      <c r="C179" s="82">
        <v>23525.69</v>
      </c>
      <c r="D179" s="82">
        <v>3272.91</v>
      </c>
      <c r="E179" s="82">
        <v>1647.78</v>
      </c>
      <c r="F179" s="82">
        <v>2338.54</v>
      </c>
      <c r="G179" s="82">
        <v>1281.4100000000001</v>
      </c>
      <c r="H179" s="82">
        <v>3777.54</v>
      </c>
    </row>
    <row r="180" spans="1:8">
      <c r="A180" s="78" t="s">
        <v>788</v>
      </c>
      <c r="B180" s="78" t="s">
        <v>789</v>
      </c>
      <c r="C180" s="81">
        <v>7821.78</v>
      </c>
      <c r="D180" s="81">
        <v>2824.28</v>
      </c>
      <c r="E180" s="81">
        <v>883.72</v>
      </c>
      <c r="F180" s="81">
        <v>4098.8900000000003</v>
      </c>
      <c r="G180" s="81">
        <v>1918.58</v>
      </c>
      <c r="H180" s="81">
        <v>3504.69</v>
      </c>
    </row>
    <row r="181" spans="1:8">
      <c r="A181" s="78" t="s">
        <v>790</v>
      </c>
      <c r="B181" s="78" t="s">
        <v>791</v>
      </c>
      <c r="C181" s="83">
        <v>44568.3</v>
      </c>
      <c r="D181" s="83">
        <v>15739.6</v>
      </c>
      <c r="E181" s="82">
        <v>61434.28</v>
      </c>
      <c r="F181" s="82">
        <v>54008.69</v>
      </c>
      <c r="G181" s="82">
        <v>111557.05</v>
      </c>
      <c r="H181" s="82">
        <v>20035.55</v>
      </c>
    </row>
    <row r="182" spans="1:8">
      <c r="A182" s="78" t="s">
        <v>792</v>
      </c>
      <c r="B182" s="78" t="s">
        <v>793</v>
      </c>
      <c r="C182" s="81">
        <v>44316.58</v>
      </c>
      <c r="D182" s="81">
        <v>23749.99</v>
      </c>
      <c r="E182" s="81">
        <v>68895.58</v>
      </c>
      <c r="F182" s="81">
        <v>25882.13</v>
      </c>
      <c r="G182" s="81">
        <v>103180.37</v>
      </c>
      <c r="H182" s="81">
        <v>14676.11</v>
      </c>
    </row>
    <row r="183" spans="1:8">
      <c r="A183" s="78" t="s">
        <v>794</v>
      </c>
      <c r="B183" s="78" t="s">
        <v>795</v>
      </c>
      <c r="C183" s="82">
        <v>149977.65</v>
      </c>
      <c r="D183" s="82">
        <v>239113.02</v>
      </c>
      <c r="E183" s="82">
        <v>146983.35999999999</v>
      </c>
      <c r="F183" s="82">
        <v>335317.75</v>
      </c>
      <c r="G183" s="82">
        <v>146774.26999999999</v>
      </c>
      <c r="H183" s="83">
        <v>286034.3</v>
      </c>
    </row>
    <row r="184" spans="1:8">
      <c r="A184" s="78" t="s">
        <v>796</v>
      </c>
      <c r="B184" s="78" t="s">
        <v>797</v>
      </c>
      <c r="C184" s="81">
        <v>44352.480000000003</v>
      </c>
      <c r="D184" s="81">
        <v>107683.64</v>
      </c>
      <c r="E184" s="81">
        <v>66370.649999999994</v>
      </c>
      <c r="F184" s="81">
        <v>84230.15</v>
      </c>
      <c r="G184" s="81">
        <v>77813.05</v>
      </c>
      <c r="H184" s="81">
        <v>117123.74</v>
      </c>
    </row>
    <row r="185" spans="1:8">
      <c r="A185" s="78" t="s">
        <v>798</v>
      </c>
      <c r="B185" s="78" t="s">
        <v>799</v>
      </c>
      <c r="C185" s="82">
        <v>110176.81</v>
      </c>
      <c r="D185" s="82">
        <v>45443.88</v>
      </c>
      <c r="E185" s="83">
        <v>109557.5</v>
      </c>
      <c r="F185" s="83">
        <v>264734.2</v>
      </c>
      <c r="G185" s="82">
        <v>168809.91</v>
      </c>
      <c r="H185" s="82">
        <v>20225.64</v>
      </c>
    </row>
    <row r="186" spans="1:8">
      <c r="A186" s="78" t="s">
        <v>800</v>
      </c>
      <c r="B186" s="78" t="s">
        <v>801</v>
      </c>
      <c r="C186" s="81">
        <v>39103.26</v>
      </c>
      <c r="D186" s="81">
        <v>13150.24</v>
      </c>
      <c r="E186" s="81">
        <v>127948.47</v>
      </c>
      <c r="F186" s="81">
        <v>23705.86</v>
      </c>
      <c r="G186" s="81">
        <v>86884.65</v>
      </c>
      <c r="H186" s="81">
        <v>42151.87</v>
      </c>
    </row>
    <row r="187" spans="1:8">
      <c r="A187" s="78" t="s">
        <v>802</v>
      </c>
      <c r="B187" s="78" t="s">
        <v>803</v>
      </c>
      <c r="C187" s="81">
        <v>2520233.61</v>
      </c>
      <c r="D187" s="81">
        <v>1999557.68</v>
      </c>
      <c r="E187" s="81">
        <v>4147230.54</v>
      </c>
      <c r="F187" s="81">
        <v>1579402.58</v>
      </c>
      <c r="G187" s="81">
        <v>4058582.52</v>
      </c>
      <c r="H187" s="81">
        <v>1477289.54</v>
      </c>
    </row>
    <row r="188" spans="1:8">
      <c r="A188" s="78" t="s">
        <v>804</v>
      </c>
      <c r="B188" s="78" t="s">
        <v>805</v>
      </c>
      <c r="C188" s="82">
        <v>2991049.76</v>
      </c>
      <c r="D188" s="82">
        <v>4114076.54</v>
      </c>
      <c r="E188" s="82">
        <v>2820745.57</v>
      </c>
      <c r="F188" s="82">
        <v>2943799.66</v>
      </c>
      <c r="G188" s="82">
        <v>2684032.64</v>
      </c>
      <c r="H188" s="82">
        <v>2676820.7200000002</v>
      </c>
    </row>
    <row r="189" spans="1:8">
      <c r="A189" s="78" t="s">
        <v>806</v>
      </c>
      <c r="B189" s="78" t="s">
        <v>807</v>
      </c>
      <c r="C189" s="81">
        <v>1871039.01</v>
      </c>
      <c r="D189" s="81">
        <v>355307.37</v>
      </c>
      <c r="E189" s="81">
        <v>2624974.0699999998</v>
      </c>
      <c r="F189" s="81">
        <v>460473.61</v>
      </c>
      <c r="G189" s="81">
        <v>2093232.07</v>
      </c>
      <c r="H189" s="81">
        <v>206786.97</v>
      </c>
    </row>
    <row r="190" spans="1:8">
      <c r="A190" s="78" t="s">
        <v>808</v>
      </c>
      <c r="B190" s="78" t="s">
        <v>809</v>
      </c>
      <c r="C190" s="81">
        <v>149796.12</v>
      </c>
      <c r="D190" s="81">
        <v>255044.14</v>
      </c>
      <c r="E190" s="81">
        <v>26578.81</v>
      </c>
      <c r="F190" s="81">
        <v>386048.18</v>
      </c>
      <c r="G190" s="81">
        <v>16961.28</v>
      </c>
      <c r="H190" s="81">
        <v>533673.09</v>
      </c>
    </row>
    <row r="191" spans="1:8">
      <c r="A191" s="78" t="s">
        <v>810</v>
      </c>
      <c r="B191" s="78" t="s">
        <v>811</v>
      </c>
      <c r="C191" s="83">
        <v>61167.1</v>
      </c>
      <c r="D191" s="82">
        <v>1105818.55</v>
      </c>
      <c r="E191" s="82">
        <v>64074.94</v>
      </c>
      <c r="F191" s="82">
        <v>238114.01</v>
      </c>
      <c r="G191" s="82">
        <v>177696.03</v>
      </c>
      <c r="H191" s="82">
        <v>88369.23</v>
      </c>
    </row>
    <row r="192" spans="1:8">
      <c r="A192" s="78" t="s">
        <v>814</v>
      </c>
      <c r="B192" s="78" t="s">
        <v>815</v>
      </c>
      <c r="C192" s="81">
        <v>112249.18</v>
      </c>
      <c r="D192" s="81">
        <v>2075232.26</v>
      </c>
      <c r="E192" s="81">
        <v>81720.929999999993</v>
      </c>
      <c r="F192" s="84">
        <v>1300444.2</v>
      </c>
      <c r="G192" s="81">
        <v>34642.36</v>
      </c>
      <c r="H192" s="81">
        <v>1278284.78</v>
      </c>
    </row>
    <row r="193" spans="1:8">
      <c r="A193" s="78" t="s">
        <v>816</v>
      </c>
      <c r="B193" s="78" t="s">
        <v>817</v>
      </c>
      <c r="C193" s="82">
        <v>162265.35</v>
      </c>
      <c r="D193" s="82">
        <v>1832655.82</v>
      </c>
      <c r="E193" s="82">
        <v>246687.18</v>
      </c>
      <c r="F193" s="82">
        <v>2209428.0699999998</v>
      </c>
      <c r="G193" s="82">
        <v>179218.37</v>
      </c>
      <c r="H193" s="82">
        <v>1908534.88</v>
      </c>
    </row>
    <row r="194" spans="1:8">
      <c r="A194" s="78" t="s">
        <v>818</v>
      </c>
      <c r="B194" s="78" t="s">
        <v>812</v>
      </c>
      <c r="C194" s="81">
        <v>81188.62</v>
      </c>
      <c r="D194" s="81">
        <v>59634.15</v>
      </c>
      <c r="E194" s="81">
        <v>57030.62</v>
      </c>
      <c r="F194" s="81">
        <v>63180.81</v>
      </c>
      <c r="G194" s="81">
        <v>87150.65</v>
      </c>
      <c r="H194" s="81">
        <v>24218.16</v>
      </c>
    </row>
    <row r="195" spans="1:8">
      <c r="A195" s="78" t="s">
        <v>819</v>
      </c>
      <c r="B195" s="78" t="s">
        <v>813</v>
      </c>
      <c r="C195" s="82">
        <v>37518.36</v>
      </c>
      <c r="D195" s="82">
        <v>45479.85</v>
      </c>
      <c r="E195" s="82">
        <v>64813.29</v>
      </c>
      <c r="F195" s="82">
        <v>4336.22</v>
      </c>
      <c r="G195" s="82">
        <v>5942.42</v>
      </c>
      <c r="H195" s="82">
        <v>47181.98</v>
      </c>
    </row>
    <row r="196" spans="1:8">
      <c r="A196" s="78" t="s">
        <v>820</v>
      </c>
      <c r="B196" s="78" t="s">
        <v>821</v>
      </c>
      <c r="C196" s="81">
        <v>36896.67</v>
      </c>
      <c r="D196" s="81">
        <v>7408.39</v>
      </c>
      <c r="E196" s="81">
        <v>28253.49</v>
      </c>
      <c r="F196" s="81">
        <v>36025.86</v>
      </c>
      <c r="G196" s="81">
        <v>84134.720000000001</v>
      </c>
      <c r="H196" s="81">
        <v>46872.88</v>
      </c>
    </row>
    <row r="197" spans="1:8">
      <c r="A197" s="78" t="s">
        <v>822</v>
      </c>
      <c r="B197" s="78" t="s">
        <v>823</v>
      </c>
      <c r="C197" s="82">
        <v>110134.11</v>
      </c>
      <c r="D197" s="82">
        <v>211024.26</v>
      </c>
      <c r="E197" s="82">
        <v>119841.06</v>
      </c>
      <c r="F197" s="82">
        <v>128074.87</v>
      </c>
      <c r="G197" s="82">
        <v>194898.72</v>
      </c>
      <c r="H197" s="83">
        <v>89980.5</v>
      </c>
    </row>
    <row r="198" spans="1:8">
      <c r="A198" s="78" t="s">
        <v>824</v>
      </c>
      <c r="B198" s="78" t="s">
        <v>825</v>
      </c>
      <c r="C198" s="84">
        <v>501495.5</v>
      </c>
      <c r="D198" s="81">
        <v>636053.54</v>
      </c>
      <c r="E198" s="81">
        <v>596785.23</v>
      </c>
      <c r="F198" s="81">
        <v>549975.77</v>
      </c>
      <c r="G198" s="81">
        <v>452447.52</v>
      </c>
      <c r="H198" s="81">
        <v>322276.12</v>
      </c>
    </row>
    <row r="199" spans="1:8">
      <c r="A199" s="78" t="s">
        <v>826</v>
      </c>
      <c r="B199" s="78" t="s">
        <v>827</v>
      </c>
      <c r="C199" s="82">
        <v>390439.44</v>
      </c>
      <c r="D199" s="82">
        <v>2988993.74</v>
      </c>
      <c r="E199" s="82">
        <v>546608.24</v>
      </c>
      <c r="F199" s="82">
        <v>1261528.58</v>
      </c>
      <c r="G199" s="82">
        <v>224177.48</v>
      </c>
      <c r="H199" s="82">
        <v>1013101.67</v>
      </c>
    </row>
    <row r="200" spans="1:8">
      <c r="A200" s="78" t="s">
        <v>828</v>
      </c>
      <c r="B200" s="78" t="s">
        <v>829</v>
      </c>
      <c r="C200" s="81">
        <v>527752.06999999995</v>
      </c>
      <c r="D200" s="84">
        <v>2601113.6000000001</v>
      </c>
      <c r="E200" s="81">
        <v>628083.12</v>
      </c>
      <c r="F200" s="81">
        <v>1899190.86</v>
      </c>
      <c r="G200" s="81">
        <v>334929.09000000003</v>
      </c>
      <c r="H200" s="81">
        <v>611060.76</v>
      </c>
    </row>
    <row r="201" spans="1:8">
      <c r="A201" s="78" t="s">
        <v>830</v>
      </c>
      <c r="B201" s="78" t="s">
        <v>831</v>
      </c>
      <c r="C201" s="82">
        <v>1826471.25</v>
      </c>
      <c r="D201" s="82">
        <v>932004.91</v>
      </c>
      <c r="E201" s="82">
        <v>2465714.71</v>
      </c>
      <c r="F201" s="82">
        <v>1237220.73</v>
      </c>
      <c r="G201" s="82">
        <v>2230104.2400000002</v>
      </c>
      <c r="H201" s="82">
        <v>1460522.22</v>
      </c>
    </row>
    <row r="202" spans="1:8">
      <c r="A202" s="78" t="s">
        <v>832</v>
      </c>
      <c r="B202" s="78" t="s">
        <v>211</v>
      </c>
      <c r="C202" s="81">
        <v>536367.07999999996</v>
      </c>
      <c r="D202" s="81">
        <v>70211.240000000005</v>
      </c>
      <c r="E202" s="84">
        <v>360964.6</v>
      </c>
      <c r="F202" s="81">
        <v>94717.45</v>
      </c>
      <c r="G202" s="81">
        <v>300635.78000000003</v>
      </c>
      <c r="H202" s="81">
        <v>72714.36</v>
      </c>
    </row>
    <row r="204" spans="1:8">
      <c r="A204" s="74" t="s">
        <v>833</v>
      </c>
    </row>
    <row r="205" spans="1:8">
      <c r="A205" s="74" t="s">
        <v>195</v>
      </c>
      <c r="B205" s="72" t="s">
        <v>834</v>
      </c>
    </row>
  </sheetData>
  <mergeCells count="5">
    <mergeCell ref="A10:B10"/>
    <mergeCell ref="C10:D10"/>
    <mergeCell ref="E10:F10"/>
    <mergeCell ref="G10:H10"/>
    <mergeCell ref="A11:B11"/>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EEF3-BD07-4B32-9AEE-67F99FC5BC11}">
  <sheetPr>
    <tabColor rgb="FFFFC000"/>
  </sheetPr>
  <dimension ref="A1:BV205"/>
  <sheetViews>
    <sheetView workbookViewId="0">
      <pane xSplit="2" ySplit="12" topLeftCell="C68" activePane="bottomRight" state="frozen"/>
      <selection activeCell="F172" sqref="F172"/>
      <selection pane="topRight" activeCell="F172" sqref="F172"/>
      <selection pane="bottomLeft" activeCell="F172" sqref="F172"/>
      <selection pane="bottomRight" activeCell="B90" sqref="B90"/>
    </sheetView>
  </sheetViews>
  <sheetFormatPr baseColWidth="10" defaultColWidth="8.88671875" defaultRowHeight="11.4" customHeight="1"/>
  <cols>
    <col min="1" max="1" width="14.88671875" style="73" customWidth="1"/>
    <col min="2" max="2" width="26.6640625" style="73" customWidth="1"/>
    <col min="3" max="74" width="11" style="73" customWidth="1"/>
    <col min="75" max="16384" width="8.88671875" style="73"/>
  </cols>
  <sheetData>
    <row r="1" spans="1:74">
      <c r="A1" s="72" t="s">
        <v>1247</v>
      </c>
    </row>
    <row r="2" spans="1:74">
      <c r="A2" s="72" t="s">
        <v>181</v>
      </c>
      <c r="B2" s="74" t="s">
        <v>1248</v>
      </c>
    </row>
    <row r="3" spans="1:74">
      <c r="A3" s="72" t="s">
        <v>455</v>
      </c>
      <c r="B3" s="72" t="s">
        <v>1249</v>
      </c>
    </row>
    <row r="4" spans="1:74"/>
    <row r="5" spans="1:74">
      <c r="A5" s="74" t="s">
        <v>184</v>
      </c>
      <c r="C5" s="72" t="s">
        <v>1250</v>
      </c>
    </row>
    <row r="6" spans="1:74">
      <c r="A6" s="74" t="s">
        <v>203</v>
      </c>
      <c r="C6" s="72" t="s">
        <v>204</v>
      </c>
    </row>
    <row r="7" spans="1:74">
      <c r="A7" s="74" t="s">
        <v>205</v>
      </c>
      <c r="C7" s="72" t="s">
        <v>206</v>
      </c>
    </row>
    <row r="8" spans="1:74">
      <c r="A8" s="74" t="s">
        <v>187</v>
      </c>
      <c r="C8" s="72" t="s">
        <v>207</v>
      </c>
    </row>
    <row r="9" spans="1:74"/>
    <row r="10" spans="1:74">
      <c r="A10" s="766" t="s">
        <v>189</v>
      </c>
      <c r="B10" s="766" t="s">
        <v>189</v>
      </c>
      <c r="C10" s="767" t="s">
        <v>1251</v>
      </c>
      <c r="D10" s="767" t="s">
        <v>1251</v>
      </c>
      <c r="E10" s="767" t="s">
        <v>1252</v>
      </c>
      <c r="F10" s="767" t="s">
        <v>1252</v>
      </c>
      <c r="G10" s="767" t="s">
        <v>1253</v>
      </c>
      <c r="H10" s="767" t="s">
        <v>1253</v>
      </c>
      <c r="I10" s="767" t="s">
        <v>1254</v>
      </c>
      <c r="J10" s="767" t="s">
        <v>1254</v>
      </c>
      <c r="K10" s="767" t="s">
        <v>1255</v>
      </c>
      <c r="L10" s="767" t="s">
        <v>1255</v>
      </c>
      <c r="M10" s="767" t="s">
        <v>1256</v>
      </c>
      <c r="N10" s="767" t="s">
        <v>1256</v>
      </c>
      <c r="O10" s="767" t="s">
        <v>1257</v>
      </c>
      <c r="P10" s="767" t="s">
        <v>1257</v>
      </c>
      <c r="Q10" s="767" t="s">
        <v>1258</v>
      </c>
      <c r="R10" s="767" t="s">
        <v>1258</v>
      </c>
      <c r="S10" s="767" t="s">
        <v>1259</v>
      </c>
      <c r="T10" s="767" t="s">
        <v>1259</v>
      </c>
      <c r="U10" s="767" t="s">
        <v>1260</v>
      </c>
      <c r="V10" s="767" t="s">
        <v>1260</v>
      </c>
      <c r="W10" s="767" t="s">
        <v>1261</v>
      </c>
      <c r="X10" s="767" t="s">
        <v>1261</v>
      </c>
      <c r="Y10" s="767" t="s">
        <v>1262</v>
      </c>
      <c r="Z10" s="767" t="s">
        <v>1262</v>
      </c>
      <c r="AA10" s="767" t="s">
        <v>1263</v>
      </c>
      <c r="AB10" s="767" t="s">
        <v>1263</v>
      </c>
      <c r="AC10" s="767" t="s">
        <v>1264</v>
      </c>
      <c r="AD10" s="767" t="s">
        <v>1264</v>
      </c>
      <c r="AE10" s="767" t="s">
        <v>1265</v>
      </c>
      <c r="AF10" s="767" t="s">
        <v>1265</v>
      </c>
      <c r="AG10" s="767" t="s">
        <v>1266</v>
      </c>
      <c r="AH10" s="767" t="s">
        <v>1266</v>
      </c>
      <c r="AI10" s="767" t="s">
        <v>1267</v>
      </c>
      <c r="AJ10" s="767" t="s">
        <v>1267</v>
      </c>
      <c r="AK10" s="767" t="s">
        <v>1268</v>
      </c>
      <c r="AL10" s="767" t="s">
        <v>1268</v>
      </c>
      <c r="AM10" s="767" t="s">
        <v>1269</v>
      </c>
      <c r="AN10" s="767" t="s">
        <v>1269</v>
      </c>
      <c r="AO10" s="767" t="s">
        <v>1270</v>
      </c>
      <c r="AP10" s="767" t="s">
        <v>1270</v>
      </c>
      <c r="AQ10" s="767" t="s">
        <v>1271</v>
      </c>
      <c r="AR10" s="767" t="s">
        <v>1271</v>
      </c>
      <c r="AS10" s="767" t="s">
        <v>1272</v>
      </c>
      <c r="AT10" s="767" t="s">
        <v>1272</v>
      </c>
      <c r="AU10" s="767" t="s">
        <v>1273</v>
      </c>
      <c r="AV10" s="767" t="s">
        <v>1273</v>
      </c>
      <c r="AW10" s="767" t="s">
        <v>1274</v>
      </c>
      <c r="AX10" s="767" t="s">
        <v>1274</v>
      </c>
      <c r="AY10" s="767" t="s">
        <v>1275</v>
      </c>
      <c r="AZ10" s="767" t="s">
        <v>1275</v>
      </c>
      <c r="BA10" s="767" t="s">
        <v>1276</v>
      </c>
      <c r="BB10" s="767" t="s">
        <v>1276</v>
      </c>
      <c r="BC10" s="767" t="s">
        <v>1277</v>
      </c>
      <c r="BD10" s="767" t="s">
        <v>1277</v>
      </c>
      <c r="BE10" s="767" t="s">
        <v>1278</v>
      </c>
      <c r="BF10" s="767" t="s">
        <v>1278</v>
      </c>
      <c r="BG10" s="767" t="s">
        <v>1279</v>
      </c>
      <c r="BH10" s="767" t="s">
        <v>1279</v>
      </c>
      <c r="BI10" s="767" t="s">
        <v>1280</v>
      </c>
      <c r="BJ10" s="767" t="s">
        <v>1280</v>
      </c>
      <c r="BK10" s="767" t="s">
        <v>1281</v>
      </c>
      <c r="BL10" s="767" t="s">
        <v>1281</v>
      </c>
      <c r="BM10" s="767" t="s">
        <v>1282</v>
      </c>
      <c r="BN10" s="767" t="s">
        <v>1282</v>
      </c>
      <c r="BO10" s="767" t="s">
        <v>1283</v>
      </c>
      <c r="BP10" s="767" t="s">
        <v>1283</v>
      </c>
      <c r="BQ10" s="767" t="s">
        <v>1284</v>
      </c>
      <c r="BR10" s="767" t="s">
        <v>1284</v>
      </c>
      <c r="BS10" s="767" t="s">
        <v>1285</v>
      </c>
      <c r="BT10" s="767" t="s">
        <v>1285</v>
      </c>
      <c r="BU10" s="767" t="s">
        <v>1286</v>
      </c>
      <c r="BV10" s="767" t="s">
        <v>1286</v>
      </c>
    </row>
    <row r="11" spans="1:74">
      <c r="A11" s="766" t="s">
        <v>456</v>
      </c>
      <c r="B11" s="766" t="s">
        <v>456</v>
      </c>
      <c r="C11" s="75" t="s">
        <v>208</v>
      </c>
      <c r="D11" s="75" t="s">
        <v>209</v>
      </c>
      <c r="E11" s="75" t="s">
        <v>208</v>
      </c>
      <c r="F11" s="75" t="s">
        <v>209</v>
      </c>
      <c r="G11" s="75" t="s">
        <v>208</v>
      </c>
      <c r="H11" s="75" t="s">
        <v>209</v>
      </c>
      <c r="I11" s="75" t="s">
        <v>208</v>
      </c>
      <c r="J11" s="75" t="s">
        <v>209</v>
      </c>
      <c r="K11" s="75" t="s">
        <v>208</v>
      </c>
      <c r="L11" s="75" t="s">
        <v>209</v>
      </c>
      <c r="M11" s="75" t="s">
        <v>208</v>
      </c>
      <c r="N11" s="75" t="s">
        <v>209</v>
      </c>
      <c r="O11" s="75" t="s">
        <v>208</v>
      </c>
      <c r="P11" s="75" t="s">
        <v>209</v>
      </c>
      <c r="Q11" s="75" t="s">
        <v>208</v>
      </c>
      <c r="R11" s="75" t="s">
        <v>209</v>
      </c>
      <c r="S11" s="75" t="s">
        <v>208</v>
      </c>
      <c r="T11" s="75" t="s">
        <v>209</v>
      </c>
      <c r="U11" s="75" t="s">
        <v>208</v>
      </c>
      <c r="V11" s="75" t="s">
        <v>209</v>
      </c>
      <c r="W11" s="75" t="s">
        <v>208</v>
      </c>
      <c r="X11" s="75" t="s">
        <v>209</v>
      </c>
      <c r="Y11" s="75" t="s">
        <v>208</v>
      </c>
      <c r="Z11" s="75" t="s">
        <v>209</v>
      </c>
      <c r="AA11" s="75" t="s">
        <v>208</v>
      </c>
      <c r="AB11" s="75" t="s">
        <v>209</v>
      </c>
      <c r="AC11" s="75" t="s">
        <v>208</v>
      </c>
      <c r="AD11" s="75" t="s">
        <v>209</v>
      </c>
      <c r="AE11" s="75" t="s">
        <v>208</v>
      </c>
      <c r="AF11" s="75" t="s">
        <v>209</v>
      </c>
      <c r="AG11" s="75" t="s">
        <v>208</v>
      </c>
      <c r="AH11" s="75" t="s">
        <v>209</v>
      </c>
      <c r="AI11" s="75" t="s">
        <v>208</v>
      </c>
      <c r="AJ11" s="75" t="s">
        <v>209</v>
      </c>
      <c r="AK11" s="75" t="s">
        <v>208</v>
      </c>
      <c r="AL11" s="75" t="s">
        <v>209</v>
      </c>
      <c r="AM11" s="75" t="s">
        <v>208</v>
      </c>
      <c r="AN11" s="75" t="s">
        <v>209</v>
      </c>
      <c r="AO11" s="75" t="s">
        <v>208</v>
      </c>
      <c r="AP11" s="75" t="s">
        <v>209</v>
      </c>
      <c r="AQ11" s="75" t="s">
        <v>208</v>
      </c>
      <c r="AR11" s="75" t="s">
        <v>209</v>
      </c>
      <c r="AS11" s="75" t="s">
        <v>208</v>
      </c>
      <c r="AT11" s="75" t="s">
        <v>209</v>
      </c>
      <c r="AU11" s="75" t="s">
        <v>208</v>
      </c>
      <c r="AV11" s="75" t="s">
        <v>209</v>
      </c>
      <c r="AW11" s="75" t="s">
        <v>208</v>
      </c>
      <c r="AX11" s="75" t="s">
        <v>209</v>
      </c>
      <c r="AY11" s="75" t="s">
        <v>208</v>
      </c>
      <c r="AZ11" s="75" t="s">
        <v>209</v>
      </c>
      <c r="BA11" s="75" t="s">
        <v>208</v>
      </c>
      <c r="BB11" s="75" t="s">
        <v>209</v>
      </c>
      <c r="BC11" s="75" t="s">
        <v>208</v>
      </c>
      <c r="BD11" s="75" t="s">
        <v>209</v>
      </c>
      <c r="BE11" s="75" t="s">
        <v>208</v>
      </c>
      <c r="BF11" s="75" t="s">
        <v>209</v>
      </c>
      <c r="BG11" s="75" t="s">
        <v>208</v>
      </c>
      <c r="BH11" s="75" t="s">
        <v>209</v>
      </c>
      <c r="BI11" s="75" t="s">
        <v>208</v>
      </c>
      <c r="BJ11" s="75" t="s">
        <v>209</v>
      </c>
      <c r="BK11" s="75" t="s">
        <v>208</v>
      </c>
      <c r="BL11" s="75" t="s">
        <v>209</v>
      </c>
      <c r="BM11" s="75" t="s">
        <v>208</v>
      </c>
      <c r="BN11" s="75" t="s">
        <v>209</v>
      </c>
      <c r="BO11" s="75" t="s">
        <v>208</v>
      </c>
      <c r="BP11" s="75" t="s">
        <v>209</v>
      </c>
      <c r="BQ11" s="75" t="s">
        <v>208</v>
      </c>
      <c r="BR11" s="75" t="s">
        <v>209</v>
      </c>
      <c r="BS11" s="75" t="s">
        <v>208</v>
      </c>
      <c r="BT11" s="75" t="s">
        <v>209</v>
      </c>
      <c r="BU11" s="75" t="s">
        <v>208</v>
      </c>
      <c r="BV11" s="75" t="s">
        <v>209</v>
      </c>
    </row>
    <row r="12" spans="1:74">
      <c r="A12" s="76" t="s">
        <v>210</v>
      </c>
      <c r="B12" s="76" t="s">
        <v>457</v>
      </c>
      <c r="C12" s="77" t="s">
        <v>89</v>
      </c>
      <c r="D12" s="77" t="s">
        <v>89</v>
      </c>
      <c r="E12" s="77" t="s">
        <v>89</v>
      </c>
      <c r="F12" s="77" t="s">
        <v>89</v>
      </c>
      <c r="G12" s="77" t="s">
        <v>89</v>
      </c>
      <c r="H12" s="77" t="s">
        <v>89</v>
      </c>
      <c r="I12" s="77" t="s">
        <v>89</v>
      </c>
      <c r="J12" s="77" t="s">
        <v>89</v>
      </c>
      <c r="K12" s="77" t="s">
        <v>89</v>
      </c>
      <c r="L12" s="77" t="s">
        <v>89</v>
      </c>
      <c r="M12" s="77" t="s">
        <v>89</v>
      </c>
      <c r="N12" s="77" t="s">
        <v>89</v>
      </c>
      <c r="O12" s="77" t="s">
        <v>89</v>
      </c>
      <c r="P12" s="77" t="s">
        <v>89</v>
      </c>
      <c r="Q12" s="77" t="s">
        <v>89</v>
      </c>
      <c r="R12" s="77" t="s">
        <v>89</v>
      </c>
      <c r="S12" s="77" t="s">
        <v>89</v>
      </c>
      <c r="T12" s="77" t="s">
        <v>89</v>
      </c>
      <c r="U12" s="77" t="s">
        <v>89</v>
      </c>
      <c r="V12" s="77" t="s">
        <v>89</v>
      </c>
      <c r="W12" s="77" t="s">
        <v>89</v>
      </c>
      <c r="X12" s="77" t="s">
        <v>89</v>
      </c>
      <c r="Y12" s="77" t="s">
        <v>89</v>
      </c>
      <c r="Z12" s="77" t="s">
        <v>89</v>
      </c>
      <c r="AA12" s="77" t="s">
        <v>89</v>
      </c>
      <c r="AB12" s="77" t="s">
        <v>89</v>
      </c>
      <c r="AC12" s="77" t="s">
        <v>89</v>
      </c>
      <c r="AD12" s="77" t="s">
        <v>89</v>
      </c>
      <c r="AE12" s="77" t="s">
        <v>89</v>
      </c>
      <c r="AF12" s="77" t="s">
        <v>89</v>
      </c>
      <c r="AG12" s="77" t="s">
        <v>89</v>
      </c>
      <c r="AH12" s="77" t="s">
        <v>89</v>
      </c>
      <c r="AI12" s="77" t="s">
        <v>89</v>
      </c>
      <c r="AJ12" s="77" t="s">
        <v>89</v>
      </c>
      <c r="AK12" s="77" t="s">
        <v>89</v>
      </c>
      <c r="AL12" s="77" t="s">
        <v>89</v>
      </c>
      <c r="AM12" s="77" t="s">
        <v>89</v>
      </c>
      <c r="AN12" s="77" t="s">
        <v>89</v>
      </c>
      <c r="AO12" s="77" t="s">
        <v>89</v>
      </c>
      <c r="AP12" s="77" t="s">
        <v>89</v>
      </c>
      <c r="AQ12" s="77" t="s">
        <v>89</v>
      </c>
      <c r="AR12" s="77" t="s">
        <v>89</v>
      </c>
      <c r="AS12" s="77" t="s">
        <v>89</v>
      </c>
      <c r="AT12" s="77" t="s">
        <v>89</v>
      </c>
      <c r="AU12" s="77" t="s">
        <v>89</v>
      </c>
      <c r="AV12" s="77" t="s">
        <v>89</v>
      </c>
      <c r="AW12" s="77" t="s">
        <v>89</v>
      </c>
      <c r="AX12" s="77" t="s">
        <v>89</v>
      </c>
      <c r="AY12" s="77" t="s">
        <v>89</v>
      </c>
      <c r="AZ12" s="77" t="s">
        <v>89</v>
      </c>
      <c r="BA12" s="77" t="s">
        <v>89</v>
      </c>
      <c r="BB12" s="77" t="s">
        <v>89</v>
      </c>
      <c r="BC12" s="77" t="s">
        <v>89</v>
      </c>
      <c r="BD12" s="77" t="s">
        <v>89</v>
      </c>
      <c r="BE12" s="77" t="s">
        <v>89</v>
      </c>
      <c r="BF12" s="77" t="s">
        <v>89</v>
      </c>
      <c r="BG12" s="77" t="s">
        <v>89</v>
      </c>
      <c r="BH12" s="77" t="s">
        <v>89</v>
      </c>
      <c r="BI12" s="77" t="s">
        <v>89</v>
      </c>
      <c r="BJ12" s="77" t="s">
        <v>89</v>
      </c>
      <c r="BK12" s="77" t="s">
        <v>89</v>
      </c>
      <c r="BL12" s="77" t="s">
        <v>89</v>
      </c>
      <c r="BM12" s="77" t="s">
        <v>89</v>
      </c>
      <c r="BN12" s="77" t="s">
        <v>89</v>
      </c>
      <c r="BO12" s="77" t="s">
        <v>89</v>
      </c>
      <c r="BP12" s="77" t="s">
        <v>89</v>
      </c>
      <c r="BQ12" s="77" t="s">
        <v>89</v>
      </c>
      <c r="BR12" s="77" t="s">
        <v>89</v>
      </c>
      <c r="BS12" s="77" t="s">
        <v>89</v>
      </c>
      <c r="BT12" s="77" t="s">
        <v>89</v>
      </c>
      <c r="BU12" s="77" t="s">
        <v>89</v>
      </c>
      <c r="BV12" s="77" t="s">
        <v>89</v>
      </c>
    </row>
    <row r="13" spans="1:74">
      <c r="A13" s="78" t="s">
        <v>458</v>
      </c>
      <c r="B13" s="78" t="s">
        <v>459</v>
      </c>
      <c r="C13" s="81">
        <v>17110.73</v>
      </c>
      <c r="D13" s="81">
        <v>141768.48000000001</v>
      </c>
      <c r="E13" s="81">
        <v>6519.86</v>
      </c>
      <c r="F13" s="81">
        <v>53535.32</v>
      </c>
      <c r="G13" s="81">
        <v>9442.93</v>
      </c>
      <c r="H13" s="81">
        <v>62204.82</v>
      </c>
      <c r="I13" s="81">
        <v>10126.16</v>
      </c>
      <c r="J13" s="81">
        <v>63787.75</v>
      </c>
      <c r="K13" s="81">
        <v>9239.27</v>
      </c>
      <c r="L13" s="84">
        <v>100738.5</v>
      </c>
      <c r="M13" s="81">
        <v>7046.35</v>
      </c>
      <c r="N13" s="81">
        <v>45886.52</v>
      </c>
      <c r="O13" s="81">
        <v>6240.85</v>
      </c>
      <c r="P13" s="81">
        <v>31944.87</v>
      </c>
      <c r="Q13" s="84">
        <v>5692.4</v>
      </c>
      <c r="R13" s="81">
        <v>43374.68</v>
      </c>
      <c r="S13" s="84">
        <v>6126.8</v>
      </c>
      <c r="T13" s="81">
        <v>33090.129999999997</v>
      </c>
      <c r="U13" s="81">
        <v>3976.84</v>
      </c>
      <c r="V13" s="81">
        <v>107657.49</v>
      </c>
      <c r="W13" s="81">
        <v>2393.27</v>
      </c>
      <c r="X13" s="81">
        <v>50347.09</v>
      </c>
      <c r="Y13" s="81">
        <v>4725.83</v>
      </c>
      <c r="Z13" s="81">
        <v>40118.879999999997</v>
      </c>
      <c r="AA13" s="81">
        <v>8474.25</v>
      </c>
      <c r="AB13" s="81">
        <v>67048.990000000005</v>
      </c>
      <c r="AC13" s="81">
        <v>5981.88</v>
      </c>
      <c r="AD13" s="81">
        <v>51857.42</v>
      </c>
      <c r="AE13" s="81">
        <v>4749.8100000000004</v>
      </c>
      <c r="AF13" s="81">
        <v>89481.67</v>
      </c>
      <c r="AG13" s="81">
        <v>3466.29</v>
      </c>
      <c r="AH13" s="81">
        <v>96513.279999999999</v>
      </c>
      <c r="AI13" s="81">
        <v>5640.84</v>
      </c>
      <c r="AJ13" s="84">
        <v>266014.3</v>
      </c>
      <c r="AK13" s="81">
        <v>8242.76</v>
      </c>
      <c r="AL13" s="81">
        <v>80264.08</v>
      </c>
      <c r="AM13" s="81">
        <v>4928.7299999999996</v>
      </c>
      <c r="AN13" s="81">
        <v>139561.57999999999</v>
      </c>
      <c r="AO13" s="81">
        <v>10033.39</v>
      </c>
      <c r="AP13" s="84">
        <v>130978.2</v>
      </c>
      <c r="AQ13" s="81">
        <v>6602.81</v>
      </c>
      <c r="AR13" s="84">
        <v>210937</v>
      </c>
      <c r="AS13" s="81">
        <v>13189.38</v>
      </c>
      <c r="AT13" s="84">
        <v>286889.8</v>
      </c>
      <c r="AU13" s="81">
        <v>3732.35</v>
      </c>
      <c r="AV13" s="81">
        <v>142312.39000000001</v>
      </c>
      <c r="AW13" s="81">
        <v>7364.49</v>
      </c>
      <c r="AX13" s="81">
        <v>21277.66</v>
      </c>
      <c r="AY13" s="81">
        <v>6586.63</v>
      </c>
      <c r="AZ13" s="84">
        <v>47205</v>
      </c>
      <c r="BA13" s="81">
        <v>10202.459999999999</v>
      </c>
      <c r="BB13" s="81">
        <v>46909.07</v>
      </c>
      <c r="BC13" s="81">
        <v>9797.83</v>
      </c>
      <c r="BD13" s="81">
        <v>169710.47</v>
      </c>
      <c r="BE13" s="81">
        <v>13381.51</v>
      </c>
      <c r="BF13" s="81">
        <v>31161.15</v>
      </c>
      <c r="BG13" s="81">
        <v>8975.19</v>
      </c>
      <c r="BH13" s="81">
        <v>120107.65</v>
      </c>
      <c r="BI13" s="81">
        <v>7860.58</v>
      </c>
      <c r="BJ13" s="81">
        <v>50813.04</v>
      </c>
      <c r="BK13" s="81">
        <v>11087.83</v>
      </c>
      <c r="BL13" s="81">
        <v>221133.92</v>
      </c>
      <c r="BM13" s="81">
        <v>10724.57</v>
      </c>
      <c r="BN13" s="81">
        <v>92559.33</v>
      </c>
      <c r="BO13" s="84">
        <v>10590</v>
      </c>
      <c r="BP13" s="84">
        <v>95240.3</v>
      </c>
      <c r="BQ13" s="81">
        <v>8396.51</v>
      </c>
      <c r="BR13" s="81">
        <v>103871.52</v>
      </c>
      <c r="BS13" s="81">
        <v>9724.32</v>
      </c>
      <c r="BT13" s="81">
        <v>169060.41</v>
      </c>
      <c r="BU13" s="81">
        <v>8075.11</v>
      </c>
      <c r="BV13" s="81">
        <v>153717.04</v>
      </c>
    </row>
    <row r="14" spans="1:74">
      <c r="A14" s="78" t="s">
        <v>460</v>
      </c>
      <c r="B14" s="78" t="s">
        <v>461</v>
      </c>
      <c r="C14" s="82">
        <v>56886.18</v>
      </c>
      <c r="D14" s="82">
        <v>831682.57</v>
      </c>
      <c r="E14" s="82">
        <v>81877.52</v>
      </c>
      <c r="F14" s="82">
        <v>1394211.31</v>
      </c>
      <c r="G14" s="82">
        <v>10642.56</v>
      </c>
      <c r="H14" s="82">
        <v>777257.29</v>
      </c>
      <c r="I14" s="82">
        <v>53116.26</v>
      </c>
      <c r="J14" s="83">
        <v>1398534.8</v>
      </c>
      <c r="K14" s="82">
        <v>6285.93</v>
      </c>
      <c r="L14" s="82">
        <v>959299.63</v>
      </c>
      <c r="M14" s="82">
        <v>10848.65</v>
      </c>
      <c r="N14" s="82">
        <v>639594.35</v>
      </c>
      <c r="O14" s="82">
        <v>7262.49</v>
      </c>
      <c r="P14" s="83">
        <v>702337.5</v>
      </c>
      <c r="Q14" s="83">
        <v>63580.3</v>
      </c>
      <c r="R14" s="83">
        <v>791992.9</v>
      </c>
      <c r="S14" s="82">
        <v>9662.11</v>
      </c>
      <c r="T14" s="82">
        <v>1174454.4099999999</v>
      </c>
      <c r="U14" s="82">
        <v>12448.81</v>
      </c>
      <c r="V14" s="82">
        <v>1108819.1299999999</v>
      </c>
      <c r="W14" s="82">
        <v>14996.37</v>
      </c>
      <c r="X14" s="82">
        <v>904178.55</v>
      </c>
      <c r="Y14" s="82">
        <v>103790.16</v>
      </c>
      <c r="Z14" s="82">
        <v>730757.12</v>
      </c>
      <c r="AA14" s="82">
        <v>17544.18</v>
      </c>
      <c r="AB14" s="82">
        <v>897764.41</v>
      </c>
      <c r="AC14" s="82">
        <v>50723.35</v>
      </c>
      <c r="AD14" s="82">
        <v>987395.88</v>
      </c>
      <c r="AE14" s="82">
        <v>132400.26</v>
      </c>
      <c r="AF14" s="82">
        <v>2025653.65</v>
      </c>
      <c r="AG14" s="82">
        <v>7735.25</v>
      </c>
      <c r="AH14" s="82">
        <v>1117083.79</v>
      </c>
      <c r="AI14" s="82">
        <v>9428.86</v>
      </c>
      <c r="AJ14" s="83">
        <v>1222110.8</v>
      </c>
      <c r="AK14" s="83">
        <v>19323.099999999999</v>
      </c>
      <c r="AL14" s="82">
        <v>888190.64</v>
      </c>
      <c r="AM14" s="82">
        <v>5838.82</v>
      </c>
      <c r="AN14" s="82">
        <v>830108.04</v>
      </c>
      <c r="AO14" s="82">
        <v>38602.78</v>
      </c>
      <c r="AP14" s="82">
        <v>1035853.38</v>
      </c>
      <c r="AQ14" s="82">
        <v>18849.259999999998</v>
      </c>
      <c r="AR14" s="82">
        <v>1094825.1299999999</v>
      </c>
      <c r="AS14" s="83">
        <v>8165.1</v>
      </c>
      <c r="AT14" s="82">
        <v>1522824.75</v>
      </c>
      <c r="AU14" s="83">
        <v>46068.800000000003</v>
      </c>
      <c r="AV14" s="82">
        <v>715799.95</v>
      </c>
      <c r="AW14" s="82">
        <v>4254.18</v>
      </c>
      <c r="AX14" s="82">
        <v>603324.91</v>
      </c>
      <c r="AY14" s="82">
        <v>63005.38</v>
      </c>
      <c r="AZ14" s="83">
        <v>425890.9</v>
      </c>
      <c r="BA14" s="82">
        <v>50051.25</v>
      </c>
      <c r="BB14" s="82">
        <v>911610.81</v>
      </c>
      <c r="BC14" s="82">
        <v>5461.17</v>
      </c>
      <c r="BD14" s="82">
        <v>765639.26</v>
      </c>
      <c r="BE14" s="82">
        <v>5103.16</v>
      </c>
      <c r="BF14" s="82">
        <v>554436.54</v>
      </c>
      <c r="BG14" s="82">
        <v>11497.05</v>
      </c>
      <c r="BH14" s="82">
        <v>804603.78</v>
      </c>
      <c r="BI14" s="82">
        <v>1148.23</v>
      </c>
      <c r="BJ14" s="82">
        <v>788570.31</v>
      </c>
      <c r="BK14" s="82">
        <v>4249.72</v>
      </c>
      <c r="BL14" s="82">
        <v>665008.43999999994</v>
      </c>
      <c r="BM14" s="83">
        <v>7614.1</v>
      </c>
      <c r="BN14" s="82">
        <v>717172.85</v>
      </c>
      <c r="BO14" s="82">
        <v>4818.5600000000004</v>
      </c>
      <c r="BP14" s="82">
        <v>928369.61</v>
      </c>
      <c r="BQ14" s="82">
        <v>47488.61</v>
      </c>
      <c r="BR14" s="82">
        <v>965518.12</v>
      </c>
      <c r="BS14" s="83">
        <v>8201.7999999999993</v>
      </c>
      <c r="BT14" s="82">
        <v>662176.11</v>
      </c>
      <c r="BU14" s="82">
        <v>2335.5100000000002</v>
      </c>
      <c r="BV14" s="82">
        <v>469410.24</v>
      </c>
    </row>
    <row r="15" spans="1:74">
      <c r="A15" s="78" t="s">
        <v>462</v>
      </c>
      <c r="B15" s="78" t="s">
        <v>463</v>
      </c>
      <c r="C15" s="82">
        <v>0.75</v>
      </c>
      <c r="D15" s="82">
        <v>9.11</v>
      </c>
      <c r="E15" s="82">
        <v>1.25</v>
      </c>
      <c r="F15" s="82">
        <v>391.17</v>
      </c>
      <c r="G15" s="82">
        <v>603.04999999999995</v>
      </c>
      <c r="H15" s="82">
        <v>536.23</v>
      </c>
      <c r="I15" s="82">
        <v>1082.8499999999999</v>
      </c>
      <c r="J15" s="82">
        <v>1060.25</v>
      </c>
      <c r="K15" s="83">
        <v>1</v>
      </c>
      <c r="L15" s="82">
        <v>2218.84</v>
      </c>
      <c r="M15" s="82">
        <v>188.65</v>
      </c>
      <c r="N15" s="82">
        <v>23.66</v>
      </c>
      <c r="O15" s="80" t="s">
        <v>195</v>
      </c>
      <c r="P15" s="82">
        <v>15.15</v>
      </c>
      <c r="Q15" s="82">
        <v>260.77</v>
      </c>
      <c r="R15" s="82">
        <v>48.56</v>
      </c>
      <c r="S15" s="82">
        <v>105.75</v>
      </c>
      <c r="T15" s="82">
        <v>33.590000000000003</v>
      </c>
      <c r="U15" s="82">
        <v>135.75</v>
      </c>
      <c r="V15" s="83">
        <v>56.6</v>
      </c>
      <c r="W15" s="80" t="s">
        <v>195</v>
      </c>
      <c r="X15" s="82">
        <v>36.43</v>
      </c>
      <c r="Y15" s="80" t="s">
        <v>195</v>
      </c>
      <c r="Z15" s="82">
        <v>97.99</v>
      </c>
      <c r="AA15" s="83">
        <v>276</v>
      </c>
      <c r="AB15" s="83">
        <v>5</v>
      </c>
      <c r="AC15" s="82">
        <v>11.05</v>
      </c>
      <c r="AD15" s="82">
        <v>7.35</v>
      </c>
      <c r="AE15" s="82">
        <v>344.25</v>
      </c>
      <c r="AF15" s="82">
        <v>1522.75</v>
      </c>
      <c r="AG15" s="82">
        <v>2463.04</v>
      </c>
      <c r="AH15" s="82">
        <v>1776.81</v>
      </c>
      <c r="AI15" s="82">
        <v>240.83</v>
      </c>
      <c r="AJ15" s="82">
        <v>1741.92</v>
      </c>
      <c r="AK15" s="82">
        <v>279.25</v>
      </c>
      <c r="AL15" s="82">
        <v>1081.57</v>
      </c>
      <c r="AM15" s="83">
        <v>568.9</v>
      </c>
      <c r="AN15" s="82">
        <v>304.23</v>
      </c>
      <c r="AO15" s="82">
        <v>765.58</v>
      </c>
      <c r="AP15" s="82">
        <v>10.16</v>
      </c>
      <c r="AQ15" s="83">
        <v>1294.4000000000001</v>
      </c>
      <c r="AR15" s="82">
        <v>647.37</v>
      </c>
      <c r="AS15" s="83">
        <v>2</v>
      </c>
      <c r="AT15" s="82">
        <v>158.02000000000001</v>
      </c>
      <c r="AU15" s="83">
        <v>1693.8</v>
      </c>
      <c r="AV15" s="82">
        <v>699.81</v>
      </c>
      <c r="AW15" s="82">
        <v>1539.26</v>
      </c>
      <c r="AX15" s="82">
        <v>8.07</v>
      </c>
      <c r="AY15" s="82">
        <v>514.85</v>
      </c>
      <c r="AZ15" s="83">
        <v>3.9</v>
      </c>
      <c r="BA15" s="82">
        <v>280.83999999999997</v>
      </c>
      <c r="BB15" s="83">
        <v>678.2</v>
      </c>
      <c r="BC15" s="82">
        <v>193.81</v>
      </c>
      <c r="BD15" s="82">
        <v>1066.3900000000001</v>
      </c>
      <c r="BE15" s="82">
        <v>417.38</v>
      </c>
      <c r="BF15" s="83">
        <v>539.29999999999995</v>
      </c>
      <c r="BG15" s="82">
        <v>390.92</v>
      </c>
      <c r="BH15" s="82">
        <v>1048.8499999999999</v>
      </c>
      <c r="BI15" s="82">
        <v>239.24</v>
      </c>
      <c r="BJ15" s="83">
        <v>1990.8</v>
      </c>
      <c r="BK15" s="83">
        <v>250.1</v>
      </c>
      <c r="BL15" s="82">
        <v>2207.69</v>
      </c>
      <c r="BM15" s="82">
        <v>250.13</v>
      </c>
      <c r="BN15" s="82">
        <v>3435.71</v>
      </c>
      <c r="BO15" s="82">
        <v>488.25</v>
      </c>
      <c r="BP15" s="82">
        <v>4160.4399999999996</v>
      </c>
      <c r="BQ15" s="83">
        <v>400.5</v>
      </c>
      <c r="BR15" s="82">
        <v>5881.74</v>
      </c>
      <c r="BS15" s="83">
        <v>38.4</v>
      </c>
      <c r="BT15" s="82">
        <v>4165.8500000000004</v>
      </c>
      <c r="BU15" s="82">
        <v>225.11</v>
      </c>
      <c r="BV15" s="82">
        <v>5507.65</v>
      </c>
    </row>
    <row r="16" spans="1:74">
      <c r="A16" s="78" t="s">
        <v>464</v>
      </c>
      <c r="B16" s="78" t="s">
        <v>465</v>
      </c>
      <c r="C16" s="81">
        <v>62125.71</v>
      </c>
      <c r="D16" s="81">
        <v>42158.21</v>
      </c>
      <c r="E16" s="81">
        <v>25418.51</v>
      </c>
      <c r="F16" s="81">
        <v>34604.25</v>
      </c>
      <c r="G16" s="81">
        <v>21159.53</v>
      </c>
      <c r="H16" s="81">
        <v>61913.23</v>
      </c>
      <c r="I16" s="81">
        <v>13435.11</v>
      </c>
      <c r="J16" s="81">
        <v>147091.47</v>
      </c>
      <c r="K16" s="81">
        <v>22710.81</v>
      </c>
      <c r="L16" s="81">
        <v>80590.12</v>
      </c>
      <c r="M16" s="81">
        <v>21170.42</v>
      </c>
      <c r="N16" s="84">
        <v>42350.5</v>
      </c>
      <c r="O16" s="81">
        <v>26560.33</v>
      </c>
      <c r="P16" s="81">
        <v>44965.69</v>
      </c>
      <c r="Q16" s="81">
        <v>7050.24</v>
      </c>
      <c r="R16" s="81">
        <v>40554.21</v>
      </c>
      <c r="S16" s="81">
        <v>19424.509999999998</v>
      </c>
      <c r="T16" s="81">
        <v>43143.14</v>
      </c>
      <c r="U16" s="81">
        <v>17000.810000000001</v>
      </c>
      <c r="V16" s="84">
        <v>83992.9</v>
      </c>
      <c r="W16" s="81">
        <v>42137.19</v>
      </c>
      <c r="X16" s="81">
        <v>51977.59</v>
      </c>
      <c r="Y16" s="81">
        <v>18171.37</v>
      </c>
      <c r="Z16" s="81">
        <v>73467.97</v>
      </c>
      <c r="AA16" s="81">
        <v>501.11</v>
      </c>
      <c r="AB16" s="81">
        <v>151051.62</v>
      </c>
      <c r="AC16" s="81">
        <v>4521.9799999999996</v>
      </c>
      <c r="AD16" s="81">
        <v>123262.13</v>
      </c>
      <c r="AE16" s="84">
        <v>8980.2000000000007</v>
      </c>
      <c r="AF16" s="81">
        <v>179843.62</v>
      </c>
      <c r="AG16" s="84">
        <v>4393.3</v>
      </c>
      <c r="AH16" s="81">
        <v>154012.85</v>
      </c>
      <c r="AI16" s="81">
        <v>4536.26</v>
      </c>
      <c r="AJ16" s="81">
        <v>83836.179999999993</v>
      </c>
      <c r="AK16" s="84">
        <v>3197.7</v>
      </c>
      <c r="AL16" s="84">
        <v>65749.3</v>
      </c>
      <c r="AM16" s="81">
        <v>5640.31</v>
      </c>
      <c r="AN16" s="84">
        <v>113121.60000000001</v>
      </c>
      <c r="AO16" s="81">
        <v>2903.51</v>
      </c>
      <c r="AP16" s="81">
        <v>80306.77</v>
      </c>
      <c r="AQ16" s="81">
        <v>7191.73</v>
      </c>
      <c r="AR16" s="84">
        <v>67702.899999999994</v>
      </c>
      <c r="AS16" s="81">
        <v>6567.92</v>
      </c>
      <c r="AT16" s="81">
        <v>71965.710000000006</v>
      </c>
      <c r="AU16" s="84">
        <v>1960.7</v>
      </c>
      <c r="AV16" s="81">
        <v>61075.05</v>
      </c>
      <c r="AW16" s="81">
        <v>865.02</v>
      </c>
      <c r="AX16" s="81">
        <v>91695.95</v>
      </c>
      <c r="AY16" s="81">
        <v>6423.68</v>
      </c>
      <c r="AZ16" s="81">
        <v>81537.23</v>
      </c>
      <c r="BA16" s="81">
        <v>11037.33</v>
      </c>
      <c r="BB16" s="81">
        <v>151101.32999999999</v>
      </c>
      <c r="BC16" s="81">
        <v>4116.13</v>
      </c>
      <c r="BD16" s="81">
        <v>120648.31</v>
      </c>
      <c r="BE16" s="81">
        <v>5527.74</v>
      </c>
      <c r="BF16" s="81">
        <v>170258.17</v>
      </c>
      <c r="BG16" s="81">
        <v>1956.19</v>
      </c>
      <c r="BH16" s="81">
        <v>114114.38</v>
      </c>
      <c r="BI16" s="81">
        <v>3396.43</v>
      </c>
      <c r="BJ16" s="81">
        <v>100346.92</v>
      </c>
      <c r="BK16" s="81">
        <v>3335.13</v>
      </c>
      <c r="BL16" s="81">
        <v>90809.71</v>
      </c>
      <c r="BM16" s="81">
        <v>2779.42</v>
      </c>
      <c r="BN16" s="81">
        <v>99499.03</v>
      </c>
      <c r="BO16" s="81">
        <v>2939.02</v>
      </c>
      <c r="BP16" s="81">
        <v>95665.83</v>
      </c>
      <c r="BQ16" s="81">
        <v>1992.41</v>
      </c>
      <c r="BR16" s="81">
        <v>99348.53</v>
      </c>
      <c r="BS16" s="81">
        <v>3327.32</v>
      </c>
      <c r="BT16" s="81">
        <v>58428.46</v>
      </c>
      <c r="BU16" s="81">
        <v>4897.49</v>
      </c>
      <c r="BV16" s="81">
        <v>71527.45</v>
      </c>
    </row>
    <row r="17" spans="1:74">
      <c r="A17" s="78" t="s">
        <v>466</v>
      </c>
      <c r="B17" s="78" t="s">
        <v>467</v>
      </c>
      <c r="C17" s="82">
        <v>3910.21</v>
      </c>
      <c r="D17" s="82">
        <v>691111.79</v>
      </c>
      <c r="E17" s="82">
        <v>6418.13</v>
      </c>
      <c r="F17" s="82">
        <v>89922.66</v>
      </c>
      <c r="G17" s="82">
        <v>7461.09</v>
      </c>
      <c r="H17" s="82">
        <v>7139.18</v>
      </c>
      <c r="I17" s="83">
        <v>29990</v>
      </c>
      <c r="J17" s="82">
        <v>27014.85</v>
      </c>
      <c r="K17" s="82">
        <v>11033.89</v>
      </c>
      <c r="L17" s="82">
        <v>11137.31</v>
      </c>
      <c r="M17" s="82">
        <v>8570.42</v>
      </c>
      <c r="N17" s="82">
        <v>2983.76</v>
      </c>
      <c r="O17" s="82">
        <v>5194.82</v>
      </c>
      <c r="P17" s="82">
        <v>16996.27</v>
      </c>
      <c r="Q17" s="83">
        <v>14874.3</v>
      </c>
      <c r="R17" s="82">
        <v>6339.56</v>
      </c>
      <c r="S17" s="82">
        <v>27639.55</v>
      </c>
      <c r="T17" s="82">
        <v>34394.379999999997</v>
      </c>
      <c r="U17" s="82">
        <v>10096.129999999999</v>
      </c>
      <c r="V17" s="82">
        <v>22646.34</v>
      </c>
      <c r="W17" s="82">
        <v>12738.57</v>
      </c>
      <c r="X17" s="82">
        <v>170213.31</v>
      </c>
      <c r="Y17" s="82">
        <v>21489.34</v>
      </c>
      <c r="Z17" s="82">
        <v>31185.59</v>
      </c>
      <c r="AA17" s="82">
        <v>0.39</v>
      </c>
      <c r="AB17" s="82">
        <v>167871.62</v>
      </c>
      <c r="AC17" s="82">
        <v>1.56</v>
      </c>
      <c r="AD17" s="82">
        <v>264371.24</v>
      </c>
      <c r="AE17" s="82">
        <v>2.4500000000000002</v>
      </c>
      <c r="AF17" s="83">
        <v>30865.599999999999</v>
      </c>
      <c r="AG17" s="82">
        <v>156.65</v>
      </c>
      <c r="AH17" s="82">
        <v>206090.57</v>
      </c>
      <c r="AI17" s="82">
        <v>5000.78</v>
      </c>
      <c r="AJ17" s="82">
        <v>113867.06</v>
      </c>
      <c r="AK17" s="82">
        <v>0.39</v>
      </c>
      <c r="AL17" s="82">
        <v>245814.53</v>
      </c>
      <c r="AM17" s="82">
        <v>0.78</v>
      </c>
      <c r="AN17" s="82">
        <v>444862.66</v>
      </c>
      <c r="AO17" s="82">
        <v>0.78</v>
      </c>
      <c r="AP17" s="82">
        <v>281914.63</v>
      </c>
      <c r="AQ17" s="82">
        <v>165.44</v>
      </c>
      <c r="AR17" s="82">
        <v>131104.06</v>
      </c>
      <c r="AS17" s="82">
        <v>1.1100000000000001</v>
      </c>
      <c r="AT17" s="83">
        <v>515859.7</v>
      </c>
      <c r="AU17" s="82">
        <v>1.1100000000000001</v>
      </c>
      <c r="AV17" s="83">
        <v>109010.3</v>
      </c>
      <c r="AW17" s="83">
        <v>125.6</v>
      </c>
      <c r="AX17" s="82">
        <v>316902.84000000003</v>
      </c>
      <c r="AY17" s="82">
        <v>745.67</v>
      </c>
      <c r="AZ17" s="82">
        <v>216454.73</v>
      </c>
      <c r="BA17" s="82">
        <v>1515.18</v>
      </c>
      <c r="BB17" s="82">
        <v>433576.34</v>
      </c>
      <c r="BC17" s="82">
        <v>5814.63</v>
      </c>
      <c r="BD17" s="82">
        <v>432569.24</v>
      </c>
      <c r="BE17" s="82">
        <v>3217.09</v>
      </c>
      <c r="BF17" s="82">
        <v>207133.91</v>
      </c>
      <c r="BG17" s="83">
        <v>1235.5</v>
      </c>
      <c r="BH17" s="82">
        <v>228012.69</v>
      </c>
      <c r="BI17" s="82">
        <v>1222.6500000000001</v>
      </c>
      <c r="BJ17" s="82">
        <v>497194.06</v>
      </c>
      <c r="BK17" s="82">
        <v>992.75</v>
      </c>
      <c r="BL17" s="83">
        <v>52392.7</v>
      </c>
      <c r="BM17" s="82">
        <v>1240.04</v>
      </c>
      <c r="BN17" s="82">
        <v>370652.93</v>
      </c>
      <c r="BO17" s="82">
        <v>2527.67</v>
      </c>
      <c r="BP17" s="82">
        <v>173303.87</v>
      </c>
      <c r="BQ17" s="82">
        <v>2304.73</v>
      </c>
      <c r="BR17" s="82">
        <v>594233.92000000004</v>
      </c>
      <c r="BS17" s="82">
        <v>1331.08</v>
      </c>
      <c r="BT17" s="82">
        <v>837575.26</v>
      </c>
      <c r="BU17" s="82">
        <v>1045.1500000000001</v>
      </c>
      <c r="BV17" s="82">
        <v>871590.37</v>
      </c>
    </row>
    <row r="18" spans="1:74">
      <c r="A18" s="78" t="s">
        <v>468</v>
      </c>
      <c r="B18" s="78" t="s">
        <v>469</v>
      </c>
      <c r="C18" s="81">
        <v>203898.33</v>
      </c>
      <c r="D18" s="81">
        <v>11800624.789999999</v>
      </c>
      <c r="E18" s="84">
        <v>523538.7</v>
      </c>
      <c r="F18" s="81">
        <v>12491707.26</v>
      </c>
      <c r="G18" s="84">
        <v>1041677</v>
      </c>
      <c r="H18" s="81">
        <v>12859509.17</v>
      </c>
      <c r="I18" s="81">
        <v>237778.81</v>
      </c>
      <c r="J18" s="81">
        <v>10957445.93</v>
      </c>
      <c r="K18" s="81">
        <v>341057.15</v>
      </c>
      <c r="L18" s="81">
        <v>11939888.619999999</v>
      </c>
      <c r="M18" s="81">
        <v>376452.22</v>
      </c>
      <c r="N18" s="81">
        <v>18115994.050000001</v>
      </c>
      <c r="O18" s="81">
        <v>91087.99</v>
      </c>
      <c r="P18" s="81">
        <v>16938726.960000001</v>
      </c>
      <c r="Q18" s="81">
        <v>190090.38</v>
      </c>
      <c r="R18" s="81">
        <v>17721851.940000001</v>
      </c>
      <c r="S18" s="81">
        <v>186702.33</v>
      </c>
      <c r="T18" s="81">
        <v>23071399.07</v>
      </c>
      <c r="U18" s="81">
        <v>329007.57</v>
      </c>
      <c r="V18" s="81">
        <v>23098560.190000001</v>
      </c>
      <c r="W18" s="81">
        <v>350680.61</v>
      </c>
      <c r="X18" s="84">
        <v>23962201.300000001</v>
      </c>
      <c r="Y18" s="81">
        <v>265560.64</v>
      </c>
      <c r="Z18" s="81">
        <v>19574523.449999999</v>
      </c>
      <c r="AA18" s="81">
        <v>146377.19</v>
      </c>
      <c r="AB18" s="81">
        <v>13901294.43</v>
      </c>
      <c r="AC18" s="81">
        <v>669096.54</v>
      </c>
      <c r="AD18" s="81">
        <v>12149243.869999999</v>
      </c>
      <c r="AE18" s="84">
        <v>71924.800000000003</v>
      </c>
      <c r="AF18" s="81">
        <v>13218377.27</v>
      </c>
      <c r="AG18" s="81">
        <v>151902.19</v>
      </c>
      <c r="AH18" s="84">
        <v>15351485.5</v>
      </c>
      <c r="AI18" s="81">
        <v>257695.28</v>
      </c>
      <c r="AJ18" s="81">
        <v>15297970.939999999</v>
      </c>
      <c r="AK18" s="81">
        <v>132836.09</v>
      </c>
      <c r="AL18" s="81">
        <v>17747837.02</v>
      </c>
      <c r="AM18" s="81">
        <v>180867.98</v>
      </c>
      <c r="AN18" s="81">
        <v>18882773.859999999</v>
      </c>
      <c r="AO18" s="81">
        <v>117576.41</v>
      </c>
      <c r="AP18" s="84">
        <v>17639830.399999999</v>
      </c>
      <c r="AQ18" s="81">
        <v>151465.84</v>
      </c>
      <c r="AR18" s="81">
        <v>22078335.390000001</v>
      </c>
      <c r="AS18" s="81">
        <v>140370.82999999999</v>
      </c>
      <c r="AT18" s="84">
        <v>24479059.899999999</v>
      </c>
      <c r="AU18" s="81">
        <v>148959.60999999999</v>
      </c>
      <c r="AV18" s="81">
        <v>16633179.289999999</v>
      </c>
      <c r="AW18" s="81">
        <v>129494.43</v>
      </c>
      <c r="AX18" s="81">
        <v>17787803.989999998</v>
      </c>
      <c r="AY18" s="81">
        <v>344891.66</v>
      </c>
      <c r="AZ18" s="81">
        <v>10755804.859999999</v>
      </c>
      <c r="BA18" s="81">
        <v>165218.62</v>
      </c>
      <c r="BB18" s="81">
        <v>9739179.8300000001</v>
      </c>
      <c r="BC18" s="81">
        <v>66502.16</v>
      </c>
      <c r="BD18" s="81">
        <v>9967737.6500000004</v>
      </c>
      <c r="BE18" s="81">
        <v>115369.35</v>
      </c>
      <c r="BF18" s="81">
        <v>11702760.16</v>
      </c>
      <c r="BG18" s="81">
        <v>97304.42</v>
      </c>
      <c r="BH18" s="81">
        <v>7892863.9199999999</v>
      </c>
      <c r="BI18" s="81">
        <v>69575.19</v>
      </c>
      <c r="BJ18" s="81">
        <v>14524499.91</v>
      </c>
      <c r="BK18" s="84">
        <v>64359</v>
      </c>
      <c r="BL18" s="81">
        <v>22370816.16</v>
      </c>
      <c r="BM18" s="81">
        <v>38869.31</v>
      </c>
      <c r="BN18" s="81">
        <v>19458880.489999998</v>
      </c>
      <c r="BO18" s="81">
        <v>46293.58</v>
      </c>
      <c r="BP18" s="81">
        <v>18764125.57</v>
      </c>
      <c r="BQ18" s="81">
        <v>32742.95</v>
      </c>
      <c r="BR18" s="81">
        <v>12214163.08</v>
      </c>
      <c r="BS18" s="81">
        <v>89792.68</v>
      </c>
      <c r="BT18" s="81">
        <v>9415776.1600000001</v>
      </c>
      <c r="BU18" s="81">
        <v>88966.77</v>
      </c>
      <c r="BV18" s="81">
        <v>12361333.24</v>
      </c>
    </row>
    <row r="19" spans="1:74">
      <c r="A19" s="78" t="s">
        <v>470</v>
      </c>
      <c r="B19" s="78" t="s">
        <v>471</v>
      </c>
      <c r="C19" s="81">
        <v>0.25</v>
      </c>
      <c r="D19" s="81">
        <v>13537.91</v>
      </c>
      <c r="E19" s="84">
        <v>270</v>
      </c>
      <c r="F19" s="81">
        <v>75684.350000000006</v>
      </c>
      <c r="G19" s="81">
        <v>955.18</v>
      </c>
      <c r="H19" s="81">
        <v>20330.080000000002</v>
      </c>
      <c r="I19" s="81">
        <v>1155.01</v>
      </c>
      <c r="J19" s="81">
        <v>12058.05</v>
      </c>
      <c r="K19" s="81">
        <v>12.69</v>
      </c>
      <c r="L19" s="81">
        <v>8343.25</v>
      </c>
      <c r="M19" s="81">
        <v>90.92</v>
      </c>
      <c r="N19" s="84">
        <v>2541</v>
      </c>
      <c r="O19" s="79" t="s">
        <v>195</v>
      </c>
      <c r="P19" s="81">
        <v>639.69000000000005</v>
      </c>
      <c r="Q19" s="84">
        <v>61.4</v>
      </c>
      <c r="R19" s="84">
        <v>750.6</v>
      </c>
      <c r="S19" s="84">
        <v>800</v>
      </c>
      <c r="T19" s="84">
        <v>676.3</v>
      </c>
      <c r="U19" s="84">
        <v>1</v>
      </c>
      <c r="V19" s="84">
        <v>244.6</v>
      </c>
      <c r="W19" s="84">
        <v>48.8</v>
      </c>
      <c r="X19" s="81">
        <v>11403.55</v>
      </c>
      <c r="Y19" s="84">
        <v>1302.3</v>
      </c>
      <c r="Z19" s="84">
        <v>1871.4</v>
      </c>
      <c r="AA19" s="84">
        <v>931.9</v>
      </c>
      <c r="AB19" s="81">
        <v>20131.93</v>
      </c>
      <c r="AC19" s="81">
        <v>3939.81</v>
      </c>
      <c r="AD19" s="84">
        <v>45259.7</v>
      </c>
      <c r="AE19" s="81">
        <v>5262.88</v>
      </c>
      <c r="AF19" s="81">
        <v>12305.68</v>
      </c>
      <c r="AG19" s="81">
        <v>6689.77</v>
      </c>
      <c r="AH19" s="81">
        <v>3596.44</v>
      </c>
      <c r="AI19" s="81">
        <v>626.89</v>
      </c>
      <c r="AJ19" s="81">
        <v>3167.22</v>
      </c>
      <c r="AK19" s="84">
        <v>1.5</v>
      </c>
      <c r="AL19" s="84">
        <v>558</v>
      </c>
      <c r="AM19" s="84">
        <v>485.1</v>
      </c>
      <c r="AN19" s="84">
        <v>8450.2000000000007</v>
      </c>
      <c r="AO19" s="81">
        <v>520.85</v>
      </c>
      <c r="AP19" s="84">
        <v>8466</v>
      </c>
      <c r="AQ19" s="84">
        <v>440</v>
      </c>
      <c r="AR19" s="84">
        <v>6383.8</v>
      </c>
      <c r="AS19" s="84">
        <v>510</v>
      </c>
      <c r="AT19" s="84">
        <v>2400.6</v>
      </c>
      <c r="AU19" s="81">
        <v>2128.5500000000002</v>
      </c>
      <c r="AV19" s="84">
        <v>3362.6</v>
      </c>
      <c r="AW19" s="84">
        <v>1694.8</v>
      </c>
      <c r="AX19" s="84">
        <v>841.2</v>
      </c>
      <c r="AY19" s="84">
        <v>3558.5</v>
      </c>
      <c r="AZ19" s="81">
        <v>28715.33</v>
      </c>
      <c r="BA19" s="81">
        <v>2714.75</v>
      </c>
      <c r="BB19" s="81">
        <v>15643.51</v>
      </c>
      <c r="BC19" s="84">
        <v>5491.3</v>
      </c>
      <c r="BD19" s="84">
        <v>9375.4</v>
      </c>
      <c r="BE19" s="81">
        <v>2646.69</v>
      </c>
      <c r="BF19" s="81">
        <v>813.75</v>
      </c>
      <c r="BG19" s="84">
        <v>1689</v>
      </c>
      <c r="BH19" s="84">
        <v>6689.8</v>
      </c>
      <c r="BI19" s="84">
        <v>16.5</v>
      </c>
      <c r="BJ19" s="81">
        <v>46.58</v>
      </c>
      <c r="BK19" s="84">
        <v>254</v>
      </c>
      <c r="BL19" s="84">
        <v>14.1</v>
      </c>
      <c r="BM19" s="81">
        <v>1960.25</v>
      </c>
      <c r="BN19" s="84">
        <v>6318.8</v>
      </c>
      <c r="BO19" s="84">
        <v>1550.1</v>
      </c>
      <c r="BP19" s="84">
        <v>4324.3999999999996</v>
      </c>
      <c r="BQ19" s="84">
        <v>242</v>
      </c>
      <c r="BR19" s="84">
        <v>3873.8</v>
      </c>
      <c r="BS19" s="81">
        <v>1779.27</v>
      </c>
      <c r="BT19" s="81">
        <v>717.79</v>
      </c>
      <c r="BU19" s="81">
        <v>4817.05</v>
      </c>
      <c r="BV19" s="84">
        <v>30</v>
      </c>
    </row>
    <row r="20" spans="1:74">
      <c r="A20" s="78" t="s">
        <v>472</v>
      </c>
      <c r="B20" s="78" t="s">
        <v>473</v>
      </c>
      <c r="C20" s="82">
        <v>433.68</v>
      </c>
      <c r="D20" s="82">
        <v>11222.74</v>
      </c>
      <c r="E20" s="82">
        <v>7.65</v>
      </c>
      <c r="F20" s="82">
        <v>6297.96</v>
      </c>
      <c r="G20" s="82">
        <v>565.82000000000005</v>
      </c>
      <c r="H20" s="82">
        <v>17533.32</v>
      </c>
      <c r="I20" s="82">
        <v>672.38</v>
      </c>
      <c r="J20" s="82">
        <v>22451.31</v>
      </c>
      <c r="K20" s="82">
        <v>557.30999999999995</v>
      </c>
      <c r="L20" s="82">
        <v>34349.67</v>
      </c>
      <c r="M20" s="82">
        <v>13.63</v>
      </c>
      <c r="N20" s="82">
        <v>17802.36</v>
      </c>
      <c r="O20" s="80" t="s">
        <v>195</v>
      </c>
      <c r="P20" s="82">
        <v>16822.03</v>
      </c>
      <c r="Q20" s="83">
        <v>312.39999999999998</v>
      </c>
      <c r="R20" s="82">
        <v>19110.93</v>
      </c>
      <c r="S20" s="82">
        <v>53.75</v>
      </c>
      <c r="T20" s="82">
        <v>17812.89</v>
      </c>
      <c r="U20" s="82">
        <v>122.56</v>
      </c>
      <c r="V20" s="82">
        <v>16223.63</v>
      </c>
      <c r="W20" s="82">
        <v>385.35</v>
      </c>
      <c r="X20" s="82">
        <v>10425.629999999999</v>
      </c>
      <c r="Y20" s="82">
        <v>359.53</v>
      </c>
      <c r="Z20" s="83">
        <v>7889.2</v>
      </c>
      <c r="AA20" s="82">
        <v>460.24</v>
      </c>
      <c r="AB20" s="82">
        <v>5364.74</v>
      </c>
      <c r="AC20" s="83">
        <v>1827.7</v>
      </c>
      <c r="AD20" s="82">
        <v>3358.86</v>
      </c>
      <c r="AE20" s="82">
        <v>272.76</v>
      </c>
      <c r="AF20" s="82">
        <v>4929.3100000000004</v>
      </c>
      <c r="AG20" s="82">
        <v>1882.07</v>
      </c>
      <c r="AH20" s="82">
        <v>14556.53</v>
      </c>
      <c r="AI20" s="82">
        <v>58.75</v>
      </c>
      <c r="AJ20" s="82">
        <v>7211.16</v>
      </c>
      <c r="AK20" s="82">
        <v>364.77</v>
      </c>
      <c r="AL20" s="82">
        <v>12566.85</v>
      </c>
      <c r="AM20" s="82">
        <v>479.26</v>
      </c>
      <c r="AN20" s="82">
        <v>9782.31</v>
      </c>
      <c r="AO20" s="83">
        <v>397.7</v>
      </c>
      <c r="AP20" s="82">
        <v>15521.38</v>
      </c>
      <c r="AQ20" s="82">
        <v>687.52</v>
      </c>
      <c r="AR20" s="82">
        <v>24434.560000000001</v>
      </c>
      <c r="AS20" s="83">
        <v>35.5</v>
      </c>
      <c r="AT20" s="83">
        <v>15713.2</v>
      </c>
      <c r="AU20" s="83">
        <v>791.1</v>
      </c>
      <c r="AV20" s="82">
        <v>9349.44</v>
      </c>
      <c r="AW20" s="83">
        <v>236.6</v>
      </c>
      <c r="AX20" s="82">
        <v>16219.68</v>
      </c>
      <c r="AY20" s="82">
        <v>310.23</v>
      </c>
      <c r="AZ20" s="82">
        <v>12732.01</v>
      </c>
      <c r="BA20" s="82">
        <v>2084.8200000000002</v>
      </c>
      <c r="BB20" s="83">
        <v>9693.2999999999993</v>
      </c>
      <c r="BC20" s="82">
        <v>0.01</v>
      </c>
      <c r="BD20" s="82">
        <v>6826.94</v>
      </c>
      <c r="BE20" s="82">
        <v>565.86</v>
      </c>
      <c r="BF20" s="82">
        <v>9584.27</v>
      </c>
      <c r="BG20" s="82">
        <v>326.19</v>
      </c>
      <c r="BH20" s="83">
        <v>14897.7</v>
      </c>
      <c r="BI20" s="82">
        <v>123.98</v>
      </c>
      <c r="BJ20" s="82">
        <v>14554.49</v>
      </c>
      <c r="BK20" s="82">
        <v>161.47999999999999</v>
      </c>
      <c r="BL20" s="82">
        <v>9072.2800000000007</v>
      </c>
      <c r="BM20" s="82">
        <v>231.22</v>
      </c>
      <c r="BN20" s="82">
        <v>24528.59</v>
      </c>
      <c r="BO20" s="82">
        <v>48.01</v>
      </c>
      <c r="BP20" s="82">
        <v>14120.73</v>
      </c>
      <c r="BQ20" s="82">
        <v>0.02</v>
      </c>
      <c r="BR20" s="82">
        <v>43036.59</v>
      </c>
      <c r="BS20" s="82">
        <v>328.91</v>
      </c>
      <c r="BT20" s="82">
        <v>19318.43</v>
      </c>
      <c r="BU20" s="82">
        <v>322.32</v>
      </c>
      <c r="BV20" s="82">
        <v>21625.72</v>
      </c>
    </row>
    <row r="21" spans="1:74">
      <c r="A21" s="78" t="s">
        <v>474</v>
      </c>
      <c r="B21" s="78" t="s">
        <v>475</v>
      </c>
      <c r="C21" s="81">
        <v>2479.8200000000002</v>
      </c>
      <c r="D21" s="81">
        <v>6697.52</v>
      </c>
      <c r="E21" s="81">
        <v>3162.34</v>
      </c>
      <c r="F21" s="81">
        <v>58938.18</v>
      </c>
      <c r="G21" s="81">
        <v>3034.24</v>
      </c>
      <c r="H21" s="84">
        <v>39829.800000000003</v>
      </c>
      <c r="I21" s="84">
        <v>1016</v>
      </c>
      <c r="J21" s="81">
        <v>17881.12</v>
      </c>
      <c r="K21" s="81">
        <v>22.85</v>
      </c>
      <c r="L21" s="81">
        <v>17515.060000000001</v>
      </c>
      <c r="M21" s="81">
        <v>95.53</v>
      </c>
      <c r="N21" s="84">
        <v>37207.5</v>
      </c>
      <c r="O21" s="81">
        <v>876.98</v>
      </c>
      <c r="P21" s="81">
        <v>15272.81</v>
      </c>
      <c r="Q21" s="81">
        <v>611.16</v>
      </c>
      <c r="R21" s="81">
        <v>15831.79</v>
      </c>
      <c r="S21" s="81">
        <v>77.41</v>
      </c>
      <c r="T21" s="81">
        <v>11025.25</v>
      </c>
      <c r="U21" s="81">
        <v>8.83</v>
      </c>
      <c r="V21" s="81">
        <v>13873.98</v>
      </c>
      <c r="W21" s="81">
        <v>50.38</v>
      </c>
      <c r="X21" s="81">
        <v>8650.7199999999993</v>
      </c>
      <c r="Y21" s="81">
        <v>251.14</v>
      </c>
      <c r="Z21" s="81">
        <v>1621.33</v>
      </c>
      <c r="AA21" s="84">
        <v>836.1</v>
      </c>
      <c r="AB21" s="81">
        <v>36493.919999999998</v>
      </c>
      <c r="AC21" s="81">
        <v>9180.19</v>
      </c>
      <c r="AD21" s="81">
        <v>32558.54</v>
      </c>
      <c r="AE21" s="84">
        <v>2907.2</v>
      </c>
      <c r="AF21" s="81">
        <v>29061.47</v>
      </c>
      <c r="AG21" s="81">
        <v>832.76</v>
      </c>
      <c r="AH21" s="81">
        <v>19683.39</v>
      </c>
      <c r="AI21" s="81">
        <v>217.19</v>
      </c>
      <c r="AJ21" s="84">
        <v>21074.3</v>
      </c>
      <c r="AK21" s="81">
        <v>1040.3499999999999</v>
      </c>
      <c r="AL21" s="81">
        <v>8098.46</v>
      </c>
      <c r="AM21" s="81">
        <v>2633.46</v>
      </c>
      <c r="AN21" s="81">
        <v>2933.39</v>
      </c>
      <c r="AO21" s="81">
        <v>3057.75</v>
      </c>
      <c r="AP21" s="84">
        <v>25536.799999999999</v>
      </c>
      <c r="AQ21" s="81">
        <v>887.13</v>
      </c>
      <c r="AR21" s="81">
        <v>26464.16</v>
      </c>
      <c r="AS21" s="81">
        <v>292.39</v>
      </c>
      <c r="AT21" s="81">
        <v>34158.76</v>
      </c>
      <c r="AU21" s="81">
        <v>813.69</v>
      </c>
      <c r="AV21" s="81">
        <v>3860.31</v>
      </c>
      <c r="AW21" s="81">
        <v>100.95</v>
      </c>
      <c r="AX21" s="81">
        <v>10722.35</v>
      </c>
      <c r="AY21" s="81">
        <v>691.17</v>
      </c>
      <c r="AZ21" s="84">
        <v>109739.4</v>
      </c>
      <c r="BA21" s="81">
        <v>5242.87</v>
      </c>
      <c r="BB21" s="81">
        <v>62347.66</v>
      </c>
      <c r="BC21" s="81">
        <v>2226.06</v>
      </c>
      <c r="BD21" s="81">
        <v>55761.81</v>
      </c>
      <c r="BE21" s="81">
        <v>739.89</v>
      </c>
      <c r="BF21" s="81">
        <v>55770.15</v>
      </c>
      <c r="BG21" s="84">
        <v>393.4</v>
      </c>
      <c r="BH21" s="84">
        <v>30659.3</v>
      </c>
      <c r="BI21" s="81">
        <v>307.64999999999998</v>
      </c>
      <c r="BJ21" s="81">
        <v>26473.13</v>
      </c>
      <c r="BK21" s="81">
        <v>86.43</v>
      </c>
      <c r="BL21" s="81">
        <v>38835.410000000003</v>
      </c>
      <c r="BM21" s="81">
        <v>1824.22</v>
      </c>
      <c r="BN21" s="81">
        <v>38576.35</v>
      </c>
      <c r="BO21" s="81">
        <v>949.56</v>
      </c>
      <c r="BP21" s="81">
        <v>63610.01</v>
      </c>
      <c r="BQ21" s="84">
        <v>44446.8</v>
      </c>
      <c r="BR21" s="81">
        <v>69373.59</v>
      </c>
      <c r="BS21" s="81">
        <v>9813.89</v>
      </c>
      <c r="BT21" s="81">
        <v>32372.02</v>
      </c>
      <c r="BU21" s="81">
        <v>845.45</v>
      </c>
      <c r="BV21" s="81">
        <v>39966.32</v>
      </c>
    </row>
    <row r="22" spans="1:74">
      <c r="A22" s="78" t="s">
        <v>476</v>
      </c>
      <c r="B22" s="78" t="s">
        <v>477</v>
      </c>
      <c r="C22" s="82">
        <v>125339.94</v>
      </c>
      <c r="D22" s="82">
        <v>9405705.2400000002</v>
      </c>
      <c r="E22" s="82">
        <v>100893.32</v>
      </c>
      <c r="F22" s="83">
        <v>7891829.4000000004</v>
      </c>
      <c r="G22" s="82">
        <v>31396.25</v>
      </c>
      <c r="H22" s="82">
        <v>8182840.1699999999</v>
      </c>
      <c r="I22" s="82">
        <v>40225.360000000001</v>
      </c>
      <c r="J22" s="82">
        <v>6390623.9699999997</v>
      </c>
      <c r="K22" s="83">
        <v>25150.1</v>
      </c>
      <c r="L22" s="82">
        <v>3461804.09</v>
      </c>
      <c r="M22" s="83">
        <v>69323.199999999997</v>
      </c>
      <c r="N22" s="82">
        <v>4221547.29</v>
      </c>
      <c r="O22" s="82">
        <v>62620.74</v>
      </c>
      <c r="P22" s="82">
        <v>6375079.1699999999</v>
      </c>
      <c r="Q22" s="82">
        <v>84970.93</v>
      </c>
      <c r="R22" s="82">
        <v>7760837.1799999997</v>
      </c>
      <c r="S22" s="82">
        <v>25275.94</v>
      </c>
      <c r="T22" s="82">
        <v>7470426.6399999997</v>
      </c>
      <c r="U22" s="83">
        <v>91074.6</v>
      </c>
      <c r="V22" s="82">
        <v>6139444.0800000001</v>
      </c>
      <c r="W22" s="82">
        <v>14121.96</v>
      </c>
      <c r="X22" s="82">
        <v>4806915.4800000004</v>
      </c>
      <c r="Y22" s="82">
        <v>25890.880000000001</v>
      </c>
      <c r="Z22" s="82">
        <v>4667059.76</v>
      </c>
      <c r="AA22" s="83">
        <v>46523.8</v>
      </c>
      <c r="AB22" s="82">
        <v>7899965.9500000002</v>
      </c>
      <c r="AC22" s="82">
        <v>88139.25</v>
      </c>
      <c r="AD22" s="82">
        <v>7454439.3300000001</v>
      </c>
      <c r="AE22" s="82">
        <v>15001.53</v>
      </c>
      <c r="AF22" s="83">
        <v>5952377.5999999996</v>
      </c>
      <c r="AG22" s="83">
        <v>353046.4</v>
      </c>
      <c r="AH22" s="82">
        <v>6553163.6600000001</v>
      </c>
      <c r="AI22" s="82">
        <v>8701.75</v>
      </c>
      <c r="AJ22" s="82">
        <v>4354053.2699999996</v>
      </c>
      <c r="AK22" s="82">
        <v>64352.02</v>
      </c>
      <c r="AL22" s="83">
        <v>4710472.9000000004</v>
      </c>
      <c r="AM22" s="83">
        <v>27151.599999999999</v>
      </c>
      <c r="AN22" s="82">
        <v>4929703.71</v>
      </c>
      <c r="AO22" s="82">
        <v>16427.080000000002</v>
      </c>
      <c r="AP22" s="82">
        <v>7575594.4900000002</v>
      </c>
      <c r="AQ22" s="82">
        <v>27561.69</v>
      </c>
      <c r="AR22" s="82">
        <v>7519776.6399999997</v>
      </c>
      <c r="AS22" s="82">
        <v>18742.04</v>
      </c>
      <c r="AT22" s="82">
        <v>8488948.9100000001</v>
      </c>
      <c r="AU22" s="82">
        <v>29331.63</v>
      </c>
      <c r="AV22" s="82">
        <v>5693883.0300000003</v>
      </c>
      <c r="AW22" s="82">
        <v>11814.98</v>
      </c>
      <c r="AX22" s="82">
        <v>7114860.4299999997</v>
      </c>
      <c r="AY22" s="82">
        <v>62856.39</v>
      </c>
      <c r="AZ22" s="82">
        <v>9598459.5800000001</v>
      </c>
      <c r="BA22" s="83">
        <v>25934.799999999999</v>
      </c>
      <c r="BB22" s="82">
        <v>6015663.9800000004</v>
      </c>
      <c r="BC22" s="82">
        <v>36914.29</v>
      </c>
      <c r="BD22" s="82">
        <v>5810380.6699999999</v>
      </c>
      <c r="BE22" s="82">
        <v>97912.99</v>
      </c>
      <c r="BF22" s="82">
        <v>4860042.07</v>
      </c>
      <c r="BG22" s="82">
        <v>6264.36</v>
      </c>
      <c r="BH22" s="82">
        <v>4719697.13</v>
      </c>
      <c r="BI22" s="82">
        <v>4201.09</v>
      </c>
      <c r="BJ22" s="83">
        <v>2638733</v>
      </c>
      <c r="BK22" s="82">
        <v>17351.45</v>
      </c>
      <c r="BL22" s="82">
        <v>4385828.88</v>
      </c>
      <c r="BM22" s="82">
        <v>13858.22</v>
      </c>
      <c r="BN22" s="82">
        <v>6163169.9800000004</v>
      </c>
      <c r="BO22" s="82">
        <v>8023.17</v>
      </c>
      <c r="BP22" s="83">
        <v>6336535.5999999996</v>
      </c>
      <c r="BQ22" s="82">
        <v>19556.28</v>
      </c>
      <c r="BR22" s="82">
        <v>6311584.4500000002</v>
      </c>
      <c r="BS22" s="82">
        <v>5132.3100000000004</v>
      </c>
      <c r="BT22" s="82">
        <v>5966168.8700000001</v>
      </c>
      <c r="BU22" s="82">
        <v>6854.82</v>
      </c>
      <c r="BV22" s="82">
        <v>4443219.76</v>
      </c>
    </row>
    <row r="23" spans="1:74">
      <c r="A23" s="78" t="s">
        <v>478</v>
      </c>
      <c r="B23" s="78" t="s">
        <v>479</v>
      </c>
      <c r="C23" s="82">
        <v>259.39</v>
      </c>
      <c r="D23" s="82">
        <v>5475.54</v>
      </c>
      <c r="E23" s="82">
        <v>2028.16</v>
      </c>
      <c r="F23" s="82">
        <v>7592.15</v>
      </c>
      <c r="G23" s="82">
        <v>477.75</v>
      </c>
      <c r="H23" s="82">
        <v>4591.1099999999997</v>
      </c>
      <c r="I23" s="82">
        <v>2422.9499999999998</v>
      </c>
      <c r="J23" s="82">
        <v>4270.32</v>
      </c>
      <c r="K23" s="83">
        <v>4541.2</v>
      </c>
      <c r="L23" s="82">
        <v>3833.49</v>
      </c>
      <c r="M23" s="83">
        <v>600.79999999999995</v>
      </c>
      <c r="N23" s="82">
        <v>1769.15</v>
      </c>
      <c r="O23" s="82">
        <v>1117.55</v>
      </c>
      <c r="P23" s="83">
        <v>859.6</v>
      </c>
      <c r="Q23" s="82">
        <v>729.39</v>
      </c>
      <c r="R23" s="82">
        <v>2658.95</v>
      </c>
      <c r="S23" s="82">
        <v>6548.39</v>
      </c>
      <c r="T23" s="83">
        <v>5330.1</v>
      </c>
      <c r="U23" s="82">
        <v>3160.92</v>
      </c>
      <c r="V23" s="83">
        <v>2859.5</v>
      </c>
      <c r="W23" s="83">
        <v>4753.8999999999996</v>
      </c>
      <c r="X23" s="82">
        <v>3279.15</v>
      </c>
      <c r="Y23" s="82">
        <v>7907.13</v>
      </c>
      <c r="Z23" s="82">
        <v>2940.87</v>
      </c>
      <c r="AA23" s="83">
        <v>2227.5</v>
      </c>
      <c r="AB23" s="83">
        <v>1935.2</v>
      </c>
      <c r="AC23" s="82">
        <v>2725.36</v>
      </c>
      <c r="AD23" s="82">
        <v>2094.73</v>
      </c>
      <c r="AE23" s="82">
        <v>1321.24</v>
      </c>
      <c r="AF23" s="82">
        <v>2817.62</v>
      </c>
      <c r="AG23" s="83">
        <v>750.8</v>
      </c>
      <c r="AH23" s="82">
        <v>2701.59</v>
      </c>
      <c r="AI23" s="83">
        <v>1382</v>
      </c>
      <c r="AJ23" s="82">
        <v>2177.64</v>
      </c>
      <c r="AK23" s="82">
        <v>553.54999999999995</v>
      </c>
      <c r="AL23" s="82">
        <v>3211.71</v>
      </c>
      <c r="AM23" s="83">
        <v>3140</v>
      </c>
      <c r="AN23" s="82">
        <v>2180.15</v>
      </c>
      <c r="AO23" s="82">
        <v>1236.98</v>
      </c>
      <c r="AP23" s="82">
        <v>1584.19</v>
      </c>
      <c r="AQ23" s="82">
        <v>7540.15</v>
      </c>
      <c r="AR23" s="82">
        <v>942.91</v>
      </c>
      <c r="AS23" s="82">
        <v>2379.44</v>
      </c>
      <c r="AT23" s="83">
        <v>760.5</v>
      </c>
      <c r="AU23" s="82">
        <v>6280.85</v>
      </c>
      <c r="AV23" s="83">
        <v>1980.2</v>
      </c>
      <c r="AW23" s="82">
        <v>7635.89</v>
      </c>
      <c r="AX23" s="82">
        <v>545.85</v>
      </c>
      <c r="AY23" s="82">
        <v>3004.46</v>
      </c>
      <c r="AZ23" s="82">
        <v>1986.11</v>
      </c>
      <c r="BA23" s="82">
        <v>1128.8599999999999</v>
      </c>
      <c r="BB23" s="83">
        <v>3442.9</v>
      </c>
      <c r="BC23" s="82">
        <v>1949.86</v>
      </c>
      <c r="BD23" s="82">
        <v>4852.83</v>
      </c>
      <c r="BE23" s="82">
        <v>3360.61</v>
      </c>
      <c r="BF23" s="82">
        <v>3054.36</v>
      </c>
      <c r="BG23" s="82">
        <v>990.31</v>
      </c>
      <c r="BH23" s="83">
        <v>5127.3999999999996</v>
      </c>
      <c r="BI23" s="82">
        <v>2495.8200000000002</v>
      </c>
      <c r="BJ23" s="82">
        <v>7519.73</v>
      </c>
      <c r="BK23" s="82">
        <v>4393.25</v>
      </c>
      <c r="BL23" s="82">
        <v>4241.3900000000003</v>
      </c>
      <c r="BM23" s="82">
        <v>6353.58</v>
      </c>
      <c r="BN23" s="82">
        <v>5636.99</v>
      </c>
      <c r="BO23" s="82">
        <v>3368.73</v>
      </c>
      <c r="BP23" s="82">
        <v>5039.92</v>
      </c>
      <c r="BQ23" s="82">
        <v>5026.7299999999996</v>
      </c>
      <c r="BR23" s="82">
        <v>4548.3500000000004</v>
      </c>
      <c r="BS23" s="82">
        <v>2880.49</v>
      </c>
      <c r="BT23" s="83">
        <v>2268.3000000000002</v>
      </c>
      <c r="BU23" s="82">
        <v>6504.09</v>
      </c>
      <c r="BV23" s="82">
        <v>3925.96</v>
      </c>
    </row>
    <row r="24" spans="1:74">
      <c r="A24" s="78" t="s">
        <v>480</v>
      </c>
      <c r="B24" s="78" t="s">
        <v>481</v>
      </c>
      <c r="C24" s="81">
        <v>3319.03</v>
      </c>
      <c r="D24" s="81">
        <v>48805.54</v>
      </c>
      <c r="E24" s="81">
        <v>4652.25</v>
      </c>
      <c r="F24" s="81">
        <v>55091.56</v>
      </c>
      <c r="G24" s="81">
        <v>3219.85</v>
      </c>
      <c r="H24" s="81">
        <v>51950.36</v>
      </c>
      <c r="I24" s="81">
        <v>2223.48</v>
      </c>
      <c r="J24" s="81">
        <v>62717.16</v>
      </c>
      <c r="K24" s="81">
        <v>6559.55</v>
      </c>
      <c r="L24" s="81">
        <v>70576.56</v>
      </c>
      <c r="M24" s="81">
        <v>3837.03</v>
      </c>
      <c r="N24" s="81">
        <v>68977.47</v>
      </c>
      <c r="O24" s="84">
        <v>11287.4</v>
      </c>
      <c r="P24" s="81">
        <v>56119.82</v>
      </c>
      <c r="Q24" s="84">
        <v>10099.9</v>
      </c>
      <c r="R24" s="81">
        <v>53139.57</v>
      </c>
      <c r="S24" s="81">
        <v>4041.49</v>
      </c>
      <c r="T24" s="81">
        <v>53719.93</v>
      </c>
      <c r="U24" s="81">
        <v>6054.69</v>
      </c>
      <c r="V24" s="81">
        <v>50077.34</v>
      </c>
      <c r="W24" s="81">
        <v>4672.9799999999996</v>
      </c>
      <c r="X24" s="81">
        <v>54113.13</v>
      </c>
      <c r="Y24" s="81">
        <v>6222.71</v>
      </c>
      <c r="Z24" s="81">
        <v>37516.04</v>
      </c>
      <c r="AA24" s="81">
        <v>7138.31</v>
      </c>
      <c r="AB24" s="81">
        <v>71099.850000000006</v>
      </c>
      <c r="AC24" s="81">
        <v>5846.18</v>
      </c>
      <c r="AD24" s="81">
        <v>64837.62</v>
      </c>
      <c r="AE24" s="81">
        <v>4765.12</v>
      </c>
      <c r="AF24" s="81">
        <v>86890.43</v>
      </c>
      <c r="AG24" s="81">
        <v>4807.82</v>
      </c>
      <c r="AH24" s="81">
        <v>112129.57</v>
      </c>
      <c r="AI24" s="81">
        <v>24614.74</v>
      </c>
      <c r="AJ24" s="81">
        <v>94252.01</v>
      </c>
      <c r="AK24" s="81">
        <v>4024.47</v>
      </c>
      <c r="AL24" s="81">
        <v>75162.559999999998</v>
      </c>
      <c r="AM24" s="81">
        <v>7163.79</v>
      </c>
      <c r="AN24" s="81">
        <v>74519.070000000007</v>
      </c>
      <c r="AO24" s="81">
        <v>3843.62</v>
      </c>
      <c r="AP24" s="81">
        <v>87529.96</v>
      </c>
      <c r="AQ24" s="81">
        <v>28539.43</v>
      </c>
      <c r="AR24" s="81">
        <v>78705.789999999994</v>
      </c>
      <c r="AS24" s="81">
        <v>5817.93</v>
      </c>
      <c r="AT24" s="81">
        <v>74808.87</v>
      </c>
      <c r="AU24" s="81">
        <v>4210.59</v>
      </c>
      <c r="AV24" s="81">
        <v>57933.34</v>
      </c>
      <c r="AW24" s="81">
        <v>4239.95</v>
      </c>
      <c r="AX24" s="81">
        <v>55695.85</v>
      </c>
      <c r="AY24" s="81">
        <v>3248.72</v>
      </c>
      <c r="AZ24" s="81">
        <v>56429.65</v>
      </c>
      <c r="BA24" s="81">
        <v>3778.51</v>
      </c>
      <c r="BB24" s="81">
        <v>64878.53</v>
      </c>
      <c r="BC24" s="81">
        <v>4191.7299999999996</v>
      </c>
      <c r="BD24" s="81">
        <v>95312.09</v>
      </c>
      <c r="BE24" s="81">
        <v>4005.15</v>
      </c>
      <c r="BF24" s="81">
        <v>132842.01</v>
      </c>
      <c r="BG24" s="81">
        <v>5070.97</v>
      </c>
      <c r="BH24" s="81">
        <v>131676.21</v>
      </c>
      <c r="BI24" s="81">
        <v>2325.9499999999998</v>
      </c>
      <c r="BJ24" s="81">
        <v>89609.88</v>
      </c>
      <c r="BK24" s="81">
        <v>4419.62</v>
      </c>
      <c r="BL24" s="81">
        <v>88651.51</v>
      </c>
      <c r="BM24" s="81">
        <v>4716.58</v>
      </c>
      <c r="BN24" s="81">
        <v>79933.03</v>
      </c>
      <c r="BO24" s="81">
        <v>5382.77</v>
      </c>
      <c r="BP24" s="84">
        <v>68656.899999999994</v>
      </c>
      <c r="BQ24" s="81">
        <v>4177.68</v>
      </c>
      <c r="BR24" s="81">
        <v>58917.13</v>
      </c>
      <c r="BS24" s="81">
        <v>5132.58</v>
      </c>
      <c r="BT24" s="81">
        <v>46932.78</v>
      </c>
      <c r="BU24" s="81">
        <v>3519.21</v>
      </c>
      <c r="BV24" s="81">
        <v>56246.080000000002</v>
      </c>
    </row>
    <row r="25" spans="1:74">
      <c r="A25" s="78" t="s">
        <v>482</v>
      </c>
      <c r="B25" s="78" t="s">
        <v>483</v>
      </c>
      <c r="C25" s="80" t="s">
        <v>195</v>
      </c>
      <c r="D25" s="80" t="s">
        <v>195</v>
      </c>
      <c r="E25" s="80" t="s">
        <v>195</v>
      </c>
      <c r="F25" s="80" t="s">
        <v>195</v>
      </c>
      <c r="G25" s="80" t="s">
        <v>195</v>
      </c>
      <c r="H25" s="80" t="s">
        <v>195</v>
      </c>
      <c r="I25" s="80" t="s">
        <v>195</v>
      </c>
      <c r="J25" s="80" t="s">
        <v>195</v>
      </c>
      <c r="K25" s="80" t="s">
        <v>195</v>
      </c>
      <c r="L25" s="80" t="s">
        <v>195</v>
      </c>
      <c r="M25" s="80" t="s">
        <v>195</v>
      </c>
      <c r="N25" s="80" t="s">
        <v>195</v>
      </c>
      <c r="O25" s="80" t="s">
        <v>195</v>
      </c>
      <c r="P25" s="80" t="s">
        <v>195</v>
      </c>
      <c r="Q25" s="80" t="s">
        <v>195</v>
      </c>
      <c r="R25" s="80" t="s">
        <v>195</v>
      </c>
      <c r="S25" s="80" t="s">
        <v>195</v>
      </c>
      <c r="T25" s="80" t="s">
        <v>195</v>
      </c>
      <c r="U25" s="80" t="s">
        <v>195</v>
      </c>
      <c r="V25" s="80" t="s">
        <v>195</v>
      </c>
      <c r="W25" s="80" t="s">
        <v>195</v>
      </c>
      <c r="X25" s="80" t="s">
        <v>195</v>
      </c>
      <c r="Y25" s="80" t="s">
        <v>195</v>
      </c>
      <c r="Z25" s="80" t="s">
        <v>195</v>
      </c>
      <c r="AA25" s="80" t="s">
        <v>195</v>
      </c>
      <c r="AB25" s="80" t="s">
        <v>195</v>
      </c>
      <c r="AC25" s="80" t="s">
        <v>195</v>
      </c>
      <c r="AD25" s="80" t="s">
        <v>195</v>
      </c>
      <c r="AE25" s="80" t="s">
        <v>195</v>
      </c>
      <c r="AF25" s="80" t="s">
        <v>195</v>
      </c>
      <c r="AG25" s="80" t="s">
        <v>195</v>
      </c>
      <c r="AH25" s="80" t="s">
        <v>195</v>
      </c>
      <c r="AI25" s="80" t="s">
        <v>195</v>
      </c>
      <c r="AJ25" s="80" t="s">
        <v>195</v>
      </c>
      <c r="AK25" s="80" t="s">
        <v>195</v>
      </c>
      <c r="AL25" s="80" t="s">
        <v>195</v>
      </c>
      <c r="AM25" s="80" t="s">
        <v>195</v>
      </c>
      <c r="AN25" s="80" t="s">
        <v>195</v>
      </c>
      <c r="AO25" s="80" t="s">
        <v>195</v>
      </c>
      <c r="AP25" s="80" t="s">
        <v>195</v>
      </c>
      <c r="AQ25" s="80" t="s">
        <v>195</v>
      </c>
      <c r="AR25" s="80" t="s">
        <v>195</v>
      </c>
      <c r="AS25" s="80" t="s">
        <v>195</v>
      </c>
      <c r="AT25" s="80" t="s">
        <v>195</v>
      </c>
      <c r="AU25" s="80" t="s">
        <v>195</v>
      </c>
      <c r="AV25" s="80" t="s">
        <v>195</v>
      </c>
      <c r="AW25" s="80" t="s">
        <v>195</v>
      </c>
      <c r="AX25" s="80" t="s">
        <v>195</v>
      </c>
      <c r="AY25" s="80" t="s">
        <v>195</v>
      </c>
      <c r="AZ25" s="80" t="s">
        <v>195</v>
      </c>
      <c r="BA25" s="80" t="s">
        <v>195</v>
      </c>
      <c r="BB25" s="80" t="s">
        <v>195</v>
      </c>
      <c r="BC25" s="80" t="s">
        <v>195</v>
      </c>
      <c r="BD25" s="80" t="s">
        <v>195</v>
      </c>
      <c r="BE25" s="80" t="s">
        <v>195</v>
      </c>
      <c r="BF25" s="80" t="s">
        <v>195</v>
      </c>
      <c r="BG25" s="80" t="s">
        <v>195</v>
      </c>
      <c r="BH25" s="80" t="s">
        <v>195</v>
      </c>
      <c r="BI25" s="80" t="s">
        <v>195</v>
      </c>
      <c r="BJ25" s="80" t="s">
        <v>195</v>
      </c>
      <c r="BK25" s="80" t="s">
        <v>195</v>
      </c>
      <c r="BL25" s="80" t="s">
        <v>195</v>
      </c>
      <c r="BM25" s="80" t="s">
        <v>195</v>
      </c>
      <c r="BN25" s="80" t="s">
        <v>195</v>
      </c>
      <c r="BO25" s="80" t="s">
        <v>195</v>
      </c>
      <c r="BP25" s="80" t="s">
        <v>195</v>
      </c>
      <c r="BQ25" s="80" t="s">
        <v>195</v>
      </c>
      <c r="BR25" s="80" t="s">
        <v>195</v>
      </c>
      <c r="BS25" s="80" t="s">
        <v>195</v>
      </c>
      <c r="BT25" s="80" t="s">
        <v>195</v>
      </c>
      <c r="BU25" s="80" t="s">
        <v>195</v>
      </c>
      <c r="BV25" s="80" t="s">
        <v>195</v>
      </c>
    </row>
    <row r="26" spans="1:74">
      <c r="A26" s="78" t="s">
        <v>484</v>
      </c>
      <c r="B26" s="78" t="s">
        <v>485</v>
      </c>
      <c r="C26" s="81">
        <v>5197.08</v>
      </c>
      <c r="D26" s="81">
        <v>164.83</v>
      </c>
      <c r="E26" s="81">
        <v>1000.22</v>
      </c>
      <c r="F26" s="84">
        <v>252.8</v>
      </c>
      <c r="G26" s="81">
        <v>738.79</v>
      </c>
      <c r="H26" s="81">
        <v>495.46</v>
      </c>
      <c r="I26" s="81">
        <v>1246.75</v>
      </c>
      <c r="J26" s="81">
        <v>3303.47</v>
      </c>
      <c r="K26" s="81">
        <v>1408.75</v>
      </c>
      <c r="L26" s="81">
        <v>12082.61</v>
      </c>
      <c r="M26" s="81">
        <v>1133.69</v>
      </c>
      <c r="N26" s="81">
        <v>36169.78</v>
      </c>
      <c r="O26" s="84">
        <v>8172.2</v>
      </c>
      <c r="P26" s="81">
        <v>66381.48</v>
      </c>
      <c r="Q26" s="81">
        <v>11442.77</v>
      </c>
      <c r="R26" s="81">
        <v>88341.57</v>
      </c>
      <c r="S26" s="84">
        <v>3614.8</v>
      </c>
      <c r="T26" s="81">
        <v>71564.28</v>
      </c>
      <c r="U26" s="84">
        <v>2024.2</v>
      </c>
      <c r="V26" s="81">
        <v>18855.32</v>
      </c>
      <c r="W26" s="81">
        <v>2012.28</v>
      </c>
      <c r="X26" s="81">
        <v>2823.62</v>
      </c>
      <c r="Y26" s="81">
        <v>8267.94</v>
      </c>
      <c r="Z26" s="81">
        <v>2659.03</v>
      </c>
      <c r="AA26" s="81">
        <v>2555.0300000000002</v>
      </c>
      <c r="AB26" s="81">
        <v>184.56</v>
      </c>
      <c r="AC26" s="81">
        <v>1880.38</v>
      </c>
      <c r="AD26" s="81">
        <v>3.16</v>
      </c>
      <c r="AE26" s="81">
        <v>3178.57</v>
      </c>
      <c r="AF26" s="81">
        <v>388.63</v>
      </c>
      <c r="AG26" s="81">
        <v>2364.87</v>
      </c>
      <c r="AH26" s="81">
        <v>12715.05</v>
      </c>
      <c r="AI26" s="81">
        <v>4089.74</v>
      </c>
      <c r="AJ26" s="84">
        <v>8513.7000000000007</v>
      </c>
      <c r="AK26" s="81">
        <v>3796.41</v>
      </c>
      <c r="AL26" s="84">
        <v>25177.599999999999</v>
      </c>
      <c r="AM26" s="81">
        <v>6972.21</v>
      </c>
      <c r="AN26" s="81">
        <v>59496.55</v>
      </c>
      <c r="AO26" s="81">
        <v>8757.11</v>
      </c>
      <c r="AP26" s="81">
        <v>72209.960000000006</v>
      </c>
      <c r="AQ26" s="81">
        <v>7941.18</v>
      </c>
      <c r="AR26" s="81">
        <v>74338.52</v>
      </c>
      <c r="AS26" s="81">
        <v>4597.71</v>
      </c>
      <c r="AT26" s="81">
        <v>17798.45</v>
      </c>
      <c r="AU26" s="81">
        <v>5433.06</v>
      </c>
      <c r="AV26" s="81">
        <v>729.33</v>
      </c>
      <c r="AW26" s="81">
        <v>7338.98</v>
      </c>
      <c r="AX26" s="81">
        <v>414.76</v>
      </c>
      <c r="AY26" s="81">
        <v>1574.32</v>
      </c>
      <c r="AZ26" s="81">
        <v>464.54</v>
      </c>
      <c r="BA26" s="81">
        <v>1817.33</v>
      </c>
      <c r="BB26" s="81">
        <v>660.19</v>
      </c>
      <c r="BC26" s="81">
        <v>2658.11</v>
      </c>
      <c r="BD26" s="81">
        <v>9529.82</v>
      </c>
      <c r="BE26" s="81">
        <v>866.61</v>
      </c>
      <c r="BF26" s="84">
        <v>6781.7</v>
      </c>
      <c r="BG26" s="81">
        <v>1500.22</v>
      </c>
      <c r="BH26" s="81">
        <v>8038.43</v>
      </c>
      <c r="BI26" s="81">
        <v>2825.39</v>
      </c>
      <c r="BJ26" s="81">
        <v>20242.939999999999</v>
      </c>
      <c r="BK26" s="81">
        <v>4047.18</v>
      </c>
      <c r="BL26" s="81">
        <v>55599.31</v>
      </c>
      <c r="BM26" s="81">
        <v>8122.03</v>
      </c>
      <c r="BN26" s="81">
        <v>42566.03</v>
      </c>
      <c r="BO26" s="81">
        <v>7016.16</v>
      </c>
      <c r="BP26" s="81">
        <v>37939.89</v>
      </c>
      <c r="BQ26" s="84">
        <v>1359.5</v>
      </c>
      <c r="BR26" s="81">
        <v>14115.24</v>
      </c>
      <c r="BS26" s="81">
        <v>6012.73</v>
      </c>
      <c r="BT26" s="81">
        <v>2108.67</v>
      </c>
      <c r="BU26" s="81">
        <v>8579.76</v>
      </c>
      <c r="BV26" s="81">
        <v>2576.73</v>
      </c>
    </row>
    <row r="27" spans="1:74">
      <c r="A27" s="78" t="s">
        <v>486</v>
      </c>
      <c r="B27" s="78" t="s">
        <v>487</v>
      </c>
      <c r="C27" s="82">
        <v>38036.76</v>
      </c>
      <c r="D27" s="82">
        <v>10022.67</v>
      </c>
      <c r="E27" s="82">
        <v>13948.18</v>
      </c>
      <c r="F27" s="82">
        <v>7214.49</v>
      </c>
      <c r="G27" s="82">
        <v>11623.52</v>
      </c>
      <c r="H27" s="82">
        <v>24561.759999999998</v>
      </c>
      <c r="I27" s="82">
        <v>17583.03</v>
      </c>
      <c r="J27" s="82">
        <v>55549.62</v>
      </c>
      <c r="K27" s="82">
        <v>28493.119999999999</v>
      </c>
      <c r="L27" s="82">
        <v>94323.15</v>
      </c>
      <c r="M27" s="82">
        <v>17411.060000000001</v>
      </c>
      <c r="N27" s="82">
        <v>151996.13</v>
      </c>
      <c r="O27" s="82">
        <v>34468.78</v>
      </c>
      <c r="P27" s="82">
        <v>295371.62</v>
      </c>
      <c r="Q27" s="82">
        <v>48390.45</v>
      </c>
      <c r="R27" s="82">
        <v>371169.34</v>
      </c>
      <c r="S27" s="82">
        <v>17821.060000000001</v>
      </c>
      <c r="T27" s="82">
        <v>282412.31</v>
      </c>
      <c r="U27" s="83">
        <v>13616.6</v>
      </c>
      <c r="V27" s="82">
        <v>106212.68</v>
      </c>
      <c r="W27" s="82">
        <v>47637.13</v>
      </c>
      <c r="X27" s="82">
        <v>51476.639999999999</v>
      </c>
      <c r="Y27" s="83">
        <v>85992.9</v>
      </c>
      <c r="Z27" s="82">
        <v>12038.25</v>
      </c>
      <c r="AA27" s="82">
        <v>30031.08</v>
      </c>
      <c r="AB27" s="82">
        <v>14242.88</v>
      </c>
      <c r="AC27" s="82">
        <v>3646.92</v>
      </c>
      <c r="AD27" s="82">
        <v>3386.27</v>
      </c>
      <c r="AE27" s="82">
        <v>4249.01</v>
      </c>
      <c r="AF27" s="82">
        <v>10013.81</v>
      </c>
      <c r="AG27" s="82">
        <v>10244.969999999999</v>
      </c>
      <c r="AH27" s="82">
        <v>48207.42</v>
      </c>
      <c r="AI27" s="82">
        <v>35163.67</v>
      </c>
      <c r="AJ27" s="82">
        <v>103798.14</v>
      </c>
      <c r="AK27" s="82">
        <v>27024.560000000001</v>
      </c>
      <c r="AL27" s="82">
        <v>147314.07</v>
      </c>
      <c r="AM27" s="82">
        <v>77380.73</v>
      </c>
      <c r="AN27" s="82">
        <v>355222.68</v>
      </c>
      <c r="AO27" s="82">
        <v>55760.77</v>
      </c>
      <c r="AP27" s="83">
        <v>394939.6</v>
      </c>
      <c r="AQ27" s="82">
        <v>45318.83</v>
      </c>
      <c r="AR27" s="82">
        <v>353591.68</v>
      </c>
      <c r="AS27" s="82">
        <v>28444.06</v>
      </c>
      <c r="AT27" s="82">
        <v>66572.639999999999</v>
      </c>
      <c r="AU27" s="82">
        <v>16982.990000000002</v>
      </c>
      <c r="AV27" s="82">
        <v>7658.26</v>
      </c>
      <c r="AW27" s="82">
        <v>47690.49</v>
      </c>
      <c r="AX27" s="82">
        <v>16579.259999999998</v>
      </c>
      <c r="AY27" s="82">
        <v>28818.51</v>
      </c>
      <c r="AZ27" s="82">
        <v>12699.63</v>
      </c>
      <c r="BA27" s="82">
        <v>13006.62</v>
      </c>
      <c r="BB27" s="82">
        <v>3597.84</v>
      </c>
      <c r="BC27" s="82">
        <v>17606.61</v>
      </c>
      <c r="BD27" s="82">
        <v>15002.56</v>
      </c>
      <c r="BE27" s="82">
        <v>31316.06</v>
      </c>
      <c r="BF27" s="83">
        <v>66115.899999999994</v>
      </c>
      <c r="BG27" s="82">
        <v>62776.55</v>
      </c>
      <c r="BH27" s="82">
        <v>169047.69</v>
      </c>
      <c r="BI27" s="82">
        <v>48606.32</v>
      </c>
      <c r="BJ27" s="82">
        <v>172793.53</v>
      </c>
      <c r="BK27" s="82">
        <v>98195.06</v>
      </c>
      <c r="BL27" s="83">
        <v>375426.9</v>
      </c>
      <c r="BM27" s="83">
        <v>76392.3</v>
      </c>
      <c r="BN27" s="82">
        <v>296221.15000000002</v>
      </c>
      <c r="BO27" s="82">
        <v>37951.64</v>
      </c>
      <c r="BP27" s="82">
        <v>236687.73</v>
      </c>
      <c r="BQ27" s="82">
        <v>18692.97</v>
      </c>
      <c r="BR27" s="82">
        <v>75716.58</v>
      </c>
      <c r="BS27" s="82">
        <v>28655.55</v>
      </c>
      <c r="BT27" s="82">
        <v>14659.28</v>
      </c>
      <c r="BU27" s="82">
        <v>35686.97</v>
      </c>
      <c r="BV27" s="82">
        <v>16026.08</v>
      </c>
    </row>
    <row r="28" spans="1:74">
      <c r="A28" s="78" t="s">
        <v>488</v>
      </c>
      <c r="B28" s="78" t="s">
        <v>489</v>
      </c>
      <c r="C28" s="84">
        <v>33.6</v>
      </c>
      <c r="D28" s="81">
        <v>8.4600000000000009</v>
      </c>
      <c r="E28" s="81">
        <v>196.76</v>
      </c>
      <c r="F28" s="79" t="s">
        <v>195</v>
      </c>
      <c r="G28" s="81">
        <v>12.94</v>
      </c>
      <c r="H28" s="81">
        <v>0.39</v>
      </c>
      <c r="I28" s="81">
        <v>55.26</v>
      </c>
      <c r="J28" s="81">
        <v>3.22</v>
      </c>
      <c r="K28" s="81">
        <v>48.25</v>
      </c>
      <c r="L28" s="81">
        <v>2.06</v>
      </c>
      <c r="M28" s="81">
        <v>36.619999999999997</v>
      </c>
      <c r="N28" s="84">
        <v>682.6</v>
      </c>
      <c r="O28" s="81">
        <v>35.51</v>
      </c>
      <c r="P28" s="84">
        <v>258.60000000000002</v>
      </c>
      <c r="Q28" s="81">
        <v>279.83999999999997</v>
      </c>
      <c r="R28" s="81">
        <v>1125.08</v>
      </c>
      <c r="S28" s="81">
        <v>966.35</v>
      </c>
      <c r="T28" s="81">
        <v>1047.08</v>
      </c>
      <c r="U28" s="84">
        <v>1688.6</v>
      </c>
      <c r="V28" s="81">
        <v>1110.97</v>
      </c>
      <c r="W28" s="81">
        <v>889.54</v>
      </c>
      <c r="X28" s="81">
        <v>365.94</v>
      </c>
      <c r="Y28" s="81">
        <v>20.27</v>
      </c>
      <c r="Z28" s="81">
        <v>847.49</v>
      </c>
      <c r="AA28" s="81">
        <v>2.0699999999999998</v>
      </c>
      <c r="AB28" s="81">
        <v>0.01</v>
      </c>
      <c r="AC28" s="81">
        <v>1.92</v>
      </c>
      <c r="AD28" s="84">
        <v>0.7</v>
      </c>
      <c r="AE28" s="81">
        <v>4.75</v>
      </c>
      <c r="AF28" s="81">
        <v>2.39</v>
      </c>
      <c r="AG28" s="84">
        <v>294.5</v>
      </c>
      <c r="AH28" s="81">
        <v>846.61</v>
      </c>
      <c r="AI28" s="81">
        <v>4.83</v>
      </c>
      <c r="AJ28" s="81">
        <v>1212.44</v>
      </c>
      <c r="AK28" s="81">
        <v>5.04</v>
      </c>
      <c r="AL28" s="84">
        <v>0</v>
      </c>
      <c r="AM28" s="81">
        <v>393.13</v>
      </c>
      <c r="AN28" s="81">
        <v>1597.15</v>
      </c>
      <c r="AO28" s="84">
        <v>529.9</v>
      </c>
      <c r="AP28" s="81">
        <v>404.53</v>
      </c>
      <c r="AQ28" s="81">
        <v>311.82</v>
      </c>
      <c r="AR28" s="81">
        <v>7664.53</v>
      </c>
      <c r="AS28" s="81">
        <v>1719.97</v>
      </c>
      <c r="AT28" s="81">
        <v>137.22999999999999</v>
      </c>
      <c r="AU28" s="81">
        <v>25.65</v>
      </c>
      <c r="AV28" s="81">
        <v>424.79</v>
      </c>
      <c r="AW28" s="84">
        <v>129.6</v>
      </c>
      <c r="AX28" s="81">
        <v>1960.96</v>
      </c>
      <c r="AY28" s="81">
        <v>3.83</v>
      </c>
      <c r="AZ28" s="81">
        <v>341.47</v>
      </c>
      <c r="BA28" s="81">
        <v>561.41999999999996</v>
      </c>
      <c r="BB28" s="81">
        <v>191.55</v>
      </c>
      <c r="BC28" s="81">
        <v>13.28</v>
      </c>
      <c r="BD28" s="81">
        <v>11.09</v>
      </c>
      <c r="BE28" s="81">
        <v>25.47</v>
      </c>
      <c r="BF28" s="81">
        <v>1.05</v>
      </c>
      <c r="BG28" s="81">
        <v>13.29</v>
      </c>
      <c r="BH28" s="81">
        <v>504.87</v>
      </c>
      <c r="BI28" s="81">
        <v>3.12</v>
      </c>
      <c r="BJ28" s="81">
        <v>172.69</v>
      </c>
      <c r="BK28" s="81">
        <v>2.61</v>
      </c>
      <c r="BL28" s="81">
        <v>23.52</v>
      </c>
      <c r="BM28" s="81">
        <v>555.47</v>
      </c>
      <c r="BN28" s="81">
        <v>307.42</v>
      </c>
      <c r="BO28" s="81">
        <v>20.56</v>
      </c>
      <c r="BP28" s="81">
        <v>1.1100000000000001</v>
      </c>
      <c r="BQ28" s="81">
        <v>448.69</v>
      </c>
      <c r="BR28" s="81">
        <v>4149.88</v>
      </c>
      <c r="BS28" s="81">
        <v>300.17</v>
      </c>
      <c r="BT28" s="84">
        <v>512</v>
      </c>
      <c r="BU28" s="81">
        <v>99.64</v>
      </c>
      <c r="BV28" s="79" t="s">
        <v>195</v>
      </c>
    </row>
    <row r="29" spans="1:74">
      <c r="A29" s="78" t="s">
        <v>490</v>
      </c>
      <c r="B29" s="78" t="s">
        <v>491</v>
      </c>
      <c r="C29" s="80" t="s">
        <v>195</v>
      </c>
      <c r="D29" s="80" t="s">
        <v>195</v>
      </c>
      <c r="E29" s="80" t="s">
        <v>195</v>
      </c>
      <c r="F29" s="80" t="s">
        <v>195</v>
      </c>
      <c r="G29" s="80" t="s">
        <v>195</v>
      </c>
      <c r="H29" s="80" t="s">
        <v>195</v>
      </c>
      <c r="I29" s="80" t="s">
        <v>195</v>
      </c>
      <c r="J29" s="80" t="s">
        <v>195</v>
      </c>
      <c r="K29" s="80" t="s">
        <v>195</v>
      </c>
      <c r="L29" s="80" t="s">
        <v>195</v>
      </c>
      <c r="M29" s="80" t="s">
        <v>195</v>
      </c>
      <c r="N29" s="80" t="s">
        <v>195</v>
      </c>
      <c r="O29" s="80" t="s">
        <v>195</v>
      </c>
      <c r="P29" s="80" t="s">
        <v>195</v>
      </c>
      <c r="Q29" s="80" t="s">
        <v>195</v>
      </c>
      <c r="R29" s="80" t="s">
        <v>195</v>
      </c>
      <c r="S29" s="80" t="s">
        <v>195</v>
      </c>
      <c r="T29" s="80" t="s">
        <v>195</v>
      </c>
      <c r="U29" s="80" t="s">
        <v>195</v>
      </c>
      <c r="V29" s="80" t="s">
        <v>195</v>
      </c>
      <c r="W29" s="80" t="s">
        <v>195</v>
      </c>
      <c r="X29" s="80" t="s">
        <v>195</v>
      </c>
      <c r="Y29" s="80" t="s">
        <v>195</v>
      </c>
      <c r="Z29" s="80" t="s">
        <v>195</v>
      </c>
      <c r="AA29" s="80" t="s">
        <v>195</v>
      </c>
      <c r="AB29" s="80" t="s">
        <v>195</v>
      </c>
      <c r="AC29" s="80" t="s">
        <v>195</v>
      </c>
      <c r="AD29" s="80" t="s">
        <v>195</v>
      </c>
      <c r="AE29" s="80" t="s">
        <v>195</v>
      </c>
      <c r="AF29" s="80" t="s">
        <v>195</v>
      </c>
      <c r="AG29" s="80" t="s">
        <v>195</v>
      </c>
      <c r="AH29" s="80" t="s">
        <v>195</v>
      </c>
      <c r="AI29" s="80" t="s">
        <v>195</v>
      </c>
      <c r="AJ29" s="80" t="s">
        <v>195</v>
      </c>
      <c r="AK29" s="80" t="s">
        <v>195</v>
      </c>
      <c r="AL29" s="80" t="s">
        <v>195</v>
      </c>
      <c r="AM29" s="80" t="s">
        <v>195</v>
      </c>
      <c r="AN29" s="80" t="s">
        <v>195</v>
      </c>
      <c r="AO29" s="80" t="s">
        <v>195</v>
      </c>
      <c r="AP29" s="80" t="s">
        <v>195</v>
      </c>
      <c r="AQ29" s="80" t="s">
        <v>195</v>
      </c>
      <c r="AR29" s="80" t="s">
        <v>195</v>
      </c>
      <c r="AS29" s="80" t="s">
        <v>195</v>
      </c>
      <c r="AT29" s="80" t="s">
        <v>195</v>
      </c>
      <c r="AU29" s="80" t="s">
        <v>195</v>
      </c>
      <c r="AV29" s="80" t="s">
        <v>195</v>
      </c>
      <c r="AW29" s="80" t="s">
        <v>195</v>
      </c>
      <c r="AX29" s="80" t="s">
        <v>195</v>
      </c>
      <c r="AY29" s="80" t="s">
        <v>195</v>
      </c>
      <c r="AZ29" s="80" t="s">
        <v>195</v>
      </c>
      <c r="BA29" s="80" t="s">
        <v>195</v>
      </c>
      <c r="BB29" s="80" t="s">
        <v>195</v>
      </c>
      <c r="BC29" s="80" t="s">
        <v>195</v>
      </c>
      <c r="BD29" s="80" t="s">
        <v>195</v>
      </c>
      <c r="BE29" s="80" t="s">
        <v>195</v>
      </c>
      <c r="BF29" s="80" t="s">
        <v>195</v>
      </c>
      <c r="BG29" s="80" t="s">
        <v>195</v>
      </c>
      <c r="BH29" s="80" t="s">
        <v>195</v>
      </c>
      <c r="BI29" s="80" t="s">
        <v>195</v>
      </c>
      <c r="BJ29" s="80" t="s">
        <v>195</v>
      </c>
      <c r="BK29" s="80" t="s">
        <v>195</v>
      </c>
      <c r="BL29" s="80" t="s">
        <v>195</v>
      </c>
      <c r="BM29" s="80" t="s">
        <v>195</v>
      </c>
      <c r="BN29" s="80" t="s">
        <v>195</v>
      </c>
      <c r="BO29" s="80" t="s">
        <v>195</v>
      </c>
      <c r="BP29" s="80" t="s">
        <v>195</v>
      </c>
      <c r="BQ29" s="80" t="s">
        <v>195</v>
      </c>
      <c r="BR29" s="80" t="s">
        <v>195</v>
      </c>
      <c r="BS29" s="80" t="s">
        <v>195</v>
      </c>
      <c r="BT29" s="80" t="s">
        <v>195</v>
      </c>
      <c r="BU29" s="80" t="s">
        <v>195</v>
      </c>
      <c r="BV29" s="80" t="s">
        <v>195</v>
      </c>
    </row>
    <row r="30" spans="1:74">
      <c r="A30" s="78" t="s">
        <v>492</v>
      </c>
      <c r="B30" s="78" t="s">
        <v>493</v>
      </c>
      <c r="C30" s="81">
        <v>719.21</v>
      </c>
      <c r="D30" s="81">
        <v>29270.240000000002</v>
      </c>
      <c r="E30" s="81">
        <v>185.82</v>
      </c>
      <c r="F30" s="81">
        <v>5405.38</v>
      </c>
      <c r="G30" s="81">
        <v>146.65</v>
      </c>
      <c r="H30" s="81">
        <v>52002.239999999998</v>
      </c>
      <c r="I30" s="81">
        <v>370.52</v>
      </c>
      <c r="J30" s="81">
        <v>22217.96</v>
      </c>
      <c r="K30" s="81">
        <v>411.15</v>
      </c>
      <c r="L30" s="81">
        <v>17080.240000000002</v>
      </c>
      <c r="M30" s="81">
        <v>663.67</v>
      </c>
      <c r="N30" s="81">
        <v>20575.78</v>
      </c>
      <c r="O30" s="81">
        <v>30.34</v>
      </c>
      <c r="P30" s="81">
        <v>15817.45</v>
      </c>
      <c r="Q30" s="81">
        <v>795.48</v>
      </c>
      <c r="R30" s="84">
        <v>39942.6</v>
      </c>
      <c r="S30" s="81">
        <v>1348.79</v>
      </c>
      <c r="T30" s="81">
        <v>41776.06</v>
      </c>
      <c r="U30" s="84">
        <v>3902.9</v>
      </c>
      <c r="V30" s="81">
        <v>30496.44</v>
      </c>
      <c r="W30" s="84">
        <v>1845.9</v>
      </c>
      <c r="X30" s="81">
        <v>57886.42</v>
      </c>
      <c r="Y30" s="81">
        <v>5835.31</v>
      </c>
      <c r="Z30" s="81">
        <v>29712.19</v>
      </c>
      <c r="AA30" s="81">
        <v>498.33</v>
      </c>
      <c r="AB30" s="81">
        <v>941.82</v>
      </c>
      <c r="AC30" s="81">
        <v>531.69000000000005</v>
      </c>
      <c r="AD30" s="81">
        <v>3033.89</v>
      </c>
      <c r="AE30" s="81">
        <v>6.22</v>
      </c>
      <c r="AF30" s="81">
        <v>22308.07</v>
      </c>
      <c r="AG30" s="81">
        <v>1452.72</v>
      </c>
      <c r="AH30" s="81">
        <v>30119.42</v>
      </c>
      <c r="AI30" s="81">
        <v>23.27</v>
      </c>
      <c r="AJ30" s="81">
        <v>5463.33</v>
      </c>
      <c r="AK30" s="81">
        <v>9.06</v>
      </c>
      <c r="AL30" s="81">
        <v>5281.27</v>
      </c>
      <c r="AM30" s="81">
        <v>156.28</v>
      </c>
      <c r="AN30" s="81">
        <v>8032.48</v>
      </c>
      <c r="AO30" s="81">
        <v>389.36</v>
      </c>
      <c r="AP30" s="81">
        <v>26246.05</v>
      </c>
      <c r="AQ30" s="84">
        <v>2773.3</v>
      </c>
      <c r="AR30" s="81">
        <v>22720.080000000002</v>
      </c>
      <c r="AS30" s="81">
        <v>2303.63</v>
      </c>
      <c r="AT30" s="81">
        <v>14132.31</v>
      </c>
      <c r="AU30" s="81">
        <v>6870.79</v>
      </c>
      <c r="AV30" s="81">
        <v>26554.61</v>
      </c>
      <c r="AW30" s="81">
        <v>6172.44</v>
      </c>
      <c r="AX30" s="81">
        <v>20868.28</v>
      </c>
      <c r="AY30" s="81">
        <v>710.07</v>
      </c>
      <c r="AZ30" s="81">
        <v>32142.28</v>
      </c>
      <c r="BA30" s="81">
        <v>245.86</v>
      </c>
      <c r="BB30" s="81">
        <v>25184.77</v>
      </c>
      <c r="BC30" s="81">
        <v>784.24</v>
      </c>
      <c r="BD30" s="84">
        <v>37314.9</v>
      </c>
      <c r="BE30" s="81">
        <v>8.0299999999999994</v>
      </c>
      <c r="BF30" s="81">
        <v>11972.89</v>
      </c>
      <c r="BG30" s="84">
        <v>30.4</v>
      </c>
      <c r="BH30" s="81">
        <v>69359.679999999993</v>
      </c>
      <c r="BI30" s="84">
        <v>275</v>
      </c>
      <c r="BJ30" s="81">
        <v>8775.69</v>
      </c>
      <c r="BK30" s="81">
        <v>700.27</v>
      </c>
      <c r="BL30" s="81">
        <v>97053.28</v>
      </c>
      <c r="BM30" s="81">
        <v>986.94</v>
      </c>
      <c r="BN30" s="81">
        <v>100165.51</v>
      </c>
      <c r="BO30" s="81">
        <v>1172.95</v>
      </c>
      <c r="BP30" s="81">
        <v>115427.75</v>
      </c>
      <c r="BQ30" s="84">
        <v>1706.8</v>
      </c>
      <c r="BR30" s="84">
        <v>77590.399999999994</v>
      </c>
      <c r="BS30" s="81">
        <v>877.88</v>
      </c>
      <c r="BT30" s="81">
        <v>41399.480000000003</v>
      </c>
      <c r="BU30" s="84">
        <v>1252.8</v>
      </c>
      <c r="BV30" s="81">
        <v>50378.29</v>
      </c>
    </row>
    <row r="31" spans="1:74">
      <c r="A31" s="78" t="s">
        <v>494</v>
      </c>
      <c r="B31" s="78" t="s">
        <v>495</v>
      </c>
      <c r="C31" s="83">
        <v>226458.8</v>
      </c>
      <c r="D31" s="82">
        <v>5379710.9400000004</v>
      </c>
      <c r="E31" s="82">
        <v>142537.32999999999</v>
      </c>
      <c r="F31" s="82">
        <v>5059925.95</v>
      </c>
      <c r="G31" s="82">
        <v>158314.16</v>
      </c>
      <c r="H31" s="82">
        <v>5119656.6900000004</v>
      </c>
      <c r="I31" s="82">
        <v>320712.06</v>
      </c>
      <c r="J31" s="82">
        <v>5820091.8099999996</v>
      </c>
      <c r="K31" s="82">
        <v>687615.33</v>
      </c>
      <c r="L31" s="82">
        <v>4474188.09</v>
      </c>
      <c r="M31" s="82">
        <v>750696.46</v>
      </c>
      <c r="N31" s="82">
        <v>2731419.88</v>
      </c>
      <c r="O31" s="82">
        <v>188124.26</v>
      </c>
      <c r="P31" s="82">
        <v>3545448.45</v>
      </c>
      <c r="Q31" s="82">
        <v>174786.25</v>
      </c>
      <c r="R31" s="82">
        <v>3987987.45</v>
      </c>
      <c r="S31" s="82">
        <v>436946.57</v>
      </c>
      <c r="T31" s="82">
        <v>5852954.3499999996</v>
      </c>
      <c r="U31" s="82">
        <v>211412.29</v>
      </c>
      <c r="V31" s="82">
        <v>4170736.95</v>
      </c>
      <c r="W31" s="82">
        <v>244208.91</v>
      </c>
      <c r="X31" s="82">
        <v>5308325.3600000003</v>
      </c>
      <c r="Y31" s="82">
        <v>292465.91999999998</v>
      </c>
      <c r="Z31" s="82">
        <v>6198517.6600000001</v>
      </c>
      <c r="AA31" s="82">
        <v>168146.75</v>
      </c>
      <c r="AB31" s="82">
        <v>3435125.09</v>
      </c>
      <c r="AC31" s="82">
        <v>257877.32</v>
      </c>
      <c r="AD31" s="82">
        <v>3228056.54</v>
      </c>
      <c r="AE31" s="82">
        <v>174119.99</v>
      </c>
      <c r="AF31" s="82">
        <v>2487858.12</v>
      </c>
      <c r="AG31" s="82">
        <v>174909.64</v>
      </c>
      <c r="AH31" s="82">
        <v>3819358.14</v>
      </c>
      <c r="AI31" s="83">
        <v>977320.3</v>
      </c>
      <c r="AJ31" s="82">
        <v>2694278.58</v>
      </c>
      <c r="AK31" s="82">
        <v>408712.08</v>
      </c>
      <c r="AL31" s="82">
        <v>2096351.76</v>
      </c>
      <c r="AM31" s="82">
        <v>1030677.85</v>
      </c>
      <c r="AN31" s="82">
        <v>2839616.75</v>
      </c>
      <c r="AO31" s="83">
        <v>541344.9</v>
      </c>
      <c r="AP31" s="82">
        <v>3108516.47</v>
      </c>
      <c r="AQ31" s="82">
        <v>537033.52</v>
      </c>
      <c r="AR31" s="82">
        <v>4268343.6500000004</v>
      </c>
      <c r="AS31" s="82">
        <v>173132.01</v>
      </c>
      <c r="AT31" s="82">
        <v>3756453.87</v>
      </c>
      <c r="AU31" s="82">
        <v>1105431.3600000001</v>
      </c>
      <c r="AV31" s="82">
        <v>3292843.77</v>
      </c>
      <c r="AW31" s="82">
        <v>840250.85</v>
      </c>
      <c r="AX31" s="82">
        <v>3872814.71</v>
      </c>
      <c r="AY31" s="82">
        <v>294163.12</v>
      </c>
      <c r="AZ31" s="82">
        <v>2055171.96</v>
      </c>
      <c r="BA31" s="82">
        <v>374743.11</v>
      </c>
      <c r="BB31" s="82">
        <v>2248873.98</v>
      </c>
      <c r="BC31" s="83">
        <v>98830</v>
      </c>
      <c r="BD31" s="82">
        <v>2418438.14</v>
      </c>
      <c r="BE31" s="83">
        <v>397656.9</v>
      </c>
      <c r="BF31" s="82">
        <v>3849111.82</v>
      </c>
      <c r="BG31" s="82">
        <v>688002.64</v>
      </c>
      <c r="BH31" s="82">
        <v>3674537.41</v>
      </c>
      <c r="BI31" s="82">
        <v>205998.59</v>
      </c>
      <c r="BJ31" s="82">
        <v>3160160.91</v>
      </c>
      <c r="BK31" s="82">
        <v>78612.63</v>
      </c>
      <c r="BL31" s="82">
        <v>3175317.68</v>
      </c>
      <c r="BM31" s="82">
        <v>145130.12</v>
      </c>
      <c r="BN31" s="82">
        <v>3574356.19</v>
      </c>
      <c r="BO31" s="82">
        <v>100087.69</v>
      </c>
      <c r="BP31" s="82">
        <v>3953412.94</v>
      </c>
      <c r="BQ31" s="82">
        <v>77051.94</v>
      </c>
      <c r="BR31" s="82">
        <v>4209448.22</v>
      </c>
      <c r="BS31" s="82">
        <v>249762.81</v>
      </c>
      <c r="BT31" s="82">
        <v>3262472.86</v>
      </c>
      <c r="BU31" s="82">
        <v>74514.19</v>
      </c>
      <c r="BV31" s="82">
        <v>3368639.67</v>
      </c>
    </row>
    <row r="32" spans="1:74">
      <c r="A32" s="78" t="s">
        <v>496</v>
      </c>
      <c r="B32" s="78" t="s">
        <v>497</v>
      </c>
      <c r="C32" s="79" t="s">
        <v>195</v>
      </c>
      <c r="D32" s="79" t="s">
        <v>195</v>
      </c>
      <c r="E32" s="84">
        <v>0.3</v>
      </c>
      <c r="F32" s="81">
        <v>136.25</v>
      </c>
      <c r="G32" s="84">
        <v>90</v>
      </c>
      <c r="H32" s="79" t="s">
        <v>195</v>
      </c>
      <c r="I32" s="79" t="s">
        <v>195</v>
      </c>
      <c r="J32" s="79" t="s">
        <v>195</v>
      </c>
      <c r="K32" s="81">
        <v>8.6199999999999992</v>
      </c>
      <c r="L32" s="81">
        <v>4.92</v>
      </c>
      <c r="M32" s="84">
        <v>24.6</v>
      </c>
      <c r="N32" s="79" t="s">
        <v>195</v>
      </c>
      <c r="O32" s="79" t="s">
        <v>195</v>
      </c>
      <c r="P32" s="81">
        <v>2.37</v>
      </c>
      <c r="Q32" s="79" t="s">
        <v>195</v>
      </c>
      <c r="R32" s="79" t="s">
        <v>195</v>
      </c>
      <c r="S32" s="81">
        <v>2391.86</v>
      </c>
      <c r="T32" s="84">
        <v>0.5</v>
      </c>
      <c r="U32" s="84">
        <v>5409</v>
      </c>
      <c r="V32" s="81">
        <v>250.69</v>
      </c>
      <c r="W32" s="81">
        <v>911.25</v>
      </c>
      <c r="X32" s="79" t="s">
        <v>195</v>
      </c>
      <c r="Y32" s="81">
        <v>316.83999999999997</v>
      </c>
      <c r="Z32" s="81">
        <v>0.74</v>
      </c>
      <c r="AA32" s="84">
        <v>1.3</v>
      </c>
      <c r="AB32" s="84">
        <v>1045</v>
      </c>
      <c r="AC32" s="84">
        <v>1085.2</v>
      </c>
      <c r="AD32" s="81">
        <v>264.81</v>
      </c>
      <c r="AE32" s="81">
        <v>13.55</v>
      </c>
      <c r="AF32" s="84">
        <v>0.3</v>
      </c>
      <c r="AG32" s="84">
        <v>42.2</v>
      </c>
      <c r="AH32" s="81">
        <v>1.24</v>
      </c>
      <c r="AI32" s="79" t="s">
        <v>195</v>
      </c>
      <c r="AJ32" s="81">
        <v>0.91</v>
      </c>
      <c r="AK32" s="79" t="s">
        <v>195</v>
      </c>
      <c r="AL32" s="84">
        <v>0.6</v>
      </c>
      <c r="AM32" s="79" t="s">
        <v>195</v>
      </c>
      <c r="AN32" s="84">
        <v>1.7</v>
      </c>
      <c r="AO32" s="84">
        <v>287.10000000000002</v>
      </c>
      <c r="AP32" s="81">
        <v>0.56000000000000005</v>
      </c>
      <c r="AQ32" s="81">
        <v>984.68</v>
      </c>
      <c r="AR32" s="84">
        <v>1.5</v>
      </c>
      <c r="AS32" s="84">
        <v>3541.8</v>
      </c>
      <c r="AT32" s="84">
        <v>244</v>
      </c>
      <c r="AU32" s="84">
        <v>1886.8</v>
      </c>
      <c r="AV32" s="81">
        <v>242.54</v>
      </c>
      <c r="AW32" s="81">
        <v>1.65</v>
      </c>
      <c r="AX32" s="81">
        <v>1.24</v>
      </c>
      <c r="AY32" s="79" t="s">
        <v>195</v>
      </c>
      <c r="AZ32" s="81">
        <v>60.34</v>
      </c>
      <c r="BA32" s="81">
        <v>47.53</v>
      </c>
      <c r="BB32" s="81">
        <v>1.32</v>
      </c>
      <c r="BC32" s="79" t="s">
        <v>195</v>
      </c>
      <c r="BD32" s="81">
        <v>0.43</v>
      </c>
      <c r="BE32" s="79" t="s">
        <v>195</v>
      </c>
      <c r="BF32" s="81">
        <v>0.26</v>
      </c>
      <c r="BG32" s="79" t="s">
        <v>195</v>
      </c>
      <c r="BH32" s="79" t="s">
        <v>195</v>
      </c>
      <c r="BI32" s="79" t="s">
        <v>195</v>
      </c>
      <c r="BJ32" s="81">
        <v>0.43</v>
      </c>
      <c r="BK32" s="79" t="s">
        <v>195</v>
      </c>
      <c r="BL32" s="81">
        <v>0.73</v>
      </c>
      <c r="BM32" s="79" t="s">
        <v>195</v>
      </c>
      <c r="BN32" s="79" t="s">
        <v>195</v>
      </c>
      <c r="BO32" s="84">
        <v>0.4</v>
      </c>
      <c r="BP32" s="81">
        <v>0.73</v>
      </c>
      <c r="BQ32" s="84">
        <v>1487</v>
      </c>
      <c r="BR32" s="79" t="s">
        <v>195</v>
      </c>
      <c r="BS32" s="84">
        <v>2548.5</v>
      </c>
      <c r="BT32" s="79" t="s">
        <v>195</v>
      </c>
      <c r="BU32" s="84">
        <v>3512</v>
      </c>
      <c r="BV32" s="84">
        <v>360</v>
      </c>
    </row>
    <row r="33" spans="1:74">
      <c r="A33" s="78" t="s">
        <v>498</v>
      </c>
      <c r="B33" s="78" t="s">
        <v>499</v>
      </c>
      <c r="C33" s="82">
        <v>65.55</v>
      </c>
      <c r="D33" s="83">
        <v>6358.1</v>
      </c>
      <c r="E33" s="83">
        <v>43.2</v>
      </c>
      <c r="F33" s="82">
        <v>798.53</v>
      </c>
      <c r="G33" s="82">
        <v>21.84</v>
      </c>
      <c r="H33" s="83">
        <v>1450.3</v>
      </c>
      <c r="I33" s="83">
        <v>14.4</v>
      </c>
      <c r="J33" s="82">
        <v>246.46</v>
      </c>
      <c r="K33" s="83">
        <v>43.8</v>
      </c>
      <c r="L33" s="83">
        <v>14.3</v>
      </c>
      <c r="M33" s="82">
        <v>72.75</v>
      </c>
      <c r="N33" s="83">
        <v>10.5</v>
      </c>
      <c r="O33" s="82">
        <v>65.66</v>
      </c>
      <c r="P33" s="82">
        <v>7.55</v>
      </c>
      <c r="Q33" s="82">
        <v>40.92</v>
      </c>
      <c r="R33" s="82">
        <v>218.68</v>
      </c>
      <c r="S33" s="83">
        <v>21.4</v>
      </c>
      <c r="T33" s="82">
        <v>4559.5200000000004</v>
      </c>
      <c r="U33" s="82">
        <v>37.729999999999997</v>
      </c>
      <c r="V33" s="83">
        <v>261.39999999999998</v>
      </c>
      <c r="W33" s="82">
        <v>76.069999999999993</v>
      </c>
      <c r="X33" s="82">
        <v>2871.06</v>
      </c>
      <c r="Y33" s="82">
        <v>59.27</v>
      </c>
      <c r="Z33" s="83">
        <v>3514.5</v>
      </c>
      <c r="AA33" s="80" t="s">
        <v>195</v>
      </c>
      <c r="AB33" s="80" t="s">
        <v>195</v>
      </c>
      <c r="AC33" s="80" t="s">
        <v>195</v>
      </c>
      <c r="AD33" s="80" t="s">
        <v>195</v>
      </c>
      <c r="AE33" s="80" t="s">
        <v>195</v>
      </c>
      <c r="AF33" s="80" t="s">
        <v>195</v>
      </c>
      <c r="AG33" s="80" t="s">
        <v>195</v>
      </c>
      <c r="AH33" s="80" t="s">
        <v>195</v>
      </c>
      <c r="AI33" s="80" t="s">
        <v>195</v>
      </c>
      <c r="AJ33" s="80" t="s">
        <v>195</v>
      </c>
      <c r="AK33" s="80" t="s">
        <v>195</v>
      </c>
      <c r="AL33" s="80" t="s">
        <v>195</v>
      </c>
      <c r="AM33" s="80" t="s">
        <v>195</v>
      </c>
      <c r="AN33" s="80" t="s">
        <v>195</v>
      </c>
      <c r="AO33" s="80" t="s">
        <v>195</v>
      </c>
      <c r="AP33" s="80" t="s">
        <v>195</v>
      </c>
      <c r="AQ33" s="80" t="s">
        <v>195</v>
      </c>
      <c r="AR33" s="80" t="s">
        <v>195</v>
      </c>
      <c r="AS33" s="80" t="s">
        <v>195</v>
      </c>
      <c r="AT33" s="80" t="s">
        <v>195</v>
      </c>
      <c r="AU33" s="80" t="s">
        <v>195</v>
      </c>
      <c r="AV33" s="80" t="s">
        <v>195</v>
      </c>
      <c r="AW33" s="80" t="s">
        <v>195</v>
      </c>
      <c r="AX33" s="80" t="s">
        <v>195</v>
      </c>
      <c r="AY33" s="80" t="s">
        <v>195</v>
      </c>
      <c r="AZ33" s="80" t="s">
        <v>195</v>
      </c>
      <c r="BA33" s="80" t="s">
        <v>195</v>
      </c>
      <c r="BB33" s="80" t="s">
        <v>195</v>
      </c>
      <c r="BC33" s="80" t="s">
        <v>195</v>
      </c>
      <c r="BD33" s="80" t="s">
        <v>195</v>
      </c>
      <c r="BE33" s="80" t="s">
        <v>195</v>
      </c>
      <c r="BF33" s="80" t="s">
        <v>195</v>
      </c>
      <c r="BG33" s="80" t="s">
        <v>195</v>
      </c>
      <c r="BH33" s="80" t="s">
        <v>195</v>
      </c>
      <c r="BI33" s="80" t="s">
        <v>195</v>
      </c>
      <c r="BJ33" s="80" t="s">
        <v>195</v>
      </c>
      <c r="BK33" s="80" t="s">
        <v>195</v>
      </c>
      <c r="BL33" s="80" t="s">
        <v>195</v>
      </c>
      <c r="BM33" s="80" t="s">
        <v>195</v>
      </c>
      <c r="BN33" s="80" t="s">
        <v>195</v>
      </c>
      <c r="BO33" s="80" t="s">
        <v>195</v>
      </c>
      <c r="BP33" s="80" t="s">
        <v>195</v>
      </c>
      <c r="BQ33" s="80" t="s">
        <v>195</v>
      </c>
      <c r="BR33" s="80" t="s">
        <v>195</v>
      </c>
      <c r="BS33" s="80" t="s">
        <v>195</v>
      </c>
      <c r="BT33" s="80" t="s">
        <v>195</v>
      </c>
      <c r="BU33" s="80" t="s">
        <v>195</v>
      </c>
      <c r="BV33" s="80" t="s">
        <v>195</v>
      </c>
    </row>
    <row r="34" spans="1:74">
      <c r="A34" s="78" t="s">
        <v>500</v>
      </c>
      <c r="B34" s="78" t="s">
        <v>501</v>
      </c>
      <c r="C34" s="81">
        <v>439.66</v>
      </c>
      <c r="D34" s="81">
        <v>2.58</v>
      </c>
      <c r="E34" s="81">
        <v>30.56</v>
      </c>
      <c r="F34" s="81">
        <v>1.01</v>
      </c>
      <c r="G34" s="84">
        <v>38.299999999999997</v>
      </c>
      <c r="H34" s="81">
        <v>0.63</v>
      </c>
      <c r="I34" s="84">
        <v>134.80000000000001</v>
      </c>
      <c r="J34" s="81">
        <v>0.15</v>
      </c>
      <c r="K34" s="84">
        <v>186.3</v>
      </c>
      <c r="L34" s="81">
        <v>2.27</v>
      </c>
      <c r="M34" s="81">
        <v>467.95</v>
      </c>
      <c r="N34" s="81">
        <v>0.05</v>
      </c>
      <c r="O34" s="81">
        <v>564.01</v>
      </c>
      <c r="P34" s="81">
        <v>0.03</v>
      </c>
      <c r="Q34" s="81">
        <v>256.13</v>
      </c>
      <c r="R34" s="81">
        <v>0.15</v>
      </c>
      <c r="S34" s="81">
        <v>273.54000000000002</v>
      </c>
      <c r="T34" s="81">
        <v>0.79</v>
      </c>
      <c r="U34" s="81">
        <v>32.79</v>
      </c>
      <c r="V34" s="81">
        <v>0.06</v>
      </c>
      <c r="W34" s="84">
        <v>314.8</v>
      </c>
      <c r="X34" s="81">
        <v>1.64</v>
      </c>
      <c r="Y34" s="81">
        <v>677.44</v>
      </c>
      <c r="Z34" s="81">
        <v>1.32</v>
      </c>
      <c r="AA34" s="79" t="s">
        <v>195</v>
      </c>
      <c r="AB34" s="79" t="s">
        <v>195</v>
      </c>
      <c r="AC34" s="79" t="s">
        <v>195</v>
      </c>
      <c r="AD34" s="79" t="s">
        <v>195</v>
      </c>
      <c r="AE34" s="79" t="s">
        <v>195</v>
      </c>
      <c r="AF34" s="79" t="s">
        <v>195</v>
      </c>
      <c r="AG34" s="79" t="s">
        <v>195</v>
      </c>
      <c r="AH34" s="79" t="s">
        <v>195</v>
      </c>
      <c r="AI34" s="79" t="s">
        <v>195</v>
      </c>
      <c r="AJ34" s="79" t="s">
        <v>195</v>
      </c>
      <c r="AK34" s="79" t="s">
        <v>195</v>
      </c>
      <c r="AL34" s="79" t="s">
        <v>195</v>
      </c>
      <c r="AM34" s="79" t="s">
        <v>195</v>
      </c>
      <c r="AN34" s="79" t="s">
        <v>195</v>
      </c>
      <c r="AO34" s="79" t="s">
        <v>195</v>
      </c>
      <c r="AP34" s="79" t="s">
        <v>195</v>
      </c>
      <c r="AQ34" s="79" t="s">
        <v>195</v>
      </c>
      <c r="AR34" s="79" t="s">
        <v>195</v>
      </c>
      <c r="AS34" s="79" t="s">
        <v>195</v>
      </c>
      <c r="AT34" s="79" t="s">
        <v>195</v>
      </c>
      <c r="AU34" s="79" t="s">
        <v>195</v>
      </c>
      <c r="AV34" s="79" t="s">
        <v>195</v>
      </c>
      <c r="AW34" s="79" t="s">
        <v>195</v>
      </c>
      <c r="AX34" s="79" t="s">
        <v>195</v>
      </c>
      <c r="AY34" s="79" t="s">
        <v>195</v>
      </c>
      <c r="AZ34" s="79" t="s">
        <v>195</v>
      </c>
      <c r="BA34" s="79" t="s">
        <v>195</v>
      </c>
      <c r="BB34" s="79" t="s">
        <v>195</v>
      </c>
      <c r="BC34" s="79" t="s">
        <v>195</v>
      </c>
      <c r="BD34" s="79" t="s">
        <v>195</v>
      </c>
      <c r="BE34" s="79" t="s">
        <v>195</v>
      </c>
      <c r="BF34" s="79" t="s">
        <v>195</v>
      </c>
      <c r="BG34" s="79" t="s">
        <v>195</v>
      </c>
      <c r="BH34" s="79" t="s">
        <v>195</v>
      </c>
      <c r="BI34" s="79" t="s">
        <v>195</v>
      </c>
      <c r="BJ34" s="79" t="s">
        <v>195</v>
      </c>
      <c r="BK34" s="79" t="s">
        <v>195</v>
      </c>
      <c r="BL34" s="79" t="s">
        <v>195</v>
      </c>
      <c r="BM34" s="79" t="s">
        <v>195</v>
      </c>
      <c r="BN34" s="79" t="s">
        <v>195</v>
      </c>
      <c r="BO34" s="79" t="s">
        <v>195</v>
      </c>
      <c r="BP34" s="79" t="s">
        <v>195</v>
      </c>
      <c r="BQ34" s="79" t="s">
        <v>195</v>
      </c>
      <c r="BR34" s="79" t="s">
        <v>195</v>
      </c>
      <c r="BS34" s="79" t="s">
        <v>195</v>
      </c>
      <c r="BT34" s="79" t="s">
        <v>195</v>
      </c>
      <c r="BU34" s="79" t="s">
        <v>195</v>
      </c>
      <c r="BV34" s="79" t="s">
        <v>195</v>
      </c>
    </row>
    <row r="35" spans="1:74">
      <c r="A35" s="78" t="s">
        <v>502</v>
      </c>
      <c r="B35" s="78" t="s">
        <v>503</v>
      </c>
      <c r="C35" s="80" t="s">
        <v>195</v>
      </c>
      <c r="D35" s="80" t="s">
        <v>195</v>
      </c>
      <c r="E35" s="80" t="s">
        <v>195</v>
      </c>
      <c r="F35" s="80" t="s">
        <v>195</v>
      </c>
      <c r="G35" s="80" t="s">
        <v>195</v>
      </c>
      <c r="H35" s="83">
        <v>1340</v>
      </c>
      <c r="I35" s="80" t="s">
        <v>195</v>
      </c>
      <c r="J35" s="83">
        <v>17887.2</v>
      </c>
      <c r="K35" s="80" t="s">
        <v>195</v>
      </c>
      <c r="L35" s="80" t="s">
        <v>195</v>
      </c>
      <c r="M35" s="80" t="s">
        <v>195</v>
      </c>
      <c r="N35" s="80" t="s">
        <v>195</v>
      </c>
      <c r="O35" s="80" t="s">
        <v>195</v>
      </c>
      <c r="P35" s="83">
        <v>8683.6</v>
      </c>
      <c r="Q35" s="80" t="s">
        <v>195</v>
      </c>
      <c r="R35" s="83">
        <v>2841.8</v>
      </c>
      <c r="S35" s="80" t="s">
        <v>195</v>
      </c>
      <c r="T35" s="83">
        <v>5424.4</v>
      </c>
      <c r="U35" s="83">
        <v>480</v>
      </c>
      <c r="V35" s="83">
        <v>7857.4</v>
      </c>
      <c r="W35" s="83">
        <v>480</v>
      </c>
      <c r="X35" s="83">
        <v>931.2</v>
      </c>
      <c r="Y35" s="83">
        <v>240</v>
      </c>
      <c r="Z35" s="80" t="s">
        <v>195</v>
      </c>
      <c r="AA35" s="80" t="s">
        <v>195</v>
      </c>
      <c r="AB35" s="80" t="s">
        <v>195</v>
      </c>
      <c r="AC35" s="80" t="s">
        <v>195</v>
      </c>
      <c r="AD35" s="80" t="s">
        <v>195</v>
      </c>
      <c r="AE35" s="80" t="s">
        <v>195</v>
      </c>
      <c r="AF35" s="80" t="s">
        <v>195</v>
      </c>
      <c r="AG35" s="80" t="s">
        <v>195</v>
      </c>
      <c r="AH35" s="80" t="s">
        <v>195</v>
      </c>
      <c r="AI35" s="80" t="s">
        <v>195</v>
      </c>
      <c r="AJ35" s="80" t="s">
        <v>195</v>
      </c>
      <c r="AK35" s="80" t="s">
        <v>195</v>
      </c>
      <c r="AL35" s="80" t="s">
        <v>195</v>
      </c>
      <c r="AM35" s="80" t="s">
        <v>195</v>
      </c>
      <c r="AN35" s="80" t="s">
        <v>195</v>
      </c>
      <c r="AO35" s="80" t="s">
        <v>195</v>
      </c>
      <c r="AP35" s="80" t="s">
        <v>195</v>
      </c>
      <c r="AQ35" s="80" t="s">
        <v>195</v>
      </c>
      <c r="AR35" s="80" t="s">
        <v>195</v>
      </c>
      <c r="AS35" s="80" t="s">
        <v>195</v>
      </c>
      <c r="AT35" s="80" t="s">
        <v>195</v>
      </c>
      <c r="AU35" s="80" t="s">
        <v>195</v>
      </c>
      <c r="AV35" s="80" t="s">
        <v>195</v>
      </c>
      <c r="AW35" s="80" t="s">
        <v>195</v>
      </c>
      <c r="AX35" s="80" t="s">
        <v>195</v>
      </c>
      <c r="AY35" s="80" t="s">
        <v>195</v>
      </c>
      <c r="AZ35" s="80" t="s">
        <v>195</v>
      </c>
      <c r="BA35" s="80" t="s">
        <v>195</v>
      </c>
      <c r="BB35" s="80" t="s">
        <v>195</v>
      </c>
      <c r="BC35" s="80" t="s">
        <v>195</v>
      </c>
      <c r="BD35" s="80" t="s">
        <v>195</v>
      </c>
      <c r="BE35" s="80" t="s">
        <v>195</v>
      </c>
      <c r="BF35" s="80" t="s">
        <v>195</v>
      </c>
      <c r="BG35" s="80" t="s">
        <v>195</v>
      </c>
      <c r="BH35" s="80" t="s">
        <v>195</v>
      </c>
      <c r="BI35" s="80" t="s">
        <v>195</v>
      </c>
      <c r="BJ35" s="80" t="s">
        <v>195</v>
      </c>
      <c r="BK35" s="80" t="s">
        <v>195</v>
      </c>
      <c r="BL35" s="80" t="s">
        <v>195</v>
      </c>
      <c r="BM35" s="80" t="s">
        <v>195</v>
      </c>
      <c r="BN35" s="80" t="s">
        <v>195</v>
      </c>
      <c r="BO35" s="80" t="s">
        <v>195</v>
      </c>
      <c r="BP35" s="80" t="s">
        <v>195</v>
      </c>
      <c r="BQ35" s="80" t="s">
        <v>195</v>
      </c>
      <c r="BR35" s="80" t="s">
        <v>195</v>
      </c>
      <c r="BS35" s="80" t="s">
        <v>195</v>
      </c>
      <c r="BT35" s="80" t="s">
        <v>195</v>
      </c>
      <c r="BU35" s="80" t="s">
        <v>195</v>
      </c>
      <c r="BV35" s="80" t="s">
        <v>195</v>
      </c>
    </row>
    <row r="36" spans="1:74">
      <c r="A36" s="78" t="s">
        <v>504</v>
      </c>
      <c r="B36" s="78" t="s">
        <v>505</v>
      </c>
      <c r="C36" s="79" t="s">
        <v>195</v>
      </c>
      <c r="D36" s="79" t="s">
        <v>195</v>
      </c>
      <c r="E36" s="79" t="s">
        <v>195</v>
      </c>
      <c r="F36" s="79" t="s">
        <v>195</v>
      </c>
      <c r="G36" s="79" t="s">
        <v>195</v>
      </c>
      <c r="H36" s="79" t="s">
        <v>195</v>
      </c>
      <c r="I36" s="79" t="s">
        <v>195</v>
      </c>
      <c r="J36" s="79" t="s">
        <v>195</v>
      </c>
      <c r="K36" s="79" t="s">
        <v>195</v>
      </c>
      <c r="L36" s="79" t="s">
        <v>195</v>
      </c>
      <c r="M36" s="79" t="s">
        <v>195</v>
      </c>
      <c r="N36" s="79" t="s">
        <v>195</v>
      </c>
      <c r="O36" s="79" t="s">
        <v>195</v>
      </c>
      <c r="P36" s="79" t="s">
        <v>195</v>
      </c>
      <c r="Q36" s="79" t="s">
        <v>195</v>
      </c>
      <c r="R36" s="79" t="s">
        <v>195</v>
      </c>
      <c r="S36" s="79" t="s">
        <v>195</v>
      </c>
      <c r="T36" s="79" t="s">
        <v>195</v>
      </c>
      <c r="U36" s="79" t="s">
        <v>195</v>
      </c>
      <c r="V36" s="79" t="s">
        <v>195</v>
      </c>
      <c r="W36" s="79" t="s">
        <v>195</v>
      </c>
      <c r="X36" s="81">
        <v>0.33</v>
      </c>
      <c r="Y36" s="81">
        <v>0.12</v>
      </c>
      <c r="Z36" s="79" t="s">
        <v>195</v>
      </c>
      <c r="AA36" s="79" t="s">
        <v>195</v>
      </c>
      <c r="AB36" s="79" t="s">
        <v>195</v>
      </c>
      <c r="AC36" s="79" t="s">
        <v>195</v>
      </c>
      <c r="AD36" s="79" t="s">
        <v>195</v>
      </c>
      <c r="AE36" s="79" t="s">
        <v>195</v>
      </c>
      <c r="AF36" s="79" t="s">
        <v>195</v>
      </c>
      <c r="AG36" s="79" t="s">
        <v>195</v>
      </c>
      <c r="AH36" s="79" t="s">
        <v>195</v>
      </c>
      <c r="AI36" s="79" t="s">
        <v>195</v>
      </c>
      <c r="AJ36" s="79" t="s">
        <v>195</v>
      </c>
      <c r="AK36" s="79" t="s">
        <v>195</v>
      </c>
      <c r="AL36" s="79" t="s">
        <v>195</v>
      </c>
      <c r="AM36" s="79" t="s">
        <v>195</v>
      </c>
      <c r="AN36" s="79" t="s">
        <v>195</v>
      </c>
      <c r="AO36" s="79" t="s">
        <v>195</v>
      </c>
      <c r="AP36" s="79" t="s">
        <v>195</v>
      </c>
      <c r="AQ36" s="79" t="s">
        <v>195</v>
      </c>
      <c r="AR36" s="79" t="s">
        <v>195</v>
      </c>
      <c r="AS36" s="79" t="s">
        <v>195</v>
      </c>
      <c r="AT36" s="79" t="s">
        <v>195</v>
      </c>
      <c r="AU36" s="79" t="s">
        <v>195</v>
      </c>
      <c r="AV36" s="79" t="s">
        <v>195</v>
      </c>
      <c r="AW36" s="79" t="s">
        <v>195</v>
      </c>
      <c r="AX36" s="79" t="s">
        <v>195</v>
      </c>
      <c r="AY36" s="79" t="s">
        <v>195</v>
      </c>
      <c r="AZ36" s="79" t="s">
        <v>195</v>
      </c>
      <c r="BA36" s="79" t="s">
        <v>195</v>
      </c>
      <c r="BB36" s="79" t="s">
        <v>195</v>
      </c>
      <c r="BC36" s="79" t="s">
        <v>195</v>
      </c>
      <c r="BD36" s="79" t="s">
        <v>195</v>
      </c>
      <c r="BE36" s="79" t="s">
        <v>195</v>
      </c>
      <c r="BF36" s="79" t="s">
        <v>195</v>
      </c>
      <c r="BG36" s="79" t="s">
        <v>195</v>
      </c>
      <c r="BH36" s="79" t="s">
        <v>195</v>
      </c>
      <c r="BI36" s="79" t="s">
        <v>195</v>
      </c>
      <c r="BJ36" s="79" t="s">
        <v>195</v>
      </c>
      <c r="BK36" s="79" t="s">
        <v>195</v>
      </c>
      <c r="BL36" s="79" t="s">
        <v>195</v>
      </c>
      <c r="BM36" s="79" t="s">
        <v>195</v>
      </c>
      <c r="BN36" s="79" t="s">
        <v>195</v>
      </c>
      <c r="BO36" s="79" t="s">
        <v>195</v>
      </c>
      <c r="BP36" s="79" t="s">
        <v>195</v>
      </c>
      <c r="BQ36" s="79" t="s">
        <v>195</v>
      </c>
      <c r="BR36" s="79" t="s">
        <v>195</v>
      </c>
      <c r="BS36" s="79" t="s">
        <v>195</v>
      </c>
      <c r="BT36" s="79" t="s">
        <v>195</v>
      </c>
      <c r="BU36" s="79" t="s">
        <v>195</v>
      </c>
      <c r="BV36" s="79" t="s">
        <v>195</v>
      </c>
    </row>
    <row r="37" spans="1:74">
      <c r="A37" s="78" t="s">
        <v>506</v>
      </c>
      <c r="B37" s="78" t="s">
        <v>507</v>
      </c>
      <c r="C37" s="80" t="s">
        <v>195</v>
      </c>
      <c r="D37" s="80" t="s">
        <v>195</v>
      </c>
      <c r="E37" s="80" t="s">
        <v>195</v>
      </c>
      <c r="F37" s="80" t="s">
        <v>195</v>
      </c>
      <c r="G37" s="80" t="s">
        <v>195</v>
      </c>
      <c r="H37" s="80" t="s">
        <v>195</v>
      </c>
      <c r="I37" s="80" t="s">
        <v>195</v>
      </c>
      <c r="J37" s="80" t="s">
        <v>195</v>
      </c>
      <c r="K37" s="80" t="s">
        <v>195</v>
      </c>
      <c r="L37" s="80" t="s">
        <v>195</v>
      </c>
      <c r="M37" s="80" t="s">
        <v>195</v>
      </c>
      <c r="N37" s="80" t="s">
        <v>195</v>
      </c>
      <c r="O37" s="80" t="s">
        <v>195</v>
      </c>
      <c r="P37" s="80" t="s">
        <v>195</v>
      </c>
      <c r="Q37" s="80" t="s">
        <v>195</v>
      </c>
      <c r="R37" s="80" t="s">
        <v>195</v>
      </c>
      <c r="S37" s="80" t="s">
        <v>195</v>
      </c>
      <c r="T37" s="80" t="s">
        <v>195</v>
      </c>
      <c r="U37" s="80" t="s">
        <v>195</v>
      </c>
      <c r="V37" s="80" t="s">
        <v>195</v>
      </c>
      <c r="W37" s="80" t="s">
        <v>195</v>
      </c>
      <c r="X37" s="80" t="s">
        <v>195</v>
      </c>
      <c r="Y37" s="80" t="s">
        <v>195</v>
      </c>
      <c r="Z37" s="80" t="s">
        <v>195</v>
      </c>
      <c r="AA37" s="82">
        <v>536.65</v>
      </c>
      <c r="AB37" s="82">
        <v>10566.01</v>
      </c>
      <c r="AC37" s="82">
        <v>517.16999999999996</v>
      </c>
      <c r="AD37" s="83">
        <v>2326.8000000000002</v>
      </c>
      <c r="AE37" s="82">
        <v>312.56</v>
      </c>
      <c r="AF37" s="82">
        <v>956.26</v>
      </c>
      <c r="AG37" s="82">
        <v>525.26</v>
      </c>
      <c r="AH37" s="82">
        <v>3413.28</v>
      </c>
      <c r="AI37" s="82">
        <v>74.22</v>
      </c>
      <c r="AJ37" s="82">
        <v>2499.37</v>
      </c>
      <c r="AK37" s="82">
        <v>109.79</v>
      </c>
      <c r="AL37" s="82">
        <v>1189.04</v>
      </c>
      <c r="AM37" s="82">
        <v>319.11</v>
      </c>
      <c r="AN37" s="83">
        <v>6880.6</v>
      </c>
      <c r="AO37" s="82">
        <v>283.83999999999997</v>
      </c>
      <c r="AP37" s="82">
        <v>7073.26</v>
      </c>
      <c r="AQ37" s="82">
        <v>2155.1799999999998</v>
      </c>
      <c r="AR37" s="82">
        <v>3769.83</v>
      </c>
      <c r="AS37" s="82">
        <v>1760.61</v>
      </c>
      <c r="AT37" s="83">
        <v>10870.4</v>
      </c>
      <c r="AU37" s="82">
        <v>249.96</v>
      </c>
      <c r="AV37" s="83">
        <v>6827.2</v>
      </c>
      <c r="AW37" s="82">
        <v>641.69000000000005</v>
      </c>
      <c r="AX37" s="83">
        <v>4285.2</v>
      </c>
      <c r="AY37" s="82">
        <v>979.53</v>
      </c>
      <c r="AZ37" s="80" t="s">
        <v>195</v>
      </c>
      <c r="BA37" s="83">
        <v>935.7</v>
      </c>
      <c r="BB37" s="80" t="s">
        <v>195</v>
      </c>
      <c r="BC37" s="82">
        <v>454.42</v>
      </c>
      <c r="BD37" s="80" t="s">
        <v>195</v>
      </c>
      <c r="BE37" s="82">
        <v>629.13</v>
      </c>
      <c r="BF37" s="82">
        <v>9.68</v>
      </c>
      <c r="BG37" s="82">
        <v>631.58000000000004</v>
      </c>
      <c r="BH37" s="83">
        <v>1313.8</v>
      </c>
      <c r="BI37" s="82">
        <v>781.97</v>
      </c>
      <c r="BJ37" s="83">
        <v>1741.1</v>
      </c>
      <c r="BK37" s="82">
        <v>189.71</v>
      </c>
      <c r="BL37" s="82">
        <v>6397.92</v>
      </c>
      <c r="BM37" s="82">
        <v>1588.36</v>
      </c>
      <c r="BN37" s="82">
        <v>13741.07</v>
      </c>
      <c r="BO37" s="82">
        <v>829.34</v>
      </c>
      <c r="BP37" s="83">
        <v>5121.5</v>
      </c>
      <c r="BQ37" s="82">
        <v>1061.3499999999999</v>
      </c>
      <c r="BR37" s="83">
        <v>7163.9</v>
      </c>
      <c r="BS37" s="82">
        <v>2947.89</v>
      </c>
      <c r="BT37" s="83">
        <v>5477.7</v>
      </c>
      <c r="BU37" s="82">
        <v>3518.05</v>
      </c>
      <c r="BV37" s="83">
        <v>3283.4</v>
      </c>
    </row>
    <row r="38" spans="1:74">
      <c r="A38" s="78" t="s">
        <v>508</v>
      </c>
      <c r="B38" s="78" t="s">
        <v>509</v>
      </c>
      <c r="C38" s="79" t="s">
        <v>195</v>
      </c>
      <c r="D38" s="79" t="s">
        <v>195</v>
      </c>
      <c r="E38" s="79" t="s">
        <v>195</v>
      </c>
      <c r="F38" s="79" t="s">
        <v>195</v>
      </c>
      <c r="G38" s="79" t="s">
        <v>195</v>
      </c>
      <c r="H38" s="79" t="s">
        <v>195</v>
      </c>
      <c r="I38" s="79" t="s">
        <v>195</v>
      </c>
      <c r="J38" s="79" t="s">
        <v>195</v>
      </c>
      <c r="K38" s="79" t="s">
        <v>195</v>
      </c>
      <c r="L38" s="79" t="s">
        <v>195</v>
      </c>
      <c r="M38" s="79" t="s">
        <v>195</v>
      </c>
      <c r="N38" s="79" t="s">
        <v>195</v>
      </c>
      <c r="O38" s="79" t="s">
        <v>195</v>
      </c>
      <c r="P38" s="79" t="s">
        <v>195</v>
      </c>
      <c r="Q38" s="79" t="s">
        <v>195</v>
      </c>
      <c r="R38" s="79" t="s">
        <v>195</v>
      </c>
      <c r="S38" s="79" t="s">
        <v>195</v>
      </c>
      <c r="T38" s="79" t="s">
        <v>195</v>
      </c>
      <c r="U38" s="79" t="s">
        <v>195</v>
      </c>
      <c r="V38" s="79" t="s">
        <v>195</v>
      </c>
      <c r="W38" s="79" t="s">
        <v>195</v>
      </c>
      <c r="X38" s="79" t="s">
        <v>195</v>
      </c>
      <c r="Y38" s="79" t="s">
        <v>195</v>
      </c>
      <c r="Z38" s="79" t="s">
        <v>195</v>
      </c>
      <c r="AA38" s="81">
        <v>259.92</v>
      </c>
      <c r="AB38" s="81">
        <v>0.04</v>
      </c>
      <c r="AC38" s="84">
        <v>0.7</v>
      </c>
      <c r="AD38" s="81">
        <v>0.08</v>
      </c>
      <c r="AE38" s="84">
        <v>1.5</v>
      </c>
      <c r="AF38" s="81">
        <v>0.08</v>
      </c>
      <c r="AG38" s="84">
        <v>63.2</v>
      </c>
      <c r="AH38" s="84">
        <v>0.7</v>
      </c>
      <c r="AI38" s="81">
        <v>0.15</v>
      </c>
      <c r="AJ38" s="81">
        <v>0.12</v>
      </c>
      <c r="AK38" s="84">
        <v>0.2</v>
      </c>
      <c r="AL38" s="81">
        <v>0.08</v>
      </c>
      <c r="AM38" s="81">
        <v>0.15</v>
      </c>
      <c r="AN38" s="81">
        <v>0.04</v>
      </c>
      <c r="AO38" s="81">
        <v>132.56</v>
      </c>
      <c r="AP38" s="79" t="s">
        <v>195</v>
      </c>
      <c r="AQ38" s="81">
        <v>30.21</v>
      </c>
      <c r="AR38" s="81">
        <v>0.22</v>
      </c>
      <c r="AS38" s="81">
        <v>35.08</v>
      </c>
      <c r="AT38" s="84">
        <v>0.2</v>
      </c>
      <c r="AU38" s="84">
        <v>293.39999999999998</v>
      </c>
      <c r="AV38" s="81">
        <v>0.44</v>
      </c>
      <c r="AW38" s="81">
        <v>209.92</v>
      </c>
      <c r="AX38" s="79" t="s">
        <v>195</v>
      </c>
      <c r="AY38" s="84">
        <v>7.5</v>
      </c>
      <c r="AZ38" s="79" t="s">
        <v>195</v>
      </c>
      <c r="BA38" s="81">
        <v>28.35</v>
      </c>
      <c r="BB38" s="79" t="s">
        <v>195</v>
      </c>
      <c r="BC38" s="81">
        <v>13.87</v>
      </c>
      <c r="BD38" s="79" t="s">
        <v>195</v>
      </c>
      <c r="BE38" s="81">
        <v>0.39</v>
      </c>
      <c r="BF38" s="79" t="s">
        <v>195</v>
      </c>
      <c r="BG38" s="84">
        <v>0.7</v>
      </c>
      <c r="BH38" s="79" t="s">
        <v>195</v>
      </c>
      <c r="BI38" s="81">
        <v>256.25</v>
      </c>
      <c r="BJ38" s="79" t="s">
        <v>195</v>
      </c>
      <c r="BK38" s="81">
        <v>9.85</v>
      </c>
      <c r="BL38" s="79" t="s">
        <v>195</v>
      </c>
      <c r="BM38" s="84">
        <v>0.6</v>
      </c>
      <c r="BN38" s="79" t="s">
        <v>195</v>
      </c>
      <c r="BO38" s="81">
        <v>1.1499999999999999</v>
      </c>
      <c r="BP38" s="81">
        <v>0.05</v>
      </c>
      <c r="BQ38" s="84">
        <v>1.1000000000000001</v>
      </c>
      <c r="BR38" s="79" t="s">
        <v>195</v>
      </c>
      <c r="BS38" s="81">
        <v>0.49</v>
      </c>
      <c r="BT38" s="81">
        <v>1.37</v>
      </c>
      <c r="BU38" s="81">
        <v>0.25</v>
      </c>
      <c r="BV38" s="81">
        <v>0.89</v>
      </c>
    </row>
    <row r="39" spans="1:74">
      <c r="A39" s="78" t="s">
        <v>510</v>
      </c>
      <c r="B39" s="78" t="s">
        <v>511</v>
      </c>
      <c r="C39" s="80" t="s">
        <v>195</v>
      </c>
      <c r="D39" s="80" t="s">
        <v>195</v>
      </c>
      <c r="E39" s="80" t="s">
        <v>195</v>
      </c>
      <c r="F39" s="80" t="s">
        <v>195</v>
      </c>
      <c r="G39" s="80" t="s">
        <v>195</v>
      </c>
      <c r="H39" s="80" t="s">
        <v>195</v>
      </c>
      <c r="I39" s="80" t="s">
        <v>195</v>
      </c>
      <c r="J39" s="80" t="s">
        <v>195</v>
      </c>
      <c r="K39" s="80" t="s">
        <v>195</v>
      </c>
      <c r="L39" s="80" t="s">
        <v>195</v>
      </c>
      <c r="M39" s="80" t="s">
        <v>195</v>
      </c>
      <c r="N39" s="80" t="s">
        <v>195</v>
      </c>
      <c r="O39" s="80" t="s">
        <v>195</v>
      </c>
      <c r="P39" s="80" t="s">
        <v>195</v>
      </c>
      <c r="Q39" s="80" t="s">
        <v>195</v>
      </c>
      <c r="R39" s="80" t="s">
        <v>195</v>
      </c>
      <c r="S39" s="80" t="s">
        <v>195</v>
      </c>
      <c r="T39" s="80" t="s">
        <v>195</v>
      </c>
      <c r="U39" s="80" t="s">
        <v>195</v>
      </c>
      <c r="V39" s="80" t="s">
        <v>195</v>
      </c>
      <c r="W39" s="80" t="s">
        <v>195</v>
      </c>
      <c r="X39" s="80" t="s">
        <v>195</v>
      </c>
      <c r="Y39" s="80" t="s">
        <v>195</v>
      </c>
      <c r="Z39" s="80" t="s">
        <v>195</v>
      </c>
      <c r="AA39" s="83">
        <v>357.6</v>
      </c>
      <c r="AB39" s="83">
        <v>786</v>
      </c>
      <c r="AC39" s="82">
        <v>108.48</v>
      </c>
      <c r="AD39" s="83">
        <v>1687.4</v>
      </c>
      <c r="AE39" s="83">
        <v>374</v>
      </c>
      <c r="AF39" s="80" t="s">
        <v>195</v>
      </c>
      <c r="AG39" s="83">
        <v>494.4</v>
      </c>
      <c r="AH39" s="82">
        <v>5546.12</v>
      </c>
      <c r="AI39" s="83">
        <v>264</v>
      </c>
      <c r="AJ39" s="83">
        <v>13357.4</v>
      </c>
      <c r="AK39" s="83">
        <v>1324.8</v>
      </c>
      <c r="AL39" s="80" t="s">
        <v>195</v>
      </c>
      <c r="AM39" s="82">
        <v>612.47</v>
      </c>
      <c r="AN39" s="82">
        <v>0.85</v>
      </c>
      <c r="AO39" s="83">
        <v>347.2</v>
      </c>
      <c r="AP39" s="83">
        <v>0.3</v>
      </c>
      <c r="AQ39" s="83">
        <v>505.2</v>
      </c>
      <c r="AR39" s="80" t="s">
        <v>195</v>
      </c>
      <c r="AS39" s="83">
        <v>532</v>
      </c>
      <c r="AT39" s="80" t="s">
        <v>195</v>
      </c>
      <c r="AU39" s="82">
        <v>1158.95</v>
      </c>
      <c r="AV39" s="80" t="s">
        <v>195</v>
      </c>
      <c r="AW39" s="83">
        <v>148.80000000000001</v>
      </c>
      <c r="AX39" s="80" t="s">
        <v>195</v>
      </c>
      <c r="AY39" s="82">
        <v>146.78</v>
      </c>
      <c r="AZ39" s="80" t="s">
        <v>195</v>
      </c>
      <c r="BA39" s="83">
        <v>104</v>
      </c>
      <c r="BB39" s="80" t="s">
        <v>195</v>
      </c>
      <c r="BC39" s="83">
        <v>427.4</v>
      </c>
      <c r="BD39" s="83">
        <v>3978.4</v>
      </c>
      <c r="BE39" s="83">
        <v>343.3</v>
      </c>
      <c r="BF39" s="80" t="s">
        <v>195</v>
      </c>
      <c r="BG39" s="82">
        <v>393.91</v>
      </c>
      <c r="BH39" s="80" t="s">
        <v>195</v>
      </c>
      <c r="BI39" s="83">
        <v>2.4</v>
      </c>
      <c r="BJ39" s="80" t="s">
        <v>195</v>
      </c>
      <c r="BK39" s="82">
        <v>435.31</v>
      </c>
      <c r="BL39" s="83">
        <v>3237.4</v>
      </c>
      <c r="BM39" s="82">
        <v>355.31</v>
      </c>
      <c r="BN39" s="80" t="s">
        <v>195</v>
      </c>
      <c r="BO39" s="82">
        <v>1.51</v>
      </c>
      <c r="BP39" s="83">
        <v>2457.4</v>
      </c>
      <c r="BQ39" s="83">
        <v>261</v>
      </c>
      <c r="BR39" s="82">
        <v>1609.72</v>
      </c>
      <c r="BS39" s="83">
        <v>331.2</v>
      </c>
      <c r="BT39" s="83">
        <v>1078.5999999999999</v>
      </c>
      <c r="BU39" s="83">
        <v>109.2</v>
      </c>
      <c r="BV39" s="83">
        <v>4266</v>
      </c>
    </row>
    <row r="40" spans="1:74">
      <c r="A40" s="78" t="s">
        <v>512</v>
      </c>
      <c r="B40" s="78" t="s">
        <v>513</v>
      </c>
      <c r="C40" s="79" t="s">
        <v>195</v>
      </c>
      <c r="D40" s="79" t="s">
        <v>195</v>
      </c>
      <c r="E40" s="79" t="s">
        <v>195</v>
      </c>
      <c r="F40" s="79" t="s">
        <v>195</v>
      </c>
      <c r="G40" s="79" t="s">
        <v>195</v>
      </c>
      <c r="H40" s="79" t="s">
        <v>195</v>
      </c>
      <c r="I40" s="79" t="s">
        <v>195</v>
      </c>
      <c r="J40" s="79" t="s">
        <v>195</v>
      </c>
      <c r="K40" s="79" t="s">
        <v>195</v>
      </c>
      <c r="L40" s="79" t="s">
        <v>195</v>
      </c>
      <c r="M40" s="79" t="s">
        <v>195</v>
      </c>
      <c r="N40" s="79" t="s">
        <v>195</v>
      </c>
      <c r="O40" s="79" t="s">
        <v>195</v>
      </c>
      <c r="P40" s="79" t="s">
        <v>195</v>
      </c>
      <c r="Q40" s="79" t="s">
        <v>195</v>
      </c>
      <c r="R40" s="79" t="s">
        <v>195</v>
      </c>
      <c r="S40" s="79" t="s">
        <v>195</v>
      </c>
      <c r="T40" s="79" t="s">
        <v>195</v>
      </c>
      <c r="U40" s="79" t="s">
        <v>195</v>
      </c>
      <c r="V40" s="79" t="s">
        <v>195</v>
      </c>
      <c r="W40" s="79" t="s">
        <v>195</v>
      </c>
      <c r="X40" s="79" t="s">
        <v>195</v>
      </c>
      <c r="Y40" s="79" t="s">
        <v>195</v>
      </c>
      <c r="Z40" s="79" t="s">
        <v>195</v>
      </c>
      <c r="AA40" s="81">
        <v>2.69</v>
      </c>
      <c r="AB40" s="81">
        <v>11.97</v>
      </c>
      <c r="AC40" s="81">
        <v>279.27999999999997</v>
      </c>
      <c r="AD40" s="81">
        <v>2.59</v>
      </c>
      <c r="AE40" s="81">
        <v>8464.2199999999993</v>
      </c>
      <c r="AF40" s="79" t="s">
        <v>195</v>
      </c>
      <c r="AG40" s="81">
        <v>3157.25</v>
      </c>
      <c r="AH40" s="79" t="s">
        <v>195</v>
      </c>
      <c r="AI40" s="81">
        <v>33390.74</v>
      </c>
      <c r="AJ40" s="79" t="s">
        <v>195</v>
      </c>
      <c r="AK40" s="81">
        <v>1770.31</v>
      </c>
      <c r="AL40" s="79" t="s">
        <v>195</v>
      </c>
      <c r="AM40" s="81">
        <v>26.96</v>
      </c>
      <c r="AN40" s="79" t="s">
        <v>195</v>
      </c>
      <c r="AO40" s="81">
        <v>11.69</v>
      </c>
      <c r="AP40" s="79" t="s">
        <v>195</v>
      </c>
      <c r="AQ40" s="81">
        <v>31014.66</v>
      </c>
      <c r="AR40" s="79" t="s">
        <v>195</v>
      </c>
      <c r="AS40" s="81">
        <v>499.16</v>
      </c>
      <c r="AT40" s="81">
        <v>0.05</v>
      </c>
      <c r="AU40" s="81">
        <v>53339.69</v>
      </c>
      <c r="AV40" s="79" t="s">
        <v>195</v>
      </c>
      <c r="AW40" s="84">
        <v>17.899999999999999</v>
      </c>
      <c r="AX40" s="79" t="s">
        <v>195</v>
      </c>
      <c r="AY40" s="84">
        <v>14.5</v>
      </c>
      <c r="AZ40" s="79" t="s">
        <v>195</v>
      </c>
      <c r="BA40" s="81">
        <v>31.85</v>
      </c>
      <c r="BB40" s="84">
        <v>546.6</v>
      </c>
      <c r="BC40" s="84">
        <v>84.7</v>
      </c>
      <c r="BD40" s="79" t="s">
        <v>195</v>
      </c>
      <c r="BE40" s="81">
        <v>39.96</v>
      </c>
      <c r="BF40" s="79" t="s">
        <v>195</v>
      </c>
      <c r="BG40" s="81">
        <v>46.84</v>
      </c>
      <c r="BH40" s="79" t="s">
        <v>195</v>
      </c>
      <c r="BI40" s="81">
        <v>55.31</v>
      </c>
      <c r="BJ40" s="81">
        <v>0.18</v>
      </c>
      <c r="BK40" s="84">
        <v>68.2</v>
      </c>
      <c r="BL40" s="81">
        <v>0.03</v>
      </c>
      <c r="BM40" s="81">
        <v>1188.08</v>
      </c>
      <c r="BN40" s="79" t="s">
        <v>195</v>
      </c>
      <c r="BO40" s="84">
        <v>43.9</v>
      </c>
      <c r="BP40" s="81">
        <v>0.05</v>
      </c>
      <c r="BQ40" s="84">
        <v>2072.5</v>
      </c>
      <c r="BR40" s="81">
        <v>0.06</v>
      </c>
      <c r="BS40" s="81">
        <v>48.26</v>
      </c>
      <c r="BT40" s="79" t="s">
        <v>195</v>
      </c>
      <c r="BU40" s="81">
        <v>5.04</v>
      </c>
      <c r="BV40" s="79" t="s">
        <v>195</v>
      </c>
    </row>
    <row r="41" spans="1:74">
      <c r="A41" s="78" t="s">
        <v>514</v>
      </c>
      <c r="B41" s="78" t="s">
        <v>515</v>
      </c>
      <c r="C41" s="80" t="s">
        <v>195</v>
      </c>
      <c r="D41" s="80" t="s">
        <v>195</v>
      </c>
      <c r="E41" s="80" t="s">
        <v>195</v>
      </c>
      <c r="F41" s="80" t="s">
        <v>195</v>
      </c>
      <c r="G41" s="80" t="s">
        <v>195</v>
      </c>
      <c r="H41" s="80" t="s">
        <v>195</v>
      </c>
      <c r="I41" s="80" t="s">
        <v>195</v>
      </c>
      <c r="J41" s="80" t="s">
        <v>195</v>
      </c>
      <c r="K41" s="80" t="s">
        <v>195</v>
      </c>
      <c r="L41" s="80" t="s">
        <v>195</v>
      </c>
      <c r="M41" s="80" t="s">
        <v>195</v>
      </c>
      <c r="N41" s="80" t="s">
        <v>195</v>
      </c>
      <c r="O41" s="80" t="s">
        <v>195</v>
      </c>
      <c r="P41" s="80" t="s">
        <v>195</v>
      </c>
      <c r="Q41" s="80" t="s">
        <v>195</v>
      </c>
      <c r="R41" s="80" t="s">
        <v>195</v>
      </c>
      <c r="S41" s="80" t="s">
        <v>195</v>
      </c>
      <c r="T41" s="80" t="s">
        <v>195</v>
      </c>
      <c r="U41" s="80" t="s">
        <v>195</v>
      </c>
      <c r="V41" s="80" t="s">
        <v>195</v>
      </c>
      <c r="W41" s="80" t="s">
        <v>195</v>
      </c>
      <c r="X41" s="80" t="s">
        <v>195</v>
      </c>
      <c r="Y41" s="80" t="s">
        <v>195</v>
      </c>
      <c r="Z41" s="80" t="s">
        <v>195</v>
      </c>
      <c r="AA41" s="80" t="s">
        <v>195</v>
      </c>
      <c r="AB41" s="80" t="s">
        <v>195</v>
      </c>
      <c r="AC41" s="80" t="s">
        <v>195</v>
      </c>
      <c r="AD41" s="80" t="s">
        <v>195</v>
      </c>
      <c r="AE41" s="80" t="s">
        <v>195</v>
      </c>
      <c r="AF41" s="80" t="s">
        <v>195</v>
      </c>
      <c r="AG41" s="80" t="s">
        <v>195</v>
      </c>
      <c r="AH41" s="80" t="s">
        <v>195</v>
      </c>
      <c r="AI41" s="80" t="s">
        <v>195</v>
      </c>
      <c r="AJ41" s="80" t="s">
        <v>195</v>
      </c>
      <c r="AK41" s="80" t="s">
        <v>195</v>
      </c>
      <c r="AL41" s="80" t="s">
        <v>195</v>
      </c>
      <c r="AM41" s="80" t="s">
        <v>195</v>
      </c>
      <c r="AN41" s="80" t="s">
        <v>195</v>
      </c>
      <c r="AO41" s="80" t="s">
        <v>195</v>
      </c>
      <c r="AP41" s="80" t="s">
        <v>195</v>
      </c>
      <c r="AQ41" s="80" t="s">
        <v>195</v>
      </c>
      <c r="AR41" s="80" t="s">
        <v>195</v>
      </c>
      <c r="AS41" s="80" t="s">
        <v>195</v>
      </c>
      <c r="AT41" s="80" t="s">
        <v>195</v>
      </c>
      <c r="AU41" s="80" t="s">
        <v>195</v>
      </c>
      <c r="AV41" s="80" t="s">
        <v>195</v>
      </c>
      <c r="AW41" s="80" t="s">
        <v>195</v>
      </c>
      <c r="AX41" s="80" t="s">
        <v>195</v>
      </c>
      <c r="AY41" s="82">
        <v>3.58</v>
      </c>
      <c r="AZ41" s="80" t="s">
        <v>195</v>
      </c>
      <c r="BA41" s="82">
        <v>3.74</v>
      </c>
      <c r="BB41" s="82">
        <v>7.02</v>
      </c>
      <c r="BC41" s="82">
        <v>3.77</v>
      </c>
      <c r="BD41" s="82">
        <v>18.39</v>
      </c>
      <c r="BE41" s="80" t="s">
        <v>195</v>
      </c>
      <c r="BF41" s="82">
        <v>0.11</v>
      </c>
      <c r="BG41" s="82">
        <v>0.05</v>
      </c>
      <c r="BH41" s="82">
        <v>2.54</v>
      </c>
      <c r="BI41" s="82">
        <v>0.02</v>
      </c>
      <c r="BJ41" s="82">
        <v>2.82</v>
      </c>
      <c r="BK41" s="82">
        <v>0.02</v>
      </c>
      <c r="BL41" s="83">
        <v>5.9</v>
      </c>
      <c r="BM41" s="82">
        <v>0.27</v>
      </c>
      <c r="BN41" s="80" t="s">
        <v>195</v>
      </c>
      <c r="BO41" s="83">
        <v>0</v>
      </c>
      <c r="BP41" s="82">
        <v>1.67</v>
      </c>
      <c r="BQ41" s="82">
        <v>0.19</v>
      </c>
      <c r="BR41" s="82">
        <v>4.0199999999999996</v>
      </c>
      <c r="BS41" s="82">
        <v>0.01</v>
      </c>
      <c r="BT41" s="82">
        <v>5.42</v>
      </c>
      <c r="BU41" s="82">
        <v>0.02</v>
      </c>
      <c r="BV41" s="82">
        <v>6.83</v>
      </c>
    </row>
    <row r="42" spans="1:74">
      <c r="A42" s="78" t="s">
        <v>516</v>
      </c>
      <c r="B42" s="78" t="s">
        <v>517</v>
      </c>
      <c r="C42" s="79" t="s">
        <v>195</v>
      </c>
      <c r="D42" s="79" t="s">
        <v>195</v>
      </c>
      <c r="E42" s="79" t="s">
        <v>195</v>
      </c>
      <c r="F42" s="79" t="s">
        <v>195</v>
      </c>
      <c r="G42" s="79" t="s">
        <v>195</v>
      </c>
      <c r="H42" s="79" t="s">
        <v>195</v>
      </c>
      <c r="I42" s="79" t="s">
        <v>195</v>
      </c>
      <c r="J42" s="79" t="s">
        <v>195</v>
      </c>
      <c r="K42" s="79" t="s">
        <v>195</v>
      </c>
      <c r="L42" s="79" t="s">
        <v>195</v>
      </c>
      <c r="M42" s="79" t="s">
        <v>195</v>
      </c>
      <c r="N42" s="79" t="s">
        <v>195</v>
      </c>
      <c r="O42" s="79" t="s">
        <v>195</v>
      </c>
      <c r="P42" s="79" t="s">
        <v>195</v>
      </c>
      <c r="Q42" s="79" t="s">
        <v>195</v>
      </c>
      <c r="R42" s="79" t="s">
        <v>195</v>
      </c>
      <c r="S42" s="79" t="s">
        <v>195</v>
      </c>
      <c r="T42" s="79" t="s">
        <v>195</v>
      </c>
      <c r="U42" s="79" t="s">
        <v>195</v>
      </c>
      <c r="V42" s="79" t="s">
        <v>195</v>
      </c>
      <c r="W42" s="79" t="s">
        <v>195</v>
      </c>
      <c r="X42" s="79" t="s">
        <v>195</v>
      </c>
      <c r="Y42" s="79" t="s">
        <v>195</v>
      </c>
      <c r="Z42" s="79" t="s">
        <v>195</v>
      </c>
      <c r="AA42" s="79" t="s">
        <v>195</v>
      </c>
      <c r="AB42" s="79" t="s">
        <v>195</v>
      </c>
      <c r="AC42" s="79" t="s">
        <v>195</v>
      </c>
      <c r="AD42" s="79" t="s">
        <v>195</v>
      </c>
      <c r="AE42" s="79" t="s">
        <v>195</v>
      </c>
      <c r="AF42" s="79" t="s">
        <v>195</v>
      </c>
      <c r="AG42" s="79" t="s">
        <v>195</v>
      </c>
      <c r="AH42" s="79" t="s">
        <v>195</v>
      </c>
      <c r="AI42" s="79" t="s">
        <v>195</v>
      </c>
      <c r="AJ42" s="79" t="s">
        <v>195</v>
      </c>
      <c r="AK42" s="79" t="s">
        <v>195</v>
      </c>
      <c r="AL42" s="79" t="s">
        <v>195</v>
      </c>
      <c r="AM42" s="79" t="s">
        <v>195</v>
      </c>
      <c r="AN42" s="79" t="s">
        <v>195</v>
      </c>
      <c r="AO42" s="79" t="s">
        <v>195</v>
      </c>
      <c r="AP42" s="79" t="s">
        <v>195</v>
      </c>
      <c r="AQ42" s="79" t="s">
        <v>195</v>
      </c>
      <c r="AR42" s="79" t="s">
        <v>195</v>
      </c>
      <c r="AS42" s="79" t="s">
        <v>195</v>
      </c>
      <c r="AT42" s="79" t="s">
        <v>195</v>
      </c>
      <c r="AU42" s="79" t="s">
        <v>195</v>
      </c>
      <c r="AV42" s="79" t="s">
        <v>195</v>
      </c>
      <c r="AW42" s="79" t="s">
        <v>195</v>
      </c>
      <c r="AX42" s="79" t="s">
        <v>195</v>
      </c>
      <c r="AY42" s="79" t="s">
        <v>195</v>
      </c>
      <c r="AZ42" s="79" t="s">
        <v>195</v>
      </c>
      <c r="BA42" s="79" t="s">
        <v>195</v>
      </c>
      <c r="BB42" s="79" t="s">
        <v>195</v>
      </c>
      <c r="BC42" s="79" t="s">
        <v>195</v>
      </c>
      <c r="BD42" s="79" t="s">
        <v>195</v>
      </c>
      <c r="BE42" s="79" t="s">
        <v>195</v>
      </c>
      <c r="BF42" s="79" t="s">
        <v>195</v>
      </c>
      <c r="BG42" s="79" t="s">
        <v>195</v>
      </c>
      <c r="BH42" s="79" t="s">
        <v>195</v>
      </c>
      <c r="BI42" s="79" t="s">
        <v>195</v>
      </c>
      <c r="BJ42" s="79" t="s">
        <v>195</v>
      </c>
      <c r="BK42" s="79" t="s">
        <v>195</v>
      </c>
      <c r="BL42" s="79" t="s">
        <v>195</v>
      </c>
      <c r="BM42" s="79" t="s">
        <v>195</v>
      </c>
      <c r="BN42" s="79" t="s">
        <v>195</v>
      </c>
      <c r="BO42" s="79" t="s">
        <v>195</v>
      </c>
      <c r="BP42" s="79" t="s">
        <v>195</v>
      </c>
      <c r="BQ42" s="79" t="s">
        <v>195</v>
      </c>
      <c r="BR42" s="79" t="s">
        <v>195</v>
      </c>
      <c r="BS42" s="79" t="s">
        <v>195</v>
      </c>
      <c r="BT42" s="79" t="s">
        <v>195</v>
      </c>
      <c r="BU42" s="79" t="s">
        <v>195</v>
      </c>
      <c r="BV42" s="79" t="s">
        <v>195</v>
      </c>
    </row>
    <row r="43" spans="1:74">
      <c r="A43" s="78" t="s">
        <v>518</v>
      </c>
      <c r="B43" s="78" t="s">
        <v>519</v>
      </c>
      <c r="C43" s="82">
        <v>1346.31</v>
      </c>
      <c r="D43" s="83">
        <v>3108.2</v>
      </c>
      <c r="E43" s="82">
        <v>1349.77</v>
      </c>
      <c r="F43" s="82">
        <v>6648.67</v>
      </c>
      <c r="G43" s="82">
        <v>2152.31</v>
      </c>
      <c r="H43" s="83">
        <v>1418.4</v>
      </c>
      <c r="I43" s="82">
        <v>392.08</v>
      </c>
      <c r="J43" s="82">
        <v>2007.48</v>
      </c>
      <c r="K43" s="82">
        <v>418.91</v>
      </c>
      <c r="L43" s="82">
        <v>1413.24</v>
      </c>
      <c r="M43" s="82">
        <v>614.46</v>
      </c>
      <c r="N43" s="83">
        <v>3272.2</v>
      </c>
      <c r="O43" s="83">
        <v>872.7</v>
      </c>
      <c r="P43" s="83">
        <v>3340.7</v>
      </c>
      <c r="Q43" s="82">
        <v>1123.8499999999999</v>
      </c>
      <c r="R43" s="83">
        <v>3544.2</v>
      </c>
      <c r="S43" s="82">
        <v>888.05</v>
      </c>
      <c r="T43" s="83">
        <v>5184.6000000000004</v>
      </c>
      <c r="U43" s="82">
        <v>1329.58</v>
      </c>
      <c r="V43" s="83">
        <v>4403</v>
      </c>
      <c r="W43" s="82">
        <v>1070.47</v>
      </c>
      <c r="X43" s="83">
        <v>2112.6</v>
      </c>
      <c r="Y43" s="82">
        <v>3509.75</v>
      </c>
      <c r="Z43" s="82">
        <v>3313.36</v>
      </c>
      <c r="AA43" s="80" t="s">
        <v>195</v>
      </c>
      <c r="AB43" s="80" t="s">
        <v>195</v>
      </c>
      <c r="AC43" s="80" t="s">
        <v>195</v>
      </c>
      <c r="AD43" s="80" t="s">
        <v>195</v>
      </c>
      <c r="AE43" s="80" t="s">
        <v>195</v>
      </c>
      <c r="AF43" s="80" t="s">
        <v>195</v>
      </c>
      <c r="AG43" s="80" t="s">
        <v>195</v>
      </c>
      <c r="AH43" s="80" t="s">
        <v>195</v>
      </c>
      <c r="AI43" s="80" t="s">
        <v>195</v>
      </c>
      <c r="AJ43" s="80" t="s">
        <v>195</v>
      </c>
      <c r="AK43" s="80" t="s">
        <v>195</v>
      </c>
      <c r="AL43" s="80" t="s">
        <v>195</v>
      </c>
      <c r="AM43" s="80" t="s">
        <v>195</v>
      </c>
      <c r="AN43" s="80" t="s">
        <v>195</v>
      </c>
      <c r="AO43" s="80" t="s">
        <v>195</v>
      </c>
      <c r="AP43" s="80" t="s">
        <v>195</v>
      </c>
      <c r="AQ43" s="80" t="s">
        <v>195</v>
      </c>
      <c r="AR43" s="80" t="s">
        <v>195</v>
      </c>
      <c r="AS43" s="80" t="s">
        <v>195</v>
      </c>
      <c r="AT43" s="80" t="s">
        <v>195</v>
      </c>
      <c r="AU43" s="80" t="s">
        <v>195</v>
      </c>
      <c r="AV43" s="80" t="s">
        <v>195</v>
      </c>
      <c r="AW43" s="80" t="s">
        <v>195</v>
      </c>
      <c r="AX43" s="80" t="s">
        <v>195</v>
      </c>
      <c r="AY43" s="80" t="s">
        <v>195</v>
      </c>
      <c r="AZ43" s="80" t="s">
        <v>195</v>
      </c>
      <c r="BA43" s="80" t="s">
        <v>195</v>
      </c>
      <c r="BB43" s="80" t="s">
        <v>195</v>
      </c>
      <c r="BC43" s="80" t="s">
        <v>195</v>
      </c>
      <c r="BD43" s="80" t="s">
        <v>195</v>
      </c>
      <c r="BE43" s="80" t="s">
        <v>195</v>
      </c>
      <c r="BF43" s="80" t="s">
        <v>195</v>
      </c>
      <c r="BG43" s="80" t="s">
        <v>195</v>
      </c>
      <c r="BH43" s="80" t="s">
        <v>195</v>
      </c>
      <c r="BI43" s="80" t="s">
        <v>195</v>
      </c>
      <c r="BJ43" s="80" t="s">
        <v>195</v>
      </c>
      <c r="BK43" s="80" t="s">
        <v>195</v>
      </c>
      <c r="BL43" s="80" t="s">
        <v>195</v>
      </c>
      <c r="BM43" s="80" t="s">
        <v>195</v>
      </c>
      <c r="BN43" s="80" t="s">
        <v>195</v>
      </c>
      <c r="BO43" s="80" t="s">
        <v>195</v>
      </c>
      <c r="BP43" s="80" t="s">
        <v>195</v>
      </c>
      <c r="BQ43" s="80" t="s">
        <v>195</v>
      </c>
      <c r="BR43" s="80" t="s">
        <v>195</v>
      </c>
      <c r="BS43" s="80" t="s">
        <v>195</v>
      </c>
      <c r="BT43" s="80" t="s">
        <v>195</v>
      </c>
      <c r="BU43" s="80" t="s">
        <v>195</v>
      </c>
      <c r="BV43" s="80" t="s">
        <v>195</v>
      </c>
    </row>
    <row r="44" spans="1:74">
      <c r="A44" s="78" t="s">
        <v>520</v>
      </c>
      <c r="B44" s="78" t="s">
        <v>521</v>
      </c>
      <c r="C44" s="84">
        <v>10.5</v>
      </c>
      <c r="D44" s="84">
        <v>0.3</v>
      </c>
      <c r="E44" s="81">
        <v>250.86</v>
      </c>
      <c r="F44" s="81">
        <v>0.25</v>
      </c>
      <c r="G44" s="84">
        <v>31.7</v>
      </c>
      <c r="H44" s="79" t="s">
        <v>195</v>
      </c>
      <c r="I44" s="81">
        <v>55.95</v>
      </c>
      <c r="J44" s="81">
        <v>2.36</v>
      </c>
      <c r="K44" s="81">
        <v>488.15</v>
      </c>
      <c r="L44" s="81">
        <v>0.25</v>
      </c>
      <c r="M44" s="84">
        <v>10.6</v>
      </c>
      <c r="N44" s="79" t="s">
        <v>195</v>
      </c>
      <c r="O44" s="81">
        <v>561.15</v>
      </c>
      <c r="P44" s="79" t="s">
        <v>195</v>
      </c>
      <c r="Q44" s="81">
        <v>5.45</v>
      </c>
      <c r="R44" s="81">
        <v>1.48</v>
      </c>
      <c r="S44" s="81">
        <v>48.75</v>
      </c>
      <c r="T44" s="84">
        <v>0.6</v>
      </c>
      <c r="U44" s="84">
        <v>313.5</v>
      </c>
      <c r="V44" s="79" t="s">
        <v>195</v>
      </c>
      <c r="W44" s="81">
        <v>532.95000000000005</v>
      </c>
      <c r="X44" s="84">
        <v>0.5</v>
      </c>
      <c r="Y44" s="84">
        <v>10.3</v>
      </c>
      <c r="Z44" s="81">
        <v>0.24</v>
      </c>
      <c r="AA44" s="79" t="s">
        <v>195</v>
      </c>
      <c r="AB44" s="79" t="s">
        <v>195</v>
      </c>
      <c r="AC44" s="79" t="s">
        <v>195</v>
      </c>
      <c r="AD44" s="79" t="s">
        <v>195</v>
      </c>
      <c r="AE44" s="79" t="s">
        <v>195</v>
      </c>
      <c r="AF44" s="79" t="s">
        <v>195</v>
      </c>
      <c r="AG44" s="79" t="s">
        <v>195</v>
      </c>
      <c r="AH44" s="79" t="s">
        <v>195</v>
      </c>
      <c r="AI44" s="79" t="s">
        <v>195</v>
      </c>
      <c r="AJ44" s="79" t="s">
        <v>195</v>
      </c>
      <c r="AK44" s="79" t="s">
        <v>195</v>
      </c>
      <c r="AL44" s="79" t="s">
        <v>195</v>
      </c>
      <c r="AM44" s="79" t="s">
        <v>195</v>
      </c>
      <c r="AN44" s="79" t="s">
        <v>195</v>
      </c>
      <c r="AO44" s="79" t="s">
        <v>195</v>
      </c>
      <c r="AP44" s="79" t="s">
        <v>195</v>
      </c>
      <c r="AQ44" s="79" t="s">
        <v>195</v>
      </c>
      <c r="AR44" s="79" t="s">
        <v>195</v>
      </c>
      <c r="AS44" s="79" t="s">
        <v>195</v>
      </c>
      <c r="AT44" s="79" t="s">
        <v>195</v>
      </c>
      <c r="AU44" s="79" t="s">
        <v>195</v>
      </c>
      <c r="AV44" s="79" t="s">
        <v>195</v>
      </c>
      <c r="AW44" s="79" t="s">
        <v>195</v>
      </c>
      <c r="AX44" s="79" t="s">
        <v>195</v>
      </c>
      <c r="AY44" s="79" t="s">
        <v>195</v>
      </c>
      <c r="AZ44" s="79" t="s">
        <v>195</v>
      </c>
      <c r="BA44" s="79" t="s">
        <v>195</v>
      </c>
      <c r="BB44" s="79" t="s">
        <v>195</v>
      </c>
      <c r="BC44" s="79" t="s">
        <v>195</v>
      </c>
      <c r="BD44" s="79" t="s">
        <v>195</v>
      </c>
      <c r="BE44" s="79" t="s">
        <v>195</v>
      </c>
      <c r="BF44" s="79" t="s">
        <v>195</v>
      </c>
      <c r="BG44" s="79" t="s">
        <v>195</v>
      </c>
      <c r="BH44" s="79" t="s">
        <v>195</v>
      </c>
      <c r="BI44" s="79" t="s">
        <v>195</v>
      </c>
      <c r="BJ44" s="79" t="s">
        <v>195</v>
      </c>
      <c r="BK44" s="79" t="s">
        <v>195</v>
      </c>
      <c r="BL44" s="79" t="s">
        <v>195</v>
      </c>
      <c r="BM44" s="79" t="s">
        <v>195</v>
      </c>
      <c r="BN44" s="79" t="s">
        <v>195</v>
      </c>
      <c r="BO44" s="79" t="s">
        <v>195</v>
      </c>
      <c r="BP44" s="79" t="s">
        <v>195</v>
      </c>
      <c r="BQ44" s="79" t="s">
        <v>195</v>
      </c>
      <c r="BR44" s="79" t="s">
        <v>195</v>
      </c>
      <c r="BS44" s="79" t="s">
        <v>195</v>
      </c>
      <c r="BT44" s="79" t="s">
        <v>195</v>
      </c>
      <c r="BU44" s="79" t="s">
        <v>195</v>
      </c>
      <c r="BV44" s="79" t="s">
        <v>195</v>
      </c>
    </row>
    <row r="45" spans="1:74">
      <c r="A45" s="78" t="s">
        <v>522</v>
      </c>
      <c r="B45" s="78" t="s">
        <v>523</v>
      </c>
      <c r="C45" s="83">
        <v>10</v>
      </c>
      <c r="D45" s="83">
        <v>3.5</v>
      </c>
      <c r="E45" s="83">
        <v>150</v>
      </c>
      <c r="F45" s="82">
        <v>1006.02</v>
      </c>
      <c r="G45" s="83">
        <v>1</v>
      </c>
      <c r="H45" s="82">
        <v>268.45</v>
      </c>
      <c r="I45" s="83">
        <v>37.6</v>
      </c>
      <c r="J45" s="82">
        <v>3.19</v>
      </c>
      <c r="K45" s="83">
        <v>1</v>
      </c>
      <c r="L45" s="82">
        <v>2.0699999999999998</v>
      </c>
      <c r="M45" s="83">
        <v>30</v>
      </c>
      <c r="N45" s="82">
        <v>5.42</v>
      </c>
      <c r="O45" s="83">
        <v>121</v>
      </c>
      <c r="P45" s="83">
        <v>0.4</v>
      </c>
      <c r="Q45" s="83">
        <v>217.5</v>
      </c>
      <c r="R45" s="82">
        <v>7.95</v>
      </c>
      <c r="S45" s="83">
        <v>100.5</v>
      </c>
      <c r="T45" s="82">
        <v>11.78</v>
      </c>
      <c r="U45" s="83">
        <v>256</v>
      </c>
      <c r="V45" s="82">
        <v>1.55</v>
      </c>
      <c r="W45" s="82">
        <v>2.35</v>
      </c>
      <c r="X45" s="82">
        <v>2.29</v>
      </c>
      <c r="Y45" s="82">
        <v>34.25</v>
      </c>
      <c r="Z45" s="82">
        <v>15.48</v>
      </c>
      <c r="AA45" s="80" t="s">
        <v>195</v>
      </c>
      <c r="AB45" s="80" t="s">
        <v>195</v>
      </c>
      <c r="AC45" s="80" t="s">
        <v>195</v>
      </c>
      <c r="AD45" s="80" t="s">
        <v>195</v>
      </c>
      <c r="AE45" s="80" t="s">
        <v>195</v>
      </c>
      <c r="AF45" s="80" t="s">
        <v>195</v>
      </c>
      <c r="AG45" s="80" t="s">
        <v>195</v>
      </c>
      <c r="AH45" s="80" t="s">
        <v>195</v>
      </c>
      <c r="AI45" s="80" t="s">
        <v>195</v>
      </c>
      <c r="AJ45" s="80" t="s">
        <v>195</v>
      </c>
      <c r="AK45" s="80" t="s">
        <v>195</v>
      </c>
      <c r="AL45" s="80" t="s">
        <v>195</v>
      </c>
      <c r="AM45" s="80" t="s">
        <v>195</v>
      </c>
      <c r="AN45" s="80" t="s">
        <v>195</v>
      </c>
      <c r="AO45" s="80" t="s">
        <v>195</v>
      </c>
      <c r="AP45" s="80" t="s">
        <v>195</v>
      </c>
      <c r="AQ45" s="80" t="s">
        <v>195</v>
      </c>
      <c r="AR45" s="80" t="s">
        <v>195</v>
      </c>
      <c r="AS45" s="80" t="s">
        <v>195</v>
      </c>
      <c r="AT45" s="80" t="s">
        <v>195</v>
      </c>
      <c r="AU45" s="80" t="s">
        <v>195</v>
      </c>
      <c r="AV45" s="80" t="s">
        <v>195</v>
      </c>
      <c r="AW45" s="80" t="s">
        <v>195</v>
      </c>
      <c r="AX45" s="80" t="s">
        <v>195</v>
      </c>
      <c r="AY45" s="80" t="s">
        <v>195</v>
      </c>
      <c r="AZ45" s="80" t="s">
        <v>195</v>
      </c>
      <c r="BA45" s="80" t="s">
        <v>195</v>
      </c>
      <c r="BB45" s="80" t="s">
        <v>195</v>
      </c>
      <c r="BC45" s="80" t="s">
        <v>195</v>
      </c>
      <c r="BD45" s="80" t="s">
        <v>195</v>
      </c>
      <c r="BE45" s="80" t="s">
        <v>195</v>
      </c>
      <c r="BF45" s="80" t="s">
        <v>195</v>
      </c>
      <c r="BG45" s="80" t="s">
        <v>195</v>
      </c>
      <c r="BH45" s="80" t="s">
        <v>195</v>
      </c>
      <c r="BI45" s="80" t="s">
        <v>195</v>
      </c>
      <c r="BJ45" s="80" t="s">
        <v>195</v>
      </c>
      <c r="BK45" s="80" t="s">
        <v>195</v>
      </c>
      <c r="BL45" s="80" t="s">
        <v>195</v>
      </c>
      <c r="BM45" s="80" t="s">
        <v>195</v>
      </c>
      <c r="BN45" s="80" t="s">
        <v>195</v>
      </c>
      <c r="BO45" s="80" t="s">
        <v>195</v>
      </c>
      <c r="BP45" s="80" t="s">
        <v>195</v>
      </c>
      <c r="BQ45" s="80" t="s">
        <v>195</v>
      </c>
      <c r="BR45" s="80" t="s">
        <v>195</v>
      </c>
      <c r="BS45" s="80" t="s">
        <v>195</v>
      </c>
      <c r="BT45" s="80" t="s">
        <v>195</v>
      </c>
      <c r="BU45" s="80" t="s">
        <v>195</v>
      </c>
      <c r="BV45" s="80" t="s">
        <v>195</v>
      </c>
    </row>
    <row r="46" spans="1:74">
      <c r="A46" s="78" t="s">
        <v>524</v>
      </c>
      <c r="B46" s="78" t="s">
        <v>525</v>
      </c>
      <c r="C46" s="81">
        <v>167.42</v>
      </c>
      <c r="D46" s="79" t="s">
        <v>195</v>
      </c>
      <c r="E46" s="81">
        <v>2002.41</v>
      </c>
      <c r="F46" s="79" t="s">
        <v>195</v>
      </c>
      <c r="G46" s="81">
        <v>52495.85</v>
      </c>
      <c r="H46" s="84">
        <v>60</v>
      </c>
      <c r="I46" s="84">
        <v>39.5</v>
      </c>
      <c r="J46" s="84">
        <v>0.2</v>
      </c>
      <c r="K46" s="81">
        <v>51.44</v>
      </c>
      <c r="L46" s="84">
        <v>1</v>
      </c>
      <c r="M46" s="81">
        <v>392.12</v>
      </c>
      <c r="N46" s="79" t="s">
        <v>195</v>
      </c>
      <c r="O46" s="81">
        <v>4458.13</v>
      </c>
      <c r="P46" s="84">
        <v>0.5</v>
      </c>
      <c r="Q46" s="81">
        <v>6255.25</v>
      </c>
      <c r="R46" s="84">
        <v>3.4</v>
      </c>
      <c r="S46" s="81">
        <v>8383.24</v>
      </c>
      <c r="T46" s="84">
        <v>0.8</v>
      </c>
      <c r="U46" s="81">
        <v>6028.22</v>
      </c>
      <c r="V46" s="84">
        <v>1.4</v>
      </c>
      <c r="W46" s="81">
        <v>2080.69</v>
      </c>
      <c r="X46" s="81">
        <v>210.59</v>
      </c>
      <c r="Y46" s="81">
        <v>2006.27</v>
      </c>
      <c r="Z46" s="79" t="s">
        <v>195</v>
      </c>
      <c r="AA46" s="79" t="s">
        <v>195</v>
      </c>
      <c r="AB46" s="79" t="s">
        <v>195</v>
      </c>
      <c r="AC46" s="79" t="s">
        <v>195</v>
      </c>
      <c r="AD46" s="79" t="s">
        <v>195</v>
      </c>
      <c r="AE46" s="79" t="s">
        <v>195</v>
      </c>
      <c r="AF46" s="79" t="s">
        <v>195</v>
      </c>
      <c r="AG46" s="79" t="s">
        <v>195</v>
      </c>
      <c r="AH46" s="79" t="s">
        <v>195</v>
      </c>
      <c r="AI46" s="79" t="s">
        <v>195</v>
      </c>
      <c r="AJ46" s="79" t="s">
        <v>195</v>
      </c>
      <c r="AK46" s="79" t="s">
        <v>195</v>
      </c>
      <c r="AL46" s="79" t="s">
        <v>195</v>
      </c>
      <c r="AM46" s="79" t="s">
        <v>195</v>
      </c>
      <c r="AN46" s="79" t="s">
        <v>195</v>
      </c>
      <c r="AO46" s="79" t="s">
        <v>195</v>
      </c>
      <c r="AP46" s="79" t="s">
        <v>195</v>
      </c>
      <c r="AQ46" s="79" t="s">
        <v>195</v>
      </c>
      <c r="AR46" s="79" t="s">
        <v>195</v>
      </c>
      <c r="AS46" s="79" t="s">
        <v>195</v>
      </c>
      <c r="AT46" s="79" t="s">
        <v>195</v>
      </c>
      <c r="AU46" s="79" t="s">
        <v>195</v>
      </c>
      <c r="AV46" s="79" t="s">
        <v>195</v>
      </c>
      <c r="AW46" s="79" t="s">
        <v>195</v>
      </c>
      <c r="AX46" s="79" t="s">
        <v>195</v>
      </c>
      <c r="AY46" s="79" t="s">
        <v>195</v>
      </c>
      <c r="AZ46" s="79" t="s">
        <v>195</v>
      </c>
      <c r="BA46" s="79" t="s">
        <v>195</v>
      </c>
      <c r="BB46" s="79" t="s">
        <v>195</v>
      </c>
      <c r="BC46" s="79" t="s">
        <v>195</v>
      </c>
      <c r="BD46" s="79" t="s">
        <v>195</v>
      </c>
      <c r="BE46" s="79" t="s">
        <v>195</v>
      </c>
      <c r="BF46" s="79" t="s">
        <v>195</v>
      </c>
      <c r="BG46" s="79" t="s">
        <v>195</v>
      </c>
      <c r="BH46" s="79" t="s">
        <v>195</v>
      </c>
      <c r="BI46" s="79" t="s">
        <v>195</v>
      </c>
      <c r="BJ46" s="79" t="s">
        <v>195</v>
      </c>
      <c r="BK46" s="79" t="s">
        <v>195</v>
      </c>
      <c r="BL46" s="79" t="s">
        <v>195</v>
      </c>
      <c r="BM46" s="79" t="s">
        <v>195</v>
      </c>
      <c r="BN46" s="79" t="s">
        <v>195</v>
      </c>
      <c r="BO46" s="79" t="s">
        <v>195</v>
      </c>
      <c r="BP46" s="79" t="s">
        <v>195</v>
      </c>
      <c r="BQ46" s="79" t="s">
        <v>195</v>
      </c>
      <c r="BR46" s="79" t="s">
        <v>195</v>
      </c>
      <c r="BS46" s="79" t="s">
        <v>195</v>
      </c>
      <c r="BT46" s="79" t="s">
        <v>195</v>
      </c>
      <c r="BU46" s="79" t="s">
        <v>195</v>
      </c>
      <c r="BV46" s="79" t="s">
        <v>195</v>
      </c>
    </row>
    <row r="47" spans="1:74">
      <c r="A47" s="78" t="s">
        <v>526</v>
      </c>
      <c r="B47" s="78" t="s">
        <v>527</v>
      </c>
      <c r="C47" s="80" t="s">
        <v>195</v>
      </c>
      <c r="D47" s="80" t="s">
        <v>195</v>
      </c>
      <c r="E47" s="80" t="s">
        <v>195</v>
      </c>
      <c r="F47" s="80" t="s">
        <v>195</v>
      </c>
      <c r="G47" s="80" t="s">
        <v>195</v>
      </c>
      <c r="H47" s="80" t="s">
        <v>195</v>
      </c>
      <c r="I47" s="80" t="s">
        <v>195</v>
      </c>
      <c r="J47" s="80" t="s">
        <v>195</v>
      </c>
      <c r="K47" s="80" t="s">
        <v>195</v>
      </c>
      <c r="L47" s="80" t="s">
        <v>195</v>
      </c>
      <c r="M47" s="80" t="s">
        <v>195</v>
      </c>
      <c r="N47" s="80" t="s">
        <v>195</v>
      </c>
      <c r="O47" s="80" t="s">
        <v>195</v>
      </c>
      <c r="P47" s="80" t="s">
        <v>195</v>
      </c>
      <c r="Q47" s="80" t="s">
        <v>195</v>
      </c>
      <c r="R47" s="80" t="s">
        <v>195</v>
      </c>
      <c r="S47" s="80" t="s">
        <v>195</v>
      </c>
      <c r="T47" s="80" t="s">
        <v>195</v>
      </c>
      <c r="U47" s="80" t="s">
        <v>195</v>
      </c>
      <c r="V47" s="80" t="s">
        <v>195</v>
      </c>
      <c r="W47" s="80" t="s">
        <v>195</v>
      </c>
      <c r="X47" s="80" t="s">
        <v>195</v>
      </c>
      <c r="Y47" s="80" t="s">
        <v>195</v>
      </c>
      <c r="Z47" s="80" t="s">
        <v>195</v>
      </c>
      <c r="AA47" s="80" t="s">
        <v>195</v>
      </c>
      <c r="AB47" s="80" t="s">
        <v>195</v>
      </c>
      <c r="AC47" s="80" t="s">
        <v>195</v>
      </c>
      <c r="AD47" s="80" t="s">
        <v>195</v>
      </c>
      <c r="AE47" s="80" t="s">
        <v>195</v>
      </c>
      <c r="AF47" s="80" t="s">
        <v>195</v>
      </c>
      <c r="AG47" s="80" t="s">
        <v>195</v>
      </c>
      <c r="AH47" s="80" t="s">
        <v>195</v>
      </c>
      <c r="AI47" s="80" t="s">
        <v>195</v>
      </c>
      <c r="AJ47" s="80" t="s">
        <v>195</v>
      </c>
      <c r="AK47" s="80" t="s">
        <v>195</v>
      </c>
      <c r="AL47" s="80" t="s">
        <v>195</v>
      </c>
      <c r="AM47" s="80" t="s">
        <v>195</v>
      </c>
      <c r="AN47" s="80" t="s">
        <v>195</v>
      </c>
      <c r="AO47" s="80" t="s">
        <v>195</v>
      </c>
      <c r="AP47" s="80" t="s">
        <v>195</v>
      </c>
      <c r="AQ47" s="80" t="s">
        <v>195</v>
      </c>
      <c r="AR47" s="80" t="s">
        <v>195</v>
      </c>
      <c r="AS47" s="80" t="s">
        <v>195</v>
      </c>
      <c r="AT47" s="80" t="s">
        <v>195</v>
      </c>
      <c r="AU47" s="80" t="s">
        <v>195</v>
      </c>
      <c r="AV47" s="80" t="s">
        <v>195</v>
      </c>
      <c r="AW47" s="80" t="s">
        <v>195</v>
      </c>
      <c r="AX47" s="80" t="s">
        <v>195</v>
      </c>
      <c r="AY47" s="80" t="s">
        <v>195</v>
      </c>
      <c r="AZ47" s="80" t="s">
        <v>195</v>
      </c>
      <c r="BA47" s="80" t="s">
        <v>195</v>
      </c>
      <c r="BB47" s="80" t="s">
        <v>195</v>
      </c>
      <c r="BC47" s="80" t="s">
        <v>195</v>
      </c>
      <c r="BD47" s="80" t="s">
        <v>195</v>
      </c>
      <c r="BE47" s="80" t="s">
        <v>195</v>
      </c>
      <c r="BF47" s="80" t="s">
        <v>195</v>
      </c>
      <c r="BG47" s="80" t="s">
        <v>195</v>
      </c>
      <c r="BH47" s="80" t="s">
        <v>195</v>
      </c>
      <c r="BI47" s="80" t="s">
        <v>195</v>
      </c>
      <c r="BJ47" s="80" t="s">
        <v>195</v>
      </c>
      <c r="BK47" s="80" t="s">
        <v>195</v>
      </c>
      <c r="BL47" s="80" t="s">
        <v>195</v>
      </c>
      <c r="BM47" s="80" t="s">
        <v>195</v>
      </c>
      <c r="BN47" s="80" t="s">
        <v>195</v>
      </c>
      <c r="BO47" s="80" t="s">
        <v>195</v>
      </c>
      <c r="BP47" s="80" t="s">
        <v>195</v>
      </c>
      <c r="BQ47" s="80" t="s">
        <v>195</v>
      </c>
      <c r="BR47" s="80" t="s">
        <v>195</v>
      </c>
      <c r="BS47" s="80" t="s">
        <v>195</v>
      </c>
      <c r="BT47" s="80" t="s">
        <v>195</v>
      </c>
      <c r="BU47" s="80" t="s">
        <v>195</v>
      </c>
      <c r="BV47" s="80" t="s">
        <v>195</v>
      </c>
    </row>
    <row r="48" spans="1:74">
      <c r="A48" s="78" t="s">
        <v>528</v>
      </c>
      <c r="B48" s="78" t="s">
        <v>529</v>
      </c>
      <c r="C48" s="82">
        <v>51.68</v>
      </c>
      <c r="D48" s="82">
        <v>14.22</v>
      </c>
      <c r="E48" s="83">
        <v>5.4</v>
      </c>
      <c r="F48" s="83">
        <v>4.0999999999999996</v>
      </c>
      <c r="G48" s="83">
        <v>100</v>
      </c>
      <c r="H48" s="82">
        <v>3.42</v>
      </c>
      <c r="I48" s="82">
        <v>10.35</v>
      </c>
      <c r="J48" s="82">
        <v>2.81</v>
      </c>
      <c r="K48" s="83">
        <v>3</v>
      </c>
      <c r="L48" s="82">
        <v>4.33</v>
      </c>
      <c r="M48" s="83">
        <v>100</v>
      </c>
      <c r="N48" s="82">
        <v>35.520000000000003</v>
      </c>
      <c r="O48" s="82">
        <v>49.07</v>
      </c>
      <c r="P48" s="82">
        <v>1.1100000000000001</v>
      </c>
      <c r="Q48" s="80" t="s">
        <v>195</v>
      </c>
      <c r="R48" s="82">
        <v>30.13</v>
      </c>
      <c r="S48" s="83">
        <v>48</v>
      </c>
      <c r="T48" s="82">
        <v>19.579999999999998</v>
      </c>
      <c r="U48" s="82">
        <v>462.68</v>
      </c>
      <c r="V48" s="82">
        <v>23.97</v>
      </c>
      <c r="W48" s="82">
        <v>7.79</v>
      </c>
      <c r="X48" s="83">
        <v>9.1</v>
      </c>
      <c r="Y48" s="82">
        <v>55.51</v>
      </c>
      <c r="Z48" s="82">
        <v>22.25</v>
      </c>
      <c r="AA48" s="82">
        <v>65.03</v>
      </c>
      <c r="AB48" s="82">
        <v>8.24</v>
      </c>
      <c r="AC48" s="82">
        <v>283.25</v>
      </c>
      <c r="AD48" s="82">
        <v>7.56</v>
      </c>
      <c r="AE48" s="82">
        <v>58.38</v>
      </c>
      <c r="AF48" s="82">
        <v>8.43</v>
      </c>
      <c r="AG48" s="82">
        <v>224.87</v>
      </c>
      <c r="AH48" s="82">
        <v>7.71</v>
      </c>
      <c r="AI48" s="82">
        <v>497.14</v>
      </c>
      <c r="AJ48" s="82">
        <v>9.7799999999999994</v>
      </c>
      <c r="AK48" s="82">
        <v>243.14</v>
      </c>
      <c r="AL48" s="82">
        <v>3.31</v>
      </c>
      <c r="AM48" s="82">
        <v>294.83999999999997</v>
      </c>
      <c r="AN48" s="82">
        <v>6.68</v>
      </c>
      <c r="AO48" s="82">
        <v>76.510000000000005</v>
      </c>
      <c r="AP48" s="82">
        <v>6.23</v>
      </c>
      <c r="AQ48" s="82">
        <v>159.06</v>
      </c>
      <c r="AR48" s="82">
        <v>10.02</v>
      </c>
      <c r="AS48" s="83">
        <v>23.1</v>
      </c>
      <c r="AT48" s="82">
        <v>5.04</v>
      </c>
      <c r="AU48" s="82">
        <v>4.13</v>
      </c>
      <c r="AV48" s="82">
        <v>3.56</v>
      </c>
      <c r="AW48" s="82">
        <v>96.07</v>
      </c>
      <c r="AX48" s="83">
        <v>2.2000000000000002</v>
      </c>
      <c r="AY48" s="83">
        <v>79.099999999999994</v>
      </c>
      <c r="AZ48" s="82">
        <v>2.0099999999999998</v>
      </c>
      <c r="BA48" s="82">
        <v>383.35</v>
      </c>
      <c r="BB48" s="82">
        <v>1.88</v>
      </c>
      <c r="BC48" s="82">
        <v>1.87</v>
      </c>
      <c r="BD48" s="82">
        <v>0.23</v>
      </c>
      <c r="BE48" s="83">
        <v>20.9</v>
      </c>
      <c r="BF48" s="82">
        <v>1.17</v>
      </c>
      <c r="BG48" s="83">
        <v>421.8</v>
      </c>
      <c r="BH48" s="82">
        <v>7.05</v>
      </c>
      <c r="BI48" s="82">
        <v>94.85</v>
      </c>
      <c r="BJ48" s="82">
        <v>0.81</v>
      </c>
      <c r="BK48" s="82">
        <v>224.15</v>
      </c>
      <c r="BL48" s="82">
        <v>0.69</v>
      </c>
      <c r="BM48" s="83">
        <v>20</v>
      </c>
      <c r="BN48" s="83">
        <v>2.2000000000000002</v>
      </c>
      <c r="BO48" s="82">
        <v>140.35</v>
      </c>
      <c r="BP48" s="82">
        <v>1.06</v>
      </c>
      <c r="BQ48" s="82">
        <v>311.64999999999998</v>
      </c>
      <c r="BR48" s="82">
        <v>57.04</v>
      </c>
      <c r="BS48" s="83">
        <v>231.5</v>
      </c>
      <c r="BT48" s="82">
        <v>10.07</v>
      </c>
      <c r="BU48" s="82">
        <v>211.45</v>
      </c>
      <c r="BV48" s="82">
        <v>1.07</v>
      </c>
    </row>
    <row r="49" spans="1:74">
      <c r="A49" s="78" t="s">
        <v>530</v>
      </c>
      <c r="B49" s="78" t="s">
        <v>531</v>
      </c>
      <c r="C49" s="81">
        <v>394.21</v>
      </c>
      <c r="D49" s="81">
        <v>32.869999999999997</v>
      </c>
      <c r="E49" s="81">
        <v>487.14</v>
      </c>
      <c r="F49" s="81">
        <v>86.24</v>
      </c>
      <c r="G49" s="81">
        <v>206.25</v>
      </c>
      <c r="H49" s="81">
        <v>50.06</v>
      </c>
      <c r="I49" s="81">
        <v>425.67</v>
      </c>
      <c r="J49" s="81">
        <v>40.729999999999997</v>
      </c>
      <c r="K49" s="81">
        <v>392.68</v>
      </c>
      <c r="L49" s="84">
        <v>8</v>
      </c>
      <c r="M49" s="81">
        <v>362.16</v>
      </c>
      <c r="N49" s="81">
        <v>24.03</v>
      </c>
      <c r="O49" s="81">
        <v>433.78</v>
      </c>
      <c r="P49" s="81">
        <v>48.58</v>
      </c>
      <c r="Q49" s="81">
        <v>823.24</v>
      </c>
      <c r="R49" s="81">
        <v>4.83</v>
      </c>
      <c r="S49" s="81">
        <v>361.78</v>
      </c>
      <c r="T49" s="81">
        <v>11.66</v>
      </c>
      <c r="U49" s="81">
        <v>161.53</v>
      </c>
      <c r="V49" s="81">
        <v>24.48</v>
      </c>
      <c r="W49" s="81">
        <v>644.09</v>
      </c>
      <c r="X49" s="81">
        <v>125.95</v>
      </c>
      <c r="Y49" s="81">
        <v>720.85</v>
      </c>
      <c r="Z49" s="81">
        <v>101.91</v>
      </c>
      <c r="AA49" s="81">
        <v>2343.09</v>
      </c>
      <c r="AB49" s="81">
        <v>20.09</v>
      </c>
      <c r="AC49" s="81">
        <v>497.74</v>
      </c>
      <c r="AD49" s="81">
        <v>9.59</v>
      </c>
      <c r="AE49" s="81">
        <v>898.12</v>
      </c>
      <c r="AF49" s="81">
        <v>12.44</v>
      </c>
      <c r="AG49" s="81">
        <v>1885.22</v>
      </c>
      <c r="AH49" s="81">
        <v>8.4499999999999993</v>
      </c>
      <c r="AI49" s="81">
        <v>1903.92</v>
      </c>
      <c r="AJ49" s="81">
        <v>44.17</v>
      </c>
      <c r="AK49" s="81">
        <v>999.13</v>
      </c>
      <c r="AL49" s="81">
        <v>14.08</v>
      </c>
      <c r="AM49" s="81">
        <v>1614.91</v>
      </c>
      <c r="AN49" s="81">
        <v>561.87</v>
      </c>
      <c r="AO49" s="81">
        <v>997.69</v>
      </c>
      <c r="AP49" s="81">
        <v>5.45</v>
      </c>
      <c r="AQ49" s="81">
        <v>1333.39</v>
      </c>
      <c r="AR49" s="81">
        <v>8.99</v>
      </c>
      <c r="AS49" s="81">
        <v>1028.28</v>
      </c>
      <c r="AT49" s="81">
        <v>5.71</v>
      </c>
      <c r="AU49" s="81">
        <v>753.41</v>
      </c>
      <c r="AV49" s="81">
        <v>4.51</v>
      </c>
      <c r="AW49" s="81">
        <v>1123.76</v>
      </c>
      <c r="AX49" s="84">
        <v>10</v>
      </c>
      <c r="AY49" s="81">
        <v>3765.84</v>
      </c>
      <c r="AZ49" s="81">
        <v>769.25</v>
      </c>
      <c r="BA49" s="81">
        <v>2978.46</v>
      </c>
      <c r="BB49" s="84">
        <v>290</v>
      </c>
      <c r="BC49" s="81">
        <v>477.38</v>
      </c>
      <c r="BD49" s="81">
        <v>45.05</v>
      </c>
      <c r="BE49" s="81">
        <v>435.89</v>
      </c>
      <c r="BF49" s="81">
        <v>118.66</v>
      </c>
      <c r="BG49" s="81">
        <v>838.76</v>
      </c>
      <c r="BH49" s="81">
        <v>57.53</v>
      </c>
      <c r="BI49" s="81">
        <v>500.18</v>
      </c>
      <c r="BJ49" s="81">
        <v>88.73</v>
      </c>
      <c r="BK49" s="81">
        <v>273.06</v>
      </c>
      <c r="BL49" s="81">
        <v>60.87</v>
      </c>
      <c r="BM49" s="81">
        <v>238.57</v>
      </c>
      <c r="BN49" s="81">
        <v>90.76</v>
      </c>
      <c r="BO49" s="84">
        <v>453</v>
      </c>
      <c r="BP49" s="81">
        <v>160.74</v>
      </c>
      <c r="BQ49" s="81">
        <v>176.23</v>
      </c>
      <c r="BR49" s="81">
        <v>46.15</v>
      </c>
      <c r="BS49" s="81">
        <v>958.26</v>
      </c>
      <c r="BT49" s="84">
        <v>75.2</v>
      </c>
      <c r="BU49" s="81">
        <v>254.76</v>
      </c>
      <c r="BV49" s="81">
        <v>209.67</v>
      </c>
    </row>
    <row r="50" spans="1:74">
      <c r="A50" s="78" t="s">
        <v>532</v>
      </c>
      <c r="B50" s="78" t="s">
        <v>533</v>
      </c>
      <c r="C50" s="82">
        <v>2889.61</v>
      </c>
      <c r="D50" s="82">
        <v>70.77</v>
      </c>
      <c r="E50" s="82">
        <v>0.75</v>
      </c>
      <c r="F50" s="82">
        <v>21.86</v>
      </c>
      <c r="G50" s="82">
        <v>341.05</v>
      </c>
      <c r="H50" s="82">
        <v>296.92</v>
      </c>
      <c r="I50" s="83">
        <v>5</v>
      </c>
      <c r="J50" s="82">
        <v>17.39</v>
      </c>
      <c r="K50" s="83">
        <v>101.6</v>
      </c>
      <c r="L50" s="83">
        <v>25.3</v>
      </c>
      <c r="M50" s="82">
        <v>133.44999999999999</v>
      </c>
      <c r="N50" s="83">
        <v>28.3</v>
      </c>
      <c r="O50" s="82">
        <v>26.56</v>
      </c>
      <c r="P50" s="82">
        <v>195.49</v>
      </c>
      <c r="Q50" s="82">
        <v>8.0399999999999991</v>
      </c>
      <c r="R50" s="82">
        <v>31.66</v>
      </c>
      <c r="S50" s="82">
        <v>179.99</v>
      </c>
      <c r="T50" s="82">
        <v>29.94</v>
      </c>
      <c r="U50" s="83">
        <v>55.7</v>
      </c>
      <c r="V50" s="82">
        <v>35.42</v>
      </c>
      <c r="W50" s="83">
        <v>2</v>
      </c>
      <c r="X50" s="82">
        <v>38.909999999999997</v>
      </c>
      <c r="Y50" s="82">
        <v>162.25</v>
      </c>
      <c r="Z50" s="82">
        <v>39.03</v>
      </c>
      <c r="AA50" s="82">
        <v>88.98</v>
      </c>
      <c r="AB50" s="82">
        <v>32.53</v>
      </c>
      <c r="AC50" s="82">
        <v>5.33</v>
      </c>
      <c r="AD50" s="82">
        <v>37.57</v>
      </c>
      <c r="AE50" s="82">
        <v>175.64</v>
      </c>
      <c r="AF50" s="82">
        <v>24.13</v>
      </c>
      <c r="AG50" s="82">
        <v>378.59</v>
      </c>
      <c r="AH50" s="82">
        <v>38.450000000000003</v>
      </c>
      <c r="AI50" s="82">
        <v>281.43</v>
      </c>
      <c r="AJ50" s="82">
        <v>31.64</v>
      </c>
      <c r="AK50" s="82">
        <v>36.18</v>
      </c>
      <c r="AL50" s="82">
        <v>40.58</v>
      </c>
      <c r="AM50" s="82">
        <v>66.72</v>
      </c>
      <c r="AN50" s="82">
        <v>25.06</v>
      </c>
      <c r="AO50" s="82">
        <v>121.75</v>
      </c>
      <c r="AP50" s="82">
        <v>39.72</v>
      </c>
      <c r="AQ50" s="83">
        <v>158.30000000000001</v>
      </c>
      <c r="AR50" s="82">
        <v>44.77</v>
      </c>
      <c r="AS50" s="82">
        <v>315.05</v>
      </c>
      <c r="AT50" s="82">
        <v>82.35</v>
      </c>
      <c r="AU50" s="82">
        <v>458.75</v>
      </c>
      <c r="AV50" s="82">
        <v>7.77</v>
      </c>
      <c r="AW50" s="82">
        <v>1127.56</v>
      </c>
      <c r="AX50" s="82">
        <v>6.82</v>
      </c>
      <c r="AY50" s="83">
        <v>55.1</v>
      </c>
      <c r="AZ50" s="82">
        <v>80.14</v>
      </c>
      <c r="BA50" s="82">
        <v>48.36</v>
      </c>
      <c r="BB50" s="82">
        <v>69.38</v>
      </c>
      <c r="BC50" s="83">
        <v>112.5</v>
      </c>
      <c r="BD50" s="82">
        <v>300.18</v>
      </c>
      <c r="BE50" s="82">
        <v>116.88</v>
      </c>
      <c r="BF50" s="82">
        <v>122.44</v>
      </c>
      <c r="BG50" s="82">
        <v>158.87</v>
      </c>
      <c r="BH50" s="82">
        <v>131.76</v>
      </c>
      <c r="BI50" s="83">
        <v>84.4</v>
      </c>
      <c r="BJ50" s="82">
        <v>136.41999999999999</v>
      </c>
      <c r="BK50" s="82">
        <v>24.36</v>
      </c>
      <c r="BL50" s="82">
        <v>196.29</v>
      </c>
      <c r="BM50" s="82">
        <v>19.91</v>
      </c>
      <c r="BN50" s="82">
        <v>170.81</v>
      </c>
      <c r="BO50" s="82">
        <v>74.44</v>
      </c>
      <c r="BP50" s="82">
        <v>88.92</v>
      </c>
      <c r="BQ50" s="82">
        <v>93.28</v>
      </c>
      <c r="BR50" s="82">
        <v>116.68</v>
      </c>
      <c r="BS50" s="82">
        <v>82.86</v>
      </c>
      <c r="BT50" s="82">
        <v>115.53</v>
      </c>
      <c r="BU50" s="82">
        <v>101.84</v>
      </c>
      <c r="BV50" s="82">
        <v>158.74</v>
      </c>
    </row>
    <row r="51" spans="1:74">
      <c r="A51" s="78" t="s">
        <v>534</v>
      </c>
      <c r="B51" s="78" t="s">
        <v>535</v>
      </c>
      <c r="C51" s="81">
        <v>11789.26</v>
      </c>
      <c r="D51" s="84">
        <v>55.2</v>
      </c>
      <c r="E51" s="81">
        <v>7405.21</v>
      </c>
      <c r="F51" s="81">
        <v>53.23</v>
      </c>
      <c r="G51" s="81">
        <v>9117.44</v>
      </c>
      <c r="H51" s="81">
        <v>108.55</v>
      </c>
      <c r="I51" s="84">
        <v>16124.6</v>
      </c>
      <c r="J51" s="81">
        <v>66.209999999999994</v>
      </c>
      <c r="K51" s="81">
        <v>34105.050000000003</v>
      </c>
      <c r="L51" s="84">
        <v>169.4</v>
      </c>
      <c r="M51" s="84">
        <v>20230.8</v>
      </c>
      <c r="N51" s="81">
        <v>630.82000000000005</v>
      </c>
      <c r="O51" s="81">
        <v>18931.560000000001</v>
      </c>
      <c r="P51" s="81">
        <v>274.62</v>
      </c>
      <c r="Q51" s="81">
        <v>45704.12</v>
      </c>
      <c r="R51" s="81">
        <v>347.67</v>
      </c>
      <c r="S51" s="81">
        <v>45567.17</v>
      </c>
      <c r="T51" s="84">
        <v>459.7</v>
      </c>
      <c r="U51" s="81">
        <v>21075.42</v>
      </c>
      <c r="V51" s="81">
        <v>162.05000000000001</v>
      </c>
      <c r="W51" s="81">
        <v>18652.11</v>
      </c>
      <c r="X51" s="84">
        <v>167.3</v>
      </c>
      <c r="Y51" s="81">
        <v>21434.17</v>
      </c>
      <c r="Z51" s="81">
        <v>143.33000000000001</v>
      </c>
      <c r="AA51" s="81">
        <v>41184.17</v>
      </c>
      <c r="AB51" s="81">
        <v>5802.75</v>
      </c>
      <c r="AC51" s="81">
        <v>18717.89</v>
      </c>
      <c r="AD51" s="81">
        <v>1667.33</v>
      </c>
      <c r="AE51" s="81">
        <v>22627.31</v>
      </c>
      <c r="AF51" s="81">
        <v>346.64</v>
      </c>
      <c r="AG51" s="81">
        <v>17766.080000000002</v>
      </c>
      <c r="AH51" s="81">
        <v>44.67</v>
      </c>
      <c r="AI51" s="81">
        <v>25945.02</v>
      </c>
      <c r="AJ51" s="81">
        <v>63.31</v>
      </c>
      <c r="AK51" s="81">
        <v>29701.27</v>
      </c>
      <c r="AL51" s="84">
        <v>19.7</v>
      </c>
      <c r="AM51" s="81">
        <v>32872.58</v>
      </c>
      <c r="AN51" s="81">
        <v>26.95</v>
      </c>
      <c r="AO51" s="84">
        <v>45894.7</v>
      </c>
      <c r="AP51" s="81">
        <v>33.86</v>
      </c>
      <c r="AQ51" s="81">
        <v>14448.03</v>
      </c>
      <c r="AR51" s="81">
        <v>56.35</v>
      </c>
      <c r="AS51" s="81">
        <v>21589.71</v>
      </c>
      <c r="AT51" s="81">
        <v>21.97</v>
      </c>
      <c r="AU51" s="81">
        <v>26325.98</v>
      </c>
      <c r="AV51" s="81">
        <v>6.07</v>
      </c>
      <c r="AW51" s="81">
        <v>26831.24</v>
      </c>
      <c r="AX51" s="81">
        <v>11.57</v>
      </c>
      <c r="AY51" s="81">
        <v>11182.37</v>
      </c>
      <c r="AZ51" s="81">
        <v>15.48</v>
      </c>
      <c r="BA51" s="81">
        <v>11952.59</v>
      </c>
      <c r="BB51" s="81">
        <v>93.01</v>
      </c>
      <c r="BC51" s="81">
        <v>75260.320000000007</v>
      </c>
      <c r="BD51" s="81">
        <v>147.37</v>
      </c>
      <c r="BE51" s="81">
        <v>6634.71</v>
      </c>
      <c r="BF51" s="81">
        <v>98.99</v>
      </c>
      <c r="BG51" s="81">
        <v>4976.46</v>
      </c>
      <c r="BH51" s="81">
        <v>217.48</v>
      </c>
      <c r="BI51" s="81">
        <v>4337.67</v>
      </c>
      <c r="BJ51" s="84">
        <v>75.2</v>
      </c>
      <c r="BK51" s="81">
        <v>2087.41</v>
      </c>
      <c r="BL51" s="81">
        <v>133.56</v>
      </c>
      <c r="BM51" s="81">
        <v>17306.169999999998</v>
      </c>
      <c r="BN51" s="81">
        <v>31.94</v>
      </c>
      <c r="BO51" s="81">
        <v>79701.820000000007</v>
      </c>
      <c r="BP51" s="81">
        <v>84.43</v>
      </c>
      <c r="BQ51" s="81">
        <v>40135.120000000003</v>
      </c>
      <c r="BR51" s="84">
        <v>132.1</v>
      </c>
      <c r="BS51" s="84">
        <v>4055.4</v>
      </c>
      <c r="BT51" s="81">
        <v>86.05</v>
      </c>
      <c r="BU51" s="81">
        <v>3917.18</v>
      </c>
      <c r="BV51" s="81">
        <v>298.56</v>
      </c>
    </row>
    <row r="52" spans="1:74">
      <c r="A52" s="78" t="s">
        <v>536</v>
      </c>
      <c r="B52" s="78" t="s">
        <v>537</v>
      </c>
      <c r="C52" s="80" t="s">
        <v>195</v>
      </c>
      <c r="D52" s="80" t="s">
        <v>195</v>
      </c>
      <c r="E52" s="80" t="s">
        <v>195</v>
      </c>
      <c r="F52" s="80" t="s">
        <v>195</v>
      </c>
      <c r="G52" s="80" t="s">
        <v>195</v>
      </c>
      <c r="H52" s="80" t="s">
        <v>195</v>
      </c>
      <c r="I52" s="80" t="s">
        <v>195</v>
      </c>
      <c r="J52" s="80" t="s">
        <v>195</v>
      </c>
      <c r="K52" s="80" t="s">
        <v>195</v>
      </c>
      <c r="L52" s="80" t="s">
        <v>195</v>
      </c>
      <c r="M52" s="80" t="s">
        <v>195</v>
      </c>
      <c r="N52" s="80" t="s">
        <v>195</v>
      </c>
      <c r="O52" s="80" t="s">
        <v>195</v>
      </c>
      <c r="P52" s="80" t="s">
        <v>195</v>
      </c>
      <c r="Q52" s="80" t="s">
        <v>195</v>
      </c>
      <c r="R52" s="80" t="s">
        <v>195</v>
      </c>
      <c r="S52" s="80" t="s">
        <v>195</v>
      </c>
      <c r="T52" s="80" t="s">
        <v>195</v>
      </c>
      <c r="U52" s="80" t="s">
        <v>195</v>
      </c>
      <c r="V52" s="80" t="s">
        <v>195</v>
      </c>
      <c r="W52" s="80" t="s">
        <v>195</v>
      </c>
      <c r="X52" s="80" t="s">
        <v>195</v>
      </c>
      <c r="Y52" s="80" t="s">
        <v>195</v>
      </c>
      <c r="Z52" s="80" t="s">
        <v>195</v>
      </c>
      <c r="AA52" s="80" t="s">
        <v>195</v>
      </c>
      <c r="AB52" s="80" t="s">
        <v>195</v>
      </c>
      <c r="AC52" s="80" t="s">
        <v>195</v>
      </c>
      <c r="AD52" s="80" t="s">
        <v>195</v>
      </c>
      <c r="AE52" s="80" t="s">
        <v>195</v>
      </c>
      <c r="AF52" s="80" t="s">
        <v>195</v>
      </c>
      <c r="AG52" s="80" t="s">
        <v>195</v>
      </c>
      <c r="AH52" s="80" t="s">
        <v>195</v>
      </c>
      <c r="AI52" s="80" t="s">
        <v>195</v>
      </c>
      <c r="AJ52" s="80" t="s">
        <v>195</v>
      </c>
      <c r="AK52" s="80" t="s">
        <v>195</v>
      </c>
      <c r="AL52" s="80" t="s">
        <v>195</v>
      </c>
      <c r="AM52" s="80" t="s">
        <v>195</v>
      </c>
      <c r="AN52" s="80" t="s">
        <v>195</v>
      </c>
      <c r="AO52" s="80" t="s">
        <v>195</v>
      </c>
      <c r="AP52" s="80" t="s">
        <v>195</v>
      </c>
      <c r="AQ52" s="80" t="s">
        <v>195</v>
      </c>
      <c r="AR52" s="80" t="s">
        <v>195</v>
      </c>
      <c r="AS52" s="80" t="s">
        <v>195</v>
      </c>
      <c r="AT52" s="80" t="s">
        <v>195</v>
      </c>
      <c r="AU52" s="80" t="s">
        <v>195</v>
      </c>
      <c r="AV52" s="80" t="s">
        <v>195</v>
      </c>
      <c r="AW52" s="80" t="s">
        <v>195</v>
      </c>
      <c r="AX52" s="80" t="s">
        <v>195</v>
      </c>
      <c r="AY52" s="80" t="s">
        <v>195</v>
      </c>
      <c r="AZ52" s="82">
        <v>12.68</v>
      </c>
      <c r="BA52" s="83">
        <v>0.1</v>
      </c>
      <c r="BB52" s="82">
        <v>2.15</v>
      </c>
      <c r="BC52" s="80" t="s">
        <v>195</v>
      </c>
      <c r="BD52" s="82">
        <v>52.82</v>
      </c>
      <c r="BE52" s="82">
        <v>255.36</v>
      </c>
      <c r="BF52" s="80" t="s">
        <v>195</v>
      </c>
      <c r="BG52" s="82">
        <v>1.0900000000000001</v>
      </c>
      <c r="BH52" s="80" t="s">
        <v>195</v>
      </c>
      <c r="BI52" s="83">
        <v>21.9</v>
      </c>
      <c r="BJ52" s="82">
        <v>24.92</v>
      </c>
      <c r="BK52" s="82">
        <v>0.08</v>
      </c>
      <c r="BL52" s="82">
        <v>0.01</v>
      </c>
      <c r="BM52" s="80" t="s">
        <v>195</v>
      </c>
      <c r="BN52" s="82">
        <v>16.04</v>
      </c>
      <c r="BO52" s="83">
        <v>0</v>
      </c>
      <c r="BP52" s="82">
        <v>0.44</v>
      </c>
      <c r="BQ52" s="80" t="s">
        <v>195</v>
      </c>
      <c r="BR52" s="82">
        <v>4.25</v>
      </c>
      <c r="BS52" s="83">
        <v>0.6</v>
      </c>
      <c r="BT52" s="83">
        <v>13.1</v>
      </c>
      <c r="BU52" s="80" t="s">
        <v>195</v>
      </c>
      <c r="BV52" s="82">
        <v>12.29</v>
      </c>
    </row>
    <row r="53" spans="1:74">
      <c r="A53" s="78" t="s">
        <v>538</v>
      </c>
      <c r="B53" s="78" t="s">
        <v>539</v>
      </c>
      <c r="C53" s="82">
        <v>925.89</v>
      </c>
      <c r="D53" s="82">
        <v>2920.69</v>
      </c>
      <c r="E53" s="82">
        <v>332.25</v>
      </c>
      <c r="F53" s="82">
        <v>1322.81</v>
      </c>
      <c r="G53" s="82">
        <v>704.89</v>
      </c>
      <c r="H53" s="82">
        <v>1576.79</v>
      </c>
      <c r="I53" s="82">
        <v>1637.32</v>
      </c>
      <c r="J53" s="82">
        <v>1691.03</v>
      </c>
      <c r="K53" s="82">
        <v>364.96</v>
      </c>
      <c r="L53" s="82">
        <v>2992.92</v>
      </c>
      <c r="M53" s="82">
        <v>1238.8699999999999</v>
      </c>
      <c r="N53" s="82">
        <v>1263.49</v>
      </c>
      <c r="O53" s="82">
        <v>836.01</v>
      </c>
      <c r="P53" s="82">
        <v>2291.63</v>
      </c>
      <c r="Q53" s="83">
        <v>1109.0999999999999</v>
      </c>
      <c r="R53" s="82">
        <v>1684.55</v>
      </c>
      <c r="S53" s="82">
        <v>752.18</v>
      </c>
      <c r="T53" s="83">
        <v>1287.5</v>
      </c>
      <c r="U53" s="82">
        <v>3095.76</v>
      </c>
      <c r="V53" s="82">
        <v>1995.81</v>
      </c>
      <c r="W53" s="82">
        <v>7246.56</v>
      </c>
      <c r="X53" s="82">
        <v>678.39</v>
      </c>
      <c r="Y53" s="83">
        <v>3295.5</v>
      </c>
      <c r="Z53" s="83">
        <v>190.5</v>
      </c>
      <c r="AA53" s="82">
        <v>891.17</v>
      </c>
      <c r="AB53" s="82">
        <v>146.26</v>
      </c>
      <c r="AC53" s="82">
        <v>2955.44</v>
      </c>
      <c r="AD53" s="82">
        <v>41.36</v>
      </c>
      <c r="AE53" s="82">
        <v>939.77</v>
      </c>
      <c r="AF53" s="82">
        <v>95.77</v>
      </c>
      <c r="AG53" s="82">
        <v>1195.07</v>
      </c>
      <c r="AH53" s="82">
        <v>154.11000000000001</v>
      </c>
      <c r="AI53" s="82">
        <v>365.32</v>
      </c>
      <c r="AJ53" s="82">
        <v>114.05</v>
      </c>
      <c r="AK53" s="82">
        <v>950.87</v>
      </c>
      <c r="AL53" s="82">
        <v>63.05</v>
      </c>
      <c r="AM53" s="83">
        <v>1154.3</v>
      </c>
      <c r="AN53" s="82">
        <v>148.34</v>
      </c>
      <c r="AO53" s="82">
        <v>805.05</v>
      </c>
      <c r="AP53" s="82">
        <v>149.82</v>
      </c>
      <c r="AQ53" s="82">
        <v>987.87</v>
      </c>
      <c r="AR53" s="82">
        <v>94.91</v>
      </c>
      <c r="AS53" s="82">
        <v>1195.75</v>
      </c>
      <c r="AT53" s="83">
        <v>1283.0999999999999</v>
      </c>
      <c r="AU53" s="82">
        <v>1519.08</v>
      </c>
      <c r="AV53" s="82">
        <v>927.11</v>
      </c>
      <c r="AW53" s="82">
        <v>1186.6600000000001</v>
      </c>
      <c r="AX53" s="82">
        <v>299.58</v>
      </c>
      <c r="AY53" s="82">
        <v>869.92</v>
      </c>
      <c r="AZ53" s="82">
        <v>19.29</v>
      </c>
      <c r="BA53" s="82">
        <v>552.73</v>
      </c>
      <c r="BB53" s="82">
        <v>52.51</v>
      </c>
      <c r="BC53" s="82">
        <v>400.44</v>
      </c>
      <c r="BD53" s="82">
        <v>18.170000000000002</v>
      </c>
      <c r="BE53" s="82">
        <v>1222.83</v>
      </c>
      <c r="BF53" s="82">
        <v>17.86</v>
      </c>
      <c r="BG53" s="82">
        <v>504.22</v>
      </c>
      <c r="BH53" s="82">
        <v>147.27000000000001</v>
      </c>
      <c r="BI53" s="82">
        <v>488.19</v>
      </c>
      <c r="BJ53" s="82">
        <v>92.98</v>
      </c>
      <c r="BK53" s="82">
        <v>763.16</v>
      </c>
      <c r="BL53" s="83">
        <v>74.900000000000006</v>
      </c>
      <c r="BM53" s="82">
        <v>330.26</v>
      </c>
      <c r="BN53" s="82">
        <v>261.52999999999997</v>
      </c>
      <c r="BO53" s="82">
        <v>577.44000000000005</v>
      </c>
      <c r="BP53" s="82">
        <v>247.58</v>
      </c>
      <c r="BQ53" s="82">
        <v>620.36</v>
      </c>
      <c r="BR53" s="82">
        <v>136.53</v>
      </c>
      <c r="BS53" s="82">
        <v>1091.3699999999999</v>
      </c>
      <c r="BT53" s="82">
        <v>37.97</v>
      </c>
      <c r="BU53" s="82">
        <v>660.67</v>
      </c>
      <c r="BV53" s="82">
        <v>106.28</v>
      </c>
    </row>
    <row r="54" spans="1:74">
      <c r="A54" s="78" t="s">
        <v>540</v>
      </c>
      <c r="B54" s="78" t="s">
        <v>541</v>
      </c>
      <c r="C54" s="81">
        <v>85.73</v>
      </c>
      <c r="D54" s="81">
        <v>9.9700000000000006</v>
      </c>
      <c r="E54" s="81">
        <v>90.96</v>
      </c>
      <c r="F54" s="81">
        <v>1.82</v>
      </c>
      <c r="G54" s="84">
        <v>20.2</v>
      </c>
      <c r="H54" s="81">
        <v>2.63</v>
      </c>
      <c r="I54" s="81">
        <v>56.13</v>
      </c>
      <c r="J54" s="81">
        <v>0.72</v>
      </c>
      <c r="K54" s="81">
        <v>171.67</v>
      </c>
      <c r="L54" s="81">
        <v>3.46</v>
      </c>
      <c r="M54" s="81">
        <v>440.65</v>
      </c>
      <c r="N54" s="81">
        <v>1.1599999999999999</v>
      </c>
      <c r="O54" s="84">
        <v>33.5</v>
      </c>
      <c r="P54" s="81">
        <v>5.01</v>
      </c>
      <c r="Q54" s="84">
        <v>34.700000000000003</v>
      </c>
      <c r="R54" s="84">
        <v>0.4</v>
      </c>
      <c r="S54" s="81">
        <v>76.19</v>
      </c>
      <c r="T54" s="81">
        <v>23.02</v>
      </c>
      <c r="U54" s="81">
        <v>303.67</v>
      </c>
      <c r="V54" s="81">
        <v>1.62</v>
      </c>
      <c r="W54" s="81">
        <v>49.55</v>
      </c>
      <c r="X54" s="81">
        <v>4.3899999999999997</v>
      </c>
      <c r="Y54" s="81">
        <v>884.59</v>
      </c>
      <c r="Z54" s="81">
        <v>1.92</v>
      </c>
      <c r="AA54" s="81">
        <v>136.09</v>
      </c>
      <c r="AB54" s="81">
        <v>6.16</v>
      </c>
      <c r="AC54" s="84">
        <v>139.19999999999999</v>
      </c>
      <c r="AD54" s="81">
        <v>1.52</v>
      </c>
      <c r="AE54" s="81">
        <v>174.86</v>
      </c>
      <c r="AF54" s="84">
        <v>3.5</v>
      </c>
      <c r="AG54" s="81">
        <v>127.78</v>
      </c>
      <c r="AH54" s="81">
        <v>8.31</v>
      </c>
      <c r="AI54" s="81">
        <v>154.13999999999999</v>
      </c>
      <c r="AJ54" s="81">
        <v>12.12</v>
      </c>
      <c r="AK54" s="81">
        <v>128.63</v>
      </c>
      <c r="AL54" s="84">
        <v>5.7</v>
      </c>
      <c r="AM54" s="81">
        <v>444.87</v>
      </c>
      <c r="AN54" s="81">
        <v>7.16</v>
      </c>
      <c r="AO54" s="81">
        <v>113.01</v>
      </c>
      <c r="AP54" s="81">
        <v>7.42</v>
      </c>
      <c r="AQ54" s="81">
        <v>193.62</v>
      </c>
      <c r="AR54" s="81">
        <v>45.11</v>
      </c>
      <c r="AS54" s="81">
        <v>49.67</v>
      </c>
      <c r="AT54" s="81">
        <v>9.52</v>
      </c>
      <c r="AU54" s="81">
        <v>328.32</v>
      </c>
      <c r="AV54" s="81">
        <v>4.38</v>
      </c>
      <c r="AW54" s="81">
        <v>120.19</v>
      </c>
      <c r="AX54" s="81">
        <v>8.51</v>
      </c>
      <c r="AY54" s="84">
        <v>522.5</v>
      </c>
      <c r="AZ54" s="81">
        <v>8.07</v>
      </c>
      <c r="BA54" s="81">
        <v>89.45</v>
      </c>
      <c r="BB54" s="81">
        <v>9.1300000000000008</v>
      </c>
      <c r="BC54" s="81">
        <v>37.47</v>
      </c>
      <c r="BD54" s="81">
        <v>24.69</v>
      </c>
      <c r="BE54" s="81">
        <v>332.77</v>
      </c>
      <c r="BF54" s="84">
        <v>17.2</v>
      </c>
      <c r="BG54" s="81">
        <v>31.62</v>
      </c>
      <c r="BH54" s="81">
        <v>22.73</v>
      </c>
      <c r="BI54" s="81">
        <v>245.01</v>
      </c>
      <c r="BJ54" s="81">
        <v>16.37</v>
      </c>
      <c r="BK54" s="81">
        <v>496.14</v>
      </c>
      <c r="BL54" s="81">
        <v>8.9600000000000009</v>
      </c>
      <c r="BM54" s="81">
        <v>141.29</v>
      </c>
      <c r="BN54" s="81">
        <v>29.14</v>
      </c>
      <c r="BO54" s="81">
        <v>109.07</v>
      </c>
      <c r="BP54" s="81">
        <v>19.61</v>
      </c>
      <c r="BQ54" s="81">
        <v>119.32</v>
      </c>
      <c r="BR54" s="81">
        <v>26.57</v>
      </c>
      <c r="BS54" s="81">
        <v>206.08</v>
      </c>
      <c r="BT54" s="84">
        <v>18</v>
      </c>
      <c r="BU54" s="81">
        <v>249.73</v>
      </c>
      <c r="BV54" s="84">
        <v>26.2</v>
      </c>
    </row>
    <row r="55" spans="1:74">
      <c r="A55" s="78" t="s">
        <v>542</v>
      </c>
      <c r="B55" s="78" t="s">
        <v>543</v>
      </c>
      <c r="C55" s="82">
        <v>683.04</v>
      </c>
      <c r="D55" s="82">
        <v>124.23</v>
      </c>
      <c r="E55" s="82">
        <v>4938.95</v>
      </c>
      <c r="F55" s="82">
        <v>582.29</v>
      </c>
      <c r="G55" s="82">
        <v>2142.7199999999998</v>
      </c>
      <c r="H55" s="82">
        <v>790.75</v>
      </c>
      <c r="I55" s="82">
        <v>3103.93</v>
      </c>
      <c r="J55" s="83">
        <v>2539.3000000000002</v>
      </c>
      <c r="K55" s="82">
        <v>2854.16</v>
      </c>
      <c r="L55" s="82">
        <v>74.66</v>
      </c>
      <c r="M55" s="82">
        <v>2244.16</v>
      </c>
      <c r="N55" s="82">
        <v>368.58</v>
      </c>
      <c r="O55" s="82">
        <v>2837.45</v>
      </c>
      <c r="P55" s="82">
        <v>230.52</v>
      </c>
      <c r="Q55" s="82">
        <v>2899.79</v>
      </c>
      <c r="R55" s="82">
        <v>211.68</v>
      </c>
      <c r="S55" s="82">
        <v>2605.04</v>
      </c>
      <c r="T55" s="82">
        <v>723.36</v>
      </c>
      <c r="U55" s="82">
        <v>1585.45</v>
      </c>
      <c r="V55" s="82">
        <v>294.62</v>
      </c>
      <c r="W55" s="82">
        <v>3149.49</v>
      </c>
      <c r="X55" s="82">
        <v>178.13</v>
      </c>
      <c r="Y55" s="82">
        <v>2749.76</v>
      </c>
      <c r="Z55" s="82">
        <v>290.93</v>
      </c>
      <c r="AA55" s="82">
        <v>490.74</v>
      </c>
      <c r="AB55" s="82">
        <v>129.88999999999999</v>
      </c>
      <c r="AC55" s="82">
        <v>166.49</v>
      </c>
      <c r="AD55" s="82">
        <v>39.49</v>
      </c>
      <c r="AE55" s="82">
        <v>782.33</v>
      </c>
      <c r="AF55" s="82">
        <v>120.81</v>
      </c>
      <c r="AG55" s="82">
        <v>637.87</v>
      </c>
      <c r="AH55" s="82">
        <v>92.62</v>
      </c>
      <c r="AI55" s="82">
        <v>776.29</v>
      </c>
      <c r="AJ55" s="83">
        <v>62.8</v>
      </c>
      <c r="AK55" s="82">
        <v>421.41</v>
      </c>
      <c r="AL55" s="82">
        <v>115.38</v>
      </c>
      <c r="AM55" s="82">
        <v>337.86</v>
      </c>
      <c r="AN55" s="82">
        <v>215.52</v>
      </c>
      <c r="AO55" s="82">
        <v>400.37</v>
      </c>
      <c r="AP55" s="82">
        <v>160.78</v>
      </c>
      <c r="AQ55" s="82">
        <v>462.12</v>
      </c>
      <c r="AR55" s="82">
        <v>1255.1400000000001</v>
      </c>
      <c r="AS55" s="82">
        <v>659.84</v>
      </c>
      <c r="AT55" s="82">
        <v>74.19</v>
      </c>
      <c r="AU55" s="82">
        <v>983.37</v>
      </c>
      <c r="AV55" s="82">
        <v>730.16</v>
      </c>
      <c r="AW55" s="83">
        <v>454</v>
      </c>
      <c r="AX55" s="82">
        <v>302.81</v>
      </c>
      <c r="AY55" s="82">
        <v>167.43</v>
      </c>
      <c r="AZ55" s="82">
        <v>68.53</v>
      </c>
      <c r="BA55" s="83">
        <v>53.5</v>
      </c>
      <c r="BB55" s="83">
        <v>30.9</v>
      </c>
      <c r="BC55" s="82">
        <v>142.46</v>
      </c>
      <c r="BD55" s="82">
        <v>40.61</v>
      </c>
      <c r="BE55" s="82">
        <v>357.95</v>
      </c>
      <c r="BF55" s="82">
        <v>129.68</v>
      </c>
      <c r="BG55" s="82">
        <v>188.63</v>
      </c>
      <c r="BH55" s="82">
        <v>59.95</v>
      </c>
      <c r="BI55" s="82">
        <v>178.55</v>
      </c>
      <c r="BJ55" s="82">
        <v>9.83</v>
      </c>
      <c r="BK55" s="82">
        <v>191.71</v>
      </c>
      <c r="BL55" s="82">
        <v>162.86000000000001</v>
      </c>
      <c r="BM55" s="82">
        <v>113.22</v>
      </c>
      <c r="BN55" s="82">
        <v>29.31</v>
      </c>
      <c r="BO55" s="82">
        <v>274.47000000000003</v>
      </c>
      <c r="BP55" s="82">
        <v>38.090000000000003</v>
      </c>
      <c r="BQ55" s="82">
        <v>318.22000000000003</v>
      </c>
      <c r="BR55" s="82">
        <v>69.47</v>
      </c>
      <c r="BS55" s="82">
        <v>317.62</v>
      </c>
      <c r="BT55" s="82">
        <v>28.33</v>
      </c>
      <c r="BU55" s="83">
        <v>222</v>
      </c>
      <c r="BV55" s="82">
        <v>38.75</v>
      </c>
    </row>
    <row r="56" spans="1:74">
      <c r="A56" s="78" t="s">
        <v>544</v>
      </c>
      <c r="B56" s="78" t="s">
        <v>545</v>
      </c>
      <c r="C56" s="81">
        <v>67803.41</v>
      </c>
      <c r="D56" s="81">
        <v>1649.09</v>
      </c>
      <c r="E56" s="81">
        <v>39275.339999999997</v>
      </c>
      <c r="F56" s="81">
        <v>4281.96</v>
      </c>
      <c r="G56" s="81">
        <v>51847.29</v>
      </c>
      <c r="H56" s="81">
        <v>852.86</v>
      </c>
      <c r="I56" s="84">
        <v>74314.3</v>
      </c>
      <c r="J56" s="84">
        <v>9180.9</v>
      </c>
      <c r="K56" s="81">
        <v>70242.570000000007</v>
      </c>
      <c r="L56" s="81">
        <v>1162.3599999999999</v>
      </c>
      <c r="M56" s="81">
        <v>64662.239999999998</v>
      </c>
      <c r="N56" s="81">
        <v>4309.9399999999996</v>
      </c>
      <c r="O56" s="81">
        <v>32410.48</v>
      </c>
      <c r="P56" s="81">
        <v>1280.47</v>
      </c>
      <c r="Q56" s="81">
        <v>69696.19</v>
      </c>
      <c r="R56" s="81">
        <v>1193.8800000000001</v>
      </c>
      <c r="S56" s="81">
        <v>60279.73</v>
      </c>
      <c r="T56" s="81">
        <v>1393.12</v>
      </c>
      <c r="U56" s="81">
        <v>43440.19</v>
      </c>
      <c r="V56" s="81">
        <v>1034.46</v>
      </c>
      <c r="W56" s="81">
        <v>56102.69</v>
      </c>
      <c r="X56" s="84">
        <v>1581.3</v>
      </c>
      <c r="Y56" s="81">
        <v>56764.34</v>
      </c>
      <c r="Z56" s="81">
        <v>733.43</v>
      </c>
      <c r="AA56" s="81">
        <v>40029.910000000003</v>
      </c>
      <c r="AB56" s="81">
        <v>407.68</v>
      </c>
      <c r="AC56" s="81">
        <v>69271.42</v>
      </c>
      <c r="AD56" s="81">
        <v>982.78</v>
      </c>
      <c r="AE56" s="84">
        <v>50042.1</v>
      </c>
      <c r="AF56" s="84">
        <v>341.2</v>
      </c>
      <c r="AG56" s="84">
        <v>40401.5</v>
      </c>
      <c r="AH56" s="81">
        <v>1861.97</v>
      </c>
      <c r="AI56" s="84">
        <v>28803.5</v>
      </c>
      <c r="AJ56" s="81">
        <v>612.91999999999996</v>
      </c>
      <c r="AK56" s="84">
        <v>17445.400000000001</v>
      </c>
      <c r="AL56" s="81">
        <v>622.83000000000004</v>
      </c>
      <c r="AM56" s="81">
        <v>43631.38</v>
      </c>
      <c r="AN56" s="81">
        <v>285.81</v>
      </c>
      <c r="AO56" s="81">
        <v>59279.69</v>
      </c>
      <c r="AP56" s="81">
        <v>1200.26</v>
      </c>
      <c r="AQ56" s="81">
        <v>56889.71</v>
      </c>
      <c r="AR56" s="81">
        <v>35.11</v>
      </c>
      <c r="AS56" s="81">
        <v>78940.77</v>
      </c>
      <c r="AT56" s="81">
        <v>1176.03</v>
      </c>
      <c r="AU56" s="81">
        <v>59899.87</v>
      </c>
      <c r="AV56" s="81">
        <v>195.93</v>
      </c>
      <c r="AW56" s="81">
        <v>84368.31</v>
      </c>
      <c r="AX56" s="81">
        <v>9907.34</v>
      </c>
      <c r="AY56" s="81">
        <v>65256.160000000003</v>
      </c>
      <c r="AZ56" s="81">
        <v>107.93</v>
      </c>
      <c r="BA56" s="81">
        <v>34924.559999999998</v>
      </c>
      <c r="BB56" s="81">
        <v>187.52</v>
      </c>
      <c r="BC56" s="81">
        <v>46361.69</v>
      </c>
      <c r="BD56" s="81">
        <v>83.52</v>
      </c>
      <c r="BE56" s="81">
        <v>32576.71</v>
      </c>
      <c r="BF56" s="81">
        <v>303.63</v>
      </c>
      <c r="BG56" s="81">
        <v>24044.67</v>
      </c>
      <c r="BH56" s="81">
        <v>623.19000000000005</v>
      </c>
      <c r="BI56" s="81">
        <v>21661.54</v>
      </c>
      <c r="BJ56" s="81">
        <v>199.56</v>
      </c>
      <c r="BK56" s="81">
        <v>11302.86</v>
      </c>
      <c r="BL56" s="81">
        <v>373.29</v>
      </c>
      <c r="BM56" s="81">
        <v>18614.509999999998</v>
      </c>
      <c r="BN56" s="81">
        <v>1793.82</v>
      </c>
      <c r="BO56" s="81">
        <v>30698.07</v>
      </c>
      <c r="BP56" s="81">
        <v>1264.83</v>
      </c>
      <c r="BQ56" s="81">
        <v>24027.51</v>
      </c>
      <c r="BR56" s="81">
        <v>3569.71</v>
      </c>
      <c r="BS56" s="81">
        <v>43384.75</v>
      </c>
      <c r="BT56" s="81">
        <v>1974.99</v>
      </c>
      <c r="BU56" s="81">
        <v>50425.97</v>
      </c>
      <c r="BV56" s="81">
        <v>1004.91</v>
      </c>
    </row>
    <row r="57" spans="1:74">
      <c r="A57" s="78" t="s">
        <v>546</v>
      </c>
      <c r="B57" s="78" t="s">
        <v>547</v>
      </c>
      <c r="C57" s="80" t="s">
        <v>195</v>
      </c>
      <c r="D57" s="80" t="s">
        <v>195</v>
      </c>
      <c r="E57" s="80" t="s">
        <v>195</v>
      </c>
      <c r="F57" s="80" t="s">
        <v>195</v>
      </c>
      <c r="G57" s="80" t="s">
        <v>195</v>
      </c>
      <c r="H57" s="80" t="s">
        <v>195</v>
      </c>
      <c r="I57" s="80" t="s">
        <v>195</v>
      </c>
      <c r="J57" s="80" t="s">
        <v>195</v>
      </c>
      <c r="K57" s="80" t="s">
        <v>195</v>
      </c>
      <c r="L57" s="80" t="s">
        <v>195</v>
      </c>
      <c r="M57" s="80" t="s">
        <v>195</v>
      </c>
      <c r="N57" s="80" t="s">
        <v>195</v>
      </c>
      <c r="O57" s="80" t="s">
        <v>195</v>
      </c>
      <c r="P57" s="80" t="s">
        <v>195</v>
      </c>
      <c r="Q57" s="80" t="s">
        <v>195</v>
      </c>
      <c r="R57" s="80" t="s">
        <v>195</v>
      </c>
      <c r="S57" s="80" t="s">
        <v>195</v>
      </c>
      <c r="T57" s="80" t="s">
        <v>195</v>
      </c>
      <c r="U57" s="80" t="s">
        <v>195</v>
      </c>
      <c r="V57" s="80" t="s">
        <v>195</v>
      </c>
      <c r="W57" s="80" t="s">
        <v>195</v>
      </c>
      <c r="X57" s="80" t="s">
        <v>195</v>
      </c>
      <c r="Y57" s="80" t="s">
        <v>195</v>
      </c>
      <c r="Z57" s="80" t="s">
        <v>195</v>
      </c>
      <c r="AA57" s="80" t="s">
        <v>195</v>
      </c>
      <c r="AB57" s="80" t="s">
        <v>195</v>
      </c>
      <c r="AC57" s="80" t="s">
        <v>195</v>
      </c>
      <c r="AD57" s="80" t="s">
        <v>195</v>
      </c>
      <c r="AE57" s="80" t="s">
        <v>195</v>
      </c>
      <c r="AF57" s="80" t="s">
        <v>195</v>
      </c>
      <c r="AG57" s="80" t="s">
        <v>195</v>
      </c>
      <c r="AH57" s="80" t="s">
        <v>195</v>
      </c>
      <c r="AI57" s="80" t="s">
        <v>195</v>
      </c>
      <c r="AJ57" s="80" t="s">
        <v>195</v>
      </c>
      <c r="AK57" s="80" t="s">
        <v>195</v>
      </c>
      <c r="AL57" s="80" t="s">
        <v>195</v>
      </c>
      <c r="AM57" s="80" t="s">
        <v>195</v>
      </c>
      <c r="AN57" s="80" t="s">
        <v>195</v>
      </c>
      <c r="AO57" s="80" t="s">
        <v>195</v>
      </c>
      <c r="AP57" s="80" t="s">
        <v>195</v>
      </c>
      <c r="AQ57" s="80" t="s">
        <v>195</v>
      </c>
      <c r="AR57" s="80" t="s">
        <v>195</v>
      </c>
      <c r="AS57" s="80" t="s">
        <v>195</v>
      </c>
      <c r="AT57" s="80" t="s">
        <v>195</v>
      </c>
      <c r="AU57" s="80" t="s">
        <v>195</v>
      </c>
      <c r="AV57" s="80" t="s">
        <v>195</v>
      </c>
      <c r="AW57" s="80" t="s">
        <v>195</v>
      </c>
      <c r="AX57" s="80" t="s">
        <v>195</v>
      </c>
      <c r="AY57" s="82">
        <v>0.02</v>
      </c>
      <c r="AZ57" s="83">
        <v>0.5</v>
      </c>
      <c r="BA57" s="83">
        <v>69</v>
      </c>
      <c r="BB57" s="80" t="s">
        <v>195</v>
      </c>
      <c r="BC57" s="83">
        <v>0.2</v>
      </c>
      <c r="BD57" s="82">
        <v>1.29</v>
      </c>
      <c r="BE57" s="82">
        <v>0.43</v>
      </c>
      <c r="BF57" s="82">
        <v>12.96</v>
      </c>
      <c r="BG57" s="82">
        <v>0.49</v>
      </c>
      <c r="BH57" s="82">
        <v>6.99</v>
      </c>
      <c r="BI57" s="80" t="s">
        <v>195</v>
      </c>
      <c r="BJ57" s="82">
        <v>0.03</v>
      </c>
      <c r="BK57" s="82">
        <v>9.67</v>
      </c>
      <c r="BL57" s="82">
        <v>45.07</v>
      </c>
      <c r="BM57" s="83">
        <v>3.5</v>
      </c>
      <c r="BN57" s="82">
        <v>1.19</v>
      </c>
      <c r="BO57" s="82">
        <v>1.51</v>
      </c>
      <c r="BP57" s="82">
        <v>28.33</v>
      </c>
      <c r="BQ57" s="83">
        <v>1250</v>
      </c>
      <c r="BR57" s="82">
        <v>5.1100000000000003</v>
      </c>
      <c r="BS57" s="83">
        <v>2750</v>
      </c>
      <c r="BT57" s="82">
        <v>1.22</v>
      </c>
      <c r="BU57" s="80" t="s">
        <v>195</v>
      </c>
      <c r="BV57" s="83">
        <v>42</v>
      </c>
    </row>
    <row r="58" spans="1:74">
      <c r="A58" s="78" t="s">
        <v>548</v>
      </c>
      <c r="B58" s="78" t="s">
        <v>549</v>
      </c>
      <c r="C58" s="81">
        <v>340.51</v>
      </c>
      <c r="D58" s="81">
        <v>3.08</v>
      </c>
      <c r="E58" s="84">
        <v>221.2</v>
      </c>
      <c r="F58" s="81">
        <v>24.65</v>
      </c>
      <c r="G58" s="81">
        <v>218.76</v>
      </c>
      <c r="H58" s="81">
        <v>10.11</v>
      </c>
      <c r="I58" s="81">
        <v>128.21</v>
      </c>
      <c r="J58" s="84">
        <v>7.4</v>
      </c>
      <c r="K58" s="81">
        <v>75.59</v>
      </c>
      <c r="L58" s="84">
        <v>11</v>
      </c>
      <c r="M58" s="84">
        <v>534.4</v>
      </c>
      <c r="N58" s="84">
        <v>0.7</v>
      </c>
      <c r="O58" s="81">
        <v>493.17</v>
      </c>
      <c r="P58" s="84">
        <v>2.5</v>
      </c>
      <c r="Q58" s="81">
        <v>311.35000000000002</v>
      </c>
      <c r="R58" s="84">
        <v>10</v>
      </c>
      <c r="S58" s="81">
        <v>402.65</v>
      </c>
      <c r="T58" s="81">
        <v>2.96</v>
      </c>
      <c r="U58" s="81">
        <v>589.24</v>
      </c>
      <c r="V58" s="81">
        <v>2.72</v>
      </c>
      <c r="W58" s="84">
        <v>1925.2</v>
      </c>
      <c r="X58" s="81">
        <v>15.72</v>
      </c>
      <c r="Y58" s="81">
        <v>276.13</v>
      </c>
      <c r="Z58" s="81">
        <v>72.13</v>
      </c>
      <c r="AA58" s="81">
        <v>320.64999999999998</v>
      </c>
      <c r="AB58" s="79" t="s">
        <v>195</v>
      </c>
      <c r="AC58" s="84">
        <v>16.2</v>
      </c>
      <c r="AD58" s="81">
        <v>24.92</v>
      </c>
      <c r="AE58" s="81">
        <v>16.190000000000001</v>
      </c>
      <c r="AF58" s="84">
        <v>0.6</v>
      </c>
      <c r="AG58" s="81">
        <v>42.24</v>
      </c>
      <c r="AH58" s="81">
        <v>0.66</v>
      </c>
      <c r="AI58" s="81">
        <v>38.22</v>
      </c>
      <c r="AJ58" s="81">
        <v>25.58</v>
      </c>
      <c r="AK58" s="81">
        <v>34.119999999999997</v>
      </c>
      <c r="AL58" s="81">
        <v>10.52</v>
      </c>
      <c r="AM58" s="81">
        <v>26.07</v>
      </c>
      <c r="AN58" s="81">
        <v>16.57</v>
      </c>
      <c r="AO58" s="81">
        <v>72.459999999999994</v>
      </c>
      <c r="AP58" s="81">
        <v>26.14</v>
      </c>
      <c r="AQ58" s="81">
        <v>313.89</v>
      </c>
      <c r="AR58" s="81">
        <v>17.920000000000002</v>
      </c>
      <c r="AS58" s="84">
        <v>90.7</v>
      </c>
      <c r="AT58" s="84">
        <v>0.5</v>
      </c>
      <c r="AU58" s="81">
        <v>332.67</v>
      </c>
      <c r="AV58" s="81">
        <v>36.22</v>
      </c>
      <c r="AW58" s="81">
        <v>25.43</v>
      </c>
      <c r="AX58" s="81">
        <v>2.96</v>
      </c>
      <c r="AY58" s="81">
        <v>13.22</v>
      </c>
      <c r="AZ58" s="84">
        <v>1.2</v>
      </c>
      <c r="BA58" s="81">
        <v>477.05</v>
      </c>
      <c r="BB58" s="81">
        <v>2.0499999999999998</v>
      </c>
      <c r="BC58" s="81">
        <v>46.26</v>
      </c>
      <c r="BD58" s="81">
        <v>3.85</v>
      </c>
      <c r="BE58" s="81">
        <v>26.78</v>
      </c>
      <c r="BF58" s="81">
        <v>3.79</v>
      </c>
      <c r="BG58" s="81">
        <v>91.29</v>
      </c>
      <c r="BH58" s="81">
        <v>6.13</v>
      </c>
      <c r="BI58" s="81">
        <v>24.79</v>
      </c>
      <c r="BJ58" s="81">
        <v>17.13</v>
      </c>
      <c r="BK58" s="81">
        <v>131.25</v>
      </c>
      <c r="BL58" s="81">
        <v>14.23</v>
      </c>
      <c r="BM58" s="81">
        <v>270.97000000000003</v>
      </c>
      <c r="BN58" s="81">
        <v>10.19</v>
      </c>
      <c r="BO58" s="81">
        <v>266.32</v>
      </c>
      <c r="BP58" s="81">
        <v>268.32</v>
      </c>
      <c r="BQ58" s="81">
        <v>25.63</v>
      </c>
      <c r="BR58" s="81">
        <v>9.24</v>
      </c>
      <c r="BS58" s="81">
        <v>13.42</v>
      </c>
      <c r="BT58" s="81">
        <v>12.97</v>
      </c>
      <c r="BU58" s="81">
        <v>103.01</v>
      </c>
      <c r="BV58" s="81">
        <v>10.86</v>
      </c>
    </row>
    <row r="59" spans="1:74">
      <c r="A59" s="78" t="s">
        <v>550</v>
      </c>
      <c r="B59" s="78" t="s">
        <v>551</v>
      </c>
      <c r="C59" s="82">
        <v>406.77</v>
      </c>
      <c r="D59" s="82">
        <v>133.46</v>
      </c>
      <c r="E59" s="82">
        <v>1381.76</v>
      </c>
      <c r="F59" s="82">
        <v>43.94</v>
      </c>
      <c r="G59" s="82">
        <v>303.14</v>
      </c>
      <c r="H59" s="82">
        <v>21.98</v>
      </c>
      <c r="I59" s="82">
        <v>422.43</v>
      </c>
      <c r="J59" s="83">
        <v>61.5</v>
      </c>
      <c r="K59" s="82">
        <v>115.32</v>
      </c>
      <c r="L59" s="82">
        <v>36.92</v>
      </c>
      <c r="M59" s="82">
        <v>202.04</v>
      </c>
      <c r="N59" s="82">
        <v>73.56</v>
      </c>
      <c r="O59" s="83">
        <v>83</v>
      </c>
      <c r="P59" s="82">
        <v>5.27</v>
      </c>
      <c r="Q59" s="83">
        <v>63.3</v>
      </c>
      <c r="R59" s="82">
        <v>44.19</v>
      </c>
      <c r="S59" s="82">
        <v>302.32</v>
      </c>
      <c r="T59" s="82">
        <v>24.86</v>
      </c>
      <c r="U59" s="83">
        <v>777.6</v>
      </c>
      <c r="V59" s="82">
        <v>80.819999999999993</v>
      </c>
      <c r="W59" s="82">
        <v>43.46</v>
      </c>
      <c r="X59" s="82">
        <v>76.89</v>
      </c>
      <c r="Y59" s="82">
        <v>116.62</v>
      </c>
      <c r="Z59" s="82">
        <v>110.19</v>
      </c>
      <c r="AA59" s="82">
        <v>1314.95</v>
      </c>
      <c r="AB59" s="82">
        <v>12.36</v>
      </c>
      <c r="AC59" s="83">
        <v>266</v>
      </c>
      <c r="AD59" s="83">
        <v>59.6</v>
      </c>
      <c r="AE59" s="82">
        <v>498.83</v>
      </c>
      <c r="AF59" s="82">
        <v>22.67</v>
      </c>
      <c r="AG59" s="82">
        <v>163.44</v>
      </c>
      <c r="AH59" s="82">
        <v>18.13</v>
      </c>
      <c r="AI59" s="82">
        <v>28.75</v>
      </c>
      <c r="AJ59" s="82">
        <v>33.79</v>
      </c>
      <c r="AK59" s="82">
        <v>547.53</v>
      </c>
      <c r="AL59" s="82">
        <v>136.16</v>
      </c>
      <c r="AM59" s="82">
        <v>47.44</v>
      </c>
      <c r="AN59" s="82">
        <v>21.37</v>
      </c>
      <c r="AO59" s="82">
        <v>566.45000000000005</v>
      </c>
      <c r="AP59" s="82">
        <v>15.75</v>
      </c>
      <c r="AQ59" s="82">
        <v>615.47</v>
      </c>
      <c r="AR59" s="82">
        <v>47.56</v>
      </c>
      <c r="AS59" s="83">
        <v>110.5</v>
      </c>
      <c r="AT59" s="82">
        <v>58.29</v>
      </c>
      <c r="AU59" s="82">
        <v>277.75</v>
      </c>
      <c r="AV59" s="82">
        <v>15.94</v>
      </c>
      <c r="AW59" s="82">
        <v>593.04999999999995</v>
      </c>
      <c r="AX59" s="82">
        <v>25.01</v>
      </c>
      <c r="AY59" s="82">
        <v>339.33</v>
      </c>
      <c r="AZ59" s="82">
        <v>7.35</v>
      </c>
      <c r="BA59" s="82">
        <v>582.25</v>
      </c>
      <c r="BB59" s="82">
        <v>7.04</v>
      </c>
      <c r="BC59" s="82">
        <v>337.92</v>
      </c>
      <c r="BD59" s="82">
        <v>22.38</v>
      </c>
      <c r="BE59" s="83">
        <v>144.1</v>
      </c>
      <c r="BF59" s="82">
        <v>9.81</v>
      </c>
      <c r="BG59" s="82">
        <v>552.33000000000004</v>
      </c>
      <c r="BH59" s="82">
        <v>8.2899999999999991</v>
      </c>
      <c r="BI59" s="82">
        <v>414.28</v>
      </c>
      <c r="BJ59" s="83">
        <v>7.9</v>
      </c>
      <c r="BK59" s="82">
        <v>328.74</v>
      </c>
      <c r="BL59" s="82">
        <v>14.22</v>
      </c>
      <c r="BM59" s="82">
        <v>69.13</v>
      </c>
      <c r="BN59" s="82">
        <v>17.48</v>
      </c>
      <c r="BO59" s="82">
        <v>332.26</v>
      </c>
      <c r="BP59" s="82">
        <v>7.62</v>
      </c>
      <c r="BQ59" s="82">
        <v>235.03</v>
      </c>
      <c r="BR59" s="82">
        <v>7.89</v>
      </c>
      <c r="BS59" s="83">
        <v>809.6</v>
      </c>
      <c r="BT59" s="82">
        <v>7.06</v>
      </c>
      <c r="BU59" s="83">
        <v>314.39999999999998</v>
      </c>
      <c r="BV59" s="82">
        <v>6.49</v>
      </c>
    </row>
    <row r="60" spans="1:74">
      <c r="A60" s="78" t="s">
        <v>552</v>
      </c>
      <c r="B60" s="78" t="s">
        <v>553</v>
      </c>
      <c r="C60" s="84">
        <v>579</v>
      </c>
      <c r="D60" s="81">
        <v>6.86</v>
      </c>
      <c r="E60" s="81">
        <v>98.25</v>
      </c>
      <c r="F60" s="84">
        <v>4.2</v>
      </c>
      <c r="G60" s="81">
        <v>302.20999999999998</v>
      </c>
      <c r="H60" s="81">
        <v>10.06</v>
      </c>
      <c r="I60" s="84">
        <v>165.8</v>
      </c>
      <c r="J60" s="81">
        <v>2.12</v>
      </c>
      <c r="K60" s="81">
        <v>387.84</v>
      </c>
      <c r="L60" s="81">
        <v>5.97</v>
      </c>
      <c r="M60" s="81">
        <v>116.78</v>
      </c>
      <c r="N60" s="81">
        <v>3.68</v>
      </c>
      <c r="O60" s="81">
        <v>27.53</v>
      </c>
      <c r="P60" s="84">
        <v>4.7</v>
      </c>
      <c r="Q60" s="84">
        <v>297.60000000000002</v>
      </c>
      <c r="R60" s="84">
        <v>2.8</v>
      </c>
      <c r="S60" s="81">
        <v>852.35</v>
      </c>
      <c r="T60" s="84">
        <v>5</v>
      </c>
      <c r="U60" s="81">
        <v>510.45</v>
      </c>
      <c r="V60" s="81">
        <v>4.62</v>
      </c>
      <c r="W60" s="81">
        <v>647.09</v>
      </c>
      <c r="X60" s="81">
        <v>4.8499999999999996</v>
      </c>
      <c r="Y60" s="81">
        <v>200.05</v>
      </c>
      <c r="Z60" s="84">
        <v>4.5999999999999996</v>
      </c>
      <c r="AA60" s="81">
        <v>511.34</v>
      </c>
      <c r="AB60" s="84">
        <v>1.5</v>
      </c>
      <c r="AC60" s="81">
        <v>439.49</v>
      </c>
      <c r="AD60" s="84">
        <v>2</v>
      </c>
      <c r="AE60" s="84">
        <v>212.1</v>
      </c>
      <c r="AF60" s="81">
        <v>2.2400000000000002</v>
      </c>
      <c r="AG60" s="81">
        <v>83.32</v>
      </c>
      <c r="AH60" s="81">
        <v>3.06</v>
      </c>
      <c r="AI60" s="81">
        <v>457.59</v>
      </c>
      <c r="AJ60" s="84">
        <v>2</v>
      </c>
      <c r="AK60" s="81">
        <v>34.22</v>
      </c>
      <c r="AL60" s="84">
        <v>2.5</v>
      </c>
      <c r="AM60" s="81">
        <v>68.739999999999995</v>
      </c>
      <c r="AN60" s="81">
        <v>883.96</v>
      </c>
      <c r="AO60" s="81">
        <v>39.869999999999997</v>
      </c>
      <c r="AP60" s="81">
        <v>2.73</v>
      </c>
      <c r="AQ60" s="81">
        <v>251.59</v>
      </c>
      <c r="AR60" s="81">
        <v>4.66</v>
      </c>
      <c r="AS60" s="81">
        <v>290.72000000000003</v>
      </c>
      <c r="AT60" s="84">
        <v>4.5999999999999996</v>
      </c>
      <c r="AU60" s="81">
        <v>320.26</v>
      </c>
      <c r="AV60" s="84">
        <v>6.6</v>
      </c>
      <c r="AW60" s="84">
        <v>59.2</v>
      </c>
      <c r="AX60" s="84">
        <v>2.5</v>
      </c>
      <c r="AY60" s="81">
        <v>87.77</v>
      </c>
      <c r="AZ60" s="81">
        <v>23.58</v>
      </c>
      <c r="BA60" s="81">
        <v>1306.32</v>
      </c>
      <c r="BB60" s="81">
        <v>110.61</v>
      </c>
      <c r="BC60" s="81">
        <v>13.43</v>
      </c>
      <c r="BD60" s="81">
        <v>14.67</v>
      </c>
      <c r="BE60" s="81">
        <v>3.15</v>
      </c>
      <c r="BF60" s="81">
        <v>231.54</v>
      </c>
      <c r="BG60" s="81">
        <v>541.71</v>
      </c>
      <c r="BH60" s="81">
        <v>76.77</v>
      </c>
      <c r="BI60" s="81">
        <v>220.71</v>
      </c>
      <c r="BJ60" s="81">
        <v>23.83</v>
      </c>
      <c r="BK60" s="81">
        <v>1.81</v>
      </c>
      <c r="BL60" s="81">
        <v>52.63</v>
      </c>
      <c r="BM60" s="81">
        <v>7.08</v>
      </c>
      <c r="BN60" s="81">
        <v>1.1100000000000001</v>
      </c>
      <c r="BO60" s="81">
        <v>241.22</v>
      </c>
      <c r="BP60" s="81">
        <v>33.65</v>
      </c>
      <c r="BQ60" s="81">
        <v>0.26</v>
      </c>
      <c r="BR60" s="81">
        <v>15.99</v>
      </c>
      <c r="BS60" s="81">
        <v>274.83</v>
      </c>
      <c r="BT60" s="81">
        <v>141.51</v>
      </c>
      <c r="BU60" s="81">
        <v>33.29</v>
      </c>
      <c r="BV60" s="81">
        <v>159.11000000000001</v>
      </c>
    </row>
    <row r="61" spans="1:74">
      <c r="A61" s="78" t="s">
        <v>554</v>
      </c>
      <c r="B61" s="78" t="s">
        <v>555</v>
      </c>
      <c r="C61" s="82">
        <v>3220.45</v>
      </c>
      <c r="D61" s="82">
        <v>37.79</v>
      </c>
      <c r="E61" s="82">
        <v>3369.62</v>
      </c>
      <c r="F61" s="82">
        <v>10.09</v>
      </c>
      <c r="G61" s="82">
        <v>4921.01</v>
      </c>
      <c r="H61" s="82">
        <v>8.25</v>
      </c>
      <c r="I61" s="82">
        <v>2290.96</v>
      </c>
      <c r="J61" s="82">
        <v>2.56</v>
      </c>
      <c r="K61" s="83">
        <v>3646.3</v>
      </c>
      <c r="L61" s="82">
        <v>4.03</v>
      </c>
      <c r="M61" s="82">
        <v>3353.35</v>
      </c>
      <c r="N61" s="82">
        <v>2.2400000000000002</v>
      </c>
      <c r="O61" s="82">
        <v>1001.81</v>
      </c>
      <c r="P61" s="82">
        <v>1.01</v>
      </c>
      <c r="Q61" s="82">
        <v>5250.31</v>
      </c>
      <c r="R61" s="82">
        <v>1.45</v>
      </c>
      <c r="S61" s="82">
        <v>6571.46</v>
      </c>
      <c r="T61" s="82">
        <v>5.85</v>
      </c>
      <c r="U61" s="82">
        <v>3233.58</v>
      </c>
      <c r="V61" s="82">
        <v>8.34</v>
      </c>
      <c r="W61" s="82">
        <v>1556.69</v>
      </c>
      <c r="X61" s="82">
        <v>21.67</v>
      </c>
      <c r="Y61" s="83">
        <v>5060.1000000000004</v>
      </c>
      <c r="Z61" s="82">
        <v>3.03</v>
      </c>
      <c r="AA61" s="82">
        <v>1335.76</v>
      </c>
      <c r="AB61" s="82">
        <v>47.33</v>
      </c>
      <c r="AC61" s="82">
        <v>2915.85</v>
      </c>
      <c r="AD61" s="82">
        <v>15.87</v>
      </c>
      <c r="AE61" s="82">
        <v>2847.32</v>
      </c>
      <c r="AF61" s="82">
        <v>13.17</v>
      </c>
      <c r="AG61" s="82">
        <v>5578.87</v>
      </c>
      <c r="AH61" s="82">
        <v>5.49</v>
      </c>
      <c r="AI61" s="82">
        <v>5285.56</v>
      </c>
      <c r="AJ61" s="82">
        <v>21.55</v>
      </c>
      <c r="AK61" s="82">
        <v>2445.12</v>
      </c>
      <c r="AL61" s="82">
        <v>3.14</v>
      </c>
      <c r="AM61" s="83">
        <v>2970.1</v>
      </c>
      <c r="AN61" s="82">
        <v>13.24</v>
      </c>
      <c r="AO61" s="82">
        <v>3195.78</v>
      </c>
      <c r="AP61" s="82">
        <v>23.86</v>
      </c>
      <c r="AQ61" s="83">
        <v>3135</v>
      </c>
      <c r="AR61" s="82">
        <v>15.16</v>
      </c>
      <c r="AS61" s="82">
        <v>2519.77</v>
      </c>
      <c r="AT61" s="82">
        <v>4.6100000000000003</v>
      </c>
      <c r="AU61" s="82">
        <v>7379.99</v>
      </c>
      <c r="AV61" s="82">
        <v>318.16000000000003</v>
      </c>
      <c r="AW61" s="82">
        <v>2161.1799999999998</v>
      </c>
      <c r="AX61" s="82">
        <v>1.94</v>
      </c>
      <c r="AY61" s="82">
        <v>1939.03</v>
      </c>
      <c r="AZ61" s="82">
        <v>13.44</v>
      </c>
      <c r="BA61" s="83">
        <v>1536.7</v>
      </c>
      <c r="BB61" s="82">
        <v>8.24</v>
      </c>
      <c r="BC61" s="82">
        <v>731.12</v>
      </c>
      <c r="BD61" s="82">
        <v>18.79</v>
      </c>
      <c r="BE61" s="83">
        <v>1574.1</v>
      </c>
      <c r="BF61" s="82">
        <v>7.31</v>
      </c>
      <c r="BG61" s="82">
        <v>1190.29</v>
      </c>
      <c r="BH61" s="82">
        <v>20.420000000000002</v>
      </c>
      <c r="BI61" s="82">
        <v>265.44</v>
      </c>
      <c r="BJ61" s="82">
        <v>9.24</v>
      </c>
      <c r="BK61" s="82">
        <v>964.35</v>
      </c>
      <c r="BL61" s="82">
        <v>18.440000000000001</v>
      </c>
      <c r="BM61" s="82">
        <v>5.56</v>
      </c>
      <c r="BN61" s="82">
        <v>12.37</v>
      </c>
      <c r="BO61" s="82">
        <v>1659.72</v>
      </c>
      <c r="BP61" s="83">
        <v>236</v>
      </c>
      <c r="BQ61" s="83">
        <v>200.4</v>
      </c>
      <c r="BR61" s="82">
        <v>10.47</v>
      </c>
      <c r="BS61" s="82">
        <v>1622.97</v>
      </c>
      <c r="BT61" s="82">
        <v>3.43</v>
      </c>
      <c r="BU61" s="82">
        <v>1097.1400000000001</v>
      </c>
      <c r="BV61" s="82">
        <v>3.71</v>
      </c>
    </row>
    <row r="62" spans="1:74">
      <c r="A62" s="78" t="s">
        <v>556</v>
      </c>
      <c r="B62" s="78" t="s">
        <v>557</v>
      </c>
      <c r="C62" s="79" t="s">
        <v>195</v>
      </c>
      <c r="D62" s="79" t="s">
        <v>195</v>
      </c>
      <c r="E62" s="79" t="s">
        <v>195</v>
      </c>
      <c r="F62" s="79" t="s">
        <v>195</v>
      </c>
      <c r="G62" s="79" t="s">
        <v>195</v>
      </c>
      <c r="H62" s="79" t="s">
        <v>195</v>
      </c>
      <c r="I62" s="79" t="s">
        <v>195</v>
      </c>
      <c r="J62" s="79" t="s">
        <v>195</v>
      </c>
      <c r="K62" s="79" t="s">
        <v>195</v>
      </c>
      <c r="L62" s="79" t="s">
        <v>195</v>
      </c>
      <c r="M62" s="79" t="s">
        <v>195</v>
      </c>
      <c r="N62" s="79" t="s">
        <v>195</v>
      </c>
      <c r="O62" s="79" t="s">
        <v>195</v>
      </c>
      <c r="P62" s="79" t="s">
        <v>195</v>
      </c>
      <c r="Q62" s="79" t="s">
        <v>195</v>
      </c>
      <c r="R62" s="79" t="s">
        <v>195</v>
      </c>
      <c r="S62" s="79" t="s">
        <v>195</v>
      </c>
      <c r="T62" s="79" t="s">
        <v>195</v>
      </c>
      <c r="U62" s="79" t="s">
        <v>195</v>
      </c>
      <c r="V62" s="79" t="s">
        <v>195</v>
      </c>
      <c r="W62" s="79" t="s">
        <v>195</v>
      </c>
      <c r="X62" s="79" t="s">
        <v>195</v>
      </c>
      <c r="Y62" s="79" t="s">
        <v>195</v>
      </c>
      <c r="Z62" s="79" t="s">
        <v>195</v>
      </c>
      <c r="AA62" s="79" t="s">
        <v>195</v>
      </c>
      <c r="AB62" s="79" t="s">
        <v>195</v>
      </c>
      <c r="AC62" s="79" t="s">
        <v>195</v>
      </c>
      <c r="AD62" s="79" t="s">
        <v>195</v>
      </c>
      <c r="AE62" s="79" t="s">
        <v>195</v>
      </c>
      <c r="AF62" s="79" t="s">
        <v>195</v>
      </c>
      <c r="AG62" s="79" t="s">
        <v>195</v>
      </c>
      <c r="AH62" s="79" t="s">
        <v>195</v>
      </c>
      <c r="AI62" s="79" t="s">
        <v>195</v>
      </c>
      <c r="AJ62" s="79" t="s">
        <v>195</v>
      </c>
      <c r="AK62" s="79" t="s">
        <v>195</v>
      </c>
      <c r="AL62" s="79" t="s">
        <v>195</v>
      </c>
      <c r="AM62" s="79" t="s">
        <v>195</v>
      </c>
      <c r="AN62" s="79" t="s">
        <v>195</v>
      </c>
      <c r="AO62" s="79" t="s">
        <v>195</v>
      </c>
      <c r="AP62" s="79" t="s">
        <v>195</v>
      </c>
      <c r="AQ62" s="79" t="s">
        <v>195</v>
      </c>
      <c r="AR62" s="79" t="s">
        <v>195</v>
      </c>
      <c r="AS62" s="79" t="s">
        <v>195</v>
      </c>
      <c r="AT62" s="79" t="s">
        <v>195</v>
      </c>
      <c r="AU62" s="79" t="s">
        <v>195</v>
      </c>
      <c r="AV62" s="79" t="s">
        <v>195</v>
      </c>
      <c r="AW62" s="79" t="s">
        <v>195</v>
      </c>
      <c r="AX62" s="79" t="s">
        <v>195</v>
      </c>
      <c r="AY62" s="79" t="s">
        <v>195</v>
      </c>
      <c r="AZ62" s="79" t="s">
        <v>195</v>
      </c>
      <c r="BA62" s="81">
        <v>450.93</v>
      </c>
      <c r="BB62" s="79" t="s">
        <v>195</v>
      </c>
      <c r="BC62" s="84">
        <v>235</v>
      </c>
      <c r="BD62" s="84">
        <v>0.1</v>
      </c>
      <c r="BE62" s="81">
        <v>1368.51</v>
      </c>
      <c r="BF62" s="79" t="s">
        <v>195</v>
      </c>
      <c r="BG62" s="84">
        <v>40</v>
      </c>
      <c r="BH62" s="79" t="s">
        <v>195</v>
      </c>
      <c r="BI62" s="79" t="s">
        <v>195</v>
      </c>
      <c r="BJ62" s="81">
        <v>0.32</v>
      </c>
      <c r="BK62" s="81">
        <v>56.08</v>
      </c>
      <c r="BL62" s="81">
        <v>36.07</v>
      </c>
      <c r="BM62" s="79" t="s">
        <v>195</v>
      </c>
      <c r="BN62" s="84">
        <v>114.5</v>
      </c>
      <c r="BO62" s="81">
        <v>9.4499999999999993</v>
      </c>
      <c r="BP62" s="84">
        <v>80.5</v>
      </c>
      <c r="BQ62" s="84">
        <v>41.4</v>
      </c>
      <c r="BR62" s="81">
        <v>72.209999999999994</v>
      </c>
      <c r="BS62" s="79" t="s">
        <v>195</v>
      </c>
      <c r="BT62" s="81">
        <v>55.21</v>
      </c>
      <c r="BU62" s="79" t="s">
        <v>195</v>
      </c>
      <c r="BV62" s="81">
        <v>32.090000000000003</v>
      </c>
    </row>
    <row r="63" spans="1:74">
      <c r="A63" s="78" t="s">
        <v>558</v>
      </c>
      <c r="B63" s="78" t="s">
        <v>559</v>
      </c>
      <c r="C63" s="83">
        <v>1538.9</v>
      </c>
      <c r="D63" s="82">
        <v>34.47</v>
      </c>
      <c r="E63" s="82">
        <v>2310.69</v>
      </c>
      <c r="F63" s="82">
        <v>22.89</v>
      </c>
      <c r="G63" s="82">
        <v>1056.43</v>
      </c>
      <c r="H63" s="83">
        <v>23.6</v>
      </c>
      <c r="I63" s="82">
        <v>2890.91</v>
      </c>
      <c r="J63" s="82">
        <v>47.79</v>
      </c>
      <c r="K63" s="82">
        <v>1766.12</v>
      </c>
      <c r="L63" s="82">
        <v>8.32</v>
      </c>
      <c r="M63" s="82">
        <v>3609.16</v>
      </c>
      <c r="N63" s="82">
        <v>7.56</v>
      </c>
      <c r="O63" s="82">
        <v>2062.71</v>
      </c>
      <c r="P63" s="82">
        <v>5.93</v>
      </c>
      <c r="Q63" s="82">
        <v>1708.51</v>
      </c>
      <c r="R63" s="82">
        <v>10.17</v>
      </c>
      <c r="S63" s="82">
        <v>2617.5700000000002</v>
      </c>
      <c r="T63" s="82">
        <v>6.75</v>
      </c>
      <c r="U63" s="82">
        <v>2421.25</v>
      </c>
      <c r="V63" s="82">
        <v>8.59</v>
      </c>
      <c r="W63" s="82">
        <v>2065.9699999999998</v>
      </c>
      <c r="X63" s="82">
        <v>80.02</v>
      </c>
      <c r="Y63" s="82">
        <v>5676.37</v>
      </c>
      <c r="Z63" s="82">
        <v>10.61</v>
      </c>
      <c r="AA63" s="82">
        <v>1480.76</v>
      </c>
      <c r="AB63" s="82">
        <v>4.25</v>
      </c>
      <c r="AC63" s="82">
        <v>6543.34</v>
      </c>
      <c r="AD63" s="82">
        <v>4.92</v>
      </c>
      <c r="AE63" s="82">
        <v>3172.58</v>
      </c>
      <c r="AF63" s="83">
        <v>1.5</v>
      </c>
      <c r="AG63" s="82">
        <v>3725.86</v>
      </c>
      <c r="AH63" s="82">
        <v>11.96</v>
      </c>
      <c r="AI63" s="82">
        <v>2542.0500000000002</v>
      </c>
      <c r="AJ63" s="82">
        <v>8.57</v>
      </c>
      <c r="AK63" s="82">
        <v>4149.63</v>
      </c>
      <c r="AL63" s="82">
        <v>1.51</v>
      </c>
      <c r="AM63" s="82">
        <v>2647.92</v>
      </c>
      <c r="AN63" s="82">
        <v>18.670000000000002</v>
      </c>
      <c r="AO63" s="82">
        <v>4216.18</v>
      </c>
      <c r="AP63" s="82">
        <v>4.96</v>
      </c>
      <c r="AQ63" s="82">
        <v>3032.32</v>
      </c>
      <c r="AR63" s="82">
        <v>5.75</v>
      </c>
      <c r="AS63" s="83">
        <v>1724</v>
      </c>
      <c r="AT63" s="82">
        <v>16.07</v>
      </c>
      <c r="AU63" s="83">
        <v>2981</v>
      </c>
      <c r="AV63" s="82">
        <v>5.63</v>
      </c>
      <c r="AW63" s="82">
        <v>2800.12</v>
      </c>
      <c r="AX63" s="82">
        <v>12.36</v>
      </c>
      <c r="AY63" s="83">
        <v>3897</v>
      </c>
      <c r="AZ63" s="82">
        <v>5.87</v>
      </c>
      <c r="BA63" s="83">
        <v>2520</v>
      </c>
      <c r="BB63" s="82">
        <v>2.46</v>
      </c>
      <c r="BC63" s="82">
        <v>2834.62</v>
      </c>
      <c r="BD63" s="82">
        <v>12.06</v>
      </c>
      <c r="BE63" s="82">
        <v>3579.02</v>
      </c>
      <c r="BF63" s="82">
        <v>5.63</v>
      </c>
      <c r="BG63" s="82">
        <v>3021.38</v>
      </c>
      <c r="BH63" s="83">
        <v>7.1</v>
      </c>
      <c r="BI63" s="83">
        <v>2632.8</v>
      </c>
      <c r="BJ63" s="82">
        <v>7.65</v>
      </c>
      <c r="BK63" s="82">
        <v>2948.26</v>
      </c>
      <c r="BL63" s="82">
        <v>11.07</v>
      </c>
      <c r="BM63" s="82">
        <v>2892.67</v>
      </c>
      <c r="BN63" s="82">
        <v>11.63</v>
      </c>
      <c r="BO63" s="83">
        <v>3157.2</v>
      </c>
      <c r="BP63" s="82">
        <v>2.35</v>
      </c>
      <c r="BQ63" s="82">
        <v>2768.98</v>
      </c>
      <c r="BR63" s="82">
        <v>3.02</v>
      </c>
      <c r="BS63" s="82">
        <v>2881.88</v>
      </c>
      <c r="BT63" s="82">
        <v>11.85</v>
      </c>
      <c r="BU63" s="82">
        <v>2111.81</v>
      </c>
      <c r="BV63" s="82">
        <v>7.84</v>
      </c>
    </row>
    <row r="64" spans="1:74">
      <c r="A64" s="78" t="s">
        <v>560</v>
      </c>
      <c r="B64" s="78" t="s">
        <v>561</v>
      </c>
      <c r="C64" s="84">
        <v>248.1</v>
      </c>
      <c r="D64" s="84">
        <v>45</v>
      </c>
      <c r="E64" s="84">
        <v>307.2</v>
      </c>
      <c r="F64" s="81">
        <v>45.15</v>
      </c>
      <c r="G64" s="81">
        <v>251.27</v>
      </c>
      <c r="H64" s="81">
        <v>23.15</v>
      </c>
      <c r="I64" s="81">
        <v>1847.14</v>
      </c>
      <c r="J64" s="81">
        <v>173.38</v>
      </c>
      <c r="K64" s="81">
        <v>1815.12</v>
      </c>
      <c r="L64" s="81">
        <v>74.459999999999994</v>
      </c>
      <c r="M64" s="81">
        <v>1668.54</v>
      </c>
      <c r="N64" s="81">
        <v>22.12</v>
      </c>
      <c r="O64" s="81">
        <v>440.81</v>
      </c>
      <c r="P64" s="81">
        <v>96.24</v>
      </c>
      <c r="Q64" s="81">
        <v>1675.87</v>
      </c>
      <c r="R64" s="81">
        <v>13.41</v>
      </c>
      <c r="S64" s="81">
        <v>1941.41</v>
      </c>
      <c r="T64" s="81">
        <v>34.479999999999997</v>
      </c>
      <c r="U64" s="84">
        <v>436.3</v>
      </c>
      <c r="V64" s="81">
        <v>62.55</v>
      </c>
      <c r="W64" s="84">
        <v>1221.2</v>
      </c>
      <c r="X64" s="81">
        <v>18.25</v>
      </c>
      <c r="Y64" s="81">
        <v>1700.82</v>
      </c>
      <c r="Z64" s="81">
        <v>58.79</v>
      </c>
      <c r="AA64" s="81">
        <v>721.93</v>
      </c>
      <c r="AB64" s="81">
        <v>53.68</v>
      </c>
      <c r="AC64" s="81">
        <v>944.26</v>
      </c>
      <c r="AD64" s="81">
        <v>37.57</v>
      </c>
      <c r="AE64" s="81">
        <v>586.91999999999996</v>
      </c>
      <c r="AF64" s="81">
        <v>120.74</v>
      </c>
      <c r="AG64" s="81">
        <v>946.05</v>
      </c>
      <c r="AH64" s="81">
        <v>48.72</v>
      </c>
      <c r="AI64" s="81">
        <v>638.80999999999995</v>
      </c>
      <c r="AJ64" s="81">
        <v>66.08</v>
      </c>
      <c r="AK64" s="81">
        <v>596.54</v>
      </c>
      <c r="AL64" s="81">
        <v>23.95</v>
      </c>
      <c r="AM64" s="81">
        <v>909.36</v>
      </c>
      <c r="AN64" s="81">
        <v>57.18</v>
      </c>
      <c r="AO64" s="84">
        <v>862.5</v>
      </c>
      <c r="AP64" s="81">
        <v>49.22</v>
      </c>
      <c r="AQ64" s="81">
        <v>604.05999999999995</v>
      </c>
      <c r="AR64" s="81">
        <v>136.16</v>
      </c>
      <c r="AS64" s="81">
        <v>1411.62</v>
      </c>
      <c r="AT64" s="81">
        <v>36.840000000000003</v>
      </c>
      <c r="AU64" s="81">
        <v>447.56</v>
      </c>
      <c r="AV64" s="81">
        <v>131.53</v>
      </c>
      <c r="AW64" s="81">
        <v>823.32</v>
      </c>
      <c r="AX64" s="84">
        <v>48.6</v>
      </c>
      <c r="AY64" s="81">
        <v>1216.97</v>
      </c>
      <c r="AZ64" s="81">
        <v>90.08</v>
      </c>
      <c r="BA64" s="81">
        <v>1040.45</v>
      </c>
      <c r="BB64" s="81">
        <v>102.09</v>
      </c>
      <c r="BC64" s="81">
        <v>848.19</v>
      </c>
      <c r="BD64" s="84">
        <v>18</v>
      </c>
      <c r="BE64" s="81">
        <v>1741.58</v>
      </c>
      <c r="BF64" s="81">
        <v>128.72</v>
      </c>
      <c r="BG64" s="81">
        <v>901.34</v>
      </c>
      <c r="BH64" s="81">
        <v>25.97</v>
      </c>
      <c r="BI64" s="81">
        <v>1019.08</v>
      </c>
      <c r="BJ64" s="81">
        <v>5.13</v>
      </c>
      <c r="BK64" s="81">
        <v>329.43</v>
      </c>
      <c r="BL64" s="81">
        <v>16.09</v>
      </c>
      <c r="BM64" s="81">
        <v>516.80999999999995</v>
      </c>
      <c r="BN64" s="81">
        <v>252.71</v>
      </c>
      <c r="BO64" s="84">
        <v>1054.5999999999999</v>
      </c>
      <c r="BP64" s="81">
        <v>32.770000000000003</v>
      </c>
      <c r="BQ64" s="81">
        <v>737.38</v>
      </c>
      <c r="BR64" s="81">
        <v>86.57</v>
      </c>
      <c r="BS64" s="81">
        <v>555.53</v>
      </c>
      <c r="BT64" s="84">
        <v>53.5</v>
      </c>
      <c r="BU64" s="81">
        <v>1240.55</v>
      </c>
      <c r="BV64" s="81">
        <v>83.41</v>
      </c>
    </row>
    <row r="65" spans="1:74">
      <c r="A65" s="78" t="s">
        <v>562</v>
      </c>
      <c r="B65" s="78" t="s">
        <v>563</v>
      </c>
      <c r="C65" s="82">
        <v>815.94</v>
      </c>
      <c r="D65" s="82">
        <v>42.46</v>
      </c>
      <c r="E65" s="83">
        <v>543.4</v>
      </c>
      <c r="F65" s="82">
        <v>25.98</v>
      </c>
      <c r="G65" s="82">
        <v>1551.43</v>
      </c>
      <c r="H65" s="83">
        <v>50.8</v>
      </c>
      <c r="I65" s="82">
        <v>1275.46</v>
      </c>
      <c r="J65" s="82">
        <v>38.94</v>
      </c>
      <c r="K65" s="82">
        <v>1168.74</v>
      </c>
      <c r="L65" s="82">
        <v>43.31</v>
      </c>
      <c r="M65" s="82">
        <v>633.33000000000004</v>
      </c>
      <c r="N65" s="82">
        <v>69.48</v>
      </c>
      <c r="O65" s="82">
        <v>1519.01</v>
      </c>
      <c r="P65" s="82">
        <v>51.17</v>
      </c>
      <c r="Q65" s="82">
        <v>1163.82</v>
      </c>
      <c r="R65" s="82">
        <v>39.07</v>
      </c>
      <c r="S65" s="82">
        <v>1904.24</v>
      </c>
      <c r="T65" s="82">
        <v>47.71</v>
      </c>
      <c r="U65" s="82">
        <v>1639.57</v>
      </c>
      <c r="V65" s="83">
        <v>61.5</v>
      </c>
      <c r="W65" s="82">
        <v>1234.1500000000001</v>
      </c>
      <c r="X65" s="82">
        <v>31.22</v>
      </c>
      <c r="Y65" s="82">
        <v>1382.07</v>
      </c>
      <c r="Z65" s="82">
        <v>50.17</v>
      </c>
      <c r="AA65" s="82">
        <v>902.62</v>
      </c>
      <c r="AB65" s="82">
        <v>104.22</v>
      </c>
      <c r="AC65" s="83">
        <v>1423</v>
      </c>
      <c r="AD65" s="82">
        <v>62.12</v>
      </c>
      <c r="AE65" s="82">
        <v>1144.8499999999999</v>
      </c>
      <c r="AF65" s="82">
        <v>114.88</v>
      </c>
      <c r="AG65" s="82">
        <v>1206.72</v>
      </c>
      <c r="AH65" s="82">
        <v>53.21</v>
      </c>
      <c r="AI65" s="82">
        <v>1489.64</v>
      </c>
      <c r="AJ65" s="82">
        <v>48.47</v>
      </c>
      <c r="AK65" s="82">
        <v>1686.57</v>
      </c>
      <c r="AL65" s="83">
        <v>187.3</v>
      </c>
      <c r="AM65" s="82">
        <v>968.05</v>
      </c>
      <c r="AN65" s="82">
        <v>234.08</v>
      </c>
      <c r="AO65" s="82">
        <v>1199.17</v>
      </c>
      <c r="AP65" s="82">
        <v>233.91</v>
      </c>
      <c r="AQ65" s="82">
        <v>2545.75</v>
      </c>
      <c r="AR65" s="83">
        <v>89</v>
      </c>
      <c r="AS65" s="82">
        <v>2024.38</v>
      </c>
      <c r="AT65" s="82">
        <v>111.81</v>
      </c>
      <c r="AU65" s="82">
        <v>2159.19</v>
      </c>
      <c r="AV65" s="82">
        <v>205.74</v>
      </c>
      <c r="AW65" s="82">
        <v>1365.09</v>
      </c>
      <c r="AX65" s="82">
        <v>144.47999999999999</v>
      </c>
      <c r="AY65" s="83">
        <v>370.5</v>
      </c>
      <c r="AZ65" s="82">
        <v>35.29</v>
      </c>
      <c r="BA65" s="82">
        <v>535.13</v>
      </c>
      <c r="BB65" s="82">
        <v>49.13</v>
      </c>
      <c r="BC65" s="82">
        <v>770.31</v>
      </c>
      <c r="BD65" s="82">
        <v>20.94</v>
      </c>
      <c r="BE65" s="82">
        <v>1209.17</v>
      </c>
      <c r="BF65" s="82">
        <v>28.56</v>
      </c>
      <c r="BG65" s="82">
        <v>790.31</v>
      </c>
      <c r="BH65" s="83">
        <v>32.6</v>
      </c>
      <c r="BI65" s="82">
        <v>1250.21</v>
      </c>
      <c r="BJ65" s="82">
        <v>283.14999999999998</v>
      </c>
      <c r="BK65" s="82">
        <v>1312.96</v>
      </c>
      <c r="BL65" s="82">
        <v>277.63</v>
      </c>
      <c r="BM65" s="82">
        <v>1081.18</v>
      </c>
      <c r="BN65" s="83">
        <v>22.7</v>
      </c>
      <c r="BO65" s="82">
        <v>1413.12</v>
      </c>
      <c r="BP65" s="82">
        <v>9.99</v>
      </c>
      <c r="BQ65" s="82">
        <v>893.33</v>
      </c>
      <c r="BR65" s="82">
        <v>31.91</v>
      </c>
      <c r="BS65" s="82">
        <v>925.01</v>
      </c>
      <c r="BT65" s="82">
        <v>25.33</v>
      </c>
      <c r="BU65" s="82">
        <v>872.01</v>
      </c>
      <c r="BV65" s="82">
        <v>48.67</v>
      </c>
    </row>
    <row r="66" spans="1:74">
      <c r="A66" s="78" t="s">
        <v>564</v>
      </c>
      <c r="B66" s="78" t="s">
        <v>565</v>
      </c>
      <c r="C66" s="81">
        <v>1613.11</v>
      </c>
      <c r="D66" s="81">
        <v>56.74</v>
      </c>
      <c r="E66" s="81">
        <v>2579.14</v>
      </c>
      <c r="F66" s="81">
        <v>5.75</v>
      </c>
      <c r="G66" s="81">
        <v>1264.6600000000001</v>
      </c>
      <c r="H66" s="81">
        <v>10.57</v>
      </c>
      <c r="I66" s="81">
        <v>1871.71</v>
      </c>
      <c r="J66" s="84">
        <v>40.200000000000003</v>
      </c>
      <c r="K66" s="81">
        <v>2368.67</v>
      </c>
      <c r="L66" s="81">
        <v>6.42</v>
      </c>
      <c r="M66" s="81">
        <v>2093.29</v>
      </c>
      <c r="N66" s="84">
        <v>37.6</v>
      </c>
      <c r="O66" s="81">
        <v>2758.18</v>
      </c>
      <c r="P66" s="81">
        <v>8.0500000000000007</v>
      </c>
      <c r="Q66" s="81">
        <v>1558.42</v>
      </c>
      <c r="R66" s="84">
        <v>71.7</v>
      </c>
      <c r="S66" s="81">
        <v>2924.13</v>
      </c>
      <c r="T66" s="81">
        <v>14.52</v>
      </c>
      <c r="U66" s="81">
        <v>1335.04</v>
      </c>
      <c r="V66" s="81">
        <v>35.96</v>
      </c>
      <c r="W66" s="81">
        <v>1261.1500000000001</v>
      </c>
      <c r="X66" s="84">
        <v>33.4</v>
      </c>
      <c r="Y66" s="81">
        <v>1027.42</v>
      </c>
      <c r="Z66" s="81">
        <v>9.33</v>
      </c>
      <c r="AA66" s="81">
        <v>2571.2199999999998</v>
      </c>
      <c r="AB66" s="81">
        <v>17.36</v>
      </c>
      <c r="AC66" s="81">
        <v>1786.67</v>
      </c>
      <c r="AD66" s="81">
        <v>12.99</v>
      </c>
      <c r="AE66" s="81">
        <v>707.04</v>
      </c>
      <c r="AF66" s="81">
        <v>14.53</v>
      </c>
      <c r="AG66" s="81">
        <v>2297.7399999999998</v>
      </c>
      <c r="AH66" s="81">
        <v>19.95</v>
      </c>
      <c r="AI66" s="84">
        <v>1950.6</v>
      </c>
      <c r="AJ66" s="81">
        <v>30.47</v>
      </c>
      <c r="AK66" s="81">
        <v>1480.51</v>
      </c>
      <c r="AL66" s="81">
        <v>16.47</v>
      </c>
      <c r="AM66" s="81">
        <v>2300.77</v>
      </c>
      <c r="AN66" s="81">
        <v>22.36</v>
      </c>
      <c r="AO66" s="81">
        <v>2359.09</v>
      </c>
      <c r="AP66" s="81">
        <v>52.21</v>
      </c>
      <c r="AQ66" s="81">
        <v>1694.18</v>
      </c>
      <c r="AR66" s="81">
        <v>16.97</v>
      </c>
      <c r="AS66" s="81">
        <v>2302.58</v>
      </c>
      <c r="AT66" s="81">
        <v>26.77</v>
      </c>
      <c r="AU66" s="81">
        <v>2773.24</v>
      </c>
      <c r="AV66" s="81">
        <v>20.64</v>
      </c>
      <c r="AW66" s="81">
        <v>2673.47</v>
      </c>
      <c r="AX66" s="81">
        <v>37.15</v>
      </c>
      <c r="AY66" s="81">
        <v>1517.13</v>
      </c>
      <c r="AZ66" s="81">
        <v>24.99</v>
      </c>
      <c r="BA66" s="81">
        <v>1799.18</v>
      </c>
      <c r="BB66" s="81">
        <v>14.14</v>
      </c>
      <c r="BC66" s="81">
        <v>1917.99</v>
      </c>
      <c r="BD66" s="81">
        <v>42.34</v>
      </c>
      <c r="BE66" s="81">
        <v>2393.08</v>
      </c>
      <c r="BF66" s="81">
        <v>25.83</v>
      </c>
      <c r="BG66" s="81">
        <v>2420.73</v>
      </c>
      <c r="BH66" s="81">
        <v>84.87</v>
      </c>
      <c r="BI66" s="84">
        <v>1252.5999999999999</v>
      </c>
      <c r="BJ66" s="81">
        <v>11.74</v>
      </c>
      <c r="BK66" s="81">
        <v>2065.19</v>
      </c>
      <c r="BL66" s="81">
        <v>25.97</v>
      </c>
      <c r="BM66" s="81">
        <v>1884.67</v>
      </c>
      <c r="BN66" s="81">
        <v>30.41</v>
      </c>
      <c r="BO66" s="81">
        <v>1631.43</v>
      </c>
      <c r="BP66" s="81">
        <v>9.3699999999999992</v>
      </c>
      <c r="BQ66" s="81">
        <v>1115.32</v>
      </c>
      <c r="BR66" s="81">
        <v>35.46</v>
      </c>
      <c r="BS66" s="81">
        <v>3463.42</v>
      </c>
      <c r="BT66" s="81">
        <v>17.91</v>
      </c>
      <c r="BU66" s="81">
        <v>2935.55</v>
      </c>
      <c r="BV66" s="81">
        <v>9.02</v>
      </c>
    </row>
    <row r="67" spans="1:74">
      <c r="A67" s="78" t="s">
        <v>566</v>
      </c>
      <c r="B67" s="78" t="s">
        <v>567</v>
      </c>
      <c r="C67" s="80" t="s">
        <v>195</v>
      </c>
      <c r="D67" s="80" t="s">
        <v>195</v>
      </c>
      <c r="E67" s="80" t="s">
        <v>195</v>
      </c>
      <c r="F67" s="80" t="s">
        <v>195</v>
      </c>
      <c r="G67" s="80" t="s">
        <v>195</v>
      </c>
      <c r="H67" s="80" t="s">
        <v>195</v>
      </c>
      <c r="I67" s="80" t="s">
        <v>195</v>
      </c>
      <c r="J67" s="80" t="s">
        <v>195</v>
      </c>
      <c r="K67" s="80" t="s">
        <v>195</v>
      </c>
      <c r="L67" s="80" t="s">
        <v>195</v>
      </c>
      <c r="M67" s="80" t="s">
        <v>195</v>
      </c>
      <c r="N67" s="80" t="s">
        <v>195</v>
      </c>
      <c r="O67" s="80" t="s">
        <v>195</v>
      </c>
      <c r="P67" s="80" t="s">
        <v>195</v>
      </c>
      <c r="Q67" s="80" t="s">
        <v>195</v>
      </c>
      <c r="R67" s="80" t="s">
        <v>195</v>
      </c>
      <c r="S67" s="80" t="s">
        <v>195</v>
      </c>
      <c r="T67" s="80" t="s">
        <v>195</v>
      </c>
      <c r="U67" s="80" t="s">
        <v>195</v>
      </c>
      <c r="V67" s="80" t="s">
        <v>195</v>
      </c>
      <c r="W67" s="80" t="s">
        <v>195</v>
      </c>
      <c r="X67" s="80" t="s">
        <v>195</v>
      </c>
      <c r="Y67" s="80" t="s">
        <v>195</v>
      </c>
      <c r="Z67" s="80" t="s">
        <v>195</v>
      </c>
      <c r="AA67" s="80" t="s">
        <v>195</v>
      </c>
      <c r="AB67" s="80" t="s">
        <v>195</v>
      </c>
      <c r="AC67" s="80" t="s">
        <v>195</v>
      </c>
      <c r="AD67" s="80" t="s">
        <v>195</v>
      </c>
      <c r="AE67" s="80" t="s">
        <v>195</v>
      </c>
      <c r="AF67" s="80" t="s">
        <v>195</v>
      </c>
      <c r="AG67" s="80" t="s">
        <v>195</v>
      </c>
      <c r="AH67" s="80" t="s">
        <v>195</v>
      </c>
      <c r="AI67" s="80" t="s">
        <v>195</v>
      </c>
      <c r="AJ67" s="80" t="s">
        <v>195</v>
      </c>
      <c r="AK67" s="80" t="s">
        <v>195</v>
      </c>
      <c r="AL67" s="80" t="s">
        <v>195</v>
      </c>
      <c r="AM67" s="80" t="s">
        <v>195</v>
      </c>
      <c r="AN67" s="80" t="s">
        <v>195</v>
      </c>
      <c r="AO67" s="80" t="s">
        <v>195</v>
      </c>
      <c r="AP67" s="80" t="s">
        <v>195</v>
      </c>
      <c r="AQ67" s="80" t="s">
        <v>195</v>
      </c>
      <c r="AR67" s="80" t="s">
        <v>195</v>
      </c>
      <c r="AS67" s="80" t="s">
        <v>195</v>
      </c>
      <c r="AT67" s="80" t="s">
        <v>195</v>
      </c>
      <c r="AU67" s="80" t="s">
        <v>195</v>
      </c>
      <c r="AV67" s="80" t="s">
        <v>195</v>
      </c>
      <c r="AW67" s="80" t="s">
        <v>195</v>
      </c>
      <c r="AX67" s="80" t="s">
        <v>195</v>
      </c>
      <c r="AY67" s="82">
        <v>0.05</v>
      </c>
      <c r="AZ67" s="80" t="s">
        <v>195</v>
      </c>
      <c r="BA67" s="80" t="s">
        <v>195</v>
      </c>
      <c r="BB67" s="80" t="s">
        <v>195</v>
      </c>
      <c r="BC67" s="80" t="s">
        <v>195</v>
      </c>
      <c r="BD67" s="80" t="s">
        <v>195</v>
      </c>
      <c r="BE67" s="80" t="s">
        <v>195</v>
      </c>
      <c r="BF67" s="83">
        <v>1</v>
      </c>
      <c r="BG67" s="80" t="s">
        <v>195</v>
      </c>
      <c r="BH67" s="80" t="s">
        <v>195</v>
      </c>
      <c r="BI67" s="82">
        <v>71.260000000000005</v>
      </c>
      <c r="BJ67" s="82">
        <v>69.86</v>
      </c>
      <c r="BK67" s="82">
        <v>2.93</v>
      </c>
      <c r="BL67" s="82">
        <v>0.19</v>
      </c>
      <c r="BM67" s="80" t="s">
        <v>195</v>
      </c>
      <c r="BN67" s="82">
        <v>0.15</v>
      </c>
      <c r="BO67" s="82">
        <v>0.09</v>
      </c>
      <c r="BP67" s="80" t="s">
        <v>195</v>
      </c>
      <c r="BQ67" s="82">
        <v>0.03</v>
      </c>
      <c r="BR67" s="80" t="s">
        <v>195</v>
      </c>
      <c r="BS67" s="80" t="s">
        <v>195</v>
      </c>
      <c r="BT67" s="80" t="s">
        <v>195</v>
      </c>
      <c r="BU67" s="82">
        <v>0.03</v>
      </c>
      <c r="BV67" s="80" t="s">
        <v>195</v>
      </c>
    </row>
    <row r="68" spans="1:74">
      <c r="A68" s="78" t="s">
        <v>568</v>
      </c>
      <c r="B68" s="78" t="s">
        <v>569</v>
      </c>
      <c r="C68" s="81">
        <v>786.61</v>
      </c>
      <c r="D68" s="81">
        <v>9.76</v>
      </c>
      <c r="E68" s="81">
        <v>1310.83</v>
      </c>
      <c r="F68" s="81">
        <v>8.02</v>
      </c>
      <c r="G68" s="81">
        <v>598.36</v>
      </c>
      <c r="H68" s="81">
        <v>5.82</v>
      </c>
      <c r="I68" s="81">
        <v>458.17</v>
      </c>
      <c r="J68" s="81">
        <v>10.99</v>
      </c>
      <c r="K68" s="81">
        <v>534.94000000000005</v>
      </c>
      <c r="L68" s="81">
        <v>7.11</v>
      </c>
      <c r="M68" s="81">
        <v>768.56</v>
      </c>
      <c r="N68" s="84">
        <v>17.8</v>
      </c>
      <c r="O68" s="84">
        <v>632.9</v>
      </c>
      <c r="P68" s="81">
        <v>6.56</v>
      </c>
      <c r="Q68" s="81">
        <v>1318.91</v>
      </c>
      <c r="R68" s="84">
        <v>5.3</v>
      </c>
      <c r="S68" s="81">
        <v>1210.6099999999999</v>
      </c>
      <c r="T68" s="81">
        <v>8.59</v>
      </c>
      <c r="U68" s="81">
        <v>647.94000000000005</v>
      </c>
      <c r="V68" s="81">
        <v>10.19</v>
      </c>
      <c r="W68" s="81">
        <v>729.81</v>
      </c>
      <c r="X68" s="81">
        <v>28.76</v>
      </c>
      <c r="Y68" s="84">
        <v>876.8</v>
      </c>
      <c r="Z68" s="81">
        <v>7.09</v>
      </c>
      <c r="AA68" s="81">
        <v>945.02</v>
      </c>
      <c r="AB68" s="81">
        <v>16.28</v>
      </c>
      <c r="AC68" s="81">
        <v>780.58</v>
      </c>
      <c r="AD68" s="84">
        <v>10.3</v>
      </c>
      <c r="AE68" s="81">
        <v>1139.1099999999999</v>
      </c>
      <c r="AF68" s="81">
        <v>17.05</v>
      </c>
      <c r="AG68" s="81">
        <v>603.65</v>
      </c>
      <c r="AH68" s="81">
        <v>17.21</v>
      </c>
      <c r="AI68" s="81">
        <v>456.58</v>
      </c>
      <c r="AJ68" s="81">
        <v>8.8699999999999992</v>
      </c>
      <c r="AK68" s="81">
        <v>513.85</v>
      </c>
      <c r="AL68" s="81">
        <v>13.79</v>
      </c>
      <c r="AM68" s="81">
        <v>1225.95</v>
      </c>
      <c r="AN68" s="81">
        <v>29.82</v>
      </c>
      <c r="AO68" s="84">
        <v>485</v>
      </c>
      <c r="AP68" s="81">
        <v>8.82</v>
      </c>
      <c r="AQ68" s="81">
        <v>1292.3900000000001</v>
      </c>
      <c r="AR68" s="81">
        <v>6.27</v>
      </c>
      <c r="AS68" s="81">
        <v>1020.73</v>
      </c>
      <c r="AT68" s="81">
        <v>14.95</v>
      </c>
      <c r="AU68" s="81">
        <v>75.61</v>
      </c>
      <c r="AV68" s="84">
        <v>2.7</v>
      </c>
      <c r="AW68" s="81">
        <v>1037.73</v>
      </c>
      <c r="AX68" s="81">
        <v>5.39</v>
      </c>
      <c r="AY68" s="81">
        <v>3690.39</v>
      </c>
      <c r="AZ68" s="81">
        <v>26.03</v>
      </c>
      <c r="BA68" s="81">
        <v>1751.31</v>
      </c>
      <c r="BB68" s="81">
        <v>44.68</v>
      </c>
      <c r="BC68" s="81">
        <v>3759.25</v>
      </c>
      <c r="BD68" s="81">
        <v>61.19</v>
      </c>
      <c r="BE68" s="81">
        <v>2167.6799999999998</v>
      </c>
      <c r="BF68" s="81">
        <v>81.56</v>
      </c>
      <c r="BG68" s="81">
        <v>4177.0600000000004</v>
      </c>
      <c r="BH68" s="81">
        <v>57.18</v>
      </c>
      <c r="BI68" s="81">
        <v>6881.02</v>
      </c>
      <c r="BJ68" s="81">
        <v>65.33</v>
      </c>
      <c r="BK68" s="81">
        <v>4472.3100000000004</v>
      </c>
      <c r="BL68" s="81">
        <v>64.78</v>
      </c>
      <c r="BM68" s="81">
        <v>4034.98</v>
      </c>
      <c r="BN68" s="81">
        <v>97.93</v>
      </c>
      <c r="BO68" s="81">
        <v>5890.15</v>
      </c>
      <c r="BP68" s="81">
        <v>95.14</v>
      </c>
      <c r="BQ68" s="81">
        <v>4419.42</v>
      </c>
      <c r="BR68" s="84">
        <v>146.5</v>
      </c>
      <c r="BS68" s="81">
        <v>5472.14</v>
      </c>
      <c r="BT68" s="81">
        <v>102.17</v>
      </c>
      <c r="BU68" s="81">
        <v>6871.44</v>
      </c>
      <c r="BV68" s="81">
        <v>55.57</v>
      </c>
    </row>
    <row r="69" spans="1:74">
      <c r="A69" s="78" t="s">
        <v>570</v>
      </c>
      <c r="B69" s="78" t="s">
        <v>571</v>
      </c>
      <c r="C69" s="82">
        <v>1909.98</v>
      </c>
      <c r="D69" s="82">
        <v>100.84</v>
      </c>
      <c r="E69" s="83">
        <v>1861.4</v>
      </c>
      <c r="F69" s="82">
        <v>58.41</v>
      </c>
      <c r="G69" s="82">
        <v>2306.25</v>
      </c>
      <c r="H69" s="82">
        <v>58.83</v>
      </c>
      <c r="I69" s="82">
        <v>1171.96</v>
      </c>
      <c r="J69" s="82">
        <v>129.12</v>
      </c>
      <c r="K69" s="82">
        <v>1490.94</v>
      </c>
      <c r="L69" s="82">
        <v>61.09</v>
      </c>
      <c r="M69" s="82">
        <v>1595.86</v>
      </c>
      <c r="N69" s="82">
        <v>67.78</v>
      </c>
      <c r="O69" s="82">
        <v>795.92</v>
      </c>
      <c r="P69" s="82">
        <v>55.15</v>
      </c>
      <c r="Q69" s="82">
        <v>1172.04</v>
      </c>
      <c r="R69" s="82">
        <v>134.01</v>
      </c>
      <c r="S69" s="82">
        <v>2467.91</v>
      </c>
      <c r="T69" s="82">
        <v>52.69</v>
      </c>
      <c r="U69" s="82">
        <v>1482.14</v>
      </c>
      <c r="V69" s="82">
        <v>56.84</v>
      </c>
      <c r="W69" s="82">
        <v>747.07</v>
      </c>
      <c r="X69" s="82">
        <v>61.89</v>
      </c>
      <c r="Y69" s="82">
        <v>1772.68</v>
      </c>
      <c r="Z69" s="82">
        <v>45.97</v>
      </c>
      <c r="AA69" s="82">
        <v>1004.72</v>
      </c>
      <c r="AB69" s="82">
        <v>89.69</v>
      </c>
      <c r="AC69" s="82">
        <v>301.99</v>
      </c>
      <c r="AD69" s="82">
        <v>70.849999999999994</v>
      </c>
      <c r="AE69" s="82">
        <v>317.42</v>
      </c>
      <c r="AF69" s="82">
        <v>82.61</v>
      </c>
      <c r="AG69" s="82">
        <v>464.48</v>
      </c>
      <c r="AH69" s="82">
        <v>74.61</v>
      </c>
      <c r="AI69" s="82">
        <v>640.86</v>
      </c>
      <c r="AJ69" s="82">
        <v>59.09</v>
      </c>
      <c r="AK69" s="82">
        <v>465.49</v>
      </c>
      <c r="AL69" s="82">
        <v>49.16</v>
      </c>
      <c r="AM69" s="82">
        <v>610.39</v>
      </c>
      <c r="AN69" s="82">
        <v>62.16</v>
      </c>
      <c r="AO69" s="82">
        <v>658.63</v>
      </c>
      <c r="AP69" s="82">
        <v>38.64</v>
      </c>
      <c r="AQ69" s="82">
        <v>692.43</v>
      </c>
      <c r="AR69" s="82">
        <v>49.51</v>
      </c>
      <c r="AS69" s="82">
        <v>855.01</v>
      </c>
      <c r="AT69" s="82">
        <v>19.670000000000002</v>
      </c>
      <c r="AU69" s="82">
        <v>479.44</v>
      </c>
      <c r="AV69" s="82">
        <v>23.99</v>
      </c>
      <c r="AW69" s="82">
        <v>906.34</v>
      </c>
      <c r="AX69" s="82">
        <v>39.92</v>
      </c>
      <c r="AY69" s="82">
        <v>1090.74</v>
      </c>
      <c r="AZ69" s="82">
        <v>412.23</v>
      </c>
      <c r="BA69" s="82">
        <v>1292.04</v>
      </c>
      <c r="BB69" s="82">
        <v>474.84</v>
      </c>
      <c r="BC69" s="82">
        <v>1512.59</v>
      </c>
      <c r="BD69" s="83">
        <v>390.6</v>
      </c>
      <c r="BE69" s="82">
        <v>2218.14</v>
      </c>
      <c r="BF69" s="82">
        <v>283.22000000000003</v>
      </c>
      <c r="BG69" s="82">
        <v>2837.32</v>
      </c>
      <c r="BH69" s="82">
        <v>39.18</v>
      </c>
      <c r="BI69" s="83">
        <v>1210.5999999999999</v>
      </c>
      <c r="BJ69" s="82">
        <v>34.22</v>
      </c>
      <c r="BK69" s="82">
        <v>3350.15</v>
      </c>
      <c r="BL69" s="82">
        <v>99.16</v>
      </c>
      <c r="BM69" s="82">
        <v>1941.64</v>
      </c>
      <c r="BN69" s="82">
        <v>71.459999999999994</v>
      </c>
      <c r="BO69" s="82">
        <v>1417.49</v>
      </c>
      <c r="BP69" s="82">
        <v>59.32</v>
      </c>
      <c r="BQ69" s="82">
        <v>2325.94</v>
      </c>
      <c r="BR69" s="82">
        <v>85.17</v>
      </c>
      <c r="BS69" s="82">
        <v>3022.41</v>
      </c>
      <c r="BT69" s="82">
        <v>67.87</v>
      </c>
      <c r="BU69" s="82">
        <v>1377.97</v>
      </c>
      <c r="BV69" s="82">
        <v>31.88</v>
      </c>
    </row>
    <row r="70" spans="1:74">
      <c r="A70" s="78" t="s">
        <v>572</v>
      </c>
      <c r="B70" s="78" t="s">
        <v>573</v>
      </c>
      <c r="C70" s="81">
        <v>16204.47</v>
      </c>
      <c r="D70" s="81">
        <v>74.069999999999993</v>
      </c>
      <c r="E70" s="81">
        <v>20239.57</v>
      </c>
      <c r="F70" s="81">
        <v>291.29000000000002</v>
      </c>
      <c r="G70" s="81">
        <v>14758.96</v>
      </c>
      <c r="H70" s="81">
        <v>66.959999999999994</v>
      </c>
      <c r="I70" s="81">
        <v>13813.74</v>
      </c>
      <c r="J70" s="84">
        <v>590</v>
      </c>
      <c r="K70" s="81">
        <v>17104.71</v>
      </c>
      <c r="L70" s="81">
        <v>317.64999999999998</v>
      </c>
      <c r="M70" s="81">
        <v>17922.189999999999</v>
      </c>
      <c r="N70" s="81">
        <v>120.35</v>
      </c>
      <c r="O70" s="81">
        <v>18191.77</v>
      </c>
      <c r="P70" s="84">
        <v>329.9</v>
      </c>
      <c r="Q70" s="81">
        <v>17070.97</v>
      </c>
      <c r="R70" s="81">
        <v>112.14</v>
      </c>
      <c r="S70" s="81">
        <v>17167.21</v>
      </c>
      <c r="T70" s="81">
        <v>269.51</v>
      </c>
      <c r="U70" s="81">
        <v>17478.060000000001</v>
      </c>
      <c r="V70" s="81">
        <v>39.74</v>
      </c>
      <c r="W70" s="81">
        <v>27788.69</v>
      </c>
      <c r="X70" s="81">
        <v>966.13</v>
      </c>
      <c r="Y70" s="81">
        <v>15756.33</v>
      </c>
      <c r="Z70" s="81">
        <v>158.31</v>
      </c>
      <c r="AA70" s="81">
        <v>21635.37</v>
      </c>
      <c r="AB70" s="81">
        <v>307.16000000000003</v>
      </c>
      <c r="AC70" s="81">
        <v>16025.13</v>
      </c>
      <c r="AD70" s="81">
        <v>303.74</v>
      </c>
      <c r="AE70" s="81">
        <v>27522.78</v>
      </c>
      <c r="AF70" s="81">
        <v>755.31</v>
      </c>
      <c r="AG70" s="84">
        <v>13102.6</v>
      </c>
      <c r="AH70" s="81">
        <v>295.43</v>
      </c>
      <c r="AI70" s="81">
        <v>24060.080000000002</v>
      </c>
      <c r="AJ70" s="81">
        <v>14.94</v>
      </c>
      <c r="AK70" s="81">
        <v>21948.06</v>
      </c>
      <c r="AL70" s="84">
        <v>468.4</v>
      </c>
      <c r="AM70" s="84">
        <v>20338.099999999999</v>
      </c>
      <c r="AN70" s="81">
        <v>87.11</v>
      </c>
      <c r="AO70" s="81">
        <v>24160.67</v>
      </c>
      <c r="AP70" s="81">
        <v>255.24</v>
      </c>
      <c r="AQ70" s="81">
        <v>25838.79</v>
      </c>
      <c r="AR70" s="81">
        <v>340.82</v>
      </c>
      <c r="AS70" s="81">
        <v>6413.21</v>
      </c>
      <c r="AT70" s="81">
        <v>139.81</v>
      </c>
      <c r="AU70" s="81">
        <v>35524.19</v>
      </c>
      <c r="AV70" s="81">
        <v>104.64</v>
      </c>
      <c r="AW70" s="81">
        <v>23619.279999999999</v>
      </c>
      <c r="AX70" s="81">
        <v>105.79</v>
      </c>
      <c r="AY70" s="81">
        <v>8386.67</v>
      </c>
      <c r="AZ70" s="81">
        <v>343.42</v>
      </c>
      <c r="BA70" s="81">
        <v>15920.63</v>
      </c>
      <c r="BB70" s="81">
        <v>86.41</v>
      </c>
      <c r="BC70" s="81">
        <v>24562.01</v>
      </c>
      <c r="BD70" s="81">
        <v>216.93</v>
      </c>
      <c r="BE70" s="81">
        <v>13127.07</v>
      </c>
      <c r="BF70" s="81">
        <v>310.37</v>
      </c>
      <c r="BG70" s="81">
        <v>30156.94</v>
      </c>
      <c r="BH70" s="84">
        <v>274.3</v>
      </c>
      <c r="BI70" s="81">
        <v>21185.85</v>
      </c>
      <c r="BJ70" s="81">
        <v>74.37</v>
      </c>
      <c r="BK70" s="84">
        <v>12974</v>
      </c>
      <c r="BL70" s="81">
        <v>179.28</v>
      </c>
      <c r="BM70" s="81">
        <v>17329.349999999999</v>
      </c>
      <c r="BN70" s="81">
        <v>458.07</v>
      </c>
      <c r="BO70" s="81">
        <v>30879.56</v>
      </c>
      <c r="BP70" s="84">
        <v>161.19999999999999</v>
      </c>
      <c r="BQ70" s="81">
        <v>27229.279999999999</v>
      </c>
      <c r="BR70" s="81">
        <v>243.07</v>
      </c>
      <c r="BS70" s="81">
        <v>16341.48</v>
      </c>
      <c r="BT70" s="81">
        <v>157.13</v>
      </c>
      <c r="BU70" s="81">
        <v>21233.52</v>
      </c>
      <c r="BV70" s="81">
        <v>197.41</v>
      </c>
    </row>
    <row r="71" spans="1:74">
      <c r="A71" s="78" t="s">
        <v>574</v>
      </c>
      <c r="B71" s="78" t="s">
        <v>575</v>
      </c>
      <c r="C71" s="82">
        <v>74958.990000000005</v>
      </c>
      <c r="D71" s="82">
        <v>13213.92</v>
      </c>
      <c r="E71" s="82">
        <v>66528.28</v>
      </c>
      <c r="F71" s="82">
        <v>8764.27</v>
      </c>
      <c r="G71" s="82">
        <v>84277.61</v>
      </c>
      <c r="H71" s="82">
        <v>11884.45</v>
      </c>
      <c r="I71" s="82">
        <v>92085.69</v>
      </c>
      <c r="J71" s="82">
        <v>10933.03</v>
      </c>
      <c r="K71" s="82">
        <v>88921.21</v>
      </c>
      <c r="L71" s="82">
        <v>9898.76</v>
      </c>
      <c r="M71" s="82">
        <v>80950.23</v>
      </c>
      <c r="N71" s="82">
        <v>8576.6299999999992</v>
      </c>
      <c r="O71" s="82">
        <v>72835.16</v>
      </c>
      <c r="P71" s="82">
        <v>9511.52</v>
      </c>
      <c r="Q71" s="82">
        <v>77706.47</v>
      </c>
      <c r="R71" s="82">
        <v>10371.379999999999</v>
      </c>
      <c r="S71" s="82">
        <v>74752.98</v>
      </c>
      <c r="T71" s="82">
        <v>9270.64</v>
      </c>
      <c r="U71" s="82">
        <v>77054.350000000006</v>
      </c>
      <c r="V71" s="82">
        <v>7901.24</v>
      </c>
      <c r="W71" s="83">
        <v>83797.899999999994</v>
      </c>
      <c r="X71" s="82">
        <v>11325.76</v>
      </c>
      <c r="Y71" s="83">
        <v>85562.3</v>
      </c>
      <c r="Z71" s="82">
        <v>8540.06</v>
      </c>
      <c r="AA71" s="82">
        <v>75686.53</v>
      </c>
      <c r="AB71" s="82">
        <v>10055.89</v>
      </c>
      <c r="AC71" s="82">
        <v>61936.05</v>
      </c>
      <c r="AD71" s="82">
        <v>12933.46</v>
      </c>
      <c r="AE71" s="82">
        <v>68194.559999999998</v>
      </c>
      <c r="AF71" s="82">
        <v>9166.31</v>
      </c>
      <c r="AG71" s="82">
        <v>76912.649999999994</v>
      </c>
      <c r="AH71" s="82">
        <v>10551.41</v>
      </c>
      <c r="AI71" s="82">
        <v>67253.03</v>
      </c>
      <c r="AJ71" s="82">
        <v>15532.39</v>
      </c>
      <c r="AK71" s="82">
        <v>67796.63</v>
      </c>
      <c r="AL71" s="82">
        <v>10086.42</v>
      </c>
      <c r="AM71" s="82">
        <v>91324.18</v>
      </c>
      <c r="AN71" s="82">
        <v>9521.34</v>
      </c>
      <c r="AO71" s="82">
        <v>70703.09</v>
      </c>
      <c r="AP71" s="82">
        <v>9137.8799999999992</v>
      </c>
      <c r="AQ71" s="82">
        <v>84822.32</v>
      </c>
      <c r="AR71" s="82">
        <v>10643.62</v>
      </c>
      <c r="AS71" s="82">
        <v>88062.28</v>
      </c>
      <c r="AT71" s="82">
        <v>12697.91</v>
      </c>
      <c r="AU71" s="82">
        <v>64320.42</v>
      </c>
      <c r="AV71" s="82">
        <v>12407.38</v>
      </c>
      <c r="AW71" s="82">
        <v>90764.34</v>
      </c>
      <c r="AX71" s="82">
        <v>6353.42</v>
      </c>
      <c r="AY71" s="82">
        <v>55748.98</v>
      </c>
      <c r="AZ71" s="82">
        <v>6901.94</v>
      </c>
      <c r="BA71" s="82">
        <v>43893.42</v>
      </c>
      <c r="BB71" s="82">
        <v>4857.68</v>
      </c>
      <c r="BC71" s="83">
        <v>55335.8</v>
      </c>
      <c r="BD71" s="82">
        <v>8160.53</v>
      </c>
      <c r="BE71" s="82">
        <v>42070.49</v>
      </c>
      <c r="BF71" s="82">
        <v>7862.02</v>
      </c>
      <c r="BG71" s="83">
        <v>55189.8</v>
      </c>
      <c r="BH71" s="82">
        <v>18521.150000000001</v>
      </c>
      <c r="BI71" s="82">
        <v>49272.69</v>
      </c>
      <c r="BJ71" s="82">
        <v>1820.26</v>
      </c>
      <c r="BK71" s="82">
        <v>54782.95</v>
      </c>
      <c r="BL71" s="82">
        <v>20383.54</v>
      </c>
      <c r="BM71" s="82">
        <v>57763.38</v>
      </c>
      <c r="BN71" s="82">
        <v>20149.22</v>
      </c>
      <c r="BO71" s="82">
        <v>63519.15</v>
      </c>
      <c r="BP71" s="82">
        <v>7056.71</v>
      </c>
      <c r="BQ71" s="82">
        <v>67403.56</v>
      </c>
      <c r="BR71" s="82">
        <v>8933.39</v>
      </c>
      <c r="BS71" s="82">
        <v>75819.929999999993</v>
      </c>
      <c r="BT71" s="82">
        <v>17387.72</v>
      </c>
      <c r="BU71" s="82">
        <v>54783.71</v>
      </c>
      <c r="BV71" s="82">
        <v>5706.74</v>
      </c>
    </row>
    <row r="72" spans="1:74">
      <c r="A72" s="78" t="s">
        <v>576</v>
      </c>
      <c r="B72" s="78" t="s">
        <v>577</v>
      </c>
      <c r="C72" s="79" t="s">
        <v>195</v>
      </c>
      <c r="D72" s="79" t="s">
        <v>195</v>
      </c>
      <c r="E72" s="79" t="s">
        <v>195</v>
      </c>
      <c r="F72" s="79" t="s">
        <v>195</v>
      </c>
      <c r="G72" s="79" t="s">
        <v>195</v>
      </c>
      <c r="H72" s="79" t="s">
        <v>195</v>
      </c>
      <c r="I72" s="79" t="s">
        <v>195</v>
      </c>
      <c r="J72" s="79" t="s">
        <v>195</v>
      </c>
      <c r="K72" s="79" t="s">
        <v>195</v>
      </c>
      <c r="L72" s="79" t="s">
        <v>195</v>
      </c>
      <c r="M72" s="79" t="s">
        <v>195</v>
      </c>
      <c r="N72" s="79" t="s">
        <v>195</v>
      </c>
      <c r="O72" s="79" t="s">
        <v>195</v>
      </c>
      <c r="P72" s="79" t="s">
        <v>195</v>
      </c>
      <c r="Q72" s="79" t="s">
        <v>195</v>
      </c>
      <c r="R72" s="79" t="s">
        <v>195</v>
      </c>
      <c r="S72" s="79" t="s">
        <v>195</v>
      </c>
      <c r="T72" s="79" t="s">
        <v>195</v>
      </c>
      <c r="U72" s="79" t="s">
        <v>195</v>
      </c>
      <c r="V72" s="79" t="s">
        <v>195</v>
      </c>
      <c r="W72" s="79" t="s">
        <v>195</v>
      </c>
      <c r="X72" s="79" t="s">
        <v>195</v>
      </c>
      <c r="Y72" s="79" t="s">
        <v>195</v>
      </c>
      <c r="Z72" s="79" t="s">
        <v>195</v>
      </c>
      <c r="AA72" s="79" t="s">
        <v>195</v>
      </c>
      <c r="AB72" s="79" t="s">
        <v>195</v>
      </c>
      <c r="AC72" s="79" t="s">
        <v>195</v>
      </c>
      <c r="AD72" s="79" t="s">
        <v>195</v>
      </c>
      <c r="AE72" s="79" t="s">
        <v>195</v>
      </c>
      <c r="AF72" s="79" t="s">
        <v>195</v>
      </c>
      <c r="AG72" s="79" t="s">
        <v>195</v>
      </c>
      <c r="AH72" s="79" t="s">
        <v>195</v>
      </c>
      <c r="AI72" s="79" t="s">
        <v>195</v>
      </c>
      <c r="AJ72" s="79" t="s">
        <v>195</v>
      </c>
      <c r="AK72" s="79" t="s">
        <v>195</v>
      </c>
      <c r="AL72" s="79" t="s">
        <v>195</v>
      </c>
      <c r="AM72" s="79" t="s">
        <v>195</v>
      </c>
      <c r="AN72" s="79" t="s">
        <v>195</v>
      </c>
      <c r="AO72" s="79" t="s">
        <v>195</v>
      </c>
      <c r="AP72" s="79" t="s">
        <v>195</v>
      </c>
      <c r="AQ72" s="79" t="s">
        <v>195</v>
      </c>
      <c r="AR72" s="79" t="s">
        <v>195</v>
      </c>
      <c r="AS72" s="79" t="s">
        <v>195</v>
      </c>
      <c r="AT72" s="79" t="s">
        <v>195</v>
      </c>
      <c r="AU72" s="79" t="s">
        <v>195</v>
      </c>
      <c r="AV72" s="79" t="s">
        <v>195</v>
      </c>
      <c r="AW72" s="79" t="s">
        <v>195</v>
      </c>
      <c r="AX72" s="79" t="s">
        <v>195</v>
      </c>
      <c r="AY72" s="79" t="s">
        <v>195</v>
      </c>
      <c r="AZ72" s="79" t="s">
        <v>195</v>
      </c>
      <c r="BA72" s="81">
        <v>190.01</v>
      </c>
      <c r="BB72" s="79" t="s">
        <v>195</v>
      </c>
      <c r="BC72" s="79" t="s">
        <v>195</v>
      </c>
      <c r="BD72" s="79" t="s">
        <v>195</v>
      </c>
      <c r="BE72" s="84">
        <v>210</v>
      </c>
      <c r="BF72" s="79" t="s">
        <v>195</v>
      </c>
      <c r="BG72" s="84">
        <v>195.7</v>
      </c>
      <c r="BH72" s="81">
        <v>8.27</v>
      </c>
      <c r="BI72" s="84">
        <v>240</v>
      </c>
      <c r="BJ72" s="81">
        <v>243.21</v>
      </c>
      <c r="BK72" s="81">
        <v>200.09</v>
      </c>
      <c r="BL72" s="84">
        <v>1.4</v>
      </c>
      <c r="BM72" s="79" t="s">
        <v>195</v>
      </c>
      <c r="BN72" s="81">
        <v>2.36</v>
      </c>
      <c r="BO72" s="79" t="s">
        <v>195</v>
      </c>
      <c r="BP72" s="81">
        <v>33.159999999999997</v>
      </c>
      <c r="BQ72" s="84">
        <v>195</v>
      </c>
      <c r="BR72" s="84">
        <v>29.7</v>
      </c>
      <c r="BS72" s="84">
        <v>240</v>
      </c>
      <c r="BT72" s="81">
        <v>26.63</v>
      </c>
      <c r="BU72" s="84">
        <v>472.8</v>
      </c>
      <c r="BV72" s="81">
        <v>15.08</v>
      </c>
    </row>
    <row r="73" spans="1:74">
      <c r="A73" s="78" t="s">
        <v>578</v>
      </c>
      <c r="B73" s="78" t="s">
        <v>579</v>
      </c>
      <c r="C73" s="81">
        <v>17512.75</v>
      </c>
      <c r="D73" s="81">
        <v>7603.11</v>
      </c>
      <c r="E73" s="84">
        <v>10993.8</v>
      </c>
      <c r="F73" s="81">
        <v>8913.7800000000007</v>
      </c>
      <c r="G73" s="84">
        <v>16008.6</v>
      </c>
      <c r="H73" s="81">
        <v>6865.23</v>
      </c>
      <c r="I73" s="81">
        <v>22137.119999999999</v>
      </c>
      <c r="J73" s="81">
        <v>6310.98</v>
      </c>
      <c r="K73" s="81">
        <v>15759.95</v>
      </c>
      <c r="L73" s="81">
        <v>7203.29</v>
      </c>
      <c r="M73" s="81">
        <v>17897.080000000002</v>
      </c>
      <c r="N73" s="81">
        <v>6980.92</v>
      </c>
      <c r="O73" s="84">
        <v>12641</v>
      </c>
      <c r="P73" s="81">
        <v>7703.25</v>
      </c>
      <c r="Q73" s="81">
        <v>17400.419999999998</v>
      </c>
      <c r="R73" s="81">
        <v>7898.23</v>
      </c>
      <c r="S73" s="81">
        <v>18740.09</v>
      </c>
      <c r="T73" s="81">
        <v>5262.13</v>
      </c>
      <c r="U73" s="81">
        <v>16800.330000000002</v>
      </c>
      <c r="V73" s="81">
        <v>6116.26</v>
      </c>
      <c r="W73" s="81">
        <v>24004.69</v>
      </c>
      <c r="X73" s="81">
        <v>2985.67</v>
      </c>
      <c r="Y73" s="81">
        <v>14361.01</v>
      </c>
      <c r="Z73" s="84">
        <v>5299.1</v>
      </c>
      <c r="AA73" s="81">
        <v>20018.47</v>
      </c>
      <c r="AB73" s="81">
        <v>3215.67</v>
      </c>
      <c r="AC73" s="81">
        <v>15129.02</v>
      </c>
      <c r="AD73" s="84">
        <v>2336.6</v>
      </c>
      <c r="AE73" s="81">
        <v>13144.89</v>
      </c>
      <c r="AF73" s="81">
        <v>3427.68</v>
      </c>
      <c r="AG73" s="81">
        <v>18862.009999999998</v>
      </c>
      <c r="AH73" s="81">
        <v>3316.23</v>
      </c>
      <c r="AI73" s="81">
        <v>15188.38</v>
      </c>
      <c r="AJ73" s="81">
        <v>3110.16</v>
      </c>
      <c r="AK73" s="81">
        <v>21557.18</v>
      </c>
      <c r="AL73" s="81">
        <v>1979.05</v>
      </c>
      <c r="AM73" s="81">
        <v>20239.490000000002</v>
      </c>
      <c r="AN73" s="81">
        <v>2105.73</v>
      </c>
      <c r="AO73" s="81">
        <v>17498.419999999998</v>
      </c>
      <c r="AP73" s="81">
        <v>2292.5100000000002</v>
      </c>
      <c r="AQ73" s="81">
        <v>17685.189999999999</v>
      </c>
      <c r="AR73" s="81">
        <v>2245.73</v>
      </c>
      <c r="AS73" s="81">
        <v>13484.92</v>
      </c>
      <c r="AT73" s="81">
        <v>2457.61</v>
      </c>
      <c r="AU73" s="81">
        <v>20419.240000000002</v>
      </c>
      <c r="AV73" s="81">
        <v>2424.48</v>
      </c>
      <c r="AW73" s="81">
        <v>20590.48</v>
      </c>
      <c r="AX73" s="81">
        <v>1826.64</v>
      </c>
      <c r="AY73" s="81">
        <v>13745.64</v>
      </c>
      <c r="AZ73" s="81">
        <v>1431.54</v>
      </c>
      <c r="BA73" s="81">
        <v>10475.86</v>
      </c>
      <c r="BB73" s="81">
        <v>1272.18</v>
      </c>
      <c r="BC73" s="81">
        <v>19150.48</v>
      </c>
      <c r="BD73" s="81">
        <v>2049.71</v>
      </c>
      <c r="BE73" s="81">
        <v>14985.54</v>
      </c>
      <c r="BF73" s="81">
        <v>1917.12</v>
      </c>
      <c r="BG73" s="81">
        <v>12069.48</v>
      </c>
      <c r="BH73" s="81">
        <v>1974.07</v>
      </c>
      <c r="BI73" s="81">
        <v>15293.63</v>
      </c>
      <c r="BJ73" s="81">
        <v>1248.5899999999999</v>
      </c>
      <c r="BK73" s="81">
        <v>10366.76</v>
      </c>
      <c r="BL73" s="81">
        <v>1886.51</v>
      </c>
      <c r="BM73" s="81">
        <v>8019.45</v>
      </c>
      <c r="BN73" s="81">
        <v>1621.13</v>
      </c>
      <c r="BO73" s="81">
        <v>14226.21</v>
      </c>
      <c r="BP73" s="81">
        <v>1261.81</v>
      </c>
      <c r="BQ73" s="81">
        <v>12234.58</v>
      </c>
      <c r="BR73" s="84">
        <v>2865.9</v>
      </c>
      <c r="BS73" s="81">
        <v>15019.99</v>
      </c>
      <c r="BT73" s="81">
        <v>1878.36</v>
      </c>
      <c r="BU73" s="81">
        <v>13511.79</v>
      </c>
      <c r="BV73" s="81">
        <v>787.48</v>
      </c>
    </row>
    <row r="74" spans="1:74">
      <c r="A74" s="78" t="s">
        <v>580</v>
      </c>
      <c r="B74" s="78" t="s">
        <v>581</v>
      </c>
      <c r="C74" s="83">
        <v>23974.1</v>
      </c>
      <c r="D74" s="82">
        <v>1085.1400000000001</v>
      </c>
      <c r="E74" s="82">
        <v>15065.72</v>
      </c>
      <c r="F74" s="82">
        <v>976.07</v>
      </c>
      <c r="G74" s="82">
        <v>6601.96</v>
      </c>
      <c r="H74" s="82">
        <v>359.52</v>
      </c>
      <c r="I74" s="82">
        <v>6977.65</v>
      </c>
      <c r="J74" s="83">
        <v>1659.3</v>
      </c>
      <c r="K74" s="82">
        <v>8565.5400000000009</v>
      </c>
      <c r="L74" s="82">
        <v>1218.46</v>
      </c>
      <c r="M74" s="82">
        <v>6469.48</v>
      </c>
      <c r="N74" s="82">
        <v>1066.24</v>
      </c>
      <c r="O74" s="82">
        <v>14035.84</v>
      </c>
      <c r="P74" s="82">
        <v>1155.77</v>
      </c>
      <c r="Q74" s="82">
        <v>10599.19</v>
      </c>
      <c r="R74" s="82">
        <v>1436.61</v>
      </c>
      <c r="S74" s="83">
        <v>14185.3</v>
      </c>
      <c r="T74" s="83">
        <v>1322.1</v>
      </c>
      <c r="U74" s="82">
        <v>8538.33</v>
      </c>
      <c r="V74" s="82">
        <v>1553.02</v>
      </c>
      <c r="W74" s="82">
        <v>13631.26</v>
      </c>
      <c r="X74" s="83">
        <v>1888.5</v>
      </c>
      <c r="Y74" s="82">
        <v>12705.63</v>
      </c>
      <c r="Z74" s="82">
        <v>1000.47</v>
      </c>
      <c r="AA74" s="82">
        <v>8517.83</v>
      </c>
      <c r="AB74" s="82">
        <v>782.24</v>
      </c>
      <c r="AC74" s="82">
        <v>4241.12</v>
      </c>
      <c r="AD74" s="82">
        <v>305.72000000000003</v>
      </c>
      <c r="AE74" s="82">
        <v>7253.61</v>
      </c>
      <c r="AF74" s="82">
        <v>709.87</v>
      </c>
      <c r="AG74" s="82">
        <v>6743.61</v>
      </c>
      <c r="AH74" s="82">
        <v>999.25</v>
      </c>
      <c r="AI74" s="82">
        <v>5836.54</v>
      </c>
      <c r="AJ74" s="82">
        <v>1325.41</v>
      </c>
      <c r="AK74" s="82">
        <v>5378.32</v>
      </c>
      <c r="AL74" s="82">
        <v>542.83000000000004</v>
      </c>
      <c r="AM74" s="82">
        <v>3851.31</v>
      </c>
      <c r="AN74" s="82">
        <v>753.04</v>
      </c>
      <c r="AO74" s="82">
        <v>8698.75</v>
      </c>
      <c r="AP74" s="82">
        <v>1500.32</v>
      </c>
      <c r="AQ74" s="82">
        <v>4825.08</v>
      </c>
      <c r="AR74" s="82">
        <v>725.83</v>
      </c>
      <c r="AS74" s="82">
        <v>2811.79</v>
      </c>
      <c r="AT74" s="83">
        <v>3097.5</v>
      </c>
      <c r="AU74" s="82">
        <v>6449.68</v>
      </c>
      <c r="AV74" s="82">
        <v>359.61</v>
      </c>
      <c r="AW74" s="82">
        <v>6149.31</v>
      </c>
      <c r="AX74" s="82">
        <v>790.63</v>
      </c>
      <c r="AY74" s="82">
        <v>5341.93</v>
      </c>
      <c r="AZ74" s="82">
        <v>55.99</v>
      </c>
      <c r="BA74" s="82">
        <v>5417.53</v>
      </c>
      <c r="BB74" s="82">
        <v>749.53</v>
      </c>
      <c r="BC74" s="82">
        <v>8496.59</v>
      </c>
      <c r="BD74" s="82">
        <v>506.34</v>
      </c>
      <c r="BE74" s="82">
        <v>8174.18</v>
      </c>
      <c r="BF74" s="82">
        <v>462.88</v>
      </c>
      <c r="BG74" s="82">
        <v>5702.66</v>
      </c>
      <c r="BH74" s="82">
        <v>294.08</v>
      </c>
      <c r="BI74" s="82">
        <v>4571.74</v>
      </c>
      <c r="BJ74" s="82">
        <v>96.99</v>
      </c>
      <c r="BK74" s="82">
        <v>4508.96</v>
      </c>
      <c r="BL74" s="82">
        <v>336.63</v>
      </c>
      <c r="BM74" s="82">
        <v>3844.39</v>
      </c>
      <c r="BN74" s="82">
        <v>363.16</v>
      </c>
      <c r="BO74" s="82">
        <v>5375.16</v>
      </c>
      <c r="BP74" s="82">
        <v>454.37</v>
      </c>
      <c r="BQ74" s="82">
        <v>6287.66</v>
      </c>
      <c r="BR74" s="82">
        <v>325.31</v>
      </c>
      <c r="BS74" s="82">
        <v>5548.82</v>
      </c>
      <c r="BT74" s="82">
        <v>327.57</v>
      </c>
      <c r="BU74" s="82">
        <v>5092.0600000000004</v>
      </c>
      <c r="BV74" s="82">
        <v>45.02</v>
      </c>
    </row>
    <row r="75" spans="1:74">
      <c r="A75" s="78" t="s">
        <v>582</v>
      </c>
      <c r="B75" s="78" t="s">
        <v>583</v>
      </c>
      <c r="C75" s="81">
        <v>7462.35</v>
      </c>
      <c r="D75" s="81">
        <v>5662.31</v>
      </c>
      <c r="E75" s="81">
        <v>7342.72</v>
      </c>
      <c r="F75" s="81">
        <v>6765.66</v>
      </c>
      <c r="G75" s="81">
        <v>11555.24</v>
      </c>
      <c r="H75" s="81">
        <v>453.78</v>
      </c>
      <c r="I75" s="81">
        <v>12397.36</v>
      </c>
      <c r="J75" s="81">
        <v>6512.37</v>
      </c>
      <c r="K75" s="81">
        <v>8929.44</v>
      </c>
      <c r="L75" s="81">
        <v>7345.13</v>
      </c>
      <c r="M75" s="81">
        <v>8792.4500000000007</v>
      </c>
      <c r="N75" s="81">
        <v>4480.63</v>
      </c>
      <c r="O75" s="81">
        <v>8034.16</v>
      </c>
      <c r="P75" s="81">
        <v>6712.56</v>
      </c>
      <c r="Q75" s="81">
        <v>12862.29</v>
      </c>
      <c r="R75" s="81">
        <v>4464.93</v>
      </c>
      <c r="S75" s="84">
        <v>8801.2999999999993</v>
      </c>
      <c r="T75" s="81">
        <v>3117.67</v>
      </c>
      <c r="U75" s="81">
        <v>11147.77</v>
      </c>
      <c r="V75" s="81">
        <v>815.15</v>
      </c>
      <c r="W75" s="84">
        <v>7730.6</v>
      </c>
      <c r="X75" s="81">
        <v>936.02</v>
      </c>
      <c r="Y75" s="81">
        <v>8908.3799999999992</v>
      </c>
      <c r="Z75" s="81">
        <v>4607.29</v>
      </c>
      <c r="AA75" s="81">
        <v>13351.26</v>
      </c>
      <c r="AB75" s="81">
        <v>4625.4399999999996</v>
      </c>
      <c r="AC75" s="81">
        <v>7200.75</v>
      </c>
      <c r="AD75" s="81">
        <v>4877.6499999999996</v>
      </c>
      <c r="AE75" s="81">
        <v>10574.48</v>
      </c>
      <c r="AF75" s="84">
        <v>1434.2</v>
      </c>
      <c r="AG75" s="81">
        <v>7576.33</v>
      </c>
      <c r="AH75" s="81">
        <v>883.18</v>
      </c>
      <c r="AI75" s="84">
        <v>9625.1</v>
      </c>
      <c r="AJ75" s="84">
        <v>2578.1999999999998</v>
      </c>
      <c r="AK75" s="81">
        <v>7391.95</v>
      </c>
      <c r="AL75" s="81">
        <v>2396.16</v>
      </c>
      <c r="AM75" s="81">
        <v>9343.27</v>
      </c>
      <c r="AN75" s="81">
        <v>1136.96</v>
      </c>
      <c r="AO75" s="81">
        <v>9393.32</v>
      </c>
      <c r="AP75" s="81">
        <v>790.21</v>
      </c>
      <c r="AQ75" s="81">
        <v>12733.98</v>
      </c>
      <c r="AR75" s="81">
        <v>2660.27</v>
      </c>
      <c r="AS75" s="81">
        <v>10502.56</v>
      </c>
      <c r="AT75" s="84">
        <v>5289.2</v>
      </c>
      <c r="AU75" s="81">
        <v>11239.01</v>
      </c>
      <c r="AV75" s="81">
        <v>5436.25</v>
      </c>
      <c r="AW75" s="81">
        <v>12556.57</v>
      </c>
      <c r="AX75" s="81">
        <v>1230.52</v>
      </c>
      <c r="AY75" s="81">
        <v>5095.28</v>
      </c>
      <c r="AZ75" s="81">
        <v>1220.94</v>
      </c>
      <c r="BA75" s="81">
        <v>17847.43</v>
      </c>
      <c r="BB75" s="81">
        <v>1113.95</v>
      </c>
      <c r="BC75" s="81">
        <v>9179.73</v>
      </c>
      <c r="BD75" s="81">
        <v>2884.85</v>
      </c>
      <c r="BE75" s="81">
        <v>18202.55</v>
      </c>
      <c r="BF75" s="81">
        <v>1600.59</v>
      </c>
      <c r="BG75" s="81">
        <v>14347.84</v>
      </c>
      <c r="BH75" s="81">
        <v>1145.5899999999999</v>
      </c>
      <c r="BI75" s="81">
        <v>11531.93</v>
      </c>
      <c r="BJ75" s="81">
        <v>1509.04</v>
      </c>
      <c r="BK75" s="81">
        <v>12185.97</v>
      </c>
      <c r="BL75" s="81">
        <v>1933.43</v>
      </c>
      <c r="BM75" s="81">
        <v>15596.75</v>
      </c>
      <c r="BN75" s="81">
        <v>1661.39</v>
      </c>
      <c r="BO75" s="81">
        <v>10171.93</v>
      </c>
      <c r="BP75" s="81">
        <v>1732.26</v>
      </c>
      <c r="BQ75" s="81">
        <v>13915.58</v>
      </c>
      <c r="BR75" s="81">
        <v>1176.22</v>
      </c>
      <c r="BS75" s="81">
        <v>15752.31</v>
      </c>
      <c r="BT75" s="81">
        <v>2097.89</v>
      </c>
      <c r="BU75" s="84">
        <v>7081.8</v>
      </c>
      <c r="BV75" s="81">
        <v>2583.58</v>
      </c>
    </row>
    <row r="76" spans="1:74">
      <c r="A76" s="78" t="s">
        <v>584</v>
      </c>
      <c r="B76" s="78" t="s">
        <v>585</v>
      </c>
      <c r="C76" s="82">
        <v>134177.07</v>
      </c>
      <c r="D76" s="82">
        <v>10194.41</v>
      </c>
      <c r="E76" s="82">
        <v>109864.22</v>
      </c>
      <c r="F76" s="82">
        <v>8434.67</v>
      </c>
      <c r="G76" s="82">
        <v>137657.43</v>
      </c>
      <c r="H76" s="82">
        <v>13456.09</v>
      </c>
      <c r="I76" s="82">
        <v>145109.88</v>
      </c>
      <c r="J76" s="82">
        <v>13858.54</v>
      </c>
      <c r="K76" s="82">
        <v>119684.95</v>
      </c>
      <c r="L76" s="83">
        <v>12669.3</v>
      </c>
      <c r="M76" s="82">
        <v>169907.29</v>
      </c>
      <c r="N76" s="82">
        <v>12812.13</v>
      </c>
      <c r="O76" s="82">
        <v>157633.35999999999</v>
      </c>
      <c r="P76" s="83">
        <v>12022.2</v>
      </c>
      <c r="Q76" s="82">
        <v>144844.01999999999</v>
      </c>
      <c r="R76" s="82">
        <v>9982.19</v>
      </c>
      <c r="S76" s="82">
        <v>160605.35</v>
      </c>
      <c r="T76" s="82">
        <v>13286.02</v>
      </c>
      <c r="U76" s="82">
        <v>152489.76999999999</v>
      </c>
      <c r="V76" s="82">
        <v>20519.14</v>
      </c>
      <c r="W76" s="82">
        <v>138746.32999999999</v>
      </c>
      <c r="X76" s="82">
        <v>20280.88</v>
      </c>
      <c r="Y76" s="82">
        <v>134159.67999999999</v>
      </c>
      <c r="Z76" s="82">
        <v>17093.38</v>
      </c>
      <c r="AA76" s="82">
        <v>157228.31</v>
      </c>
      <c r="AB76" s="82">
        <v>8132.11</v>
      </c>
      <c r="AC76" s="82">
        <v>132559.42000000001</v>
      </c>
      <c r="AD76" s="83">
        <v>7929.3</v>
      </c>
      <c r="AE76" s="82">
        <v>154658.68</v>
      </c>
      <c r="AF76" s="82">
        <v>9187.65</v>
      </c>
      <c r="AG76" s="82">
        <v>170306.25</v>
      </c>
      <c r="AH76" s="82">
        <v>9955.89</v>
      </c>
      <c r="AI76" s="82">
        <v>181508.28</v>
      </c>
      <c r="AJ76" s="82">
        <v>14127.74</v>
      </c>
      <c r="AK76" s="82">
        <v>205835.01</v>
      </c>
      <c r="AL76" s="82">
        <v>9540.59</v>
      </c>
      <c r="AM76" s="83">
        <v>167483.9</v>
      </c>
      <c r="AN76" s="82">
        <v>10945.23</v>
      </c>
      <c r="AO76" s="82">
        <v>165152.31</v>
      </c>
      <c r="AP76" s="82">
        <v>9660.56</v>
      </c>
      <c r="AQ76" s="82">
        <v>189265.77</v>
      </c>
      <c r="AR76" s="82">
        <v>12296.73</v>
      </c>
      <c r="AS76" s="82">
        <v>191365.55</v>
      </c>
      <c r="AT76" s="82">
        <v>13554.98</v>
      </c>
      <c r="AU76" s="83">
        <v>216753.8</v>
      </c>
      <c r="AV76" s="82">
        <v>13159.49</v>
      </c>
      <c r="AW76" s="82">
        <v>286922.88</v>
      </c>
      <c r="AX76" s="82">
        <v>10277.52</v>
      </c>
      <c r="AY76" s="82">
        <v>172691.71</v>
      </c>
      <c r="AZ76" s="82">
        <v>7147.27</v>
      </c>
      <c r="BA76" s="82">
        <v>201346.17</v>
      </c>
      <c r="BB76" s="83">
        <v>3699.8</v>
      </c>
      <c r="BC76" s="82">
        <v>166741.37</v>
      </c>
      <c r="BD76" s="82">
        <v>6529.12</v>
      </c>
      <c r="BE76" s="82">
        <v>203226.65</v>
      </c>
      <c r="BF76" s="82">
        <v>6195.74</v>
      </c>
      <c r="BG76" s="82">
        <v>191616.38</v>
      </c>
      <c r="BH76" s="82">
        <v>6191.45</v>
      </c>
      <c r="BI76" s="82">
        <v>172603.82</v>
      </c>
      <c r="BJ76" s="82">
        <v>3072.16</v>
      </c>
      <c r="BK76" s="82">
        <v>167788.72</v>
      </c>
      <c r="BL76" s="82">
        <v>7085.64</v>
      </c>
      <c r="BM76" s="82">
        <v>149169.82999999999</v>
      </c>
      <c r="BN76" s="82">
        <v>6658.05</v>
      </c>
      <c r="BO76" s="82">
        <v>176476.58</v>
      </c>
      <c r="BP76" s="82">
        <v>6310.99</v>
      </c>
      <c r="BQ76" s="82">
        <v>196195.74</v>
      </c>
      <c r="BR76" s="83">
        <v>11853.5</v>
      </c>
      <c r="BS76" s="82">
        <v>199235.75</v>
      </c>
      <c r="BT76" s="83">
        <v>7761.7</v>
      </c>
      <c r="BU76" s="83">
        <v>196952.4</v>
      </c>
      <c r="BV76" s="82">
        <v>5623.45</v>
      </c>
    </row>
    <row r="77" spans="1:74">
      <c r="A77" s="78" t="s">
        <v>586</v>
      </c>
      <c r="B77" s="78" t="s">
        <v>587</v>
      </c>
      <c r="C77" s="79" t="s">
        <v>195</v>
      </c>
      <c r="D77" s="79" t="s">
        <v>195</v>
      </c>
      <c r="E77" s="79" t="s">
        <v>195</v>
      </c>
      <c r="F77" s="79" t="s">
        <v>195</v>
      </c>
      <c r="G77" s="79" t="s">
        <v>195</v>
      </c>
      <c r="H77" s="79" t="s">
        <v>195</v>
      </c>
      <c r="I77" s="79" t="s">
        <v>195</v>
      </c>
      <c r="J77" s="79" t="s">
        <v>195</v>
      </c>
      <c r="K77" s="79" t="s">
        <v>195</v>
      </c>
      <c r="L77" s="79" t="s">
        <v>195</v>
      </c>
      <c r="M77" s="79" t="s">
        <v>195</v>
      </c>
      <c r="N77" s="79" t="s">
        <v>195</v>
      </c>
      <c r="O77" s="79" t="s">
        <v>195</v>
      </c>
      <c r="P77" s="79" t="s">
        <v>195</v>
      </c>
      <c r="Q77" s="79" t="s">
        <v>195</v>
      </c>
      <c r="R77" s="79" t="s">
        <v>195</v>
      </c>
      <c r="S77" s="79" t="s">
        <v>195</v>
      </c>
      <c r="T77" s="79" t="s">
        <v>195</v>
      </c>
      <c r="U77" s="79" t="s">
        <v>195</v>
      </c>
      <c r="V77" s="79" t="s">
        <v>195</v>
      </c>
      <c r="W77" s="79" t="s">
        <v>195</v>
      </c>
      <c r="X77" s="79" t="s">
        <v>195</v>
      </c>
      <c r="Y77" s="79" t="s">
        <v>195</v>
      </c>
      <c r="Z77" s="79" t="s">
        <v>195</v>
      </c>
      <c r="AA77" s="79" t="s">
        <v>195</v>
      </c>
      <c r="AB77" s="79" t="s">
        <v>195</v>
      </c>
      <c r="AC77" s="79" t="s">
        <v>195</v>
      </c>
      <c r="AD77" s="79" t="s">
        <v>195</v>
      </c>
      <c r="AE77" s="79" t="s">
        <v>195</v>
      </c>
      <c r="AF77" s="79" t="s">
        <v>195</v>
      </c>
      <c r="AG77" s="79" t="s">
        <v>195</v>
      </c>
      <c r="AH77" s="79" t="s">
        <v>195</v>
      </c>
      <c r="AI77" s="79" t="s">
        <v>195</v>
      </c>
      <c r="AJ77" s="79" t="s">
        <v>195</v>
      </c>
      <c r="AK77" s="79" t="s">
        <v>195</v>
      </c>
      <c r="AL77" s="79" t="s">
        <v>195</v>
      </c>
      <c r="AM77" s="79" t="s">
        <v>195</v>
      </c>
      <c r="AN77" s="79" t="s">
        <v>195</v>
      </c>
      <c r="AO77" s="79" t="s">
        <v>195</v>
      </c>
      <c r="AP77" s="79" t="s">
        <v>195</v>
      </c>
      <c r="AQ77" s="79" t="s">
        <v>195</v>
      </c>
      <c r="AR77" s="79" t="s">
        <v>195</v>
      </c>
      <c r="AS77" s="79" t="s">
        <v>195</v>
      </c>
      <c r="AT77" s="79" t="s">
        <v>195</v>
      </c>
      <c r="AU77" s="79" t="s">
        <v>195</v>
      </c>
      <c r="AV77" s="79" t="s">
        <v>195</v>
      </c>
      <c r="AW77" s="79" t="s">
        <v>195</v>
      </c>
      <c r="AX77" s="79" t="s">
        <v>195</v>
      </c>
      <c r="AY77" s="84">
        <v>20.3</v>
      </c>
      <c r="AZ77" s="81">
        <v>9.66</v>
      </c>
      <c r="BA77" s="84">
        <v>810.5</v>
      </c>
      <c r="BB77" s="81">
        <v>250.98</v>
      </c>
      <c r="BC77" s="81">
        <v>540.28</v>
      </c>
      <c r="BD77" s="81">
        <v>2.52</v>
      </c>
      <c r="BE77" s="81">
        <v>554.41</v>
      </c>
      <c r="BF77" s="81">
        <v>1.68</v>
      </c>
      <c r="BG77" s="81">
        <v>482.07</v>
      </c>
      <c r="BH77" s="81">
        <v>16.14</v>
      </c>
      <c r="BI77" s="81">
        <v>728.56</v>
      </c>
      <c r="BJ77" s="81">
        <v>16.170000000000002</v>
      </c>
      <c r="BK77" s="81">
        <v>1256.92</v>
      </c>
      <c r="BL77" s="81">
        <v>18.37</v>
      </c>
      <c r="BM77" s="84">
        <v>716.3</v>
      </c>
      <c r="BN77" s="81">
        <v>27.13</v>
      </c>
      <c r="BO77" s="81">
        <v>786.22</v>
      </c>
      <c r="BP77" s="81">
        <v>54.98</v>
      </c>
      <c r="BQ77" s="81">
        <v>775.19</v>
      </c>
      <c r="BR77" s="81">
        <v>84.13</v>
      </c>
      <c r="BS77" s="81">
        <v>2732.14</v>
      </c>
      <c r="BT77" s="81">
        <v>57.31</v>
      </c>
      <c r="BU77" s="81">
        <v>1300.25</v>
      </c>
      <c r="BV77" s="81">
        <v>32.93</v>
      </c>
    </row>
    <row r="78" spans="1:74">
      <c r="A78" s="78" t="s">
        <v>588</v>
      </c>
      <c r="B78" s="78" t="s">
        <v>589</v>
      </c>
      <c r="C78" s="82">
        <v>113027.12</v>
      </c>
      <c r="D78" s="82">
        <v>3879.49</v>
      </c>
      <c r="E78" s="82">
        <v>79094.11</v>
      </c>
      <c r="F78" s="82">
        <v>2784.18</v>
      </c>
      <c r="G78" s="82">
        <v>73448.91</v>
      </c>
      <c r="H78" s="82">
        <v>5454.97</v>
      </c>
      <c r="I78" s="83">
        <v>70481.600000000006</v>
      </c>
      <c r="J78" s="82">
        <v>5251.81</v>
      </c>
      <c r="K78" s="82">
        <v>70912.03</v>
      </c>
      <c r="L78" s="82">
        <v>4255.79</v>
      </c>
      <c r="M78" s="82">
        <v>74758.710000000006</v>
      </c>
      <c r="N78" s="82">
        <v>3602.39</v>
      </c>
      <c r="O78" s="82">
        <v>82955.72</v>
      </c>
      <c r="P78" s="82">
        <v>5162.0200000000004</v>
      </c>
      <c r="Q78" s="82">
        <v>82409.11</v>
      </c>
      <c r="R78" s="82">
        <v>7252.26</v>
      </c>
      <c r="S78" s="82">
        <v>103314.23</v>
      </c>
      <c r="T78" s="82">
        <v>8244.32</v>
      </c>
      <c r="U78" s="82">
        <v>95044.54</v>
      </c>
      <c r="V78" s="82">
        <v>4696.3100000000004</v>
      </c>
      <c r="W78" s="82">
        <v>77453.440000000002</v>
      </c>
      <c r="X78" s="82">
        <v>4678.78</v>
      </c>
      <c r="Y78" s="82">
        <v>89136.14</v>
      </c>
      <c r="Z78" s="82">
        <v>4392.9799999999996</v>
      </c>
      <c r="AA78" s="82">
        <v>95239.94</v>
      </c>
      <c r="AB78" s="82">
        <v>3529.08</v>
      </c>
      <c r="AC78" s="82">
        <v>75768.52</v>
      </c>
      <c r="AD78" s="82">
        <v>1197.94</v>
      </c>
      <c r="AE78" s="82">
        <v>75895.42</v>
      </c>
      <c r="AF78" s="83">
        <v>2463.1999999999998</v>
      </c>
      <c r="AG78" s="82">
        <v>102547.89</v>
      </c>
      <c r="AH78" s="82">
        <v>5606.33</v>
      </c>
      <c r="AI78" s="82">
        <v>98486.35</v>
      </c>
      <c r="AJ78" s="82">
        <v>4576.72</v>
      </c>
      <c r="AK78" s="82">
        <v>103737.28</v>
      </c>
      <c r="AL78" s="82">
        <v>4640.96</v>
      </c>
      <c r="AM78" s="82">
        <v>90316.21</v>
      </c>
      <c r="AN78" s="82">
        <v>2343.4499999999998</v>
      </c>
      <c r="AO78" s="82">
        <v>95990.75</v>
      </c>
      <c r="AP78" s="83">
        <v>2785.2</v>
      </c>
      <c r="AQ78" s="82">
        <v>103657.03</v>
      </c>
      <c r="AR78" s="82">
        <v>3767.55</v>
      </c>
      <c r="AS78" s="82">
        <v>127719.03</v>
      </c>
      <c r="AT78" s="82">
        <v>4610.82</v>
      </c>
      <c r="AU78" s="82">
        <v>118511.18</v>
      </c>
      <c r="AV78" s="82">
        <v>3514.29</v>
      </c>
      <c r="AW78" s="82">
        <v>124701.91</v>
      </c>
      <c r="AX78" s="82">
        <v>4922.32</v>
      </c>
      <c r="AY78" s="82">
        <v>91575.92</v>
      </c>
      <c r="AZ78" s="82">
        <v>1230.82</v>
      </c>
      <c r="BA78" s="82">
        <v>96119.83</v>
      </c>
      <c r="BB78" s="83">
        <v>117.1</v>
      </c>
      <c r="BC78" s="82">
        <v>104455.56</v>
      </c>
      <c r="BD78" s="82">
        <v>1947.55</v>
      </c>
      <c r="BE78" s="82">
        <v>98966.67</v>
      </c>
      <c r="BF78" s="82">
        <v>2621.04</v>
      </c>
      <c r="BG78" s="82">
        <v>101737.35</v>
      </c>
      <c r="BH78" s="82">
        <v>1428.79</v>
      </c>
      <c r="BI78" s="82">
        <v>87547.71</v>
      </c>
      <c r="BJ78" s="82">
        <v>1925.84</v>
      </c>
      <c r="BK78" s="83">
        <v>112383.5</v>
      </c>
      <c r="BL78" s="82">
        <v>1698.27</v>
      </c>
      <c r="BM78" s="82">
        <v>90785.01</v>
      </c>
      <c r="BN78" s="82">
        <v>2761.84</v>
      </c>
      <c r="BO78" s="82">
        <v>101834.66</v>
      </c>
      <c r="BP78" s="82">
        <v>2012.86</v>
      </c>
      <c r="BQ78" s="82">
        <v>156140.57999999999</v>
      </c>
      <c r="BR78" s="82">
        <v>2406.02</v>
      </c>
      <c r="BS78" s="82">
        <v>142813.34</v>
      </c>
      <c r="BT78" s="83">
        <v>7910.5</v>
      </c>
      <c r="BU78" s="82">
        <v>133075.71</v>
      </c>
      <c r="BV78" s="82">
        <v>3241.94</v>
      </c>
    </row>
    <row r="79" spans="1:74">
      <c r="A79" s="78" t="s">
        <v>590</v>
      </c>
      <c r="B79" s="78" t="s">
        <v>591</v>
      </c>
      <c r="C79" s="84">
        <v>3466.2</v>
      </c>
      <c r="D79" s="81">
        <v>128.02000000000001</v>
      </c>
      <c r="E79" s="81">
        <v>894.91</v>
      </c>
      <c r="F79" s="84">
        <v>0.7</v>
      </c>
      <c r="G79" s="81">
        <v>1640.34</v>
      </c>
      <c r="H79" s="81">
        <v>8.2799999999999994</v>
      </c>
      <c r="I79" s="81">
        <v>3395.95</v>
      </c>
      <c r="J79" s="81">
        <v>1029.72</v>
      </c>
      <c r="K79" s="81">
        <v>413.81</v>
      </c>
      <c r="L79" s="81">
        <v>291.95999999999998</v>
      </c>
      <c r="M79" s="81">
        <v>4075.59</v>
      </c>
      <c r="N79" s="84">
        <v>71.5</v>
      </c>
      <c r="O79" s="81">
        <v>1796.75</v>
      </c>
      <c r="P79" s="81">
        <v>5041.72</v>
      </c>
      <c r="Q79" s="81">
        <v>1414.52</v>
      </c>
      <c r="R79" s="81">
        <v>5327.66</v>
      </c>
      <c r="S79" s="81">
        <v>617.24</v>
      </c>
      <c r="T79" s="81">
        <v>3570.02</v>
      </c>
      <c r="U79" s="81">
        <v>275.52</v>
      </c>
      <c r="V79" s="81">
        <v>1448.94</v>
      </c>
      <c r="W79" s="81">
        <v>371.21</v>
      </c>
      <c r="X79" s="81">
        <v>118.84</v>
      </c>
      <c r="Y79" s="81">
        <v>899.58</v>
      </c>
      <c r="Z79" s="81">
        <v>284.95</v>
      </c>
      <c r="AA79" s="81">
        <v>1268.44</v>
      </c>
      <c r="AB79" s="81">
        <v>661.85</v>
      </c>
      <c r="AC79" s="81">
        <v>31.92</v>
      </c>
      <c r="AD79" s="84">
        <v>250</v>
      </c>
      <c r="AE79" s="81">
        <v>51.05</v>
      </c>
      <c r="AF79" s="84">
        <v>300</v>
      </c>
      <c r="AG79" s="79" t="s">
        <v>195</v>
      </c>
      <c r="AH79" s="81">
        <v>1100.44</v>
      </c>
      <c r="AI79" s="79" t="s">
        <v>195</v>
      </c>
      <c r="AJ79" s="84">
        <v>807.5</v>
      </c>
      <c r="AK79" s="81">
        <v>3.45</v>
      </c>
      <c r="AL79" s="84">
        <v>1188</v>
      </c>
      <c r="AM79" s="81">
        <v>809.76</v>
      </c>
      <c r="AN79" s="81">
        <v>2393.86</v>
      </c>
      <c r="AO79" s="81">
        <v>6333.67</v>
      </c>
      <c r="AP79" s="81">
        <v>3717.23</v>
      </c>
      <c r="AQ79" s="81">
        <v>4031.35</v>
      </c>
      <c r="AR79" s="81">
        <v>7332.43</v>
      </c>
      <c r="AS79" s="81">
        <v>2113.91</v>
      </c>
      <c r="AT79" s="81">
        <v>6981.36</v>
      </c>
      <c r="AU79" s="81">
        <v>702.81</v>
      </c>
      <c r="AV79" s="81">
        <v>2260.4699999999998</v>
      </c>
      <c r="AW79" s="81">
        <v>863.89</v>
      </c>
      <c r="AX79" s="81">
        <v>860.88</v>
      </c>
      <c r="AY79" s="81">
        <v>2411.52</v>
      </c>
      <c r="AZ79" s="81">
        <v>1246.92</v>
      </c>
      <c r="BA79" s="81">
        <v>65.239999999999995</v>
      </c>
      <c r="BB79" s="81">
        <v>51.91</v>
      </c>
      <c r="BC79" s="81">
        <v>55.58</v>
      </c>
      <c r="BD79" s="81">
        <v>7.0000000000000007E-2</v>
      </c>
      <c r="BE79" s="81">
        <v>4196.2299999999996</v>
      </c>
      <c r="BF79" s="81">
        <v>1350.46</v>
      </c>
      <c r="BG79" s="81">
        <v>2752.84</v>
      </c>
      <c r="BH79" s="81">
        <v>1138.1400000000001</v>
      </c>
      <c r="BI79" s="81">
        <v>3278.93</v>
      </c>
      <c r="BJ79" s="84">
        <v>24</v>
      </c>
      <c r="BK79" s="81">
        <v>2192.2800000000002</v>
      </c>
      <c r="BL79" s="81">
        <v>6060.99</v>
      </c>
      <c r="BM79" s="81">
        <v>1795.16</v>
      </c>
      <c r="BN79" s="81">
        <v>8867.2800000000007</v>
      </c>
      <c r="BO79" s="81">
        <v>320.58999999999997</v>
      </c>
      <c r="BP79" s="81">
        <v>8225.65</v>
      </c>
      <c r="BQ79" s="81">
        <v>2188.85</v>
      </c>
      <c r="BR79" s="81">
        <v>5687.38</v>
      </c>
      <c r="BS79" s="81">
        <v>238.59</v>
      </c>
      <c r="BT79" s="81">
        <v>3487.52</v>
      </c>
      <c r="BU79" s="81">
        <v>168.17</v>
      </c>
      <c r="BV79" s="84">
        <v>2141.1</v>
      </c>
    </row>
    <row r="80" spans="1:74">
      <c r="A80" s="78" t="s">
        <v>592</v>
      </c>
      <c r="B80" s="78" t="s">
        <v>593</v>
      </c>
      <c r="C80" s="80" t="s">
        <v>195</v>
      </c>
      <c r="D80" s="80" t="s">
        <v>195</v>
      </c>
      <c r="E80" s="80" t="s">
        <v>195</v>
      </c>
      <c r="F80" s="83">
        <v>187.2</v>
      </c>
      <c r="G80" s="80" t="s">
        <v>195</v>
      </c>
      <c r="H80" s="80" t="s">
        <v>195</v>
      </c>
      <c r="I80" s="83">
        <v>254.8</v>
      </c>
      <c r="J80" s="82">
        <v>5149.1499999999996</v>
      </c>
      <c r="K80" s="83">
        <v>0</v>
      </c>
      <c r="L80" s="83">
        <v>14660</v>
      </c>
      <c r="M80" s="83">
        <v>9.1</v>
      </c>
      <c r="N80" s="83">
        <v>4584.2</v>
      </c>
      <c r="O80" s="82">
        <v>0.02</v>
      </c>
      <c r="P80" s="83">
        <v>780.8</v>
      </c>
      <c r="Q80" s="80" t="s">
        <v>195</v>
      </c>
      <c r="R80" s="83">
        <v>1907.8</v>
      </c>
      <c r="S80" s="82">
        <v>21.85</v>
      </c>
      <c r="T80" s="82">
        <v>1117.17</v>
      </c>
      <c r="U80" s="82">
        <v>266.42</v>
      </c>
      <c r="V80" s="82">
        <v>3727.64</v>
      </c>
      <c r="W80" s="82">
        <v>0.05</v>
      </c>
      <c r="X80" s="82">
        <v>2656.79</v>
      </c>
      <c r="Y80" s="80" t="s">
        <v>195</v>
      </c>
      <c r="Z80" s="83">
        <v>1323</v>
      </c>
      <c r="AA80" s="83">
        <v>0</v>
      </c>
      <c r="AB80" s="83">
        <v>6240.8</v>
      </c>
      <c r="AC80" s="82">
        <v>66.209999999999994</v>
      </c>
      <c r="AD80" s="83">
        <v>1353.2</v>
      </c>
      <c r="AE80" s="82">
        <v>60.66</v>
      </c>
      <c r="AF80" s="82">
        <v>2953.41</v>
      </c>
      <c r="AG80" s="82">
        <v>0.15</v>
      </c>
      <c r="AH80" s="82">
        <v>11341.15</v>
      </c>
      <c r="AI80" s="82">
        <v>122.19</v>
      </c>
      <c r="AJ80" s="82">
        <v>9229.44</v>
      </c>
      <c r="AK80" s="80" t="s">
        <v>195</v>
      </c>
      <c r="AL80" s="83">
        <v>5242.3999999999996</v>
      </c>
      <c r="AM80" s="82">
        <v>0.02</v>
      </c>
      <c r="AN80" s="83">
        <v>11720.8</v>
      </c>
      <c r="AO80" s="80" t="s">
        <v>195</v>
      </c>
      <c r="AP80" s="83">
        <v>6722.2</v>
      </c>
      <c r="AQ80" s="82">
        <v>122.12</v>
      </c>
      <c r="AR80" s="82">
        <v>7506.82</v>
      </c>
      <c r="AS80" s="80" t="s">
        <v>195</v>
      </c>
      <c r="AT80" s="82">
        <v>4232.3100000000004</v>
      </c>
      <c r="AU80" s="82">
        <v>79.349999999999994</v>
      </c>
      <c r="AV80" s="83">
        <v>1834.2</v>
      </c>
      <c r="AW80" s="80" t="s">
        <v>195</v>
      </c>
      <c r="AX80" s="83">
        <v>10074.5</v>
      </c>
      <c r="AY80" s="83">
        <v>5</v>
      </c>
      <c r="AZ80" s="82">
        <v>4914.38</v>
      </c>
      <c r="BA80" s="82">
        <v>196.86</v>
      </c>
      <c r="BB80" s="82">
        <v>3095.84</v>
      </c>
      <c r="BC80" s="80" t="s">
        <v>195</v>
      </c>
      <c r="BD80" s="82">
        <v>8084.06</v>
      </c>
      <c r="BE80" s="82">
        <v>1385.25</v>
      </c>
      <c r="BF80" s="82">
        <v>24647.87</v>
      </c>
      <c r="BG80" s="82">
        <v>1262.1400000000001</v>
      </c>
      <c r="BH80" s="82">
        <v>17943.82</v>
      </c>
      <c r="BI80" s="80" t="s">
        <v>195</v>
      </c>
      <c r="BJ80" s="82">
        <v>11813.37</v>
      </c>
      <c r="BK80" s="82">
        <v>96.27</v>
      </c>
      <c r="BL80" s="82">
        <v>13433.04</v>
      </c>
      <c r="BM80" s="82">
        <v>1.17</v>
      </c>
      <c r="BN80" s="83">
        <v>5571.4</v>
      </c>
      <c r="BO80" s="82">
        <v>32.19</v>
      </c>
      <c r="BP80" s="82">
        <v>3808.28</v>
      </c>
      <c r="BQ80" s="82">
        <v>106.24</v>
      </c>
      <c r="BR80" s="82">
        <v>4796.22</v>
      </c>
      <c r="BS80" s="82">
        <v>386.12</v>
      </c>
      <c r="BT80" s="82">
        <v>9494.77</v>
      </c>
      <c r="BU80" s="82">
        <v>295.04000000000002</v>
      </c>
      <c r="BV80" s="82">
        <v>10057.14</v>
      </c>
    </row>
    <row r="81" spans="1:74">
      <c r="A81" s="78" t="s">
        <v>594</v>
      </c>
      <c r="B81" s="78" t="s">
        <v>595</v>
      </c>
      <c r="C81" s="81">
        <v>82.11</v>
      </c>
      <c r="D81" s="81">
        <v>70967.850000000006</v>
      </c>
      <c r="E81" s="81">
        <v>294.45999999999998</v>
      </c>
      <c r="F81" s="81">
        <v>38516.78</v>
      </c>
      <c r="G81" s="84">
        <v>180.2</v>
      </c>
      <c r="H81" s="84">
        <v>42889</v>
      </c>
      <c r="I81" s="81">
        <v>793.06</v>
      </c>
      <c r="J81" s="84">
        <v>128338.5</v>
      </c>
      <c r="K81" s="81">
        <v>2320.56</v>
      </c>
      <c r="L81" s="81">
        <v>138789.78</v>
      </c>
      <c r="M81" s="81">
        <v>94.67</v>
      </c>
      <c r="N81" s="84">
        <v>86547</v>
      </c>
      <c r="O81" s="84">
        <v>92.2</v>
      </c>
      <c r="P81" s="81">
        <v>115951.63</v>
      </c>
      <c r="Q81" s="81">
        <v>113.44</v>
      </c>
      <c r="R81" s="84">
        <v>116977.7</v>
      </c>
      <c r="S81" s="81">
        <v>90.94</v>
      </c>
      <c r="T81" s="81">
        <v>112159.53</v>
      </c>
      <c r="U81" s="81">
        <v>172.24</v>
      </c>
      <c r="V81" s="81">
        <v>130034.42</v>
      </c>
      <c r="W81" s="81">
        <v>107.44</v>
      </c>
      <c r="X81" s="84">
        <v>88027.9</v>
      </c>
      <c r="Y81" s="81">
        <v>67.19</v>
      </c>
      <c r="Z81" s="81">
        <v>83196.95</v>
      </c>
      <c r="AA81" s="81">
        <v>54.21</v>
      </c>
      <c r="AB81" s="81">
        <v>71043.98</v>
      </c>
      <c r="AC81" s="81">
        <v>293.74</v>
      </c>
      <c r="AD81" s="81">
        <v>41023.589999999997</v>
      </c>
      <c r="AE81" s="81">
        <v>182.56</v>
      </c>
      <c r="AF81" s="81">
        <v>46519.88</v>
      </c>
      <c r="AG81" s="81">
        <v>197.06</v>
      </c>
      <c r="AH81" s="81">
        <v>149351.67999999999</v>
      </c>
      <c r="AI81" s="84">
        <v>4347.8999999999996</v>
      </c>
      <c r="AJ81" s="81">
        <v>229558.29</v>
      </c>
      <c r="AK81" s="81">
        <v>2234.75</v>
      </c>
      <c r="AL81" s="81">
        <v>128433.99</v>
      </c>
      <c r="AM81" s="84">
        <v>326.2</v>
      </c>
      <c r="AN81" s="81">
        <v>161611.73000000001</v>
      </c>
      <c r="AO81" s="81">
        <v>536.83000000000004</v>
      </c>
      <c r="AP81" s="84">
        <v>138587</v>
      </c>
      <c r="AQ81" s="81">
        <v>110.12</v>
      </c>
      <c r="AR81" s="81">
        <v>151082.54999999999</v>
      </c>
      <c r="AS81" s="81">
        <v>49.94</v>
      </c>
      <c r="AT81" s="81">
        <v>109178.39</v>
      </c>
      <c r="AU81" s="81">
        <v>58.24</v>
      </c>
      <c r="AV81" s="81">
        <v>132825.16</v>
      </c>
      <c r="AW81" s="81">
        <v>130.12</v>
      </c>
      <c r="AX81" s="81">
        <v>90709.15</v>
      </c>
      <c r="AY81" s="81">
        <v>1995.39</v>
      </c>
      <c r="AZ81" s="81">
        <v>17503.169999999998</v>
      </c>
      <c r="BA81" s="81">
        <v>344.33</v>
      </c>
      <c r="BB81" s="81">
        <v>13219.48</v>
      </c>
      <c r="BC81" s="84">
        <v>1731.2</v>
      </c>
      <c r="BD81" s="84">
        <v>53265.3</v>
      </c>
      <c r="BE81" s="81">
        <v>1152.74</v>
      </c>
      <c r="BF81" s="81">
        <v>149937.06</v>
      </c>
      <c r="BG81" s="84">
        <v>29.5</v>
      </c>
      <c r="BH81" s="81">
        <v>184628.68</v>
      </c>
      <c r="BI81" s="81">
        <v>44.95</v>
      </c>
      <c r="BJ81" s="81">
        <v>136092.76999999999</v>
      </c>
      <c r="BK81" s="81">
        <v>14.55</v>
      </c>
      <c r="BL81" s="81">
        <v>131502.72</v>
      </c>
      <c r="BM81" s="81">
        <v>36.75</v>
      </c>
      <c r="BN81" s="81">
        <v>221632.74</v>
      </c>
      <c r="BO81" s="81">
        <v>202.56</v>
      </c>
      <c r="BP81" s="81">
        <v>114896.01</v>
      </c>
      <c r="BQ81" s="81">
        <v>16.829999999999998</v>
      </c>
      <c r="BR81" s="81">
        <v>91828.56</v>
      </c>
      <c r="BS81" s="81">
        <v>68.819999999999993</v>
      </c>
      <c r="BT81" s="84">
        <v>168898.1</v>
      </c>
      <c r="BU81" s="81">
        <v>932.87</v>
      </c>
      <c r="BV81" s="81">
        <v>95094.83</v>
      </c>
    </row>
    <row r="82" spans="1:74">
      <c r="A82" s="78" t="s">
        <v>596</v>
      </c>
      <c r="B82" s="78" t="s">
        <v>316</v>
      </c>
      <c r="C82" s="82">
        <v>3239.85</v>
      </c>
      <c r="D82" s="82">
        <v>6.97</v>
      </c>
      <c r="E82" s="83">
        <v>146</v>
      </c>
      <c r="F82" s="82">
        <v>54.44</v>
      </c>
      <c r="G82" s="83">
        <v>3518.7</v>
      </c>
      <c r="H82" s="82">
        <v>15.66</v>
      </c>
      <c r="I82" s="82">
        <v>9722.56</v>
      </c>
      <c r="J82" s="82">
        <v>15.72</v>
      </c>
      <c r="K82" s="83">
        <v>40883.4</v>
      </c>
      <c r="L82" s="82">
        <v>372.58</v>
      </c>
      <c r="M82" s="83">
        <v>10590.5</v>
      </c>
      <c r="N82" s="82">
        <v>14.58</v>
      </c>
      <c r="O82" s="82">
        <v>8527.43</v>
      </c>
      <c r="P82" s="82">
        <v>11.92</v>
      </c>
      <c r="Q82" s="82">
        <v>16229.17</v>
      </c>
      <c r="R82" s="82">
        <v>32.94</v>
      </c>
      <c r="S82" s="82">
        <v>6918.68</v>
      </c>
      <c r="T82" s="82">
        <v>31.02</v>
      </c>
      <c r="U82" s="82">
        <v>5901.44</v>
      </c>
      <c r="V82" s="82">
        <v>27.24</v>
      </c>
      <c r="W82" s="82">
        <v>14962.85</v>
      </c>
      <c r="X82" s="82">
        <v>872.46</v>
      </c>
      <c r="Y82" s="82">
        <v>3118.36</v>
      </c>
      <c r="Z82" s="83">
        <v>789</v>
      </c>
      <c r="AA82" s="83">
        <v>2887</v>
      </c>
      <c r="AB82" s="83">
        <v>1030.2</v>
      </c>
      <c r="AC82" s="82">
        <v>3018.61</v>
      </c>
      <c r="AD82" s="82">
        <v>1054.17</v>
      </c>
      <c r="AE82" s="82">
        <v>3979.17</v>
      </c>
      <c r="AF82" s="82">
        <v>1345.12</v>
      </c>
      <c r="AG82" s="82">
        <v>3632.73</v>
      </c>
      <c r="AH82" s="82">
        <v>2569.83</v>
      </c>
      <c r="AI82" s="82">
        <v>3806.07</v>
      </c>
      <c r="AJ82" s="82">
        <v>522.25</v>
      </c>
      <c r="AK82" s="82">
        <v>4735.4799999999996</v>
      </c>
      <c r="AL82" s="82">
        <v>1460.71</v>
      </c>
      <c r="AM82" s="82">
        <v>13465.72</v>
      </c>
      <c r="AN82" s="82">
        <v>887.31</v>
      </c>
      <c r="AO82" s="82">
        <v>6416.72</v>
      </c>
      <c r="AP82" s="82">
        <v>1431.37</v>
      </c>
      <c r="AQ82" s="82">
        <v>13475.48</v>
      </c>
      <c r="AR82" s="82">
        <v>868.25</v>
      </c>
      <c r="AS82" s="82">
        <v>10786.25</v>
      </c>
      <c r="AT82" s="82">
        <v>280.38</v>
      </c>
      <c r="AU82" s="82">
        <v>5207.2299999999996</v>
      </c>
      <c r="AV82" s="82">
        <v>36.69</v>
      </c>
      <c r="AW82" s="82">
        <v>992.05</v>
      </c>
      <c r="AX82" s="82">
        <v>1485.94</v>
      </c>
      <c r="AY82" s="82">
        <v>2223.73</v>
      </c>
      <c r="AZ82" s="82">
        <v>341.52</v>
      </c>
      <c r="BA82" s="82">
        <v>4246.92</v>
      </c>
      <c r="BB82" s="83">
        <v>1009.8</v>
      </c>
      <c r="BC82" s="82">
        <v>2117.11</v>
      </c>
      <c r="BD82" s="82">
        <v>143.24</v>
      </c>
      <c r="BE82" s="82">
        <v>2187.38</v>
      </c>
      <c r="BF82" s="82">
        <v>306.70999999999998</v>
      </c>
      <c r="BG82" s="82">
        <v>1294.81</v>
      </c>
      <c r="BH82" s="82">
        <v>97.11</v>
      </c>
      <c r="BI82" s="82">
        <v>1871.65</v>
      </c>
      <c r="BJ82" s="82">
        <v>114.21</v>
      </c>
      <c r="BK82" s="82">
        <v>3360.76</v>
      </c>
      <c r="BL82" s="82">
        <v>591.37</v>
      </c>
      <c r="BM82" s="83">
        <v>5544.9</v>
      </c>
      <c r="BN82" s="82">
        <v>787.33</v>
      </c>
      <c r="BO82" s="82">
        <v>5530.49</v>
      </c>
      <c r="BP82" s="82">
        <v>2689.08</v>
      </c>
      <c r="BQ82" s="82">
        <v>4838.26</v>
      </c>
      <c r="BR82" s="83">
        <v>677.4</v>
      </c>
      <c r="BS82" s="82">
        <v>6359.61</v>
      </c>
      <c r="BT82" s="82">
        <v>3117.37</v>
      </c>
      <c r="BU82" s="82">
        <v>5614.91</v>
      </c>
      <c r="BV82" s="82">
        <v>3588.34</v>
      </c>
    </row>
    <row r="83" spans="1:74">
      <c r="A83" s="78" t="s">
        <v>597</v>
      </c>
      <c r="B83" s="78" t="s">
        <v>598</v>
      </c>
      <c r="C83" s="82">
        <v>3.27</v>
      </c>
      <c r="D83" s="82">
        <v>6.53</v>
      </c>
      <c r="E83" s="82">
        <v>3.22</v>
      </c>
      <c r="F83" s="83">
        <v>3</v>
      </c>
      <c r="G83" s="83">
        <v>5.9</v>
      </c>
      <c r="H83" s="83">
        <v>3.5</v>
      </c>
      <c r="I83" s="82">
        <v>35.81</v>
      </c>
      <c r="J83" s="82">
        <v>27.13</v>
      </c>
      <c r="K83" s="82">
        <v>3.05</v>
      </c>
      <c r="L83" s="82">
        <v>37.31</v>
      </c>
      <c r="M83" s="82">
        <v>4.18</v>
      </c>
      <c r="N83" s="82">
        <v>385.04</v>
      </c>
      <c r="O83" s="82">
        <v>9.77</v>
      </c>
      <c r="P83" s="83">
        <v>270</v>
      </c>
      <c r="Q83" s="82">
        <v>396.95</v>
      </c>
      <c r="R83" s="80" t="s">
        <v>195</v>
      </c>
      <c r="S83" s="82">
        <v>339.03</v>
      </c>
      <c r="T83" s="83">
        <v>304</v>
      </c>
      <c r="U83" s="82">
        <v>439.39</v>
      </c>
      <c r="V83" s="82">
        <v>46.98</v>
      </c>
      <c r="W83" s="82">
        <v>241.99</v>
      </c>
      <c r="X83" s="82">
        <v>37.86</v>
      </c>
      <c r="Y83" s="82">
        <v>233.29</v>
      </c>
      <c r="Z83" s="82">
        <v>32.880000000000003</v>
      </c>
      <c r="AA83" s="82">
        <v>3.95</v>
      </c>
      <c r="AB83" s="82">
        <v>294.36</v>
      </c>
      <c r="AC83" s="82">
        <v>5.47</v>
      </c>
      <c r="AD83" s="82">
        <v>0.12</v>
      </c>
      <c r="AE83" s="82">
        <v>1.0900000000000001</v>
      </c>
      <c r="AF83" s="82">
        <v>280.24</v>
      </c>
      <c r="AG83" s="82">
        <v>2.82</v>
      </c>
      <c r="AH83" s="82">
        <v>2257.56</v>
      </c>
      <c r="AI83" s="82">
        <v>4.7300000000000004</v>
      </c>
      <c r="AJ83" s="83">
        <v>2294.4</v>
      </c>
      <c r="AK83" s="82">
        <v>2.02</v>
      </c>
      <c r="AL83" s="82">
        <v>1688.72</v>
      </c>
      <c r="AM83" s="82">
        <v>3.75</v>
      </c>
      <c r="AN83" s="82">
        <v>2715.58</v>
      </c>
      <c r="AO83" s="82">
        <v>500.19</v>
      </c>
      <c r="AP83" s="82">
        <v>1347.76</v>
      </c>
      <c r="AQ83" s="83">
        <v>2246.1</v>
      </c>
      <c r="AR83" s="82">
        <v>1637.86</v>
      </c>
      <c r="AS83" s="82">
        <v>2466.33</v>
      </c>
      <c r="AT83" s="82">
        <v>2616.4299999999998</v>
      </c>
      <c r="AU83" s="82">
        <v>44.26</v>
      </c>
      <c r="AV83" s="82">
        <v>1383.13</v>
      </c>
      <c r="AW83" s="83">
        <v>246.9</v>
      </c>
      <c r="AX83" s="82">
        <v>1589.83</v>
      </c>
      <c r="AY83" s="82">
        <v>8.31</v>
      </c>
      <c r="AZ83" s="83">
        <v>110.8</v>
      </c>
      <c r="BA83" s="82">
        <v>206.27</v>
      </c>
      <c r="BB83" s="82">
        <v>571.53</v>
      </c>
      <c r="BC83" s="82">
        <v>10.89</v>
      </c>
      <c r="BD83" s="83">
        <v>1612.9</v>
      </c>
      <c r="BE83" s="82">
        <v>203.61</v>
      </c>
      <c r="BF83" s="83">
        <v>1903.8</v>
      </c>
      <c r="BG83" s="83">
        <v>1.2</v>
      </c>
      <c r="BH83" s="82">
        <v>2789.89</v>
      </c>
      <c r="BI83" s="82">
        <v>20.27</v>
      </c>
      <c r="BJ83" s="82">
        <v>1553.08</v>
      </c>
      <c r="BK83" s="82">
        <v>1.85</v>
      </c>
      <c r="BL83" s="82">
        <v>2266.8200000000002</v>
      </c>
      <c r="BM83" s="82">
        <v>782.45</v>
      </c>
      <c r="BN83" s="82">
        <v>2976.42</v>
      </c>
      <c r="BO83" s="82">
        <v>873.48</v>
      </c>
      <c r="BP83" s="82">
        <v>3047.62</v>
      </c>
      <c r="BQ83" s="82">
        <v>1085.94</v>
      </c>
      <c r="BR83" s="82">
        <v>3260.67</v>
      </c>
      <c r="BS83" s="83">
        <v>1.6</v>
      </c>
      <c r="BT83" s="83">
        <v>3443.3</v>
      </c>
      <c r="BU83" s="82">
        <v>6.99</v>
      </c>
      <c r="BV83" s="82">
        <v>2137.77</v>
      </c>
    </row>
    <row r="84" spans="1:74">
      <c r="A84" s="78" t="s">
        <v>599</v>
      </c>
      <c r="B84" s="78" t="s">
        <v>600</v>
      </c>
      <c r="C84" s="81">
        <v>1285.8499999999999</v>
      </c>
      <c r="D84" s="81">
        <v>27395.42</v>
      </c>
      <c r="E84" s="81">
        <v>2096.09</v>
      </c>
      <c r="F84" s="84">
        <v>15901</v>
      </c>
      <c r="G84" s="81">
        <v>2616.2800000000002</v>
      </c>
      <c r="H84" s="84">
        <v>13527.5</v>
      </c>
      <c r="I84" s="81">
        <v>1310.01</v>
      </c>
      <c r="J84" s="84">
        <v>13872</v>
      </c>
      <c r="K84" s="81">
        <v>3216.34</v>
      </c>
      <c r="L84" s="81">
        <v>13768.95</v>
      </c>
      <c r="M84" s="81">
        <v>1077.3599999999999</v>
      </c>
      <c r="N84" s="84">
        <v>11621.8</v>
      </c>
      <c r="O84" s="81">
        <v>963.44</v>
      </c>
      <c r="P84" s="81">
        <v>35378.629999999997</v>
      </c>
      <c r="Q84" s="84">
        <v>1107.5</v>
      </c>
      <c r="R84" s="84">
        <v>11619.6</v>
      </c>
      <c r="S84" s="81">
        <v>1674.06</v>
      </c>
      <c r="T84" s="81">
        <v>8801.0400000000009</v>
      </c>
      <c r="U84" s="84">
        <v>2979</v>
      </c>
      <c r="V84" s="81">
        <v>9695.09</v>
      </c>
      <c r="W84" s="81">
        <v>1772.11</v>
      </c>
      <c r="X84" s="84">
        <v>9481.6</v>
      </c>
      <c r="Y84" s="81">
        <v>2946.78</v>
      </c>
      <c r="Z84" s="84">
        <v>15514.3</v>
      </c>
      <c r="AA84" s="81">
        <v>1823.09</v>
      </c>
      <c r="AB84" s="81">
        <v>12645.61</v>
      </c>
      <c r="AC84" s="81">
        <v>2427.89</v>
      </c>
      <c r="AD84" s="81">
        <v>4541.68</v>
      </c>
      <c r="AE84" s="81">
        <v>1568.05</v>
      </c>
      <c r="AF84" s="81">
        <v>17471.41</v>
      </c>
      <c r="AG84" s="84">
        <v>1767</v>
      </c>
      <c r="AH84" s="81">
        <v>34128.910000000003</v>
      </c>
      <c r="AI84" s="81">
        <v>1161.6600000000001</v>
      </c>
      <c r="AJ84" s="81">
        <v>26040.16</v>
      </c>
      <c r="AK84" s="81">
        <v>4485.3100000000004</v>
      </c>
      <c r="AL84" s="81">
        <v>21849.93</v>
      </c>
      <c r="AM84" s="81">
        <v>4867.54</v>
      </c>
      <c r="AN84" s="81">
        <v>21393.49</v>
      </c>
      <c r="AO84" s="84">
        <v>6048.4</v>
      </c>
      <c r="AP84" s="81">
        <v>14514.32</v>
      </c>
      <c r="AQ84" s="81">
        <v>5648.64</v>
      </c>
      <c r="AR84" s="81">
        <v>14400.28</v>
      </c>
      <c r="AS84" s="81">
        <v>3508.56</v>
      </c>
      <c r="AT84" s="81">
        <v>16695.419999999998</v>
      </c>
      <c r="AU84" s="84">
        <v>5099.3</v>
      </c>
      <c r="AV84" s="84">
        <v>15289.8</v>
      </c>
      <c r="AW84" s="81">
        <v>4958.78</v>
      </c>
      <c r="AX84" s="81">
        <v>18827.689999999999</v>
      </c>
      <c r="AY84" s="81">
        <v>1949.21</v>
      </c>
      <c r="AZ84" s="81">
        <v>7893.76</v>
      </c>
      <c r="BA84" s="81">
        <v>335.41</v>
      </c>
      <c r="BB84" s="81">
        <v>6019.62</v>
      </c>
      <c r="BC84" s="81">
        <v>951.03</v>
      </c>
      <c r="BD84" s="81">
        <v>12137.61</v>
      </c>
      <c r="BE84" s="81">
        <v>1479.66</v>
      </c>
      <c r="BF84" s="81">
        <v>26885.91</v>
      </c>
      <c r="BG84" s="81">
        <v>6251.85</v>
      </c>
      <c r="BH84" s="81">
        <v>19666.48</v>
      </c>
      <c r="BI84" s="81">
        <v>314.33</v>
      </c>
      <c r="BJ84" s="81">
        <v>16989.62</v>
      </c>
      <c r="BK84" s="81">
        <v>1332.79</v>
      </c>
      <c r="BL84" s="81">
        <v>24496.46</v>
      </c>
      <c r="BM84" s="81">
        <v>574.07000000000005</v>
      </c>
      <c r="BN84" s="81">
        <v>24396.66</v>
      </c>
      <c r="BO84" s="81">
        <v>805.91</v>
      </c>
      <c r="BP84" s="81">
        <v>33536.65</v>
      </c>
      <c r="BQ84" s="81">
        <v>1347.85</v>
      </c>
      <c r="BR84" s="81">
        <v>23809.07</v>
      </c>
      <c r="BS84" s="81">
        <v>921.86</v>
      </c>
      <c r="BT84" s="81">
        <v>25144.33</v>
      </c>
      <c r="BU84" s="81">
        <v>474.43</v>
      </c>
      <c r="BV84" s="81">
        <v>27819.98</v>
      </c>
    </row>
    <row r="85" spans="1:74">
      <c r="A85" s="78" t="s">
        <v>601</v>
      </c>
      <c r="B85" s="78" t="s">
        <v>314</v>
      </c>
      <c r="C85" s="82">
        <v>1145.1500000000001</v>
      </c>
      <c r="D85" s="82">
        <v>0.24</v>
      </c>
      <c r="E85" s="83">
        <v>993.2</v>
      </c>
      <c r="F85" s="83">
        <v>0.8</v>
      </c>
      <c r="G85" s="82">
        <v>1200.3699999999999</v>
      </c>
      <c r="H85" s="82">
        <v>1.33</v>
      </c>
      <c r="I85" s="82">
        <v>959.09</v>
      </c>
      <c r="J85" s="82">
        <v>31.03</v>
      </c>
      <c r="K85" s="82">
        <v>1479.58</v>
      </c>
      <c r="L85" s="82">
        <v>0.72</v>
      </c>
      <c r="M85" s="83">
        <v>922.9</v>
      </c>
      <c r="N85" s="83">
        <v>22.5</v>
      </c>
      <c r="O85" s="82">
        <v>1190.95</v>
      </c>
      <c r="P85" s="82">
        <v>1.1200000000000001</v>
      </c>
      <c r="Q85" s="82">
        <v>1731.49</v>
      </c>
      <c r="R85" s="83">
        <v>0.2</v>
      </c>
      <c r="S85" s="82">
        <v>1488.43</v>
      </c>
      <c r="T85" s="82">
        <v>22.75</v>
      </c>
      <c r="U85" s="82">
        <v>917.44</v>
      </c>
      <c r="V85" s="82">
        <v>0.68</v>
      </c>
      <c r="W85" s="82">
        <v>1924.46</v>
      </c>
      <c r="X85" s="82">
        <v>0.56000000000000005</v>
      </c>
      <c r="Y85" s="82">
        <v>1089.8499999999999</v>
      </c>
      <c r="Z85" s="82">
        <v>0.52</v>
      </c>
      <c r="AA85" s="82">
        <v>1115.58</v>
      </c>
      <c r="AB85" s="82">
        <v>0.68</v>
      </c>
      <c r="AC85" s="83">
        <v>1268.2</v>
      </c>
      <c r="AD85" s="82">
        <v>0.81</v>
      </c>
      <c r="AE85" s="82">
        <v>1253.3499999999999</v>
      </c>
      <c r="AF85" s="82">
        <v>0.09</v>
      </c>
      <c r="AG85" s="82">
        <v>1316.44</v>
      </c>
      <c r="AH85" s="83">
        <v>16.899999999999999</v>
      </c>
      <c r="AI85" s="82">
        <v>1219.47</v>
      </c>
      <c r="AJ85" s="82">
        <v>0.47</v>
      </c>
      <c r="AK85" s="82">
        <v>468.39</v>
      </c>
      <c r="AL85" s="82">
        <v>0.32</v>
      </c>
      <c r="AM85" s="82">
        <v>1925.83</v>
      </c>
      <c r="AN85" s="82">
        <v>1.1299999999999999</v>
      </c>
      <c r="AO85" s="82">
        <v>1716.82</v>
      </c>
      <c r="AP85" s="82">
        <v>0.96</v>
      </c>
      <c r="AQ85" s="82">
        <v>988.15</v>
      </c>
      <c r="AR85" s="82">
        <v>0.52</v>
      </c>
      <c r="AS85" s="82">
        <v>1868.07</v>
      </c>
      <c r="AT85" s="82">
        <v>768.47</v>
      </c>
      <c r="AU85" s="83">
        <v>1136</v>
      </c>
      <c r="AV85" s="82">
        <v>2.81</v>
      </c>
      <c r="AW85" s="82">
        <v>1478.19</v>
      </c>
      <c r="AX85" s="82">
        <v>0.81</v>
      </c>
      <c r="AY85" s="82">
        <v>2436.54</v>
      </c>
      <c r="AZ85" s="82">
        <v>1132.22</v>
      </c>
      <c r="BA85" s="82">
        <v>1494.52</v>
      </c>
      <c r="BB85" s="83">
        <v>849.2</v>
      </c>
      <c r="BC85" s="82">
        <v>1069.67</v>
      </c>
      <c r="BD85" s="82">
        <v>6.08</v>
      </c>
      <c r="BE85" s="82">
        <v>1099.28</v>
      </c>
      <c r="BF85" s="82">
        <v>1.56</v>
      </c>
      <c r="BG85" s="82">
        <v>1866.99</v>
      </c>
      <c r="BH85" s="82">
        <v>542.62</v>
      </c>
      <c r="BI85" s="82">
        <v>1061.79</v>
      </c>
      <c r="BJ85" s="82">
        <v>567.19000000000005</v>
      </c>
      <c r="BK85" s="82">
        <v>558.86</v>
      </c>
      <c r="BL85" s="82">
        <v>5.99</v>
      </c>
      <c r="BM85" s="82">
        <v>2197.5500000000002</v>
      </c>
      <c r="BN85" s="82">
        <v>293.02</v>
      </c>
      <c r="BO85" s="82">
        <v>1511.65</v>
      </c>
      <c r="BP85" s="82">
        <v>297.57</v>
      </c>
      <c r="BQ85" s="82">
        <v>1122.1300000000001</v>
      </c>
      <c r="BR85" s="82">
        <v>562.15</v>
      </c>
      <c r="BS85" s="82">
        <v>1283.05</v>
      </c>
      <c r="BT85" s="83">
        <v>0.9</v>
      </c>
      <c r="BU85" s="82">
        <v>1264.02</v>
      </c>
      <c r="BV85" s="83">
        <v>797</v>
      </c>
    </row>
    <row r="86" spans="1:74">
      <c r="A86" s="78" t="s">
        <v>602</v>
      </c>
      <c r="B86" s="78" t="s">
        <v>603</v>
      </c>
      <c r="C86" s="84">
        <v>168.8</v>
      </c>
      <c r="D86" s="79" t="s">
        <v>195</v>
      </c>
      <c r="E86" s="84">
        <v>43.4</v>
      </c>
      <c r="F86" s="81">
        <v>1.1200000000000001</v>
      </c>
      <c r="G86" s="81">
        <v>0.27</v>
      </c>
      <c r="H86" s="79" t="s">
        <v>195</v>
      </c>
      <c r="I86" s="81">
        <v>0.27</v>
      </c>
      <c r="J86" s="79" t="s">
        <v>195</v>
      </c>
      <c r="K86" s="84">
        <v>20.2</v>
      </c>
      <c r="L86" s="81">
        <v>0.74</v>
      </c>
      <c r="M86" s="79" t="s">
        <v>195</v>
      </c>
      <c r="N86" s="79" t="s">
        <v>195</v>
      </c>
      <c r="O86" s="81">
        <v>9.4600000000000009</v>
      </c>
      <c r="P86" s="79" t="s">
        <v>195</v>
      </c>
      <c r="Q86" s="84">
        <v>169</v>
      </c>
      <c r="R86" s="79" t="s">
        <v>195</v>
      </c>
      <c r="S86" s="81">
        <v>8.68</v>
      </c>
      <c r="T86" s="79" t="s">
        <v>195</v>
      </c>
      <c r="U86" s="81">
        <v>40.270000000000003</v>
      </c>
      <c r="V86" s="79" t="s">
        <v>195</v>
      </c>
      <c r="W86" s="81">
        <v>367.28</v>
      </c>
      <c r="X86" s="79" t="s">
        <v>195</v>
      </c>
      <c r="Y86" s="81">
        <v>75.989999999999995</v>
      </c>
      <c r="Z86" s="79" t="s">
        <v>195</v>
      </c>
      <c r="AA86" s="81">
        <v>331.23</v>
      </c>
      <c r="AB86" s="79" t="s">
        <v>195</v>
      </c>
      <c r="AC86" s="84">
        <v>77.599999999999994</v>
      </c>
      <c r="AD86" s="81">
        <v>0.08</v>
      </c>
      <c r="AE86" s="84">
        <v>7</v>
      </c>
      <c r="AF86" s="81">
        <v>0.04</v>
      </c>
      <c r="AG86" s="81">
        <v>151.58000000000001</v>
      </c>
      <c r="AH86" s="81">
        <v>0.37</v>
      </c>
      <c r="AI86" s="81">
        <v>177.17</v>
      </c>
      <c r="AJ86" s="81">
        <v>0.15</v>
      </c>
      <c r="AK86" s="84">
        <v>20</v>
      </c>
      <c r="AL86" s="81">
        <v>0.02</v>
      </c>
      <c r="AM86" s="81">
        <v>88.46</v>
      </c>
      <c r="AN86" s="81">
        <v>0.22</v>
      </c>
      <c r="AO86" s="81">
        <v>0.27</v>
      </c>
      <c r="AP86" s="81">
        <v>0.06</v>
      </c>
      <c r="AQ86" s="81">
        <v>33.21</v>
      </c>
      <c r="AR86" s="81">
        <v>0.03</v>
      </c>
      <c r="AS86" s="84">
        <v>392.6</v>
      </c>
      <c r="AT86" s="79" t="s">
        <v>195</v>
      </c>
      <c r="AU86" s="81">
        <v>255.24</v>
      </c>
      <c r="AV86" s="81">
        <v>57.86</v>
      </c>
      <c r="AW86" s="81">
        <v>116.78</v>
      </c>
      <c r="AX86" s="84">
        <v>3</v>
      </c>
      <c r="AY86" s="81">
        <v>79.16</v>
      </c>
      <c r="AZ86" s="79" t="s">
        <v>195</v>
      </c>
      <c r="BA86" s="81">
        <v>147.85</v>
      </c>
      <c r="BB86" s="79" t="s">
        <v>195</v>
      </c>
      <c r="BC86" s="81">
        <v>1.93</v>
      </c>
      <c r="BD86" s="79" t="s">
        <v>195</v>
      </c>
      <c r="BE86" s="81">
        <v>142.69</v>
      </c>
      <c r="BF86" s="79" t="s">
        <v>195</v>
      </c>
      <c r="BG86" s="84">
        <v>1.9</v>
      </c>
      <c r="BH86" s="81">
        <v>1.02</v>
      </c>
      <c r="BI86" s="81">
        <v>111.07</v>
      </c>
      <c r="BJ86" s="81">
        <v>1.47</v>
      </c>
      <c r="BK86" s="81">
        <v>153.52000000000001</v>
      </c>
      <c r="BL86" s="81">
        <v>0.48</v>
      </c>
      <c r="BM86" s="81">
        <v>59.51</v>
      </c>
      <c r="BN86" s="84">
        <v>7.2</v>
      </c>
      <c r="BO86" s="81">
        <v>416.98</v>
      </c>
      <c r="BP86" s="84">
        <v>5.4</v>
      </c>
      <c r="BQ86" s="84">
        <v>69.599999999999994</v>
      </c>
      <c r="BR86" s="81">
        <v>0.84</v>
      </c>
      <c r="BS86" s="81">
        <v>162.21</v>
      </c>
      <c r="BT86" s="81">
        <v>0.24</v>
      </c>
      <c r="BU86" s="81">
        <v>179.44</v>
      </c>
      <c r="BV86" s="81">
        <v>0.36</v>
      </c>
    </row>
    <row r="87" spans="1:74">
      <c r="A87" s="78" t="s">
        <v>604</v>
      </c>
      <c r="B87" s="78" t="s">
        <v>605</v>
      </c>
      <c r="C87" s="82">
        <v>3576.77</v>
      </c>
      <c r="D87" s="82">
        <v>572.16999999999996</v>
      </c>
      <c r="E87" s="82">
        <v>5129.42</v>
      </c>
      <c r="F87" s="82">
        <v>1043.71</v>
      </c>
      <c r="G87" s="82">
        <v>5693.93</v>
      </c>
      <c r="H87" s="82">
        <v>1030.6300000000001</v>
      </c>
      <c r="I87" s="82">
        <v>7137.73</v>
      </c>
      <c r="J87" s="82">
        <v>852.27</v>
      </c>
      <c r="K87" s="83">
        <v>4109.2</v>
      </c>
      <c r="L87" s="82">
        <v>1104.02</v>
      </c>
      <c r="M87" s="82">
        <v>4091.74</v>
      </c>
      <c r="N87" s="82">
        <v>474.37</v>
      </c>
      <c r="O87" s="82">
        <v>2933.74</v>
      </c>
      <c r="P87" s="82">
        <v>2919.38</v>
      </c>
      <c r="Q87" s="82">
        <v>5783.64</v>
      </c>
      <c r="R87" s="82">
        <v>1014.64</v>
      </c>
      <c r="S87" s="82">
        <v>4704.95</v>
      </c>
      <c r="T87" s="82">
        <v>1678.58</v>
      </c>
      <c r="U87" s="82">
        <v>3803.61</v>
      </c>
      <c r="V87" s="82">
        <v>764.33</v>
      </c>
      <c r="W87" s="82">
        <v>4329.5200000000004</v>
      </c>
      <c r="X87" s="82">
        <v>1800.08</v>
      </c>
      <c r="Y87" s="83">
        <v>5200.2</v>
      </c>
      <c r="Z87" s="82">
        <v>1209.75</v>
      </c>
      <c r="AA87" s="82">
        <v>7049.36</v>
      </c>
      <c r="AB87" s="82">
        <v>2013.85</v>
      </c>
      <c r="AC87" s="83">
        <v>5522.2</v>
      </c>
      <c r="AD87" s="82">
        <v>1408.35</v>
      </c>
      <c r="AE87" s="82">
        <v>10021.73</v>
      </c>
      <c r="AF87" s="82">
        <v>1343.47</v>
      </c>
      <c r="AG87" s="82">
        <v>6819.28</v>
      </c>
      <c r="AH87" s="82">
        <v>2372.08</v>
      </c>
      <c r="AI87" s="82">
        <v>8171.58</v>
      </c>
      <c r="AJ87" s="82">
        <v>2063.2399999999998</v>
      </c>
      <c r="AK87" s="82">
        <v>7970.76</v>
      </c>
      <c r="AL87" s="82">
        <v>1178.55</v>
      </c>
      <c r="AM87" s="82">
        <v>5841.83</v>
      </c>
      <c r="AN87" s="82">
        <v>2089.0100000000002</v>
      </c>
      <c r="AO87" s="82">
        <v>7010.56</v>
      </c>
      <c r="AP87" s="82">
        <v>2095.87</v>
      </c>
      <c r="AQ87" s="82">
        <v>6179.33</v>
      </c>
      <c r="AR87" s="82">
        <v>2059.64</v>
      </c>
      <c r="AS87" s="82">
        <v>5733.59</v>
      </c>
      <c r="AT87" s="82">
        <v>2251.5500000000002</v>
      </c>
      <c r="AU87" s="82">
        <v>4640.3100000000004</v>
      </c>
      <c r="AV87" s="82">
        <v>2160.2199999999998</v>
      </c>
      <c r="AW87" s="82">
        <v>3610.99</v>
      </c>
      <c r="AX87" s="82">
        <v>1994.57</v>
      </c>
      <c r="AY87" s="82">
        <v>3364.63</v>
      </c>
      <c r="AZ87" s="82">
        <v>1076.67</v>
      </c>
      <c r="BA87" s="82">
        <v>2446.9899999999998</v>
      </c>
      <c r="BB87" s="82">
        <v>1067.3900000000001</v>
      </c>
      <c r="BC87" s="83">
        <v>3253.7</v>
      </c>
      <c r="BD87" s="82">
        <v>666.24</v>
      </c>
      <c r="BE87" s="83">
        <v>5813.4</v>
      </c>
      <c r="BF87" s="82">
        <v>1047.21</v>
      </c>
      <c r="BG87" s="82">
        <v>3442.44</v>
      </c>
      <c r="BH87" s="82">
        <v>761.26</v>
      </c>
      <c r="BI87" s="82">
        <v>2449.7600000000002</v>
      </c>
      <c r="BJ87" s="82">
        <v>353.72</v>
      </c>
      <c r="BK87" s="82">
        <v>4415.1400000000003</v>
      </c>
      <c r="BL87" s="83">
        <v>1057.5</v>
      </c>
      <c r="BM87" s="83">
        <v>4559.2</v>
      </c>
      <c r="BN87" s="82">
        <v>1294.73</v>
      </c>
      <c r="BO87" s="83">
        <v>1638.3</v>
      </c>
      <c r="BP87" s="82">
        <v>1258.32</v>
      </c>
      <c r="BQ87" s="82">
        <v>1943.23</v>
      </c>
      <c r="BR87" s="82">
        <v>1168.3599999999999</v>
      </c>
      <c r="BS87" s="82">
        <v>3045.79</v>
      </c>
      <c r="BT87" s="82">
        <v>1038.42</v>
      </c>
      <c r="BU87" s="82">
        <v>3227.66</v>
      </c>
      <c r="BV87" s="82">
        <v>1043.99</v>
      </c>
    </row>
    <row r="88" spans="1:74">
      <c r="A88" s="78" t="s">
        <v>606</v>
      </c>
      <c r="B88" s="78" t="s">
        <v>174</v>
      </c>
      <c r="C88" s="84">
        <v>11645</v>
      </c>
      <c r="D88" s="81">
        <v>56182.41</v>
      </c>
      <c r="E88" s="81">
        <v>9869.16</v>
      </c>
      <c r="F88" s="81">
        <v>50652.18</v>
      </c>
      <c r="G88" s="81">
        <v>4455.63</v>
      </c>
      <c r="H88" s="81">
        <v>77721.03</v>
      </c>
      <c r="I88" s="81">
        <v>4370.13</v>
      </c>
      <c r="J88" s="81">
        <v>81730.67</v>
      </c>
      <c r="K88" s="81">
        <v>7322.49</v>
      </c>
      <c r="L88" s="81">
        <v>82783.649999999994</v>
      </c>
      <c r="M88" s="81">
        <v>2172.16</v>
      </c>
      <c r="N88" s="84">
        <v>53862.3</v>
      </c>
      <c r="O88" s="84">
        <v>5178.6000000000004</v>
      </c>
      <c r="P88" s="84">
        <v>47314.2</v>
      </c>
      <c r="Q88" s="81">
        <v>5212.22</v>
      </c>
      <c r="R88" s="81">
        <v>21228.23</v>
      </c>
      <c r="S88" s="84">
        <v>4869</v>
      </c>
      <c r="T88" s="81">
        <v>18592.990000000002</v>
      </c>
      <c r="U88" s="84">
        <v>2325.1</v>
      </c>
      <c r="V88" s="81">
        <v>24871.54</v>
      </c>
      <c r="W88" s="81">
        <v>1763.76</v>
      </c>
      <c r="X88" s="81">
        <v>30768.38</v>
      </c>
      <c r="Y88" s="84">
        <v>2559.1</v>
      </c>
      <c r="Z88" s="81">
        <v>45932.31</v>
      </c>
      <c r="AA88" s="84">
        <v>537.79999999999995</v>
      </c>
      <c r="AB88" s="84">
        <v>39059.5</v>
      </c>
      <c r="AC88" s="81">
        <v>20798.07</v>
      </c>
      <c r="AD88" s="81">
        <v>59022.36</v>
      </c>
      <c r="AE88" s="84">
        <v>14857.4</v>
      </c>
      <c r="AF88" s="81">
        <v>98191.72</v>
      </c>
      <c r="AG88" s="84">
        <v>35802.5</v>
      </c>
      <c r="AH88" s="81">
        <v>80132.22</v>
      </c>
      <c r="AI88" s="81">
        <v>26262.51</v>
      </c>
      <c r="AJ88" s="81">
        <v>61469.35</v>
      </c>
      <c r="AK88" s="81">
        <v>12416.98</v>
      </c>
      <c r="AL88" s="81">
        <v>36446.81</v>
      </c>
      <c r="AM88" s="81">
        <v>13188.78</v>
      </c>
      <c r="AN88" s="84">
        <v>57781</v>
      </c>
      <c r="AO88" s="84">
        <v>9769.9</v>
      </c>
      <c r="AP88" s="84">
        <v>66344.800000000003</v>
      </c>
      <c r="AQ88" s="81">
        <v>14478.31</v>
      </c>
      <c r="AR88" s="81">
        <v>46364.25</v>
      </c>
      <c r="AS88" s="81">
        <v>8863.7900000000009</v>
      </c>
      <c r="AT88" s="84">
        <v>57374.2</v>
      </c>
      <c r="AU88" s="84">
        <v>8354.2000000000007</v>
      </c>
      <c r="AV88" s="84">
        <v>38336.5</v>
      </c>
      <c r="AW88" s="84">
        <v>8330.6</v>
      </c>
      <c r="AX88" s="81">
        <v>40858.449999999997</v>
      </c>
      <c r="AY88" s="79" t="s">
        <v>195</v>
      </c>
      <c r="AZ88" s="81">
        <v>81513.429999999993</v>
      </c>
      <c r="BA88" s="81">
        <v>2329.36</v>
      </c>
      <c r="BB88" s="81">
        <v>86004.14</v>
      </c>
      <c r="BC88" s="81">
        <v>2164.88</v>
      </c>
      <c r="BD88" s="81">
        <v>116920.06</v>
      </c>
      <c r="BE88" s="81">
        <v>752.81</v>
      </c>
      <c r="BF88" s="81">
        <v>114726.46</v>
      </c>
      <c r="BG88" s="81">
        <v>847.21</v>
      </c>
      <c r="BH88" s="81">
        <v>115363.25</v>
      </c>
      <c r="BI88" s="84">
        <v>65</v>
      </c>
      <c r="BJ88" s="81">
        <v>77659.759999999995</v>
      </c>
      <c r="BK88" s="79" t="s">
        <v>195</v>
      </c>
      <c r="BL88" s="84">
        <v>63697</v>
      </c>
      <c r="BM88" s="79" t="s">
        <v>195</v>
      </c>
      <c r="BN88" s="81">
        <v>70639.48</v>
      </c>
      <c r="BO88" s="79" t="s">
        <v>195</v>
      </c>
      <c r="BP88" s="81">
        <v>79742.61</v>
      </c>
      <c r="BQ88" s="81">
        <v>322.51</v>
      </c>
      <c r="BR88" s="81">
        <v>69029.17</v>
      </c>
      <c r="BS88" s="79" t="s">
        <v>195</v>
      </c>
      <c r="BT88" s="84">
        <v>25357.4</v>
      </c>
      <c r="BU88" s="79" t="s">
        <v>195</v>
      </c>
      <c r="BV88" s="84">
        <v>19389.2</v>
      </c>
    </row>
    <row r="89" spans="1:74">
      <c r="A89" s="78" t="s">
        <v>607</v>
      </c>
      <c r="B89" s="78" t="s">
        <v>608</v>
      </c>
      <c r="C89" s="82">
        <v>4373.3900000000003</v>
      </c>
      <c r="D89" s="82">
        <v>74834.81</v>
      </c>
      <c r="E89" s="82">
        <v>4725.13</v>
      </c>
      <c r="F89" s="82">
        <v>280618.73</v>
      </c>
      <c r="G89" s="82">
        <v>2256.0500000000002</v>
      </c>
      <c r="H89" s="82">
        <v>77935.62</v>
      </c>
      <c r="I89" s="82">
        <v>6040.18</v>
      </c>
      <c r="J89" s="82">
        <v>54588.01</v>
      </c>
      <c r="K89" s="82">
        <v>5581.09</v>
      </c>
      <c r="L89" s="82">
        <v>17791.21</v>
      </c>
      <c r="M89" s="82">
        <v>5086.58</v>
      </c>
      <c r="N89" s="82">
        <v>18903.82</v>
      </c>
      <c r="O89" s="83">
        <v>4129.6000000000004</v>
      </c>
      <c r="P89" s="82">
        <v>21321.27</v>
      </c>
      <c r="Q89" s="82">
        <v>6772.12</v>
      </c>
      <c r="R89" s="82">
        <v>44525.59</v>
      </c>
      <c r="S89" s="82">
        <v>4913.55</v>
      </c>
      <c r="T89" s="82">
        <v>21275.56</v>
      </c>
      <c r="U89" s="82">
        <v>6131.94</v>
      </c>
      <c r="V89" s="82">
        <v>101849.05</v>
      </c>
      <c r="W89" s="82">
        <v>5355.79</v>
      </c>
      <c r="X89" s="82">
        <v>141502.32</v>
      </c>
      <c r="Y89" s="82">
        <v>3855.03</v>
      </c>
      <c r="Z89" s="82">
        <v>87259.67</v>
      </c>
      <c r="AA89" s="82">
        <v>5492.02</v>
      </c>
      <c r="AB89" s="82">
        <v>51154.81</v>
      </c>
      <c r="AC89" s="82">
        <v>5070.97</v>
      </c>
      <c r="AD89" s="82">
        <v>71014.080000000002</v>
      </c>
      <c r="AE89" s="82">
        <v>8845.9599999999991</v>
      </c>
      <c r="AF89" s="82">
        <v>68030.990000000005</v>
      </c>
      <c r="AG89" s="82">
        <v>6373.22</v>
      </c>
      <c r="AH89" s="83">
        <v>90379</v>
      </c>
      <c r="AI89" s="82">
        <v>10462.91</v>
      </c>
      <c r="AJ89" s="82">
        <v>113421.72</v>
      </c>
      <c r="AK89" s="82">
        <v>3689.15</v>
      </c>
      <c r="AL89" s="82">
        <v>93328.23</v>
      </c>
      <c r="AM89" s="82">
        <v>3285.72</v>
      </c>
      <c r="AN89" s="82">
        <v>65494.239999999998</v>
      </c>
      <c r="AO89" s="82">
        <v>2209.7600000000002</v>
      </c>
      <c r="AP89" s="82">
        <v>31532.59</v>
      </c>
      <c r="AQ89" s="83">
        <v>4996.8999999999996</v>
      </c>
      <c r="AR89" s="82">
        <v>67564.429999999993</v>
      </c>
      <c r="AS89" s="83">
        <v>4509.8999999999996</v>
      </c>
      <c r="AT89" s="82">
        <v>68810.11</v>
      </c>
      <c r="AU89" s="82">
        <v>1613.94</v>
      </c>
      <c r="AV89" s="82">
        <v>56987.46</v>
      </c>
      <c r="AW89" s="82">
        <v>3966.92</v>
      </c>
      <c r="AX89" s="82">
        <v>60421.99</v>
      </c>
      <c r="AY89" s="82">
        <v>26885.47</v>
      </c>
      <c r="AZ89" s="82">
        <v>31233.53</v>
      </c>
      <c r="BA89" s="83">
        <v>6007</v>
      </c>
      <c r="BB89" s="82">
        <v>51620.34</v>
      </c>
      <c r="BC89" s="82">
        <v>4180.4399999999996</v>
      </c>
      <c r="BD89" s="82">
        <v>55108.94</v>
      </c>
      <c r="BE89" s="82">
        <v>5461.22</v>
      </c>
      <c r="BF89" s="82">
        <v>84356.55</v>
      </c>
      <c r="BG89" s="82">
        <v>4517.55</v>
      </c>
      <c r="BH89" s="82">
        <v>61175.42</v>
      </c>
      <c r="BI89" s="82">
        <v>3353.61</v>
      </c>
      <c r="BJ89" s="82">
        <v>67886.69</v>
      </c>
      <c r="BK89" s="82">
        <v>3617.31</v>
      </c>
      <c r="BL89" s="82">
        <v>43742.91</v>
      </c>
      <c r="BM89" s="82">
        <v>2628.34</v>
      </c>
      <c r="BN89" s="82">
        <v>30998.51</v>
      </c>
      <c r="BO89" s="82">
        <v>3589.52</v>
      </c>
      <c r="BP89" s="82">
        <v>22447.13</v>
      </c>
      <c r="BQ89" s="82">
        <v>3879.63</v>
      </c>
      <c r="BR89" s="82">
        <v>40165.279999999999</v>
      </c>
      <c r="BS89" s="82">
        <v>4609.49</v>
      </c>
      <c r="BT89" s="82">
        <v>111150.21</v>
      </c>
      <c r="BU89" s="83">
        <v>5659.3</v>
      </c>
      <c r="BV89" s="82">
        <v>126181.21</v>
      </c>
    </row>
    <row r="90" spans="1:74">
      <c r="A90" s="78" t="s">
        <v>609</v>
      </c>
      <c r="B90" s="78" t="s">
        <v>610</v>
      </c>
      <c r="C90" s="82">
        <v>18921.61</v>
      </c>
      <c r="D90" s="82">
        <v>856.37</v>
      </c>
      <c r="E90" s="83">
        <v>15858</v>
      </c>
      <c r="F90" s="82">
        <v>552.86</v>
      </c>
      <c r="G90" s="82">
        <v>19933.41</v>
      </c>
      <c r="H90" s="82">
        <v>718.48</v>
      </c>
      <c r="I90" s="82">
        <v>19643.29</v>
      </c>
      <c r="J90" s="82">
        <v>1061.54</v>
      </c>
      <c r="K90" s="82">
        <v>21388.61</v>
      </c>
      <c r="L90" s="82">
        <v>950.95</v>
      </c>
      <c r="M90" s="82">
        <v>21130.73</v>
      </c>
      <c r="N90" s="82">
        <v>1536.47</v>
      </c>
      <c r="O90" s="82">
        <v>19758.37</v>
      </c>
      <c r="P90" s="82">
        <v>1160.73</v>
      </c>
      <c r="Q90" s="82">
        <v>17830.07</v>
      </c>
      <c r="R90" s="82">
        <v>629.84</v>
      </c>
      <c r="S90" s="82">
        <v>24060.74</v>
      </c>
      <c r="T90" s="82">
        <v>633.86</v>
      </c>
      <c r="U90" s="82">
        <v>20062.349999999999</v>
      </c>
      <c r="V90" s="82">
        <v>654.92999999999995</v>
      </c>
      <c r="W90" s="82">
        <v>18572.669999999998</v>
      </c>
      <c r="X90" s="82">
        <v>359.53</v>
      </c>
      <c r="Y90" s="82">
        <v>17843.689999999999</v>
      </c>
      <c r="Z90" s="82">
        <v>556.66</v>
      </c>
      <c r="AA90" s="82">
        <v>18181.88</v>
      </c>
      <c r="AB90" s="82">
        <v>2450.75</v>
      </c>
      <c r="AC90" s="83">
        <v>13551.6</v>
      </c>
      <c r="AD90" s="82">
        <v>702.12</v>
      </c>
      <c r="AE90" s="82">
        <v>15580.34</v>
      </c>
      <c r="AF90" s="82">
        <v>2897.67</v>
      </c>
      <c r="AG90" s="82">
        <v>13723.21</v>
      </c>
      <c r="AH90" s="82">
        <v>1655.38</v>
      </c>
      <c r="AI90" s="82">
        <v>13176.16</v>
      </c>
      <c r="AJ90" s="82">
        <v>2455.3200000000002</v>
      </c>
      <c r="AK90" s="82">
        <v>12381.84</v>
      </c>
      <c r="AL90" s="82">
        <v>963.45</v>
      </c>
      <c r="AM90" s="82">
        <v>12674.12</v>
      </c>
      <c r="AN90" s="82">
        <v>1883.96</v>
      </c>
      <c r="AO90" s="82">
        <v>10935.89</v>
      </c>
      <c r="AP90" s="82">
        <v>2299.38</v>
      </c>
      <c r="AQ90" s="82">
        <v>8962.39</v>
      </c>
      <c r="AR90" s="82">
        <v>1396.73</v>
      </c>
      <c r="AS90" s="82">
        <v>27612.11</v>
      </c>
      <c r="AT90" s="82">
        <v>2055.63</v>
      </c>
      <c r="AU90" s="82">
        <v>25124.03</v>
      </c>
      <c r="AV90" s="82">
        <v>3590.24</v>
      </c>
      <c r="AW90" s="82">
        <v>15976.96</v>
      </c>
      <c r="AX90" s="82">
        <v>1314.13</v>
      </c>
      <c r="AY90" s="82">
        <v>18967.419999999998</v>
      </c>
      <c r="AZ90" s="82">
        <v>1618.14</v>
      </c>
      <c r="BA90" s="82">
        <v>20770.87</v>
      </c>
      <c r="BB90" s="82">
        <v>2030.76</v>
      </c>
      <c r="BC90" s="82">
        <v>9054.42</v>
      </c>
      <c r="BD90" s="82">
        <v>3212.36</v>
      </c>
      <c r="BE90" s="82">
        <v>28673.46</v>
      </c>
      <c r="BF90" s="82">
        <v>5932.75</v>
      </c>
      <c r="BG90" s="82">
        <v>25778.15</v>
      </c>
      <c r="BH90" s="82">
        <v>2598.58</v>
      </c>
      <c r="BI90" s="82">
        <v>20222.71</v>
      </c>
      <c r="BJ90" s="83">
        <v>1699.2</v>
      </c>
      <c r="BK90" s="82">
        <v>28905.22</v>
      </c>
      <c r="BL90" s="83">
        <v>2537.8000000000002</v>
      </c>
      <c r="BM90" s="82">
        <v>22413.03</v>
      </c>
      <c r="BN90" s="82">
        <v>2416.96</v>
      </c>
      <c r="BO90" s="82">
        <v>24757.82</v>
      </c>
      <c r="BP90" s="82">
        <v>2963.94</v>
      </c>
      <c r="BQ90" s="82">
        <v>19359.13</v>
      </c>
      <c r="BR90" s="83">
        <v>2862.2</v>
      </c>
      <c r="BS90" s="82">
        <v>26392.560000000001</v>
      </c>
      <c r="BT90" s="82">
        <v>3426.96</v>
      </c>
      <c r="BU90" s="82">
        <v>27314.73</v>
      </c>
      <c r="BV90" s="82">
        <v>2713.51</v>
      </c>
    </row>
    <row r="91" spans="1:74">
      <c r="A91" s="78" t="s">
        <v>611</v>
      </c>
      <c r="B91" s="78" t="s">
        <v>612</v>
      </c>
      <c r="C91" s="81">
        <v>268436.61</v>
      </c>
      <c r="D91" s="81">
        <v>323869.28000000003</v>
      </c>
      <c r="E91" s="81">
        <v>208278.38</v>
      </c>
      <c r="F91" s="81">
        <v>259548.53</v>
      </c>
      <c r="G91" s="84">
        <v>266961.90000000002</v>
      </c>
      <c r="H91" s="81">
        <v>313666.73</v>
      </c>
      <c r="I91" s="81">
        <v>268538.21999999997</v>
      </c>
      <c r="J91" s="81">
        <v>400437.94</v>
      </c>
      <c r="K91" s="81">
        <v>260359.16</v>
      </c>
      <c r="L91" s="81">
        <v>306688.42</v>
      </c>
      <c r="M91" s="81">
        <v>242788.34</v>
      </c>
      <c r="N91" s="81">
        <v>355488.42</v>
      </c>
      <c r="O91" s="84">
        <v>239112.4</v>
      </c>
      <c r="P91" s="81">
        <v>234192.23</v>
      </c>
      <c r="Q91" s="81">
        <v>194498.71</v>
      </c>
      <c r="R91" s="81">
        <v>208599.94</v>
      </c>
      <c r="S91" s="81">
        <v>217783.14</v>
      </c>
      <c r="T91" s="81">
        <v>229893.13</v>
      </c>
      <c r="U91" s="81">
        <v>206313.26</v>
      </c>
      <c r="V91" s="81">
        <v>324024.53999999998</v>
      </c>
      <c r="W91" s="84">
        <v>197737.9</v>
      </c>
      <c r="X91" s="81">
        <v>298944.55</v>
      </c>
      <c r="Y91" s="81">
        <v>231687.04000000001</v>
      </c>
      <c r="Z91" s="84">
        <v>332634.59999999998</v>
      </c>
      <c r="AA91" s="81">
        <v>189224.94</v>
      </c>
      <c r="AB91" s="81">
        <v>107738.17</v>
      </c>
      <c r="AC91" s="81">
        <v>183509.63</v>
      </c>
      <c r="AD91" s="81">
        <v>103160.58</v>
      </c>
      <c r="AE91" s="81">
        <v>221049.63</v>
      </c>
      <c r="AF91" s="81">
        <v>145971.96</v>
      </c>
      <c r="AG91" s="81">
        <v>195761.42</v>
      </c>
      <c r="AH91" s="81">
        <v>180767.56</v>
      </c>
      <c r="AI91" s="81">
        <v>204004.13</v>
      </c>
      <c r="AJ91" s="84">
        <v>150490.6</v>
      </c>
      <c r="AK91" s="84">
        <v>186693.2</v>
      </c>
      <c r="AL91" s="81">
        <v>115659.71</v>
      </c>
      <c r="AM91" s="81">
        <v>249276.61</v>
      </c>
      <c r="AN91" s="81">
        <v>136887.57999999999</v>
      </c>
      <c r="AO91" s="81">
        <v>236879.77</v>
      </c>
      <c r="AP91" s="81">
        <v>155191.48000000001</v>
      </c>
      <c r="AQ91" s="81">
        <v>237354.54</v>
      </c>
      <c r="AR91" s="81">
        <v>164352.10999999999</v>
      </c>
      <c r="AS91" s="81">
        <v>245815.92</v>
      </c>
      <c r="AT91" s="81">
        <v>116094.15</v>
      </c>
      <c r="AU91" s="81">
        <v>304937.90999999997</v>
      </c>
      <c r="AV91" s="81">
        <v>149853.60999999999</v>
      </c>
      <c r="AW91" s="81">
        <v>254375.65</v>
      </c>
      <c r="AX91" s="81">
        <v>146765.91</v>
      </c>
      <c r="AY91" s="81">
        <v>184583.24</v>
      </c>
      <c r="AZ91" s="81">
        <v>154163.19</v>
      </c>
      <c r="BA91" s="81">
        <v>232396.91</v>
      </c>
      <c r="BB91" s="81">
        <v>131059.31</v>
      </c>
      <c r="BC91" s="81">
        <v>229860.69</v>
      </c>
      <c r="BD91" s="81">
        <v>193843.35</v>
      </c>
      <c r="BE91" s="81">
        <v>288976.81</v>
      </c>
      <c r="BF91" s="81">
        <v>199571.26</v>
      </c>
      <c r="BG91" s="81">
        <v>287159.21999999997</v>
      </c>
      <c r="BH91" s="81">
        <v>174933.26</v>
      </c>
      <c r="BI91" s="81">
        <v>295155.42</v>
      </c>
      <c r="BJ91" s="81">
        <v>156113.71</v>
      </c>
      <c r="BK91" s="81">
        <v>283660.86</v>
      </c>
      <c r="BL91" s="81">
        <v>200171.81</v>
      </c>
      <c r="BM91" s="81">
        <v>256712.47</v>
      </c>
      <c r="BN91" s="81">
        <v>161262.09</v>
      </c>
      <c r="BO91" s="81">
        <v>354202.29</v>
      </c>
      <c r="BP91" s="81">
        <v>167544.32999999999</v>
      </c>
      <c r="BQ91" s="81">
        <v>321450.89</v>
      </c>
      <c r="BR91" s="81">
        <v>178518.05</v>
      </c>
      <c r="BS91" s="81">
        <v>283996.18</v>
      </c>
      <c r="BT91" s="81">
        <v>183236.82</v>
      </c>
      <c r="BU91" s="84">
        <v>341242.6</v>
      </c>
      <c r="BV91" s="81">
        <v>175216.33</v>
      </c>
    </row>
    <row r="92" spans="1:74">
      <c r="A92" s="78" t="s">
        <v>613</v>
      </c>
      <c r="B92" s="78" t="s">
        <v>614</v>
      </c>
      <c r="C92" s="82">
        <v>3.05</v>
      </c>
      <c r="D92" s="82">
        <v>239.75</v>
      </c>
      <c r="E92" s="82">
        <v>2.94</v>
      </c>
      <c r="F92" s="82">
        <v>26.38</v>
      </c>
      <c r="G92" s="83">
        <v>8.1999999999999993</v>
      </c>
      <c r="H92" s="82">
        <v>10.02</v>
      </c>
      <c r="I92" s="83">
        <v>91.8</v>
      </c>
      <c r="J92" s="82">
        <v>57.58</v>
      </c>
      <c r="K92" s="82">
        <v>9.69</v>
      </c>
      <c r="L92" s="82">
        <v>26.02</v>
      </c>
      <c r="M92" s="82">
        <v>6.12</v>
      </c>
      <c r="N92" s="82">
        <v>12.25</v>
      </c>
      <c r="O92" s="82">
        <v>29.87</v>
      </c>
      <c r="P92" s="82">
        <v>9.69</v>
      </c>
      <c r="Q92" s="82">
        <v>11.76</v>
      </c>
      <c r="R92" s="83">
        <v>21.6</v>
      </c>
      <c r="S92" s="83">
        <v>4.7</v>
      </c>
      <c r="T92" s="82">
        <v>61.91</v>
      </c>
      <c r="U92" s="82">
        <v>4.75</v>
      </c>
      <c r="V92" s="82">
        <v>6.04</v>
      </c>
      <c r="W92" s="82">
        <v>4.08</v>
      </c>
      <c r="X92" s="83">
        <v>16.5</v>
      </c>
      <c r="Y92" s="83">
        <v>3.5</v>
      </c>
      <c r="Z92" s="82">
        <v>97.09</v>
      </c>
      <c r="AA92" s="83">
        <v>54.8</v>
      </c>
      <c r="AB92" s="82">
        <v>160.61000000000001</v>
      </c>
      <c r="AC92" s="82">
        <v>25.86</v>
      </c>
      <c r="AD92" s="82">
        <v>8.32</v>
      </c>
      <c r="AE92" s="83">
        <v>69</v>
      </c>
      <c r="AF92" s="82">
        <v>9.42</v>
      </c>
      <c r="AG92" s="82">
        <v>42.81</v>
      </c>
      <c r="AH92" s="82">
        <v>178.27</v>
      </c>
      <c r="AI92" s="82">
        <v>38.090000000000003</v>
      </c>
      <c r="AJ92" s="82">
        <v>6.82</v>
      </c>
      <c r="AK92" s="82">
        <v>76.87</v>
      </c>
      <c r="AL92" s="82">
        <v>151.86000000000001</v>
      </c>
      <c r="AM92" s="82">
        <v>47.83</v>
      </c>
      <c r="AN92" s="83">
        <v>71</v>
      </c>
      <c r="AO92" s="82">
        <v>49.29</v>
      </c>
      <c r="AP92" s="82">
        <v>24.84</v>
      </c>
      <c r="AQ92" s="83">
        <v>82.5</v>
      </c>
      <c r="AR92" s="82">
        <v>14.46</v>
      </c>
      <c r="AS92" s="83">
        <v>39.799999999999997</v>
      </c>
      <c r="AT92" s="82">
        <v>190.61</v>
      </c>
      <c r="AU92" s="82">
        <v>132.35</v>
      </c>
      <c r="AV92" s="83">
        <v>56.8</v>
      </c>
      <c r="AW92" s="83">
        <v>71.3</v>
      </c>
      <c r="AX92" s="83">
        <v>5</v>
      </c>
      <c r="AY92" s="82">
        <v>0.63</v>
      </c>
      <c r="AZ92" s="82">
        <v>45.43</v>
      </c>
      <c r="BA92" s="82">
        <v>0.73</v>
      </c>
      <c r="BB92" s="82">
        <v>40.96</v>
      </c>
      <c r="BC92" s="82">
        <v>411.18</v>
      </c>
      <c r="BD92" s="82">
        <v>106.12</v>
      </c>
      <c r="BE92" s="82">
        <v>1.75</v>
      </c>
      <c r="BF92" s="82">
        <v>128.94</v>
      </c>
      <c r="BG92" s="82">
        <v>2.92</v>
      </c>
      <c r="BH92" s="83">
        <v>294.7</v>
      </c>
      <c r="BI92" s="82">
        <v>138.68</v>
      </c>
      <c r="BJ92" s="83">
        <v>201.7</v>
      </c>
      <c r="BK92" s="82">
        <v>33.549999999999997</v>
      </c>
      <c r="BL92" s="82">
        <v>323.73</v>
      </c>
      <c r="BM92" s="82">
        <v>10.41</v>
      </c>
      <c r="BN92" s="82">
        <v>18.739999999999998</v>
      </c>
      <c r="BO92" s="83">
        <v>15.5</v>
      </c>
      <c r="BP92" s="82">
        <v>74.290000000000006</v>
      </c>
      <c r="BQ92" s="82">
        <v>10.039999999999999</v>
      </c>
      <c r="BR92" s="83">
        <v>231.1</v>
      </c>
      <c r="BS92" s="83">
        <v>26.3</v>
      </c>
      <c r="BT92" s="82">
        <v>350.86</v>
      </c>
      <c r="BU92" s="82">
        <v>221.71</v>
      </c>
      <c r="BV92" s="82">
        <v>222.03</v>
      </c>
    </row>
    <row r="93" spans="1:74">
      <c r="A93" s="78" t="s">
        <v>616</v>
      </c>
      <c r="B93" s="78" t="s">
        <v>617</v>
      </c>
      <c r="C93" s="82">
        <v>1186.54</v>
      </c>
      <c r="D93" s="82">
        <v>15579.47</v>
      </c>
      <c r="E93" s="82">
        <v>1633.65</v>
      </c>
      <c r="F93" s="82">
        <v>16591.349999999999</v>
      </c>
      <c r="G93" s="82">
        <v>1458.97</v>
      </c>
      <c r="H93" s="82">
        <v>14638.29</v>
      </c>
      <c r="I93" s="82">
        <v>1001.23</v>
      </c>
      <c r="J93" s="82">
        <v>16561.04</v>
      </c>
      <c r="K93" s="83">
        <v>1032</v>
      </c>
      <c r="L93" s="82">
        <v>15029.64</v>
      </c>
      <c r="M93" s="82">
        <v>440.92</v>
      </c>
      <c r="N93" s="82">
        <v>19017.79</v>
      </c>
      <c r="O93" s="82">
        <v>997.78</v>
      </c>
      <c r="P93" s="82">
        <v>18020.75</v>
      </c>
      <c r="Q93" s="82">
        <v>2466.21</v>
      </c>
      <c r="R93" s="82">
        <v>15087.11</v>
      </c>
      <c r="S93" s="83">
        <v>1605.9</v>
      </c>
      <c r="T93" s="82">
        <v>17023.53</v>
      </c>
      <c r="U93" s="82">
        <v>1077.6500000000001</v>
      </c>
      <c r="V93" s="82">
        <v>18074.990000000002</v>
      </c>
      <c r="W93" s="82">
        <v>1391.64</v>
      </c>
      <c r="X93" s="82">
        <v>16108.14</v>
      </c>
      <c r="Y93" s="82">
        <v>1196.3499999999999</v>
      </c>
      <c r="Z93" s="82">
        <v>18625.419999999998</v>
      </c>
      <c r="AA93" s="82">
        <v>1278.28</v>
      </c>
      <c r="AB93" s="82">
        <v>9242.4500000000007</v>
      </c>
      <c r="AC93" s="82">
        <v>1602.37</v>
      </c>
      <c r="AD93" s="82">
        <v>9260.67</v>
      </c>
      <c r="AE93" s="83">
        <v>1418.6</v>
      </c>
      <c r="AF93" s="82">
        <v>9359.74</v>
      </c>
      <c r="AG93" s="82">
        <v>1833.14</v>
      </c>
      <c r="AH93" s="82">
        <v>8198.5499999999993</v>
      </c>
      <c r="AI93" s="82">
        <v>1845.46</v>
      </c>
      <c r="AJ93" s="82">
        <v>10101.68</v>
      </c>
      <c r="AK93" s="82">
        <v>1827.83</v>
      </c>
      <c r="AL93" s="82">
        <v>6455.01</v>
      </c>
      <c r="AM93" s="82">
        <v>1250.19</v>
      </c>
      <c r="AN93" s="82">
        <v>5999.31</v>
      </c>
      <c r="AO93" s="82">
        <v>1341.54</v>
      </c>
      <c r="AP93" s="82">
        <v>6142.88</v>
      </c>
      <c r="AQ93" s="83">
        <v>958.4</v>
      </c>
      <c r="AR93" s="82">
        <v>11759.83</v>
      </c>
      <c r="AS93" s="82">
        <v>2159.86</v>
      </c>
      <c r="AT93" s="83">
        <v>6555.8</v>
      </c>
      <c r="AU93" s="83">
        <v>1846</v>
      </c>
      <c r="AV93" s="82">
        <v>7793.61</v>
      </c>
      <c r="AW93" s="82">
        <v>1217.3800000000001</v>
      </c>
      <c r="AX93" s="82">
        <v>6662.67</v>
      </c>
      <c r="AY93" s="82">
        <v>929.68</v>
      </c>
      <c r="AZ93" s="83">
        <v>5945</v>
      </c>
      <c r="BA93" s="82">
        <v>2202.7800000000002</v>
      </c>
      <c r="BB93" s="82">
        <v>5708.82</v>
      </c>
      <c r="BC93" s="82">
        <v>1815.08</v>
      </c>
      <c r="BD93" s="82">
        <v>6278.85</v>
      </c>
      <c r="BE93" s="82">
        <v>1946.71</v>
      </c>
      <c r="BF93" s="83">
        <v>5251.4</v>
      </c>
      <c r="BG93" s="82">
        <v>2023.98</v>
      </c>
      <c r="BH93" s="82">
        <v>5396.58</v>
      </c>
      <c r="BI93" s="82">
        <v>1329.16</v>
      </c>
      <c r="BJ93" s="82">
        <v>3542.07</v>
      </c>
      <c r="BK93" s="82">
        <v>1701.21</v>
      </c>
      <c r="BL93" s="82">
        <v>7268.15</v>
      </c>
      <c r="BM93" s="82">
        <v>2026.46</v>
      </c>
      <c r="BN93" s="82">
        <v>6622.25</v>
      </c>
      <c r="BO93" s="82">
        <v>2309.58</v>
      </c>
      <c r="BP93" s="82">
        <v>5527.39</v>
      </c>
      <c r="BQ93" s="82">
        <v>1717.07</v>
      </c>
      <c r="BR93" s="82">
        <v>5349.28</v>
      </c>
      <c r="BS93" s="82">
        <v>1910.58</v>
      </c>
      <c r="BT93" s="82">
        <v>7378.58</v>
      </c>
      <c r="BU93" s="82">
        <v>1820.19</v>
      </c>
      <c r="BV93" s="82">
        <v>4752.5200000000004</v>
      </c>
    </row>
    <row r="94" spans="1:74">
      <c r="A94" s="78" t="s">
        <v>618</v>
      </c>
      <c r="B94" s="78" t="s">
        <v>619</v>
      </c>
      <c r="C94" s="81">
        <v>9414.76</v>
      </c>
      <c r="D94" s="81">
        <v>18800.12</v>
      </c>
      <c r="E94" s="81">
        <v>10268.49</v>
      </c>
      <c r="F94" s="81">
        <v>17117.349999999999</v>
      </c>
      <c r="G94" s="81">
        <v>9416.56</v>
      </c>
      <c r="H94" s="81">
        <v>20487.080000000002</v>
      </c>
      <c r="I94" s="84">
        <v>8288.4</v>
      </c>
      <c r="J94" s="81">
        <v>17988.060000000001</v>
      </c>
      <c r="K94" s="81">
        <v>9340.77</v>
      </c>
      <c r="L94" s="81">
        <v>20288.39</v>
      </c>
      <c r="M94" s="81">
        <v>11530.11</v>
      </c>
      <c r="N94" s="81">
        <v>15468.93</v>
      </c>
      <c r="O94" s="81">
        <v>9392.9699999999993</v>
      </c>
      <c r="P94" s="81">
        <v>16839.97</v>
      </c>
      <c r="Q94" s="81">
        <v>9452.3700000000008</v>
      </c>
      <c r="R94" s="81">
        <v>18430.77</v>
      </c>
      <c r="S94" s="81">
        <v>8999.43</v>
      </c>
      <c r="T94" s="81">
        <v>19731.68</v>
      </c>
      <c r="U94" s="81">
        <v>8517.94</v>
      </c>
      <c r="V94" s="81">
        <v>18100.41</v>
      </c>
      <c r="W94" s="81">
        <v>9807.23</v>
      </c>
      <c r="X94" s="84">
        <v>20782.3</v>
      </c>
      <c r="Y94" s="81">
        <v>11190.36</v>
      </c>
      <c r="Z94" s="81">
        <v>20520.93</v>
      </c>
      <c r="AA94" s="81">
        <v>16845.34</v>
      </c>
      <c r="AB94" s="81">
        <v>21056.59</v>
      </c>
      <c r="AC94" s="81">
        <v>15974.73</v>
      </c>
      <c r="AD94" s="81">
        <v>20524.86</v>
      </c>
      <c r="AE94" s="81">
        <v>12619.15</v>
      </c>
      <c r="AF94" s="81">
        <v>24588.16</v>
      </c>
      <c r="AG94" s="81">
        <v>18631.79</v>
      </c>
      <c r="AH94" s="81">
        <v>28012.35</v>
      </c>
      <c r="AI94" s="81">
        <v>23081.15</v>
      </c>
      <c r="AJ94" s="81">
        <v>19620.330000000002</v>
      </c>
      <c r="AK94" s="84">
        <v>14477.1</v>
      </c>
      <c r="AL94" s="81">
        <v>18906.79</v>
      </c>
      <c r="AM94" s="81">
        <v>15604.91</v>
      </c>
      <c r="AN94" s="81">
        <v>19938.21</v>
      </c>
      <c r="AO94" s="81">
        <v>13354.58</v>
      </c>
      <c r="AP94" s="81">
        <v>16606.79</v>
      </c>
      <c r="AQ94" s="81">
        <v>14668.78</v>
      </c>
      <c r="AR94" s="81">
        <v>24156.31</v>
      </c>
      <c r="AS94" s="81">
        <v>14384.13</v>
      </c>
      <c r="AT94" s="81">
        <v>21287.77</v>
      </c>
      <c r="AU94" s="81">
        <v>23153.49</v>
      </c>
      <c r="AV94" s="81">
        <v>14767.67</v>
      </c>
      <c r="AW94" s="81">
        <v>24458.07</v>
      </c>
      <c r="AX94" s="81">
        <v>15516.75</v>
      </c>
      <c r="AY94" s="81">
        <v>8657.61</v>
      </c>
      <c r="AZ94" s="81">
        <v>17444.66</v>
      </c>
      <c r="BA94" s="81">
        <v>8367.27</v>
      </c>
      <c r="BB94" s="81">
        <v>18876.07</v>
      </c>
      <c r="BC94" s="81">
        <v>12794.29</v>
      </c>
      <c r="BD94" s="81">
        <v>19230.62</v>
      </c>
      <c r="BE94" s="81">
        <v>12306.46</v>
      </c>
      <c r="BF94" s="81">
        <v>24842.94</v>
      </c>
      <c r="BG94" s="81">
        <v>15828.62</v>
      </c>
      <c r="BH94" s="81">
        <v>20348.29</v>
      </c>
      <c r="BI94" s="81">
        <v>9767.39</v>
      </c>
      <c r="BJ94" s="84">
        <v>17165.8</v>
      </c>
      <c r="BK94" s="81">
        <v>14121.35</v>
      </c>
      <c r="BL94" s="81">
        <v>23925.73</v>
      </c>
      <c r="BM94" s="81">
        <v>11319.83</v>
      </c>
      <c r="BN94" s="81">
        <v>19311.259999999998</v>
      </c>
      <c r="BO94" s="81">
        <v>14517.28</v>
      </c>
      <c r="BP94" s="81">
        <v>20594.12</v>
      </c>
      <c r="BQ94" s="81">
        <v>15064.68</v>
      </c>
      <c r="BR94" s="81">
        <v>19587.36</v>
      </c>
      <c r="BS94" s="81">
        <v>9668.57</v>
      </c>
      <c r="BT94" s="81">
        <v>18050.66</v>
      </c>
      <c r="BU94" s="81">
        <v>8573.07</v>
      </c>
      <c r="BV94" s="81">
        <v>15767.21</v>
      </c>
    </row>
    <row r="95" spans="1:74">
      <c r="A95" s="78" t="s">
        <v>621</v>
      </c>
      <c r="B95" s="78" t="s">
        <v>622</v>
      </c>
      <c r="C95" s="81">
        <v>280.20999999999998</v>
      </c>
      <c r="D95" s="81">
        <v>235.62</v>
      </c>
      <c r="E95" s="81">
        <v>1005.98</v>
      </c>
      <c r="F95" s="81">
        <v>201.59</v>
      </c>
      <c r="G95" s="81">
        <v>390.23</v>
      </c>
      <c r="H95" s="81">
        <v>183.36</v>
      </c>
      <c r="I95" s="84">
        <v>963.5</v>
      </c>
      <c r="J95" s="84">
        <v>465.8</v>
      </c>
      <c r="K95" s="81">
        <v>1141.24</v>
      </c>
      <c r="L95" s="81">
        <v>196.85</v>
      </c>
      <c r="M95" s="81">
        <v>560.86</v>
      </c>
      <c r="N95" s="81">
        <v>187.81</v>
      </c>
      <c r="O95" s="81">
        <v>1391.79</v>
      </c>
      <c r="P95" s="84">
        <v>287.60000000000002</v>
      </c>
      <c r="Q95" s="81">
        <v>933.31</v>
      </c>
      <c r="R95" s="81">
        <v>689.48</v>
      </c>
      <c r="S95" s="81">
        <v>723.52</v>
      </c>
      <c r="T95" s="81">
        <v>391.29</v>
      </c>
      <c r="U95" s="81">
        <v>802.11</v>
      </c>
      <c r="V95" s="81">
        <v>218.25</v>
      </c>
      <c r="W95" s="81">
        <v>1018.73</v>
      </c>
      <c r="X95" s="84">
        <v>357.5</v>
      </c>
      <c r="Y95" s="81">
        <v>368.84</v>
      </c>
      <c r="Z95" s="81">
        <v>208.04</v>
      </c>
      <c r="AA95" s="81">
        <v>1192.8800000000001</v>
      </c>
      <c r="AB95" s="81">
        <v>260.25</v>
      </c>
      <c r="AC95" s="81">
        <v>650.61</v>
      </c>
      <c r="AD95" s="81">
        <v>110.59</v>
      </c>
      <c r="AE95" s="84">
        <v>1390.9</v>
      </c>
      <c r="AF95" s="81">
        <v>197.45</v>
      </c>
      <c r="AG95" s="81">
        <v>581.79</v>
      </c>
      <c r="AH95" s="81">
        <v>47.31</v>
      </c>
      <c r="AI95" s="81">
        <v>1126.8399999999999</v>
      </c>
      <c r="AJ95" s="81">
        <v>117.94</v>
      </c>
      <c r="AK95" s="84">
        <v>780.3</v>
      </c>
      <c r="AL95" s="81">
        <v>292.77999999999997</v>
      </c>
      <c r="AM95" s="81">
        <v>1496.96</v>
      </c>
      <c r="AN95" s="81">
        <v>64.180000000000007</v>
      </c>
      <c r="AO95" s="81">
        <v>941.17</v>
      </c>
      <c r="AP95" s="81">
        <v>228.38</v>
      </c>
      <c r="AQ95" s="81">
        <v>723.15</v>
      </c>
      <c r="AR95" s="81">
        <v>164.98</v>
      </c>
      <c r="AS95" s="81">
        <v>1319.53</v>
      </c>
      <c r="AT95" s="81">
        <v>233.29</v>
      </c>
      <c r="AU95" s="84">
        <v>1080.5999999999999</v>
      </c>
      <c r="AV95" s="81">
        <v>30.98</v>
      </c>
      <c r="AW95" s="81">
        <v>859.19</v>
      </c>
      <c r="AX95" s="81">
        <v>135.78</v>
      </c>
      <c r="AY95" s="81">
        <v>731.63</v>
      </c>
      <c r="AZ95" s="81">
        <v>63.12</v>
      </c>
      <c r="BA95" s="81">
        <v>823.51</v>
      </c>
      <c r="BB95" s="81">
        <v>83.24</v>
      </c>
      <c r="BC95" s="81">
        <v>649.29</v>
      </c>
      <c r="BD95" s="81">
        <v>87.67</v>
      </c>
      <c r="BE95" s="84">
        <v>1162.4000000000001</v>
      </c>
      <c r="BF95" s="81">
        <v>115.44</v>
      </c>
      <c r="BG95" s="84">
        <v>1049</v>
      </c>
      <c r="BH95" s="81">
        <v>63.59</v>
      </c>
      <c r="BI95" s="81">
        <v>938.43</v>
      </c>
      <c r="BJ95" s="81">
        <v>187.73</v>
      </c>
      <c r="BK95" s="84">
        <v>1170.9000000000001</v>
      </c>
      <c r="BL95" s="81">
        <v>18.329999999999998</v>
      </c>
      <c r="BM95" s="81">
        <v>1159.3499999999999</v>
      </c>
      <c r="BN95" s="81">
        <v>254.03</v>
      </c>
      <c r="BO95" s="81">
        <v>1073.1600000000001</v>
      </c>
      <c r="BP95" s="81">
        <v>62.32</v>
      </c>
      <c r="BQ95" s="81">
        <v>701.85</v>
      </c>
      <c r="BR95" s="81">
        <v>88.65</v>
      </c>
      <c r="BS95" s="81">
        <v>516.33000000000004</v>
      </c>
      <c r="BT95" s="81">
        <v>111.45</v>
      </c>
      <c r="BU95" s="81">
        <v>681.75</v>
      </c>
      <c r="BV95" s="81">
        <v>125.01</v>
      </c>
    </row>
    <row r="96" spans="1:74">
      <c r="A96" s="78" t="s">
        <v>623</v>
      </c>
      <c r="B96" s="78" t="s">
        <v>624</v>
      </c>
      <c r="C96" s="82">
        <v>2486.15</v>
      </c>
      <c r="D96" s="82">
        <v>9.11</v>
      </c>
      <c r="E96" s="82">
        <v>1268.32</v>
      </c>
      <c r="F96" s="82">
        <v>21.27</v>
      </c>
      <c r="G96" s="82">
        <v>1658.72</v>
      </c>
      <c r="H96" s="83">
        <v>43.9</v>
      </c>
      <c r="I96" s="82">
        <v>1609.74</v>
      </c>
      <c r="J96" s="82">
        <v>52.85</v>
      </c>
      <c r="K96" s="82">
        <v>1846.87</v>
      </c>
      <c r="L96" s="82">
        <v>45.85</v>
      </c>
      <c r="M96" s="82">
        <v>1985.87</v>
      </c>
      <c r="N96" s="82">
        <v>48.66</v>
      </c>
      <c r="O96" s="82">
        <v>1981.65</v>
      </c>
      <c r="P96" s="82">
        <v>28.57</v>
      </c>
      <c r="Q96" s="83">
        <v>2261.4</v>
      </c>
      <c r="R96" s="82">
        <v>86.81</v>
      </c>
      <c r="S96" s="82">
        <v>2512.25</v>
      </c>
      <c r="T96" s="82">
        <v>38.130000000000003</v>
      </c>
      <c r="U96" s="82">
        <v>1189.23</v>
      </c>
      <c r="V96" s="82">
        <v>46.08</v>
      </c>
      <c r="W96" s="82">
        <v>4105.0600000000004</v>
      </c>
      <c r="X96" s="82">
        <v>66.63</v>
      </c>
      <c r="Y96" s="82">
        <v>4289.54</v>
      </c>
      <c r="Z96" s="83">
        <v>34.1</v>
      </c>
      <c r="AA96" s="82">
        <v>3332.87</v>
      </c>
      <c r="AB96" s="82">
        <v>22.12</v>
      </c>
      <c r="AC96" s="82">
        <v>3264.97</v>
      </c>
      <c r="AD96" s="82">
        <v>0.49</v>
      </c>
      <c r="AE96" s="82">
        <v>3843.12</v>
      </c>
      <c r="AF96" s="82">
        <v>12.54</v>
      </c>
      <c r="AG96" s="82">
        <v>3241.65</v>
      </c>
      <c r="AH96" s="82">
        <v>9.99</v>
      </c>
      <c r="AI96" s="82">
        <v>4287.9799999999996</v>
      </c>
      <c r="AJ96" s="82">
        <v>13.06</v>
      </c>
      <c r="AK96" s="82">
        <v>3327.42</v>
      </c>
      <c r="AL96" s="82">
        <v>1.05</v>
      </c>
      <c r="AM96" s="82">
        <v>5334.03</v>
      </c>
      <c r="AN96" s="82">
        <v>22.64</v>
      </c>
      <c r="AO96" s="82">
        <v>4400.97</v>
      </c>
      <c r="AP96" s="82">
        <v>5.29</v>
      </c>
      <c r="AQ96" s="82">
        <v>3863.32</v>
      </c>
      <c r="AR96" s="82">
        <v>71.88</v>
      </c>
      <c r="AS96" s="82">
        <v>5500.98</v>
      </c>
      <c r="AT96" s="82">
        <v>8.02</v>
      </c>
      <c r="AU96" s="82">
        <v>5070.88</v>
      </c>
      <c r="AV96" s="82">
        <v>39.590000000000003</v>
      </c>
      <c r="AW96" s="82">
        <v>4260.47</v>
      </c>
      <c r="AX96" s="82">
        <v>39.229999999999997</v>
      </c>
      <c r="AY96" s="83">
        <v>4905.3</v>
      </c>
      <c r="AZ96" s="82">
        <v>40.89</v>
      </c>
      <c r="BA96" s="82">
        <v>5352.53</v>
      </c>
      <c r="BB96" s="82">
        <v>2.92</v>
      </c>
      <c r="BC96" s="82">
        <v>5587.12</v>
      </c>
      <c r="BD96" s="83">
        <v>22</v>
      </c>
      <c r="BE96" s="82">
        <v>7170.78</v>
      </c>
      <c r="BF96" s="82">
        <v>11.91</v>
      </c>
      <c r="BG96" s="82">
        <v>8432.7199999999993</v>
      </c>
      <c r="BH96" s="82">
        <v>4.12</v>
      </c>
      <c r="BI96" s="83">
        <v>4127</v>
      </c>
      <c r="BJ96" s="82">
        <v>8.16</v>
      </c>
      <c r="BK96" s="82">
        <v>7212.76</v>
      </c>
      <c r="BL96" s="82">
        <v>226.57</v>
      </c>
      <c r="BM96" s="82">
        <v>6418.58</v>
      </c>
      <c r="BN96" s="82">
        <v>0.53</v>
      </c>
      <c r="BO96" s="83">
        <v>9308.2000000000007</v>
      </c>
      <c r="BP96" s="82">
        <v>21.45</v>
      </c>
      <c r="BQ96" s="82">
        <v>8814.7199999999993</v>
      </c>
      <c r="BR96" s="82">
        <v>164.06</v>
      </c>
      <c r="BS96" s="82">
        <v>11230.09</v>
      </c>
      <c r="BT96" s="82">
        <v>8.35</v>
      </c>
      <c r="BU96" s="83">
        <v>10102</v>
      </c>
      <c r="BV96" s="82">
        <v>186.94</v>
      </c>
    </row>
    <row r="97" spans="1:74">
      <c r="A97" s="78" t="s">
        <v>625</v>
      </c>
      <c r="B97" s="78" t="s">
        <v>620</v>
      </c>
      <c r="C97" s="81">
        <v>6132.91</v>
      </c>
      <c r="D97" s="81">
        <v>4120.5200000000004</v>
      </c>
      <c r="E97" s="81">
        <v>7512.04</v>
      </c>
      <c r="F97" s="81">
        <v>3681.71</v>
      </c>
      <c r="G97" s="81">
        <v>9603.85</v>
      </c>
      <c r="H97" s="84">
        <v>2921.8</v>
      </c>
      <c r="I97" s="81">
        <v>7667.78</v>
      </c>
      <c r="J97" s="81">
        <v>3713.65</v>
      </c>
      <c r="K97" s="84">
        <v>10545.9</v>
      </c>
      <c r="L97" s="81">
        <v>4210.1899999999996</v>
      </c>
      <c r="M97" s="81">
        <v>12005.49</v>
      </c>
      <c r="N97" s="81">
        <v>5168.3599999999997</v>
      </c>
      <c r="O97" s="81">
        <v>10931.28</v>
      </c>
      <c r="P97" s="81">
        <v>4072.98</v>
      </c>
      <c r="Q97" s="81">
        <v>10399.34</v>
      </c>
      <c r="R97" s="81">
        <v>4368.07</v>
      </c>
      <c r="S97" s="81">
        <v>13472.91</v>
      </c>
      <c r="T97" s="81">
        <v>4798.57</v>
      </c>
      <c r="U97" s="81">
        <v>11305.35</v>
      </c>
      <c r="V97" s="81">
        <v>4252.55</v>
      </c>
      <c r="W97" s="81">
        <v>11365.55</v>
      </c>
      <c r="X97" s="81">
        <v>4018.33</v>
      </c>
      <c r="Y97" s="84">
        <v>12494.4</v>
      </c>
      <c r="Z97" s="84">
        <v>4529.8</v>
      </c>
      <c r="AA97" s="81">
        <v>15586.03</v>
      </c>
      <c r="AB97" s="84">
        <v>4625.3999999999996</v>
      </c>
      <c r="AC97" s="81">
        <v>13001.06</v>
      </c>
      <c r="AD97" s="81">
        <v>5247.49</v>
      </c>
      <c r="AE97" s="81">
        <v>11058.03</v>
      </c>
      <c r="AF97" s="81">
        <v>5113.82</v>
      </c>
      <c r="AG97" s="81">
        <v>16950.68</v>
      </c>
      <c r="AH97" s="81">
        <v>3146.47</v>
      </c>
      <c r="AI97" s="81">
        <v>13729.57</v>
      </c>
      <c r="AJ97" s="81">
        <v>5474.63</v>
      </c>
      <c r="AK97" s="81">
        <v>13898.82</v>
      </c>
      <c r="AL97" s="81">
        <v>2717.25</v>
      </c>
      <c r="AM97" s="81">
        <v>16374.61</v>
      </c>
      <c r="AN97" s="81">
        <v>6561.82</v>
      </c>
      <c r="AO97" s="81">
        <v>10327.24</v>
      </c>
      <c r="AP97" s="81">
        <v>5625.25</v>
      </c>
      <c r="AQ97" s="84">
        <v>15811.3</v>
      </c>
      <c r="AR97" s="81">
        <v>2566.44</v>
      </c>
      <c r="AS97" s="81">
        <v>15996.07</v>
      </c>
      <c r="AT97" s="81">
        <v>4349.34</v>
      </c>
      <c r="AU97" s="81">
        <v>12840.76</v>
      </c>
      <c r="AV97" s="81">
        <v>3157.62</v>
      </c>
      <c r="AW97" s="81">
        <v>15259.87</v>
      </c>
      <c r="AX97" s="81">
        <v>3476.96</v>
      </c>
      <c r="AY97" s="81">
        <v>9596.4500000000007</v>
      </c>
      <c r="AZ97" s="81">
        <v>13997.93</v>
      </c>
      <c r="BA97" s="81">
        <v>8684.25</v>
      </c>
      <c r="BB97" s="81">
        <v>11598.21</v>
      </c>
      <c r="BC97" s="81">
        <v>10758.85</v>
      </c>
      <c r="BD97" s="81">
        <v>10372.69</v>
      </c>
      <c r="BE97" s="81">
        <v>9020.56</v>
      </c>
      <c r="BF97" s="84">
        <v>18371.2</v>
      </c>
      <c r="BG97" s="81">
        <v>12968.32</v>
      </c>
      <c r="BH97" s="81">
        <v>13609.99</v>
      </c>
      <c r="BI97" s="81">
        <v>10961.13</v>
      </c>
      <c r="BJ97" s="81">
        <v>7458.97</v>
      </c>
      <c r="BK97" s="81">
        <v>10939.18</v>
      </c>
      <c r="BL97" s="81">
        <v>17938.25</v>
      </c>
      <c r="BM97" s="81">
        <v>12429.53</v>
      </c>
      <c r="BN97" s="81">
        <v>19766.88</v>
      </c>
      <c r="BO97" s="81">
        <v>13091.93</v>
      </c>
      <c r="BP97" s="81">
        <v>14939.28</v>
      </c>
      <c r="BQ97" s="81">
        <v>11929.27</v>
      </c>
      <c r="BR97" s="81">
        <v>14986.16</v>
      </c>
      <c r="BS97" s="81">
        <v>10844.25</v>
      </c>
      <c r="BT97" s="81">
        <v>15528.41</v>
      </c>
      <c r="BU97" s="84">
        <v>10822.7</v>
      </c>
      <c r="BV97" s="81">
        <v>8060.93</v>
      </c>
    </row>
    <row r="98" spans="1:74">
      <c r="A98" s="78" t="s">
        <v>626</v>
      </c>
      <c r="B98" s="78" t="s">
        <v>615</v>
      </c>
      <c r="C98" s="82">
        <v>10877.65</v>
      </c>
      <c r="D98" s="82">
        <v>967.66</v>
      </c>
      <c r="E98" s="83">
        <v>9436.1</v>
      </c>
      <c r="F98" s="82">
        <v>941.69</v>
      </c>
      <c r="G98" s="83">
        <v>11395.5</v>
      </c>
      <c r="H98" s="82">
        <v>1522.94</v>
      </c>
      <c r="I98" s="82">
        <v>12922.25</v>
      </c>
      <c r="J98" s="82">
        <v>1060.1400000000001</v>
      </c>
      <c r="K98" s="82">
        <v>9988.64</v>
      </c>
      <c r="L98" s="82">
        <v>753.94</v>
      </c>
      <c r="M98" s="83">
        <v>11765.4</v>
      </c>
      <c r="N98" s="82">
        <v>888.44</v>
      </c>
      <c r="O98" s="82">
        <v>8842.86</v>
      </c>
      <c r="P98" s="82">
        <v>1097.9100000000001</v>
      </c>
      <c r="Q98" s="82">
        <v>8529.0499999999993</v>
      </c>
      <c r="R98" s="82">
        <v>898.89</v>
      </c>
      <c r="S98" s="82">
        <v>9450.57</v>
      </c>
      <c r="T98" s="82">
        <v>1003.05</v>
      </c>
      <c r="U98" s="82">
        <v>9644.9699999999993</v>
      </c>
      <c r="V98" s="82">
        <v>1054.52</v>
      </c>
      <c r="W98" s="82">
        <v>9904.83</v>
      </c>
      <c r="X98" s="82">
        <v>850.45</v>
      </c>
      <c r="Y98" s="83">
        <v>9633.6</v>
      </c>
      <c r="Z98" s="82">
        <v>974.92</v>
      </c>
      <c r="AA98" s="82">
        <v>8808.83</v>
      </c>
      <c r="AB98" s="82">
        <v>783.58</v>
      </c>
      <c r="AC98" s="82">
        <v>7629.07</v>
      </c>
      <c r="AD98" s="82">
        <v>577.04</v>
      </c>
      <c r="AE98" s="82">
        <v>8580.26</v>
      </c>
      <c r="AF98" s="82">
        <v>781.21</v>
      </c>
      <c r="AG98" s="82">
        <v>9873.84</v>
      </c>
      <c r="AH98" s="82">
        <v>1214.6300000000001</v>
      </c>
      <c r="AI98" s="82">
        <v>8886.11</v>
      </c>
      <c r="AJ98" s="82">
        <v>496.67</v>
      </c>
      <c r="AK98" s="82">
        <v>9060.77</v>
      </c>
      <c r="AL98" s="82">
        <v>569.01</v>
      </c>
      <c r="AM98" s="82">
        <v>8415.81</v>
      </c>
      <c r="AN98" s="82">
        <v>1121.6300000000001</v>
      </c>
      <c r="AO98" s="82">
        <v>7440.86</v>
      </c>
      <c r="AP98" s="82">
        <v>863.15</v>
      </c>
      <c r="AQ98" s="82">
        <v>7216.51</v>
      </c>
      <c r="AR98" s="82">
        <v>756.25</v>
      </c>
      <c r="AS98" s="82">
        <v>5830.76</v>
      </c>
      <c r="AT98" s="82">
        <v>401.16</v>
      </c>
      <c r="AU98" s="82">
        <v>5169.9399999999996</v>
      </c>
      <c r="AV98" s="82">
        <v>801.78</v>
      </c>
      <c r="AW98" s="82">
        <v>6770.34</v>
      </c>
      <c r="AX98" s="82">
        <v>659.17</v>
      </c>
      <c r="AY98" s="82">
        <v>5880.22</v>
      </c>
      <c r="AZ98" s="82">
        <v>980.23</v>
      </c>
      <c r="BA98" s="82">
        <v>5387.11</v>
      </c>
      <c r="BB98" s="82">
        <v>653.02</v>
      </c>
      <c r="BC98" s="82">
        <v>6614.41</v>
      </c>
      <c r="BD98" s="82">
        <v>3885.14</v>
      </c>
      <c r="BE98" s="82">
        <v>6903.01</v>
      </c>
      <c r="BF98" s="82">
        <v>1250.42</v>
      </c>
      <c r="BG98" s="82">
        <v>8527.0400000000009</v>
      </c>
      <c r="BH98" s="82">
        <v>2226.14</v>
      </c>
      <c r="BI98" s="82">
        <v>6756.02</v>
      </c>
      <c r="BJ98" s="82">
        <v>821.71</v>
      </c>
      <c r="BK98" s="82">
        <v>5874.17</v>
      </c>
      <c r="BL98" s="82">
        <v>939.42</v>
      </c>
      <c r="BM98" s="82">
        <v>4729.21</v>
      </c>
      <c r="BN98" s="82">
        <v>2998.67</v>
      </c>
      <c r="BO98" s="82">
        <v>5501.61</v>
      </c>
      <c r="BP98" s="82">
        <v>1056.83</v>
      </c>
      <c r="BQ98" s="82">
        <v>5963.72</v>
      </c>
      <c r="BR98" s="82">
        <v>1665.29</v>
      </c>
      <c r="BS98" s="82">
        <v>4450.4799999999996</v>
      </c>
      <c r="BT98" s="82">
        <v>1133.01</v>
      </c>
      <c r="BU98" s="82">
        <v>6285.33</v>
      </c>
      <c r="BV98" s="82">
        <v>2927.08</v>
      </c>
    </row>
    <row r="99" spans="1:74">
      <c r="A99" s="78" t="s">
        <v>627</v>
      </c>
      <c r="B99" s="78" t="s">
        <v>628</v>
      </c>
      <c r="C99" s="84">
        <v>9884.9</v>
      </c>
      <c r="D99" s="81">
        <v>9006.3799999999992</v>
      </c>
      <c r="E99" s="84">
        <v>12657.4</v>
      </c>
      <c r="F99" s="81">
        <v>5762.92</v>
      </c>
      <c r="G99" s="81">
        <v>12504.85</v>
      </c>
      <c r="H99" s="81">
        <v>5846.71</v>
      </c>
      <c r="I99" s="81">
        <v>12708.98</v>
      </c>
      <c r="J99" s="81">
        <v>6891.71</v>
      </c>
      <c r="K99" s="81">
        <v>13699.74</v>
      </c>
      <c r="L99" s="81">
        <v>8162.48</v>
      </c>
      <c r="M99" s="81">
        <v>14892.25</v>
      </c>
      <c r="N99" s="81">
        <v>7844.97</v>
      </c>
      <c r="O99" s="81">
        <v>14499.18</v>
      </c>
      <c r="P99" s="81">
        <v>5775.44</v>
      </c>
      <c r="Q99" s="81">
        <v>13792.42</v>
      </c>
      <c r="R99" s="81">
        <v>5157.3500000000004</v>
      </c>
      <c r="S99" s="81">
        <v>14413.61</v>
      </c>
      <c r="T99" s="81">
        <v>4915.21</v>
      </c>
      <c r="U99" s="81">
        <v>11288.59</v>
      </c>
      <c r="V99" s="84">
        <v>2788.4</v>
      </c>
      <c r="W99" s="84">
        <v>11337.5</v>
      </c>
      <c r="X99" s="81">
        <v>2684.54</v>
      </c>
      <c r="Y99" s="81">
        <v>9626.24</v>
      </c>
      <c r="Z99" s="81">
        <v>3747.04</v>
      </c>
      <c r="AA99" s="84">
        <v>9287.5</v>
      </c>
      <c r="AB99" s="81">
        <v>2369.56</v>
      </c>
      <c r="AC99" s="81">
        <v>10066.19</v>
      </c>
      <c r="AD99" s="81">
        <v>2646.07</v>
      </c>
      <c r="AE99" s="81">
        <v>11581.34</v>
      </c>
      <c r="AF99" s="81">
        <v>2043.11</v>
      </c>
      <c r="AG99" s="81">
        <v>10598.03</v>
      </c>
      <c r="AH99" s="81">
        <v>5761.44</v>
      </c>
      <c r="AI99" s="81">
        <v>9951.5499999999993</v>
      </c>
      <c r="AJ99" s="81">
        <v>2121.77</v>
      </c>
      <c r="AK99" s="81">
        <v>9363.7099999999991</v>
      </c>
      <c r="AL99" s="81">
        <v>4596.47</v>
      </c>
      <c r="AM99" s="81">
        <v>9815.14</v>
      </c>
      <c r="AN99" s="81">
        <v>2302.08</v>
      </c>
      <c r="AO99" s="81">
        <v>9687.16</v>
      </c>
      <c r="AP99" s="81">
        <v>3212.43</v>
      </c>
      <c r="AQ99" s="81">
        <v>9172.69</v>
      </c>
      <c r="AR99" s="81">
        <v>5198.71</v>
      </c>
      <c r="AS99" s="81">
        <v>3486.55</v>
      </c>
      <c r="AT99" s="81">
        <v>5890.35</v>
      </c>
      <c r="AU99" s="81">
        <v>6403.07</v>
      </c>
      <c r="AV99" s="81">
        <v>4705.41</v>
      </c>
      <c r="AW99" s="84">
        <v>9530</v>
      </c>
      <c r="AX99" s="81">
        <v>6200.76</v>
      </c>
      <c r="AY99" s="81">
        <v>2906.65</v>
      </c>
      <c r="AZ99" s="81">
        <v>1718.98</v>
      </c>
      <c r="BA99" s="81">
        <v>4483.1099999999997</v>
      </c>
      <c r="BB99" s="81">
        <v>3528.73</v>
      </c>
      <c r="BC99" s="81">
        <v>3482.14</v>
      </c>
      <c r="BD99" s="84">
        <v>1993.6</v>
      </c>
      <c r="BE99" s="81">
        <v>2614.14</v>
      </c>
      <c r="BF99" s="81">
        <v>2858.57</v>
      </c>
      <c r="BG99" s="81">
        <v>5530.65</v>
      </c>
      <c r="BH99" s="81">
        <v>3447.94</v>
      </c>
      <c r="BI99" s="81">
        <v>1814.89</v>
      </c>
      <c r="BJ99" s="81">
        <v>2854.79</v>
      </c>
      <c r="BK99" s="81">
        <v>9408.35</v>
      </c>
      <c r="BL99" s="81">
        <v>3783.78</v>
      </c>
      <c r="BM99" s="81">
        <v>6018.71</v>
      </c>
      <c r="BN99" s="81">
        <v>2522.4299999999998</v>
      </c>
      <c r="BO99" s="81">
        <v>7261.07</v>
      </c>
      <c r="BP99" s="84">
        <v>2648.1</v>
      </c>
      <c r="BQ99" s="81">
        <v>10791.63</v>
      </c>
      <c r="BR99" s="81">
        <v>3237.69</v>
      </c>
      <c r="BS99" s="84">
        <v>5970</v>
      </c>
      <c r="BT99" s="81">
        <v>3055.34</v>
      </c>
      <c r="BU99" s="81">
        <v>9078.18</v>
      </c>
      <c r="BV99" s="81">
        <v>1997.36</v>
      </c>
    </row>
    <row r="100" spans="1:74">
      <c r="A100" s="78" t="s">
        <v>629</v>
      </c>
      <c r="B100" s="78" t="s">
        <v>630</v>
      </c>
      <c r="C100" s="83">
        <v>42724.3</v>
      </c>
      <c r="D100" s="82">
        <v>50657.83</v>
      </c>
      <c r="E100" s="82">
        <v>45667.97</v>
      </c>
      <c r="F100" s="82">
        <v>34596.21</v>
      </c>
      <c r="G100" s="82">
        <v>45342.91</v>
      </c>
      <c r="H100" s="82">
        <v>47779.19</v>
      </c>
      <c r="I100" s="82">
        <v>57438.66</v>
      </c>
      <c r="J100" s="82">
        <v>69668.490000000005</v>
      </c>
      <c r="K100" s="83">
        <v>39651.1</v>
      </c>
      <c r="L100" s="82">
        <v>83769.47</v>
      </c>
      <c r="M100" s="82">
        <v>45907.63</v>
      </c>
      <c r="N100" s="82">
        <v>69070.02</v>
      </c>
      <c r="O100" s="82">
        <v>40897.730000000003</v>
      </c>
      <c r="P100" s="82">
        <v>57035.08</v>
      </c>
      <c r="Q100" s="82">
        <v>60852.85</v>
      </c>
      <c r="R100" s="82">
        <v>87518.77</v>
      </c>
      <c r="S100" s="82">
        <v>55731.76</v>
      </c>
      <c r="T100" s="82">
        <v>98098.14</v>
      </c>
      <c r="U100" s="82">
        <v>58842.02</v>
      </c>
      <c r="V100" s="82">
        <v>82100.759999999995</v>
      </c>
      <c r="W100" s="83">
        <v>70783.7</v>
      </c>
      <c r="X100" s="83">
        <v>82436.7</v>
      </c>
      <c r="Y100" s="82">
        <v>65635.149999999994</v>
      </c>
      <c r="Z100" s="83">
        <v>85752.8</v>
      </c>
      <c r="AA100" s="82">
        <v>41274.76</v>
      </c>
      <c r="AB100" s="82">
        <v>46110.06</v>
      </c>
      <c r="AC100" s="82">
        <v>42819.03</v>
      </c>
      <c r="AD100" s="82">
        <v>53722.01</v>
      </c>
      <c r="AE100" s="82">
        <v>56832.29</v>
      </c>
      <c r="AF100" s="82">
        <v>70240.53</v>
      </c>
      <c r="AG100" s="82">
        <v>66788.929999999993</v>
      </c>
      <c r="AH100" s="82">
        <v>75002.12</v>
      </c>
      <c r="AI100" s="83">
        <v>55113.7</v>
      </c>
      <c r="AJ100" s="82">
        <v>66211.94</v>
      </c>
      <c r="AK100" s="82">
        <v>44653.65</v>
      </c>
      <c r="AL100" s="83">
        <v>61968.4</v>
      </c>
      <c r="AM100" s="82">
        <v>53634.17</v>
      </c>
      <c r="AN100" s="83">
        <v>64655.8</v>
      </c>
      <c r="AO100" s="82">
        <v>54436.83</v>
      </c>
      <c r="AP100" s="82">
        <v>64474.68</v>
      </c>
      <c r="AQ100" s="82">
        <v>63192.34</v>
      </c>
      <c r="AR100" s="82">
        <v>77256.03</v>
      </c>
      <c r="AS100" s="83">
        <v>93148.9</v>
      </c>
      <c r="AT100" s="83">
        <v>49443.4</v>
      </c>
      <c r="AU100" s="82">
        <v>71258.179999999993</v>
      </c>
      <c r="AV100" s="82">
        <v>82849.78</v>
      </c>
      <c r="AW100" s="82">
        <v>50906.05</v>
      </c>
      <c r="AX100" s="82">
        <v>84944.15</v>
      </c>
      <c r="AY100" s="82">
        <v>50149.34</v>
      </c>
      <c r="AZ100" s="82">
        <v>27411.16</v>
      </c>
      <c r="BA100" s="82">
        <v>54495.56</v>
      </c>
      <c r="BB100" s="82">
        <v>34130.44</v>
      </c>
      <c r="BC100" s="82">
        <v>64913.87</v>
      </c>
      <c r="BD100" s="83">
        <v>73347.3</v>
      </c>
      <c r="BE100" s="83">
        <v>73878.5</v>
      </c>
      <c r="BF100" s="82">
        <v>76538.080000000002</v>
      </c>
      <c r="BG100" s="82">
        <v>62918.03</v>
      </c>
      <c r="BH100" s="82">
        <v>86972.78</v>
      </c>
      <c r="BI100" s="82">
        <v>52558.11</v>
      </c>
      <c r="BJ100" s="82">
        <v>52535.62</v>
      </c>
      <c r="BK100" s="82">
        <v>73617.289999999994</v>
      </c>
      <c r="BL100" s="83">
        <v>49287</v>
      </c>
      <c r="BM100" s="82">
        <v>67906.070000000007</v>
      </c>
      <c r="BN100" s="83">
        <v>55620.4</v>
      </c>
      <c r="BO100" s="82">
        <v>55683.69</v>
      </c>
      <c r="BP100" s="82">
        <v>61633.11</v>
      </c>
      <c r="BQ100" s="82">
        <v>66880.75</v>
      </c>
      <c r="BR100" s="82">
        <v>57488.82</v>
      </c>
      <c r="BS100" s="82">
        <v>49114.22</v>
      </c>
      <c r="BT100" s="82">
        <v>45918.32</v>
      </c>
      <c r="BU100" s="82">
        <v>65749.649999999994</v>
      </c>
      <c r="BV100" s="82">
        <v>61479.76</v>
      </c>
    </row>
    <row r="101" spans="1:74">
      <c r="A101" s="78" t="s">
        <v>631</v>
      </c>
      <c r="B101" s="78" t="s">
        <v>632</v>
      </c>
      <c r="C101" s="81">
        <v>1522.63</v>
      </c>
      <c r="D101" s="81">
        <v>2894.79</v>
      </c>
      <c r="E101" s="81">
        <v>5283.52</v>
      </c>
      <c r="F101" s="81">
        <v>4780.71</v>
      </c>
      <c r="G101" s="84">
        <v>5027.8</v>
      </c>
      <c r="H101" s="81">
        <v>945.89</v>
      </c>
      <c r="I101" s="81">
        <v>160.88999999999999</v>
      </c>
      <c r="J101" s="81">
        <v>554.59</v>
      </c>
      <c r="K101" s="84">
        <v>68.900000000000006</v>
      </c>
      <c r="L101" s="81">
        <v>692.06</v>
      </c>
      <c r="M101" s="81">
        <v>153.34</v>
      </c>
      <c r="N101" s="81">
        <v>775.17</v>
      </c>
      <c r="O101" s="81">
        <v>75.42</v>
      </c>
      <c r="P101" s="84">
        <v>155.6</v>
      </c>
      <c r="Q101" s="81">
        <v>127.51</v>
      </c>
      <c r="R101" s="81">
        <v>4479.29</v>
      </c>
      <c r="S101" s="81">
        <v>428.54</v>
      </c>
      <c r="T101" s="81">
        <v>1396.94</v>
      </c>
      <c r="U101" s="84">
        <v>409.4</v>
      </c>
      <c r="V101" s="81">
        <v>1840.82</v>
      </c>
      <c r="W101" s="84">
        <v>272.5</v>
      </c>
      <c r="X101" s="81">
        <v>2062.3200000000002</v>
      </c>
      <c r="Y101" s="81">
        <v>647.57000000000005</v>
      </c>
      <c r="Z101" s="81">
        <v>2528.65</v>
      </c>
      <c r="AA101" s="81">
        <v>463.68</v>
      </c>
      <c r="AB101" s="81">
        <v>503.12</v>
      </c>
      <c r="AC101" s="84">
        <v>61.8</v>
      </c>
      <c r="AD101" s="81">
        <v>236.58</v>
      </c>
      <c r="AE101" s="81">
        <v>184.97</v>
      </c>
      <c r="AF101" s="81">
        <v>344.59</v>
      </c>
      <c r="AG101" s="81">
        <v>1062.47</v>
      </c>
      <c r="AH101" s="81">
        <v>834.71</v>
      </c>
      <c r="AI101" s="81">
        <v>807.64</v>
      </c>
      <c r="AJ101" s="81">
        <v>442.91</v>
      </c>
      <c r="AK101" s="84">
        <v>1394.8</v>
      </c>
      <c r="AL101" s="81">
        <v>290.57</v>
      </c>
      <c r="AM101" s="81">
        <v>1502.98</v>
      </c>
      <c r="AN101" s="81">
        <v>590.35</v>
      </c>
      <c r="AO101" s="81">
        <v>1182.04</v>
      </c>
      <c r="AP101" s="81">
        <v>322.69</v>
      </c>
      <c r="AQ101" s="81">
        <v>1028.74</v>
      </c>
      <c r="AR101" s="81">
        <v>537.08000000000004</v>
      </c>
      <c r="AS101" s="81">
        <v>13.87</v>
      </c>
      <c r="AT101" s="81">
        <v>131.97</v>
      </c>
      <c r="AU101" s="81">
        <v>332.11</v>
      </c>
      <c r="AV101" s="81">
        <v>189.32</v>
      </c>
      <c r="AW101" s="81">
        <v>2540.31</v>
      </c>
      <c r="AX101" s="81">
        <v>584.73</v>
      </c>
      <c r="AY101" s="81">
        <v>842.18</v>
      </c>
      <c r="AZ101" s="81">
        <v>251.14</v>
      </c>
      <c r="BA101" s="81">
        <v>1527.98</v>
      </c>
      <c r="BB101" s="81">
        <v>311.11</v>
      </c>
      <c r="BC101" s="81">
        <v>705.63</v>
      </c>
      <c r="BD101" s="81">
        <v>207.96</v>
      </c>
      <c r="BE101" s="81">
        <v>1054.3399999999999</v>
      </c>
      <c r="BF101" s="84">
        <v>305.10000000000002</v>
      </c>
      <c r="BG101" s="81">
        <v>1453.33</v>
      </c>
      <c r="BH101" s="81">
        <v>25.21</v>
      </c>
      <c r="BI101" s="81">
        <v>1616.69</v>
      </c>
      <c r="BJ101" s="81">
        <v>1368.37</v>
      </c>
      <c r="BK101" s="81">
        <v>1359.78</v>
      </c>
      <c r="BL101" s="81">
        <v>534.08000000000004</v>
      </c>
      <c r="BM101" s="81">
        <v>608.27</v>
      </c>
      <c r="BN101" s="81">
        <v>298.02999999999997</v>
      </c>
      <c r="BO101" s="81">
        <v>1284.3699999999999</v>
      </c>
      <c r="BP101" s="81">
        <v>1273.4100000000001</v>
      </c>
      <c r="BQ101" s="81">
        <v>1542.48</v>
      </c>
      <c r="BR101" s="81">
        <v>27.68</v>
      </c>
      <c r="BS101" s="81">
        <v>567.61</v>
      </c>
      <c r="BT101" s="81">
        <v>208.97</v>
      </c>
      <c r="BU101" s="81">
        <v>961.19</v>
      </c>
      <c r="BV101" s="84">
        <v>252.4</v>
      </c>
    </row>
    <row r="102" spans="1:74">
      <c r="A102" s="78" t="s">
        <v>634</v>
      </c>
      <c r="B102" s="78" t="s">
        <v>635</v>
      </c>
      <c r="C102" s="81">
        <v>6679.05</v>
      </c>
      <c r="D102" s="81">
        <v>66438.27</v>
      </c>
      <c r="E102" s="81">
        <v>2975.93</v>
      </c>
      <c r="F102" s="81">
        <v>65443.94</v>
      </c>
      <c r="G102" s="81">
        <v>9880.34</v>
      </c>
      <c r="H102" s="81">
        <v>86939.28</v>
      </c>
      <c r="I102" s="81">
        <v>9849.24</v>
      </c>
      <c r="J102" s="84">
        <v>71503.600000000006</v>
      </c>
      <c r="K102" s="81">
        <v>7534.58</v>
      </c>
      <c r="L102" s="81">
        <v>51090.58</v>
      </c>
      <c r="M102" s="81">
        <v>7167.53</v>
      </c>
      <c r="N102" s="81">
        <v>69075.63</v>
      </c>
      <c r="O102" s="81">
        <v>2705.57</v>
      </c>
      <c r="P102" s="81">
        <v>44681.52</v>
      </c>
      <c r="Q102" s="81">
        <v>4720.41</v>
      </c>
      <c r="R102" s="84">
        <v>86234.1</v>
      </c>
      <c r="S102" s="81">
        <v>5951.44</v>
      </c>
      <c r="T102" s="81">
        <v>68353.47</v>
      </c>
      <c r="U102" s="81">
        <v>6638.57</v>
      </c>
      <c r="V102" s="81">
        <v>81556.86</v>
      </c>
      <c r="W102" s="81">
        <v>7433.58</v>
      </c>
      <c r="X102" s="81">
        <v>60850.34</v>
      </c>
      <c r="Y102" s="84">
        <v>11203.7</v>
      </c>
      <c r="Z102" s="81">
        <v>83099.87</v>
      </c>
      <c r="AA102" s="81">
        <v>9890.7900000000009</v>
      </c>
      <c r="AB102" s="81">
        <v>31458.25</v>
      </c>
      <c r="AC102" s="81">
        <v>7283.47</v>
      </c>
      <c r="AD102" s="81">
        <v>26544.65</v>
      </c>
      <c r="AE102" s="81">
        <v>7839.86</v>
      </c>
      <c r="AF102" s="81">
        <v>19908.87</v>
      </c>
      <c r="AG102" s="81">
        <v>9932.82</v>
      </c>
      <c r="AH102" s="81">
        <v>28619.42</v>
      </c>
      <c r="AI102" s="81">
        <v>12406.78</v>
      </c>
      <c r="AJ102" s="81">
        <v>29208.58</v>
      </c>
      <c r="AK102" s="81">
        <v>10560.91</v>
      </c>
      <c r="AL102" s="81">
        <v>27561.279999999999</v>
      </c>
      <c r="AM102" s="81">
        <v>7962.28</v>
      </c>
      <c r="AN102" s="81">
        <v>34530.06</v>
      </c>
      <c r="AO102" s="81">
        <v>11755.33</v>
      </c>
      <c r="AP102" s="81">
        <v>35408.620000000003</v>
      </c>
      <c r="AQ102" s="81">
        <v>11844.86</v>
      </c>
      <c r="AR102" s="84">
        <v>34421.5</v>
      </c>
      <c r="AS102" s="81">
        <v>8140.43</v>
      </c>
      <c r="AT102" s="81">
        <v>31897.919999999998</v>
      </c>
      <c r="AU102" s="81">
        <v>8796.7099999999991</v>
      </c>
      <c r="AV102" s="81">
        <v>27150.99</v>
      </c>
      <c r="AW102" s="81">
        <v>11642.19</v>
      </c>
      <c r="AX102" s="81">
        <v>31705.26</v>
      </c>
      <c r="AY102" s="81">
        <v>5890.99</v>
      </c>
      <c r="AZ102" s="81">
        <v>37583.440000000002</v>
      </c>
      <c r="BA102" s="81">
        <v>3116.51</v>
      </c>
      <c r="BB102" s="81">
        <v>39974.85</v>
      </c>
      <c r="BC102" s="81">
        <v>3540.12</v>
      </c>
      <c r="BD102" s="81">
        <v>30545.16</v>
      </c>
      <c r="BE102" s="81">
        <v>3719.48</v>
      </c>
      <c r="BF102" s="81">
        <v>34199.019999999997</v>
      </c>
      <c r="BG102" s="84">
        <v>6539.4</v>
      </c>
      <c r="BH102" s="81">
        <v>33189.620000000003</v>
      </c>
      <c r="BI102" s="84">
        <v>3535</v>
      </c>
      <c r="BJ102" s="84">
        <v>30915.200000000001</v>
      </c>
      <c r="BK102" s="84">
        <v>4312.8999999999996</v>
      </c>
      <c r="BL102" s="81">
        <v>43196.45</v>
      </c>
      <c r="BM102" s="81">
        <v>2772.91</v>
      </c>
      <c r="BN102" s="81">
        <v>27399.33</v>
      </c>
      <c r="BO102" s="81">
        <v>6523.92</v>
      </c>
      <c r="BP102" s="81">
        <v>34165.21</v>
      </c>
      <c r="BQ102" s="81">
        <v>7592.87</v>
      </c>
      <c r="BR102" s="84">
        <v>30400.7</v>
      </c>
      <c r="BS102" s="84">
        <v>6874.6</v>
      </c>
      <c r="BT102" s="81">
        <v>39585.339999999997</v>
      </c>
      <c r="BU102" s="81">
        <v>6541.43</v>
      </c>
      <c r="BV102" s="81">
        <v>31485.75</v>
      </c>
    </row>
    <row r="103" spans="1:74">
      <c r="A103" s="78" t="s">
        <v>636</v>
      </c>
      <c r="B103" s="78" t="s">
        <v>637</v>
      </c>
      <c r="C103" s="82">
        <v>1164.48</v>
      </c>
      <c r="D103" s="82">
        <v>11594.54</v>
      </c>
      <c r="E103" s="82">
        <v>120.73</v>
      </c>
      <c r="F103" s="82">
        <v>10785.04</v>
      </c>
      <c r="G103" s="82">
        <v>279.33</v>
      </c>
      <c r="H103" s="82">
        <v>10416.16</v>
      </c>
      <c r="I103" s="82">
        <v>743.18</v>
      </c>
      <c r="J103" s="82">
        <v>10920.55</v>
      </c>
      <c r="K103" s="82">
        <v>169.22</v>
      </c>
      <c r="L103" s="82">
        <v>9494.01</v>
      </c>
      <c r="M103" s="82">
        <v>1238.26</v>
      </c>
      <c r="N103" s="82">
        <v>9469.52</v>
      </c>
      <c r="O103" s="82">
        <v>1373.28</v>
      </c>
      <c r="P103" s="82">
        <v>10112.64</v>
      </c>
      <c r="Q103" s="82">
        <v>1655.59</v>
      </c>
      <c r="R103" s="82">
        <v>8271.18</v>
      </c>
      <c r="S103" s="82">
        <v>1095.48</v>
      </c>
      <c r="T103" s="82">
        <v>8766.11</v>
      </c>
      <c r="U103" s="82">
        <v>858.61</v>
      </c>
      <c r="V103" s="82">
        <v>10375.91</v>
      </c>
      <c r="W103" s="82">
        <v>883.41</v>
      </c>
      <c r="X103" s="82">
        <v>9665.0499999999993</v>
      </c>
      <c r="Y103" s="82">
        <v>1604.74</v>
      </c>
      <c r="Z103" s="82">
        <v>10952.94</v>
      </c>
      <c r="AA103" s="83">
        <v>2582.6999999999998</v>
      </c>
      <c r="AB103" s="82">
        <v>9359.77</v>
      </c>
      <c r="AC103" s="82">
        <v>1306.42</v>
      </c>
      <c r="AD103" s="82">
        <v>11447.09</v>
      </c>
      <c r="AE103" s="82">
        <v>539.29</v>
      </c>
      <c r="AF103" s="82">
        <v>11009.34</v>
      </c>
      <c r="AG103" s="82">
        <v>509.29</v>
      </c>
      <c r="AH103" s="82">
        <v>10194.120000000001</v>
      </c>
      <c r="AI103" s="82">
        <v>787.59</v>
      </c>
      <c r="AJ103" s="82">
        <v>8988.0300000000007</v>
      </c>
      <c r="AK103" s="82">
        <v>232.68</v>
      </c>
      <c r="AL103" s="82">
        <v>7462.47</v>
      </c>
      <c r="AM103" s="82">
        <v>762.87</v>
      </c>
      <c r="AN103" s="82">
        <v>10923.36</v>
      </c>
      <c r="AO103" s="82">
        <v>412.57</v>
      </c>
      <c r="AP103" s="83">
        <v>9663.5</v>
      </c>
      <c r="AQ103" s="82">
        <v>1096.54</v>
      </c>
      <c r="AR103" s="82">
        <v>7809.98</v>
      </c>
      <c r="AS103" s="82">
        <v>417.59</v>
      </c>
      <c r="AT103" s="82">
        <v>13634.07</v>
      </c>
      <c r="AU103" s="82">
        <v>1613.59</v>
      </c>
      <c r="AV103" s="83">
        <v>10404.799999999999</v>
      </c>
      <c r="AW103" s="82">
        <v>1179.3399999999999</v>
      </c>
      <c r="AX103" s="82">
        <v>11150.23</v>
      </c>
      <c r="AY103" s="82">
        <v>2683.47</v>
      </c>
      <c r="AZ103" s="82">
        <v>9597.57</v>
      </c>
      <c r="BA103" s="82">
        <v>485.59</v>
      </c>
      <c r="BB103" s="82">
        <v>11009.53</v>
      </c>
      <c r="BC103" s="82">
        <v>1900.38</v>
      </c>
      <c r="BD103" s="83">
        <v>12269.8</v>
      </c>
      <c r="BE103" s="82">
        <v>1203.31</v>
      </c>
      <c r="BF103" s="82">
        <v>13357.34</v>
      </c>
      <c r="BG103" s="82">
        <v>795.31</v>
      </c>
      <c r="BH103" s="82">
        <v>11855.53</v>
      </c>
      <c r="BI103" s="82">
        <v>990.14</v>
      </c>
      <c r="BJ103" s="82">
        <v>15209.79</v>
      </c>
      <c r="BK103" s="82">
        <v>2970.37</v>
      </c>
      <c r="BL103" s="82">
        <v>14091.53</v>
      </c>
      <c r="BM103" s="82">
        <v>2584.7600000000002</v>
      </c>
      <c r="BN103" s="82">
        <v>9259.94</v>
      </c>
      <c r="BO103" s="82">
        <v>3445.08</v>
      </c>
      <c r="BP103" s="83">
        <v>10236.1</v>
      </c>
      <c r="BQ103" s="82">
        <v>3994.69</v>
      </c>
      <c r="BR103" s="82">
        <v>11239.12</v>
      </c>
      <c r="BS103" s="82">
        <v>920.86</v>
      </c>
      <c r="BT103" s="82">
        <v>10365.030000000001</v>
      </c>
      <c r="BU103" s="83">
        <v>3927.9</v>
      </c>
      <c r="BV103" s="82">
        <v>10410.76</v>
      </c>
    </row>
    <row r="104" spans="1:74">
      <c r="A104" s="78" t="s">
        <v>639</v>
      </c>
      <c r="B104" s="78" t="s">
        <v>640</v>
      </c>
      <c r="C104" s="81">
        <v>30.02</v>
      </c>
      <c r="D104" s="84">
        <v>20</v>
      </c>
      <c r="E104" s="79" t="s">
        <v>195</v>
      </c>
      <c r="F104" s="84">
        <v>13</v>
      </c>
      <c r="G104" s="79" t="s">
        <v>195</v>
      </c>
      <c r="H104" s="81">
        <v>0.18</v>
      </c>
      <c r="I104" s="81">
        <v>26.62</v>
      </c>
      <c r="J104" s="81">
        <v>8.26</v>
      </c>
      <c r="K104" s="81">
        <v>10.02</v>
      </c>
      <c r="L104" s="81">
        <v>26.61</v>
      </c>
      <c r="M104" s="79" t="s">
        <v>195</v>
      </c>
      <c r="N104" s="81">
        <v>0.38</v>
      </c>
      <c r="O104" s="81">
        <v>250.32</v>
      </c>
      <c r="P104" s="81">
        <v>30.38</v>
      </c>
      <c r="Q104" s="81">
        <v>10.02</v>
      </c>
      <c r="R104" s="84">
        <v>78</v>
      </c>
      <c r="S104" s="81">
        <v>50.02</v>
      </c>
      <c r="T104" s="84">
        <v>15</v>
      </c>
      <c r="U104" s="81">
        <v>138.36000000000001</v>
      </c>
      <c r="V104" s="81">
        <v>65.52</v>
      </c>
      <c r="W104" s="81">
        <v>349.38</v>
      </c>
      <c r="X104" s="81">
        <v>0.06</v>
      </c>
      <c r="Y104" s="84">
        <v>33</v>
      </c>
      <c r="Z104" s="81">
        <v>27.65</v>
      </c>
      <c r="AA104" s="81">
        <v>81.790000000000006</v>
      </c>
      <c r="AB104" s="81">
        <v>0.42</v>
      </c>
      <c r="AC104" s="81">
        <v>55.98</v>
      </c>
      <c r="AD104" s="81">
        <v>8.3699999999999992</v>
      </c>
      <c r="AE104" s="84">
        <v>289.89999999999998</v>
      </c>
      <c r="AF104" s="81">
        <v>10.88</v>
      </c>
      <c r="AG104" s="81">
        <v>162.58000000000001</v>
      </c>
      <c r="AH104" s="81">
        <v>0.96</v>
      </c>
      <c r="AI104" s="84">
        <v>114.7</v>
      </c>
      <c r="AJ104" s="81">
        <v>0.22</v>
      </c>
      <c r="AK104" s="81">
        <v>125.96</v>
      </c>
      <c r="AL104" s="81">
        <v>0.66</v>
      </c>
      <c r="AM104" s="81">
        <v>120.16</v>
      </c>
      <c r="AN104" s="81">
        <v>0.22</v>
      </c>
      <c r="AO104" s="81">
        <v>188.02</v>
      </c>
      <c r="AP104" s="81">
        <v>0.24</v>
      </c>
      <c r="AQ104" s="84">
        <v>430.7</v>
      </c>
      <c r="AR104" s="81">
        <v>0.34</v>
      </c>
      <c r="AS104" s="81">
        <v>533.48</v>
      </c>
      <c r="AT104" s="79" t="s">
        <v>195</v>
      </c>
      <c r="AU104" s="81">
        <v>503.04</v>
      </c>
      <c r="AV104" s="79" t="s">
        <v>195</v>
      </c>
      <c r="AW104" s="81">
        <v>134.63999999999999</v>
      </c>
      <c r="AX104" s="79" t="s">
        <v>195</v>
      </c>
      <c r="AY104" s="81">
        <v>49.33</v>
      </c>
      <c r="AZ104" s="81">
        <v>2.2799999999999998</v>
      </c>
      <c r="BA104" s="81">
        <v>115.55</v>
      </c>
      <c r="BB104" s="81">
        <v>3.15</v>
      </c>
      <c r="BC104" s="81">
        <v>250.91</v>
      </c>
      <c r="BD104" s="81">
        <v>0.97</v>
      </c>
      <c r="BE104" s="81">
        <v>551.11</v>
      </c>
      <c r="BF104" s="81">
        <v>3.83</v>
      </c>
      <c r="BG104" s="81">
        <v>1110.74</v>
      </c>
      <c r="BH104" s="84">
        <v>2</v>
      </c>
      <c r="BI104" s="81">
        <v>563.62</v>
      </c>
      <c r="BJ104" s="81">
        <v>2.5299999999999998</v>
      </c>
      <c r="BK104" s="81">
        <v>465.14</v>
      </c>
      <c r="BL104" s="84">
        <v>1.9</v>
      </c>
      <c r="BM104" s="84">
        <v>1467.4</v>
      </c>
      <c r="BN104" s="81">
        <v>5.39</v>
      </c>
      <c r="BO104" s="84">
        <v>2130.8000000000002</v>
      </c>
      <c r="BP104" s="81">
        <v>10095.24</v>
      </c>
      <c r="BQ104" s="81">
        <v>1206.97</v>
      </c>
      <c r="BR104" s="81">
        <v>510687.78</v>
      </c>
      <c r="BS104" s="81">
        <v>337.47</v>
      </c>
      <c r="BT104" s="81">
        <v>2.41</v>
      </c>
      <c r="BU104" s="81">
        <v>313.17</v>
      </c>
      <c r="BV104" s="81">
        <v>3.22</v>
      </c>
    </row>
    <row r="105" spans="1:74">
      <c r="A105" s="78" t="s">
        <v>641</v>
      </c>
      <c r="B105" s="78" t="s">
        <v>633</v>
      </c>
      <c r="C105" s="81">
        <v>82.75</v>
      </c>
      <c r="D105" s="81">
        <v>2722.21</v>
      </c>
      <c r="E105" s="81">
        <v>165.25</v>
      </c>
      <c r="F105" s="81">
        <v>2847.15</v>
      </c>
      <c r="G105" s="81">
        <v>89.76</v>
      </c>
      <c r="H105" s="81">
        <v>2565.9299999999998</v>
      </c>
      <c r="I105" s="81">
        <v>298.12</v>
      </c>
      <c r="J105" s="81">
        <v>2303.85</v>
      </c>
      <c r="K105" s="81">
        <v>546.27</v>
      </c>
      <c r="L105" s="81">
        <v>3346.11</v>
      </c>
      <c r="M105" s="81">
        <v>120.63</v>
      </c>
      <c r="N105" s="84">
        <v>2317.1</v>
      </c>
      <c r="O105" s="81">
        <v>370.39</v>
      </c>
      <c r="P105" s="81">
        <v>4116.66</v>
      </c>
      <c r="Q105" s="81">
        <v>388.77</v>
      </c>
      <c r="R105" s="84">
        <v>4000.7</v>
      </c>
      <c r="S105" s="81">
        <v>394.65</v>
      </c>
      <c r="T105" s="81">
        <v>3714.75</v>
      </c>
      <c r="U105" s="81">
        <v>152.34</v>
      </c>
      <c r="V105" s="81">
        <v>3254.26</v>
      </c>
      <c r="W105" s="81">
        <v>236.51</v>
      </c>
      <c r="X105" s="81">
        <v>2009.57</v>
      </c>
      <c r="Y105" s="81">
        <v>384.58</v>
      </c>
      <c r="Z105" s="81">
        <v>3311.64</v>
      </c>
      <c r="AA105" s="81">
        <v>296.99</v>
      </c>
      <c r="AB105" s="81">
        <v>4048.97</v>
      </c>
      <c r="AC105" s="81">
        <v>332.64</v>
      </c>
      <c r="AD105" s="81">
        <v>3187.26</v>
      </c>
      <c r="AE105" s="81">
        <v>320.79000000000002</v>
      </c>
      <c r="AF105" s="81">
        <v>4548.25</v>
      </c>
      <c r="AG105" s="81">
        <v>641.04999999999995</v>
      </c>
      <c r="AH105" s="81">
        <v>4354.78</v>
      </c>
      <c r="AI105" s="84">
        <v>169</v>
      </c>
      <c r="AJ105" s="81">
        <v>4248.97</v>
      </c>
      <c r="AK105" s="81">
        <v>507.15</v>
      </c>
      <c r="AL105" s="81">
        <v>4267.6099999999997</v>
      </c>
      <c r="AM105" s="84">
        <v>285.8</v>
      </c>
      <c r="AN105" s="81">
        <v>4031.14</v>
      </c>
      <c r="AO105" s="84">
        <v>576</v>
      </c>
      <c r="AP105" s="81">
        <v>3525.42</v>
      </c>
      <c r="AQ105" s="81">
        <v>321.19</v>
      </c>
      <c r="AR105" s="81">
        <v>4024.64</v>
      </c>
      <c r="AS105" s="84">
        <v>633.5</v>
      </c>
      <c r="AT105" s="81">
        <v>3764.61</v>
      </c>
      <c r="AU105" s="84">
        <v>387.5</v>
      </c>
      <c r="AV105" s="81">
        <v>4277.78</v>
      </c>
      <c r="AW105" s="84">
        <v>427.6</v>
      </c>
      <c r="AX105" s="81">
        <v>3722.73</v>
      </c>
      <c r="AY105" s="81">
        <v>16.37</v>
      </c>
      <c r="AZ105" s="81">
        <v>2055.33</v>
      </c>
      <c r="BA105" s="81">
        <v>323.73</v>
      </c>
      <c r="BB105" s="81">
        <v>1537.03</v>
      </c>
      <c r="BC105" s="81">
        <v>297.76</v>
      </c>
      <c r="BD105" s="81">
        <v>2470.85</v>
      </c>
      <c r="BE105" s="81">
        <v>25.14</v>
      </c>
      <c r="BF105" s="81">
        <v>3249.66</v>
      </c>
      <c r="BG105" s="81">
        <v>246.34</v>
      </c>
      <c r="BH105" s="81">
        <v>3296.38</v>
      </c>
      <c r="BI105" s="84">
        <v>451.4</v>
      </c>
      <c r="BJ105" s="81">
        <v>4447.66</v>
      </c>
      <c r="BK105" s="81">
        <v>214.19</v>
      </c>
      <c r="BL105" s="81">
        <v>3785.53</v>
      </c>
      <c r="BM105" s="84">
        <v>775</v>
      </c>
      <c r="BN105" s="81">
        <v>3152.09</v>
      </c>
      <c r="BO105" s="84">
        <v>912</v>
      </c>
      <c r="BP105" s="81">
        <v>4284.2700000000004</v>
      </c>
      <c r="BQ105" s="84">
        <v>1026.8</v>
      </c>
      <c r="BR105" s="84">
        <v>5012.5</v>
      </c>
      <c r="BS105" s="81">
        <v>1585.25</v>
      </c>
      <c r="BT105" s="81">
        <v>3471.53</v>
      </c>
      <c r="BU105" s="81">
        <v>583.05999999999995</v>
      </c>
      <c r="BV105" s="81">
        <v>3173.58</v>
      </c>
    </row>
    <row r="106" spans="1:74">
      <c r="A106" s="78" t="s">
        <v>642</v>
      </c>
      <c r="B106" s="78" t="s">
        <v>638</v>
      </c>
      <c r="C106" s="82">
        <v>1577.24</v>
      </c>
      <c r="D106" s="82">
        <v>2272.66</v>
      </c>
      <c r="E106" s="82">
        <v>992.04</v>
      </c>
      <c r="F106" s="82">
        <v>3489.56</v>
      </c>
      <c r="G106" s="82">
        <v>1576.33</v>
      </c>
      <c r="H106" s="82">
        <v>3509.73</v>
      </c>
      <c r="I106" s="82">
        <v>2535.4699999999998</v>
      </c>
      <c r="J106" s="82">
        <v>2916.94</v>
      </c>
      <c r="K106" s="82">
        <v>1087.6500000000001</v>
      </c>
      <c r="L106" s="82">
        <v>2900.46</v>
      </c>
      <c r="M106" s="83">
        <v>2004.6</v>
      </c>
      <c r="N106" s="82">
        <v>5112.8599999999997</v>
      </c>
      <c r="O106" s="82">
        <v>1020.32</v>
      </c>
      <c r="P106" s="82">
        <v>1610.69</v>
      </c>
      <c r="Q106" s="82">
        <v>2311.66</v>
      </c>
      <c r="R106" s="82">
        <v>3751.52</v>
      </c>
      <c r="S106" s="82">
        <v>2123.9899999999998</v>
      </c>
      <c r="T106" s="82">
        <v>2532.2800000000002</v>
      </c>
      <c r="U106" s="82">
        <v>1441.87</v>
      </c>
      <c r="V106" s="82">
        <v>3182.29</v>
      </c>
      <c r="W106" s="83">
        <v>1952.6</v>
      </c>
      <c r="X106" s="82">
        <v>2901.83</v>
      </c>
      <c r="Y106" s="82">
        <v>1487.55</v>
      </c>
      <c r="Z106" s="82">
        <v>4888.8500000000004</v>
      </c>
      <c r="AA106" s="83">
        <v>3028.1</v>
      </c>
      <c r="AB106" s="82">
        <v>2857.82</v>
      </c>
      <c r="AC106" s="83">
        <v>2640.2</v>
      </c>
      <c r="AD106" s="83">
        <v>1995.8</v>
      </c>
      <c r="AE106" s="83">
        <v>2397.8000000000002</v>
      </c>
      <c r="AF106" s="83">
        <v>3799.8</v>
      </c>
      <c r="AG106" s="82">
        <v>3921.95</v>
      </c>
      <c r="AH106" s="82">
        <v>4726.1499999999996</v>
      </c>
      <c r="AI106" s="82">
        <v>3409.09</v>
      </c>
      <c r="AJ106" s="82">
        <v>3061.18</v>
      </c>
      <c r="AK106" s="82">
        <v>1602.99</v>
      </c>
      <c r="AL106" s="82">
        <v>2901.76</v>
      </c>
      <c r="AM106" s="82">
        <v>3803.08</v>
      </c>
      <c r="AN106" s="83">
        <v>5171.8999999999996</v>
      </c>
      <c r="AO106" s="82">
        <v>4141.54</v>
      </c>
      <c r="AP106" s="83">
        <v>4458.7</v>
      </c>
      <c r="AQ106" s="83">
        <v>3230.7</v>
      </c>
      <c r="AR106" s="82">
        <v>4774.8599999999997</v>
      </c>
      <c r="AS106" s="83">
        <v>2740</v>
      </c>
      <c r="AT106" s="83">
        <v>6698.2</v>
      </c>
      <c r="AU106" s="83">
        <v>2694</v>
      </c>
      <c r="AV106" s="83">
        <v>5268</v>
      </c>
      <c r="AW106" s="83">
        <v>2956.5</v>
      </c>
      <c r="AX106" s="82">
        <v>5812.17</v>
      </c>
      <c r="AY106" s="83">
        <v>2095</v>
      </c>
      <c r="AZ106" s="83">
        <v>1289.5</v>
      </c>
      <c r="BA106" s="83">
        <v>2986</v>
      </c>
      <c r="BB106" s="82">
        <v>1786.66</v>
      </c>
      <c r="BC106" s="83">
        <v>2793.3</v>
      </c>
      <c r="BD106" s="82">
        <v>1711.25</v>
      </c>
      <c r="BE106" s="82">
        <v>2538.56</v>
      </c>
      <c r="BF106" s="83">
        <v>2389.1999999999998</v>
      </c>
      <c r="BG106" s="82">
        <v>1933.06</v>
      </c>
      <c r="BH106" s="82">
        <v>772.86</v>
      </c>
      <c r="BI106" s="82">
        <v>2142.0700000000002</v>
      </c>
      <c r="BJ106" s="80" t="s">
        <v>195</v>
      </c>
      <c r="BK106" s="82">
        <v>2218.81</v>
      </c>
      <c r="BL106" s="83">
        <v>1273.2</v>
      </c>
      <c r="BM106" s="82">
        <v>1409.67</v>
      </c>
      <c r="BN106" s="82">
        <v>2818.23</v>
      </c>
      <c r="BO106" s="82">
        <v>1227.99</v>
      </c>
      <c r="BP106" s="82">
        <v>2894.67</v>
      </c>
      <c r="BQ106" s="82">
        <v>1550.59</v>
      </c>
      <c r="BR106" s="83">
        <v>957.4</v>
      </c>
      <c r="BS106" s="82">
        <v>2027.78</v>
      </c>
      <c r="BT106" s="83">
        <v>2182.4</v>
      </c>
      <c r="BU106" s="83">
        <v>1594.5</v>
      </c>
      <c r="BV106" s="82">
        <v>240.01</v>
      </c>
    </row>
    <row r="107" spans="1:74">
      <c r="A107" s="78" t="s">
        <v>643</v>
      </c>
      <c r="B107" s="78" t="s">
        <v>644</v>
      </c>
      <c r="C107" s="81">
        <v>22.18</v>
      </c>
      <c r="D107" s="81">
        <v>156.06</v>
      </c>
      <c r="E107" s="81">
        <v>42.93</v>
      </c>
      <c r="F107" s="81">
        <v>21.08</v>
      </c>
      <c r="G107" s="81">
        <v>98.32</v>
      </c>
      <c r="H107" s="81">
        <v>39.07</v>
      </c>
      <c r="I107" s="81">
        <v>45.97</v>
      </c>
      <c r="J107" s="81">
        <v>272.37</v>
      </c>
      <c r="K107" s="81">
        <v>47.18</v>
      </c>
      <c r="L107" s="81">
        <v>63.63</v>
      </c>
      <c r="M107" s="84">
        <v>29</v>
      </c>
      <c r="N107" s="81">
        <v>6.92</v>
      </c>
      <c r="O107" s="84">
        <v>44</v>
      </c>
      <c r="P107" s="84">
        <v>51.7</v>
      </c>
      <c r="Q107" s="81">
        <v>73.03</v>
      </c>
      <c r="R107" s="81">
        <v>26.15</v>
      </c>
      <c r="S107" s="81">
        <v>157.25</v>
      </c>
      <c r="T107" s="84">
        <v>69.8</v>
      </c>
      <c r="U107" s="81">
        <v>248.54</v>
      </c>
      <c r="V107" s="81">
        <v>19.149999999999999</v>
      </c>
      <c r="W107" s="84">
        <v>315</v>
      </c>
      <c r="X107" s="81">
        <v>22.47</v>
      </c>
      <c r="Y107" s="81">
        <v>495.82</v>
      </c>
      <c r="Z107" s="81">
        <v>28.46</v>
      </c>
      <c r="AA107" s="84">
        <v>34.4</v>
      </c>
      <c r="AB107" s="81">
        <v>3.81</v>
      </c>
      <c r="AC107" s="81">
        <v>140.97999999999999</v>
      </c>
      <c r="AD107" s="84">
        <v>47.8</v>
      </c>
      <c r="AE107" s="81">
        <v>90.56</v>
      </c>
      <c r="AF107" s="81">
        <v>3.55</v>
      </c>
      <c r="AG107" s="81">
        <v>199.45</v>
      </c>
      <c r="AH107" s="81">
        <v>29.76</v>
      </c>
      <c r="AI107" s="81">
        <v>260.27</v>
      </c>
      <c r="AJ107" s="81">
        <v>6.17</v>
      </c>
      <c r="AK107" s="81">
        <v>99.12</v>
      </c>
      <c r="AL107" s="81">
        <v>76.209999999999994</v>
      </c>
      <c r="AM107" s="81">
        <v>24.38</v>
      </c>
      <c r="AN107" s="81">
        <v>95.93</v>
      </c>
      <c r="AO107" s="81">
        <v>18.260000000000002</v>
      </c>
      <c r="AP107" s="81">
        <v>4.53</v>
      </c>
      <c r="AQ107" s="81">
        <v>956.93</v>
      </c>
      <c r="AR107" s="81">
        <v>9.11</v>
      </c>
      <c r="AS107" s="81">
        <v>654.03</v>
      </c>
      <c r="AT107" s="81">
        <v>27.45</v>
      </c>
      <c r="AU107" s="84">
        <v>1543.2</v>
      </c>
      <c r="AV107" s="81">
        <v>40.19</v>
      </c>
      <c r="AW107" s="81">
        <v>230.31</v>
      </c>
      <c r="AX107" s="81">
        <v>3.11</v>
      </c>
      <c r="AY107" s="81">
        <v>1247.1600000000001</v>
      </c>
      <c r="AZ107" s="81">
        <v>1.33</v>
      </c>
      <c r="BA107" s="81">
        <v>1461.09</v>
      </c>
      <c r="BB107" s="81">
        <v>21.65</v>
      </c>
      <c r="BC107" s="81">
        <v>2743.87</v>
      </c>
      <c r="BD107" s="81">
        <v>159.57</v>
      </c>
      <c r="BE107" s="81">
        <v>1499.27</v>
      </c>
      <c r="BF107" s="81">
        <v>3.57</v>
      </c>
      <c r="BG107" s="81">
        <v>1987.57</v>
      </c>
      <c r="BH107" s="81">
        <v>203.42</v>
      </c>
      <c r="BI107" s="81">
        <v>1591.95</v>
      </c>
      <c r="BJ107" s="81">
        <v>3.51</v>
      </c>
      <c r="BK107" s="81">
        <v>2028.75</v>
      </c>
      <c r="BL107" s="81">
        <v>171.34</v>
      </c>
      <c r="BM107" s="84">
        <v>833.9</v>
      </c>
      <c r="BN107" s="81">
        <v>19.510000000000002</v>
      </c>
      <c r="BO107" s="81">
        <v>1543.78</v>
      </c>
      <c r="BP107" s="81">
        <v>20.12</v>
      </c>
      <c r="BQ107" s="81">
        <v>1134.8399999999999</v>
      </c>
      <c r="BR107" s="81">
        <v>56.19</v>
      </c>
      <c r="BS107" s="81">
        <v>1135.1500000000001</v>
      </c>
      <c r="BT107" s="84">
        <v>7.8</v>
      </c>
      <c r="BU107" s="84">
        <v>836.7</v>
      </c>
      <c r="BV107" s="81">
        <v>9.07</v>
      </c>
    </row>
    <row r="108" spans="1:74">
      <c r="A108" s="78" t="s">
        <v>645</v>
      </c>
      <c r="B108" s="78" t="s">
        <v>646</v>
      </c>
      <c r="C108" s="83">
        <v>1393.2</v>
      </c>
      <c r="D108" s="80" t="s">
        <v>195</v>
      </c>
      <c r="E108" s="83">
        <v>1234.4000000000001</v>
      </c>
      <c r="F108" s="80" t="s">
        <v>195</v>
      </c>
      <c r="G108" s="83">
        <v>2632</v>
      </c>
      <c r="H108" s="80" t="s">
        <v>195</v>
      </c>
      <c r="I108" s="83">
        <v>951</v>
      </c>
      <c r="J108" s="80" t="s">
        <v>195</v>
      </c>
      <c r="K108" s="83">
        <v>2096</v>
      </c>
      <c r="L108" s="80" t="s">
        <v>195</v>
      </c>
      <c r="M108" s="83">
        <v>2460.8000000000002</v>
      </c>
      <c r="N108" s="80" t="s">
        <v>195</v>
      </c>
      <c r="O108" s="83">
        <v>362.2</v>
      </c>
      <c r="P108" s="80" t="s">
        <v>195</v>
      </c>
      <c r="Q108" s="83">
        <v>248.8</v>
      </c>
      <c r="R108" s="80" t="s">
        <v>195</v>
      </c>
      <c r="S108" s="83">
        <v>1250.4000000000001</v>
      </c>
      <c r="T108" s="80" t="s">
        <v>195</v>
      </c>
      <c r="U108" s="83">
        <v>621.4</v>
      </c>
      <c r="V108" s="80" t="s">
        <v>195</v>
      </c>
      <c r="W108" s="83">
        <v>1101.2</v>
      </c>
      <c r="X108" s="80" t="s">
        <v>195</v>
      </c>
      <c r="Y108" s="83">
        <v>2185.1999999999998</v>
      </c>
      <c r="Z108" s="83">
        <v>1</v>
      </c>
      <c r="AA108" s="80" t="s">
        <v>195</v>
      </c>
      <c r="AB108" s="80" t="s">
        <v>195</v>
      </c>
      <c r="AC108" s="83">
        <v>137.80000000000001</v>
      </c>
      <c r="AD108" s="80" t="s">
        <v>195</v>
      </c>
      <c r="AE108" s="83">
        <v>128.6</v>
      </c>
      <c r="AF108" s="80" t="s">
        <v>195</v>
      </c>
      <c r="AG108" s="80" t="s">
        <v>195</v>
      </c>
      <c r="AH108" s="80" t="s">
        <v>195</v>
      </c>
      <c r="AI108" s="80" t="s">
        <v>195</v>
      </c>
      <c r="AJ108" s="80" t="s">
        <v>195</v>
      </c>
      <c r="AK108" s="80" t="s">
        <v>195</v>
      </c>
      <c r="AL108" s="80" t="s">
        <v>195</v>
      </c>
      <c r="AM108" s="83">
        <v>10</v>
      </c>
      <c r="AN108" s="80" t="s">
        <v>195</v>
      </c>
      <c r="AO108" s="80" t="s">
        <v>195</v>
      </c>
      <c r="AP108" s="80" t="s">
        <v>195</v>
      </c>
      <c r="AQ108" s="83">
        <v>34</v>
      </c>
      <c r="AR108" s="80" t="s">
        <v>195</v>
      </c>
      <c r="AS108" s="80" t="s">
        <v>195</v>
      </c>
      <c r="AT108" s="80" t="s">
        <v>195</v>
      </c>
      <c r="AU108" s="80" t="s">
        <v>195</v>
      </c>
      <c r="AV108" s="80" t="s">
        <v>195</v>
      </c>
      <c r="AW108" s="83">
        <v>68</v>
      </c>
      <c r="AX108" s="80" t="s">
        <v>195</v>
      </c>
      <c r="AY108" s="80" t="s">
        <v>195</v>
      </c>
      <c r="AZ108" s="80" t="s">
        <v>195</v>
      </c>
      <c r="BA108" s="80" t="s">
        <v>195</v>
      </c>
      <c r="BB108" s="80" t="s">
        <v>195</v>
      </c>
      <c r="BC108" s="80" t="s">
        <v>195</v>
      </c>
      <c r="BD108" s="80" t="s">
        <v>195</v>
      </c>
      <c r="BE108" s="80" t="s">
        <v>195</v>
      </c>
      <c r="BF108" s="80" t="s">
        <v>195</v>
      </c>
      <c r="BG108" s="80" t="s">
        <v>195</v>
      </c>
      <c r="BH108" s="80" t="s">
        <v>195</v>
      </c>
      <c r="BI108" s="80" t="s">
        <v>195</v>
      </c>
      <c r="BJ108" s="80" t="s">
        <v>195</v>
      </c>
      <c r="BK108" s="80" t="s">
        <v>195</v>
      </c>
      <c r="BL108" s="80" t="s">
        <v>195</v>
      </c>
      <c r="BM108" s="80" t="s">
        <v>195</v>
      </c>
      <c r="BN108" s="80" t="s">
        <v>195</v>
      </c>
      <c r="BO108" s="83">
        <v>5.3</v>
      </c>
      <c r="BP108" s="80" t="s">
        <v>195</v>
      </c>
      <c r="BQ108" s="80" t="s">
        <v>195</v>
      </c>
      <c r="BR108" s="80" t="s">
        <v>195</v>
      </c>
      <c r="BS108" s="82">
        <v>5.56</v>
      </c>
      <c r="BT108" s="80" t="s">
        <v>195</v>
      </c>
      <c r="BU108" s="80" t="s">
        <v>195</v>
      </c>
      <c r="BV108" s="80" t="s">
        <v>195</v>
      </c>
    </row>
    <row r="109" spans="1:74">
      <c r="A109" s="78" t="s">
        <v>647</v>
      </c>
      <c r="B109" s="78" t="s">
        <v>648</v>
      </c>
      <c r="C109" s="84">
        <v>2531</v>
      </c>
      <c r="D109" s="84">
        <v>278.60000000000002</v>
      </c>
      <c r="E109" s="84">
        <v>4496.6000000000004</v>
      </c>
      <c r="F109" s="79" t="s">
        <v>195</v>
      </c>
      <c r="G109" s="84">
        <v>3800.2</v>
      </c>
      <c r="H109" s="79" t="s">
        <v>195</v>
      </c>
      <c r="I109" s="84">
        <v>5178.8</v>
      </c>
      <c r="J109" s="84">
        <v>519</v>
      </c>
      <c r="K109" s="84">
        <v>4372.8999999999996</v>
      </c>
      <c r="L109" s="84">
        <v>1006</v>
      </c>
      <c r="M109" s="84">
        <v>2388.6</v>
      </c>
      <c r="N109" s="84">
        <v>749.6</v>
      </c>
      <c r="O109" s="84">
        <v>2649</v>
      </c>
      <c r="P109" s="84">
        <v>495.6</v>
      </c>
      <c r="Q109" s="84">
        <v>5900.6</v>
      </c>
      <c r="R109" s="84">
        <v>1228.2</v>
      </c>
      <c r="S109" s="84">
        <v>4526.6000000000004</v>
      </c>
      <c r="T109" s="84">
        <v>489.8</v>
      </c>
      <c r="U109" s="84">
        <v>5142.8</v>
      </c>
      <c r="V109" s="84">
        <v>244</v>
      </c>
      <c r="W109" s="81">
        <v>4273.2299999999996</v>
      </c>
      <c r="X109" s="84">
        <v>470.2</v>
      </c>
      <c r="Y109" s="84">
        <v>1965.2</v>
      </c>
      <c r="Z109" s="84">
        <v>248.6</v>
      </c>
      <c r="AA109" s="84">
        <v>5193.2</v>
      </c>
      <c r="AB109" s="79" t="s">
        <v>195</v>
      </c>
      <c r="AC109" s="84">
        <v>4922.8</v>
      </c>
      <c r="AD109" s="79" t="s">
        <v>195</v>
      </c>
      <c r="AE109" s="84">
        <v>5531</v>
      </c>
      <c r="AF109" s="79" t="s">
        <v>195</v>
      </c>
      <c r="AG109" s="84">
        <v>3960.8</v>
      </c>
      <c r="AH109" s="79" t="s">
        <v>195</v>
      </c>
      <c r="AI109" s="84">
        <v>5187.6000000000004</v>
      </c>
      <c r="AJ109" s="81">
        <v>3.45</v>
      </c>
      <c r="AK109" s="84">
        <v>3794.6</v>
      </c>
      <c r="AL109" s="79" t="s">
        <v>195</v>
      </c>
      <c r="AM109" s="84">
        <v>4631.6000000000004</v>
      </c>
      <c r="AN109" s="79" t="s">
        <v>195</v>
      </c>
      <c r="AO109" s="81">
        <v>4942.53</v>
      </c>
      <c r="AP109" s="79" t="s">
        <v>195</v>
      </c>
      <c r="AQ109" s="84">
        <v>3973.6</v>
      </c>
      <c r="AR109" s="79" t="s">
        <v>195</v>
      </c>
      <c r="AS109" s="84">
        <v>3810</v>
      </c>
      <c r="AT109" s="79" t="s">
        <v>195</v>
      </c>
      <c r="AU109" s="84">
        <v>3359.8</v>
      </c>
      <c r="AV109" s="79" t="s">
        <v>195</v>
      </c>
      <c r="AW109" s="84">
        <v>3702.6</v>
      </c>
      <c r="AX109" s="79" t="s">
        <v>195</v>
      </c>
      <c r="AY109" s="84">
        <v>751.8</v>
      </c>
      <c r="AZ109" s="79" t="s">
        <v>195</v>
      </c>
      <c r="BA109" s="84">
        <v>1000.2</v>
      </c>
      <c r="BB109" s="81">
        <v>0.04</v>
      </c>
      <c r="BC109" s="84">
        <v>1105.8</v>
      </c>
      <c r="BD109" s="79" t="s">
        <v>195</v>
      </c>
      <c r="BE109" s="84">
        <v>756.4</v>
      </c>
      <c r="BF109" s="79" t="s">
        <v>195</v>
      </c>
      <c r="BG109" s="84">
        <v>2024.8</v>
      </c>
      <c r="BH109" s="79" t="s">
        <v>195</v>
      </c>
      <c r="BI109" s="84">
        <v>767.6</v>
      </c>
      <c r="BJ109" s="79" t="s">
        <v>195</v>
      </c>
      <c r="BK109" s="84">
        <v>1299.2</v>
      </c>
      <c r="BL109" s="84">
        <v>1226.4000000000001</v>
      </c>
      <c r="BM109" s="84">
        <v>809.2</v>
      </c>
      <c r="BN109" s="84">
        <v>1207.5999999999999</v>
      </c>
      <c r="BO109" s="84">
        <v>1749.2</v>
      </c>
      <c r="BP109" s="84">
        <v>271.2</v>
      </c>
      <c r="BQ109" s="84">
        <v>1039.2</v>
      </c>
      <c r="BR109" s="84">
        <v>840.2</v>
      </c>
      <c r="BS109" s="84">
        <v>538</v>
      </c>
      <c r="BT109" s="84">
        <v>772.4</v>
      </c>
      <c r="BU109" s="81">
        <v>794.61</v>
      </c>
      <c r="BV109" s="84">
        <v>1005.4</v>
      </c>
    </row>
    <row r="110" spans="1:74">
      <c r="A110" s="78" t="s">
        <v>649</v>
      </c>
      <c r="B110" s="78" t="s">
        <v>650</v>
      </c>
      <c r="C110" s="82">
        <v>90.43</v>
      </c>
      <c r="D110" s="82">
        <v>478.01</v>
      </c>
      <c r="E110" s="82">
        <v>21.19</v>
      </c>
      <c r="F110" s="82">
        <v>0.89</v>
      </c>
      <c r="G110" s="82">
        <v>1280.72</v>
      </c>
      <c r="H110" s="82">
        <v>240.24</v>
      </c>
      <c r="I110" s="82">
        <v>13.51</v>
      </c>
      <c r="J110" s="82">
        <v>499.29</v>
      </c>
      <c r="K110" s="82">
        <v>6.31</v>
      </c>
      <c r="L110" s="83">
        <v>220</v>
      </c>
      <c r="M110" s="82">
        <v>9.35</v>
      </c>
      <c r="N110" s="83">
        <v>608.4</v>
      </c>
      <c r="O110" s="82">
        <v>4.3499999999999996</v>
      </c>
      <c r="P110" s="82">
        <v>1302.72</v>
      </c>
      <c r="Q110" s="82">
        <v>252.58</v>
      </c>
      <c r="R110" s="82">
        <v>299.69</v>
      </c>
      <c r="S110" s="82">
        <v>23.31</v>
      </c>
      <c r="T110" s="82">
        <v>0.83</v>
      </c>
      <c r="U110" s="82">
        <v>17.510000000000002</v>
      </c>
      <c r="V110" s="82">
        <v>0.24</v>
      </c>
      <c r="W110" s="82">
        <v>22.71</v>
      </c>
      <c r="X110" s="80" t="s">
        <v>195</v>
      </c>
      <c r="Y110" s="82">
        <v>10.96</v>
      </c>
      <c r="Z110" s="82">
        <v>0.12</v>
      </c>
      <c r="AA110" s="82">
        <v>112.36</v>
      </c>
      <c r="AB110" s="82">
        <v>82.14</v>
      </c>
      <c r="AC110" s="82">
        <v>8.59</v>
      </c>
      <c r="AD110" s="82">
        <v>74.22</v>
      </c>
      <c r="AE110" s="82">
        <v>11.19</v>
      </c>
      <c r="AF110" s="82">
        <v>5.97</v>
      </c>
      <c r="AG110" s="83">
        <v>104.6</v>
      </c>
      <c r="AH110" s="82">
        <v>1.42</v>
      </c>
      <c r="AI110" s="82">
        <v>295.44</v>
      </c>
      <c r="AJ110" s="82">
        <v>109.26</v>
      </c>
      <c r="AK110" s="82">
        <v>111.18</v>
      </c>
      <c r="AL110" s="82">
        <v>0.65</v>
      </c>
      <c r="AM110" s="82">
        <v>257.06</v>
      </c>
      <c r="AN110" s="82">
        <v>88.04</v>
      </c>
      <c r="AO110" s="82">
        <v>108.42</v>
      </c>
      <c r="AP110" s="82">
        <v>46.12</v>
      </c>
      <c r="AQ110" s="82">
        <v>244.88</v>
      </c>
      <c r="AR110" s="83">
        <v>70</v>
      </c>
      <c r="AS110" s="82">
        <v>119.06</v>
      </c>
      <c r="AT110" s="82">
        <v>0.18</v>
      </c>
      <c r="AU110" s="82">
        <v>8.8800000000000008</v>
      </c>
      <c r="AV110" s="80" t="s">
        <v>195</v>
      </c>
      <c r="AW110" s="82">
        <v>17.829999999999998</v>
      </c>
      <c r="AX110" s="82">
        <v>152.07</v>
      </c>
      <c r="AY110" s="82">
        <v>509.09</v>
      </c>
      <c r="AZ110" s="80" t="s">
        <v>195</v>
      </c>
      <c r="BA110" s="82">
        <v>1126.49</v>
      </c>
      <c r="BB110" s="80" t="s">
        <v>195</v>
      </c>
      <c r="BC110" s="82">
        <v>270.25</v>
      </c>
      <c r="BD110" s="80" t="s">
        <v>195</v>
      </c>
      <c r="BE110" s="82">
        <v>1029.72</v>
      </c>
      <c r="BF110" s="80" t="s">
        <v>195</v>
      </c>
      <c r="BG110" s="82">
        <v>518.17999999999995</v>
      </c>
      <c r="BH110" s="80" t="s">
        <v>195</v>
      </c>
      <c r="BI110" s="82">
        <v>1030.1500000000001</v>
      </c>
      <c r="BJ110" s="80" t="s">
        <v>195</v>
      </c>
      <c r="BK110" s="82">
        <v>538.63</v>
      </c>
      <c r="BL110" s="82">
        <v>0.35</v>
      </c>
      <c r="BM110" s="82">
        <v>779.19</v>
      </c>
      <c r="BN110" s="80" t="s">
        <v>195</v>
      </c>
      <c r="BO110" s="83">
        <v>739.6</v>
      </c>
      <c r="BP110" s="80" t="s">
        <v>195</v>
      </c>
      <c r="BQ110" s="82">
        <v>780.99</v>
      </c>
      <c r="BR110" s="80" t="s">
        <v>195</v>
      </c>
      <c r="BS110" s="82">
        <v>538.79</v>
      </c>
      <c r="BT110" s="80" t="s">
        <v>195</v>
      </c>
      <c r="BU110" s="82">
        <v>661.61</v>
      </c>
      <c r="BV110" s="80" t="s">
        <v>195</v>
      </c>
    </row>
    <row r="111" spans="1:74">
      <c r="A111" s="78" t="s">
        <v>651</v>
      </c>
      <c r="B111" s="78" t="s">
        <v>652</v>
      </c>
      <c r="C111" s="84">
        <v>14.7</v>
      </c>
      <c r="D111" s="79" t="s">
        <v>195</v>
      </c>
      <c r="E111" s="79" t="s">
        <v>195</v>
      </c>
      <c r="F111" s="81">
        <v>1.05</v>
      </c>
      <c r="G111" s="84">
        <v>15</v>
      </c>
      <c r="H111" s="79" t="s">
        <v>195</v>
      </c>
      <c r="I111" s="79" t="s">
        <v>195</v>
      </c>
      <c r="J111" s="79" t="s">
        <v>195</v>
      </c>
      <c r="K111" s="79" t="s">
        <v>195</v>
      </c>
      <c r="L111" s="81">
        <v>2.16</v>
      </c>
      <c r="M111" s="81">
        <v>14.85</v>
      </c>
      <c r="N111" s="81">
        <v>1.44</v>
      </c>
      <c r="O111" s="84">
        <v>14.7</v>
      </c>
      <c r="P111" s="79" t="s">
        <v>195</v>
      </c>
      <c r="Q111" s="79" t="s">
        <v>195</v>
      </c>
      <c r="R111" s="81">
        <v>2.16</v>
      </c>
      <c r="S111" s="84">
        <v>14.7</v>
      </c>
      <c r="T111" s="79" t="s">
        <v>195</v>
      </c>
      <c r="U111" s="79" t="s">
        <v>195</v>
      </c>
      <c r="V111" s="79" t="s">
        <v>195</v>
      </c>
      <c r="W111" s="84">
        <v>14.7</v>
      </c>
      <c r="X111" s="79" t="s">
        <v>195</v>
      </c>
      <c r="Y111" s="79" t="s">
        <v>195</v>
      </c>
      <c r="Z111" s="79" t="s">
        <v>195</v>
      </c>
      <c r="AA111" s="84">
        <v>15.8</v>
      </c>
      <c r="AB111" s="81">
        <v>5.84</v>
      </c>
      <c r="AC111" s="84">
        <v>15.4</v>
      </c>
      <c r="AD111" s="81">
        <v>4.0199999999999996</v>
      </c>
      <c r="AE111" s="84">
        <v>1.2</v>
      </c>
      <c r="AF111" s="84">
        <v>0.8</v>
      </c>
      <c r="AG111" s="84">
        <v>0.2</v>
      </c>
      <c r="AH111" s="81">
        <v>2.41</v>
      </c>
      <c r="AI111" s="84">
        <v>1.4</v>
      </c>
      <c r="AJ111" s="81">
        <v>2.0099999999999998</v>
      </c>
      <c r="AK111" s="84">
        <v>0.4</v>
      </c>
      <c r="AL111" s="81">
        <v>6.43</v>
      </c>
      <c r="AM111" s="84">
        <v>0.6</v>
      </c>
      <c r="AN111" s="81">
        <v>4.82</v>
      </c>
      <c r="AO111" s="84">
        <v>1.2</v>
      </c>
      <c r="AP111" s="81">
        <v>1.61</v>
      </c>
      <c r="AQ111" s="84">
        <v>30.3</v>
      </c>
      <c r="AR111" s="79" t="s">
        <v>195</v>
      </c>
      <c r="AS111" s="81">
        <v>0.28999999999999998</v>
      </c>
      <c r="AT111" s="81">
        <v>0.12</v>
      </c>
      <c r="AU111" s="84">
        <v>0.8</v>
      </c>
      <c r="AV111" s="81">
        <v>9.64</v>
      </c>
      <c r="AW111" s="84">
        <v>0.6</v>
      </c>
      <c r="AX111" s="79" t="s">
        <v>195</v>
      </c>
      <c r="AY111" s="79" t="s">
        <v>195</v>
      </c>
      <c r="AZ111" s="79" t="s">
        <v>195</v>
      </c>
      <c r="BA111" s="84">
        <v>15</v>
      </c>
      <c r="BB111" s="81">
        <v>0.05</v>
      </c>
      <c r="BC111" s="84">
        <v>0.1</v>
      </c>
      <c r="BD111" s="79" t="s">
        <v>195</v>
      </c>
      <c r="BE111" s="79" t="s">
        <v>195</v>
      </c>
      <c r="BF111" s="79" t="s">
        <v>195</v>
      </c>
      <c r="BG111" s="79" t="s">
        <v>195</v>
      </c>
      <c r="BH111" s="79" t="s">
        <v>195</v>
      </c>
      <c r="BI111" s="79" t="s">
        <v>195</v>
      </c>
      <c r="BJ111" s="79" t="s">
        <v>195</v>
      </c>
      <c r="BK111" s="79" t="s">
        <v>195</v>
      </c>
      <c r="BL111" s="79" t="s">
        <v>195</v>
      </c>
      <c r="BM111" s="84">
        <v>15</v>
      </c>
      <c r="BN111" s="79" t="s">
        <v>195</v>
      </c>
      <c r="BO111" s="79" t="s">
        <v>195</v>
      </c>
      <c r="BP111" s="79" t="s">
        <v>195</v>
      </c>
      <c r="BQ111" s="79" t="s">
        <v>195</v>
      </c>
      <c r="BR111" s="79" t="s">
        <v>195</v>
      </c>
      <c r="BS111" s="79" t="s">
        <v>195</v>
      </c>
      <c r="BT111" s="79" t="s">
        <v>195</v>
      </c>
      <c r="BU111" s="84">
        <v>33</v>
      </c>
      <c r="BV111" s="79" t="s">
        <v>195</v>
      </c>
    </row>
    <row r="112" spans="1:74">
      <c r="A112" s="78" t="s">
        <v>653</v>
      </c>
      <c r="B112" s="78" t="s">
        <v>654</v>
      </c>
      <c r="C112" s="82">
        <v>2601.15</v>
      </c>
      <c r="D112" s="82">
        <v>0.31</v>
      </c>
      <c r="E112" s="82">
        <v>4887.55</v>
      </c>
      <c r="F112" s="80" t="s">
        <v>195</v>
      </c>
      <c r="G112" s="82">
        <v>479.65</v>
      </c>
      <c r="H112" s="82">
        <v>0.33</v>
      </c>
      <c r="I112" s="83">
        <v>3698.3</v>
      </c>
      <c r="J112" s="80" t="s">
        <v>195</v>
      </c>
      <c r="K112" s="83">
        <v>707</v>
      </c>
      <c r="L112" s="80" t="s">
        <v>195</v>
      </c>
      <c r="M112" s="83">
        <v>1054.4000000000001</v>
      </c>
      <c r="N112" s="80" t="s">
        <v>195</v>
      </c>
      <c r="O112" s="83">
        <v>597.4</v>
      </c>
      <c r="P112" s="82">
        <v>0.31</v>
      </c>
      <c r="Q112" s="83">
        <v>637.79999999999995</v>
      </c>
      <c r="R112" s="80" t="s">
        <v>195</v>
      </c>
      <c r="S112" s="83">
        <v>236</v>
      </c>
      <c r="T112" s="82">
        <v>0.21</v>
      </c>
      <c r="U112" s="82">
        <v>964.74</v>
      </c>
      <c r="V112" s="82">
        <v>1.43</v>
      </c>
      <c r="W112" s="82">
        <v>485.85</v>
      </c>
      <c r="X112" s="80" t="s">
        <v>195</v>
      </c>
      <c r="Y112" s="82">
        <v>3980.69</v>
      </c>
      <c r="Z112" s="80" t="s">
        <v>195</v>
      </c>
      <c r="AA112" s="82">
        <v>9815.2199999999993</v>
      </c>
      <c r="AB112" s="83">
        <v>2224.1999999999998</v>
      </c>
      <c r="AC112" s="82">
        <v>3403.75</v>
      </c>
      <c r="AD112" s="82">
        <v>727.28</v>
      </c>
      <c r="AE112" s="82">
        <v>1050.8399999999999</v>
      </c>
      <c r="AF112" s="83">
        <v>978.8</v>
      </c>
      <c r="AG112" s="83">
        <v>1136.0999999999999</v>
      </c>
      <c r="AH112" s="80" t="s">
        <v>195</v>
      </c>
      <c r="AI112" s="82">
        <v>272.19</v>
      </c>
      <c r="AJ112" s="83">
        <v>1218.8</v>
      </c>
      <c r="AK112" s="82">
        <v>1154.76</v>
      </c>
      <c r="AL112" s="83">
        <v>244.8</v>
      </c>
      <c r="AM112" s="82">
        <v>686.07</v>
      </c>
      <c r="AN112" s="83">
        <v>2035</v>
      </c>
      <c r="AO112" s="82">
        <v>383.29</v>
      </c>
      <c r="AP112" s="83">
        <v>718.8</v>
      </c>
      <c r="AQ112" s="82">
        <v>2265.36</v>
      </c>
      <c r="AR112" s="83">
        <v>251.2</v>
      </c>
      <c r="AS112" s="82">
        <v>2415.54</v>
      </c>
      <c r="AT112" s="80" t="s">
        <v>195</v>
      </c>
      <c r="AU112" s="83">
        <v>341</v>
      </c>
      <c r="AV112" s="80" t="s">
        <v>195</v>
      </c>
      <c r="AW112" s="82">
        <v>95.72</v>
      </c>
      <c r="AX112" s="80" t="s">
        <v>195</v>
      </c>
      <c r="AY112" s="83">
        <v>3459.7</v>
      </c>
      <c r="AZ112" s="82">
        <v>1317.03</v>
      </c>
      <c r="BA112" s="82">
        <v>2228.4699999999998</v>
      </c>
      <c r="BB112" s="82">
        <v>2013.82</v>
      </c>
      <c r="BC112" s="80" t="s">
        <v>195</v>
      </c>
      <c r="BD112" s="82">
        <v>2228.7199999999998</v>
      </c>
      <c r="BE112" s="83">
        <v>123.7</v>
      </c>
      <c r="BF112" s="82">
        <v>1863.24</v>
      </c>
      <c r="BG112" s="82">
        <v>308.36</v>
      </c>
      <c r="BH112" s="82">
        <v>5000.1400000000003</v>
      </c>
      <c r="BI112" s="82">
        <v>756.43</v>
      </c>
      <c r="BJ112" s="82">
        <v>7179.62</v>
      </c>
      <c r="BK112" s="82">
        <v>183.71</v>
      </c>
      <c r="BL112" s="83">
        <v>4512.2</v>
      </c>
      <c r="BM112" s="82">
        <v>344.53</v>
      </c>
      <c r="BN112" s="83">
        <v>4330.5</v>
      </c>
      <c r="BO112" s="80" t="s">
        <v>195</v>
      </c>
      <c r="BP112" s="83">
        <v>3427.4</v>
      </c>
      <c r="BQ112" s="82">
        <v>129.28</v>
      </c>
      <c r="BR112" s="83">
        <v>1779</v>
      </c>
      <c r="BS112" s="82">
        <v>149.69</v>
      </c>
      <c r="BT112" s="83">
        <v>3251.6</v>
      </c>
      <c r="BU112" s="82">
        <v>95.26</v>
      </c>
      <c r="BV112" s="83">
        <v>1677</v>
      </c>
    </row>
    <row r="113" spans="1:74">
      <c r="A113" s="78" t="s">
        <v>655</v>
      </c>
      <c r="B113" s="78" t="s">
        <v>656</v>
      </c>
      <c r="C113" s="81">
        <v>1747.37</v>
      </c>
      <c r="D113" s="84">
        <v>10137.6</v>
      </c>
      <c r="E113" s="81">
        <v>1647.23</v>
      </c>
      <c r="F113" s="81">
        <v>10928.69</v>
      </c>
      <c r="G113" s="81">
        <v>2463.61</v>
      </c>
      <c r="H113" s="81">
        <v>8954.57</v>
      </c>
      <c r="I113" s="81">
        <v>4639.3100000000004</v>
      </c>
      <c r="J113" s="81">
        <v>13857.82</v>
      </c>
      <c r="K113" s="81">
        <v>2559.2399999999998</v>
      </c>
      <c r="L113" s="81">
        <v>12914.86</v>
      </c>
      <c r="M113" s="81">
        <v>1683.58</v>
      </c>
      <c r="N113" s="84">
        <v>8168.4</v>
      </c>
      <c r="O113" s="84">
        <v>6161.2</v>
      </c>
      <c r="P113" s="81">
        <v>12428.88</v>
      </c>
      <c r="Q113" s="81">
        <v>2891.25</v>
      </c>
      <c r="R113" s="81">
        <v>8525.17</v>
      </c>
      <c r="S113" s="81">
        <v>1684.05</v>
      </c>
      <c r="T113" s="81">
        <v>10184.31</v>
      </c>
      <c r="U113" s="81">
        <v>933.82</v>
      </c>
      <c r="V113" s="81">
        <v>10323.719999999999</v>
      </c>
      <c r="W113" s="81">
        <v>2073.8200000000002</v>
      </c>
      <c r="X113" s="81">
        <v>13585.41</v>
      </c>
      <c r="Y113" s="81">
        <v>2613.64</v>
      </c>
      <c r="Z113" s="81">
        <v>12072.22</v>
      </c>
      <c r="AA113" s="81">
        <v>588.45000000000005</v>
      </c>
      <c r="AB113" s="81">
        <v>4089.93</v>
      </c>
      <c r="AC113" s="84">
        <v>564</v>
      </c>
      <c r="AD113" s="81">
        <v>3156.85</v>
      </c>
      <c r="AE113" s="81">
        <v>1025.08</v>
      </c>
      <c r="AF113" s="81">
        <v>2501.9899999999998</v>
      </c>
      <c r="AG113" s="84">
        <v>386.6</v>
      </c>
      <c r="AH113" s="81">
        <v>2413.73</v>
      </c>
      <c r="AI113" s="81">
        <v>1599.37</v>
      </c>
      <c r="AJ113" s="81">
        <v>3019.33</v>
      </c>
      <c r="AK113" s="81">
        <v>2254.14</v>
      </c>
      <c r="AL113" s="81">
        <v>3394.19</v>
      </c>
      <c r="AM113" s="84">
        <v>2999.4</v>
      </c>
      <c r="AN113" s="84">
        <v>3057.7</v>
      </c>
      <c r="AO113" s="81">
        <v>1844.06</v>
      </c>
      <c r="AP113" s="81">
        <v>3141.86</v>
      </c>
      <c r="AQ113" s="81">
        <v>397.54</v>
      </c>
      <c r="AR113" s="81">
        <v>2928.96</v>
      </c>
      <c r="AS113" s="81">
        <v>607.80999999999995</v>
      </c>
      <c r="AT113" s="81">
        <v>2060.5300000000002</v>
      </c>
      <c r="AU113" s="81">
        <v>627.53</v>
      </c>
      <c r="AV113" s="81">
        <v>2400.62</v>
      </c>
      <c r="AW113" s="84">
        <v>98.8</v>
      </c>
      <c r="AX113" s="84">
        <v>2853</v>
      </c>
      <c r="AY113" s="84">
        <v>1516.1</v>
      </c>
      <c r="AZ113" s="81">
        <v>104.57</v>
      </c>
      <c r="BA113" s="81">
        <v>2555.1799999999998</v>
      </c>
      <c r="BB113" s="81">
        <v>170.39</v>
      </c>
      <c r="BC113" s="81">
        <v>1736.12</v>
      </c>
      <c r="BD113" s="81">
        <v>90.95</v>
      </c>
      <c r="BE113" s="81">
        <v>2282.87</v>
      </c>
      <c r="BF113" s="81">
        <v>99.46</v>
      </c>
      <c r="BG113" s="81">
        <v>2509.19</v>
      </c>
      <c r="BH113" s="81">
        <v>199.21</v>
      </c>
      <c r="BI113" s="81">
        <v>1881.77</v>
      </c>
      <c r="BJ113" s="81">
        <v>72.62</v>
      </c>
      <c r="BK113" s="81">
        <v>1094.52</v>
      </c>
      <c r="BL113" s="81">
        <v>63.92</v>
      </c>
      <c r="BM113" s="84">
        <v>1868.7</v>
      </c>
      <c r="BN113" s="81">
        <v>75.42</v>
      </c>
      <c r="BO113" s="81">
        <v>1854.27</v>
      </c>
      <c r="BP113" s="81">
        <v>258.98</v>
      </c>
      <c r="BQ113" s="81">
        <v>1536.37</v>
      </c>
      <c r="BR113" s="81">
        <v>198.91</v>
      </c>
      <c r="BS113" s="81">
        <v>2516.23</v>
      </c>
      <c r="BT113" s="81">
        <v>83.71</v>
      </c>
      <c r="BU113" s="81">
        <v>1141.03</v>
      </c>
      <c r="BV113" s="81">
        <v>94.98</v>
      </c>
    </row>
    <row r="114" spans="1:74">
      <c r="A114" s="78" t="s">
        <v>659</v>
      </c>
      <c r="B114" s="78" t="s">
        <v>660</v>
      </c>
      <c r="C114" s="84">
        <v>8.1999999999999993</v>
      </c>
      <c r="D114" s="79" t="s">
        <v>195</v>
      </c>
      <c r="E114" s="84">
        <v>22.8</v>
      </c>
      <c r="F114" s="79" t="s">
        <v>195</v>
      </c>
      <c r="G114" s="81">
        <v>108.37</v>
      </c>
      <c r="H114" s="79" t="s">
        <v>195</v>
      </c>
      <c r="I114" s="84">
        <v>14.6</v>
      </c>
      <c r="J114" s="79" t="s">
        <v>195</v>
      </c>
      <c r="K114" s="84">
        <v>19.3</v>
      </c>
      <c r="L114" s="81">
        <v>0.03</v>
      </c>
      <c r="M114" s="81">
        <v>68.12</v>
      </c>
      <c r="N114" s="81">
        <v>0.23</v>
      </c>
      <c r="O114" s="81">
        <v>101.23</v>
      </c>
      <c r="P114" s="81">
        <v>0.46</v>
      </c>
      <c r="Q114" s="81">
        <v>30.35</v>
      </c>
      <c r="R114" s="81">
        <v>63.01</v>
      </c>
      <c r="S114" s="84">
        <v>83.8</v>
      </c>
      <c r="T114" s="79" t="s">
        <v>195</v>
      </c>
      <c r="U114" s="81">
        <v>105.32</v>
      </c>
      <c r="V114" s="81">
        <v>1.81</v>
      </c>
      <c r="W114" s="84">
        <v>77</v>
      </c>
      <c r="X114" s="79" t="s">
        <v>195</v>
      </c>
      <c r="Y114" s="84">
        <v>603.9</v>
      </c>
      <c r="Z114" s="81">
        <v>0.01</v>
      </c>
      <c r="AA114" s="81">
        <v>34.28</v>
      </c>
      <c r="AB114" s="81">
        <v>0.27</v>
      </c>
      <c r="AC114" s="81">
        <v>83.64</v>
      </c>
      <c r="AD114" s="79" t="s">
        <v>195</v>
      </c>
      <c r="AE114" s="81">
        <v>109.47</v>
      </c>
      <c r="AF114" s="79" t="s">
        <v>195</v>
      </c>
      <c r="AG114" s="81">
        <v>108.46</v>
      </c>
      <c r="AH114" s="81">
        <v>0.01</v>
      </c>
      <c r="AI114" s="81">
        <v>96.35</v>
      </c>
      <c r="AJ114" s="81">
        <v>0.01</v>
      </c>
      <c r="AK114" s="81">
        <v>24.41</v>
      </c>
      <c r="AL114" s="81">
        <v>0.02</v>
      </c>
      <c r="AM114" s="81">
        <v>93.91</v>
      </c>
      <c r="AN114" s="81">
        <v>0.05</v>
      </c>
      <c r="AO114" s="81">
        <v>23.31</v>
      </c>
      <c r="AP114" s="81">
        <v>0.01</v>
      </c>
      <c r="AQ114" s="81">
        <v>92.44</v>
      </c>
      <c r="AR114" s="81">
        <v>0.01</v>
      </c>
      <c r="AS114" s="81">
        <v>53.35</v>
      </c>
      <c r="AT114" s="81">
        <v>0.17</v>
      </c>
      <c r="AU114" s="81">
        <v>423.36</v>
      </c>
      <c r="AV114" s="81">
        <v>0.12</v>
      </c>
      <c r="AW114" s="81">
        <v>108.21</v>
      </c>
      <c r="AX114" s="81">
        <v>0.05</v>
      </c>
      <c r="AY114" s="81">
        <v>345.68</v>
      </c>
      <c r="AZ114" s="81">
        <v>788.81</v>
      </c>
      <c r="BA114" s="81">
        <v>152.47</v>
      </c>
      <c r="BB114" s="81">
        <v>968.18</v>
      </c>
      <c r="BC114" s="81">
        <v>652.97</v>
      </c>
      <c r="BD114" s="81">
        <v>93.75</v>
      </c>
      <c r="BE114" s="81">
        <v>238.85</v>
      </c>
      <c r="BF114" s="81">
        <v>2868.16</v>
      </c>
      <c r="BG114" s="81">
        <v>379.15</v>
      </c>
      <c r="BH114" s="81">
        <v>2444.88</v>
      </c>
      <c r="BI114" s="84">
        <v>274.5</v>
      </c>
      <c r="BJ114" s="81">
        <v>3918.13</v>
      </c>
      <c r="BK114" s="81">
        <v>159.28</v>
      </c>
      <c r="BL114" s="81">
        <v>2869.64</v>
      </c>
      <c r="BM114" s="81">
        <v>160.77000000000001</v>
      </c>
      <c r="BN114" s="84">
        <v>2903</v>
      </c>
      <c r="BO114" s="81">
        <v>712.18</v>
      </c>
      <c r="BP114" s="84">
        <v>1794.6</v>
      </c>
      <c r="BQ114" s="81">
        <v>884.22</v>
      </c>
      <c r="BR114" s="81">
        <v>4549.33</v>
      </c>
      <c r="BS114" s="81">
        <v>975.74</v>
      </c>
      <c r="BT114" s="81">
        <v>2735.61</v>
      </c>
      <c r="BU114" s="81">
        <v>941.69</v>
      </c>
      <c r="BV114" s="81">
        <v>5217.84</v>
      </c>
    </row>
    <row r="115" spans="1:74">
      <c r="A115" s="78" t="s">
        <v>661</v>
      </c>
      <c r="B115" s="78" t="s">
        <v>662</v>
      </c>
      <c r="C115" s="82">
        <v>29682.71</v>
      </c>
      <c r="D115" s="82">
        <v>1024.8599999999999</v>
      </c>
      <c r="E115" s="82">
        <v>21035.41</v>
      </c>
      <c r="F115" s="82">
        <v>662.97</v>
      </c>
      <c r="G115" s="82">
        <v>31929.83</v>
      </c>
      <c r="H115" s="82">
        <v>639.21</v>
      </c>
      <c r="I115" s="82">
        <v>13659.25</v>
      </c>
      <c r="J115" s="82">
        <v>1134.01</v>
      </c>
      <c r="K115" s="82">
        <v>18131.02</v>
      </c>
      <c r="L115" s="82">
        <v>886.87</v>
      </c>
      <c r="M115" s="82">
        <v>15328.35</v>
      </c>
      <c r="N115" s="82">
        <v>1061.04</v>
      </c>
      <c r="O115" s="82">
        <v>16820.64</v>
      </c>
      <c r="P115" s="82">
        <v>931.64</v>
      </c>
      <c r="Q115" s="82">
        <v>15661.83</v>
      </c>
      <c r="R115" s="83">
        <v>1087.5</v>
      </c>
      <c r="S115" s="82">
        <v>19614.509999999998</v>
      </c>
      <c r="T115" s="82">
        <v>1251.02</v>
      </c>
      <c r="U115" s="82">
        <v>19282.18</v>
      </c>
      <c r="V115" s="82">
        <v>1274.51</v>
      </c>
      <c r="W115" s="82">
        <v>20094.09</v>
      </c>
      <c r="X115" s="82">
        <v>1434.14</v>
      </c>
      <c r="Y115" s="82">
        <v>22564.77</v>
      </c>
      <c r="Z115" s="82">
        <v>1598.94</v>
      </c>
      <c r="AA115" s="82">
        <v>24812.06</v>
      </c>
      <c r="AB115" s="82">
        <v>1898.59</v>
      </c>
      <c r="AC115" s="82">
        <v>23819.52</v>
      </c>
      <c r="AD115" s="82">
        <v>1229.6500000000001</v>
      </c>
      <c r="AE115" s="82">
        <v>20290.03</v>
      </c>
      <c r="AF115" s="82">
        <v>1810.26</v>
      </c>
      <c r="AG115" s="83">
        <v>23186.7</v>
      </c>
      <c r="AH115" s="82">
        <v>2192.9499999999998</v>
      </c>
      <c r="AI115" s="82">
        <v>21342.69</v>
      </c>
      <c r="AJ115" s="82">
        <v>1892.99</v>
      </c>
      <c r="AK115" s="83">
        <v>19997.599999999999</v>
      </c>
      <c r="AL115" s="83">
        <v>2634.3</v>
      </c>
      <c r="AM115" s="82">
        <v>25359.14</v>
      </c>
      <c r="AN115" s="82">
        <v>2755.64</v>
      </c>
      <c r="AO115" s="82">
        <v>26803.89</v>
      </c>
      <c r="AP115" s="82">
        <v>2947.65</v>
      </c>
      <c r="AQ115" s="82">
        <v>26113.53</v>
      </c>
      <c r="AR115" s="82">
        <v>4091.07</v>
      </c>
      <c r="AS115" s="83">
        <v>28530.7</v>
      </c>
      <c r="AT115" s="82">
        <v>4486.16</v>
      </c>
      <c r="AU115" s="82">
        <v>29863.29</v>
      </c>
      <c r="AV115" s="82">
        <v>2147.4699999999998</v>
      </c>
      <c r="AW115" s="82">
        <v>28315.61</v>
      </c>
      <c r="AX115" s="82">
        <v>3174.76</v>
      </c>
      <c r="AY115" s="82">
        <v>23988.97</v>
      </c>
      <c r="AZ115" s="82">
        <v>2076.5700000000002</v>
      </c>
      <c r="BA115" s="83">
        <v>26359.1</v>
      </c>
      <c r="BB115" s="82">
        <v>1625.76</v>
      </c>
      <c r="BC115" s="82">
        <v>30648.25</v>
      </c>
      <c r="BD115" s="82">
        <v>2533.0300000000002</v>
      </c>
      <c r="BE115" s="82">
        <v>26933.11</v>
      </c>
      <c r="BF115" s="83">
        <v>2897</v>
      </c>
      <c r="BG115" s="82">
        <v>34832.730000000003</v>
      </c>
      <c r="BH115" s="82">
        <v>3053.58</v>
      </c>
      <c r="BI115" s="82">
        <v>23215.119999999999</v>
      </c>
      <c r="BJ115" s="82">
        <v>3309.05</v>
      </c>
      <c r="BK115" s="82">
        <v>28393.63</v>
      </c>
      <c r="BL115" s="82">
        <v>6566.35</v>
      </c>
      <c r="BM115" s="82">
        <v>29888.07</v>
      </c>
      <c r="BN115" s="82">
        <v>4077.29</v>
      </c>
      <c r="BO115" s="82">
        <v>25914.560000000001</v>
      </c>
      <c r="BP115" s="82">
        <v>2937.46</v>
      </c>
      <c r="BQ115" s="82">
        <v>34381.379999999997</v>
      </c>
      <c r="BR115" s="82">
        <v>3367.21</v>
      </c>
      <c r="BS115" s="82">
        <v>31399.07</v>
      </c>
      <c r="BT115" s="83">
        <v>2722</v>
      </c>
      <c r="BU115" s="82">
        <v>28375.67</v>
      </c>
      <c r="BV115" s="82">
        <v>2857.18</v>
      </c>
    </row>
    <row r="116" spans="1:74">
      <c r="A116" s="78" t="s">
        <v>663</v>
      </c>
      <c r="B116" s="78" t="s">
        <v>664</v>
      </c>
      <c r="C116" s="81">
        <v>3374.01</v>
      </c>
      <c r="D116" s="81">
        <v>79.33</v>
      </c>
      <c r="E116" s="81">
        <v>3023.74</v>
      </c>
      <c r="F116" s="81">
        <v>54.41</v>
      </c>
      <c r="G116" s="81">
        <v>4094.54</v>
      </c>
      <c r="H116" s="84">
        <v>412.6</v>
      </c>
      <c r="I116" s="81">
        <v>3357.92</v>
      </c>
      <c r="J116" s="81">
        <v>176.88</v>
      </c>
      <c r="K116" s="81">
        <v>3918.53</v>
      </c>
      <c r="L116" s="81">
        <v>68.56</v>
      </c>
      <c r="M116" s="84">
        <v>3319</v>
      </c>
      <c r="N116" s="81">
        <v>71.38</v>
      </c>
      <c r="O116" s="81">
        <v>3861.49</v>
      </c>
      <c r="P116" s="81">
        <v>127.34</v>
      </c>
      <c r="Q116" s="81">
        <v>3773.62</v>
      </c>
      <c r="R116" s="81">
        <v>108.24</v>
      </c>
      <c r="S116" s="81">
        <v>4437.8100000000004</v>
      </c>
      <c r="T116" s="81">
        <v>157.87</v>
      </c>
      <c r="U116" s="81">
        <v>3850.26</v>
      </c>
      <c r="V116" s="81">
        <v>325.79000000000002</v>
      </c>
      <c r="W116" s="81">
        <v>4987.83</v>
      </c>
      <c r="X116" s="84">
        <v>91.9</v>
      </c>
      <c r="Y116" s="81">
        <v>5441.16</v>
      </c>
      <c r="Z116" s="81">
        <v>223.84</v>
      </c>
      <c r="AA116" s="81">
        <v>5100.74</v>
      </c>
      <c r="AB116" s="81">
        <v>150.69</v>
      </c>
      <c r="AC116" s="81">
        <v>4108.34</v>
      </c>
      <c r="AD116" s="81">
        <v>49.79</v>
      </c>
      <c r="AE116" s="81">
        <v>3939.56</v>
      </c>
      <c r="AF116" s="84">
        <v>24.1</v>
      </c>
      <c r="AG116" s="81">
        <v>5246.44</v>
      </c>
      <c r="AH116" s="81">
        <v>54.62</v>
      </c>
      <c r="AI116" s="84">
        <v>3895</v>
      </c>
      <c r="AJ116" s="81">
        <v>27.84</v>
      </c>
      <c r="AK116" s="81">
        <v>3442.73</v>
      </c>
      <c r="AL116" s="81">
        <v>83.73</v>
      </c>
      <c r="AM116" s="81">
        <v>5496.35</v>
      </c>
      <c r="AN116" s="81">
        <v>148.59</v>
      </c>
      <c r="AO116" s="81">
        <v>4158.1499999999996</v>
      </c>
      <c r="AP116" s="81">
        <v>65.150000000000006</v>
      </c>
      <c r="AQ116" s="81">
        <v>6672.53</v>
      </c>
      <c r="AR116" s="81">
        <v>134.97999999999999</v>
      </c>
      <c r="AS116" s="81">
        <v>4214.79</v>
      </c>
      <c r="AT116" s="81">
        <v>67.44</v>
      </c>
      <c r="AU116" s="81">
        <v>6129.35</v>
      </c>
      <c r="AV116" s="81">
        <v>42.38</v>
      </c>
      <c r="AW116" s="81">
        <v>5012.34</v>
      </c>
      <c r="AX116" s="81">
        <v>57.17</v>
      </c>
      <c r="AY116" s="81">
        <v>4462.93</v>
      </c>
      <c r="AZ116" s="81">
        <v>40.51</v>
      </c>
      <c r="BA116" s="81">
        <v>11950.83</v>
      </c>
      <c r="BB116" s="81">
        <v>103.04</v>
      </c>
      <c r="BC116" s="81">
        <v>6991.33</v>
      </c>
      <c r="BD116" s="81">
        <v>566.13</v>
      </c>
      <c r="BE116" s="81">
        <v>4962.6099999999997</v>
      </c>
      <c r="BF116" s="81">
        <v>118.21</v>
      </c>
      <c r="BG116" s="81">
        <v>5239.78</v>
      </c>
      <c r="BH116" s="81">
        <v>114.43</v>
      </c>
      <c r="BI116" s="81">
        <v>4160.59</v>
      </c>
      <c r="BJ116" s="81">
        <v>529.77</v>
      </c>
      <c r="BK116" s="81">
        <v>5360.63</v>
      </c>
      <c r="BL116" s="81">
        <v>17.97</v>
      </c>
      <c r="BM116" s="81">
        <v>2413.21</v>
      </c>
      <c r="BN116" s="81">
        <v>30.95</v>
      </c>
      <c r="BO116" s="81">
        <v>7149.62</v>
      </c>
      <c r="BP116" s="81">
        <v>31.39</v>
      </c>
      <c r="BQ116" s="81">
        <v>5222.1899999999996</v>
      </c>
      <c r="BR116" s="81">
        <v>40.33</v>
      </c>
      <c r="BS116" s="81">
        <v>5155.41</v>
      </c>
      <c r="BT116" s="81">
        <v>14.73</v>
      </c>
      <c r="BU116" s="81">
        <v>5853.97</v>
      </c>
      <c r="BV116" s="81">
        <v>49.15</v>
      </c>
    </row>
    <row r="117" spans="1:74">
      <c r="A117" s="78" t="s">
        <v>665</v>
      </c>
      <c r="B117" s="78" t="s">
        <v>666</v>
      </c>
      <c r="C117" s="82">
        <v>458.51</v>
      </c>
      <c r="D117" s="82">
        <v>45.63</v>
      </c>
      <c r="E117" s="83">
        <v>148.80000000000001</v>
      </c>
      <c r="F117" s="82">
        <v>25.47</v>
      </c>
      <c r="G117" s="82">
        <v>145.25</v>
      </c>
      <c r="H117" s="82">
        <v>274.57</v>
      </c>
      <c r="I117" s="82">
        <v>259.75</v>
      </c>
      <c r="J117" s="82">
        <v>48.38</v>
      </c>
      <c r="K117" s="83">
        <v>175.4</v>
      </c>
      <c r="L117" s="82">
        <v>126.87</v>
      </c>
      <c r="M117" s="82">
        <v>239.15</v>
      </c>
      <c r="N117" s="82">
        <v>91.71</v>
      </c>
      <c r="O117" s="82">
        <v>122.95</v>
      </c>
      <c r="P117" s="82">
        <v>175.28</v>
      </c>
      <c r="Q117" s="82">
        <v>202.01</v>
      </c>
      <c r="R117" s="83">
        <v>129.69999999999999</v>
      </c>
      <c r="S117" s="83">
        <v>250</v>
      </c>
      <c r="T117" s="82">
        <v>77.849999999999994</v>
      </c>
      <c r="U117" s="82">
        <v>122.11</v>
      </c>
      <c r="V117" s="82">
        <v>49.38</v>
      </c>
      <c r="W117" s="82">
        <v>290.85000000000002</v>
      </c>
      <c r="X117" s="83">
        <v>50.3</v>
      </c>
      <c r="Y117" s="82">
        <v>118.44</v>
      </c>
      <c r="Z117" s="82">
        <v>48.71</v>
      </c>
      <c r="AA117" s="83">
        <v>421</v>
      </c>
      <c r="AB117" s="83">
        <v>31.6</v>
      </c>
      <c r="AC117" s="82">
        <v>541.35</v>
      </c>
      <c r="AD117" s="82">
        <v>39.270000000000003</v>
      </c>
      <c r="AE117" s="83">
        <v>306.10000000000002</v>
      </c>
      <c r="AF117" s="82">
        <v>34.04</v>
      </c>
      <c r="AG117" s="83">
        <v>397.5</v>
      </c>
      <c r="AH117" s="82">
        <v>49.37</v>
      </c>
      <c r="AI117" s="82">
        <v>346.95</v>
      </c>
      <c r="AJ117" s="82">
        <v>29.04</v>
      </c>
      <c r="AK117" s="83">
        <v>404.6</v>
      </c>
      <c r="AL117" s="82">
        <v>34.770000000000003</v>
      </c>
      <c r="AM117" s="83">
        <v>350.5</v>
      </c>
      <c r="AN117" s="82">
        <v>83.94</v>
      </c>
      <c r="AO117" s="83">
        <v>398.5</v>
      </c>
      <c r="AP117" s="82">
        <v>72.75</v>
      </c>
      <c r="AQ117" s="82">
        <v>448.55</v>
      </c>
      <c r="AR117" s="82">
        <v>63.44</v>
      </c>
      <c r="AS117" s="83">
        <v>378</v>
      </c>
      <c r="AT117" s="82">
        <v>34.159999999999997</v>
      </c>
      <c r="AU117" s="83">
        <v>220</v>
      </c>
      <c r="AV117" s="82">
        <v>31.89</v>
      </c>
      <c r="AW117" s="82">
        <v>369.25</v>
      </c>
      <c r="AX117" s="82">
        <v>42.28</v>
      </c>
      <c r="AY117" s="82">
        <v>183.25</v>
      </c>
      <c r="AZ117" s="82">
        <v>32.74</v>
      </c>
      <c r="BA117" s="82">
        <v>254.25</v>
      </c>
      <c r="BB117" s="82">
        <v>300.81</v>
      </c>
      <c r="BC117" s="82">
        <v>325.25</v>
      </c>
      <c r="BD117" s="82">
        <v>528.29</v>
      </c>
      <c r="BE117" s="82">
        <v>335.97</v>
      </c>
      <c r="BF117" s="83">
        <v>1078.4000000000001</v>
      </c>
      <c r="BG117" s="82">
        <v>177.21</v>
      </c>
      <c r="BH117" s="83">
        <v>52.9</v>
      </c>
      <c r="BI117" s="82">
        <v>177.98</v>
      </c>
      <c r="BJ117" s="82">
        <v>30.18</v>
      </c>
      <c r="BK117" s="82">
        <v>259.19</v>
      </c>
      <c r="BL117" s="82">
        <v>26.25</v>
      </c>
      <c r="BM117" s="82">
        <v>338.48</v>
      </c>
      <c r="BN117" s="82">
        <v>19.850000000000001</v>
      </c>
      <c r="BO117" s="83">
        <v>277.5</v>
      </c>
      <c r="BP117" s="82">
        <v>254.39</v>
      </c>
      <c r="BQ117" s="82">
        <v>730.69</v>
      </c>
      <c r="BR117" s="82">
        <v>37.42</v>
      </c>
      <c r="BS117" s="82">
        <v>377.63</v>
      </c>
      <c r="BT117" s="82">
        <v>39.869999999999997</v>
      </c>
      <c r="BU117" s="82">
        <v>356.75</v>
      </c>
      <c r="BV117" s="82">
        <v>17.07</v>
      </c>
    </row>
    <row r="118" spans="1:74">
      <c r="A118" s="78" t="s">
        <v>667</v>
      </c>
      <c r="B118" s="78" t="s">
        <v>668</v>
      </c>
      <c r="C118" s="81">
        <v>1504.27</v>
      </c>
      <c r="D118" s="81">
        <v>17.32</v>
      </c>
      <c r="E118" s="81">
        <v>1454.62</v>
      </c>
      <c r="F118" s="84">
        <v>94</v>
      </c>
      <c r="G118" s="81">
        <v>1434.64</v>
      </c>
      <c r="H118" s="81">
        <v>53.04</v>
      </c>
      <c r="I118" s="81">
        <v>2092.71</v>
      </c>
      <c r="J118" s="81">
        <v>22.15</v>
      </c>
      <c r="K118" s="81">
        <v>1280.1500000000001</v>
      </c>
      <c r="L118" s="81">
        <v>8.09</v>
      </c>
      <c r="M118" s="81">
        <v>1279.8699999999999</v>
      </c>
      <c r="N118" s="81">
        <v>54.39</v>
      </c>
      <c r="O118" s="81">
        <v>1697.58</v>
      </c>
      <c r="P118" s="81">
        <v>50.53</v>
      </c>
      <c r="Q118" s="81">
        <v>1821.01</v>
      </c>
      <c r="R118" s="81">
        <v>118.13</v>
      </c>
      <c r="S118" s="84">
        <v>5357.1</v>
      </c>
      <c r="T118" s="81">
        <v>171.61</v>
      </c>
      <c r="U118" s="81">
        <v>2500.41</v>
      </c>
      <c r="V118" s="81">
        <v>62.62</v>
      </c>
      <c r="W118" s="81">
        <v>1544.88</v>
      </c>
      <c r="X118" s="81">
        <v>57.37</v>
      </c>
      <c r="Y118" s="81">
        <v>1595.39</v>
      </c>
      <c r="Z118" s="81">
        <v>136.16999999999999</v>
      </c>
      <c r="AA118" s="81">
        <v>1252.06</v>
      </c>
      <c r="AB118" s="81">
        <v>151.05000000000001</v>
      </c>
      <c r="AC118" s="81">
        <v>3288.99</v>
      </c>
      <c r="AD118" s="81">
        <v>176.84</v>
      </c>
      <c r="AE118" s="81">
        <v>4565.91</v>
      </c>
      <c r="AF118" s="81">
        <v>34.61</v>
      </c>
      <c r="AG118" s="81">
        <v>3739.47</v>
      </c>
      <c r="AH118" s="81">
        <v>218.47</v>
      </c>
      <c r="AI118" s="81">
        <v>3540.16</v>
      </c>
      <c r="AJ118" s="84">
        <v>76.7</v>
      </c>
      <c r="AK118" s="81">
        <v>2860.65</v>
      </c>
      <c r="AL118" s="81">
        <v>224.31</v>
      </c>
      <c r="AM118" s="81">
        <v>2757.61</v>
      </c>
      <c r="AN118" s="81">
        <v>312.19</v>
      </c>
      <c r="AO118" s="84">
        <v>3891.1</v>
      </c>
      <c r="AP118" s="84">
        <v>189.1</v>
      </c>
      <c r="AQ118" s="84">
        <v>2176</v>
      </c>
      <c r="AR118" s="81">
        <v>70.62</v>
      </c>
      <c r="AS118" s="81">
        <v>2173.86</v>
      </c>
      <c r="AT118" s="81">
        <v>211.66</v>
      </c>
      <c r="AU118" s="81">
        <v>2884.33</v>
      </c>
      <c r="AV118" s="81">
        <v>77.03</v>
      </c>
      <c r="AW118" s="81">
        <v>2080.66</v>
      </c>
      <c r="AX118" s="81">
        <v>142.13999999999999</v>
      </c>
      <c r="AY118" s="81">
        <v>9629.56</v>
      </c>
      <c r="AZ118" s="81">
        <v>8.51</v>
      </c>
      <c r="BA118" s="84">
        <v>7726.8</v>
      </c>
      <c r="BB118" s="81">
        <v>5.22</v>
      </c>
      <c r="BC118" s="81">
        <v>6531.17</v>
      </c>
      <c r="BD118" s="79" t="s">
        <v>195</v>
      </c>
      <c r="BE118" s="81">
        <v>5984.59</v>
      </c>
      <c r="BF118" s="79" t="s">
        <v>195</v>
      </c>
      <c r="BG118" s="84">
        <v>7354.9</v>
      </c>
      <c r="BH118" s="81">
        <v>20.39</v>
      </c>
      <c r="BI118" s="81">
        <v>4870.57</v>
      </c>
      <c r="BJ118" s="81">
        <v>17.73</v>
      </c>
      <c r="BK118" s="84">
        <v>6286.9</v>
      </c>
      <c r="BL118" s="81">
        <v>2.35</v>
      </c>
      <c r="BM118" s="81">
        <v>6457.42</v>
      </c>
      <c r="BN118" s="81">
        <v>10.31</v>
      </c>
      <c r="BO118" s="81">
        <v>3120.04</v>
      </c>
      <c r="BP118" s="81">
        <v>78.94</v>
      </c>
      <c r="BQ118" s="81">
        <v>4753.6899999999996</v>
      </c>
      <c r="BR118" s="81">
        <v>45.05</v>
      </c>
      <c r="BS118" s="81">
        <v>4540.54</v>
      </c>
      <c r="BT118" s="84">
        <v>55.5</v>
      </c>
      <c r="BU118" s="84">
        <v>4787.3</v>
      </c>
      <c r="BV118" s="81">
        <v>18.63</v>
      </c>
    </row>
    <row r="119" spans="1:74">
      <c r="A119" s="78" t="s">
        <v>669</v>
      </c>
      <c r="B119" s="78" t="s">
        <v>657</v>
      </c>
      <c r="C119" s="83">
        <v>119.2</v>
      </c>
      <c r="D119" s="80" t="s">
        <v>195</v>
      </c>
      <c r="E119" s="82">
        <v>115.25</v>
      </c>
      <c r="F119" s="80" t="s">
        <v>195</v>
      </c>
      <c r="G119" s="82">
        <v>108.85</v>
      </c>
      <c r="H119" s="82">
        <v>0.18</v>
      </c>
      <c r="I119" s="83">
        <v>147.6</v>
      </c>
      <c r="J119" s="80" t="s">
        <v>195</v>
      </c>
      <c r="K119" s="83">
        <v>101.9</v>
      </c>
      <c r="L119" s="80" t="s">
        <v>195</v>
      </c>
      <c r="M119" s="83">
        <v>144.1</v>
      </c>
      <c r="N119" s="80" t="s">
        <v>195</v>
      </c>
      <c r="O119" s="83">
        <v>198.1</v>
      </c>
      <c r="P119" s="80" t="s">
        <v>195</v>
      </c>
      <c r="Q119" s="83">
        <v>186.3</v>
      </c>
      <c r="R119" s="80" t="s">
        <v>195</v>
      </c>
      <c r="S119" s="83">
        <v>142.80000000000001</v>
      </c>
      <c r="T119" s="80" t="s">
        <v>195</v>
      </c>
      <c r="U119" s="83">
        <v>118.4</v>
      </c>
      <c r="V119" s="80" t="s">
        <v>195</v>
      </c>
      <c r="W119" s="83">
        <v>75</v>
      </c>
      <c r="X119" s="80" t="s">
        <v>195</v>
      </c>
      <c r="Y119" s="83">
        <v>84</v>
      </c>
      <c r="Z119" s="80" t="s">
        <v>195</v>
      </c>
      <c r="AA119" s="83">
        <v>406</v>
      </c>
      <c r="AB119" s="80" t="s">
        <v>195</v>
      </c>
      <c r="AC119" s="82">
        <v>410.94</v>
      </c>
      <c r="AD119" s="82">
        <v>0.25</v>
      </c>
      <c r="AE119" s="83">
        <v>115</v>
      </c>
      <c r="AF119" s="82">
        <v>56.15</v>
      </c>
      <c r="AG119" s="83">
        <v>180.6</v>
      </c>
      <c r="AH119" s="83">
        <v>0.5</v>
      </c>
      <c r="AI119" s="83">
        <v>431.3</v>
      </c>
      <c r="AJ119" s="80" t="s">
        <v>195</v>
      </c>
      <c r="AK119" s="82">
        <v>421.52</v>
      </c>
      <c r="AL119" s="82">
        <v>38.07</v>
      </c>
      <c r="AM119" s="83">
        <v>207.2</v>
      </c>
      <c r="AN119" s="82">
        <v>1.18</v>
      </c>
      <c r="AO119" s="82">
        <v>180.55</v>
      </c>
      <c r="AP119" s="83">
        <v>0.5</v>
      </c>
      <c r="AQ119" s="83">
        <v>176.4</v>
      </c>
      <c r="AR119" s="82">
        <v>26.11</v>
      </c>
      <c r="AS119" s="82">
        <v>244.25</v>
      </c>
      <c r="AT119" s="82">
        <v>0.64</v>
      </c>
      <c r="AU119" s="83">
        <v>137.80000000000001</v>
      </c>
      <c r="AV119" s="82">
        <v>0.49</v>
      </c>
      <c r="AW119" s="82">
        <v>185.36</v>
      </c>
      <c r="AX119" s="82">
        <v>0.56999999999999995</v>
      </c>
      <c r="AY119" s="83">
        <v>1043.4000000000001</v>
      </c>
      <c r="AZ119" s="80" t="s">
        <v>195</v>
      </c>
      <c r="BA119" s="83">
        <v>5</v>
      </c>
      <c r="BB119" s="83">
        <v>10</v>
      </c>
      <c r="BC119" s="83">
        <v>1852.3</v>
      </c>
      <c r="BD119" s="80" t="s">
        <v>195</v>
      </c>
      <c r="BE119" s="82">
        <v>1803.61</v>
      </c>
      <c r="BF119" s="80" t="s">
        <v>195</v>
      </c>
      <c r="BG119" s="82">
        <v>1308.78</v>
      </c>
      <c r="BH119" s="80" t="s">
        <v>195</v>
      </c>
      <c r="BI119" s="83">
        <v>1093.2</v>
      </c>
      <c r="BJ119" s="80" t="s">
        <v>195</v>
      </c>
      <c r="BK119" s="82">
        <v>937.61</v>
      </c>
      <c r="BL119" s="83">
        <v>10</v>
      </c>
      <c r="BM119" s="82">
        <v>798.03</v>
      </c>
      <c r="BN119" s="80" t="s">
        <v>195</v>
      </c>
      <c r="BO119" s="82">
        <v>787.95</v>
      </c>
      <c r="BP119" s="80" t="s">
        <v>195</v>
      </c>
      <c r="BQ119" s="82">
        <v>283.31</v>
      </c>
      <c r="BR119" s="80" t="s">
        <v>195</v>
      </c>
      <c r="BS119" s="82">
        <v>1256.93</v>
      </c>
      <c r="BT119" s="80" t="s">
        <v>195</v>
      </c>
      <c r="BU119" s="82">
        <v>2103.41</v>
      </c>
      <c r="BV119" s="80" t="s">
        <v>195</v>
      </c>
    </row>
    <row r="120" spans="1:74">
      <c r="A120" s="78" t="s">
        <v>670</v>
      </c>
      <c r="B120" s="78" t="s">
        <v>658</v>
      </c>
      <c r="C120" s="81">
        <v>1082.28</v>
      </c>
      <c r="D120" s="81">
        <v>18.38</v>
      </c>
      <c r="E120" s="84">
        <v>858.7</v>
      </c>
      <c r="F120" s="81">
        <v>8.3800000000000008</v>
      </c>
      <c r="G120" s="81">
        <v>678.97</v>
      </c>
      <c r="H120" s="84">
        <v>43.7</v>
      </c>
      <c r="I120" s="84">
        <v>1558.6</v>
      </c>
      <c r="J120" s="84">
        <v>10.199999999999999</v>
      </c>
      <c r="K120" s="81">
        <v>897.87</v>
      </c>
      <c r="L120" s="81">
        <v>3.83</v>
      </c>
      <c r="M120" s="81">
        <v>845.48</v>
      </c>
      <c r="N120" s="84">
        <v>6.5</v>
      </c>
      <c r="O120" s="84">
        <v>1144.5</v>
      </c>
      <c r="P120" s="81">
        <v>8.99</v>
      </c>
      <c r="Q120" s="81">
        <v>1057.58</v>
      </c>
      <c r="R120" s="81">
        <v>6.35</v>
      </c>
      <c r="S120" s="81">
        <v>1335.34</v>
      </c>
      <c r="T120" s="81">
        <v>11.04</v>
      </c>
      <c r="U120" s="81">
        <v>1079.97</v>
      </c>
      <c r="V120" s="81">
        <v>51.15</v>
      </c>
      <c r="W120" s="81">
        <v>1078.43</v>
      </c>
      <c r="X120" s="84">
        <v>38.799999999999997</v>
      </c>
      <c r="Y120" s="81">
        <v>792.38</v>
      </c>
      <c r="Z120" s="81">
        <v>62.25</v>
      </c>
      <c r="AA120" s="81">
        <v>1119.79</v>
      </c>
      <c r="AB120" s="81">
        <v>1.56</v>
      </c>
      <c r="AC120" s="84">
        <v>954.5</v>
      </c>
      <c r="AD120" s="81">
        <v>16.12</v>
      </c>
      <c r="AE120" s="81">
        <v>1504.35</v>
      </c>
      <c r="AF120" s="81">
        <v>15.66</v>
      </c>
      <c r="AG120" s="81">
        <v>951.06</v>
      </c>
      <c r="AH120" s="81">
        <v>1.85</v>
      </c>
      <c r="AI120" s="81">
        <v>1621.32</v>
      </c>
      <c r="AJ120" s="84">
        <v>8.3000000000000007</v>
      </c>
      <c r="AK120" s="84">
        <v>962.7</v>
      </c>
      <c r="AL120" s="81">
        <v>1.56</v>
      </c>
      <c r="AM120" s="81">
        <v>2066.7199999999998</v>
      </c>
      <c r="AN120" s="81">
        <v>10.48</v>
      </c>
      <c r="AO120" s="81">
        <v>606.34</v>
      </c>
      <c r="AP120" s="81">
        <v>13.34</v>
      </c>
      <c r="AQ120" s="81">
        <v>770.97</v>
      </c>
      <c r="AR120" s="81">
        <v>1.41</v>
      </c>
      <c r="AS120" s="81">
        <v>989.77</v>
      </c>
      <c r="AT120" s="81">
        <v>238.06</v>
      </c>
      <c r="AU120" s="81">
        <v>959.56</v>
      </c>
      <c r="AV120" s="81">
        <v>3.32</v>
      </c>
      <c r="AW120" s="84">
        <v>858.7</v>
      </c>
      <c r="AX120" s="81">
        <v>6.44</v>
      </c>
      <c r="AY120" s="81">
        <v>1905.67</v>
      </c>
      <c r="AZ120" s="81">
        <v>0.33</v>
      </c>
      <c r="BA120" s="81">
        <v>3549.76</v>
      </c>
      <c r="BB120" s="81">
        <v>250.88</v>
      </c>
      <c r="BC120" s="81">
        <v>1512.86</v>
      </c>
      <c r="BD120" s="81">
        <v>517.88</v>
      </c>
      <c r="BE120" s="81">
        <v>5221.6099999999997</v>
      </c>
      <c r="BF120" s="81">
        <v>253.21</v>
      </c>
      <c r="BG120" s="81">
        <v>2404.38</v>
      </c>
      <c r="BH120" s="81">
        <v>752.15</v>
      </c>
      <c r="BI120" s="81">
        <v>2365.2199999999998</v>
      </c>
      <c r="BJ120" s="81">
        <v>520.78</v>
      </c>
      <c r="BK120" s="81">
        <v>3473.21</v>
      </c>
      <c r="BL120" s="81">
        <v>258.69</v>
      </c>
      <c r="BM120" s="81">
        <v>3798.84</v>
      </c>
      <c r="BN120" s="81">
        <v>831.63</v>
      </c>
      <c r="BO120" s="84">
        <v>3038.3</v>
      </c>
      <c r="BP120" s="81">
        <v>275.92</v>
      </c>
      <c r="BQ120" s="81">
        <v>2544.5500000000002</v>
      </c>
      <c r="BR120" s="81">
        <v>1.35</v>
      </c>
      <c r="BS120" s="81">
        <v>1767.01</v>
      </c>
      <c r="BT120" s="81">
        <v>1012.96</v>
      </c>
      <c r="BU120" s="81">
        <v>2230.85</v>
      </c>
      <c r="BV120" s="81">
        <v>510.88</v>
      </c>
    </row>
    <row r="121" spans="1:74">
      <c r="A121" s="78" t="s">
        <v>671</v>
      </c>
      <c r="B121" s="78" t="s">
        <v>672</v>
      </c>
      <c r="C121" s="82">
        <v>279.76</v>
      </c>
      <c r="D121" s="82">
        <v>3.51</v>
      </c>
      <c r="E121" s="82">
        <v>23.97</v>
      </c>
      <c r="F121" s="82">
        <v>2.4900000000000002</v>
      </c>
      <c r="G121" s="82">
        <v>151.22999999999999</v>
      </c>
      <c r="H121" s="82">
        <v>5.59</v>
      </c>
      <c r="I121" s="82">
        <v>3783.04</v>
      </c>
      <c r="J121" s="82">
        <v>13.36</v>
      </c>
      <c r="K121" s="82">
        <v>472.32</v>
      </c>
      <c r="L121" s="82">
        <v>7.18</v>
      </c>
      <c r="M121" s="82">
        <v>119.16</v>
      </c>
      <c r="N121" s="82">
        <v>2.94</v>
      </c>
      <c r="O121" s="82">
        <v>502.34</v>
      </c>
      <c r="P121" s="82">
        <v>6.86</v>
      </c>
      <c r="Q121" s="82">
        <v>97.14</v>
      </c>
      <c r="R121" s="82">
        <v>6.88</v>
      </c>
      <c r="S121" s="82">
        <v>277.04000000000002</v>
      </c>
      <c r="T121" s="82">
        <v>8.93</v>
      </c>
      <c r="U121" s="82">
        <v>46.35</v>
      </c>
      <c r="V121" s="82">
        <v>9.32</v>
      </c>
      <c r="W121" s="82">
        <v>341.27</v>
      </c>
      <c r="X121" s="82">
        <v>5.96</v>
      </c>
      <c r="Y121" s="82">
        <v>35.65</v>
      </c>
      <c r="Z121" s="82">
        <v>10.08</v>
      </c>
      <c r="AA121" s="82">
        <v>256.24</v>
      </c>
      <c r="AB121" s="82">
        <v>1.25</v>
      </c>
      <c r="AC121" s="82">
        <v>42.58</v>
      </c>
      <c r="AD121" s="82">
        <v>6.18</v>
      </c>
      <c r="AE121" s="82">
        <v>25.95</v>
      </c>
      <c r="AF121" s="82">
        <v>6.14</v>
      </c>
      <c r="AG121" s="82">
        <v>106.56</v>
      </c>
      <c r="AH121" s="82">
        <v>12.37</v>
      </c>
      <c r="AI121" s="82">
        <v>72.569999999999993</v>
      </c>
      <c r="AJ121" s="82">
        <v>3.56</v>
      </c>
      <c r="AK121" s="82">
        <v>30.75</v>
      </c>
      <c r="AL121" s="82">
        <v>3.26</v>
      </c>
      <c r="AM121" s="82">
        <v>38.630000000000003</v>
      </c>
      <c r="AN121" s="82">
        <v>5.74</v>
      </c>
      <c r="AO121" s="82">
        <v>107.64</v>
      </c>
      <c r="AP121" s="82">
        <v>3.58</v>
      </c>
      <c r="AQ121" s="82">
        <v>28.87</v>
      </c>
      <c r="AR121" s="82">
        <v>7.23</v>
      </c>
      <c r="AS121" s="82">
        <v>62.73</v>
      </c>
      <c r="AT121" s="83">
        <v>15.2</v>
      </c>
      <c r="AU121" s="82">
        <v>33.78</v>
      </c>
      <c r="AV121" s="82">
        <v>6.09</v>
      </c>
      <c r="AW121" s="82">
        <v>142.21</v>
      </c>
      <c r="AX121" s="83">
        <v>12.6</v>
      </c>
      <c r="AY121" s="82">
        <v>201.64</v>
      </c>
      <c r="AZ121" s="82">
        <v>51.37</v>
      </c>
      <c r="BA121" s="82">
        <v>141.29</v>
      </c>
      <c r="BB121" s="82">
        <v>15.88</v>
      </c>
      <c r="BC121" s="82">
        <v>52.65</v>
      </c>
      <c r="BD121" s="82">
        <v>49.67</v>
      </c>
      <c r="BE121" s="82">
        <v>43.77</v>
      </c>
      <c r="BF121" s="82">
        <v>21.22</v>
      </c>
      <c r="BG121" s="82">
        <v>69.98</v>
      </c>
      <c r="BH121" s="82">
        <v>52.39</v>
      </c>
      <c r="BI121" s="82">
        <v>27.09</v>
      </c>
      <c r="BJ121" s="82">
        <v>18.71</v>
      </c>
      <c r="BK121" s="82">
        <v>232.63</v>
      </c>
      <c r="BL121" s="82">
        <v>18.190000000000001</v>
      </c>
      <c r="BM121" s="82">
        <v>119.95</v>
      </c>
      <c r="BN121" s="82">
        <v>17.78</v>
      </c>
      <c r="BO121" s="82">
        <v>32.79</v>
      </c>
      <c r="BP121" s="82">
        <v>56.59</v>
      </c>
      <c r="BQ121" s="82">
        <v>60.64</v>
      </c>
      <c r="BR121" s="82">
        <v>44.98</v>
      </c>
      <c r="BS121" s="82">
        <v>149.33000000000001</v>
      </c>
      <c r="BT121" s="82">
        <v>12.25</v>
      </c>
      <c r="BU121" s="82">
        <v>188.96</v>
      </c>
      <c r="BV121" s="82">
        <v>13.72</v>
      </c>
    </row>
    <row r="122" spans="1:74">
      <c r="A122" s="78" t="s">
        <v>673</v>
      </c>
      <c r="B122" s="78" t="s">
        <v>674</v>
      </c>
      <c r="C122" s="81">
        <v>1226.05</v>
      </c>
      <c r="D122" s="81">
        <v>28.05</v>
      </c>
      <c r="E122" s="84">
        <v>867.4</v>
      </c>
      <c r="F122" s="84">
        <v>25.4</v>
      </c>
      <c r="G122" s="81">
        <v>486.34</v>
      </c>
      <c r="H122" s="81">
        <v>60.04</v>
      </c>
      <c r="I122" s="81">
        <v>1842.59</v>
      </c>
      <c r="J122" s="81">
        <v>138.69</v>
      </c>
      <c r="K122" s="81">
        <v>523.04</v>
      </c>
      <c r="L122" s="81">
        <v>48.47</v>
      </c>
      <c r="M122" s="81">
        <v>663.51</v>
      </c>
      <c r="N122" s="81">
        <v>163.82</v>
      </c>
      <c r="O122" s="81">
        <v>247.45</v>
      </c>
      <c r="P122" s="81">
        <v>44.81</v>
      </c>
      <c r="Q122" s="81">
        <v>1109.9100000000001</v>
      </c>
      <c r="R122" s="81">
        <v>49.18</v>
      </c>
      <c r="S122" s="81">
        <v>231.09</v>
      </c>
      <c r="T122" s="84">
        <v>72.400000000000006</v>
      </c>
      <c r="U122" s="81">
        <v>653.22</v>
      </c>
      <c r="V122" s="81">
        <v>50.37</v>
      </c>
      <c r="W122" s="81">
        <v>787.29</v>
      </c>
      <c r="X122" s="84">
        <v>62.9</v>
      </c>
      <c r="Y122" s="81">
        <v>599.87</v>
      </c>
      <c r="Z122" s="81">
        <v>57.85</v>
      </c>
      <c r="AA122" s="81">
        <v>565.32000000000005</v>
      </c>
      <c r="AB122" s="81">
        <v>96.42</v>
      </c>
      <c r="AC122" s="81">
        <v>1147.74</v>
      </c>
      <c r="AD122" s="81">
        <v>51.97</v>
      </c>
      <c r="AE122" s="81">
        <v>995.53</v>
      </c>
      <c r="AF122" s="81">
        <v>38.54</v>
      </c>
      <c r="AG122" s="81">
        <v>1066.3599999999999</v>
      </c>
      <c r="AH122" s="81">
        <v>96.61</v>
      </c>
      <c r="AI122" s="81">
        <v>370.51</v>
      </c>
      <c r="AJ122" s="84">
        <v>64.599999999999994</v>
      </c>
      <c r="AK122" s="81">
        <v>682.88</v>
      </c>
      <c r="AL122" s="81">
        <v>65.959999999999994</v>
      </c>
      <c r="AM122" s="84">
        <v>902.7</v>
      </c>
      <c r="AN122" s="81">
        <v>60.94</v>
      </c>
      <c r="AO122" s="81">
        <v>1241.17</v>
      </c>
      <c r="AP122" s="81">
        <v>99.68</v>
      </c>
      <c r="AQ122" s="81">
        <v>837.94</v>
      </c>
      <c r="AR122" s="81">
        <v>84.41</v>
      </c>
      <c r="AS122" s="81">
        <v>1190.77</v>
      </c>
      <c r="AT122" s="81">
        <v>86.33</v>
      </c>
      <c r="AU122" s="81">
        <v>628.98</v>
      </c>
      <c r="AV122" s="81">
        <v>88.18</v>
      </c>
      <c r="AW122" s="81">
        <v>676.77</v>
      </c>
      <c r="AX122" s="81">
        <v>90.46</v>
      </c>
      <c r="AY122" s="81">
        <v>731.38</v>
      </c>
      <c r="AZ122" s="81">
        <v>19.25</v>
      </c>
      <c r="BA122" s="81">
        <v>1229.92</v>
      </c>
      <c r="BB122" s="81">
        <v>25.36</v>
      </c>
      <c r="BC122" s="81">
        <v>549.85</v>
      </c>
      <c r="BD122" s="81">
        <v>53.61</v>
      </c>
      <c r="BE122" s="81">
        <v>1040.73</v>
      </c>
      <c r="BF122" s="81">
        <v>25.81</v>
      </c>
      <c r="BG122" s="81">
        <v>951.02</v>
      </c>
      <c r="BH122" s="84">
        <v>51.2</v>
      </c>
      <c r="BI122" s="84">
        <v>451.2</v>
      </c>
      <c r="BJ122" s="81">
        <v>75.040000000000006</v>
      </c>
      <c r="BK122" s="81">
        <v>640.66999999999996</v>
      </c>
      <c r="BL122" s="81">
        <v>65.819999999999993</v>
      </c>
      <c r="BM122" s="81">
        <v>589.99</v>
      </c>
      <c r="BN122" s="81">
        <v>19.21</v>
      </c>
      <c r="BO122" s="81">
        <v>432.91</v>
      </c>
      <c r="BP122" s="81">
        <v>68.75</v>
      </c>
      <c r="BQ122" s="81">
        <v>923.27</v>
      </c>
      <c r="BR122" s="84">
        <v>43.5</v>
      </c>
      <c r="BS122" s="81">
        <v>676.27</v>
      </c>
      <c r="BT122" s="81">
        <v>14.26</v>
      </c>
      <c r="BU122" s="81">
        <v>551.02</v>
      </c>
      <c r="BV122" s="81">
        <v>38.43</v>
      </c>
    </row>
    <row r="123" spans="1:74">
      <c r="A123" s="78" t="s">
        <v>675</v>
      </c>
      <c r="B123" s="78" t="s">
        <v>676</v>
      </c>
      <c r="C123" s="80" t="s">
        <v>195</v>
      </c>
      <c r="D123" s="80" t="s">
        <v>195</v>
      </c>
      <c r="E123" s="80" t="s">
        <v>195</v>
      </c>
      <c r="F123" s="80" t="s">
        <v>195</v>
      </c>
      <c r="G123" s="80" t="s">
        <v>195</v>
      </c>
      <c r="H123" s="80" t="s">
        <v>195</v>
      </c>
      <c r="I123" s="80" t="s">
        <v>195</v>
      </c>
      <c r="J123" s="80" t="s">
        <v>195</v>
      </c>
      <c r="K123" s="80" t="s">
        <v>195</v>
      </c>
      <c r="L123" s="80" t="s">
        <v>195</v>
      </c>
      <c r="M123" s="80" t="s">
        <v>195</v>
      </c>
      <c r="N123" s="80" t="s">
        <v>195</v>
      </c>
      <c r="O123" s="80" t="s">
        <v>195</v>
      </c>
      <c r="P123" s="80" t="s">
        <v>195</v>
      </c>
      <c r="Q123" s="80" t="s">
        <v>195</v>
      </c>
      <c r="R123" s="80" t="s">
        <v>195</v>
      </c>
      <c r="S123" s="80" t="s">
        <v>195</v>
      </c>
      <c r="T123" s="80" t="s">
        <v>195</v>
      </c>
      <c r="U123" s="80" t="s">
        <v>195</v>
      </c>
      <c r="V123" s="80" t="s">
        <v>195</v>
      </c>
      <c r="W123" s="80" t="s">
        <v>195</v>
      </c>
      <c r="X123" s="80" t="s">
        <v>195</v>
      </c>
      <c r="Y123" s="80" t="s">
        <v>195</v>
      </c>
      <c r="Z123" s="80" t="s">
        <v>195</v>
      </c>
      <c r="AA123" s="80" t="s">
        <v>195</v>
      </c>
      <c r="AB123" s="80" t="s">
        <v>195</v>
      </c>
      <c r="AC123" s="80" t="s">
        <v>195</v>
      </c>
      <c r="AD123" s="80" t="s">
        <v>195</v>
      </c>
      <c r="AE123" s="80" t="s">
        <v>195</v>
      </c>
      <c r="AF123" s="80" t="s">
        <v>195</v>
      </c>
      <c r="AG123" s="80" t="s">
        <v>195</v>
      </c>
      <c r="AH123" s="80" t="s">
        <v>195</v>
      </c>
      <c r="AI123" s="80" t="s">
        <v>195</v>
      </c>
      <c r="AJ123" s="80" t="s">
        <v>195</v>
      </c>
      <c r="AK123" s="80" t="s">
        <v>195</v>
      </c>
      <c r="AL123" s="80" t="s">
        <v>195</v>
      </c>
      <c r="AM123" s="80" t="s">
        <v>195</v>
      </c>
      <c r="AN123" s="80" t="s">
        <v>195</v>
      </c>
      <c r="AO123" s="80" t="s">
        <v>195</v>
      </c>
      <c r="AP123" s="80" t="s">
        <v>195</v>
      </c>
      <c r="AQ123" s="80" t="s">
        <v>195</v>
      </c>
      <c r="AR123" s="80" t="s">
        <v>195</v>
      </c>
      <c r="AS123" s="80" t="s">
        <v>195</v>
      </c>
      <c r="AT123" s="80" t="s">
        <v>195</v>
      </c>
      <c r="AU123" s="80" t="s">
        <v>195</v>
      </c>
      <c r="AV123" s="80" t="s">
        <v>195</v>
      </c>
      <c r="AW123" s="80" t="s">
        <v>195</v>
      </c>
      <c r="AX123" s="80" t="s">
        <v>195</v>
      </c>
      <c r="AY123" s="80" t="s">
        <v>195</v>
      </c>
      <c r="AZ123" s="80" t="s">
        <v>195</v>
      </c>
      <c r="BA123" s="80" t="s">
        <v>195</v>
      </c>
      <c r="BB123" s="80" t="s">
        <v>195</v>
      </c>
      <c r="BC123" s="80" t="s">
        <v>195</v>
      </c>
      <c r="BD123" s="80" t="s">
        <v>195</v>
      </c>
      <c r="BE123" s="80" t="s">
        <v>195</v>
      </c>
      <c r="BF123" s="80" t="s">
        <v>195</v>
      </c>
      <c r="BG123" s="80" t="s">
        <v>195</v>
      </c>
      <c r="BH123" s="80" t="s">
        <v>195</v>
      </c>
      <c r="BI123" s="80" t="s">
        <v>195</v>
      </c>
      <c r="BJ123" s="80" t="s">
        <v>195</v>
      </c>
      <c r="BK123" s="80" t="s">
        <v>195</v>
      </c>
      <c r="BL123" s="80" t="s">
        <v>195</v>
      </c>
      <c r="BM123" s="80" t="s">
        <v>195</v>
      </c>
      <c r="BN123" s="80" t="s">
        <v>195</v>
      </c>
      <c r="BO123" s="80" t="s">
        <v>195</v>
      </c>
      <c r="BP123" s="80" t="s">
        <v>195</v>
      </c>
      <c r="BQ123" s="80" t="s">
        <v>195</v>
      </c>
      <c r="BR123" s="80" t="s">
        <v>195</v>
      </c>
      <c r="BS123" s="80" t="s">
        <v>195</v>
      </c>
      <c r="BT123" s="80" t="s">
        <v>195</v>
      </c>
      <c r="BU123" s="80" t="s">
        <v>195</v>
      </c>
      <c r="BV123" s="80" t="s">
        <v>195</v>
      </c>
    </row>
    <row r="124" spans="1:74">
      <c r="A124" s="78" t="s">
        <v>677</v>
      </c>
      <c r="B124" s="78" t="s">
        <v>678</v>
      </c>
      <c r="C124" s="80" t="s">
        <v>195</v>
      </c>
      <c r="D124" s="80" t="s">
        <v>195</v>
      </c>
      <c r="E124" s="80" t="s">
        <v>195</v>
      </c>
      <c r="F124" s="80" t="s">
        <v>195</v>
      </c>
      <c r="G124" s="80" t="s">
        <v>195</v>
      </c>
      <c r="H124" s="80" t="s">
        <v>195</v>
      </c>
      <c r="I124" s="80" t="s">
        <v>195</v>
      </c>
      <c r="J124" s="80" t="s">
        <v>195</v>
      </c>
      <c r="K124" s="80" t="s">
        <v>195</v>
      </c>
      <c r="L124" s="80" t="s">
        <v>195</v>
      </c>
      <c r="M124" s="80" t="s">
        <v>195</v>
      </c>
      <c r="N124" s="80" t="s">
        <v>195</v>
      </c>
      <c r="O124" s="80" t="s">
        <v>195</v>
      </c>
      <c r="P124" s="80" t="s">
        <v>195</v>
      </c>
      <c r="Q124" s="80" t="s">
        <v>195</v>
      </c>
      <c r="R124" s="80" t="s">
        <v>195</v>
      </c>
      <c r="S124" s="80" t="s">
        <v>195</v>
      </c>
      <c r="T124" s="80" t="s">
        <v>195</v>
      </c>
      <c r="U124" s="80" t="s">
        <v>195</v>
      </c>
      <c r="V124" s="80" t="s">
        <v>195</v>
      </c>
      <c r="W124" s="80" t="s">
        <v>195</v>
      </c>
      <c r="X124" s="80" t="s">
        <v>195</v>
      </c>
      <c r="Y124" s="80" t="s">
        <v>195</v>
      </c>
      <c r="Z124" s="80" t="s">
        <v>195</v>
      </c>
      <c r="AA124" s="80" t="s">
        <v>195</v>
      </c>
      <c r="AB124" s="80" t="s">
        <v>195</v>
      </c>
      <c r="AC124" s="80" t="s">
        <v>195</v>
      </c>
      <c r="AD124" s="80" t="s">
        <v>195</v>
      </c>
      <c r="AE124" s="80" t="s">
        <v>195</v>
      </c>
      <c r="AF124" s="80" t="s">
        <v>195</v>
      </c>
      <c r="AG124" s="80" t="s">
        <v>195</v>
      </c>
      <c r="AH124" s="80" t="s">
        <v>195</v>
      </c>
      <c r="AI124" s="80" t="s">
        <v>195</v>
      </c>
      <c r="AJ124" s="80" t="s">
        <v>195</v>
      </c>
      <c r="AK124" s="80" t="s">
        <v>195</v>
      </c>
      <c r="AL124" s="80" t="s">
        <v>195</v>
      </c>
      <c r="AM124" s="80" t="s">
        <v>195</v>
      </c>
      <c r="AN124" s="80" t="s">
        <v>195</v>
      </c>
      <c r="AO124" s="80" t="s">
        <v>195</v>
      </c>
      <c r="AP124" s="80" t="s">
        <v>195</v>
      </c>
      <c r="AQ124" s="80" t="s">
        <v>195</v>
      </c>
      <c r="AR124" s="80" t="s">
        <v>195</v>
      </c>
      <c r="AS124" s="80" t="s">
        <v>195</v>
      </c>
      <c r="AT124" s="80" t="s">
        <v>195</v>
      </c>
      <c r="AU124" s="80" t="s">
        <v>195</v>
      </c>
      <c r="AV124" s="80" t="s">
        <v>195</v>
      </c>
      <c r="AW124" s="80" t="s">
        <v>195</v>
      </c>
      <c r="AX124" s="80" t="s">
        <v>195</v>
      </c>
      <c r="AY124" s="80" t="s">
        <v>195</v>
      </c>
      <c r="AZ124" s="80" t="s">
        <v>195</v>
      </c>
      <c r="BA124" s="80" t="s">
        <v>195</v>
      </c>
      <c r="BB124" s="80" t="s">
        <v>195</v>
      </c>
      <c r="BC124" s="80" t="s">
        <v>195</v>
      </c>
      <c r="BD124" s="80" t="s">
        <v>195</v>
      </c>
      <c r="BE124" s="80" t="s">
        <v>195</v>
      </c>
      <c r="BF124" s="80" t="s">
        <v>195</v>
      </c>
      <c r="BG124" s="80" t="s">
        <v>195</v>
      </c>
      <c r="BH124" s="80" t="s">
        <v>195</v>
      </c>
      <c r="BI124" s="80" t="s">
        <v>195</v>
      </c>
      <c r="BJ124" s="80" t="s">
        <v>195</v>
      </c>
      <c r="BK124" s="80" t="s">
        <v>195</v>
      </c>
      <c r="BL124" s="80" t="s">
        <v>195</v>
      </c>
      <c r="BM124" s="80" t="s">
        <v>195</v>
      </c>
      <c r="BN124" s="80" t="s">
        <v>195</v>
      </c>
      <c r="BO124" s="80" t="s">
        <v>195</v>
      </c>
      <c r="BP124" s="80" t="s">
        <v>195</v>
      </c>
      <c r="BQ124" s="80" t="s">
        <v>195</v>
      </c>
      <c r="BR124" s="80" t="s">
        <v>195</v>
      </c>
      <c r="BS124" s="80" t="s">
        <v>195</v>
      </c>
      <c r="BT124" s="80" t="s">
        <v>195</v>
      </c>
      <c r="BU124" s="80" t="s">
        <v>195</v>
      </c>
      <c r="BV124" s="80" t="s">
        <v>195</v>
      </c>
    </row>
    <row r="125" spans="1:74">
      <c r="A125" s="78" t="s">
        <v>679</v>
      </c>
      <c r="B125" s="78" t="s">
        <v>680</v>
      </c>
      <c r="C125" s="82">
        <v>1660.03</v>
      </c>
      <c r="D125" s="82">
        <v>0.74</v>
      </c>
      <c r="E125" s="82">
        <v>1053.8399999999999</v>
      </c>
      <c r="F125" s="80" t="s">
        <v>195</v>
      </c>
      <c r="G125" s="82">
        <v>2652.07</v>
      </c>
      <c r="H125" s="82">
        <v>3.72</v>
      </c>
      <c r="I125" s="82">
        <v>928.12</v>
      </c>
      <c r="J125" s="80" t="s">
        <v>195</v>
      </c>
      <c r="K125" s="82">
        <v>2934.08</v>
      </c>
      <c r="L125" s="80" t="s">
        <v>195</v>
      </c>
      <c r="M125" s="82">
        <v>1291.76</v>
      </c>
      <c r="N125" s="82">
        <v>2.75</v>
      </c>
      <c r="O125" s="82">
        <v>2094.35</v>
      </c>
      <c r="P125" s="80" t="s">
        <v>195</v>
      </c>
      <c r="Q125" s="83">
        <v>2188.1999999999998</v>
      </c>
      <c r="R125" s="80" t="s">
        <v>195</v>
      </c>
      <c r="S125" s="82">
        <v>2049.25</v>
      </c>
      <c r="T125" s="82">
        <v>0.25</v>
      </c>
      <c r="U125" s="82">
        <v>1900.15</v>
      </c>
      <c r="V125" s="82">
        <v>10.67</v>
      </c>
      <c r="W125" s="82">
        <v>2499.69</v>
      </c>
      <c r="X125" s="80" t="s">
        <v>195</v>
      </c>
      <c r="Y125" s="83">
        <v>1460.4</v>
      </c>
      <c r="Z125" s="82">
        <v>3.52</v>
      </c>
      <c r="AA125" s="82">
        <v>3430.16</v>
      </c>
      <c r="AB125" s="83">
        <v>10.5</v>
      </c>
      <c r="AC125" s="82">
        <v>625.05999999999995</v>
      </c>
      <c r="AD125" s="82">
        <v>0.25</v>
      </c>
      <c r="AE125" s="83">
        <v>3925.7</v>
      </c>
      <c r="AF125" s="80" t="s">
        <v>195</v>
      </c>
      <c r="AG125" s="82">
        <v>3728.77</v>
      </c>
      <c r="AH125" s="82">
        <v>2.79</v>
      </c>
      <c r="AI125" s="82">
        <v>2674.83</v>
      </c>
      <c r="AJ125" s="80" t="s">
        <v>195</v>
      </c>
      <c r="AK125" s="82">
        <v>3305.02</v>
      </c>
      <c r="AL125" s="82">
        <v>1.64</v>
      </c>
      <c r="AM125" s="82">
        <v>3193.51</v>
      </c>
      <c r="AN125" s="82">
        <v>5.05</v>
      </c>
      <c r="AO125" s="82">
        <v>1833.49</v>
      </c>
      <c r="AP125" s="82">
        <v>1.64</v>
      </c>
      <c r="AQ125" s="83">
        <v>3174.2</v>
      </c>
      <c r="AR125" s="82">
        <v>3.18</v>
      </c>
      <c r="AS125" s="82">
        <v>2882.43</v>
      </c>
      <c r="AT125" s="80" t="s">
        <v>195</v>
      </c>
      <c r="AU125" s="82">
        <v>1737.98</v>
      </c>
      <c r="AV125" s="80" t="s">
        <v>195</v>
      </c>
      <c r="AW125" s="82">
        <v>3509.22</v>
      </c>
      <c r="AX125" s="80" t="s">
        <v>195</v>
      </c>
      <c r="AY125" s="82">
        <v>1546.75</v>
      </c>
      <c r="AZ125" s="82">
        <v>0.51</v>
      </c>
      <c r="BA125" s="82">
        <v>2028.99</v>
      </c>
      <c r="BB125" s="82">
        <v>278.72000000000003</v>
      </c>
      <c r="BC125" s="82">
        <v>1276.4100000000001</v>
      </c>
      <c r="BD125" s="82">
        <v>35.130000000000003</v>
      </c>
      <c r="BE125" s="82">
        <v>1206.1600000000001</v>
      </c>
      <c r="BF125" s="82">
        <v>273.61</v>
      </c>
      <c r="BG125" s="82">
        <v>1783.09</v>
      </c>
      <c r="BH125" s="82">
        <v>46.07</v>
      </c>
      <c r="BI125" s="82">
        <v>1910.93</v>
      </c>
      <c r="BJ125" s="82">
        <v>3.88</v>
      </c>
      <c r="BK125" s="82">
        <v>1709.89</v>
      </c>
      <c r="BL125" s="82">
        <v>510.21</v>
      </c>
      <c r="BM125" s="82">
        <v>1518.12</v>
      </c>
      <c r="BN125" s="82">
        <v>2.4700000000000002</v>
      </c>
      <c r="BO125" s="82">
        <v>1771.48</v>
      </c>
      <c r="BP125" s="82">
        <v>8.25</v>
      </c>
      <c r="BQ125" s="82">
        <v>1467.36</v>
      </c>
      <c r="BR125" s="83">
        <v>8.5</v>
      </c>
      <c r="BS125" s="82">
        <v>1519.93</v>
      </c>
      <c r="BT125" s="83">
        <v>16.5</v>
      </c>
      <c r="BU125" s="82">
        <v>1828.47</v>
      </c>
      <c r="BV125" s="82">
        <v>8.65</v>
      </c>
    </row>
    <row r="126" spans="1:74">
      <c r="A126" s="78" t="s">
        <v>681</v>
      </c>
      <c r="B126" s="78" t="s">
        <v>682</v>
      </c>
      <c r="C126" s="79" t="s">
        <v>195</v>
      </c>
      <c r="D126" s="79" t="s">
        <v>195</v>
      </c>
      <c r="E126" s="79" t="s">
        <v>195</v>
      </c>
      <c r="F126" s="79" t="s">
        <v>195</v>
      </c>
      <c r="G126" s="79" t="s">
        <v>195</v>
      </c>
      <c r="H126" s="79" t="s">
        <v>195</v>
      </c>
      <c r="I126" s="79" t="s">
        <v>195</v>
      </c>
      <c r="J126" s="79" t="s">
        <v>195</v>
      </c>
      <c r="K126" s="79" t="s">
        <v>195</v>
      </c>
      <c r="L126" s="79" t="s">
        <v>195</v>
      </c>
      <c r="M126" s="79" t="s">
        <v>195</v>
      </c>
      <c r="N126" s="79" t="s">
        <v>195</v>
      </c>
      <c r="O126" s="79" t="s">
        <v>195</v>
      </c>
      <c r="P126" s="79" t="s">
        <v>195</v>
      </c>
      <c r="Q126" s="79" t="s">
        <v>195</v>
      </c>
      <c r="R126" s="79" t="s">
        <v>195</v>
      </c>
      <c r="S126" s="79" t="s">
        <v>195</v>
      </c>
      <c r="T126" s="79" t="s">
        <v>195</v>
      </c>
      <c r="U126" s="79" t="s">
        <v>195</v>
      </c>
      <c r="V126" s="79" t="s">
        <v>195</v>
      </c>
      <c r="W126" s="79" t="s">
        <v>195</v>
      </c>
      <c r="X126" s="79" t="s">
        <v>195</v>
      </c>
      <c r="Y126" s="79" t="s">
        <v>195</v>
      </c>
      <c r="Z126" s="79" t="s">
        <v>195</v>
      </c>
      <c r="AA126" s="79" t="s">
        <v>195</v>
      </c>
      <c r="AB126" s="79" t="s">
        <v>195</v>
      </c>
      <c r="AC126" s="79" t="s">
        <v>195</v>
      </c>
      <c r="AD126" s="79" t="s">
        <v>195</v>
      </c>
      <c r="AE126" s="79" t="s">
        <v>195</v>
      </c>
      <c r="AF126" s="79" t="s">
        <v>195</v>
      </c>
      <c r="AG126" s="79" t="s">
        <v>195</v>
      </c>
      <c r="AH126" s="79" t="s">
        <v>195</v>
      </c>
      <c r="AI126" s="79" t="s">
        <v>195</v>
      </c>
      <c r="AJ126" s="79" t="s">
        <v>195</v>
      </c>
      <c r="AK126" s="79" t="s">
        <v>195</v>
      </c>
      <c r="AL126" s="79" t="s">
        <v>195</v>
      </c>
      <c r="AM126" s="79" t="s">
        <v>195</v>
      </c>
      <c r="AN126" s="79" t="s">
        <v>195</v>
      </c>
      <c r="AO126" s="79" t="s">
        <v>195</v>
      </c>
      <c r="AP126" s="79" t="s">
        <v>195</v>
      </c>
      <c r="AQ126" s="79" t="s">
        <v>195</v>
      </c>
      <c r="AR126" s="79" t="s">
        <v>195</v>
      </c>
      <c r="AS126" s="79" t="s">
        <v>195</v>
      </c>
      <c r="AT126" s="79" t="s">
        <v>195</v>
      </c>
      <c r="AU126" s="79" t="s">
        <v>195</v>
      </c>
      <c r="AV126" s="79" t="s">
        <v>195</v>
      </c>
      <c r="AW126" s="79" t="s">
        <v>195</v>
      </c>
      <c r="AX126" s="79" t="s">
        <v>195</v>
      </c>
      <c r="AY126" s="79" t="s">
        <v>195</v>
      </c>
      <c r="AZ126" s="79" t="s">
        <v>195</v>
      </c>
      <c r="BA126" s="79" t="s">
        <v>195</v>
      </c>
      <c r="BB126" s="79" t="s">
        <v>195</v>
      </c>
      <c r="BC126" s="79" t="s">
        <v>195</v>
      </c>
      <c r="BD126" s="79" t="s">
        <v>195</v>
      </c>
      <c r="BE126" s="79" t="s">
        <v>195</v>
      </c>
      <c r="BF126" s="79" t="s">
        <v>195</v>
      </c>
      <c r="BG126" s="79" t="s">
        <v>195</v>
      </c>
      <c r="BH126" s="79" t="s">
        <v>195</v>
      </c>
      <c r="BI126" s="79" t="s">
        <v>195</v>
      </c>
      <c r="BJ126" s="79" t="s">
        <v>195</v>
      </c>
      <c r="BK126" s="79" t="s">
        <v>195</v>
      </c>
      <c r="BL126" s="79" t="s">
        <v>195</v>
      </c>
      <c r="BM126" s="79" t="s">
        <v>195</v>
      </c>
      <c r="BN126" s="79" t="s">
        <v>195</v>
      </c>
      <c r="BO126" s="79" t="s">
        <v>195</v>
      </c>
      <c r="BP126" s="79" t="s">
        <v>195</v>
      </c>
      <c r="BQ126" s="79" t="s">
        <v>195</v>
      </c>
      <c r="BR126" s="79" t="s">
        <v>195</v>
      </c>
      <c r="BS126" s="79" t="s">
        <v>195</v>
      </c>
      <c r="BT126" s="79" t="s">
        <v>195</v>
      </c>
      <c r="BU126" s="79" t="s">
        <v>195</v>
      </c>
      <c r="BV126" s="79" t="s">
        <v>195</v>
      </c>
    </row>
    <row r="127" spans="1:74">
      <c r="A127" s="78" t="s">
        <v>683</v>
      </c>
      <c r="B127" s="78" t="s">
        <v>684</v>
      </c>
      <c r="C127" s="83">
        <v>150</v>
      </c>
      <c r="D127" s="80" t="s">
        <v>195</v>
      </c>
      <c r="E127" s="82">
        <v>230.32</v>
      </c>
      <c r="F127" s="80" t="s">
        <v>195</v>
      </c>
      <c r="G127" s="82">
        <v>121.17</v>
      </c>
      <c r="H127" s="83">
        <v>250</v>
      </c>
      <c r="I127" s="83">
        <v>210</v>
      </c>
      <c r="J127" s="82">
        <v>0.56000000000000005</v>
      </c>
      <c r="K127" s="83">
        <v>144.19999999999999</v>
      </c>
      <c r="L127" s="82">
        <v>252.33</v>
      </c>
      <c r="M127" s="82">
        <v>228.31</v>
      </c>
      <c r="N127" s="83">
        <v>254.5</v>
      </c>
      <c r="O127" s="82">
        <v>119.96</v>
      </c>
      <c r="P127" s="83">
        <v>500</v>
      </c>
      <c r="Q127" s="82">
        <v>210.54</v>
      </c>
      <c r="R127" s="82">
        <v>248.25</v>
      </c>
      <c r="S127" s="82">
        <v>165.22</v>
      </c>
      <c r="T127" s="80" t="s">
        <v>195</v>
      </c>
      <c r="U127" s="83">
        <v>157.5</v>
      </c>
      <c r="V127" s="80" t="s">
        <v>195</v>
      </c>
      <c r="W127" s="82">
        <v>207.09</v>
      </c>
      <c r="X127" s="80" t="s">
        <v>195</v>
      </c>
      <c r="Y127" s="82">
        <v>192.26</v>
      </c>
      <c r="Z127" s="82">
        <v>86.81</v>
      </c>
      <c r="AA127" s="82">
        <v>286.14999999999998</v>
      </c>
      <c r="AB127" s="80" t="s">
        <v>195</v>
      </c>
      <c r="AC127" s="82">
        <v>216.65</v>
      </c>
      <c r="AD127" s="82">
        <v>0.54</v>
      </c>
      <c r="AE127" s="83">
        <v>258</v>
      </c>
      <c r="AF127" s="80" t="s">
        <v>195</v>
      </c>
      <c r="AG127" s="82">
        <v>296.45999999999998</v>
      </c>
      <c r="AH127" s="80" t="s">
        <v>195</v>
      </c>
      <c r="AI127" s="82">
        <v>372.75</v>
      </c>
      <c r="AJ127" s="82">
        <v>127.62</v>
      </c>
      <c r="AK127" s="83">
        <v>345.6</v>
      </c>
      <c r="AL127" s="80" t="s">
        <v>195</v>
      </c>
      <c r="AM127" s="82">
        <v>309.07</v>
      </c>
      <c r="AN127" s="80" t="s">
        <v>195</v>
      </c>
      <c r="AO127" s="82">
        <v>257.47000000000003</v>
      </c>
      <c r="AP127" s="80" t="s">
        <v>195</v>
      </c>
      <c r="AQ127" s="82">
        <v>237.39</v>
      </c>
      <c r="AR127" s="80" t="s">
        <v>195</v>
      </c>
      <c r="AS127" s="82">
        <v>306.44</v>
      </c>
      <c r="AT127" s="80" t="s">
        <v>195</v>
      </c>
      <c r="AU127" s="82">
        <v>270.76</v>
      </c>
      <c r="AV127" s="82">
        <v>24.43</v>
      </c>
      <c r="AW127" s="82">
        <v>429.09</v>
      </c>
      <c r="AX127" s="82">
        <v>155.13</v>
      </c>
      <c r="AY127" s="83">
        <v>349.7</v>
      </c>
      <c r="AZ127" s="82">
        <v>4.25</v>
      </c>
      <c r="BA127" s="82">
        <v>600.86</v>
      </c>
      <c r="BB127" s="82">
        <v>7.54</v>
      </c>
      <c r="BC127" s="82">
        <v>251.85</v>
      </c>
      <c r="BD127" s="82">
        <v>1243.58</v>
      </c>
      <c r="BE127" s="82">
        <v>419.63</v>
      </c>
      <c r="BF127" s="82">
        <v>1243.92</v>
      </c>
      <c r="BG127" s="82">
        <v>397.69</v>
      </c>
      <c r="BH127" s="82">
        <v>969.35</v>
      </c>
      <c r="BI127" s="82">
        <v>232.65</v>
      </c>
      <c r="BJ127" s="82">
        <v>2307.8200000000002</v>
      </c>
      <c r="BK127" s="82">
        <v>346.43</v>
      </c>
      <c r="BL127" s="82">
        <v>517.67999999999995</v>
      </c>
      <c r="BM127" s="82">
        <v>470.95</v>
      </c>
      <c r="BN127" s="83">
        <v>1026.2</v>
      </c>
      <c r="BO127" s="82">
        <v>221.58</v>
      </c>
      <c r="BP127" s="83">
        <v>532.29999999999995</v>
      </c>
      <c r="BQ127" s="82">
        <v>329.77</v>
      </c>
      <c r="BR127" s="82">
        <v>564.36</v>
      </c>
      <c r="BS127" s="82">
        <v>486.19</v>
      </c>
      <c r="BT127" s="82">
        <v>256.39</v>
      </c>
      <c r="BU127" s="82">
        <v>499.19</v>
      </c>
      <c r="BV127" s="82">
        <v>12.48</v>
      </c>
    </row>
    <row r="128" spans="1:74">
      <c r="A128" s="78" t="s">
        <v>685</v>
      </c>
      <c r="B128" s="78" t="s">
        <v>686</v>
      </c>
      <c r="C128" s="79" t="s">
        <v>195</v>
      </c>
      <c r="D128" s="79" t="s">
        <v>195</v>
      </c>
      <c r="E128" s="79" t="s">
        <v>195</v>
      </c>
      <c r="F128" s="79" t="s">
        <v>195</v>
      </c>
      <c r="G128" s="79" t="s">
        <v>195</v>
      </c>
      <c r="H128" s="79" t="s">
        <v>195</v>
      </c>
      <c r="I128" s="79" t="s">
        <v>195</v>
      </c>
      <c r="J128" s="79" t="s">
        <v>195</v>
      </c>
      <c r="K128" s="79" t="s">
        <v>195</v>
      </c>
      <c r="L128" s="79" t="s">
        <v>195</v>
      </c>
      <c r="M128" s="79" t="s">
        <v>195</v>
      </c>
      <c r="N128" s="79" t="s">
        <v>195</v>
      </c>
      <c r="O128" s="79" t="s">
        <v>195</v>
      </c>
      <c r="P128" s="79" t="s">
        <v>195</v>
      </c>
      <c r="Q128" s="79" t="s">
        <v>195</v>
      </c>
      <c r="R128" s="79" t="s">
        <v>195</v>
      </c>
      <c r="S128" s="79" t="s">
        <v>195</v>
      </c>
      <c r="T128" s="79" t="s">
        <v>195</v>
      </c>
      <c r="U128" s="79" t="s">
        <v>195</v>
      </c>
      <c r="V128" s="79" t="s">
        <v>195</v>
      </c>
      <c r="W128" s="79" t="s">
        <v>195</v>
      </c>
      <c r="X128" s="79" t="s">
        <v>195</v>
      </c>
      <c r="Y128" s="79" t="s">
        <v>195</v>
      </c>
      <c r="Z128" s="79" t="s">
        <v>195</v>
      </c>
      <c r="AA128" s="79" t="s">
        <v>195</v>
      </c>
      <c r="AB128" s="79" t="s">
        <v>195</v>
      </c>
      <c r="AC128" s="79" t="s">
        <v>195</v>
      </c>
      <c r="AD128" s="79" t="s">
        <v>195</v>
      </c>
      <c r="AE128" s="79" t="s">
        <v>195</v>
      </c>
      <c r="AF128" s="79" t="s">
        <v>195</v>
      </c>
      <c r="AG128" s="79" t="s">
        <v>195</v>
      </c>
      <c r="AH128" s="79" t="s">
        <v>195</v>
      </c>
      <c r="AI128" s="79" t="s">
        <v>195</v>
      </c>
      <c r="AJ128" s="79" t="s">
        <v>195</v>
      </c>
      <c r="AK128" s="79" t="s">
        <v>195</v>
      </c>
      <c r="AL128" s="79" t="s">
        <v>195</v>
      </c>
      <c r="AM128" s="79" t="s">
        <v>195</v>
      </c>
      <c r="AN128" s="79" t="s">
        <v>195</v>
      </c>
      <c r="AO128" s="79" t="s">
        <v>195</v>
      </c>
      <c r="AP128" s="79" t="s">
        <v>195</v>
      </c>
      <c r="AQ128" s="79" t="s">
        <v>195</v>
      </c>
      <c r="AR128" s="79" t="s">
        <v>195</v>
      </c>
      <c r="AS128" s="79" t="s">
        <v>195</v>
      </c>
      <c r="AT128" s="79" t="s">
        <v>195</v>
      </c>
      <c r="AU128" s="79" t="s">
        <v>195</v>
      </c>
      <c r="AV128" s="79" t="s">
        <v>195</v>
      </c>
      <c r="AW128" s="79" t="s">
        <v>195</v>
      </c>
      <c r="AX128" s="79" t="s">
        <v>195</v>
      </c>
      <c r="AY128" s="79" t="s">
        <v>195</v>
      </c>
      <c r="AZ128" s="79" t="s">
        <v>195</v>
      </c>
      <c r="BA128" s="79" t="s">
        <v>195</v>
      </c>
      <c r="BB128" s="79" t="s">
        <v>195</v>
      </c>
      <c r="BC128" s="79" t="s">
        <v>195</v>
      </c>
      <c r="BD128" s="79" t="s">
        <v>195</v>
      </c>
      <c r="BE128" s="79" t="s">
        <v>195</v>
      </c>
      <c r="BF128" s="79" t="s">
        <v>195</v>
      </c>
      <c r="BG128" s="79" t="s">
        <v>195</v>
      </c>
      <c r="BH128" s="79" t="s">
        <v>195</v>
      </c>
      <c r="BI128" s="79" t="s">
        <v>195</v>
      </c>
      <c r="BJ128" s="79" t="s">
        <v>195</v>
      </c>
      <c r="BK128" s="79" t="s">
        <v>195</v>
      </c>
      <c r="BL128" s="79" t="s">
        <v>195</v>
      </c>
      <c r="BM128" s="79" t="s">
        <v>195</v>
      </c>
      <c r="BN128" s="79" t="s">
        <v>195</v>
      </c>
      <c r="BO128" s="79" t="s">
        <v>195</v>
      </c>
      <c r="BP128" s="79" t="s">
        <v>195</v>
      </c>
      <c r="BQ128" s="79" t="s">
        <v>195</v>
      </c>
      <c r="BR128" s="79" t="s">
        <v>195</v>
      </c>
      <c r="BS128" s="79" t="s">
        <v>195</v>
      </c>
      <c r="BT128" s="79" t="s">
        <v>195</v>
      </c>
      <c r="BU128" s="79" t="s">
        <v>195</v>
      </c>
      <c r="BV128" s="79" t="s">
        <v>195</v>
      </c>
    </row>
    <row r="129" spans="1:74">
      <c r="A129" s="78" t="s">
        <v>687</v>
      </c>
      <c r="B129" s="78" t="s">
        <v>688</v>
      </c>
      <c r="C129" s="80" t="s">
        <v>195</v>
      </c>
      <c r="D129" s="80" t="s">
        <v>195</v>
      </c>
      <c r="E129" s="80" t="s">
        <v>195</v>
      </c>
      <c r="F129" s="80" t="s">
        <v>195</v>
      </c>
      <c r="G129" s="80" t="s">
        <v>195</v>
      </c>
      <c r="H129" s="80" t="s">
        <v>195</v>
      </c>
      <c r="I129" s="80" t="s">
        <v>195</v>
      </c>
      <c r="J129" s="80" t="s">
        <v>195</v>
      </c>
      <c r="K129" s="80" t="s">
        <v>195</v>
      </c>
      <c r="L129" s="80" t="s">
        <v>195</v>
      </c>
      <c r="M129" s="80" t="s">
        <v>195</v>
      </c>
      <c r="N129" s="80" t="s">
        <v>195</v>
      </c>
      <c r="O129" s="80" t="s">
        <v>195</v>
      </c>
      <c r="P129" s="80" t="s">
        <v>195</v>
      </c>
      <c r="Q129" s="80" t="s">
        <v>195</v>
      </c>
      <c r="R129" s="80" t="s">
        <v>195</v>
      </c>
      <c r="S129" s="80" t="s">
        <v>195</v>
      </c>
      <c r="T129" s="80" t="s">
        <v>195</v>
      </c>
      <c r="U129" s="80" t="s">
        <v>195</v>
      </c>
      <c r="V129" s="80" t="s">
        <v>195</v>
      </c>
      <c r="W129" s="80" t="s">
        <v>195</v>
      </c>
      <c r="X129" s="80" t="s">
        <v>195</v>
      </c>
      <c r="Y129" s="80" t="s">
        <v>195</v>
      </c>
      <c r="Z129" s="80" t="s">
        <v>195</v>
      </c>
      <c r="AA129" s="80" t="s">
        <v>195</v>
      </c>
      <c r="AB129" s="80" t="s">
        <v>195</v>
      </c>
      <c r="AC129" s="80" t="s">
        <v>195</v>
      </c>
      <c r="AD129" s="80" t="s">
        <v>195</v>
      </c>
      <c r="AE129" s="80" t="s">
        <v>195</v>
      </c>
      <c r="AF129" s="80" t="s">
        <v>195</v>
      </c>
      <c r="AG129" s="80" t="s">
        <v>195</v>
      </c>
      <c r="AH129" s="80" t="s">
        <v>195</v>
      </c>
      <c r="AI129" s="80" t="s">
        <v>195</v>
      </c>
      <c r="AJ129" s="80" t="s">
        <v>195</v>
      </c>
      <c r="AK129" s="80" t="s">
        <v>195</v>
      </c>
      <c r="AL129" s="80" t="s">
        <v>195</v>
      </c>
      <c r="AM129" s="80" t="s">
        <v>195</v>
      </c>
      <c r="AN129" s="80" t="s">
        <v>195</v>
      </c>
      <c r="AO129" s="80" t="s">
        <v>195</v>
      </c>
      <c r="AP129" s="80" t="s">
        <v>195</v>
      </c>
      <c r="AQ129" s="80" t="s">
        <v>195</v>
      </c>
      <c r="AR129" s="80" t="s">
        <v>195</v>
      </c>
      <c r="AS129" s="80" t="s">
        <v>195</v>
      </c>
      <c r="AT129" s="80" t="s">
        <v>195</v>
      </c>
      <c r="AU129" s="80" t="s">
        <v>195</v>
      </c>
      <c r="AV129" s="80" t="s">
        <v>195</v>
      </c>
      <c r="AW129" s="80" t="s">
        <v>195</v>
      </c>
      <c r="AX129" s="80" t="s">
        <v>195</v>
      </c>
      <c r="AY129" s="80" t="s">
        <v>195</v>
      </c>
      <c r="AZ129" s="80" t="s">
        <v>195</v>
      </c>
      <c r="BA129" s="80" t="s">
        <v>195</v>
      </c>
      <c r="BB129" s="80" t="s">
        <v>195</v>
      </c>
      <c r="BC129" s="80" t="s">
        <v>195</v>
      </c>
      <c r="BD129" s="80" t="s">
        <v>195</v>
      </c>
      <c r="BE129" s="80" t="s">
        <v>195</v>
      </c>
      <c r="BF129" s="80" t="s">
        <v>195</v>
      </c>
      <c r="BG129" s="80" t="s">
        <v>195</v>
      </c>
      <c r="BH129" s="80" t="s">
        <v>195</v>
      </c>
      <c r="BI129" s="80" t="s">
        <v>195</v>
      </c>
      <c r="BJ129" s="80" t="s">
        <v>195</v>
      </c>
      <c r="BK129" s="80" t="s">
        <v>195</v>
      </c>
      <c r="BL129" s="80" t="s">
        <v>195</v>
      </c>
      <c r="BM129" s="80" t="s">
        <v>195</v>
      </c>
      <c r="BN129" s="80" t="s">
        <v>195</v>
      </c>
      <c r="BO129" s="80" t="s">
        <v>195</v>
      </c>
      <c r="BP129" s="80" t="s">
        <v>195</v>
      </c>
      <c r="BQ129" s="80" t="s">
        <v>195</v>
      </c>
      <c r="BR129" s="80" t="s">
        <v>195</v>
      </c>
      <c r="BS129" s="80" t="s">
        <v>195</v>
      </c>
      <c r="BT129" s="80" t="s">
        <v>195</v>
      </c>
      <c r="BU129" s="80" t="s">
        <v>195</v>
      </c>
      <c r="BV129" s="80" t="s">
        <v>195</v>
      </c>
    </row>
    <row r="130" spans="1:74">
      <c r="A130" s="78" t="s">
        <v>689</v>
      </c>
      <c r="B130" s="78" t="s">
        <v>690</v>
      </c>
      <c r="C130" s="81">
        <v>4287.96</v>
      </c>
      <c r="D130" s="81">
        <v>2568.4899999999998</v>
      </c>
      <c r="E130" s="81">
        <v>2300.81</v>
      </c>
      <c r="F130" s="81">
        <v>1956.24</v>
      </c>
      <c r="G130" s="81">
        <v>4022.94</v>
      </c>
      <c r="H130" s="81">
        <v>2139.31</v>
      </c>
      <c r="I130" s="81">
        <v>3609.65</v>
      </c>
      <c r="J130" s="81">
        <v>2199.52</v>
      </c>
      <c r="K130" s="81">
        <v>2612.4699999999998</v>
      </c>
      <c r="L130" s="81">
        <v>1118.18</v>
      </c>
      <c r="M130" s="81">
        <v>3457.16</v>
      </c>
      <c r="N130" s="81">
        <v>2476.2199999999998</v>
      </c>
      <c r="O130" s="81">
        <v>4318.32</v>
      </c>
      <c r="P130" s="81">
        <v>1713.09</v>
      </c>
      <c r="Q130" s="81">
        <v>3268.09</v>
      </c>
      <c r="R130" s="81">
        <v>1581.17</v>
      </c>
      <c r="S130" s="81">
        <v>2888.39</v>
      </c>
      <c r="T130" s="81">
        <v>1642.87</v>
      </c>
      <c r="U130" s="81">
        <v>4152.32</v>
      </c>
      <c r="V130" s="81">
        <v>2458.3200000000002</v>
      </c>
      <c r="W130" s="81">
        <v>3172.26</v>
      </c>
      <c r="X130" s="84">
        <v>4694.5</v>
      </c>
      <c r="Y130" s="81">
        <v>3084.79</v>
      </c>
      <c r="Z130" s="81">
        <v>2440.0500000000002</v>
      </c>
      <c r="AA130" s="81">
        <v>4470.83</v>
      </c>
      <c r="AB130" s="84">
        <v>502.4</v>
      </c>
      <c r="AC130" s="81">
        <v>3463.72</v>
      </c>
      <c r="AD130" s="81">
        <v>1167.99</v>
      </c>
      <c r="AE130" s="81">
        <v>6075.57</v>
      </c>
      <c r="AF130" s="84">
        <v>350.2</v>
      </c>
      <c r="AG130" s="81">
        <v>3013.52</v>
      </c>
      <c r="AH130" s="84">
        <v>1046.5999999999999</v>
      </c>
      <c r="AI130" s="81">
        <v>5730.63</v>
      </c>
      <c r="AJ130" s="81">
        <v>753.97</v>
      </c>
      <c r="AK130" s="84">
        <v>3714.5</v>
      </c>
      <c r="AL130" s="84">
        <v>645.6</v>
      </c>
      <c r="AM130" s="84">
        <v>2904.2</v>
      </c>
      <c r="AN130" s="81">
        <v>1144.57</v>
      </c>
      <c r="AO130" s="81">
        <v>6175.79</v>
      </c>
      <c r="AP130" s="84">
        <v>866.2</v>
      </c>
      <c r="AQ130" s="81">
        <v>4808.95</v>
      </c>
      <c r="AR130" s="84">
        <v>540</v>
      </c>
      <c r="AS130" s="81">
        <v>6519.16</v>
      </c>
      <c r="AT130" s="84">
        <v>1077</v>
      </c>
      <c r="AU130" s="81">
        <v>6526.72</v>
      </c>
      <c r="AV130" s="84">
        <v>440</v>
      </c>
      <c r="AW130" s="81">
        <v>5053.6899999999996</v>
      </c>
      <c r="AX130" s="84">
        <v>930.1</v>
      </c>
      <c r="AY130" s="81">
        <v>4470.6899999999996</v>
      </c>
      <c r="AZ130" s="81">
        <v>3161.45</v>
      </c>
      <c r="BA130" s="81">
        <v>3003.12</v>
      </c>
      <c r="BB130" s="84">
        <v>280</v>
      </c>
      <c r="BC130" s="84">
        <v>4054.7</v>
      </c>
      <c r="BD130" s="81">
        <v>3912.43</v>
      </c>
      <c r="BE130" s="81">
        <v>4584.42</v>
      </c>
      <c r="BF130" s="84">
        <v>1648.5</v>
      </c>
      <c r="BG130" s="81">
        <v>3980.76</v>
      </c>
      <c r="BH130" s="81">
        <v>3628.06</v>
      </c>
      <c r="BI130" s="81">
        <v>3135.23</v>
      </c>
      <c r="BJ130" s="84">
        <v>1209.8</v>
      </c>
      <c r="BK130" s="81">
        <v>4298.0600000000004</v>
      </c>
      <c r="BL130" s="84">
        <v>867.5</v>
      </c>
      <c r="BM130" s="81">
        <v>4802.05</v>
      </c>
      <c r="BN130" s="81">
        <v>2486.9699999999998</v>
      </c>
      <c r="BO130" s="81">
        <v>5330.85</v>
      </c>
      <c r="BP130" s="84">
        <v>1968.8</v>
      </c>
      <c r="BQ130" s="81">
        <v>4352.29</v>
      </c>
      <c r="BR130" s="84">
        <v>4669.6000000000004</v>
      </c>
      <c r="BS130" s="81">
        <v>5433.92</v>
      </c>
      <c r="BT130" s="84">
        <v>2527.4</v>
      </c>
      <c r="BU130" s="81">
        <v>4745.66</v>
      </c>
      <c r="BV130" s="81">
        <v>3488.49</v>
      </c>
    </row>
    <row r="131" spans="1:74">
      <c r="A131" s="78" t="s">
        <v>691</v>
      </c>
      <c r="B131" s="78" t="s">
        <v>692</v>
      </c>
      <c r="C131" s="81">
        <v>674.91</v>
      </c>
      <c r="D131" s="81">
        <v>2239.1799999999998</v>
      </c>
      <c r="E131" s="84">
        <v>456.4</v>
      </c>
      <c r="F131" s="84">
        <v>2357</v>
      </c>
      <c r="G131" s="81">
        <v>462.39</v>
      </c>
      <c r="H131" s="81">
        <v>1529.75</v>
      </c>
      <c r="I131" s="81">
        <v>522.52</v>
      </c>
      <c r="J131" s="84">
        <v>3725.6</v>
      </c>
      <c r="K131" s="81">
        <v>654.95000000000005</v>
      </c>
      <c r="L131" s="81">
        <v>1382.44</v>
      </c>
      <c r="M131" s="81">
        <v>676.45</v>
      </c>
      <c r="N131" s="81">
        <v>2282.56</v>
      </c>
      <c r="O131" s="81">
        <v>356.58</v>
      </c>
      <c r="P131" s="84">
        <v>696.6</v>
      </c>
      <c r="Q131" s="81">
        <v>691.56</v>
      </c>
      <c r="R131" s="84">
        <v>2103.1999999999998</v>
      </c>
      <c r="S131" s="81">
        <v>695.71</v>
      </c>
      <c r="T131" s="81">
        <v>924.75</v>
      </c>
      <c r="U131" s="81">
        <v>827.04</v>
      </c>
      <c r="V131" s="84">
        <v>807.4</v>
      </c>
      <c r="W131" s="81">
        <v>944.42</v>
      </c>
      <c r="X131" s="84">
        <v>4974.3</v>
      </c>
      <c r="Y131" s="81">
        <v>683.67</v>
      </c>
      <c r="Z131" s="84">
        <v>547.1</v>
      </c>
      <c r="AA131" s="81">
        <v>1036.8900000000001</v>
      </c>
      <c r="AB131" s="84">
        <v>470.8</v>
      </c>
      <c r="AC131" s="81">
        <v>1182.6600000000001</v>
      </c>
      <c r="AD131" s="79" t="s">
        <v>195</v>
      </c>
      <c r="AE131" s="81">
        <v>1217.72</v>
      </c>
      <c r="AF131" s="84">
        <v>9</v>
      </c>
      <c r="AG131" s="81">
        <v>926.43</v>
      </c>
      <c r="AH131" s="81">
        <v>1806.74</v>
      </c>
      <c r="AI131" s="81">
        <v>1392.17</v>
      </c>
      <c r="AJ131" s="81">
        <v>47.74</v>
      </c>
      <c r="AK131" s="81">
        <v>1256.52</v>
      </c>
      <c r="AL131" s="81">
        <v>319.27</v>
      </c>
      <c r="AM131" s="81">
        <v>958.54</v>
      </c>
      <c r="AN131" s="81">
        <v>766.41</v>
      </c>
      <c r="AO131" s="81">
        <v>1121.22</v>
      </c>
      <c r="AP131" s="81">
        <v>774.33</v>
      </c>
      <c r="AQ131" s="81">
        <v>926.41</v>
      </c>
      <c r="AR131" s="84">
        <v>746</v>
      </c>
      <c r="AS131" s="81">
        <v>1223.79</v>
      </c>
      <c r="AT131" s="81">
        <v>12.33</v>
      </c>
      <c r="AU131" s="84">
        <v>1304.2</v>
      </c>
      <c r="AV131" s="81">
        <v>12.95</v>
      </c>
      <c r="AW131" s="81">
        <v>1487.22</v>
      </c>
      <c r="AX131" s="84">
        <v>555.6</v>
      </c>
      <c r="AY131" s="81">
        <v>237.79</v>
      </c>
      <c r="AZ131" s="81">
        <v>2112.16</v>
      </c>
      <c r="BA131" s="81">
        <v>522.13</v>
      </c>
      <c r="BB131" s="84">
        <v>1252.8</v>
      </c>
      <c r="BC131" s="81">
        <v>674.33</v>
      </c>
      <c r="BD131" s="84">
        <v>1595.5</v>
      </c>
      <c r="BE131" s="81">
        <v>508.23</v>
      </c>
      <c r="BF131" s="81">
        <v>1886.66</v>
      </c>
      <c r="BG131" s="81">
        <v>262.32</v>
      </c>
      <c r="BH131" s="81">
        <v>2.85</v>
      </c>
      <c r="BI131" s="84">
        <v>464.9</v>
      </c>
      <c r="BJ131" s="81">
        <v>16.14</v>
      </c>
      <c r="BK131" s="81">
        <v>735.14</v>
      </c>
      <c r="BL131" s="81">
        <v>63.01</v>
      </c>
      <c r="BM131" s="81">
        <v>437.52</v>
      </c>
      <c r="BN131" s="81">
        <v>322.51</v>
      </c>
      <c r="BO131" s="81">
        <v>8.1199999999999992</v>
      </c>
      <c r="BP131" s="81">
        <v>836.23</v>
      </c>
      <c r="BQ131" s="81">
        <v>481.37</v>
      </c>
      <c r="BR131" s="81">
        <v>310.32</v>
      </c>
      <c r="BS131" s="81">
        <v>145.56</v>
      </c>
      <c r="BT131" s="81">
        <v>40.92</v>
      </c>
      <c r="BU131" s="81">
        <v>332.81</v>
      </c>
      <c r="BV131" s="81">
        <v>3.82</v>
      </c>
    </row>
    <row r="132" spans="1:74">
      <c r="A132" s="78" t="s">
        <v>693</v>
      </c>
      <c r="B132" s="78" t="s">
        <v>694</v>
      </c>
      <c r="C132" s="80" t="s">
        <v>195</v>
      </c>
      <c r="D132" s="80" t="s">
        <v>195</v>
      </c>
      <c r="E132" s="80" t="s">
        <v>195</v>
      </c>
      <c r="F132" s="80" t="s">
        <v>195</v>
      </c>
      <c r="G132" s="80" t="s">
        <v>195</v>
      </c>
      <c r="H132" s="80" t="s">
        <v>195</v>
      </c>
      <c r="I132" s="80" t="s">
        <v>195</v>
      </c>
      <c r="J132" s="80" t="s">
        <v>195</v>
      </c>
      <c r="K132" s="80" t="s">
        <v>195</v>
      </c>
      <c r="L132" s="80" t="s">
        <v>195</v>
      </c>
      <c r="M132" s="80" t="s">
        <v>195</v>
      </c>
      <c r="N132" s="80" t="s">
        <v>195</v>
      </c>
      <c r="O132" s="80" t="s">
        <v>195</v>
      </c>
      <c r="P132" s="80" t="s">
        <v>195</v>
      </c>
      <c r="Q132" s="80" t="s">
        <v>195</v>
      </c>
      <c r="R132" s="80" t="s">
        <v>195</v>
      </c>
      <c r="S132" s="80" t="s">
        <v>195</v>
      </c>
      <c r="T132" s="80" t="s">
        <v>195</v>
      </c>
      <c r="U132" s="80" t="s">
        <v>195</v>
      </c>
      <c r="V132" s="80" t="s">
        <v>195</v>
      </c>
      <c r="W132" s="80" t="s">
        <v>195</v>
      </c>
      <c r="X132" s="80" t="s">
        <v>195</v>
      </c>
      <c r="Y132" s="80" t="s">
        <v>195</v>
      </c>
      <c r="Z132" s="80" t="s">
        <v>195</v>
      </c>
      <c r="AA132" s="80" t="s">
        <v>195</v>
      </c>
      <c r="AB132" s="80" t="s">
        <v>195</v>
      </c>
      <c r="AC132" s="80" t="s">
        <v>195</v>
      </c>
      <c r="AD132" s="80" t="s">
        <v>195</v>
      </c>
      <c r="AE132" s="80" t="s">
        <v>195</v>
      </c>
      <c r="AF132" s="80" t="s">
        <v>195</v>
      </c>
      <c r="AG132" s="80" t="s">
        <v>195</v>
      </c>
      <c r="AH132" s="80" t="s">
        <v>195</v>
      </c>
      <c r="AI132" s="80" t="s">
        <v>195</v>
      </c>
      <c r="AJ132" s="80" t="s">
        <v>195</v>
      </c>
      <c r="AK132" s="80" t="s">
        <v>195</v>
      </c>
      <c r="AL132" s="80" t="s">
        <v>195</v>
      </c>
      <c r="AM132" s="80" t="s">
        <v>195</v>
      </c>
      <c r="AN132" s="80" t="s">
        <v>195</v>
      </c>
      <c r="AO132" s="80" t="s">
        <v>195</v>
      </c>
      <c r="AP132" s="80" t="s">
        <v>195</v>
      </c>
      <c r="AQ132" s="80" t="s">
        <v>195</v>
      </c>
      <c r="AR132" s="80" t="s">
        <v>195</v>
      </c>
      <c r="AS132" s="80" t="s">
        <v>195</v>
      </c>
      <c r="AT132" s="80" t="s">
        <v>195</v>
      </c>
      <c r="AU132" s="80" t="s">
        <v>195</v>
      </c>
      <c r="AV132" s="80" t="s">
        <v>195</v>
      </c>
      <c r="AW132" s="80" t="s">
        <v>195</v>
      </c>
      <c r="AX132" s="80" t="s">
        <v>195</v>
      </c>
      <c r="AY132" s="80" t="s">
        <v>195</v>
      </c>
      <c r="AZ132" s="80" t="s">
        <v>195</v>
      </c>
      <c r="BA132" s="80" t="s">
        <v>195</v>
      </c>
      <c r="BB132" s="80" t="s">
        <v>195</v>
      </c>
      <c r="BC132" s="80" t="s">
        <v>195</v>
      </c>
      <c r="BD132" s="80" t="s">
        <v>195</v>
      </c>
      <c r="BE132" s="80" t="s">
        <v>195</v>
      </c>
      <c r="BF132" s="80" t="s">
        <v>195</v>
      </c>
      <c r="BG132" s="80" t="s">
        <v>195</v>
      </c>
      <c r="BH132" s="80" t="s">
        <v>195</v>
      </c>
      <c r="BI132" s="80" t="s">
        <v>195</v>
      </c>
      <c r="BJ132" s="80" t="s">
        <v>195</v>
      </c>
      <c r="BK132" s="80" t="s">
        <v>195</v>
      </c>
      <c r="BL132" s="80" t="s">
        <v>195</v>
      </c>
      <c r="BM132" s="80" t="s">
        <v>195</v>
      </c>
      <c r="BN132" s="80" t="s">
        <v>195</v>
      </c>
      <c r="BO132" s="80" t="s">
        <v>195</v>
      </c>
      <c r="BP132" s="80" t="s">
        <v>195</v>
      </c>
      <c r="BQ132" s="80" t="s">
        <v>195</v>
      </c>
      <c r="BR132" s="80" t="s">
        <v>195</v>
      </c>
      <c r="BS132" s="80" t="s">
        <v>195</v>
      </c>
      <c r="BT132" s="80" t="s">
        <v>195</v>
      </c>
      <c r="BU132" s="80" t="s">
        <v>195</v>
      </c>
      <c r="BV132" s="80" t="s">
        <v>195</v>
      </c>
    </row>
    <row r="133" spans="1:74">
      <c r="A133" s="78" t="s">
        <v>695</v>
      </c>
      <c r="B133" s="78" t="s">
        <v>696</v>
      </c>
      <c r="C133" s="79" t="s">
        <v>195</v>
      </c>
      <c r="D133" s="79" t="s">
        <v>195</v>
      </c>
      <c r="E133" s="79" t="s">
        <v>195</v>
      </c>
      <c r="F133" s="79" t="s">
        <v>195</v>
      </c>
      <c r="G133" s="79" t="s">
        <v>195</v>
      </c>
      <c r="H133" s="79" t="s">
        <v>195</v>
      </c>
      <c r="I133" s="79" t="s">
        <v>195</v>
      </c>
      <c r="J133" s="79" t="s">
        <v>195</v>
      </c>
      <c r="K133" s="79" t="s">
        <v>195</v>
      </c>
      <c r="L133" s="79" t="s">
        <v>195</v>
      </c>
      <c r="M133" s="79" t="s">
        <v>195</v>
      </c>
      <c r="N133" s="79" t="s">
        <v>195</v>
      </c>
      <c r="O133" s="79" t="s">
        <v>195</v>
      </c>
      <c r="P133" s="79" t="s">
        <v>195</v>
      </c>
      <c r="Q133" s="79" t="s">
        <v>195</v>
      </c>
      <c r="R133" s="79" t="s">
        <v>195</v>
      </c>
      <c r="S133" s="79" t="s">
        <v>195</v>
      </c>
      <c r="T133" s="79" t="s">
        <v>195</v>
      </c>
      <c r="U133" s="79" t="s">
        <v>195</v>
      </c>
      <c r="V133" s="79" t="s">
        <v>195</v>
      </c>
      <c r="W133" s="79" t="s">
        <v>195</v>
      </c>
      <c r="X133" s="79" t="s">
        <v>195</v>
      </c>
      <c r="Y133" s="79" t="s">
        <v>195</v>
      </c>
      <c r="Z133" s="79" t="s">
        <v>195</v>
      </c>
      <c r="AA133" s="79" t="s">
        <v>195</v>
      </c>
      <c r="AB133" s="79" t="s">
        <v>195</v>
      </c>
      <c r="AC133" s="79" t="s">
        <v>195</v>
      </c>
      <c r="AD133" s="79" t="s">
        <v>195</v>
      </c>
      <c r="AE133" s="79" t="s">
        <v>195</v>
      </c>
      <c r="AF133" s="79" t="s">
        <v>195</v>
      </c>
      <c r="AG133" s="79" t="s">
        <v>195</v>
      </c>
      <c r="AH133" s="79" t="s">
        <v>195</v>
      </c>
      <c r="AI133" s="79" t="s">
        <v>195</v>
      </c>
      <c r="AJ133" s="79" t="s">
        <v>195</v>
      </c>
      <c r="AK133" s="79" t="s">
        <v>195</v>
      </c>
      <c r="AL133" s="79" t="s">
        <v>195</v>
      </c>
      <c r="AM133" s="79" t="s">
        <v>195</v>
      </c>
      <c r="AN133" s="79" t="s">
        <v>195</v>
      </c>
      <c r="AO133" s="79" t="s">
        <v>195</v>
      </c>
      <c r="AP133" s="79" t="s">
        <v>195</v>
      </c>
      <c r="AQ133" s="79" t="s">
        <v>195</v>
      </c>
      <c r="AR133" s="79" t="s">
        <v>195</v>
      </c>
      <c r="AS133" s="79" t="s">
        <v>195</v>
      </c>
      <c r="AT133" s="79" t="s">
        <v>195</v>
      </c>
      <c r="AU133" s="79" t="s">
        <v>195</v>
      </c>
      <c r="AV133" s="79" t="s">
        <v>195</v>
      </c>
      <c r="AW133" s="79" t="s">
        <v>195</v>
      </c>
      <c r="AX133" s="79" t="s">
        <v>195</v>
      </c>
      <c r="AY133" s="79" t="s">
        <v>195</v>
      </c>
      <c r="AZ133" s="79" t="s">
        <v>195</v>
      </c>
      <c r="BA133" s="79" t="s">
        <v>195</v>
      </c>
      <c r="BB133" s="79" t="s">
        <v>195</v>
      </c>
      <c r="BC133" s="79" t="s">
        <v>195</v>
      </c>
      <c r="BD133" s="79" t="s">
        <v>195</v>
      </c>
      <c r="BE133" s="79" t="s">
        <v>195</v>
      </c>
      <c r="BF133" s="79" t="s">
        <v>195</v>
      </c>
      <c r="BG133" s="79" t="s">
        <v>195</v>
      </c>
      <c r="BH133" s="79" t="s">
        <v>195</v>
      </c>
      <c r="BI133" s="79" t="s">
        <v>195</v>
      </c>
      <c r="BJ133" s="79" t="s">
        <v>195</v>
      </c>
      <c r="BK133" s="79" t="s">
        <v>195</v>
      </c>
      <c r="BL133" s="79" t="s">
        <v>195</v>
      </c>
      <c r="BM133" s="79" t="s">
        <v>195</v>
      </c>
      <c r="BN133" s="79" t="s">
        <v>195</v>
      </c>
      <c r="BO133" s="79" t="s">
        <v>195</v>
      </c>
      <c r="BP133" s="79" t="s">
        <v>195</v>
      </c>
      <c r="BQ133" s="79" t="s">
        <v>195</v>
      </c>
      <c r="BR133" s="79" t="s">
        <v>195</v>
      </c>
      <c r="BS133" s="79" t="s">
        <v>195</v>
      </c>
      <c r="BT133" s="79" t="s">
        <v>195</v>
      </c>
      <c r="BU133" s="79" t="s">
        <v>195</v>
      </c>
      <c r="BV133" s="79" t="s">
        <v>195</v>
      </c>
    </row>
    <row r="134" spans="1:74">
      <c r="A134" s="78" t="s">
        <v>697</v>
      </c>
      <c r="B134" s="78" t="s">
        <v>698</v>
      </c>
      <c r="C134" s="80" t="s">
        <v>195</v>
      </c>
      <c r="D134" s="80" t="s">
        <v>195</v>
      </c>
      <c r="E134" s="80" t="s">
        <v>195</v>
      </c>
      <c r="F134" s="80" t="s">
        <v>195</v>
      </c>
      <c r="G134" s="80" t="s">
        <v>195</v>
      </c>
      <c r="H134" s="80" t="s">
        <v>195</v>
      </c>
      <c r="I134" s="80" t="s">
        <v>195</v>
      </c>
      <c r="J134" s="80" t="s">
        <v>195</v>
      </c>
      <c r="K134" s="80" t="s">
        <v>195</v>
      </c>
      <c r="L134" s="80" t="s">
        <v>195</v>
      </c>
      <c r="M134" s="80" t="s">
        <v>195</v>
      </c>
      <c r="N134" s="80" t="s">
        <v>195</v>
      </c>
      <c r="O134" s="80" t="s">
        <v>195</v>
      </c>
      <c r="P134" s="80" t="s">
        <v>195</v>
      </c>
      <c r="Q134" s="80" t="s">
        <v>195</v>
      </c>
      <c r="R134" s="80" t="s">
        <v>195</v>
      </c>
      <c r="S134" s="80" t="s">
        <v>195</v>
      </c>
      <c r="T134" s="80" t="s">
        <v>195</v>
      </c>
      <c r="U134" s="80" t="s">
        <v>195</v>
      </c>
      <c r="V134" s="80" t="s">
        <v>195</v>
      </c>
      <c r="W134" s="80" t="s">
        <v>195</v>
      </c>
      <c r="X134" s="80" t="s">
        <v>195</v>
      </c>
      <c r="Y134" s="80" t="s">
        <v>195</v>
      </c>
      <c r="Z134" s="80" t="s">
        <v>195</v>
      </c>
      <c r="AA134" s="80" t="s">
        <v>195</v>
      </c>
      <c r="AB134" s="80" t="s">
        <v>195</v>
      </c>
      <c r="AC134" s="80" t="s">
        <v>195</v>
      </c>
      <c r="AD134" s="80" t="s">
        <v>195</v>
      </c>
      <c r="AE134" s="80" t="s">
        <v>195</v>
      </c>
      <c r="AF134" s="80" t="s">
        <v>195</v>
      </c>
      <c r="AG134" s="80" t="s">
        <v>195</v>
      </c>
      <c r="AH134" s="80" t="s">
        <v>195</v>
      </c>
      <c r="AI134" s="80" t="s">
        <v>195</v>
      </c>
      <c r="AJ134" s="80" t="s">
        <v>195</v>
      </c>
      <c r="AK134" s="80" t="s">
        <v>195</v>
      </c>
      <c r="AL134" s="80" t="s">
        <v>195</v>
      </c>
      <c r="AM134" s="80" t="s">
        <v>195</v>
      </c>
      <c r="AN134" s="80" t="s">
        <v>195</v>
      </c>
      <c r="AO134" s="80" t="s">
        <v>195</v>
      </c>
      <c r="AP134" s="80" t="s">
        <v>195</v>
      </c>
      <c r="AQ134" s="80" t="s">
        <v>195</v>
      </c>
      <c r="AR134" s="80" t="s">
        <v>195</v>
      </c>
      <c r="AS134" s="80" t="s">
        <v>195</v>
      </c>
      <c r="AT134" s="80" t="s">
        <v>195</v>
      </c>
      <c r="AU134" s="80" t="s">
        <v>195</v>
      </c>
      <c r="AV134" s="80" t="s">
        <v>195</v>
      </c>
      <c r="AW134" s="80" t="s">
        <v>195</v>
      </c>
      <c r="AX134" s="80" t="s">
        <v>195</v>
      </c>
      <c r="AY134" s="80" t="s">
        <v>195</v>
      </c>
      <c r="AZ134" s="80" t="s">
        <v>195</v>
      </c>
      <c r="BA134" s="80" t="s">
        <v>195</v>
      </c>
      <c r="BB134" s="80" t="s">
        <v>195</v>
      </c>
      <c r="BC134" s="80" t="s">
        <v>195</v>
      </c>
      <c r="BD134" s="80" t="s">
        <v>195</v>
      </c>
      <c r="BE134" s="80" t="s">
        <v>195</v>
      </c>
      <c r="BF134" s="80" t="s">
        <v>195</v>
      </c>
      <c r="BG134" s="80" t="s">
        <v>195</v>
      </c>
      <c r="BH134" s="80" t="s">
        <v>195</v>
      </c>
      <c r="BI134" s="80" t="s">
        <v>195</v>
      </c>
      <c r="BJ134" s="80" t="s">
        <v>195</v>
      </c>
      <c r="BK134" s="80" t="s">
        <v>195</v>
      </c>
      <c r="BL134" s="80" t="s">
        <v>195</v>
      </c>
      <c r="BM134" s="80" t="s">
        <v>195</v>
      </c>
      <c r="BN134" s="80" t="s">
        <v>195</v>
      </c>
      <c r="BO134" s="80" t="s">
        <v>195</v>
      </c>
      <c r="BP134" s="80" t="s">
        <v>195</v>
      </c>
      <c r="BQ134" s="80" t="s">
        <v>195</v>
      </c>
      <c r="BR134" s="80" t="s">
        <v>195</v>
      </c>
      <c r="BS134" s="80" t="s">
        <v>195</v>
      </c>
      <c r="BT134" s="80" t="s">
        <v>195</v>
      </c>
      <c r="BU134" s="80" t="s">
        <v>195</v>
      </c>
      <c r="BV134" s="80" t="s">
        <v>195</v>
      </c>
    </row>
    <row r="135" spans="1:74">
      <c r="A135" s="78" t="s">
        <v>699</v>
      </c>
      <c r="B135" s="78" t="s">
        <v>700</v>
      </c>
      <c r="C135" s="84">
        <v>522.20000000000005</v>
      </c>
      <c r="D135" s="81">
        <v>1.85</v>
      </c>
      <c r="E135" s="81">
        <v>351.49</v>
      </c>
      <c r="F135" s="81">
        <v>2.37</v>
      </c>
      <c r="G135" s="84">
        <v>90.2</v>
      </c>
      <c r="H135" s="81">
        <v>10.47</v>
      </c>
      <c r="I135" s="84">
        <v>455</v>
      </c>
      <c r="J135" s="81">
        <v>6.64</v>
      </c>
      <c r="K135" s="84">
        <v>280</v>
      </c>
      <c r="L135" s="81">
        <v>734.63</v>
      </c>
      <c r="M135" s="81">
        <v>30.25</v>
      </c>
      <c r="N135" s="81">
        <v>10.74</v>
      </c>
      <c r="O135" s="81">
        <v>357.03</v>
      </c>
      <c r="P135" s="81">
        <v>122.55</v>
      </c>
      <c r="Q135" s="81">
        <v>150.22999999999999</v>
      </c>
      <c r="R135" s="81">
        <v>10.53</v>
      </c>
      <c r="S135" s="81">
        <v>153.46</v>
      </c>
      <c r="T135" s="81">
        <v>34.229999999999997</v>
      </c>
      <c r="U135" s="81">
        <v>302.76</v>
      </c>
      <c r="V135" s="81">
        <v>8.9700000000000006</v>
      </c>
      <c r="W135" s="81">
        <v>481.96</v>
      </c>
      <c r="X135" s="84">
        <v>3.2</v>
      </c>
      <c r="Y135" s="79" t="s">
        <v>195</v>
      </c>
      <c r="Z135" s="81">
        <v>3.01</v>
      </c>
      <c r="AA135" s="81">
        <v>718.94</v>
      </c>
      <c r="AB135" s="81">
        <v>109.21</v>
      </c>
      <c r="AC135" s="81">
        <v>661.24</v>
      </c>
      <c r="AD135" s="81">
        <v>174.43</v>
      </c>
      <c r="AE135" s="84">
        <v>498.8</v>
      </c>
      <c r="AF135" s="81">
        <v>56.76</v>
      </c>
      <c r="AG135" s="84">
        <v>579.6</v>
      </c>
      <c r="AH135" s="81">
        <v>54.12</v>
      </c>
      <c r="AI135" s="81">
        <v>217.34</v>
      </c>
      <c r="AJ135" s="81">
        <v>6.45</v>
      </c>
      <c r="AK135" s="81">
        <v>266.13</v>
      </c>
      <c r="AL135" s="81">
        <v>21.42</v>
      </c>
      <c r="AM135" s="81">
        <v>591.24</v>
      </c>
      <c r="AN135" s="81">
        <v>138.71</v>
      </c>
      <c r="AO135" s="81">
        <v>618.19000000000005</v>
      </c>
      <c r="AP135" s="81">
        <v>190.11</v>
      </c>
      <c r="AQ135" s="81">
        <v>341.87</v>
      </c>
      <c r="AR135" s="81">
        <v>8.4700000000000006</v>
      </c>
      <c r="AS135" s="81">
        <v>899.43</v>
      </c>
      <c r="AT135" s="81">
        <v>13.36</v>
      </c>
      <c r="AU135" s="81">
        <v>238.95</v>
      </c>
      <c r="AV135" s="81">
        <v>25.88</v>
      </c>
      <c r="AW135" s="81">
        <v>68.489999999999995</v>
      </c>
      <c r="AX135" s="81">
        <v>2.0699999999999998</v>
      </c>
      <c r="AY135" s="81">
        <v>44.98</v>
      </c>
      <c r="AZ135" s="81">
        <v>2101.52</v>
      </c>
      <c r="BA135" s="81">
        <v>254.58</v>
      </c>
      <c r="BB135" s="81">
        <v>8.4600000000000009</v>
      </c>
      <c r="BC135" s="81">
        <v>88.11</v>
      </c>
      <c r="BD135" s="81">
        <v>0.78</v>
      </c>
      <c r="BE135" s="81">
        <v>158.97</v>
      </c>
      <c r="BF135" s="81">
        <v>0.56999999999999995</v>
      </c>
      <c r="BG135" s="81">
        <v>53.35</v>
      </c>
      <c r="BH135" s="81">
        <v>8.49</v>
      </c>
      <c r="BI135" s="81">
        <v>1104.53</v>
      </c>
      <c r="BJ135" s="81">
        <v>0.04</v>
      </c>
      <c r="BK135" s="81">
        <v>1290.3900000000001</v>
      </c>
      <c r="BL135" s="81">
        <v>0.48</v>
      </c>
      <c r="BM135" s="81">
        <v>784.19</v>
      </c>
      <c r="BN135" s="81">
        <v>1.95</v>
      </c>
      <c r="BO135" s="81">
        <v>6.14</v>
      </c>
      <c r="BP135" s="81">
        <v>122.07</v>
      </c>
      <c r="BQ135" s="81">
        <v>90.94</v>
      </c>
      <c r="BR135" s="81">
        <v>0.33</v>
      </c>
      <c r="BS135" s="81">
        <v>1120.96</v>
      </c>
      <c r="BT135" s="81">
        <v>259.14999999999998</v>
      </c>
      <c r="BU135" s="81">
        <v>323.69</v>
      </c>
      <c r="BV135" s="81">
        <v>504.74</v>
      </c>
    </row>
    <row r="136" spans="1:74">
      <c r="A136" s="78" t="s">
        <v>701</v>
      </c>
      <c r="B136" s="78" t="s">
        <v>702</v>
      </c>
      <c r="C136" s="82">
        <v>37.92</v>
      </c>
      <c r="D136" s="82">
        <v>5.42</v>
      </c>
      <c r="E136" s="82">
        <v>10.81</v>
      </c>
      <c r="F136" s="82">
        <v>2.48</v>
      </c>
      <c r="G136" s="82">
        <v>11.63</v>
      </c>
      <c r="H136" s="82">
        <v>12.89</v>
      </c>
      <c r="I136" s="82">
        <v>58.62</v>
      </c>
      <c r="J136" s="82">
        <v>9.09</v>
      </c>
      <c r="K136" s="82">
        <v>61.81</v>
      </c>
      <c r="L136" s="82">
        <v>3.73</v>
      </c>
      <c r="M136" s="82">
        <v>104.97</v>
      </c>
      <c r="N136" s="82">
        <v>3.53</v>
      </c>
      <c r="O136" s="82">
        <v>12.03</v>
      </c>
      <c r="P136" s="82">
        <v>10.38</v>
      </c>
      <c r="Q136" s="83">
        <v>32.6</v>
      </c>
      <c r="R136" s="83">
        <v>22.8</v>
      </c>
      <c r="S136" s="82">
        <v>251.96</v>
      </c>
      <c r="T136" s="82">
        <v>125.08</v>
      </c>
      <c r="U136" s="82">
        <v>49.07</v>
      </c>
      <c r="V136" s="82">
        <v>14.59</v>
      </c>
      <c r="W136" s="82">
        <v>242.81</v>
      </c>
      <c r="X136" s="82">
        <v>3.51</v>
      </c>
      <c r="Y136" s="82">
        <v>279.70999999999998</v>
      </c>
      <c r="Z136" s="82">
        <v>113.52</v>
      </c>
      <c r="AA136" s="83">
        <v>721.9</v>
      </c>
      <c r="AB136" s="82">
        <v>278.94</v>
      </c>
      <c r="AC136" s="82">
        <v>36.21</v>
      </c>
      <c r="AD136" s="82">
        <v>113.39</v>
      </c>
      <c r="AE136" s="82">
        <v>259.13</v>
      </c>
      <c r="AF136" s="82">
        <v>201.32</v>
      </c>
      <c r="AG136" s="83">
        <v>778.4</v>
      </c>
      <c r="AH136" s="83">
        <v>691</v>
      </c>
      <c r="AI136" s="82">
        <v>69.56</v>
      </c>
      <c r="AJ136" s="82">
        <v>396.26</v>
      </c>
      <c r="AK136" s="82">
        <v>549.41</v>
      </c>
      <c r="AL136" s="82">
        <v>32.270000000000003</v>
      </c>
      <c r="AM136" s="82">
        <v>545.22</v>
      </c>
      <c r="AN136" s="82">
        <v>584.30999999999995</v>
      </c>
      <c r="AO136" s="82">
        <v>80.73</v>
      </c>
      <c r="AP136" s="82">
        <v>49.26</v>
      </c>
      <c r="AQ136" s="82">
        <v>16.95</v>
      </c>
      <c r="AR136" s="82">
        <v>271.41000000000003</v>
      </c>
      <c r="AS136" s="82">
        <v>373.75</v>
      </c>
      <c r="AT136" s="82">
        <v>185.64</v>
      </c>
      <c r="AU136" s="82">
        <v>383.55</v>
      </c>
      <c r="AV136" s="82">
        <v>238.61</v>
      </c>
      <c r="AW136" s="82">
        <v>492.71</v>
      </c>
      <c r="AX136" s="82">
        <v>263.29000000000002</v>
      </c>
      <c r="AY136" s="82">
        <v>291.51</v>
      </c>
      <c r="AZ136" s="82">
        <v>30.89</v>
      </c>
      <c r="BA136" s="82">
        <v>14.15</v>
      </c>
      <c r="BB136" s="82">
        <v>27.74</v>
      </c>
      <c r="BC136" s="82">
        <v>53.77</v>
      </c>
      <c r="BD136" s="82">
        <v>19.57</v>
      </c>
      <c r="BE136" s="82">
        <v>16.75</v>
      </c>
      <c r="BF136" s="82">
        <v>39.39</v>
      </c>
      <c r="BG136" s="82">
        <v>23.04</v>
      </c>
      <c r="BH136" s="83">
        <v>65.900000000000006</v>
      </c>
      <c r="BI136" s="82">
        <v>23.34</v>
      </c>
      <c r="BJ136" s="82">
        <v>29.37</v>
      </c>
      <c r="BK136" s="82">
        <v>68.19</v>
      </c>
      <c r="BL136" s="82">
        <v>207.39</v>
      </c>
      <c r="BM136" s="82">
        <v>39.450000000000003</v>
      </c>
      <c r="BN136" s="82">
        <v>32.82</v>
      </c>
      <c r="BO136" s="82">
        <v>81.739999999999995</v>
      </c>
      <c r="BP136" s="82">
        <v>46.09</v>
      </c>
      <c r="BQ136" s="82">
        <v>131.72</v>
      </c>
      <c r="BR136" s="82">
        <v>36.26</v>
      </c>
      <c r="BS136" s="82">
        <v>56.96</v>
      </c>
      <c r="BT136" s="82">
        <v>35.369999999999997</v>
      </c>
      <c r="BU136" s="82">
        <v>283.11</v>
      </c>
      <c r="BV136" s="82">
        <v>41.79</v>
      </c>
    </row>
    <row r="137" spans="1:74">
      <c r="A137" s="78" t="s">
        <v>703</v>
      </c>
      <c r="B137" s="78" t="s">
        <v>704</v>
      </c>
      <c r="C137" s="79" t="s">
        <v>195</v>
      </c>
      <c r="D137" s="79" t="s">
        <v>195</v>
      </c>
      <c r="E137" s="79" t="s">
        <v>195</v>
      </c>
      <c r="F137" s="79" t="s">
        <v>195</v>
      </c>
      <c r="G137" s="79" t="s">
        <v>195</v>
      </c>
      <c r="H137" s="79" t="s">
        <v>195</v>
      </c>
      <c r="I137" s="79" t="s">
        <v>195</v>
      </c>
      <c r="J137" s="79" t="s">
        <v>195</v>
      </c>
      <c r="K137" s="79" t="s">
        <v>195</v>
      </c>
      <c r="L137" s="79" t="s">
        <v>195</v>
      </c>
      <c r="M137" s="79" t="s">
        <v>195</v>
      </c>
      <c r="N137" s="79" t="s">
        <v>195</v>
      </c>
      <c r="O137" s="79" t="s">
        <v>195</v>
      </c>
      <c r="P137" s="79" t="s">
        <v>195</v>
      </c>
      <c r="Q137" s="79" t="s">
        <v>195</v>
      </c>
      <c r="R137" s="79" t="s">
        <v>195</v>
      </c>
      <c r="S137" s="79" t="s">
        <v>195</v>
      </c>
      <c r="T137" s="79" t="s">
        <v>195</v>
      </c>
      <c r="U137" s="79" t="s">
        <v>195</v>
      </c>
      <c r="V137" s="79" t="s">
        <v>195</v>
      </c>
      <c r="W137" s="79" t="s">
        <v>195</v>
      </c>
      <c r="X137" s="79" t="s">
        <v>195</v>
      </c>
      <c r="Y137" s="79" t="s">
        <v>195</v>
      </c>
      <c r="Z137" s="79" t="s">
        <v>195</v>
      </c>
      <c r="AA137" s="79" t="s">
        <v>195</v>
      </c>
      <c r="AB137" s="79" t="s">
        <v>195</v>
      </c>
      <c r="AC137" s="79" t="s">
        <v>195</v>
      </c>
      <c r="AD137" s="79" t="s">
        <v>195</v>
      </c>
      <c r="AE137" s="79" t="s">
        <v>195</v>
      </c>
      <c r="AF137" s="79" t="s">
        <v>195</v>
      </c>
      <c r="AG137" s="79" t="s">
        <v>195</v>
      </c>
      <c r="AH137" s="79" t="s">
        <v>195</v>
      </c>
      <c r="AI137" s="79" t="s">
        <v>195</v>
      </c>
      <c r="AJ137" s="79" t="s">
        <v>195</v>
      </c>
      <c r="AK137" s="79" t="s">
        <v>195</v>
      </c>
      <c r="AL137" s="79" t="s">
        <v>195</v>
      </c>
      <c r="AM137" s="79" t="s">
        <v>195</v>
      </c>
      <c r="AN137" s="79" t="s">
        <v>195</v>
      </c>
      <c r="AO137" s="79" t="s">
        <v>195</v>
      </c>
      <c r="AP137" s="79" t="s">
        <v>195</v>
      </c>
      <c r="AQ137" s="79" t="s">
        <v>195</v>
      </c>
      <c r="AR137" s="79" t="s">
        <v>195</v>
      </c>
      <c r="AS137" s="79" t="s">
        <v>195</v>
      </c>
      <c r="AT137" s="79" t="s">
        <v>195</v>
      </c>
      <c r="AU137" s="79" t="s">
        <v>195</v>
      </c>
      <c r="AV137" s="79" t="s">
        <v>195</v>
      </c>
      <c r="AW137" s="79" t="s">
        <v>195</v>
      </c>
      <c r="AX137" s="79" t="s">
        <v>195</v>
      </c>
      <c r="AY137" s="79" t="s">
        <v>195</v>
      </c>
      <c r="AZ137" s="79" t="s">
        <v>195</v>
      </c>
      <c r="BA137" s="79" t="s">
        <v>195</v>
      </c>
      <c r="BB137" s="79" t="s">
        <v>195</v>
      </c>
      <c r="BC137" s="79" t="s">
        <v>195</v>
      </c>
      <c r="BD137" s="79" t="s">
        <v>195</v>
      </c>
      <c r="BE137" s="79" t="s">
        <v>195</v>
      </c>
      <c r="BF137" s="79" t="s">
        <v>195</v>
      </c>
      <c r="BG137" s="79" t="s">
        <v>195</v>
      </c>
      <c r="BH137" s="79" t="s">
        <v>195</v>
      </c>
      <c r="BI137" s="79" t="s">
        <v>195</v>
      </c>
      <c r="BJ137" s="79" t="s">
        <v>195</v>
      </c>
      <c r="BK137" s="79" t="s">
        <v>195</v>
      </c>
      <c r="BL137" s="79" t="s">
        <v>195</v>
      </c>
      <c r="BM137" s="79" t="s">
        <v>195</v>
      </c>
      <c r="BN137" s="79" t="s">
        <v>195</v>
      </c>
      <c r="BO137" s="79" t="s">
        <v>195</v>
      </c>
      <c r="BP137" s="79" t="s">
        <v>195</v>
      </c>
      <c r="BQ137" s="79" t="s">
        <v>195</v>
      </c>
      <c r="BR137" s="79" t="s">
        <v>195</v>
      </c>
      <c r="BS137" s="79" t="s">
        <v>195</v>
      </c>
      <c r="BT137" s="79" t="s">
        <v>195</v>
      </c>
      <c r="BU137" s="79" t="s">
        <v>195</v>
      </c>
      <c r="BV137" s="79" t="s">
        <v>195</v>
      </c>
    </row>
    <row r="138" spans="1:74">
      <c r="A138" s="78" t="s">
        <v>705</v>
      </c>
      <c r="B138" s="78" t="s">
        <v>706</v>
      </c>
      <c r="C138" s="83">
        <v>225.4</v>
      </c>
      <c r="D138" s="80" t="s">
        <v>195</v>
      </c>
      <c r="E138" s="83">
        <v>189</v>
      </c>
      <c r="F138" s="82">
        <v>57.78</v>
      </c>
      <c r="G138" s="82">
        <v>13.44</v>
      </c>
      <c r="H138" s="83">
        <v>49</v>
      </c>
      <c r="I138" s="83">
        <v>252</v>
      </c>
      <c r="J138" s="82">
        <v>0.11</v>
      </c>
      <c r="K138" s="82">
        <v>219.13</v>
      </c>
      <c r="L138" s="80" t="s">
        <v>195</v>
      </c>
      <c r="M138" s="82">
        <v>0.13</v>
      </c>
      <c r="N138" s="83">
        <v>49</v>
      </c>
      <c r="O138" s="82">
        <v>2.42</v>
      </c>
      <c r="P138" s="83">
        <v>6</v>
      </c>
      <c r="Q138" s="80" t="s">
        <v>195</v>
      </c>
      <c r="R138" s="82">
        <v>8.74</v>
      </c>
      <c r="S138" s="82">
        <v>0.94</v>
      </c>
      <c r="T138" s="80" t="s">
        <v>195</v>
      </c>
      <c r="U138" s="83">
        <v>481.3</v>
      </c>
      <c r="V138" s="82">
        <v>12.64</v>
      </c>
      <c r="W138" s="82">
        <v>0.38</v>
      </c>
      <c r="X138" s="80" t="s">
        <v>195</v>
      </c>
      <c r="Y138" s="82">
        <v>18.579999999999998</v>
      </c>
      <c r="Z138" s="83">
        <v>4</v>
      </c>
      <c r="AA138" s="83">
        <v>85</v>
      </c>
      <c r="AB138" s="80" t="s">
        <v>195</v>
      </c>
      <c r="AC138" s="83">
        <v>10</v>
      </c>
      <c r="AD138" s="80" t="s">
        <v>195</v>
      </c>
      <c r="AE138" s="82">
        <v>1.52</v>
      </c>
      <c r="AF138" s="80" t="s">
        <v>195</v>
      </c>
      <c r="AG138" s="82">
        <v>0.63</v>
      </c>
      <c r="AH138" s="80" t="s">
        <v>195</v>
      </c>
      <c r="AI138" s="83">
        <v>0.5</v>
      </c>
      <c r="AJ138" s="80" t="s">
        <v>195</v>
      </c>
      <c r="AK138" s="80" t="s">
        <v>195</v>
      </c>
      <c r="AL138" s="82">
        <v>0.25</v>
      </c>
      <c r="AM138" s="82">
        <v>0.51</v>
      </c>
      <c r="AN138" s="80" t="s">
        <v>195</v>
      </c>
      <c r="AO138" s="82">
        <v>49.89</v>
      </c>
      <c r="AP138" s="80" t="s">
        <v>195</v>
      </c>
      <c r="AQ138" s="82">
        <v>1.63</v>
      </c>
      <c r="AR138" s="80" t="s">
        <v>195</v>
      </c>
      <c r="AS138" s="82">
        <v>1.01</v>
      </c>
      <c r="AT138" s="80" t="s">
        <v>195</v>
      </c>
      <c r="AU138" s="82">
        <v>0.32</v>
      </c>
      <c r="AV138" s="80" t="s">
        <v>195</v>
      </c>
      <c r="AW138" s="82">
        <v>0.17</v>
      </c>
      <c r="AX138" s="83">
        <v>4.5</v>
      </c>
      <c r="AY138" s="83">
        <v>0</v>
      </c>
      <c r="AZ138" s="80" t="s">
        <v>195</v>
      </c>
      <c r="BA138" s="82">
        <v>0.74</v>
      </c>
      <c r="BB138" s="80" t="s">
        <v>195</v>
      </c>
      <c r="BC138" s="82">
        <v>0.37</v>
      </c>
      <c r="BD138" s="83">
        <v>0.9</v>
      </c>
      <c r="BE138" s="83">
        <v>145.6</v>
      </c>
      <c r="BF138" s="80" t="s">
        <v>195</v>
      </c>
      <c r="BG138" s="82">
        <v>1.42</v>
      </c>
      <c r="BH138" s="80" t="s">
        <v>195</v>
      </c>
      <c r="BI138" s="82">
        <v>6.44</v>
      </c>
      <c r="BJ138" s="80" t="s">
        <v>195</v>
      </c>
      <c r="BK138" s="82">
        <v>95.45</v>
      </c>
      <c r="BL138" s="80" t="s">
        <v>195</v>
      </c>
      <c r="BM138" s="82">
        <v>0.34</v>
      </c>
      <c r="BN138" s="80" t="s">
        <v>195</v>
      </c>
      <c r="BO138" s="82">
        <v>0.44</v>
      </c>
      <c r="BP138" s="80" t="s">
        <v>195</v>
      </c>
      <c r="BQ138" s="82">
        <v>0.32</v>
      </c>
      <c r="BR138" s="80" t="s">
        <v>195</v>
      </c>
      <c r="BS138" s="83">
        <v>0.5</v>
      </c>
      <c r="BT138" s="83">
        <v>1</v>
      </c>
      <c r="BU138" s="82">
        <v>15.22</v>
      </c>
      <c r="BV138" s="80" t="s">
        <v>195</v>
      </c>
    </row>
    <row r="139" spans="1:74">
      <c r="A139" s="78" t="s">
        <v>707</v>
      </c>
      <c r="B139" s="78" t="s">
        <v>676</v>
      </c>
      <c r="C139" s="79" t="s">
        <v>195</v>
      </c>
      <c r="D139" s="79" t="s">
        <v>195</v>
      </c>
      <c r="E139" s="79" t="s">
        <v>195</v>
      </c>
      <c r="F139" s="79" t="s">
        <v>195</v>
      </c>
      <c r="G139" s="79" t="s">
        <v>195</v>
      </c>
      <c r="H139" s="79" t="s">
        <v>195</v>
      </c>
      <c r="I139" s="79" t="s">
        <v>195</v>
      </c>
      <c r="J139" s="79" t="s">
        <v>195</v>
      </c>
      <c r="K139" s="79" t="s">
        <v>195</v>
      </c>
      <c r="L139" s="79" t="s">
        <v>195</v>
      </c>
      <c r="M139" s="79" t="s">
        <v>195</v>
      </c>
      <c r="N139" s="79" t="s">
        <v>195</v>
      </c>
      <c r="O139" s="79" t="s">
        <v>195</v>
      </c>
      <c r="P139" s="79" t="s">
        <v>195</v>
      </c>
      <c r="Q139" s="79" t="s">
        <v>195</v>
      </c>
      <c r="R139" s="79" t="s">
        <v>195</v>
      </c>
      <c r="S139" s="79" t="s">
        <v>195</v>
      </c>
      <c r="T139" s="79" t="s">
        <v>195</v>
      </c>
      <c r="U139" s="79" t="s">
        <v>195</v>
      </c>
      <c r="V139" s="79" t="s">
        <v>195</v>
      </c>
      <c r="W139" s="79" t="s">
        <v>195</v>
      </c>
      <c r="X139" s="79" t="s">
        <v>195</v>
      </c>
      <c r="Y139" s="79" t="s">
        <v>195</v>
      </c>
      <c r="Z139" s="79" t="s">
        <v>195</v>
      </c>
      <c r="AA139" s="79" t="s">
        <v>195</v>
      </c>
      <c r="AB139" s="79" t="s">
        <v>195</v>
      </c>
      <c r="AC139" s="79" t="s">
        <v>195</v>
      </c>
      <c r="AD139" s="79" t="s">
        <v>195</v>
      </c>
      <c r="AE139" s="79" t="s">
        <v>195</v>
      </c>
      <c r="AF139" s="79" t="s">
        <v>195</v>
      </c>
      <c r="AG139" s="79" t="s">
        <v>195</v>
      </c>
      <c r="AH139" s="79" t="s">
        <v>195</v>
      </c>
      <c r="AI139" s="79" t="s">
        <v>195</v>
      </c>
      <c r="AJ139" s="79" t="s">
        <v>195</v>
      </c>
      <c r="AK139" s="79" t="s">
        <v>195</v>
      </c>
      <c r="AL139" s="79" t="s">
        <v>195</v>
      </c>
      <c r="AM139" s="79" t="s">
        <v>195</v>
      </c>
      <c r="AN139" s="79" t="s">
        <v>195</v>
      </c>
      <c r="AO139" s="79" t="s">
        <v>195</v>
      </c>
      <c r="AP139" s="79" t="s">
        <v>195</v>
      </c>
      <c r="AQ139" s="79" t="s">
        <v>195</v>
      </c>
      <c r="AR139" s="79" t="s">
        <v>195</v>
      </c>
      <c r="AS139" s="79" t="s">
        <v>195</v>
      </c>
      <c r="AT139" s="79" t="s">
        <v>195</v>
      </c>
      <c r="AU139" s="79" t="s">
        <v>195</v>
      </c>
      <c r="AV139" s="79" t="s">
        <v>195</v>
      </c>
      <c r="AW139" s="79" t="s">
        <v>195</v>
      </c>
      <c r="AX139" s="79" t="s">
        <v>195</v>
      </c>
      <c r="AY139" s="79" t="s">
        <v>195</v>
      </c>
      <c r="AZ139" s="79" t="s">
        <v>195</v>
      </c>
      <c r="BA139" s="79" t="s">
        <v>195</v>
      </c>
      <c r="BB139" s="79" t="s">
        <v>195</v>
      </c>
      <c r="BC139" s="79" t="s">
        <v>195</v>
      </c>
      <c r="BD139" s="79" t="s">
        <v>195</v>
      </c>
      <c r="BE139" s="79" t="s">
        <v>195</v>
      </c>
      <c r="BF139" s="79" t="s">
        <v>195</v>
      </c>
      <c r="BG139" s="79" t="s">
        <v>195</v>
      </c>
      <c r="BH139" s="79" t="s">
        <v>195</v>
      </c>
      <c r="BI139" s="79" t="s">
        <v>195</v>
      </c>
      <c r="BJ139" s="79" t="s">
        <v>195</v>
      </c>
      <c r="BK139" s="79" t="s">
        <v>195</v>
      </c>
      <c r="BL139" s="79" t="s">
        <v>195</v>
      </c>
      <c r="BM139" s="79" t="s">
        <v>195</v>
      </c>
      <c r="BN139" s="79" t="s">
        <v>195</v>
      </c>
      <c r="BO139" s="79" t="s">
        <v>195</v>
      </c>
      <c r="BP139" s="79" t="s">
        <v>195</v>
      </c>
      <c r="BQ139" s="79" t="s">
        <v>195</v>
      </c>
      <c r="BR139" s="79" t="s">
        <v>195</v>
      </c>
      <c r="BS139" s="79" t="s">
        <v>195</v>
      </c>
      <c r="BT139" s="79" t="s">
        <v>195</v>
      </c>
      <c r="BU139" s="79" t="s">
        <v>195</v>
      </c>
      <c r="BV139" s="79" t="s">
        <v>195</v>
      </c>
    </row>
    <row r="140" spans="1:74">
      <c r="A140" s="78" t="s">
        <v>708</v>
      </c>
      <c r="B140" s="78" t="s">
        <v>709</v>
      </c>
      <c r="C140" s="80" t="s">
        <v>195</v>
      </c>
      <c r="D140" s="80" t="s">
        <v>195</v>
      </c>
      <c r="E140" s="80" t="s">
        <v>195</v>
      </c>
      <c r="F140" s="80" t="s">
        <v>195</v>
      </c>
      <c r="G140" s="80" t="s">
        <v>195</v>
      </c>
      <c r="H140" s="80" t="s">
        <v>195</v>
      </c>
      <c r="I140" s="80" t="s">
        <v>195</v>
      </c>
      <c r="J140" s="80" t="s">
        <v>195</v>
      </c>
      <c r="K140" s="80" t="s">
        <v>195</v>
      </c>
      <c r="L140" s="80" t="s">
        <v>195</v>
      </c>
      <c r="M140" s="80" t="s">
        <v>195</v>
      </c>
      <c r="N140" s="80" t="s">
        <v>195</v>
      </c>
      <c r="O140" s="80" t="s">
        <v>195</v>
      </c>
      <c r="P140" s="80" t="s">
        <v>195</v>
      </c>
      <c r="Q140" s="80" t="s">
        <v>195</v>
      </c>
      <c r="R140" s="80" t="s">
        <v>195</v>
      </c>
      <c r="S140" s="80" t="s">
        <v>195</v>
      </c>
      <c r="T140" s="80" t="s">
        <v>195</v>
      </c>
      <c r="U140" s="80" t="s">
        <v>195</v>
      </c>
      <c r="V140" s="80" t="s">
        <v>195</v>
      </c>
      <c r="W140" s="80" t="s">
        <v>195</v>
      </c>
      <c r="X140" s="80" t="s">
        <v>195</v>
      </c>
      <c r="Y140" s="80" t="s">
        <v>195</v>
      </c>
      <c r="Z140" s="80" t="s">
        <v>195</v>
      </c>
      <c r="AA140" s="80" t="s">
        <v>195</v>
      </c>
      <c r="AB140" s="80" t="s">
        <v>195</v>
      </c>
      <c r="AC140" s="80" t="s">
        <v>195</v>
      </c>
      <c r="AD140" s="80" t="s">
        <v>195</v>
      </c>
      <c r="AE140" s="80" t="s">
        <v>195</v>
      </c>
      <c r="AF140" s="80" t="s">
        <v>195</v>
      </c>
      <c r="AG140" s="80" t="s">
        <v>195</v>
      </c>
      <c r="AH140" s="80" t="s">
        <v>195</v>
      </c>
      <c r="AI140" s="80" t="s">
        <v>195</v>
      </c>
      <c r="AJ140" s="80" t="s">
        <v>195</v>
      </c>
      <c r="AK140" s="80" t="s">
        <v>195</v>
      </c>
      <c r="AL140" s="80" t="s">
        <v>195</v>
      </c>
      <c r="AM140" s="80" t="s">
        <v>195</v>
      </c>
      <c r="AN140" s="80" t="s">
        <v>195</v>
      </c>
      <c r="AO140" s="80" t="s">
        <v>195</v>
      </c>
      <c r="AP140" s="80" t="s">
        <v>195</v>
      </c>
      <c r="AQ140" s="80" t="s">
        <v>195</v>
      </c>
      <c r="AR140" s="80" t="s">
        <v>195</v>
      </c>
      <c r="AS140" s="80" t="s">
        <v>195</v>
      </c>
      <c r="AT140" s="80" t="s">
        <v>195</v>
      </c>
      <c r="AU140" s="80" t="s">
        <v>195</v>
      </c>
      <c r="AV140" s="80" t="s">
        <v>195</v>
      </c>
      <c r="AW140" s="80" t="s">
        <v>195</v>
      </c>
      <c r="AX140" s="80" t="s">
        <v>195</v>
      </c>
      <c r="AY140" s="80" t="s">
        <v>195</v>
      </c>
      <c r="AZ140" s="80" t="s">
        <v>195</v>
      </c>
      <c r="BA140" s="80" t="s">
        <v>195</v>
      </c>
      <c r="BB140" s="80" t="s">
        <v>195</v>
      </c>
      <c r="BC140" s="80" t="s">
        <v>195</v>
      </c>
      <c r="BD140" s="80" t="s">
        <v>195</v>
      </c>
      <c r="BE140" s="80" t="s">
        <v>195</v>
      </c>
      <c r="BF140" s="80" t="s">
        <v>195</v>
      </c>
      <c r="BG140" s="80" t="s">
        <v>195</v>
      </c>
      <c r="BH140" s="80" t="s">
        <v>195</v>
      </c>
      <c r="BI140" s="80" t="s">
        <v>195</v>
      </c>
      <c r="BJ140" s="80" t="s">
        <v>195</v>
      </c>
      <c r="BK140" s="80" t="s">
        <v>195</v>
      </c>
      <c r="BL140" s="80" t="s">
        <v>195</v>
      </c>
      <c r="BM140" s="80" t="s">
        <v>195</v>
      </c>
      <c r="BN140" s="80" t="s">
        <v>195</v>
      </c>
      <c r="BO140" s="80" t="s">
        <v>195</v>
      </c>
      <c r="BP140" s="80" t="s">
        <v>195</v>
      </c>
      <c r="BQ140" s="80" t="s">
        <v>195</v>
      </c>
      <c r="BR140" s="80" t="s">
        <v>195</v>
      </c>
      <c r="BS140" s="80" t="s">
        <v>195</v>
      </c>
      <c r="BT140" s="80" t="s">
        <v>195</v>
      </c>
      <c r="BU140" s="80" t="s">
        <v>195</v>
      </c>
      <c r="BV140" s="80" t="s">
        <v>195</v>
      </c>
    </row>
    <row r="141" spans="1:74">
      <c r="A141" s="78" t="s">
        <v>710</v>
      </c>
      <c r="B141" s="78" t="s">
        <v>711</v>
      </c>
      <c r="C141" s="81">
        <v>3018.45</v>
      </c>
      <c r="D141" s="81">
        <v>51.56</v>
      </c>
      <c r="E141" s="81">
        <v>3662.85</v>
      </c>
      <c r="F141" s="81">
        <v>246.33</v>
      </c>
      <c r="G141" s="81">
        <v>2179.16</v>
      </c>
      <c r="H141" s="84">
        <v>48.3</v>
      </c>
      <c r="I141" s="81">
        <v>3362.32</v>
      </c>
      <c r="J141" s="84">
        <v>302.8</v>
      </c>
      <c r="K141" s="81">
        <v>4430.3100000000004</v>
      </c>
      <c r="L141" s="81">
        <v>41.88</v>
      </c>
      <c r="M141" s="81">
        <v>3457.13</v>
      </c>
      <c r="N141" s="81">
        <v>669.07</v>
      </c>
      <c r="O141" s="84">
        <v>5365.8</v>
      </c>
      <c r="P141" s="81">
        <v>72.88</v>
      </c>
      <c r="Q141" s="81">
        <v>4724.8599999999997</v>
      </c>
      <c r="R141" s="81">
        <v>171.22</v>
      </c>
      <c r="S141" s="81">
        <v>2231.09</v>
      </c>
      <c r="T141" s="81">
        <v>84.45</v>
      </c>
      <c r="U141" s="81">
        <v>2816.22</v>
      </c>
      <c r="V141" s="81">
        <v>216.98</v>
      </c>
      <c r="W141" s="81">
        <v>1843.41</v>
      </c>
      <c r="X141" s="81">
        <v>74.22</v>
      </c>
      <c r="Y141" s="81">
        <v>3262.83</v>
      </c>
      <c r="Z141" s="81">
        <v>245.31</v>
      </c>
      <c r="AA141" s="81">
        <v>4518.6499999999996</v>
      </c>
      <c r="AB141" s="81">
        <v>782.37</v>
      </c>
      <c r="AC141" s="81">
        <v>7220.73</v>
      </c>
      <c r="AD141" s="81">
        <v>479.95</v>
      </c>
      <c r="AE141" s="81">
        <v>3791.75</v>
      </c>
      <c r="AF141" s="81">
        <v>38.590000000000003</v>
      </c>
      <c r="AG141" s="81">
        <v>10139.32</v>
      </c>
      <c r="AH141" s="81">
        <v>80.13</v>
      </c>
      <c r="AI141" s="81">
        <v>7648.16</v>
      </c>
      <c r="AJ141" s="81">
        <v>261.16000000000003</v>
      </c>
      <c r="AK141" s="81">
        <v>7268.39</v>
      </c>
      <c r="AL141" s="81">
        <v>119.45</v>
      </c>
      <c r="AM141" s="81">
        <v>4837.43</v>
      </c>
      <c r="AN141" s="81">
        <v>493.75</v>
      </c>
      <c r="AO141" s="81">
        <v>5290.84</v>
      </c>
      <c r="AP141" s="81">
        <v>476.71</v>
      </c>
      <c r="AQ141" s="81">
        <v>5191.26</v>
      </c>
      <c r="AR141" s="84">
        <v>35.700000000000003</v>
      </c>
      <c r="AS141" s="81">
        <v>5725.45</v>
      </c>
      <c r="AT141" s="84">
        <v>59.4</v>
      </c>
      <c r="AU141" s="81">
        <v>4552.13</v>
      </c>
      <c r="AV141" s="81">
        <v>48.92</v>
      </c>
      <c r="AW141" s="81">
        <v>5184.76</v>
      </c>
      <c r="AX141" s="81">
        <v>71.36</v>
      </c>
      <c r="AY141" s="81">
        <v>1864.09</v>
      </c>
      <c r="AZ141" s="81">
        <v>299.63</v>
      </c>
      <c r="BA141" s="81">
        <v>2313.65</v>
      </c>
      <c r="BB141" s="81">
        <v>22.28</v>
      </c>
      <c r="BC141" s="81">
        <v>3292.33</v>
      </c>
      <c r="BD141" s="81">
        <v>17.52</v>
      </c>
      <c r="BE141" s="81">
        <v>2828.39</v>
      </c>
      <c r="BF141" s="81">
        <v>103.84</v>
      </c>
      <c r="BG141" s="81">
        <v>2571.02</v>
      </c>
      <c r="BH141" s="81">
        <v>83.97</v>
      </c>
      <c r="BI141" s="81">
        <v>2955.39</v>
      </c>
      <c r="BJ141" s="81">
        <v>293.41000000000003</v>
      </c>
      <c r="BK141" s="81">
        <v>1892.67</v>
      </c>
      <c r="BL141" s="81">
        <v>32.909999999999997</v>
      </c>
      <c r="BM141" s="81">
        <v>1812.22</v>
      </c>
      <c r="BN141" s="84">
        <v>297.2</v>
      </c>
      <c r="BO141" s="81">
        <v>1654.22</v>
      </c>
      <c r="BP141" s="81">
        <v>87.66</v>
      </c>
      <c r="BQ141" s="81">
        <v>2209.59</v>
      </c>
      <c r="BR141" s="81">
        <v>60.64</v>
      </c>
      <c r="BS141" s="81">
        <v>1996.33</v>
      </c>
      <c r="BT141" s="81">
        <v>33.11</v>
      </c>
      <c r="BU141" s="81">
        <v>3402.18</v>
      </c>
      <c r="BV141" s="81">
        <v>99.35</v>
      </c>
    </row>
    <row r="142" spans="1:74">
      <c r="A142" s="78" t="s">
        <v>712</v>
      </c>
      <c r="B142" s="78" t="s">
        <v>713</v>
      </c>
      <c r="C142" s="80" t="s">
        <v>195</v>
      </c>
      <c r="D142" s="80" t="s">
        <v>195</v>
      </c>
      <c r="E142" s="80" t="s">
        <v>195</v>
      </c>
      <c r="F142" s="80" t="s">
        <v>195</v>
      </c>
      <c r="G142" s="80" t="s">
        <v>195</v>
      </c>
      <c r="H142" s="80" t="s">
        <v>195</v>
      </c>
      <c r="I142" s="80" t="s">
        <v>195</v>
      </c>
      <c r="J142" s="80" t="s">
        <v>195</v>
      </c>
      <c r="K142" s="80" t="s">
        <v>195</v>
      </c>
      <c r="L142" s="80" t="s">
        <v>195</v>
      </c>
      <c r="M142" s="80" t="s">
        <v>195</v>
      </c>
      <c r="N142" s="80" t="s">
        <v>195</v>
      </c>
      <c r="O142" s="80" t="s">
        <v>195</v>
      </c>
      <c r="P142" s="80" t="s">
        <v>195</v>
      </c>
      <c r="Q142" s="80" t="s">
        <v>195</v>
      </c>
      <c r="R142" s="80" t="s">
        <v>195</v>
      </c>
      <c r="S142" s="80" t="s">
        <v>195</v>
      </c>
      <c r="T142" s="80" t="s">
        <v>195</v>
      </c>
      <c r="U142" s="80" t="s">
        <v>195</v>
      </c>
      <c r="V142" s="80" t="s">
        <v>195</v>
      </c>
      <c r="W142" s="80" t="s">
        <v>195</v>
      </c>
      <c r="X142" s="80" t="s">
        <v>195</v>
      </c>
      <c r="Y142" s="80" t="s">
        <v>195</v>
      </c>
      <c r="Z142" s="80" t="s">
        <v>195</v>
      </c>
      <c r="AA142" s="80" t="s">
        <v>195</v>
      </c>
      <c r="AB142" s="80" t="s">
        <v>195</v>
      </c>
      <c r="AC142" s="80" t="s">
        <v>195</v>
      </c>
      <c r="AD142" s="80" t="s">
        <v>195</v>
      </c>
      <c r="AE142" s="80" t="s">
        <v>195</v>
      </c>
      <c r="AF142" s="80" t="s">
        <v>195</v>
      </c>
      <c r="AG142" s="80" t="s">
        <v>195</v>
      </c>
      <c r="AH142" s="80" t="s">
        <v>195</v>
      </c>
      <c r="AI142" s="80" t="s">
        <v>195</v>
      </c>
      <c r="AJ142" s="80" t="s">
        <v>195</v>
      </c>
      <c r="AK142" s="80" t="s">
        <v>195</v>
      </c>
      <c r="AL142" s="80" t="s">
        <v>195</v>
      </c>
      <c r="AM142" s="80" t="s">
        <v>195</v>
      </c>
      <c r="AN142" s="80" t="s">
        <v>195</v>
      </c>
      <c r="AO142" s="80" t="s">
        <v>195</v>
      </c>
      <c r="AP142" s="80" t="s">
        <v>195</v>
      </c>
      <c r="AQ142" s="80" t="s">
        <v>195</v>
      </c>
      <c r="AR142" s="80" t="s">
        <v>195</v>
      </c>
      <c r="AS142" s="80" t="s">
        <v>195</v>
      </c>
      <c r="AT142" s="80" t="s">
        <v>195</v>
      </c>
      <c r="AU142" s="80" t="s">
        <v>195</v>
      </c>
      <c r="AV142" s="80" t="s">
        <v>195</v>
      </c>
      <c r="AW142" s="80" t="s">
        <v>195</v>
      </c>
      <c r="AX142" s="80" t="s">
        <v>195</v>
      </c>
      <c r="AY142" s="80" t="s">
        <v>195</v>
      </c>
      <c r="AZ142" s="80" t="s">
        <v>195</v>
      </c>
      <c r="BA142" s="80" t="s">
        <v>195</v>
      </c>
      <c r="BB142" s="80" t="s">
        <v>195</v>
      </c>
      <c r="BC142" s="80" t="s">
        <v>195</v>
      </c>
      <c r="BD142" s="80" t="s">
        <v>195</v>
      </c>
      <c r="BE142" s="80" t="s">
        <v>195</v>
      </c>
      <c r="BF142" s="80" t="s">
        <v>195</v>
      </c>
      <c r="BG142" s="80" t="s">
        <v>195</v>
      </c>
      <c r="BH142" s="80" t="s">
        <v>195</v>
      </c>
      <c r="BI142" s="80" t="s">
        <v>195</v>
      </c>
      <c r="BJ142" s="80" t="s">
        <v>195</v>
      </c>
      <c r="BK142" s="80" t="s">
        <v>195</v>
      </c>
      <c r="BL142" s="80" t="s">
        <v>195</v>
      </c>
      <c r="BM142" s="80" t="s">
        <v>195</v>
      </c>
      <c r="BN142" s="80" t="s">
        <v>195</v>
      </c>
      <c r="BO142" s="80" t="s">
        <v>195</v>
      </c>
      <c r="BP142" s="80" t="s">
        <v>195</v>
      </c>
      <c r="BQ142" s="80" t="s">
        <v>195</v>
      </c>
      <c r="BR142" s="80" t="s">
        <v>195</v>
      </c>
      <c r="BS142" s="80" t="s">
        <v>195</v>
      </c>
      <c r="BT142" s="80" t="s">
        <v>195</v>
      </c>
      <c r="BU142" s="80" t="s">
        <v>195</v>
      </c>
      <c r="BV142" s="80" t="s">
        <v>195</v>
      </c>
    </row>
    <row r="143" spans="1:74">
      <c r="A143" s="78" t="s">
        <v>714</v>
      </c>
      <c r="B143" s="78" t="s">
        <v>715</v>
      </c>
      <c r="C143" s="82">
        <v>474.15</v>
      </c>
      <c r="D143" s="82">
        <v>32.46</v>
      </c>
      <c r="E143" s="82">
        <v>0.32</v>
      </c>
      <c r="F143" s="82">
        <v>12.16</v>
      </c>
      <c r="G143" s="82">
        <v>600.37</v>
      </c>
      <c r="H143" s="82">
        <v>25.01</v>
      </c>
      <c r="I143" s="82">
        <v>0.52</v>
      </c>
      <c r="J143" s="82">
        <v>44.61</v>
      </c>
      <c r="K143" s="82">
        <v>620.34</v>
      </c>
      <c r="L143" s="82">
        <v>65.77</v>
      </c>
      <c r="M143" s="82">
        <v>232.31</v>
      </c>
      <c r="N143" s="82">
        <v>52.35</v>
      </c>
      <c r="O143" s="83">
        <v>558.1</v>
      </c>
      <c r="P143" s="82">
        <v>33.03</v>
      </c>
      <c r="Q143" s="82">
        <v>611.32000000000005</v>
      </c>
      <c r="R143" s="82">
        <v>56.88</v>
      </c>
      <c r="S143" s="82">
        <v>220.23</v>
      </c>
      <c r="T143" s="83">
        <v>67.400000000000006</v>
      </c>
      <c r="U143" s="82">
        <v>101.51</v>
      </c>
      <c r="V143" s="82">
        <v>30.96</v>
      </c>
      <c r="W143" s="82">
        <v>625.99</v>
      </c>
      <c r="X143" s="82">
        <v>54.74</v>
      </c>
      <c r="Y143" s="82">
        <v>330.52</v>
      </c>
      <c r="Z143" s="82">
        <v>25.03</v>
      </c>
      <c r="AA143" s="82">
        <v>4.66</v>
      </c>
      <c r="AB143" s="82">
        <v>12.38</v>
      </c>
      <c r="AC143" s="82">
        <v>616.45000000000005</v>
      </c>
      <c r="AD143" s="82">
        <v>13.23</v>
      </c>
      <c r="AE143" s="82">
        <v>914.06</v>
      </c>
      <c r="AF143" s="82">
        <v>0.47</v>
      </c>
      <c r="AG143" s="82">
        <v>172.24</v>
      </c>
      <c r="AH143" s="83">
        <v>61.5</v>
      </c>
      <c r="AI143" s="82">
        <v>432.41</v>
      </c>
      <c r="AJ143" s="82">
        <v>1.1499999999999999</v>
      </c>
      <c r="AK143" s="82">
        <v>639.65</v>
      </c>
      <c r="AL143" s="83">
        <v>53.3</v>
      </c>
      <c r="AM143" s="82">
        <v>161.91999999999999</v>
      </c>
      <c r="AN143" s="82">
        <v>1.47</v>
      </c>
      <c r="AO143" s="82">
        <v>501.46</v>
      </c>
      <c r="AP143" s="82">
        <v>40.17</v>
      </c>
      <c r="AQ143" s="82">
        <v>445.51</v>
      </c>
      <c r="AR143" s="82">
        <v>3.65</v>
      </c>
      <c r="AS143" s="82">
        <v>477.74</v>
      </c>
      <c r="AT143" s="82">
        <v>174.29</v>
      </c>
      <c r="AU143" s="82">
        <v>282.77</v>
      </c>
      <c r="AV143" s="82">
        <v>20.47</v>
      </c>
      <c r="AW143" s="82">
        <v>927.42</v>
      </c>
      <c r="AX143" s="82">
        <v>4.68</v>
      </c>
      <c r="AY143" s="82">
        <v>591.38</v>
      </c>
      <c r="AZ143" s="82">
        <v>250.69</v>
      </c>
      <c r="BA143" s="82">
        <v>170.48</v>
      </c>
      <c r="BB143" s="82">
        <v>132.11000000000001</v>
      </c>
      <c r="BC143" s="82">
        <v>218.33</v>
      </c>
      <c r="BD143" s="83">
        <v>2.6</v>
      </c>
      <c r="BE143" s="82">
        <v>488.39</v>
      </c>
      <c r="BF143" s="82">
        <v>5.0599999999999996</v>
      </c>
      <c r="BG143" s="82">
        <v>328.22</v>
      </c>
      <c r="BH143" s="82">
        <v>482.55</v>
      </c>
      <c r="BI143" s="83">
        <v>101.2</v>
      </c>
      <c r="BJ143" s="82">
        <v>1.73</v>
      </c>
      <c r="BK143" s="82">
        <v>777.29</v>
      </c>
      <c r="BL143" s="82">
        <v>1.35</v>
      </c>
      <c r="BM143" s="82">
        <v>178.14</v>
      </c>
      <c r="BN143" s="82">
        <v>10.06</v>
      </c>
      <c r="BO143" s="82">
        <v>242.77</v>
      </c>
      <c r="BP143" s="82">
        <v>4.92</v>
      </c>
      <c r="BQ143" s="82">
        <v>291.54000000000002</v>
      </c>
      <c r="BR143" s="82">
        <v>4.1500000000000004</v>
      </c>
      <c r="BS143" s="82">
        <v>830.36</v>
      </c>
      <c r="BT143" s="82">
        <v>6.12</v>
      </c>
      <c r="BU143" s="82">
        <v>705.93</v>
      </c>
      <c r="BV143" s="82">
        <v>2.61</v>
      </c>
    </row>
    <row r="144" spans="1:74">
      <c r="A144" s="78" t="s">
        <v>716</v>
      </c>
      <c r="B144" s="78" t="s">
        <v>717</v>
      </c>
      <c r="C144" s="83">
        <v>1.5</v>
      </c>
      <c r="D144" s="80" t="s">
        <v>195</v>
      </c>
      <c r="E144" s="82">
        <v>0.75</v>
      </c>
      <c r="F144" s="80" t="s">
        <v>195</v>
      </c>
      <c r="G144" s="83">
        <v>1140.5999999999999</v>
      </c>
      <c r="H144" s="83">
        <v>0.6</v>
      </c>
      <c r="I144" s="82">
        <v>943.05</v>
      </c>
      <c r="J144" s="80" t="s">
        <v>195</v>
      </c>
      <c r="K144" s="83">
        <v>849.9</v>
      </c>
      <c r="L144" s="80" t="s">
        <v>195</v>
      </c>
      <c r="M144" s="83">
        <v>1457</v>
      </c>
      <c r="N144" s="82">
        <v>2.75</v>
      </c>
      <c r="O144" s="83">
        <v>1533.9</v>
      </c>
      <c r="P144" s="80" t="s">
        <v>195</v>
      </c>
      <c r="Q144" s="82">
        <v>783.52</v>
      </c>
      <c r="R144" s="80" t="s">
        <v>195</v>
      </c>
      <c r="S144" s="82">
        <v>1021.65</v>
      </c>
      <c r="T144" s="80" t="s">
        <v>195</v>
      </c>
      <c r="U144" s="82">
        <v>1298.32</v>
      </c>
      <c r="V144" s="83">
        <v>4.5</v>
      </c>
      <c r="W144" s="82">
        <v>1051.1400000000001</v>
      </c>
      <c r="X144" s="82">
        <v>0.05</v>
      </c>
      <c r="Y144" s="83">
        <v>1341.1</v>
      </c>
      <c r="Z144" s="83">
        <v>1.2</v>
      </c>
      <c r="AA144" s="82">
        <v>373.97</v>
      </c>
      <c r="AB144" s="82">
        <v>15.62</v>
      </c>
      <c r="AC144" s="83">
        <v>1472.8</v>
      </c>
      <c r="AD144" s="82">
        <v>3.58</v>
      </c>
      <c r="AE144" s="82">
        <v>162.81</v>
      </c>
      <c r="AF144" s="82">
        <v>6.96</v>
      </c>
      <c r="AG144" s="82">
        <v>685.47</v>
      </c>
      <c r="AH144" s="82">
        <v>22.16</v>
      </c>
      <c r="AI144" s="82">
        <v>1160.03</v>
      </c>
      <c r="AJ144" s="82">
        <v>11.59</v>
      </c>
      <c r="AK144" s="82">
        <v>1284.81</v>
      </c>
      <c r="AL144" s="82">
        <v>2.33</v>
      </c>
      <c r="AM144" s="82">
        <v>1382.66</v>
      </c>
      <c r="AN144" s="82">
        <v>42.86</v>
      </c>
      <c r="AO144" s="83">
        <v>713</v>
      </c>
      <c r="AP144" s="82">
        <v>12.42</v>
      </c>
      <c r="AQ144" s="82">
        <v>1584.74</v>
      </c>
      <c r="AR144" s="82">
        <v>19.66</v>
      </c>
      <c r="AS144" s="82">
        <v>340.21</v>
      </c>
      <c r="AT144" s="83">
        <v>4.2</v>
      </c>
      <c r="AU144" s="82">
        <v>754.73</v>
      </c>
      <c r="AV144" s="82">
        <v>9.23</v>
      </c>
      <c r="AW144" s="82">
        <v>493.93</v>
      </c>
      <c r="AX144" s="82">
        <v>0.44</v>
      </c>
      <c r="AY144" s="82">
        <v>683.98</v>
      </c>
      <c r="AZ144" s="83">
        <v>8</v>
      </c>
      <c r="BA144" s="82">
        <v>464.26</v>
      </c>
      <c r="BB144" s="82">
        <v>0.72</v>
      </c>
      <c r="BC144" s="82">
        <v>1033.74</v>
      </c>
      <c r="BD144" s="82">
        <v>11.18</v>
      </c>
      <c r="BE144" s="82">
        <v>742.87</v>
      </c>
      <c r="BF144" s="82">
        <v>0.75</v>
      </c>
      <c r="BG144" s="82">
        <v>1193.42</v>
      </c>
      <c r="BH144" s="82">
        <v>82.89</v>
      </c>
      <c r="BI144" s="83">
        <v>860.1</v>
      </c>
      <c r="BJ144" s="82">
        <v>30.89</v>
      </c>
      <c r="BK144" s="82">
        <v>2819.75</v>
      </c>
      <c r="BL144" s="83">
        <v>42.2</v>
      </c>
      <c r="BM144" s="82">
        <v>1170.8399999999999</v>
      </c>
      <c r="BN144" s="82">
        <v>8.4700000000000006</v>
      </c>
      <c r="BO144" s="82">
        <v>1609.26</v>
      </c>
      <c r="BP144" s="83">
        <v>0.3</v>
      </c>
      <c r="BQ144" s="82">
        <v>1739.41</v>
      </c>
      <c r="BR144" s="82">
        <v>33.04</v>
      </c>
      <c r="BS144" s="82">
        <v>1027.42</v>
      </c>
      <c r="BT144" s="82">
        <v>0.75</v>
      </c>
      <c r="BU144" s="82">
        <v>1594.05</v>
      </c>
      <c r="BV144" s="83">
        <v>7.5</v>
      </c>
    </row>
    <row r="145" spans="1:74">
      <c r="A145" s="78" t="s">
        <v>718</v>
      </c>
      <c r="B145" s="78" t="s">
        <v>719</v>
      </c>
      <c r="C145" s="84">
        <v>255</v>
      </c>
      <c r="D145" s="79" t="s">
        <v>195</v>
      </c>
      <c r="E145" s="84">
        <v>270</v>
      </c>
      <c r="F145" s="79" t="s">
        <v>195</v>
      </c>
      <c r="G145" s="84">
        <v>210</v>
      </c>
      <c r="H145" s="79" t="s">
        <v>195</v>
      </c>
      <c r="I145" s="84">
        <v>95</v>
      </c>
      <c r="J145" s="84">
        <v>22.5</v>
      </c>
      <c r="K145" s="84">
        <v>253</v>
      </c>
      <c r="L145" s="79" t="s">
        <v>195</v>
      </c>
      <c r="M145" s="84">
        <v>225</v>
      </c>
      <c r="N145" s="79" t="s">
        <v>195</v>
      </c>
      <c r="O145" s="84">
        <v>120</v>
      </c>
      <c r="P145" s="79" t="s">
        <v>195</v>
      </c>
      <c r="Q145" s="84">
        <v>519</v>
      </c>
      <c r="R145" s="79" t="s">
        <v>195</v>
      </c>
      <c r="S145" s="84">
        <v>375</v>
      </c>
      <c r="T145" s="84">
        <v>22.5</v>
      </c>
      <c r="U145" s="84">
        <v>357.5</v>
      </c>
      <c r="V145" s="79" t="s">
        <v>195</v>
      </c>
      <c r="W145" s="84">
        <v>499.5</v>
      </c>
      <c r="X145" s="79" t="s">
        <v>195</v>
      </c>
      <c r="Y145" s="84">
        <v>202.5</v>
      </c>
      <c r="Z145" s="84">
        <v>22.5</v>
      </c>
      <c r="AA145" s="84">
        <v>430</v>
      </c>
      <c r="AB145" s="81">
        <v>3.57</v>
      </c>
      <c r="AC145" s="84">
        <v>341</v>
      </c>
      <c r="AD145" s="79" t="s">
        <v>195</v>
      </c>
      <c r="AE145" s="84">
        <v>413.5</v>
      </c>
      <c r="AF145" s="79" t="s">
        <v>195</v>
      </c>
      <c r="AG145" s="84">
        <v>562</v>
      </c>
      <c r="AH145" s="79" t="s">
        <v>195</v>
      </c>
      <c r="AI145" s="84">
        <v>496</v>
      </c>
      <c r="AJ145" s="81">
        <v>0.25</v>
      </c>
      <c r="AK145" s="84">
        <v>537</v>
      </c>
      <c r="AL145" s="81">
        <v>3.83</v>
      </c>
      <c r="AM145" s="84">
        <v>494</v>
      </c>
      <c r="AN145" s="79" t="s">
        <v>195</v>
      </c>
      <c r="AO145" s="84">
        <v>413</v>
      </c>
      <c r="AP145" s="79" t="s">
        <v>195</v>
      </c>
      <c r="AQ145" s="84">
        <v>334.5</v>
      </c>
      <c r="AR145" s="81">
        <v>34.89</v>
      </c>
      <c r="AS145" s="84">
        <v>378.5</v>
      </c>
      <c r="AT145" s="81">
        <v>8.25</v>
      </c>
      <c r="AU145" s="81">
        <v>319.20999999999998</v>
      </c>
      <c r="AV145" s="79" t="s">
        <v>195</v>
      </c>
      <c r="AW145" s="84">
        <v>162</v>
      </c>
      <c r="AX145" s="79" t="s">
        <v>195</v>
      </c>
      <c r="AY145" s="81">
        <v>313.75</v>
      </c>
      <c r="AZ145" s="79" t="s">
        <v>195</v>
      </c>
      <c r="BA145" s="84">
        <v>175.5</v>
      </c>
      <c r="BB145" s="79" t="s">
        <v>195</v>
      </c>
      <c r="BC145" s="84">
        <v>232.5</v>
      </c>
      <c r="BD145" s="84">
        <v>0.9</v>
      </c>
      <c r="BE145" s="84">
        <v>213</v>
      </c>
      <c r="BF145" s="79" t="s">
        <v>195</v>
      </c>
      <c r="BG145" s="84">
        <v>189</v>
      </c>
      <c r="BH145" s="84">
        <v>0.6</v>
      </c>
      <c r="BI145" s="84">
        <v>151.5</v>
      </c>
      <c r="BJ145" s="81">
        <v>0.45</v>
      </c>
      <c r="BK145" s="84">
        <v>237.5</v>
      </c>
      <c r="BL145" s="79" t="s">
        <v>195</v>
      </c>
      <c r="BM145" s="84">
        <v>304.5</v>
      </c>
      <c r="BN145" s="79" t="s">
        <v>195</v>
      </c>
      <c r="BO145" s="84">
        <v>170.5</v>
      </c>
      <c r="BP145" s="79" t="s">
        <v>195</v>
      </c>
      <c r="BQ145" s="84">
        <v>277</v>
      </c>
      <c r="BR145" s="79" t="s">
        <v>195</v>
      </c>
      <c r="BS145" s="84">
        <v>308</v>
      </c>
      <c r="BT145" s="79" t="s">
        <v>195</v>
      </c>
      <c r="BU145" s="84">
        <v>316.5</v>
      </c>
      <c r="BV145" s="84">
        <v>0.6</v>
      </c>
    </row>
    <row r="146" spans="1:74">
      <c r="A146" s="78" t="s">
        <v>720</v>
      </c>
      <c r="B146" s="78" t="s">
        <v>721</v>
      </c>
      <c r="C146" s="83">
        <v>135</v>
      </c>
      <c r="D146" s="83">
        <v>16.3</v>
      </c>
      <c r="E146" s="83">
        <v>165</v>
      </c>
      <c r="F146" s="80" t="s">
        <v>195</v>
      </c>
      <c r="G146" s="82">
        <v>132.91999999999999</v>
      </c>
      <c r="H146" s="80" t="s">
        <v>195</v>
      </c>
      <c r="I146" s="83">
        <v>225</v>
      </c>
      <c r="J146" s="83">
        <v>22.5</v>
      </c>
      <c r="K146" s="82">
        <v>165.57</v>
      </c>
      <c r="L146" s="82">
        <v>0.25</v>
      </c>
      <c r="M146" s="83">
        <v>67.2</v>
      </c>
      <c r="N146" s="83">
        <v>23</v>
      </c>
      <c r="O146" s="83">
        <v>209.7</v>
      </c>
      <c r="P146" s="80" t="s">
        <v>195</v>
      </c>
      <c r="Q146" s="83">
        <v>202.5</v>
      </c>
      <c r="R146" s="83">
        <v>22.6</v>
      </c>
      <c r="S146" s="82">
        <v>118.06</v>
      </c>
      <c r="T146" s="83">
        <v>3.5</v>
      </c>
      <c r="U146" s="83">
        <v>232.5</v>
      </c>
      <c r="V146" s="83">
        <v>5.5</v>
      </c>
      <c r="W146" s="83">
        <v>120</v>
      </c>
      <c r="X146" s="83">
        <v>17.5</v>
      </c>
      <c r="Y146" s="82">
        <v>331.73</v>
      </c>
      <c r="Z146" s="82">
        <v>23.25</v>
      </c>
      <c r="AA146" s="82">
        <v>115.94</v>
      </c>
      <c r="AB146" s="80" t="s">
        <v>195</v>
      </c>
      <c r="AC146" s="83">
        <v>83.9</v>
      </c>
      <c r="AD146" s="82">
        <v>3.57</v>
      </c>
      <c r="AE146" s="82">
        <v>140.72</v>
      </c>
      <c r="AF146" s="83">
        <v>1</v>
      </c>
      <c r="AG146" s="82">
        <v>230.89</v>
      </c>
      <c r="AH146" s="80" t="s">
        <v>195</v>
      </c>
      <c r="AI146" s="83">
        <v>176.4</v>
      </c>
      <c r="AJ146" s="82">
        <v>1.56</v>
      </c>
      <c r="AK146" s="82">
        <v>71.290000000000006</v>
      </c>
      <c r="AL146" s="80" t="s">
        <v>195</v>
      </c>
      <c r="AM146" s="82">
        <v>395.25</v>
      </c>
      <c r="AN146" s="83">
        <v>180</v>
      </c>
      <c r="AO146" s="82">
        <v>45.11</v>
      </c>
      <c r="AP146" s="80" t="s">
        <v>195</v>
      </c>
      <c r="AQ146" s="82">
        <v>425.58</v>
      </c>
      <c r="AR146" s="82">
        <v>167.23</v>
      </c>
      <c r="AS146" s="82">
        <v>161.68</v>
      </c>
      <c r="AT146" s="82">
        <v>76.53</v>
      </c>
      <c r="AU146" s="83">
        <v>157.5</v>
      </c>
      <c r="AV146" s="82">
        <v>56.41</v>
      </c>
      <c r="AW146" s="82">
        <v>128.46</v>
      </c>
      <c r="AX146" s="82">
        <v>38.74</v>
      </c>
      <c r="AY146" s="82">
        <v>92.85</v>
      </c>
      <c r="AZ146" s="83">
        <v>60</v>
      </c>
      <c r="BA146" s="83">
        <v>135</v>
      </c>
      <c r="BB146" s="80" t="s">
        <v>195</v>
      </c>
      <c r="BC146" s="82">
        <v>170.12</v>
      </c>
      <c r="BD146" s="82">
        <v>0.25</v>
      </c>
      <c r="BE146" s="82">
        <v>180.03</v>
      </c>
      <c r="BF146" s="80" t="s">
        <v>195</v>
      </c>
      <c r="BG146" s="82">
        <v>150.22999999999999</v>
      </c>
      <c r="BH146" s="83">
        <v>15</v>
      </c>
      <c r="BI146" s="83">
        <v>112.5</v>
      </c>
      <c r="BJ146" s="80" t="s">
        <v>195</v>
      </c>
      <c r="BK146" s="82">
        <v>165.01</v>
      </c>
      <c r="BL146" s="80" t="s">
        <v>195</v>
      </c>
      <c r="BM146" s="82">
        <v>127.04</v>
      </c>
      <c r="BN146" s="83">
        <v>1</v>
      </c>
      <c r="BO146" s="82">
        <v>217.89</v>
      </c>
      <c r="BP146" s="80" t="s">
        <v>195</v>
      </c>
      <c r="BQ146" s="83">
        <v>161.9</v>
      </c>
      <c r="BR146" s="82">
        <v>13.36</v>
      </c>
      <c r="BS146" s="82">
        <v>122.04</v>
      </c>
      <c r="BT146" s="83">
        <v>15</v>
      </c>
      <c r="BU146" s="82">
        <v>151.47999999999999</v>
      </c>
      <c r="BV146" s="80" t="s">
        <v>195</v>
      </c>
    </row>
    <row r="147" spans="1:74">
      <c r="A147" s="78" t="s">
        <v>722</v>
      </c>
      <c r="B147" s="78" t="s">
        <v>723</v>
      </c>
      <c r="C147" s="84">
        <v>508.5</v>
      </c>
      <c r="D147" s="81">
        <v>367.98</v>
      </c>
      <c r="E147" s="81">
        <v>589.83000000000004</v>
      </c>
      <c r="F147" s="81">
        <v>5.27</v>
      </c>
      <c r="G147" s="81">
        <v>414.55</v>
      </c>
      <c r="H147" s="84">
        <v>2.8</v>
      </c>
      <c r="I147" s="84">
        <v>370.8</v>
      </c>
      <c r="J147" s="81">
        <v>1.04</v>
      </c>
      <c r="K147" s="84">
        <v>364.6</v>
      </c>
      <c r="L147" s="84">
        <v>1.3</v>
      </c>
      <c r="M147" s="84">
        <v>563.70000000000005</v>
      </c>
      <c r="N147" s="81">
        <v>20.25</v>
      </c>
      <c r="O147" s="81">
        <v>307.88</v>
      </c>
      <c r="P147" s="84">
        <v>2.6</v>
      </c>
      <c r="Q147" s="81">
        <v>353.43</v>
      </c>
      <c r="R147" s="81">
        <v>5.78</v>
      </c>
      <c r="S147" s="81">
        <v>429.71</v>
      </c>
      <c r="T147" s="84">
        <v>1.3</v>
      </c>
      <c r="U147" s="81">
        <v>448.07</v>
      </c>
      <c r="V147" s="81">
        <v>1.29</v>
      </c>
      <c r="W147" s="81">
        <v>397.55</v>
      </c>
      <c r="X147" s="81">
        <v>50.27</v>
      </c>
      <c r="Y147" s="81">
        <v>570.63</v>
      </c>
      <c r="Z147" s="81">
        <v>3.38</v>
      </c>
      <c r="AA147" s="84">
        <v>390.5</v>
      </c>
      <c r="AB147" s="81">
        <v>17.73</v>
      </c>
      <c r="AC147" s="84">
        <v>228.1</v>
      </c>
      <c r="AD147" s="81">
        <v>0.23</v>
      </c>
      <c r="AE147" s="81">
        <v>339.92</v>
      </c>
      <c r="AF147" s="81">
        <v>26.48</v>
      </c>
      <c r="AG147" s="81">
        <v>430.64</v>
      </c>
      <c r="AH147" s="81">
        <v>0.23</v>
      </c>
      <c r="AI147" s="81">
        <v>410.71</v>
      </c>
      <c r="AJ147" s="81">
        <v>35.840000000000003</v>
      </c>
      <c r="AK147" s="81">
        <v>274.47000000000003</v>
      </c>
      <c r="AL147" s="84">
        <v>13</v>
      </c>
      <c r="AM147" s="81">
        <v>306.04000000000002</v>
      </c>
      <c r="AN147" s="81">
        <v>17.73</v>
      </c>
      <c r="AO147" s="81">
        <v>395.39</v>
      </c>
      <c r="AP147" s="81">
        <v>15.25</v>
      </c>
      <c r="AQ147" s="81">
        <v>539.98</v>
      </c>
      <c r="AR147" s="84">
        <v>15</v>
      </c>
      <c r="AS147" s="81">
        <v>977.28</v>
      </c>
      <c r="AT147" s="84">
        <v>50</v>
      </c>
      <c r="AU147" s="81">
        <v>466.44</v>
      </c>
      <c r="AV147" s="84">
        <v>17.5</v>
      </c>
      <c r="AW147" s="81">
        <v>208.31</v>
      </c>
      <c r="AX147" s="84">
        <v>6.2</v>
      </c>
      <c r="AY147" s="81">
        <v>366.88</v>
      </c>
      <c r="AZ147" s="79" t="s">
        <v>195</v>
      </c>
      <c r="BA147" s="81">
        <v>581.57000000000005</v>
      </c>
      <c r="BB147" s="79" t="s">
        <v>195</v>
      </c>
      <c r="BC147" s="84">
        <v>724.3</v>
      </c>
      <c r="BD147" s="79" t="s">
        <v>195</v>
      </c>
      <c r="BE147" s="81">
        <v>573.51</v>
      </c>
      <c r="BF147" s="84">
        <v>6</v>
      </c>
      <c r="BG147" s="81">
        <v>328.62</v>
      </c>
      <c r="BH147" s="79" t="s">
        <v>195</v>
      </c>
      <c r="BI147" s="81">
        <v>512.65</v>
      </c>
      <c r="BJ147" s="79" t="s">
        <v>195</v>
      </c>
      <c r="BK147" s="81">
        <v>471.61</v>
      </c>
      <c r="BL147" s="84">
        <v>0</v>
      </c>
      <c r="BM147" s="81">
        <v>539.46</v>
      </c>
      <c r="BN147" s="79" t="s">
        <v>195</v>
      </c>
      <c r="BO147" s="81">
        <v>636.73</v>
      </c>
      <c r="BP147" s="79" t="s">
        <v>195</v>
      </c>
      <c r="BQ147" s="81">
        <v>426.24</v>
      </c>
      <c r="BR147" s="81">
        <v>1.72</v>
      </c>
      <c r="BS147" s="81">
        <v>560.26</v>
      </c>
      <c r="BT147" s="79" t="s">
        <v>195</v>
      </c>
      <c r="BU147" s="81">
        <v>518.25</v>
      </c>
      <c r="BV147" s="81">
        <v>5.04</v>
      </c>
    </row>
    <row r="148" spans="1:74">
      <c r="A148" s="78" t="s">
        <v>724</v>
      </c>
      <c r="B148" s="78" t="s">
        <v>725</v>
      </c>
      <c r="C148" s="80" t="s">
        <v>195</v>
      </c>
      <c r="D148" s="80" t="s">
        <v>195</v>
      </c>
      <c r="E148" s="80" t="s">
        <v>195</v>
      </c>
      <c r="F148" s="80" t="s">
        <v>195</v>
      </c>
      <c r="G148" s="80" t="s">
        <v>195</v>
      </c>
      <c r="H148" s="80" t="s">
        <v>195</v>
      </c>
      <c r="I148" s="80" t="s">
        <v>195</v>
      </c>
      <c r="J148" s="80" t="s">
        <v>195</v>
      </c>
      <c r="K148" s="80" t="s">
        <v>195</v>
      </c>
      <c r="L148" s="80" t="s">
        <v>195</v>
      </c>
      <c r="M148" s="80" t="s">
        <v>195</v>
      </c>
      <c r="N148" s="80" t="s">
        <v>195</v>
      </c>
      <c r="O148" s="80" t="s">
        <v>195</v>
      </c>
      <c r="P148" s="80" t="s">
        <v>195</v>
      </c>
      <c r="Q148" s="80" t="s">
        <v>195</v>
      </c>
      <c r="R148" s="80" t="s">
        <v>195</v>
      </c>
      <c r="S148" s="80" t="s">
        <v>195</v>
      </c>
      <c r="T148" s="80" t="s">
        <v>195</v>
      </c>
      <c r="U148" s="80" t="s">
        <v>195</v>
      </c>
      <c r="V148" s="80" t="s">
        <v>195</v>
      </c>
      <c r="W148" s="80" t="s">
        <v>195</v>
      </c>
      <c r="X148" s="80" t="s">
        <v>195</v>
      </c>
      <c r="Y148" s="83">
        <v>405</v>
      </c>
      <c r="Z148" s="82">
        <v>0.05</v>
      </c>
      <c r="AA148" s="83">
        <v>15</v>
      </c>
      <c r="AB148" s="83">
        <v>7.5</v>
      </c>
      <c r="AC148" s="80" t="s">
        <v>195</v>
      </c>
      <c r="AD148" s="80" t="s">
        <v>195</v>
      </c>
      <c r="AE148" s="83">
        <v>45</v>
      </c>
      <c r="AF148" s="83">
        <v>15</v>
      </c>
      <c r="AG148" s="83">
        <v>15</v>
      </c>
      <c r="AH148" s="83">
        <v>15</v>
      </c>
      <c r="AI148" s="83">
        <v>20.5</v>
      </c>
      <c r="AJ148" s="80" t="s">
        <v>195</v>
      </c>
      <c r="AK148" s="80" t="s">
        <v>195</v>
      </c>
      <c r="AL148" s="80" t="s">
        <v>195</v>
      </c>
      <c r="AM148" s="83">
        <v>29</v>
      </c>
      <c r="AN148" s="80" t="s">
        <v>195</v>
      </c>
      <c r="AO148" s="83">
        <v>15</v>
      </c>
      <c r="AP148" s="83">
        <v>15</v>
      </c>
      <c r="AQ148" s="83">
        <v>14</v>
      </c>
      <c r="AR148" s="82">
        <v>15.17</v>
      </c>
      <c r="AS148" s="80" t="s">
        <v>195</v>
      </c>
      <c r="AT148" s="83">
        <v>14</v>
      </c>
      <c r="AU148" s="83">
        <v>7.5</v>
      </c>
      <c r="AV148" s="80" t="s">
        <v>195</v>
      </c>
      <c r="AW148" s="83">
        <v>11.5</v>
      </c>
      <c r="AX148" s="80" t="s">
        <v>195</v>
      </c>
      <c r="AY148" s="83">
        <v>15</v>
      </c>
      <c r="AZ148" s="80" t="s">
        <v>195</v>
      </c>
      <c r="BA148" s="83">
        <v>7.5</v>
      </c>
      <c r="BB148" s="83">
        <v>15</v>
      </c>
      <c r="BC148" s="82">
        <v>24.55</v>
      </c>
      <c r="BD148" s="80" t="s">
        <v>195</v>
      </c>
      <c r="BE148" s="82">
        <v>15.59</v>
      </c>
      <c r="BF148" s="83">
        <v>20</v>
      </c>
      <c r="BG148" s="82">
        <v>35.56</v>
      </c>
      <c r="BH148" s="83">
        <v>7.5</v>
      </c>
      <c r="BI148" s="83">
        <v>7.5</v>
      </c>
      <c r="BJ148" s="80" t="s">
        <v>195</v>
      </c>
      <c r="BK148" s="83">
        <v>15</v>
      </c>
      <c r="BL148" s="83">
        <v>10</v>
      </c>
      <c r="BM148" s="83">
        <v>15</v>
      </c>
      <c r="BN148" s="83">
        <v>12.5</v>
      </c>
      <c r="BO148" s="80" t="s">
        <v>195</v>
      </c>
      <c r="BP148" s="83">
        <v>10</v>
      </c>
      <c r="BQ148" s="80" t="s">
        <v>195</v>
      </c>
      <c r="BR148" s="83">
        <v>7.5</v>
      </c>
      <c r="BS148" s="83">
        <v>22.5</v>
      </c>
      <c r="BT148" s="80" t="s">
        <v>195</v>
      </c>
      <c r="BU148" s="83">
        <v>37.5</v>
      </c>
      <c r="BV148" s="83">
        <v>7.5</v>
      </c>
    </row>
    <row r="149" spans="1:74">
      <c r="A149" s="78" t="s">
        <v>726</v>
      </c>
      <c r="B149" s="78" t="s">
        <v>727</v>
      </c>
      <c r="C149" s="81">
        <v>190.53</v>
      </c>
      <c r="D149" s="81">
        <v>24.38</v>
      </c>
      <c r="E149" s="84">
        <v>297</v>
      </c>
      <c r="F149" s="81">
        <v>31.19</v>
      </c>
      <c r="G149" s="81">
        <v>277.58</v>
      </c>
      <c r="H149" s="81">
        <v>84.85</v>
      </c>
      <c r="I149" s="81">
        <v>536.03</v>
      </c>
      <c r="J149" s="81">
        <v>88.45</v>
      </c>
      <c r="K149" s="81">
        <v>206.61</v>
      </c>
      <c r="L149" s="81">
        <v>217.94</v>
      </c>
      <c r="M149" s="81">
        <v>1213.19</v>
      </c>
      <c r="N149" s="81">
        <v>20.010000000000002</v>
      </c>
      <c r="O149" s="81">
        <v>2.74</v>
      </c>
      <c r="P149" s="81">
        <v>51.07</v>
      </c>
      <c r="Q149" s="81">
        <v>438.15</v>
      </c>
      <c r="R149" s="81">
        <v>625.67999999999995</v>
      </c>
      <c r="S149" s="81">
        <v>311.08999999999997</v>
      </c>
      <c r="T149" s="81">
        <v>309.85000000000002</v>
      </c>
      <c r="U149" s="84">
        <v>476.6</v>
      </c>
      <c r="V149" s="81">
        <v>590.35</v>
      </c>
      <c r="W149" s="81">
        <v>185.76</v>
      </c>
      <c r="X149" s="81">
        <v>341.96</v>
      </c>
      <c r="Y149" s="81">
        <v>1292.79</v>
      </c>
      <c r="Z149" s="81">
        <v>509.87</v>
      </c>
      <c r="AA149" s="81">
        <v>267.87</v>
      </c>
      <c r="AB149" s="81">
        <v>70.19</v>
      </c>
      <c r="AC149" s="81">
        <v>240.45</v>
      </c>
      <c r="AD149" s="81">
        <v>283.77999999999997</v>
      </c>
      <c r="AE149" s="81">
        <v>743.62</v>
      </c>
      <c r="AF149" s="81">
        <v>125.03</v>
      </c>
      <c r="AG149" s="81">
        <v>549.39</v>
      </c>
      <c r="AH149" s="81">
        <v>71.36</v>
      </c>
      <c r="AI149" s="81">
        <v>1065.47</v>
      </c>
      <c r="AJ149" s="84">
        <v>27.2</v>
      </c>
      <c r="AK149" s="81">
        <v>855.06</v>
      </c>
      <c r="AL149" s="84">
        <v>166.7</v>
      </c>
      <c r="AM149" s="81">
        <v>566.98</v>
      </c>
      <c r="AN149" s="81">
        <v>73.59</v>
      </c>
      <c r="AO149" s="81">
        <v>964.57</v>
      </c>
      <c r="AP149" s="81">
        <v>50.25</v>
      </c>
      <c r="AQ149" s="81">
        <v>1049.42</v>
      </c>
      <c r="AR149" s="81">
        <v>18.670000000000002</v>
      </c>
      <c r="AS149" s="81">
        <v>425.04</v>
      </c>
      <c r="AT149" s="81">
        <v>50.93</v>
      </c>
      <c r="AU149" s="84">
        <v>954.4</v>
      </c>
      <c r="AV149" s="81">
        <v>72.69</v>
      </c>
      <c r="AW149" s="81">
        <v>269.07</v>
      </c>
      <c r="AX149" s="81">
        <v>349.51</v>
      </c>
      <c r="AY149" s="81">
        <v>26.18</v>
      </c>
      <c r="AZ149" s="81">
        <v>6.51</v>
      </c>
      <c r="BA149" s="81">
        <v>3.79</v>
      </c>
      <c r="BB149" s="81">
        <v>0.66</v>
      </c>
      <c r="BC149" s="84">
        <v>60.5</v>
      </c>
      <c r="BD149" s="84">
        <v>0.8</v>
      </c>
      <c r="BE149" s="81">
        <v>73.13</v>
      </c>
      <c r="BF149" s="81">
        <v>0.36</v>
      </c>
      <c r="BG149" s="81">
        <v>1.17</v>
      </c>
      <c r="BH149" s="81">
        <v>2.52</v>
      </c>
      <c r="BI149" s="81">
        <v>29.99</v>
      </c>
      <c r="BJ149" s="81">
        <v>1.91</v>
      </c>
      <c r="BK149" s="81">
        <v>61.19</v>
      </c>
      <c r="BL149" s="81">
        <v>1.22</v>
      </c>
      <c r="BM149" s="81">
        <v>32.35</v>
      </c>
      <c r="BN149" s="84">
        <v>27.6</v>
      </c>
      <c r="BO149" s="81">
        <v>22.73</v>
      </c>
      <c r="BP149" s="81">
        <v>121.25</v>
      </c>
      <c r="BQ149" s="81">
        <v>259.37</v>
      </c>
      <c r="BR149" s="84">
        <v>0.8</v>
      </c>
      <c r="BS149" s="81">
        <v>263.66000000000003</v>
      </c>
      <c r="BT149" s="81">
        <v>1.45</v>
      </c>
      <c r="BU149" s="81">
        <v>3.33</v>
      </c>
      <c r="BV149" s="81">
        <v>1.21</v>
      </c>
    </row>
    <row r="150" spans="1:74">
      <c r="A150" s="78" t="s">
        <v>728</v>
      </c>
      <c r="B150" s="78" t="s">
        <v>729</v>
      </c>
      <c r="C150" s="84">
        <v>1371.4</v>
      </c>
      <c r="D150" s="81">
        <v>191.04</v>
      </c>
      <c r="E150" s="81">
        <v>1608.32</v>
      </c>
      <c r="F150" s="81">
        <v>303.38</v>
      </c>
      <c r="G150" s="81">
        <v>1639.96</v>
      </c>
      <c r="H150" s="81">
        <v>237.19</v>
      </c>
      <c r="I150" s="81">
        <v>4152.8599999999997</v>
      </c>
      <c r="J150" s="84">
        <v>239.5</v>
      </c>
      <c r="K150" s="81">
        <v>1567.47</v>
      </c>
      <c r="L150" s="81">
        <v>239.75</v>
      </c>
      <c r="M150" s="84">
        <v>1395.8</v>
      </c>
      <c r="N150" s="81">
        <v>348.79</v>
      </c>
      <c r="O150" s="81">
        <v>1318.44</v>
      </c>
      <c r="P150" s="81">
        <v>267.91000000000003</v>
      </c>
      <c r="Q150" s="84">
        <v>1705.3</v>
      </c>
      <c r="R150" s="81">
        <v>164.17</v>
      </c>
      <c r="S150" s="81">
        <v>2000.56</v>
      </c>
      <c r="T150" s="81">
        <v>425.69</v>
      </c>
      <c r="U150" s="81">
        <v>3515.15</v>
      </c>
      <c r="V150" s="81">
        <v>243.84</v>
      </c>
      <c r="W150" s="81">
        <v>2335.0700000000002</v>
      </c>
      <c r="X150" s="81">
        <v>327.45</v>
      </c>
      <c r="Y150" s="81">
        <v>2965.71</v>
      </c>
      <c r="Z150" s="81">
        <v>433.46</v>
      </c>
      <c r="AA150" s="81">
        <v>1344.32</v>
      </c>
      <c r="AB150" s="81">
        <v>379.02</v>
      </c>
      <c r="AC150" s="81">
        <v>1517.16</v>
      </c>
      <c r="AD150" s="81">
        <v>323.72000000000003</v>
      </c>
      <c r="AE150" s="81">
        <v>1281.01</v>
      </c>
      <c r="AF150" s="81">
        <v>286.72000000000003</v>
      </c>
      <c r="AG150" s="81">
        <v>1010.93</v>
      </c>
      <c r="AH150" s="81">
        <v>376.63</v>
      </c>
      <c r="AI150" s="81">
        <v>1861.37</v>
      </c>
      <c r="AJ150" s="81">
        <v>388.27</v>
      </c>
      <c r="AK150" s="81">
        <v>1262.55</v>
      </c>
      <c r="AL150" s="81">
        <v>180.22</v>
      </c>
      <c r="AM150" s="81">
        <v>739.73</v>
      </c>
      <c r="AN150" s="81">
        <v>230.12</v>
      </c>
      <c r="AO150" s="81">
        <v>687.17</v>
      </c>
      <c r="AP150" s="81">
        <v>369.33</v>
      </c>
      <c r="AQ150" s="81">
        <v>1504.76</v>
      </c>
      <c r="AR150" s="81">
        <v>238.93</v>
      </c>
      <c r="AS150" s="81">
        <v>1365.41</v>
      </c>
      <c r="AT150" s="81">
        <v>751.44</v>
      </c>
      <c r="AU150" s="81">
        <v>1254.3900000000001</v>
      </c>
      <c r="AV150" s="81">
        <v>442.86</v>
      </c>
      <c r="AW150" s="81">
        <v>2162.15</v>
      </c>
      <c r="AX150" s="81">
        <v>460.29</v>
      </c>
      <c r="AY150" s="81">
        <v>1040.5899999999999</v>
      </c>
      <c r="AZ150" s="81">
        <v>587.49</v>
      </c>
      <c r="BA150" s="81">
        <v>498.01</v>
      </c>
      <c r="BB150" s="84">
        <v>552.29999999999995</v>
      </c>
      <c r="BC150" s="84">
        <v>1305.5</v>
      </c>
      <c r="BD150" s="81">
        <v>326.55</v>
      </c>
      <c r="BE150" s="81">
        <v>1192.47</v>
      </c>
      <c r="BF150" s="81">
        <v>478.59</v>
      </c>
      <c r="BG150" s="81">
        <v>698.59</v>
      </c>
      <c r="BH150" s="81">
        <v>105.89</v>
      </c>
      <c r="BI150" s="81">
        <v>1616.57</v>
      </c>
      <c r="BJ150" s="81">
        <v>349.16</v>
      </c>
      <c r="BK150" s="81">
        <v>919.91</v>
      </c>
      <c r="BL150" s="81">
        <v>110.39</v>
      </c>
      <c r="BM150" s="81">
        <v>910.75</v>
      </c>
      <c r="BN150" s="84">
        <v>359.9</v>
      </c>
      <c r="BO150" s="81">
        <v>1214.18</v>
      </c>
      <c r="BP150" s="81">
        <v>338.42</v>
      </c>
      <c r="BQ150" s="81">
        <v>725.48</v>
      </c>
      <c r="BR150" s="81">
        <v>117.55</v>
      </c>
      <c r="BS150" s="81">
        <v>1430.05</v>
      </c>
      <c r="BT150" s="81">
        <v>86.35</v>
      </c>
      <c r="BU150" s="81">
        <v>942.36</v>
      </c>
      <c r="BV150" s="81">
        <v>114.11</v>
      </c>
    </row>
    <row r="151" spans="1:74">
      <c r="A151" s="78" t="s">
        <v>730</v>
      </c>
      <c r="B151" s="78" t="s">
        <v>731</v>
      </c>
      <c r="C151" s="82">
        <v>2525.31</v>
      </c>
      <c r="D151" s="82">
        <v>89875.82</v>
      </c>
      <c r="E151" s="82">
        <v>4283.72</v>
      </c>
      <c r="F151" s="82">
        <v>40416.68</v>
      </c>
      <c r="G151" s="82">
        <v>5556.05</v>
      </c>
      <c r="H151" s="82">
        <v>77280.17</v>
      </c>
      <c r="I151" s="82">
        <v>4652.4399999999996</v>
      </c>
      <c r="J151" s="82">
        <v>61917.11</v>
      </c>
      <c r="K151" s="82">
        <v>2454.65</v>
      </c>
      <c r="L151" s="82">
        <v>59888.68</v>
      </c>
      <c r="M151" s="82">
        <v>4386.78</v>
      </c>
      <c r="N151" s="82">
        <v>60979.38</v>
      </c>
      <c r="O151" s="82">
        <v>6125.05</v>
      </c>
      <c r="P151" s="83">
        <v>59221.9</v>
      </c>
      <c r="Q151" s="82">
        <v>3881.29</v>
      </c>
      <c r="R151" s="82">
        <v>55570.62</v>
      </c>
      <c r="S151" s="82">
        <v>4688.9399999999996</v>
      </c>
      <c r="T151" s="82">
        <v>52767.96</v>
      </c>
      <c r="U151" s="82">
        <v>5123.9399999999996</v>
      </c>
      <c r="V151" s="82">
        <v>48363.39</v>
      </c>
      <c r="W151" s="82">
        <v>3489.44</v>
      </c>
      <c r="X151" s="82">
        <v>45753.26</v>
      </c>
      <c r="Y151" s="82">
        <v>4061.27</v>
      </c>
      <c r="Z151" s="82">
        <v>50016.31</v>
      </c>
      <c r="AA151" s="82">
        <v>2685.67</v>
      </c>
      <c r="AB151" s="83">
        <v>70309</v>
      </c>
      <c r="AC151" s="82">
        <v>10497.09</v>
      </c>
      <c r="AD151" s="82">
        <v>65964.31</v>
      </c>
      <c r="AE151" s="82">
        <v>8372.51</v>
      </c>
      <c r="AF151" s="82">
        <v>54939.63</v>
      </c>
      <c r="AG151" s="83">
        <v>4979.1000000000004</v>
      </c>
      <c r="AH151" s="82">
        <v>62954.66</v>
      </c>
      <c r="AI151" s="82">
        <v>4584.5200000000004</v>
      </c>
      <c r="AJ151" s="82">
        <v>50616.18</v>
      </c>
      <c r="AK151" s="82">
        <v>3927.23</v>
      </c>
      <c r="AL151" s="82">
        <v>43804.959999999999</v>
      </c>
      <c r="AM151" s="82">
        <v>4032.45</v>
      </c>
      <c r="AN151" s="82">
        <v>48405.91</v>
      </c>
      <c r="AO151" s="82">
        <v>5219.2700000000004</v>
      </c>
      <c r="AP151" s="83">
        <v>49733.5</v>
      </c>
      <c r="AQ151" s="82">
        <v>4054.53</v>
      </c>
      <c r="AR151" s="82">
        <v>64762.080000000002</v>
      </c>
      <c r="AS151" s="82">
        <v>3139.43</v>
      </c>
      <c r="AT151" s="83">
        <v>65628.5</v>
      </c>
      <c r="AU151" s="82">
        <v>6425.12</v>
      </c>
      <c r="AV151" s="83">
        <v>58593.2</v>
      </c>
      <c r="AW151" s="83">
        <v>15310.3</v>
      </c>
      <c r="AX151" s="82">
        <v>45495.29</v>
      </c>
      <c r="AY151" s="83">
        <v>2648.1</v>
      </c>
      <c r="AZ151" s="82">
        <v>34587.19</v>
      </c>
      <c r="BA151" s="82">
        <v>2566.15</v>
      </c>
      <c r="BB151" s="82">
        <v>37905.949999999997</v>
      </c>
      <c r="BC151" s="82">
        <v>947.56</v>
      </c>
      <c r="BD151" s="82">
        <v>34707.31</v>
      </c>
      <c r="BE151" s="82">
        <v>2210.44</v>
      </c>
      <c r="BF151" s="82">
        <v>36624.629999999997</v>
      </c>
      <c r="BG151" s="82">
        <v>4295.49</v>
      </c>
      <c r="BH151" s="82">
        <v>37774.54</v>
      </c>
      <c r="BI151" s="82">
        <v>2589.14</v>
      </c>
      <c r="BJ151" s="82">
        <v>37840.29</v>
      </c>
      <c r="BK151" s="82">
        <v>2992.42</v>
      </c>
      <c r="BL151" s="83">
        <v>45760.7</v>
      </c>
      <c r="BM151" s="82">
        <v>2861.39</v>
      </c>
      <c r="BN151" s="82">
        <v>42972.88</v>
      </c>
      <c r="BO151" s="82">
        <v>2069.8200000000002</v>
      </c>
      <c r="BP151" s="82">
        <v>38079.919999999998</v>
      </c>
      <c r="BQ151" s="82">
        <v>2546.42</v>
      </c>
      <c r="BR151" s="82">
        <v>42916.57</v>
      </c>
      <c r="BS151" s="82">
        <v>1797.68</v>
      </c>
      <c r="BT151" s="83">
        <v>43691.7</v>
      </c>
      <c r="BU151" s="82">
        <v>2892.37</v>
      </c>
      <c r="BV151" s="82">
        <v>49780.03</v>
      </c>
    </row>
    <row r="152" spans="1:74">
      <c r="A152" s="78" t="s">
        <v>732</v>
      </c>
      <c r="B152" s="78" t="s">
        <v>733</v>
      </c>
      <c r="C152" s="84">
        <v>1764.1</v>
      </c>
      <c r="D152" s="81">
        <v>914.13</v>
      </c>
      <c r="E152" s="81">
        <v>1308.72</v>
      </c>
      <c r="F152" s="81">
        <v>351.44</v>
      </c>
      <c r="G152" s="84">
        <v>1410.8</v>
      </c>
      <c r="H152" s="81">
        <v>728.38</v>
      </c>
      <c r="I152" s="81">
        <v>1507.68</v>
      </c>
      <c r="J152" s="81">
        <v>956.49</v>
      </c>
      <c r="K152" s="81">
        <v>1021.05</v>
      </c>
      <c r="L152" s="81">
        <v>997.45</v>
      </c>
      <c r="M152" s="81">
        <v>946.65</v>
      </c>
      <c r="N152" s="81">
        <v>1247.75</v>
      </c>
      <c r="O152" s="84">
        <v>1367</v>
      </c>
      <c r="P152" s="81">
        <v>583.87</v>
      </c>
      <c r="Q152" s="84">
        <v>1299.5</v>
      </c>
      <c r="R152" s="81">
        <v>1000.82</v>
      </c>
      <c r="S152" s="81">
        <v>1448.19</v>
      </c>
      <c r="T152" s="84">
        <v>868.5</v>
      </c>
      <c r="U152" s="81">
        <v>1319.09</v>
      </c>
      <c r="V152" s="84">
        <v>646.9</v>
      </c>
      <c r="W152" s="84">
        <v>1358</v>
      </c>
      <c r="X152" s="84">
        <v>698.9</v>
      </c>
      <c r="Y152" s="81">
        <v>1989.44</v>
      </c>
      <c r="Z152" s="81">
        <v>869.37</v>
      </c>
      <c r="AA152" s="81">
        <v>3198.61</v>
      </c>
      <c r="AB152" s="81">
        <v>651.36</v>
      </c>
      <c r="AC152" s="81">
        <v>2626.01</v>
      </c>
      <c r="AD152" s="84">
        <v>392</v>
      </c>
      <c r="AE152" s="81">
        <v>2479.86</v>
      </c>
      <c r="AF152" s="84">
        <v>458.5</v>
      </c>
      <c r="AG152" s="81">
        <v>1939.26</v>
      </c>
      <c r="AH152" s="81">
        <v>457.25</v>
      </c>
      <c r="AI152" s="81">
        <v>1914.42</v>
      </c>
      <c r="AJ152" s="81">
        <v>313.19</v>
      </c>
      <c r="AK152" s="81">
        <v>1932.72</v>
      </c>
      <c r="AL152" s="84">
        <v>453</v>
      </c>
      <c r="AM152" s="84">
        <v>1856</v>
      </c>
      <c r="AN152" s="84">
        <v>258.7</v>
      </c>
      <c r="AO152" s="84">
        <v>988.8</v>
      </c>
      <c r="AP152" s="81">
        <v>312.55</v>
      </c>
      <c r="AQ152" s="81">
        <v>1564.58</v>
      </c>
      <c r="AR152" s="81">
        <v>434.67</v>
      </c>
      <c r="AS152" s="81">
        <v>406.75</v>
      </c>
      <c r="AT152" s="81">
        <v>516.33000000000004</v>
      </c>
      <c r="AU152" s="81">
        <v>241.12</v>
      </c>
      <c r="AV152" s="81">
        <v>281.89</v>
      </c>
      <c r="AW152" s="81">
        <v>1792.36</v>
      </c>
      <c r="AX152" s="81">
        <v>301.91000000000003</v>
      </c>
      <c r="AY152" s="81">
        <v>140.82</v>
      </c>
      <c r="AZ152" s="81">
        <v>390.67</v>
      </c>
      <c r="BA152" s="81">
        <v>144.94999999999999</v>
      </c>
      <c r="BB152" s="81">
        <v>352.92</v>
      </c>
      <c r="BC152" s="81">
        <v>82.26</v>
      </c>
      <c r="BD152" s="81">
        <v>381.58</v>
      </c>
      <c r="BE152" s="81">
        <v>328.13</v>
      </c>
      <c r="BF152" s="81">
        <v>451.28</v>
      </c>
      <c r="BG152" s="81">
        <v>270.07</v>
      </c>
      <c r="BH152" s="81">
        <v>602.94000000000005</v>
      </c>
      <c r="BI152" s="81">
        <v>58.37</v>
      </c>
      <c r="BJ152" s="81">
        <v>302.36</v>
      </c>
      <c r="BK152" s="81">
        <v>120.55</v>
      </c>
      <c r="BL152" s="81">
        <v>530.75</v>
      </c>
      <c r="BM152" s="81">
        <v>237.91</v>
      </c>
      <c r="BN152" s="81">
        <v>391.57</v>
      </c>
      <c r="BO152" s="81">
        <v>366.47</v>
      </c>
      <c r="BP152" s="81">
        <v>430.57</v>
      </c>
      <c r="BQ152" s="84">
        <v>310.89999999999998</v>
      </c>
      <c r="BR152" s="81">
        <v>451.37</v>
      </c>
      <c r="BS152" s="81">
        <v>127.79</v>
      </c>
      <c r="BT152" s="81">
        <v>334.99</v>
      </c>
      <c r="BU152" s="81">
        <v>271.73</v>
      </c>
      <c r="BV152" s="81">
        <v>357.76</v>
      </c>
    </row>
    <row r="153" spans="1:74">
      <c r="A153" s="78" t="s">
        <v>734</v>
      </c>
      <c r="B153" s="78" t="s">
        <v>735</v>
      </c>
      <c r="C153" s="82">
        <v>958.15</v>
      </c>
      <c r="D153" s="82">
        <v>13003.08</v>
      </c>
      <c r="E153" s="83">
        <v>1303.5</v>
      </c>
      <c r="F153" s="82">
        <v>11614.83</v>
      </c>
      <c r="G153" s="83">
        <v>1591.4</v>
      </c>
      <c r="H153" s="82">
        <v>17275.72</v>
      </c>
      <c r="I153" s="82">
        <v>1864.09</v>
      </c>
      <c r="J153" s="82">
        <v>10475.68</v>
      </c>
      <c r="K153" s="82">
        <v>1555.26</v>
      </c>
      <c r="L153" s="82">
        <v>9690.0499999999993</v>
      </c>
      <c r="M153" s="82">
        <v>1092.3499999999999</v>
      </c>
      <c r="N153" s="83">
        <v>8450.4</v>
      </c>
      <c r="O153" s="83">
        <v>1305.4000000000001</v>
      </c>
      <c r="P153" s="82">
        <v>7995.44</v>
      </c>
      <c r="Q153" s="82">
        <v>1611.95</v>
      </c>
      <c r="R153" s="83">
        <v>8406.1</v>
      </c>
      <c r="S153" s="82">
        <v>637.53</v>
      </c>
      <c r="T153" s="82">
        <v>13349.55</v>
      </c>
      <c r="U153" s="82">
        <v>1116.5899999999999</v>
      </c>
      <c r="V153" s="83">
        <v>13409.7</v>
      </c>
      <c r="W153" s="82">
        <v>488.17</v>
      </c>
      <c r="X153" s="83">
        <v>14077.4</v>
      </c>
      <c r="Y153" s="82">
        <v>1014.87</v>
      </c>
      <c r="Z153" s="82">
        <v>17433.490000000002</v>
      </c>
      <c r="AA153" s="83">
        <v>1390.1</v>
      </c>
      <c r="AB153" s="82">
        <v>9855.9599999999991</v>
      </c>
      <c r="AC153" s="82">
        <v>1005.85</v>
      </c>
      <c r="AD153" s="83">
        <v>4527.3999999999996</v>
      </c>
      <c r="AE153" s="82">
        <v>680.99</v>
      </c>
      <c r="AF153" s="83">
        <v>7547.5</v>
      </c>
      <c r="AG153" s="83">
        <v>955.1</v>
      </c>
      <c r="AH153" s="83">
        <v>7021.7</v>
      </c>
      <c r="AI153" s="82">
        <v>871.23</v>
      </c>
      <c r="AJ153" s="82">
        <v>6129.34</v>
      </c>
      <c r="AK153" s="82">
        <v>650.73</v>
      </c>
      <c r="AL153" s="83">
        <v>5584.9</v>
      </c>
      <c r="AM153" s="83">
        <v>728</v>
      </c>
      <c r="AN153" s="83">
        <v>8626.4</v>
      </c>
      <c r="AO153" s="82">
        <v>1268.47</v>
      </c>
      <c r="AP153" s="82">
        <v>6887.91</v>
      </c>
      <c r="AQ153" s="82">
        <v>1389.67</v>
      </c>
      <c r="AR153" s="82">
        <v>10891.32</v>
      </c>
      <c r="AS153" s="82">
        <v>984.18</v>
      </c>
      <c r="AT153" s="83">
        <v>7343.2</v>
      </c>
      <c r="AU153" s="83">
        <v>580</v>
      </c>
      <c r="AV153" s="83">
        <v>6262.1</v>
      </c>
      <c r="AW153" s="82">
        <v>505.08</v>
      </c>
      <c r="AX153" s="83">
        <v>7827.7</v>
      </c>
      <c r="AY153" s="83">
        <v>1613.3</v>
      </c>
      <c r="AZ153" s="83">
        <v>11453.1</v>
      </c>
      <c r="BA153" s="82">
        <v>975.86</v>
      </c>
      <c r="BB153" s="83">
        <v>9756.7999999999993</v>
      </c>
      <c r="BC153" s="82">
        <v>2762.63</v>
      </c>
      <c r="BD153" s="82">
        <v>9584.5499999999993</v>
      </c>
      <c r="BE153" s="83">
        <v>1490.8</v>
      </c>
      <c r="BF153" s="82">
        <v>8527.5499999999993</v>
      </c>
      <c r="BG153" s="83">
        <v>1218.5</v>
      </c>
      <c r="BH153" s="83">
        <v>6020</v>
      </c>
      <c r="BI153" s="83">
        <v>529.5</v>
      </c>
      <c r="BJ153" s="83">
        <v>4054.2</v>
      </c>
      <c r="BK153" s="82">
        <v>1396.49</v>
      </c>
      <c r="BL153" s="82">
        <v>8444.9500000000007</v>
      </c>
      <c r="BM153" s="82">
        <v>1753.19</v>
      </c>
      <c r="BN153" s="82">
        <v>8000.55</v>
      </c>
      <c r="BO153" s="83">
        <v>1151.3</v>
      </c>
      <c r="BP153" s="83">
        <v>13154</v>
      </c>
      <c r="BQ153" s="82">
        <v>2371.75</v>
      </c>
      <c r="BR153" s="82">
        <v>14358.04</v>
      </c>
      <c r="BS153" s="82">
        <v>2265.0700000000002</v>
      </c>
      <c r="BT153" s="83">
        <v>10553.4</v>
      </c>
      <c r="BU153" s="82">
        <v>1599.58</v>
      </c>
      <c r="BV153" s="83">
        <v>10656.5</v>
      </c>
    </row>
    <row r="154" spans="1:74">
      <c r="A154" s="78" t="s">
        <v>736</v>
      </c>
      <c r="B154" s="78" t="s">
        <v>737</v>
      </c>
      <c r="C154" s="81">
        <v>360.01</v>
      </c>
      <c r="D154" s="84">
        <v>31</v>
      </c>
      <c r="E154" s="84">
        <v>335.4</v>
      </c>
      <c r="F154" s="81">
        <v>10.25</v>
      </c>
      <c r="G154" s="84">
        <v>223.5</v>
      </c>
      <c r="H154" s="84">
        <v>60</v>
      </c>
      <c r="I154" s="84">
        <v>267.5</v>
      </c>
      <c r="J154" s="84">
        <v>90.5</v>
      </c>
      <c r="K154" s="81">
        <v>304.33</v>
      </c>
      <c r="L154" s="84">
        <v>241</v>
      </c>
      <c r="M154" s="81">
        <v>286.12</v>
      </c>
      <c r="N154" s="84">
        <v>100.5</v>
      </c>
      <c r="O154" s="81">
        <v>274.35000000000002</v>
      </c>
      <c r="P154" s="81">
        <v>70.75</v>
      </c>
      <c r="Q154" s="84">
        <v>400.5</v>
      </c>
      <c r="R154" s="84">
        <v>97.5</v>
      </c>
      <c r="S154" s="84">
        <v>280</v>
      </c>
      <c r="T154" s="84">
        <v>77</v>
      </c>
      <c r="U154" s="81">
        <v>291.23</v>
      </c>
      <c r="V154" s="81">
        <v>0.03</v>
      </c>
      <c r="W154" s="84">
        <v>376</v>
      </c>
      <c r="X154" s="84">
        <v>71.5</v>
      </c>
      <c r="Y154" s="81">
        <v>370.08</v>
      </c>
      <c r="Z154" s="84">
        <v>250</v>
      </c>
      <c r="AA154" s="84">
        <v>235</v>
      </c>
      <c r="AB154" s="81">
        <v>154.36000000000001</v>
      </c>
      <c r="AC154" s="84">
        <v>57.5</v>
      </c>
      <c r="AD154" s="81">
        <v>105.92</v>
      </c>
      <c r="AE154" s="84">
        <v>415</v>
      </c>
      <c r="AF154" s="81">
        <v>224.67</v>
      </c>
      <c r="AG154" s="84">
        <v>339.3</v>
      </c>
      <c r="AH154" s="81">
        <v>146.55000000000001</v>
      </c>
      <c r="AI154" s="81">
        <v>126.25</v>
      </c>
      <c r="AJ154" s="81">
        <v>148.34</v>
      </c>
      <c r="AK154" s="81">
        <v>97.75</v>
      </c>
      <c r="AL154" s="81">
        <v>120.43</v>
      </c>
      <c r="AM154" s="84">
        <v>394.3</v>
      </c>
      <c r="AN154" s="81">
        <v>239.98</v>
      </c>
      <c r="AO154" s="84">
        <v>347.5</v>
      </c>
      <c r="AP154" s="84">
        <v>224.7</v>
      </c>
      <c r="AQ154" s="81">
        <v>80.930000000000007</v>
      </c>
      <c r="AR154" s="81">
        <v>260.20999999999998</v>
      </c>
      <c r="AS154" s="84">
        <v>424.4</v>
      </c>
      <c r="AT154" s="81">
        <v>140.25</v>
      </c>
      <c r="AU154" s="84">
        <v>92</v>
      </c>
      <c r="AV154" s="81">
        <v>78.25</v>
      </c>
      <c r="AW154" s="84">
        <v>136.4</v>
      </c>
      <c r="AX154" s="81">
        <v>195.13</v>
      </c>
      <c r="AY154" s="84">
        <v>304.7</v>
      </c>
      <c r="AZ154" s="81">
        <v>299.08999999999997</v>
      </c>
      <c r="BA154" s="84">
        <v>535</v>
      </c>
      <c r="BB154" s="81">
        <v>516.76</v>
      </c>
      <c r="BC154" s="84">
        <v>482.5</v>
      </c>
      <c r="BD154" s="81">
        <v>265.58</v>
      </c>
      <c r="BE154" s="84">
        <v>590.9</v>
      </c>
      <c r="BF154" s="81">
        <v>375.08</v>
      </c>
      <c r="BG154" s="84">
        <v>287.5</v>
      </c>
      <c r="BH154" s="81">
        <v>342.51</v>
      </c>
      <c r="BI154" s="84">
        <v>510.5</v>
      </c>
      <c r="BJ154" s="81">
        <v>553.37</v>
      </c>
      <c r="BK154" s="81">
        <v>783.86</v>
      </c>
      <c r="BL154" s="81">
        <v>343.77</v>
      </c>
      <c r="BM154" s="84">
        <v>477.5</v>
      </c>
      <c r="BN154" s="81">
        <v>581.96</v>
      </c>
      <c r="BO154" s="81">
        <v>272.64</v>
      </c>
      <c r="BP154" s="81">
        <v>330.81</v>
      </c>
      <c r="BQ154" s="81">
        <v>779.64</v>
      </c>
      <c r="BR154" s="81">
        <v>498.98</v>
      </c>
      <c r="BS154" s="81">
        <v>304.39</v>
      </c>
      <c r="BT154" s="81">
        <v>101.29</v>
      </c>
      <c r="BU154" s="84">
        <v>347.5</v>
      </c>
      <c r="BV154" s="84">
        <v>317.39999999999998</v>
      </c>
    </row>
    <row r="155" spans="1:74">
      <c r="A155" s="78" t="s">
        <v>738</v>
      </c>
      <c r="B155" s="78" t="s">
        <v>739</v>
      </c>
      <c r="C155" s="82">
        <v>11332.74</v>
      </c>
      <c r="D155" s="82">
        <v>1043717.67</v>
      </c>
      <c r="E155" s="82">
        <v>10514.09</v>
      </c>
      <c r="F155" s="82">
        <v>844702.75</v>
      </c>
      <c r="G155" s="82">
        <v>11264.73</v>
      </c>
      <c r="H155" s="82">
        <v>874337.52</v>
      </c>
      <c r="I155" s="82">
        <v>5609.99</v>
      </c>
      <c r="J155" s="82">
        <v>957447.59</v>
      </c>
      <c r="K155" s="82">
        <v>4563.24</v>
      </c>
      <c r="L155" s="82">
        <v>868591.29</v>
      </c>
      <c r="M155" s="82">
        <v>8550.4599999999991</v>
      </c>
      <c r="N155" s="82">
        <v>979607.33</v>
      </c>
      <c r="O155" s="82">
        <v>8938.64</v>
      </c>
      <c r="P155" s="82">
        <v>1036096.47</v>
      </c>
      <c r="Q155" s="82">
        <v>7671.14</v>
      </c>
      <c r="R155" s="82">
        <v>824597.58</v>
      </c>
      <c r="S155" s="82">
        <v>11746.03</v>
      </c>
      <c r="T155" s="82">
        <v>960767.48</v>
      </c>
      <c r="U155" s="82">
        <v>7533.98</v>
      </c>
      <c r="V155" s="82">
        <v>883216.84</v>
      </c>
      <c r="W155" s="82">
        <v>9517.26</v>
      </c>
      <c r="X155" s="82">
        <v>968509.74</v>
      </c>
      <c r="Y155" s="82">
        <v>6753.58</v>
      </c>
      <c r="Z155" s="82">
        <v>1035446.39</v>
      </c>
      <c r="AA155" s="83">
        <v>43883.3</v>
      </c>
      <c r="AB155" s="82">
        <v>951471.71</v>
      </c>
      <c r="AC155" s="82">
        <v>31566.93</v>
      </c>
      <c r="AD155" s="82">
        <v>990332.77</v>
      </c>
      <c r="AE155" s="83">
        <v>24248.3</v>
      </c>
      <c r="AF155" s="82">
        <v>812981.77</v>
      </c>
      <c r="AG155" s="82">
        <v>17916.78</v>
      </c>
      <c r="AH155" s="82">
        <v>991694.37</v>
      </c>
      <c r="AI155" s="82">
        <v>15630.19</v>
      </c>
      <c r="AJ155" s="82">
        <v>842898.42</v>
      </c>
      <c r="AK155" s="82">
        <v>9665.67</v>
      </c>
      <c r="AL155" s="82">
        <v>747078.43</v>
      </c>
      <c r="AM155" s="82">
        <v>27006.57</v>
      </c>
      <c r="AN155" s="82">
        <v>876757.75</v>
      </c>
      <c r="AO155" s="82">
        <v>25560.81</v>
      </c>
      <c r="AP155" s="82">
        <v>1034173.27</v>
      </c>
      <c r="AQ155" s="82">
        <v>12066.97</v>
      </c>
      <c r="AR155" s="82">
        <v>1048059.68</v>
      </c>
      <c r="AS155" s="82">
        <v>23884.52</v>
      </c>
      <c r="AT155" s="82">
        <v>805019.28</v>
      </c>
      <c r="AU155" s="82">
        <v>18363.25</v>
      </c>
      <c r="AV155" s="82">
        <v>477099.49</v>
      </c>
      <c r="AW155" s="82">
        <v>33621.410000000003</v>
      </c>
      <c r="AX155" s="82">
        <v>762764.26</v>
      </c>
      <c r="AY155" s="82">
        <v>16861.689999999999</v>
      </c>
      <c r="AZ155" s="82">
        <v>753864.03</v>
      </c>
      <c r="BA155" s="82">
        <v>18432.05</v>
      </c>
      <c r="BB155" s="82">
        <v>965184.93</v>
      </c>
      <c r="BC155" s="82">
        <v>19754.72</v>
      </c>
      <c r="BD155" s="82">
        <v>740396.47</v>
      </c>
      <c r="BE155" s="83">
        <v>12538.6</v>
      </c>
      <c r="BF155" s="83">
        <v>782435.7</v>
      </c>
      <c r="BG155" s="82">
        <v>12339.24</v>
      </c>
      <c r="BH155" s="82">
        <v>1018326.22</v>
      </c>
      <c r="BI155" s="82">
        <v>8556.49</v>
      </c>
      <c r="BJ155" s="83">
        <v>971935.8</v>
      </c>
      <c r="BK155" s="82">
        <v>20486.86</v>
      </c>
      <c r="BL155" s="82">
        <v>810281.23</v>
      </c>
      <c r="BM155" s="82">
        <v>17939.03</v>
      </c>
      <c r="BN155" s="82">
        <v>856160.64</v>
      </c>
      <c r="BO155" s="82">
        <v>17800.55</v>
      </c>
      <c r="BP155" s="82">
        <v>1022023.79</v>
      </c>
      <c r="BQ155" s="82">
        <v>21102.880000000001</v>
      </c>
      <c r="BR155" s="82">
        <v>1147327.55</v>
      </c>
      <c r="BS155" s="82">
        <v>19338.73</v>
      </c>
      <c r="BT155" s="82">
        <v>718242.14</v>
      </c>
      <c r="BU155" s="82">
        <v>14764.85</v>
      </c>
      <c r="BV155" s="83">
        <v>880253.7</v>
      </c>
    </row>
    <row r="156" spans="1:74">
      <c r="A156" s="78" t="s">
        <v>740</v>
      </c>
      <c r="B156" s="78" t="s">
        <v>741</v>
      </c>
      <c r="C156" s="81">
        <v>1365.94</v>
      </c>
      <c r="D156" s="81">
        <v>5928.39</v>
      </c>
      <c r="E156" s="81">
        <v>1521.93</v>
      </c>
      <c r="F156" s="81">
        <v>4911.87</v>
      </c>
      <c r="G156" s="81">
        <v>1032.56</v>
      </c>
      <c r="H156" s="81">
        <v>6070.84</v>
      </c>
      <c r="I156" s="81">
        <v>757.74</v>
      </c>
      <c r="J156" s="81">
        <v>5690.13</v>
      </c>
      <c r="K156" s="84">
        <v>1794.7</v>
      </c>
      <c r="L156" s="81">
        <v>3929.72</v>
      </c>
      <c r="M156" s="81">
        <v>1261.97</v>
      </c>
      <c r="N156" s="81">
        <v>4898.41</v>
      </c>
      <c r="O156" s="81">
        <v>787.46</v>
      </c>
      <c r="P156" s="81">
        <v>5619.27</v>
      </c>
      <c r="Q156" s="84">
        <v>1619.1</v>
      </c>
      <c r="R156" s="81">
        <v>4910.4799999999996</v>
      </c>
      <c r="S156" s="81">
        <v>1809.11</v>
      </c>
      <c r="T156" s="81">
        <v>5315.87</v>
      </c>
      <c r="U156" s="81">
        <v>951.38</v>
      </c>
      <c r="V156" s="81">
        <v>5196.21</v>
      </c>
      <c r="W156" s="81">
        <v>1165.3699999999999</v>
      </c>
      <c r="X156" s="81">
        <v>7233.73</v>
      </c>
      <c r="Y156" s="81">
        <v>1626.05</v>
      </c>
      <c r="Z156" s="81">
        <v>4720.2700000000004</v>
      </c>
      <c r="AA156" s="81">
        <v>2562.6799999999998</v>
      </c>
      <c r="AB156" s="81">
        <v>5265.27</v>
      </c>
      <c r="AC156" s="81">
        <v>1872.56</v>
      </c>
      <c r="AD156" s="81">
        <v>5301.82</v>
      </c>
      <c r="AE156" s="81">
        <v>6403.31</v>
      </c>
      <c r="AF156" s="81">
        <v>3339.37</v>
      </c>
      <c r="AG156" s="81">
        <v>2514.21</v>
      </c>
      <c r="AH156" s="81">
        <v>4043.29</v>
      </c>
      <c r="AI156" s="84">
        <v>1646.1</v>
      </c>
      <c r="AJ156" s="81">
        <v>25958.23</v>
      </c>
      <c r="AK156" s="81">
        <v>2052.0500000000002</v>
      </c>
      <c r="AL156" s="81">
        <v>25306.23</v>
      </c>
      <c r="AM156" s="81">
        <v>1848.57</v>
      </c>
      <c r="AN156" s="81">
        <v>4056.38</v>
      </c>
      <c r="AO156" s="81">
        <v>1620.69</v>
      </c>
      <c r="AP156" s="81">
        <v>3059.56</v>
      </c>
      <c r="AQ156" s="81">
        <v>1571.38</v>
      </c>
      <c r="AR156" s="81">
        <v>33301.769999999997</v>
      </c>
      <c r="AS156" s="81">
        <v>1499.52</v>
      </c>
      <c r="AT156" s="81">
        <v>24696.61</v>
      </c>
      <c r="AU156" s="81">
        <v>1703.34</v>
      </c>
      <c r="AV156" s="81">
        <v>62169.56</v>
      </c>
      <c r="AW156" s="81">
        <v>1972.82</v>
      </c>
      <c r="AX156" s="81">
        <v>38388.730000000003</v>
      </c>
      <c r="AY156" s="81">
        <v>5544.97</v>
      </c>
      <c r="AZ156" s="81">
        <v>4720.75</v>
      </c>
      <c r="BA156" s="81">
        <v>4715.8500000000004</v>
      </c>
      <c r="BB156" s="81">
        <v>4802.91</v>
      </c>
      <c r="BC156" s="84">
        <v>5137.2</v>
      </c>
      <c r="BD156" s="81">
        <v>6859.04</v>
      </c>
      <c r="BE156" s="81">
        <v>4404.29</v>
      </c>
      <c r="BF156" s="84">
        <v>4416.6000000000004</v>
      </c>
      <c r="BG156" s="81">
        <v>3553.31</v>
      </c>
      <c r="BH156" s="81">
        <v>5327.29</v>
      </c>
      <c r="BI156" s="81">
        <v>4121.55</v>
      </c>
      <c r="BJ156" s="81">
        <v>5137.1899999999996</v>
      </c>
      <c r="BK156" s="81">
        <v>6400.02</v>
      </c>
      <c r="BL156" s="81">
        <v>3690.81</v>
      </c>
      <c r="BM156" s="81">
        <v>6116.84</v>
      </c>
      <c r="BN156" s="81">
        <v>4020.77</v>
      </c>
      <c r="BO156" s="81">
        <v>4819.16</v>
      </c>
      <c r="BP156" s="81">
        <v>7034.13</v>
      </c>
      <c r="BQ156" s="81">
        <v>6066.56</v>
      </c>
      <c r="BR156" s="81">
        <v>6494.66</v>
      </c>
      <c r="BS156" s="84">
        <v>6890.1</v>
      </c>
      <c r="BT156" s="81">
        <v>4872.49</v>
      </c>
      <c r="BU156" s="81">
        <v>5759.41</v>
      </c>
      <c r="BV156" s="81">
        <v>5554.21</v>
      </c>
    </row>
    <row r="157" spans="1:74">
      <c r="A157" s="78" t="s">
        <v>742</v>
      </c>
      <c r="B157" s="78" t="s">
        <v>743</v>
      </c>
      <c r="C157" s="82">
        <v>56864.19</v>
      </c>
      <c r="D157" s="82">
        <v>46998.33</v>
      </c>
      <c r="E157" s="82">
        <v>30796.19</v>
      </c>
      <c r="F157" s="82">
        <v>51761.15</v>
      </c>
      <c r="G157" s="82">
        <v>56210.239999999998</v>
      </c>
      <c r="H157" s="82">
        <v>61917.78</v>
      </c>
      <c r="I157" s="82">
        <v>42056.24</v>
      </c>
      <c r="J157" s="82">
        <v>63282.79</v>
      </c>
      <c r="K157" s="82">
        <v>55198.57</v>
      </c>
      <c r="L157" s="82">
        <v>54612.95</v>
      </c>
      <c r="M157" s="82">
        <v>51278.38</v>
      </c>
      <c r="N157" s="82">
        <v>51871.72</v>
      </c>
      <c r="O157" s="82">
        <v>53748.44</v>
      </c>
      <c r="P157" s="82">
        <v>47186.09</v>
      </c>
      <c r="Q157" s="82">
        <v>44429.78</v>
      </c>
      <c r="R157" s="82">
        <v>50328.72</v>
      </c>
      <c r="S157" s="82">
        <v>46408.76</v>
      </c>
      <c r="T157" s="82">
        <v>48226.17</v>
      </c>
      <c r="U157" s="82">
        <v>52442.81</v>
      </c>
      <c r="V157" s="82">
        <v>45477.98</v>
      </c>
      <c r="W157" s="82">
        <v>48998.39</v>
      </c>
      <c r="X157" s="82">
        <v>48386.09</v>
      </c>
      <c r="Y157" s="82">
        <v>60066.11</v>
      </c>
      <c r="Z157" s="82">
        <v>63677.41</v>
      </c>
      <c r="AA157" s="82">
        <v>26708.65</v>
      </c>
      <c r="AB157" s="82">
        <v>93122.18</v>
      </c>
      <c r="AC157" s="83">
        <v>28837.200000000001</v>
      </c>
      <c r="AD157" s="82">
        <v>99844.160000000003</v>
      </c>
      <c r="AE157" s="82">
        <v>29794.76</v>
      </c>
      <c r="AF157" s="83">
        <v>86549.9</v>
      </c>
      <c r="AG157" s="82">
        <v>42169.83</v>
      </c>
      <c r="AH157" s="82">
        <v>95135.43</v>
      </c>
      <c r="AI157" s="82">
        <v>54873.64</v>
      </c>
      <c r="AJ157" s="82">
        <v>78296.86</v>
      </c>
      <c r="AK157" s="82">
        <v>23904.81</v>
      </c>
      <c r="AL157" s="82">
        <v>63119.85</v>
      </c>
      <c r="AM157" s="82">
        <v>47071.59</v>
      </c>
      <c r="AN157" s="83">
        <v>75478.100000000006</v>
      </c>
      <c r="AO157" s="82">
        <v>40501.339999999997</v>
      </c>
      <c r="AP157" s="82">
        <v>65642.679999999993</v>
      </c>
      <c r="AQ157" s="82">
        <v>46689.72</v>
      </c>
      <c r="AR157" s="82">
        <v>68753.19</v>
      </c>
      <c r="AS157" s="82">
        <v>38883.72</v>
      </c>
      <c r="AT157" s="82">
        <v>63858.19</v>
      </c>
      <c r="AU157" s="82">
        <v>35635.29</v>
      </c>
      <c r="AV157" s="82">
        <v>58676.93</v>
      </c>
      <c r="AW157" s="82">
        <v>61605.25</v>
      </c>
      <c r="AX157" s="82">
        <v>64078.46</v>
      </c>
      <c r="AY157" s="82">
        <v>74133.31</v>
      </c>
      <c r="AZ157" s="82">
        <v>37462.21</v>
      </c>
      <c r="BA157" s="82">
        <v>81070.63</v>
      </c>
      <c r="BB157" s="82">
        <v>31958.73</v>
      </c>
      <c r="BC157" s="82">
        <v>74743.86</v>
      </c>
      <c r="BD157" s="82">
        <v>37587.08</v>
      </c>
      <c r="BE157" s="82">
        <v>58824.24</v>
      </c>
      <c r="BF157" s="82">
        <v>39021.29</v>
      </c>
      <c r="BG157" s="82">
        <v>114562.37</v>
      </c>
      <c r="BH157" s="82">
        <v>42002.69</v>
      </c>
      <c r="BI157" s="82">
        <v>93680.18</v>
      </c>
      <c r="BJ157" s="82">
        <v>33058.58</v>
      </c>
      <c r="BK157" s="82">
        <v>114458.33</v>
      </c>
      <c r="BL157" s="82">
        <v>42586.26</v>
      </c>
      <c r="BM157" s="82">
        <v>90404.95</v>
      </c>
      <c r="BN157" s="82">
        <v>35398.33</v>
      </c>
      <c r="BO157" s="83">
        <v>77357.100000000006</v>
      </c>
      <c r="BP157" s="82">
        <v>37764.43</v>
      </c>
      <c r="BQ157" s="83">
        <v>99294.7</v>
      </c>
      <c r="BR157" s="82">
        <v>46545.42</v>
      </c>
      <c r="BS157" s="82">
        <v>84050.75</v>
      </c>
      <c r="BT157" s="82">
        <v>38730.03</v>
      </c>
      <c r="BU157" s="82">
        <v>62059.31</v>
      </c>
      <c r="BV157" s="82">
        <v>33743.54</v>
      </c>
    </row>
    <row r="158" spans="1:74">
      <c r="A158" s="78" t="s">
        <v>744</v>
      </c>
      <c r="B158" s="78" t="s">
        <v>745</v>
      </c>
      <c r="C158" s="81">
        <v>73536.479999999996</v>
      </c>
      <c r="D158" s="79" t="s">
        <v>195</v>
      </c>
      <c r="E158" s="81">
        <v>48352.88</v>
      </c>
      <c r="F158" s="79" t="s">
        <v>195</v>
      </c>
      <c r="G158" s="81">
        <v>72050.89</v>
      </c>
      <c r="H158" s="79" t="s">
        <v>195</v>
      </c>
      <c r="I158" s="81">
        <v>71373.490000000005</v>
      </c>
      <c r="J158" s="79" t="s">
        <v>195</v>
      </c>
      <c r="K158" s="81">
        <v>74256.11</v>
      </c>
      <c r="L158" s="79" t="s">
        <v>195</v>
      </c>
      <c r="M158" s="81">
        <v>73604.87</v>
      </c>
      <c r="N158" s="79" t="s">
        <v>195</v>
      </c>
      <c r="O158" s="81">
        <v>76558.63</v>
      </c>
      <c r="P158" s="79" t="s">
        <v>195</v>
      </c>
      <c r="Q158" s="84">
        <v>80351.899999999994</v>
      </c>
      <c r="R158" s="79" t="s">
        <v>195</v>
      </c>
      <c r="S158" s="81">
        <v>84566.82</v>
      </c>
      <c r="T158" s="79" t="s">
        <v>195</v>
      </c>
      <c r="U158" s="81">
        <v>79365.91</v>
      </c>
      <c r="V158" s="79" t="s">
        <v>195</v>
      </c>
      <c r="W158" s="81">
        <v>80626.67</v>
      </c>
      <c r="X158" s="79" t="s">
        <v>195</v>
      </c>
      <c r="Y158" s="81">
        <v>91695.44</v>
      </c>
      <c r="Z158" s="79" t="s">
        <v>195</v>
      </c>
      <c r="AA158" s="81">
        <v>151017.76</v>
      </c>
      <c r="AB158" s="79" t="s">
        <v>195</v>
      </c>
      <c r="AC158" s="81">
        <v>96392.35</v>
      </c>
      <c r="AD158" s="79" t="s">
        <v>195</v>
      </c>
      <c r="AE158" s="81">
        <v>85603.41</v>
      </c>
      <c r="AF158" s="79" t="s">
        <v>195</v>
      </c>
      <c r="AG158" s="81">
        <v>90991.37</v>
      </c>
      <c r="AH158" s="79" t="s">
        <v>195</v>
      </c>
      <c r="AI158" s="81">
        <v>97125.39</v>
      </c>
      <c r="AJ158" s="79" t="s">
        <v>195</v>
      </c>
      <c r="AK158" s="81">
        <v>97109.87</v>
      </c>
      <c r="AL158" s="79" t="s">
        <v>195</v>
      </c>
      <c r="AM158" s="81">
        <v>95936.51</v>
      </c>
      <c r="AN158" s="79" t="s">
        <v>195</v>
      </c>
      <c r="AO158" s="81">
        <v>85911.88</v>
      </c>
      <c r="AP158" s="79" t="s">
        <v>195</v>
      </c>
      <c r="AQ158" s="81">
        <v>77230.78</v>
      </c>
      <c r="AR158" s="79" t="s">
        <v>195</v>
      </c>
      <c r="AS158" s="81">
        <v>86239.12</v>
      </c>
      <c r="AT158" s="79" t="s">
        <v>195</v>
      </c>
      <c r="AU158" s="81">
        <v>63507.72</v>
      </c>
      <c r="AV158" s="79" t="s">
        <v>195</v>
      </c>
      <c r="AW158" s="81">
        <v>80537.95</v>
      </c>
      <c r="AX158" s="79" t="s">
        <v>195</v>
      </c>
      <c r="AY158" s="81">
        <v>86454.86</v>
      </c>
      <c r="AZ158" s="81">
        <v>74112.47</v>
      </c>
      <c r="BA158" s="81">
        <v>78528.070000000007</v>
      </c>
      <c r="BB158" s="81">
        <v>76163.98</v>
      </c>
      <c r="BC158" s="81">
        <v>109966.47</v>
      </c>
      <c r="BD158" s="81">
        <v>76370.259999999995</v>
      </c>
      <c r="BE158" s="81">
        <v>100835.43</v>
      </c>
      <c r="BF158" s="81">
        <v>81254.66</v>
      </c>
      <c r="BG158" s="81">
        <v>131654.82</v>
      </c>
      <c r="BH158" s="81">
        <v>81686.31</v>
      </c>
      <c r="BI158" s="81">
        <v>84940.41</v>
      </c>
      <c r="BJ158" s="84">
        <v>87131.1</v>
      </c>
      <c r="BK158" s="81">
        <v>82731.88</v>
      </c>
      <c r="BL158" s="81">
        <v>94898.76</v>
      </c>
      <c r="BM158" s="81">
        <v>119476.16</v>
      </c>
      <c r="BN158" s="81">
        <v>94279.01</v>
      </c>
      <c r="BO158" s="81">
        <v>89182.93</v>
      </c>
      <c r="BP158" s="81">
        <v>85107.24</v>
      </c>
      <c r="BQ158" s="81">
        <v>71460.92</v>
      </c>
      <c r="BR158" s="84">
        <v>95265.5</v>
      </c>
      <c r="BS158" s="81">
        <v>93283.83</v>
      </c>
      <c r="BT158" s="81">
        <v>112402.46</v>
      </c>
      <c r="BU158" s="81">
        <v>68853.289999999994</v>
      </c>
      <c r="BV158" s="81">
        <v>78752.570000000007</v>
      </c>
    </row>
    <row r="159" spans="1:74">
      <c r="A159" s="78" t="s">
        <v>746</v>
      </c>
      <c r="B159" s="78" t="s">
        <v>747</v>
      </c>
      <c r="C159" s="82">
        <v>1602.41</v>
      </c>
      <c r="D159" s="82">
        <v>158.28</v>
      </c>
      <c r="E159" s="82">
        <v>916.02</v>
      </c>
      <c r="F159" s="83">
        <v>156.6</v>
      </c>
      <c r="G159" s="82">
        <v>893.08</v>
      </c>
      <c r="H159" s="82">
        <v>154.71</v>
      </c>
      <c r="I159" s="82">
        <v>886.22</v>
      </c>
      <c r="J159" s="82">
        <v>211.73</v>
      </c>
      <c r="K159" s="82">
        <v>1229.1400000000001</v>
      </c>
      <c r="L159" s="82">
        <v>153.54</v>
      </c>
      <c r="M159" s="82">
        <v>383.26</v>
      </c>
      <c r="N159" s="82">
        <v>156.09</v>
      </c>
      <c r="O159" s="82">
        <v>1450.91</v>
      </c>
      <c r="P159" s="82">
        <v>7.01</v>
      </c>
      <c r="Q159" s="83">
        <v>1312.3</v>
      </c>
      <c r="R159" s="82">
        <v>0.43</v>
      </c>
      <c r="S159" s="82">
        <v>985.69</v>
      </c>
      <c r="T159" s="83">
        <v>6</v>
      </c>
      <c r="U159" s="82">
        <v>1325.91</v>
      </c>
      <c r="V159" s="82">
        <v>5.26</v>
      </c>
      <c r="W159" s="82">
        <v>1579.55</v>
      </c>
      <c r="X159" s="82">
        <v>14.82</v>
      </c>
      <c r="Y159" s="82">
        <v>850.86</v>
      </c>
      <c r="Z159" s="82">
        <v>43.81</v>
      </c>
      <c r="AA159" s="82">
        <v>1207.3699999999999</v>
      </c>
      <c r="AB159" s="82">
        <v>4.6500000000000004</v>
      </c>
      <c r="AC159" s="82">
        <v>1402.15</v>
      </c>
      <c r="AD159" s="83">
        <v>12.7</v>
      </c>
      <c r="AE159" s="82">
        <v>1709.53</v>
      </c>
      <c r="AF159" s="82">
        <v>17.850000000000001</v>
      </c>
      <c r="AG159" s="83">
        <v>1541.3</v>
      </c>
      <c r="AH159" s="82">
        <v>19.89</v>
      </c>
      <c r="AI159" s="82">
        <v>1925.31</v>
      </c>
      <c r="AJ159" s="82">
        <v>24.87</v>
      </c>
      <c r="AK159" s="82">
        <v>1146.28</v>
      </c>
      <c r="AL159" s="82">
        <v>26.45</v>
      </c>
      <c r="AM159" s="82">
        <v>1937.34</v>
      </c>
      <c r="AN159" s="82">
        <v>4.18</v>
      </c>
      <c r="AO159" s="82">
        <v>1223.9100000000001</v>
      </c>
      <c r="AP159" s="83">
        <v>17.3</v>
      </c>
      <c r="AQ159" s="82">
        <v>2080.27</v>
      </c>
      <c r="AR159" s="82">
        <v>10.15</v>
      </c>
      <c r="AS159" s="82">
        <v>2221.88</v>
      </c>
      <c r="AT159" s="82">
        <v>19.27</v>
      </c>
      <c r="AU159" s="82">
        <v>590.74</v>
      </c>
      <c r="AV159" s="82">
        <v>13.62</v>
      </c>
      <c r="AW159" s="82">
        <v>1458.85</v>
      </c>
      <c r="AX159" s="82">
        <v>16.86</v>
      </c>
      <c r="AY159" s="82">
        <v>9162.92</v>
      </c>
      <c r="AZ159" s="83">
        <v>2.7</v>
      </c>
      <c r="BA159" s="82">
        <v>2511.39</v>
      </c>
      <c r="BB159" s="82">
        <v>34.04</v>
      </c>
      <c r="BC159" s="82">
        <v>1360.49</v>
      </c>
      <c r="BD159" s="82">
        <v>17.73</v>
      </c>
      <c r="BE159" s="82">
        <v>1978.08</v>
      </c>
      <c r="BF159" s="82">
        <v>5.52</v>
      </c>
      <c r="BG159" s="82">
        <v>1478.01</v>
      </c>
      <c r="BH159" s="83">
        <v>36.6</v>
      </c>
      <c r="BI159" s="82">
        <v>1536.55</v>
      </c>
      <c r="BJ159" s="82">
        <v>15.44</v>
      </c>
      <c r="BK159" s="82">
        <v>1682.12</v>
      </c>
      <c r="BL159" s="83">
        <v>30.4</v>
      </c>
      <c r="BM159" s="83">
        <v>2328.1999999999998</v>
      </c>
      <c r="BN159" s="82">
        <v>9.77</v>
      </c>
      <c r="BO159" s="82">
        <v>2516.38</v>
      </c>
      <c r="BP159" s="82">
        <v>12.67</v>
      </c>
      <c r="BQ159" s="82">
        <v>2055.9899999999998</v>
      </c>
      <c r="BR159" s="82">
        <v>11.55</v>
      </c>
      <c r="BS159" s="82">
        <v>1932.17</v>
      </c>
      <c r="BT159" s="82">
        <v>41.49</v>
      </c>
      <c r="BU159" s="82">
        <v>1792.67</v>
      </c>
      <c r="BV159" s="82">
        <v>38.42</v>
      </c>
    </row>
    <row r="160" spans="1:74">
      <c r="A160" s="78" t="s">
        <v>748</v>
      </c>
      <c r="B160" s="78" t="s">
        <v>749</v>
      </c>
      <c r="C160" s="81">
        <v>47212.74</v>
      </c>
      <c r="D160" s="81">
        <v>128248.75</v>
      </c>
      <c r="E160" s="84">
        <v>34649.4</v>
      </c>
      <c r="F160" s="84">
        <v>118762</v>
      </c>
      <c r="G160" s="81">
        <v>43008.09</v>
      </c>
      <c r="H160" s="81">
        <v>121551.24</v>
      </c>
      <c r="I160" s="81">
        <v>37341.35</v>
      </c>
      <c r="J160" s="84">
        <v>99884.4</v>
      </c>
      <c r="K160" s="81">
        <v>39180.61</v>
      </c>
      <c r="L160" s="84">
        <v>104507.5</v>
      </c>
      <c r="M160" s="81">
        <v>35247.94</v>
      </c>
      <c r="N160" s="81">
        <v>97823.89</v>
      </c>
      <c r="O160" s="81">
        <v>39018.67</v>
      </c>
      <c r="P160" s="81">
        <v>103301.04</v>
      </c>
      <c r="Q160" s="81">
        <v>31808.63</v>
      </c>
      <c r="R160" s="84">
        <v>126558.7</v>
      </c>
      <c r="S160" s="81">
        <v>38445.61</v>
      </c>
      <c r="T160" s="84">
        <v>124357.3</v>
      </c>
      <c r="U160" s="81">
        <v>36389.01</v>
      </c>
      <c r="V160" s="84">
        <v>102311.7</v>
      </c>
      <c r="W160" s="81">
        <v>37273.629999999997</v>
      </c>
      <c r="X160" s="81">
        <v>86635.83</v>
      </c>
      <c r="Y160" s="81">
        <v>50012.99</v>
      </c>
      <c r="Z160" s="81">
        <v>136554.65</v>
      </c>
      <c r="AA160" s="84">
        <v>34846.5</v>
      </c>
      <c r="AB160" s="81">
        <v>107766.11</v>
      </c>
      <c r="AC160" s="81">
        <v>42331.14</v>
      </c>
      <c r="AD160" s="84">
        <v>125405.9</v>
      </c>
      <c r="AE160" s="81">
        <v>55169.21</v>
      </c>
      <c r="AF160" s="81">
        <v>107480.74</v>
      </c>
      <c r="AG160" s="81">
        <v>70111.039999999994</v>
      </c>
      <c r="AH160" s="81">
        <v>133347.57</v>
      </c>
      <c r="AI160" s="84">
        <v>66959.399999999994</v>
      </c>
      <c r="AJ160" s="81">
        <v>87465.13</v>
      </c>
      <c r="AK160" s="81">
        <v>47980.35</v>
      </c>
      <c r="AL160" s="81">
        <v>79086.41</v>
      </c>
      <c r="AM160" s="81">
        <v>42205.440000000002</v>
      </c>
      <c r="AN160" s="81">
        <v>143665.44</v>
      </c>
      <c r="AO160" s="81">
        <v>36046.69</v>
      </c>
      <c r="AP160" s="81">
        <v>98545.99</v>
      </c>
      <c r="AQ160" s="81">
        <v>57128.89</v>
      </c>
      <c r="AR160" s="81">
        <v>75290.509999999995</v>
      </c>
      <c r="AS160" s="81">
        <v>48651.23</v>
      </c>
      <c r="AT160" s="81">
        <v>132849.28</v>
      </c>
      <c r="AU160" s="81">
        <v>40407.33</v>
      </c>
      <c r="AV160" s="81">
        <v>79710.73</v>
      </c>
      <c r="AW160" s="81">
        <v>54539.87</v>
      </c>
      <c r="AX160" s="81">
        <v>116879.59</v>
      </c>
      <c r="AY160" s="81">
        <v>67417.72</v>
      </c>
      <c r="AZ160" s="81">
        <v>81719.360000000001</v>
      </c>
      <c r="BA160" s="81">
        <v>74065.05</v>
      </c>
      <c r="BB160" s="81">
        <v>100365.91</v>
      </c>
      <c r="BC160" s="81">
        <v>63701.68</v>
      </c>
      <c r="BD160" s="81">
        <v>119403.23</v>
      </c>
      <c r="BE160" s="81">
        <v>61538.27</v>
      </c>
      <c r="BF160" s="81">
        <v>130621.95</v>
      </c>
      <c r="BG160" s="81">
        <v>66907.87</v>
      </c>
      <c r="BH160" s="81">
        <v>136135.42000000001</v>
      </c>
      <c r="BI160" s="81">
        <v>35127.49</v>
      </c>
      <c r="BJ160" s="81">
        <v>60901.69</v>
      </c>
      <c r="BK160" s="81">
        <v>55483.14</v>
      </c>
      <c r="BL160" s="81">
        <v>94937.61</v>
      </c>
      <c r="BM160" s="81">
        <v>53805.67</v>
      </c>
      <c r="BN160" s="81">
        <v>105237.11</v>
      </c>
      <c r="BO160" s="81">
        <v>39160.89</v>
      </c>
      <c r="BP160" s="81">
        <v>91594.47</v>
      </c>
      <c r="BQ160" s="81">
        <v>51857.05</v>
      </c>
      <c r="BR160" s="81">
        <v>121389.29</v>
      </c>
      <c r="BS160" s="84">
        <v>48642</v>
      </c>
      <c r="BT160" s="81">
        <v>98068.81</v>
      </c>
      <c r="BU160" s="81">
        <v>51115.87</v>
      </c>
      <c r="BV160" s="81">
        <v>77811.56</v>
      </c>
    </row>
    <row r="161" spans="1:74">
      <c r="A161" s="78" t="s">
        <v>750</v>
      </c>
      <c r="B161" s="78" t="s">
        <v>751</v>
      </c>
      <c r="C161" s="83">
        <v>240</v>
      </c>
      <c r="D161" s="80" t="s">
        <v>195</v>
      </c>
      <c r="E161" s="83">
        <v>480</v>
      </c>
      <c r="F161" s="80" t="s">
        <v>195</v>
      </c>
      <c r="G161" s="83">
        <v>480</v>
      </c>
      <c r="H161" s="82">
        <v>2.93</v>
      </c>
      <c r="I161" s="82">
        <v>290.98</v>
      </c>
      <c r="J161" s="80" t="s">
        <v>195</v>
      </c>
      <c r="K161" s="82">
        <v>555.64</v>
      </c>
      <c r="L161" s="80" t="s">
        <v>195</v>
      </c>
      <c r="M161" s="82">
        <v>426.41</v>
      </c>
      <c r="N161" s="80" t="s">
        <v>195</v>
      </c>
      <c r="O161" s="82">
        <v>296.01</v>
      </c>
      <c r="P161" s="82">
        <v>8.7799999999999994</v>
      </c>
      <c r="Q161" s="82">
        <v>511.35</v>
      </c>
      <c r="R161" s="80" t="s">
        <v>195</v>
      </c>
      <c r="S161" s="82">
        <v>417.22</v>
      </c>
      <c r="T161" s="82">
        <v>13.08</v>
      </c>
      <c r="U161" s="82">
        <v>280.61</v>
      </c>
      <c r="V161" s="80" t="s">
        <v>195</v>
      </c>
      <c r="W161" s="82">
        <v>266.62</v>
      </c>
      <c r="X161" s="82">
        <v>2.67</v>
      </c>
      <c r="Y161" s="82">
        <v>250.99</v>
      </c>
      <c r="Z161" s="80" t="s">
        <v>195</v>
      </c>
      <c r="AA161" s="83">
        <v>58.8</v>
      </c>
      <c r="AB161" s="82">
        <v>3.02</v>
      </c>
      <c r="AC161" s="83">
        <v>59.7</v>
      </c>
      <c r="AD161" s="80" t="s">
        <v>195</v>
      </c>
      <c r="AE161" s="82">
        <v>10.67</v>
      </c>
      <c r="AF161" s="82">
        <v>3.04</v>
      </c>
      <c r="AG161" s="82">
        <v>0.22</v>
      </c>
      <c r="AH161" s="80" t="s">
        <v>195</v>
      </c>
      <c r="AI161" s="82">
        <v>34.39</v>
      </c>
      <c r="AJ161" s="82">
        <v>3.04</v>
      </c>
      <c r="AK161" s="82">
        <v>22.92</v>
      </c>
      <c r="AL161" s="80" t="s">
        <v>195</v>
      </c>
      <c r="AM161" s="83">
        <v>24.2</v>
      </c>
      <c r="AN161" s="82">
        <v>3.04</v>
      </c>
      <c r="AO161" s="82">
        <v>17.41</v>
      </c>
      <c r="AP161" s="83">
        <v>248</v>
      </c>
      <c r="AQ161" s="82">
        <v>3.12</v>
      </c>
      <c r="AR161" s="83">
        <v>2187.4</v>
      </c>
      <c r="AS161" s="82">
        <v>0.65</v>
      </c>
      <c r="AT161" s="80" t="s">
        <v>195</v>
      </c>
      <c r="AU161" s="82">
        <v>0.22</v>
      </c>
      <c r="AV161" s="80" t="s">
        <v>195</v>
      </c>
      <c r="AW161" s="82">
        <v>6.04</v>
      </c>
      <c r="AX161" s="83">
        <v>2679.2</v>
      </c>
      <c r="AY161" s="82">
        <v>14.16</v>
      </c>
      <c r="AZ161" s="83">
        <v>1923.2</v>
      </c>
      <c r="BA161" s="80" t="s">
        <v>195</v>
      </c>
      <c r="BB161" s="82">
        <v>3916.15</v>
      </c>
      <c r="BC161" s="82">
        <v>3.89</v>
      </c>
      <c r="BD161" s="82">
        <v>2400.6799999999998</v>
      </c>
      <c r="BE161" s="80" t="s">
        <v>195</v>
      </c>
      <c r="BF161" s="83">
        <v>1222.5999999999999</v>
      </c>
      <c r="BG161" s="82">
        <v>0.52</v>
      </c>
      <c r="BH161" s="83">
        <v>1719</v>
      </c>
      <c r="BI161" s="80" t="s">
        <v>195</v>
      </c>
      <c r="BJ161" s="83">
        <v>3866.4</v>
      </c>
      <c r="BK161" s="83">
        <v>8.8000000000000007</v>
      </c>
      <c r="BL161" s="83">
        <v>1935.6</v>
      </c>
      <c r="BM161" s="80" t="s">
        <v>195</v>
      </c>
      <c r="BN161" s="83">
        <v>3199.8</v>
      </c>
      <c r="BO161" s="82">
        <v>4.82</v>
      </c>
      <c r="BP161" s="83">
        <v>1471.8</v>
      </c>
      <c r="BQ161" s="80" t="s">
        <v>195</v>
      </c>
      <c r="BR161" s="83">
        <v>1719.2</v>
      </c>
      <c r="BS161" s="82">
        <v>0.35</v>
      </c>
      <c r="BT161" s="83">
        <v>3185.8</v>
      </c>
      <c r="BU161" s="80" t="s">
        <v>195</v>
      </c>
      <c r="BV161" s="83">
        <v>2451.4</v>
      </c>
    </row>
    <row r="162" spans="1:74">
      <c r="A162" s="78" t="s">
        <v>752</v>
      </c>
      <c r="B162" s="78" t="s">
        <v>753</v>
      </c>
      <c r="C162" s="79" t="s">
        <v>195</v>
      </c>
      <c r="D162" s="81">
        <v>8234.42</v>
      </c>
      <c r="E162" s="84">
        <v>1246.8</v>
      </c>
      <c r="F162" s="81">
        <v>5160.75</v>
      </c>
      <c r="G162" s="84">
        <v>4275.2</v>
      </c>
      <c r="H162" s="81">
        <v>7790.89</v>
      </c>
      <c r="I162" s="81">
        <v>3265.03</v>
      </c>
      <c r="J162" s="81">
        <v>1676.29</v>
      </c>
      <c r="K162" s="84">
        <v>4577.6000000000004</v>
      </c>
      <c r="L162" s="81">
        <v>5888.88</v>
      </c>
      <c r="M162" s="79" t="s">
        <v>195</v>
      </c>
      <c r="N162" s="81">
        <v>242.29</v>
      </c>
      <c r="O162" s="84">
        <v>228.2</v>
      </c>
      <c r="P162" s="81">
        <v>5986.52</v>
      </c>
      <c r="Q162" s="84">
        <v>2945.6</v>
      </c>
      <c r="R162" s="84">
        <v>4913.6000000000004</v>
      </c>
      <c r="S162" s="81">
        <v>46.44</v>
      </c>
      <c r="T162" s="84">
        <v>4411.8</v>
      </c>
      <c r="U162" s="79" t="s">
        <v>195</v>
      </c>
      <c r="V162" s="81">
        <v>258.12</v>
      </c>
      <c r="W162" s="84">
        <v>222.8</v>
      </c>
      <c r="X162" s="84">
        <v>244.7</v>
      </c>
      <c r="Y162" s="79" t="s">
        <v>195</v>
      </c>
      <c r="Z162" s="81">
        <v>292.91000000000003</v>
      </c>
      <c r="AA162" s="79" t="s">
        <v>195</v>
      </c>
      <c r="AB162" s="81">
        <v>23934.66</v>
      </c>
      <c r="AC162" s="81">
        <v>985.06</v>
      </c>
      <c r="AD162" s="81">
        <v>1033.27</v>
      </c>
      <c r="AE162" s="84">
        <v>2236.8000000000002</v>
      </c>
      <c r="AF162" s="81">
        <v>280.22000000000003</v>
      </c>
      <c r="AG162" s="84">
        <v>7194.2</v>
      </c>
      <c r="AH162" s="84">
        <v>492.7</v>
      </c>
      <c r="AI162" s="84">
        <v>4740.1000000000004</v>
      </c>
      <c r="AJ162" s="81">
        <v>4.1399999999999997</v>
      </c>
      <c r="AK162" s="84">
        <v>3960</v>
      </c>
      <c r="AL162" s="81">
        <v>7.44</v>
      </c>
      <c r="AM162" s="84">
        <v>2192</v>
      </c>
      <c r="AN162" s="84">
        <v>276</v>
      </c>
      <c r="AO162" s="79" t="s">
        <v>195</v>
      </c>
      <c r="AP162" s="81">
        <v>3982.04</v>
      </c>
      <c r="AQ162" s="84">
        <v>227</v>
      </c>
      <c r="AR162" s="84">
        <v>4239</v>
      </c>
      <c r="AS162" s="84">
        <v>406</v>
      </c>
      <c r="AT162" s="81">
        <v>5132.21</v>
      </c>
      <c r="AU162" s="81">
        <v>2.95</v>
      </c>
      <c r="AV162" s="81">
        <v>9310.06</v>
      </c>
      <c r="AW162" s="84">
        <v>404</v>
      </c>
      <c r="AX162" s="84">
        <v>4603.3999999999996</v>
      </c>
      <c r="AY162" s="84">
        <v>491.6</v>
      </c>
      <c r="AZ162" s="84">
        <v>5781.4</v>
      </c>
      <c r="BA162" s="81">
        <v>0.01</v>
      </c>
      <c r="BB162" s="84">
        <v>6118.4</v>
      </c>
      <c r="BC162" s="81">
        <v>530.63</v>
      </c>
      <c r="BD162" s="84">
        <v>3492.2</v>
      </c>
      <c r="BE162" s="81">
        <v>1313.01</v>
      </c>
      <c r="BF162" s="84">
        <v>6830.4</v>
      </c>
      <c r="BG162" s="81">
        <v>905.32</v>
      </c>
      <c r="BH162" s="84">
        <v>9926.4</v>
      </c>
      <c r="BI162" s="81">
        <v>1113.22</v>
      </c>
      <c r="BJ162" s="84">
        <v>5151.2</v>
      </c>
      <c r="BK162" s="81">
        <v>1030.1500000000001</v>
      </c>
      <c r="BL162" s="84">
        <v>6777</v>
      </c>
      <c r="BM162" s="81">
        <v>739.24</v>
      </c>
      <c r="BN162" s="84">
        <v>5932</v>
      </c>
      <c r="BO162" s="84">
        <v>2727.2</v>
      </c>
      <c r="BP162" s="84">
        <v>7700.8</v>
      </c>
      <c r="BQ162" s="81">
        <v>7060.18</v>
      </c>
      <c r="BR162" s="84">
        <v>11859.2</v>
      </c>
      <c r="BS162" s="84">
        <v>3473.6</v>
      </c>
      <c r="BT162" s="84">
        <v>6356.6</v>
      </c>
      <c r="BU162" s="81">
        <v>2926.55</v>
      </c>
      <c r="BV162" s="84">
        <v>6707.4</v>
      </c>
    </row>
    <row r="163" spans="1:74">
      <c r="A163" s="78" t="s">
        <v>754</v>
      </c>
      <c r="B163" s="78" t="s">
        <v>755</v>
      </c>
      <c r="C163" s="83">
        <v>251</v>
      </c>
      <c r="D163" s="82">
        <v>261.07</v>
      </c>
      <c r="E163" s="83">
        <v>251.4</v>
      </c>
      <c r="F163" s="82">
        <v>352.76</v>
      </c>
      <c r="G163" s="83">
        <v>296.5</v>
      </c>
      <c r="H163" s="83">
        <v>116.1</v>
      </c>
      <c r="I163" s="82">
        <v>504.87</v>
      </c>
      <c r="J163" s="82">
        <v>248.55</v>
      </c>
      <c r="K163" s="83">
        <v>843.8</v>
      </c>
      <c r="L163" s="82">
        <v>13.89</v>
      </c>
      <c r="M163" s="82">
        <v>965.31</v>
      </c>
      <c r="N163" s="83">
        <v>12.2</v>
      </c>
      <c r="O163" s="83">
        <v>543.6</v>
      </c>
      <c r="P163" s="82">
        <v>14.36</v>
      </c>
      <c r="Q163" s="82">
        <v>2551.23</v>
      </c>
      <c r="R163" s="82">
        <v>25.44</v>
      </c>
      <c r="S163" s="82">
        <v>2547.48</v>
      </c>
      <c r="T163" s="83">
        <v>4</v>
      </c>
      <c r="U163" s="82">
        <v>36.71</v>
      </c>
      <c r="V163" s="83">
        <v>2</v>
      </c>
      <c r="W163" s="82">
        <v>702.03</v>
      </c>
      <c r="X163" s="80" t="s">
        <v>195</v>
      </c>
      <c r="Y163" s="83">
        <v>230.8</v>
      </c>
      <c r="Z163" s="83">
        <v>16</v>
      </c>
      <c r="AA163" s="83">
        <v>565.20000000000005</v>
      </c>
      <c r="AB163" s="82">
        <v>378.65</v>
      </c>
      <c r="AC163" s="83">
        <v>252.6</v>
      </c>
      <c r="AD163" s="83">
        <v>54</v>
      </c>
      <c r="AE163" s="83">
        <v>494.8</v>
      </c>
      <c r="AF163" s="83">
        <v>307.3</v>
      </c>
      <c r="AG163" s="83">
        <v>1324.6</v>
      </c>
      <c r="AH163" s="82">
        <v>24.46</v>
      </c>
      <c r="AI163" s="83">
        <v>2239.8000000000002</v>
      </c>
      <c r="AJ163" s="82">
        <v>62.81</v>
      </c>
      <c r="AK163" s="82">
        <v>1381.77</v>
      </c>
      <c r="AL163" s="82">
        <v>32.01</v>
      </c>
      <c r="AM163" s="82">
        <v>961.59</v>
      </c>
      <c r="AN163" s="82">
        <v>196.16</v>
      </c>
      <c r="AO163" s="82">
        <v>1379.16</v>
      </c>
      <c r="AP163" s="82">
        <v>391.55</v>
      </c>
      <c r="AQ163" s="82">
        <v>932.83</v>
      </c>
      <c r="AR163" s="82">
        <v>160.47999999999999</v>
      </c>
      <c r="AS163" s="83">
        <v>796.5</v>
      </c>
      <c r="AT163" s="83">
        <v>207.2</v>
      </c>
      <c r="AU163" s="83">
        <v>250.1</v>
      </c>
      <c r="AV163" s="83">
        <v>210.6</v>
      </c>
      <c r="AW163" s="82">
        <v>324.08</v>
      </c>
      <c r="AX163" s="83">
        <v>108.5</v>
      </c>
      <c r="AY163" s="83">
        <v>498</v>
      </c>
      <c r="AZ163" s="83">
        <v>10</v>
      </c>
      <c r="BA163" s="83">
        <v>1.9</v>
      </c>
      <c r="BB163" s="83">
        <v>198.6</v>
      </c>
      <c r="BC163" s="80" t="s">
        <v>195</v>
      </c>
      <c r="BD163" s="82">
        <v>193.82</v>
      </c>
      <c r="BE163" s="82">
        <v>936.74</v>
      </c>
      <c r="BF163" s="83">
        <v>212</v>
      </c>
      <c r="BG163" s="83">
        <v>499.4</v>
      </c>
      <c r="BH163" s="80" t="s">
        <v>195</v>
      </c>
      <c r="BI163" s="82">
        <v>679.51</v>
      </c>
      <c r="BJ163" s="82">
        <v>103.49</v>
      </c>
      <c r="BK163" s="82">
        <v>968.98</v>
      </c>
      <c r="BL163" s="80" t="s">
        <v>195</v>
      </c>
      <c r="BM163" s="83">
        <v>338.5</v>
      </c>
      <c r="BN163" s="82">
        <v>295.75</v>
      </c>
      <c r="BO163" s="83">
        <v>0.3</v>
      </c>
      <c r="BP163" s="82">
        <v>201.77</v>
      </c>
      <c r="BQ163" s="82">
        <v>108.15</v>
      </c>
      <c r="BR163" s="82">
        <v>240.57</v>
      </c>
      <c r="BS163" s="80" t="s">
        <v>195</v>
      </c>
      <c r="BT163" s="83">
        <v>389.4</v>
      </c>
      <c r="BU163" s="82">
        <v>320.87</v>
      </c>
      <c r="BV163" s="82">
        <v>16.02</v>
      </c>
    </row>
    <row r="164" spans="1:74">
      <c r="A164" s="78" t="s">
        <v>756</v>
      </c>
      <c r="B164" s="78" t="s">
        <v>757</v>
      </c>
      <c r="C164" s="81">
        <v>1078.81</v>
      </c>
      <c r="D164" s="81">
        <v>13943.47</v>
      </c>
      <c r="E164" s="81">
        <v>443.51</v>
      </c>
      <c r="F164" s="84">
        <v>20614.099999999999</v>
      </c>
      <c r="G164" s="81">
        <v>1829.49</v>
      </c>
      <c r="H164" s="81">
        <v>19158.52</v>
      </c>
      <c r="I164" s="81">
        <v>1713.88</v>
      </c>
      <c r="J164" s="81">
        <v>24060.959999999999</v>
      </c>
      <c r="K164" s="81">
        <v>3552.07</v>
      </c>
      <c r="L164" s="84">
        <v>20888</v>
      </c>
      <c r="M164" s="81">
        <v>2345.87</v>
      </c>
      <c r="N164" s="81">
        <v>14746.05</v>
      </c>
      <c r="O164" s="81">
        <v>1792.84</v>
      </c>
      <c r="P164" s="81">
        <v>23331.49</v>
      </c>
      <c r="Q164" s="81">
        <v>1853.83</v>
      </c>
      <c r="R164" s="81">
        <v>15550.48</v>
      </c>
      <c r="S164" s="81">
        <v>2922.61</v>
      </c>
      <c r="T164" s="81">
        <v>18139.09</v>
      </c>
      <c r="U164" s="81">
        <v>445.57</v>
      </c>
      <c r="V164" s="81">
        <v>21617.72</v>
      </c>
      <c r="W164" s="81">
        <v>1587.41</v>
      </c>
      <c r="X164" s="81">
        <v>13912.58</v>
      </c>
      <c r="Y164" s="81">
        <v>1070.3399999999999</v>
      </c>
      <c r="Z164" s="81">
        <v>20433.560000000001</v>
      </c>
      <c r="AA164" s="81">
        <v>496.02</v>
      </c>
      <c r="AB164" s="81">
        <v>14745.47</v>
      </c>
      <c r="AC164" s="81">
        <v>482.92</v>
      </c>
      <c r="AD164" s="81">
        <v>20893.28</v>
      </c>
      <c r="AE164" s="81">
        <v>514.96</v>
      </c>
      <c r="AF164" s="81">
        <v>10759.21</v>
      </c>
      <c r="AG164" s="81">
        <v>973.96</v>
      </c>
      <c r="AH164" s="81">
        <v>16505.18</v>
      </c>
      <c r="AI164" s="81">
        <v>380.23</v>
      </c>
      <c r="AJ164" s="81">
        <v>13042.57</v>
      </c>
      <c r="AK164" s="81">
        <v>260.44</v>
      </c>
      <c r="AL164" s="81">
        <v>9374.2900000000009</v>
      </c>
      <c r="AM164" s="81">
        <v>2030.04</v>
      </c>
      <c r="AN164" s="81">
        <v>5783.78</v>
      </c>
      <c r="AO164" s="81">
        <v>266.17</v>
      </c>
      <c r="AP164" s="81">
        <v>4562.75</v>
      </c>
      <c r="AQ164" s="81">
        <v>476.14</v>
      </c>
      <c r="AR164" s="81">
        <v>2912.72</v>
      </c>
      <c r="AS164" s="81">
        <v>458.26</v>
      </c>
      <c r="AT164" s="81">
        <v>3639.39</v>
      </c>
      <c r="AU164" s="81">
        <v>311.12</v>
      </c>
      <c r="AV164" s="81">
        <v>4259.96</v>
      </c>
      <c r="AW164" s="81">
        <v>778.72</v>
      </c>
      <c r="AX164" s="81">
        <v>4836.54</v>
      </c>
      <c r="AY164" s="81">
        <v>1175.56</v>
      </c>
      <c r="AZ164" s="81">
        <v>2514.48</v>
      </c>
      <c r="BA164" s="81">
        <v>823.28</v>
      </c>
      <c r="BB164" s="84">
        <v>4592.8</v>
      </c>
      <c r="BC164" s="81">
        <v>549.29</v>
      </c>
      <c r="BD164" s="81">
        <v>2020.04</v>
      </c>
      <c r="BE164" s="81">
        <v>467.37</v>
      </c>
      <c r="BF164" s="81">
        <v>4916.4399999999996</v>
      </c>
      <c r="BG164" s="81">
        <v>932.74</v>
      </c>
      <c r="BH164" s="81">
        <v>6843.73</v>
      </c>
      <c r="BI164" s="81">
        <v>617.47</v>
      </c>
      <c r="BJ164" s="81">
        <v>566.73</v>
      </c>
      <c r="BK164" s="81">
        <v>452.16</v>
      </c>
      <c r="BL164" s="81">
        <v>244.46</v>
      </c>
      <c r="BM164" s="81">
        <v>271.54000000000002</v>
      </c>
      <c r="BN164" s="81">
        <v>4517.25</v>
      </c>
      <c r="BO164" s="81">
        <v>2570.21</v>
      </c>
      <c r="BP164" s="81">
        <v>2413.64</v>
      </c>
      <c r="BQ164" s="81">
        <v>1281.1300000000001</v>
      </c>
      <c r="BR164" s="81">
        <v>776.35</v>
      </c>
      <c r="BS164" s="81">
        <v>959.61</v>
      </c>
      <c r="BT164" s="81">
        <v>4730.43</v>
      </c>
      <c r="BU164" s="81">
        <v>338.22</v>
      </c>
      <c r="BV164" s="84">
        <v>3187.3</v>
      </c>
    </row>
    <row r="165" spans="1:74">
      <c r="A165" s="78" t="s">
        <v>758</v>
      </c>
      <c r="B165" s="78" t="s">
        <v>759</v>
      </c>
      <c r="C165" s="82">
        <v>50027.21</v>
      </c>
      <c r="D165" s="82">
        <v>215671.96</v>
      </c>
      <c r="E165" s="82">
        <v>54619.12</v>
      </c>
      <c r="F165" s="82">
        <v>208841.51</v>
      </c>
      <c r="G165" s="82">
        <v>64635.59</v>
      </c>
      <c r="H165" s="82">
        <v>223065.26</v>
      </c>
      <c r="I165" s="82">
        <v>64319.08</v>
      </c>
      <c r="J165" s="82">
        <v>238162.86</v>
      </c>
      <c r="K165" s="82">
        <v>52572.04</v>
      </c>
      <c r="L165" s="82">
        <v>227710.53</v>
      </c>
      <c r="M165" s="82">
        <v>64074.74</v>
      </c>
      <c r="N165" s="82">
        <v>235999.95</v>
      </c>
      <c r="O165" s="82">
        <v>55400.49</v>
      </c>
      <c r="P165" s="82">
        <v>185392.48</v>
      </c>
      <c r="Q165" s="82">
        <v>55108.85</v>
      </c>
      <c r="R165" s="83">
        <v>191830.2</v>
      </c>
      <c r="S165" s="82">
        <v>64443.22</v>
      </c>
      <c r="T165" s="82">
        <v>216506.54</v>
      </c>
      <c r="U165" s="82">
        <v>62183.28</v>
      </c>
      <c r="V165" s="82">
        <v>201035.08</v>
      </c>
      <c r="W165" s="82">
        <v>57993.94</v>
      </c>
      <c r="X165" s="82">
        <v>201490.61</v>
      </c>
      <c r="Y165" s="82">
        <v>57753.17</v>
      </c>
      <c r="Z165" s="82">
        <v>209737.07</v>
      </c>
      <c r="AA165" s="82">
        <v>66529.539999999994</v>
      </c>
      <c r="AB165" s="82">
        <v>204515.37</v>
      </c>
      <c r="AC165" s="82">
        <v>61656.82</v>
      </c>
      <c r="AD165" s="82">
        <v>207269.86</v>
      </c>
      <c r="AE165" s="82">
        <v>65819.11</v>
      </c>
      <c r="AF165" s="82">
        <v>209792.39</v>
      </c>
      <c r="AG165" s="83">
        <v>77518.100000000006</v>
      </c>
      <c r="AH165" s="82">
        <v>249438.29</v>
      </c>
      <c r="AI165" s="82">
        <v>64394.97</v>
      </c>
      <c r="AJ165" s="82">
        <v>223967.88</v>
      </c>
      <c r="AK165" s="82">
        <v>67051.98</v>
      </c>
      <c r="AL165" s="82">
        <v>227342.29</v>
      </c>
      <c r="AM165" s="82">
        <v>68417.16</v>
      </c>
      <c r="AN165" s="82">
        <v>213816.38</v>
      </c>
      <c r="AO165" s="82">
        <v>57992.62</v>
      </c>
      <c r="AP165" s="82">
        <v>192328.06</v>
      </c>
      <c r="AQ165" s="82">
        <v>72507.14</v>
      </c>
      <c r="AR165" s="82">
        <v>183047.75</v>
      </c>
      <c r="AS165" s="82">
        <v>59753.34</v>
      </c>
      <c r="AT165" s="82">
        <v>146088.24</v>
      </c>
      <c r="AU165" s="82">
        <v>59386.91</v>
      </c>
      <c r="AV165" s="82">
        <v>145648.65</v>
      </c>
      <c r="AW165" s="82">
        <v>67799.06</v>
      </c>
      <c r="AX165" s="82">
        <v>155114.47</v>
      </c>
      <c r="AY165" s="82">
        <v>72009.259999999995</v>
      </c>
      <c r="AZ165" s="82">
        <v>220841.93</v>
      </c>
      <c r="BA165" s="82">
        <v>87896.91</v>
      </c>
      <c r="BB165" s="82">
        <v>231783.94</v>
      </c>
      <c r="BC165" s="82">
        <v>81270.02</v>
      </c>
      <c r="BD165" s="82">
        <v>292796.28000000003</v>
      </c>
      <c r="BE165" s="82">
        <v>89908.76</v>
      </c>
      <c r="BF165" s="82">
        <v>365039.71</v>
      </c>
      <c r="BG165" s="82">
        <v>85958.39</v>
      </c>
      <c r="BH165" s="82">
        <v>361771.12</v>
      </c>
      <c r="BI165" s="82">
        <v>78197.960000000006</v>
      </c>
      <c r="BJ165" s="83">
        <v>335395.7</v>
      </c>
      <c r="BK165" s="82">
        <v>92815.69</v>
      </c>
      <c r="BL165" s="82">
        <v>326114.31</v>
      </c>
      <c r="BM165" s="82">
        <v>88783.52</v>
      </c>
      <c r="BN165" s="83">
        <v>335771.9</v>
      </c>
      <c r="BO165" s="82">
        <v>91394.14</v>
      </c>
      <c r="BP165" s="82">
        <v>343387.21</v>
      </c>
      <c r="BQ165" s="82">
        <v>89944.48</v>
      </c>
      <c r="BR165" s="82">
        <v>335046.34999999998</v>
      </c>
      <c r="BS165" s="82">
        <v>86882.47</v>
      </c>
      <c r="BT165" s="82">
        <v>344959.24</v>
      </c>
      <c r="BU165" s="82">
        <v>86766.23</v>
      </c>
      <c r="BV165" s="82">
        <v>341402.27</v>
      </c>
    </row>
    <row r="166" spans="1:74">
      <c r="A166" s="78" t="s">
        <v>760</v>
      </c>
      <c r="B166" s="78" t="s">
        <v>761</v>
      </c>
      <c r="C166" s="84">
        <v>475.1</v>
      </c>
      <c r="D166" s="84">
        <v>40.700000000000003</v>
      </c>
      <c r="E166" s="84">
        <v>398.9</v>
      </c>
      <c r="F166" s="84">
        <v>7</v>
      </c>
      <c r="G166" s="84">
        <v>430.7</v>
      </c>
      <c r="H166" s="81">
        <v>112.88</v>
      </c>
      <c r="I166" s="81">
        <v>473.71</v>
      </c>
      <c r="J166" s="81">
        <v>260.25</v>
      </c>
      <c r="K166" s="81">
        <v>285.85000000000002</v>
      </c>
      <c r="L166" s="81">
        <v>49.63</v>
      </c>
      <c r="M166" s="84">
        <v>252.4</v>
      </c>
      <c r="N166" s="84">
        <v>15.8</v>
      </c>
      <c r="O166" s="81">
        <v>318.85000000000002</v>
      </c>
      <c r="P166" s="81">
        <v>17.690000000000001</v>
      </c>
      <c r="Q166" s="81">
        <v>480.95</v>
      </c>
      <c r="R166" s="84">
        <v>30.6</v>
      </c>
      <c r="S166" s="81">
        <v>341.13</v>
      </c>
      <c r="T166" s="81">
        <v>35.43</v>
      </c>
      <c r="U166" s="81">
        <v>344.59</v>
      </c>
      <c r="V166" s="81">
        <v>22.33</v>
      </c>
      <c r="W166" s="81">
        <v>564.45000000000005</v>
      </c>
      <c r="X166" s="81">
        <v>18.79</v>
      </c>
      <c r="Y166" s="81">
        <v>293.27999999999997</v>
      </c>
      <c r="Z166" s="81">
        <v>19.48</v>
      </c>
      <c r="AA166" s="81">
        <v>456.61</v>
      </c>
      <c r="AB166" s="81">
        <v>50.75</v>
      </c>
      <c r="AC166" s="81">
        <v>175.88</v>
      </c>
      <c r="AD166" s="81">
        <v>9.02</v>
      </c>
      <c r="AE166" s="81">
        <v>585.80999999999995</v>
      </c>
      <c r="AF166" s="81">
        <v>43.78</v>
      </c>
      <c r="AG166" s="81">
        <v>566.86</v>
      </c>
      <c r="AH166" s="81">
        <v>11.64</v>
      </c>
      <c r="AI166" s="81">
        <v>324.48</v>
      </c>
      <c r="AJ166" s="84">
        <v>13.9</v>
      </c>
      <c r="AK166" s="81">
        <v>428.65</v>
      </c>
      <c r="AL166" s="81">
        <v>11.19</v>
      </c>
      <c r="AM166" s="81">
        <v>432.66</v>
      </c>
      <c r="AN166" s="81">
        <v>96.84</v>
      </c>
      <c r="AO166" s="81">
        <v>1044.01</v>
      </c>
      <c r="AP166" s="81">
        <v>19.510000000000002</v>
      </c>
      <c r="AQ166" s="81">
        <v>220.21</v>
      </c>
      <c r="AR166" s="81">
        <v>25.33</v>
      </c>
      <c r="AS166" s="81">
        <v>402.78</v>
      </c>
      <c r="AT166" s="81">
        <v>19.98</v>
      </c>
      <c r="AU166" s="81">
        <v>120.85</v>
      </c>
      <c r="AV166" s="84">
        <v>21.7</v>
      </c>
      <c r="AW166" s="81">
        <v>657.67</v>
      </c>
      <c r="AX166" s="81">
        <v>1.94</v>
      </c>
      <c r="AY166" s="81">
        <v>536.11</v>
      </c>
      <c r="AZ166" s="81">
        <v>43.88</v>
      </c>
      <c r="BA166" s="84">
        <v>308.5</v>
      </c>
      <c r="BB166" s="81">
        <v>32.409999999999997</v>
      </c>
      <c r="BC166" s="81">
        <v>443.56</v>
      </c>
      <c r="BD166" s="81">
        <v>41.53</v>
      </c>
      <c r="BE166" s="81">
        <v>473.78</v>
      </c>
      <c r="BF166" s="81">
        <v>18.489999999999998</v>
      </c>
      <c r="BG166" s="81">
        <v>520.47</v>
      </c>
      <c r="BH166" s="81">
        <v>95.47</v>
      </c>
      <c r="BI166" s="84">
        <v>204.2</v>
      </c>
      <c r="BJ166" s="81">
        <v>11.78</v>
      </c>
      <c r="BK166" s="81">
        <v>557.23</v>
      </c>
      <c r="BL166" s="81">
        <v>63.77</v>
      </c>
      <c r="BM166" s="81">
        <v>590.29</v>
      </c>
      <c r="BN166" s="81">
        <v>247.28</v>
      </c>
      <c r="BO166" s="81">
        <v>422.61</v>
      </c>
      <c r="BP166" s="84">
        <v>54.3</v>
      </c>
      <c r="BQ166" s="81">
        <v>669.46</v>
      </c>
      <c r="BR166" s="81">
        <v>238.61</v>
      </c>
      <c r="BS166" s="81">
        <v>520.72</v>
      </c>
      <c r="BT166" s="81">
        <v>14.51</v>
      </c>
      <c r="BU166" s="81">
        <v>587.41</v>
      </c>
      <c r="BV166" s="81">
        <v>179.42</v>
      </c>
    </row>
    <row r="167" spans="1:74">
      <c r="A167" s="78" t="s">
        <v>762</v>
      </c>
      <c r="B167" s="78" t="s">
        <v>763</v>
      </c>
      <c r="C167" s="82">
        <v>4459.22</v>
      </c>
      <c r="D167" s="82">
        <v>206.81</v>
      </c>
      <c r="E167" s="82">
        <v>3065.58</v>
      </c>
      <c r="F167" s="82">
        <v>101.46</v>
      </c>
      <c r="G167" s="82">
        <v>3919.34</v>
      </c>
      <c r="H167" s="82">
        <v>197.08</v>
      </c>
      <c r="I167" s="82">
        <v>3726.77</v>
      </c>
      <c r="J167" s="82">
        <v>336.21</v>
      </c>
      <c r="K167" s="82">
        <v>3537.56</v>
      </c>
      <c r="L167" s="82">
        <v>231.53</v>
      </c>
      <c r="M167" s="82">
        <v>2385.37</v>
      </c>
      <c r="N167" s="82">
        <v>183.27</v>
      </c>
      <c r="O167" s="82">
        <v>3394.58</v>
      </c>
      <c r="P167" s="82">
        <v>252.85</v>
      </c>
      <c r="Q167" s="82">
        <v>3438.11</v>
      </c>
      <c r="R167" s="82">
        <v>151.44999999999999</v>
      </c>
      <c r="S167" s="82">
        <v>2719.48</v>
      </c>
      <c r="T167" s="82">
        <v>175.96</v>
      </c>
      <c r="U167" s="83">
        <v>3108.6</v>
      </c>
      <c r="V167" s="82">
        <v>383.83</v>
      </c>
      <c r="W167" s="82">
        <v>4005.07</v>
      </c>
      <c r="X167" s="82">
        <v>97.53</v>
      </c>
      <c r="Y167" s="82">
        <v>3731.62</v>
      </c>
      <c r="Z167" s="83">
        <v>2029.8</v>
      </c>
      <c r="AA167" s="82">
        <v>2633.16</v>
      </c>
      <c r="AB167" s="83">
        <v>263.89999999999998</v>
      </c>
      <c r="AC167" s="82">
        <v>2906.79</v>
      </c>
      <c r="AD167" s="83">
        <v>244</v>
      </c>
      <c r="AE167" s="82">
        <v>2098.7199999999998</v>
      </c>
      <c r="AF167" s="83">
        <v>235</v>
      </c>
      <c r="AG167" s="82">
        <v>3044.56</v>
      </c>
      <c r="AH167" s="82">
        <v>559.52</v>
      </c>
      <c r="AI167" s="82">
        <v>2813.24</v>
      </c>
      <c r="AJ167" s="82">
        <v>400.45</v>
      </c>
      <c r="AK167" s="82">
        <v>2049.42</v>
      </c>
      <c r="AL167" s="82">
        <v>473.66</v>
      </c>
      <c r="AM167" s="82">
        <v>3113.46</v>
      </c>
      <c r="AN167" s="82">
        <v>313.51</v>
      </c>
      <c r="AO167" s="82">
        <v>3315.25</v>
      </c>
      <c r="AP167" s="82">
        <v>495.34</v>
      </c>
      <c r="AQ167" s="83">
        <v>2811</v>
      </c>
      <c r="AR167" s="82">
        <v>447.55</v>
      </c>
      <c r="AS167" s="82">
        <v>2966.76</v>
      </c>
      <c r="AT167" s="83">
        <v>920</v>
      </c>
      <c r="AU167" s="82">
        <v>4752.83</v>
      </c>
      <c r="AV167" s="82">
        <v>341.36</v>
      </c>
      <c r="AW167" s="82">
        <v>3714.52</v>
      </c>
      <c r="AX167" s="83">
        <v>395.5</v>
      </c>
      <c r="AY167" s="83">
        <v>10845.1</v>
      </c>
      <c r="AZ167" s="82">
        <v>1393.44</v>
      </c>
      <c r="BA167" s="82">
        <v>8840.2199999999993</v>
      </c>
      <c r="BB167" s="82">
        <v>1132.24</v>
      </c>
      <c r="BC167" s="82">
        <v>9306.42</v>
      </c>
      <c r="BD167" s="82">
        <v>3226.19</v>
      </c>
      <c r="BE167" s="82">
        <v>9944.93</v>
      </c>
      <c r="BF167" s="82">
        <v>3795.26</v>
      </c>
      <c r="BG167" s="83">
        <v>8245.9</v>
      </c>
      <c r="BH167" s="82">
        <v>890.56</v>
      </c>
      <c r="BI167" s="82">
        <v>7195.34</v>
      </c>
      <c r="BJ167" s="82">
        <v>2289.85</v>
      </c>
      <c r="BK167" s="82">
        <v>8553.27</v>
      </c>
      <c r="BL167" s="82">
        <v>1247.68</v>
      </c>
      <c r="BM167" s="82">
        <v>9603.74</v>
      </c>
      <c r="BN167" s="82">
        <v>1675.07</v>
      </c>
      <c r="BO167" s="82">
        <v>8807.59</v>
      </c>
      <c r="BP167" s="82">
        <v>890.94</v>
      </c>
      <c r="BQ167" s="83">
        <v>7940.2</v>
      </c>
      <c r="BR167" s="83">
        <v>578.70000000000005</v>
      </c>
      <c r="BS167" s="82">
        <v>9027.61</v>
      </c>
      <c r="BT167" s="82">
        <v>818.83</v>
      </c>
      <c r="BU167" s="82">
        <v>8848.2900000000009</v>
      </c>
      <c r="BV167" s="82">
        <v>636.33000000000004</v>
      </c>
    </row>
    <row r="168" spans="1:74">
      <c r="A168" s="78" t="s">
        <v>764</v>
      </c>
      <c r="B168" s="78" t="s">
        <v>765</v>
      </c>
      <c r="C168" s="82">
        <v>2760.03</v>
      </c>
      <c r="D168" s="83">
        <v>1368.6</v>
      </c>
      <c r="E168" s="82">
        <v>1392.67</v>
      </c>
      <c r="F168" s="82">
        <v>892.21</v>
      </c>
      <c r="G168" s="82">
        <v>2832.15</v>
      </c>
      <c r="H168" s="82">
        <v>1854.56</v>
      </c>
      <c r="I168" s="82">
        <v>2303.0700000000002</v>
      </c>
      <c r="J168" s="82">
        <v>1013.88</v>
      </c>
      <c r="K168" s="83">
        <v>2017.4</v>
      </c>
      <c r="L168" s="82">
        <v>2114.87</v>
      </c>
      <c r="M168" s="82">
        <v>1639.93</v>
      </c>
      <c r="N168" s="82">
        <v>1250.8900000000001</v>
      </c>
      <c r="O168" s="82">
        <v>1953.37</v>
      </c>
      <c r="P168" s="82">
        <v>1406.41</v>
      </c>
      <c r="Q168" s="82">
        <v>2383.25</v>
      </c>
      <c r="R168" s="83">
        <v>1626</v>
      </c>
      <c r="S168" s="82">
        <v>1630.82</v>
      </c>
      <c r="T168" s="82">
        <v>1768.53</v>
      </c>
      <c r="U168" s="82">
        <v>2808.35</v>
      </c>
      <c r="V168" s="82">
        <v>1137.55</v>
      </c>
      <c r="W168" s="82">
        <v>2193.7800000000002</v>
      </c>
      <c r="X168" s="82">
        <v>1236.25</v>
      </c>
      <c r="Y168" s="82">
        <v>1803.95</v>
      </c>
      <c r="Z168" s="82">
        <v>2525.4899999999998</v>
      </c>
      <c r="AA168" s="82">
        <v>2448.94</v>
      </c>
      <c r="AB168" s="82">
        <v>3998.16</v>
      </c>
      <c r="AC168" s="82">
        <v>2715.07</v>
      </c>
      <c r="AD168" s="82">
        <v>4504.1400000000003</v>
      </c>
      <c r="AE168" s="82">
        <v>2843.34</v>
      </c>
      <c r="AF168" s="82">
        <v>3148.85</v>
      </c>
      <c r="AG168" s="83">
        <v>3369.3</v>
      </c>
      <c r="AH168" s="82">
        <v>3038.31</v>
      </c>
      <c r="AI168" s="82">
        <v>2327.46</v>
      </c>
      <c r="AJ168" s="82">
        <v>2990.26</v>
      </c>
      <c r="AK168" s="82">
        <v>6089.98</v>
      </c>
      <c r="AL168" s="82">
        <v>3042.38</v>
      </c>
      <c r="AM168" s="82">
        <v>2591.5700000000002</v>
      </c>
      <c r="AN168" s="82">
        <v>3599.84</v>
      </c>
      <c r="AO168" s="82">
        <v>3291.56</v>
      </c>
      <c r="AP168" s="82">
        <v>3382.43</v>
      </c>
      <c r="AQ168" s="82">
        <v>3249.38</v>
      </c>
      <c r="AR168" s="82">
        <v>3460.12</v>
      </c>
      <c r="AS168" s="82">
        <v>1684.86</v>
      </c>
      <c r="AT168" s="82">
        <v>1230.6099999999999</v>
      </c>
      <c r="AU168" s="82">
        <v>2229.89</v>
      </c>
      <c r="AV168" s="82">
        <v>4153.68</v>
      </c>
      <c r="AW168" s="82">
        <v>3147.24</v>
      </c>
      <c r="AX168" s="82">
        <v>2651.92</v>
      </c>
      <c r="AY168" s="82">
        <v>4188.6499999999996</v>
      </c>
      <c r="AZ168" s="82">
        <v>2412.37</v>
      </c>
      <c r="BA168" s="82">
        <v>2995.94</v>
      </c>
      <c r="BB168" s="82">
        <v>713.25</v>
      </c>
      <c r="BC168" s="82">
        <v>5544.48</v>
      </c>
      <c r="BD168" s="82">
        <v>883.87</v>
      </c>
      <c r="BE168" s="82">
        <v>3551.54</v>
      </c>
      <c r="BF168" s="82">
        <v>1098.78</v>
      </c>
      <c r="BG168" s="82">
        <v>5715.96</v>
      </c>
      <c r="BH168" s="82">
        <v>1132.25</v>
      </c>
      <c r="BI168" s="82">
        <v>3823.89</v>
      </c>
      <c r="BJ168" s="82">
        <v>815.04</v>
      </c>
      <c r="BK168" s="82">
        <v>4026.47</v>
      </c>
      <c r="BL168" s="82">
        <v>2516.4299999999998</v>
      </c>
      <c r="BM168" s="82">
        <v>4900.25</v>
      </c>
      <c r="BN168" s="82">
        <v>825.69</v>
      </c>
      <c r="BO168" s="83">
        <v>5704.8</v>
      </c>
      <c r="BP168" s="82">
        <v>1634.69</v>
      </c>
      <c r="BQ168" s="82">
        <v>4793.42</v>
      </c>
      <c r="BR168" s="82">
        <v>983.78</v>
      </c>
      <c r="BS168" s="82">
        <v>6645.52</v>
      </c>
      <c r="BT168" s="82">
        <v>1448.47</v>
      </c>
      <c r="BU168" s="82">
        <v>6066.84</v>
      </c>
      <c r="BV168" s="82">
        <v>1256.55</v>
      </c>
    </row>
    <row r="169" spans="1:74">
      <c r="A169" s="78" t="s">
        <v>766</v>
      </c>
      <c r="B169" s="78" t="s">
        <v>767</v>
      </c>
      <c r="C169" s="84">
        <v>74897.5</v>
      </c>
      <c r="D169" s="81">
        <v>135210.17000000001</v>
      </c>
      <c r="E169" s="81">
        <v>62276.29</v>
      </c>
      <c r="F169" s="81">
        <v>113329.81</v>
      </c>
      <c r="G169" s="81">
        <v>62998.65</v>
      </c>
      <c r="H169" s="81">
        <v>141126.01999999999</v>
      </c>
      <c r="I169" s="81">
        <v>64049.94</v>
      </c>
      <c r="J169" s="81">
        <v>137881.62</v>
      </c>
      <c r="K169" s="81">
        <v>55890.39</v>
      </c>
      <c r="L169" s="81">
        <v>147794.85</v>
      </c>
      <c r="M169" s="81">
        <v>60312.29</v>
      </c>
      <c r="N169" s="81">
        <v>137214.31</v>
      </c>
      <c r="O169" s="81">
        <v>54996.88</v>
      </c>
      <c r="P169" s="81">
        <v>118814.19</v>
      </c>
      <c r="Q169" s="81">
        <v>64704.91</v>
      </c>
      <c r="R169" s="81">
        <v>142114.85999999999</v>
      </c>
      <c r="S169" s="81">
        <v>72867.11</v>
      </c>
      <c r="T169" s="81">
        <v>136278.91</v>
      </c>
      <c r="U169" s="81">
        <v>82442.22</v>
      </c>
      <c r="V169" s="81">
        <v>143277.32</v>
      </c>
      <c r="W169" s="81">
        <v>73110.84</v>
      </c>
      <c r="X169" s="81">
        <v>127787.26</v>
      </c>
      <c r="Y169" s="81">
        <v>74304.56</v>
      </c>
      <c r="Z169" s="81">
        <v>138779.69</v>
      </c>
      <c r="AA169" s="81">
        <v>77899.210000000006</v>
      </c>
      <c r="AB169" s="81">
        <v>155823.84</v>
      </c>
      <c r="AC169" s="81">
        <v>71968.77</v>
      </c>
      <c r="AD169" s="81">
        <v>128122.89</v>
      </c>
      <c r="AE169" s="81">
        <v>66704.19</v>
      </c>
      <c r="AF169" s="81">
        <v>129535.55</v>
      </c>
      <c r="AG169" s="81">
        <v>74108.479999999996</v>
      </c>
      <c r="AH169" s="81">
        <v>149316.12</v>
      </c>
      <c r="AI169" s="81">
        <v>66792.429999999993</v>
      </c>
      <c r="AJ169" s="81">
        <v>142004.66</v>
      </c>
      <c r="AK169" s="81">
        <v>64314.67</v>
      </c>
      <c r="AL169" s="81">
        <v>118726.78</v>
      </c>
      <c r="AM169" s="84">
        <v>70911.8</v>
      </c>
      <c r="AN169" s="81">
        <v>118857.52</v>
      </c>
      <c r="AO169" s="81">
        <v>71598.240000000005</v>
      </c>
      <c r="AP169" s="81">
        <v>126906.58</v>
      </c>
      <c r="AQ169" s="81">
        <v>72622.259999999995</v>
      </c>
      <c r="AR169" s="81">
        <v>145191.64000000001</v>
      </c>
      <c r="AS169" s="81">
        <v>49647.05</v>
      </c>
      <c r="AT169" s="81">
        <v>145249.76</v>
      </c>
      <c r="AU169" s="81">
        <v>59073.79</v>
      </c>
      <c r="AV169" s="81">
        <v>117261.01</v>
      </c>
      <c r="AW169" s="84">
        <v>73732.899999999994</v>
      </c>
      <c r="AX169" s="81">
        <v>132447.54999999999</v>
      </c>
      <c r="AY169" s="81">
        <v>86420.81</v>
      </c>
      <c r="AZ169" s="81">
        <v>142632.76</v>
      </c>
      <c r="BA169" s="81">
        <v>87524.55</v>
      </c>
      <c r="BB169" s="81">
        <v>149529.89000000001</v>
      </c>
      <c r="BC169" s="81">
        <v>75089.320000000007</v>
      </c>
      <c r="BD169" s="81">
        <v>130288.25</v>
      </c>
      <c r="BE169" s="81">
        <v>76428.960000000006</v>
      </c>
      <c r="BF169" s="81">
        <v>147760.66</v>
      </c>
      <c r="BG169" s="84">
        <v>67949</v>
      </c>
      <c r="BH169" s="81">
        <v>135746.49</v>
      </c>
      <c r="BI169" s="84">
        <v>68795</v>
      </c>
      <c r="BJ169" s="81">
        <v>135715.43</v>
      </c>
      <c r="BK169" s="81">
        <v>76814.429999999993</v>
      </c>
      <c r="BL169" s="81">
        <v>143959.32999999999</v>
      </c>
      <c r="BM169" s="81">
        <v>83332.17</v>
      </c>
      <c r="BN169" s="81">
        <v>149178.47</v>
      </c>
      <c r="BO169" s="81">
        <v>82174.850000000006</v>
      </c>
      <c r="BP169" s="84">
        <v>147266.20000000001</v>
      </c>
      <c r="BQ169" s="81">
        <v>94058.21</v>
      </c>
      <c r="BR169" s="81">
        <v>151157.32</v>
      </c>
      <c r="BS169" s="81">
        <v>99163.48</v>
      </c>
      <c r="BT169" s="81">
        <v>155695.78</v>
      </c>
      <c r="BU169" s="81">
        <v>87086.92</v>
      </c>
      <c r="BV169" s="81">
        <v>128863.63</v>
      </c>
    </row>
    <row r="170" spans="1:74">
      <c r="A170" s="78" t="s">
        <v>768</v>
      </c>
      <c r="B170" s="78" t="s">
        <v>769</v>
      </c>
      <c r="C170" s="82">
        <v>17541.96</v>
      </c>
      <c r="D170" s="82">
        <v>10671.37</v>
      </c>
      <c r="E170" s="82">
        <v>14081.94</v>
      </c>
      <c r="F170" s="82">
        <v>9531.51</v>
      </c>
      <c r="G170" s="82">
        <v>17363.32</v>
      </c>
      <c r="H170" s="82">
        <v>12176.68</v>
      </c>
      <c r="I170" s="82">
        <v>26509.85</v>
      </c>
      <c r="J170" s="82">
        <v>10232.370000000001</v>
      </c>
      <c r="K170" s="82">
        <v>20991.94</v>
      </c>
      <c r="L170" s="82">
        <v>9533.76</v>
      </c>
      <c r="M170" s="82">
        <v>18955.23</v>
      </c>
      <c r="N170" s="83">
        <v>14823.1</v>
      </c>
      <c r="O170" s="82">
        <v>22035.32</v>
      </c>
      <c r="P170" s="82">
        <v>10541.06</v>
      </c>
      <c r="Q170" s="82">
        <v>23679.57</v>
      </c>
      <c r="R170" s="82">
        <v>9041.3799999999992</v>
      </c>
      <c r="S170" s="82">
        <v>22369.63</v>
      </c>
      <c r="T170" s="82">
        <v>13882.01</v>
      </c>
      <c r="U170" s="82">
        <v>25454.74</v>
      </c>
      <c r="V170" s="82">
        <v>10255.959999999999</v>
      </c>
      <c r="W170" s="82">
        <v>21052.45</v>
      </c>
      <c r="X170" s="82">
        <v>10798.72</v>
      </c>
      <c r="Y170" s="82">
        <v>23521.86</v>
      </c>
      <c r="Z170" s="82">
        <v>10406.26</v>
      </c>
      <c r="AA170" s="82">
        <v>31706.93</v>
      </c>
      <c r="AB170" s="82">
        <v>8801.33</v>
      </c>
      <c r="AC170" s="82">
        <v>30433.55</v>
      </c>
      <c r="AD170" s="82">
        <v>9300.73</v>
      </c>
      <c r="AE170" s="83">
        <v>33122.699999999997</v>
      </c>
      <c r="AF170" s="82">
        <v>10292.93</v>
      </c>
      <c r="AG170" s="82">
        <v>40128.71</v>
      </c>
      <c r="AH170" s="82">
        <v>9063.82</v>
      </c>
      <c r="AI170" s="82">
        <v>39410.449999999997</v>
      </c>
      <c r="AJ170" s="83">
        <v>10537.5</v>
      </c>
      <c r="AK170" s="82">
        <v>30933.61</v>
      </c>
      <c r="AL170" s="82">
        <v>9409.61</v>
      </c>
      <c r="AM170" s="82">
        <v>39042.730000000003</v>
      </c>
      <c r="AN170" s="82">
        <v>8025.97</v>
      </c>
      <c r="AO170" s="82">
        <v>37231.910000000003</v>
      </c>
      <c r="AP170" s="82">
        <v>10056.709999999999</v>
      </c>
      <c r="AQ170" s="82">
        <v>38549.69</v>
      </c>
      <c r="AR170" s="83">
        <v>20481.900000000001</v>
      </c>
      <c r="AS170" s="82">
        <v>48592.34</v>
      </c>
      <c r="AT170" s="82">
        <v>8091.79</v>
      </c>
      <c r="AU170" s="82">
        <v>31214.69</v>
      </c>
      <c r="AV170" s="82">
        <v>7157.19</v>
      </c>
      <c r="AW170" s="82">
        <v>31045.33</v>
      </c>
      <c r="AX170" s="82">
        <v>11544.33</v>
      </c>
      <c r="AY170" s="82">
        <v>21685.88</v>
      </c>
      <c r="AZ170" s="82">
        <v>7040.52</v>
      </c>
      <c r="BA170" s="82">
        <v>24786.48</v>
      </c>
      <c r="BB170" s="83">
        <v>6215.6</v>
      </c>
      <c r="BC170" s="82">
        <v>22554.73</v>
      </c>
      <c r="BD170" s="83">
        <v>5761</v>
      </c>
      <c r="BE170" s="82">
        <v>23898.61</v>
      </c>
      <c r="BF170" s="83">
        <v>4601.1000000000004</v>
      </c>
      <c r="BG170" s="83">
        <v>26645.200000000001</v>
      </c>
      <c r="BH170" s="82">
        <v>5041.8100000000004</v>
      </c>
      <c r="BI170" s="82">
        <v>26601.88</v>
      </c>
      <c r="BJ170" s="82">
        <v>7084.12</v>
      </c>
      <c r="BK170" s="82">
        <v>37240.33</v>
      </c>
      <c r="BL170" s="82">
        <v>7199.04</v>
      </c>
      <c r="BM170" s="83">
        <v>28951.1</v>
      </c>
      <c r="BN170" s="82">
        <v>7445.14</v>
      </c>
      <c r="BO170" s="82">
        <v>28052.26</v>
      </c>
      <c r="BP170" s="82">
        <v>5175.6400000000003</v>
      </c>
      <c r="BQ170" s="82">
        <v>29759.42</v>
      </c>
      <c r="BR170" s="82">
        <v>7121.34</v>
      </c>
      <c r="BS170" s="82">
        <v>24882.41</v>
      </c>
      <c r="BT170" s="82">
        <v>8609.08</v>
      </c>
      <c r="BU170" s="82">
        <v>22141.55</v>
      </c>
      <c r="BV170" s="82">
        <v>5470.72</v>
      </c>
    </row>
    <row r="171" spans="1:74">
      <c r="A171" s="78" t="s">
        <v>770</v>
      </c>
      <c r="B171" s="78" t="s">
        <v>771</v>
      </c>
      <c r="C171" s="82">
        <v>229464.78</v>
      </c>
      <c r="D171" s="82">
        <v>13560.95</v>
      </c>
      <c r="E171" s="82">
        <v>219199.24</v>
      </c>
      <c r="F171" s="82">
        <v>12645.28</v>
      </c>
      <c r="G171" s="82">
        <v>298916.71000000002</v>
      </c>
      <c r="H171" s="82">
        <v>14906.22</v>
      </c>
      <c r="I171" s="82">
        <v>238543.99</v>
      </c>
      <c r="J171" s="83">
        <v>13763.8</v>
      </c>
      <c r="K171" s="82">
        <v>214111.06</v>
      </c>
      <c r="L171" s="82">
        <v>14416.89</v>
      </c>
      <c r="M171" s="82">
        <v>265293.65999999997</v>
      </c>
      <c r="N171" s="82">
        <v>15679.71</v>
      </c>
      <c r="O171" s="82">
        <v>232895.82</v>
      </c>
      <c r="P171" s="82">
        <v>9293.24</v>
      </c>
      <c r="Q171" s="82">
        <v>225500.44</v>
      </c>
      <c r="R171" s="82">
        <v>10225.370000000001</v>
      </c>
      <c r="S171" s="82">
        <v>227561.72</v>
      </c>
      <c r="T171" s="82">
        <v>14118.31</v>
      </c>
      <c r="U171" s="83">
        <v>233411.1</v>
      </c>
      <c r="V171" s="82">
        <v>18214.419999999998</v>
      </c>
      <c r="W171" s="82">
        <v>232904.05</v>
      </c>
      <c r="X171" s="82">
        <v>9015.4699999999993</v>
      </c>
      <c r="Y171" s="83">
        <v>241521</v>
      </c>
      <c r="Z171" s="82">
        <v>10947.98</v>
      </c>
      <c r="AA171" s="82">
        <v>236379.51999999999</v>
      </c>
      <c r="AB171" s="82">
        <v>14931.93</v>
      </c>
      <c r="AC171" s="82">
        <v>233913.25</v>
      </c>
      <c r="AD171" s="82">
        <v>12956.12</v>
      </c>
      <c r="AE171" s="82">
        <v>256196.78</v>
      </c>
      <c r="AF171" s="82">
        <v>23375.17</v>
      </c>
      <c r="AG171" s="82">
        <v>258471.85</v>
      </c>
      <c r="AH171" s="82">
        <v>27996.59</v>
      </c>
      <c r="AI171" s="82">
        <v>230524.38</v>
      </c>
      <c r="AJ171" s="82">
        <v>21499.17</v>
      </c>
      <c r="AK171" s="82">
        <v>275241.61</v>
      </c>
      <c r="AL171" s="82">
        <v>28683.57</v>
      </c>
      <c r="AM171" s="82">
        <v>267441.53000000003</v>
      </c>
      <c r="AN171" s="82">
        <v>18822.490000000002</v>
      </c>
      <c r="AO171" s="82">
        <v>250889.72</v>
      </c>
      <c r="AP171" s="82">
        <v>25967.64</v>
      </c>
      <c r="AQ171" s="82">
        <v>351419.14</v>
      </c>
      <c r="AR171" s="82">
        <v>23148.48</v>
      </c>
      <c r="AS171" s="82">
        <v>365424.94</v>
      </c>
      <c r="AT171" s="82">
        <v>27200.63</v>
      </c>
      <c r="AU171" s="83">
        <v>276836.8</v>
      </c>
      <c r="AV171" s="82">
        <v>27025.58</v>
      </c>
      <c r="AW171" s="83">
        <v>225914.9</v>
      </c>
      <c r="AX171" s="82">
        <v>25565.58</v>
      </c>
      <c r="AY171" s="82">
        <v>227172.83</v>
      </c>
      <c r="AZ171" s="82">
        <v>17059.419999999998</v>
      </c>
      <c r="BA171" s="82">
        <v>251040.52</v>
      </c>
      <c r="BB171" s="82">
        <v>18726.810000000001</v>
      </c>
      <c r="BC171" s="82">
        <v>287271.64</v>
      </c>
      <c r="BD171" s="82">
        <v>18297.310000000001</v>
      </c>
      <c r="BE171" s="82">
        <v>253991.06</v>
      </c>
      <c r="BF171" s="82">
        <v>16865.39</v>
      </c>
      <c r="BG171" s="82">
        <v>246878.07</v>
      </c>
      <c r="BH171" s="82">
        <v>22376.66</v>
      </c>
      <c r="BI171" s="82">
        <v>219801.62</v>
      </c>
      <c r="BJ171" s="82">
        <v>19894.91</v>
      </c>
      <c r="BK171" s="82">
        <v>266135.43</v>
      </c>
      <c r="BL171" s="82">
        <v>17111.98</v>
      </c>
      <c r="BM171" s="82">
        <v>226456.71</v>
      </c>
      <c r="BN171" s="82">
        <v>23486.29</v>
      </c>
      <c r="BO171" s="82">
        <v>246882.49</v>
      </c>
      <c r="BP171" s="82">
        <v>18924.919999999998</v>
      </c>
      <c r="BQ171" s="82">
        <v>234853.66</v>
      </c>
      <c r="BR171" s="82">
        <v>21146.37</v>
      </c>
      <c r="BS171" s="82">
        <v>276248.82</v>
      </c>
      <c r="BT171" s="82">
        <v>14665.95</v>
      </c>
      <c r="BU171" s="82">
        <v>218589.16</v>
      </c>
      <c r="BV171" s="82">
        <v>18583.52</v>
      </c>
    </row>
    <row r="172" spans="1:74">
      <c r="A172" s="78" t="s">
        <v>772</v>
      </c>
      <c r="B172" s="78" t="s">
        <v>773</v>
      </c>
      <c r="C172" s="81">
        <v>8826.3799999999992</v>
      </c>
      <c r="D172" s="81">
        <v>3891.69</v>
      </c>
      <c r="E172" s="84">
        <v>7251.1</v>
      </c>
      <c r="F172" s="81">
        <v>4574.47</v>
      </c>
      <c r="G172" s="81">
        <v>7937.06</v>
      </c>
      <c r="H172" s="81">
        <v>6270.77</v>
      </c>
      <c r="I172" s="81">
        <v>7839.88</v>
      </c>
      <c r="J172" s="81">
        <v>5533.98</v>
      </c>
      <c r="K172" s="81">
        <v>7341.32</v>
      </c>
      <c r="L172" s="81">
        <v>7063.49</v>
      </c>
      <c r="M172" s="81">
        <v>8511.33</v>
      </c>
      <c r="N172" s="84">
        <v>6767.2</v>
      </c>
      <c r="O172" s="81">
        <v>13131.46</v>
      </c>
      <c r="P172" s="81">
        <v>5760.02</v>
      </c>
      <c r="Q172" s="81">
        <v>9259.61</v>
      </c>
      <c r="R172" s="81">
        <v>4263.13</v>
      </c>
      <c r="S172" s="81">
        <v>11305.41</v>
      </c>
      <c r="T172" s="84">
        <v>9187.1</v>
      </c>
      <c r="U172" s="81">
        <v>10299.540000000001</v>
      </c>
      <c r="V172" s="81">
        <v>7100.22</v>
      </c>
      <c r="W172" s="81">
        <v>12602.95</v>
      </c>
      <c r="X172" s="81">
        <v>2972.87</v>
      </c>
      <c r="Y172" s="84">
        <v>16415.099999999999</v>
      </c>
      <c r="Z172" s="81">
        <v>5501.69</v>
      </c>
      <c r="AA172" s="81">
        <v>12532.54</v>
      </c>
      <c r="AB172" s="81">
        <v>2625.25</v>
      </c>
      <c r="AC172" s="81">
        <v>10080.629999999999</v>
      </c>
      <c r="AD172" s="81">
        <v>5389.04</v>
      </c>
      <c r="AE172" s="81">
        <v>12071.34</v>
      </c>
      <c r="AF172" s="81">
        <v>1846.94</v>
      </c>
      <c r="AG172" s="84">
        <v>13314.6</v>
      </c>
      <c r="AH172" s="81">
        <v>2825.25</v>
      </c>
      <c r="AI172" s="81">
        <v>11538.18</v>
      </c>
      <c r="AJ172" s="81">
        <v>1945.98</v>
      </c>
      <c r="AK172" s="81">
        <v>9735.69</v>
      </c>
      <c r="AL172" s="81">
        <v>1387.39</v>
      </c>
      <c r="AM172" s="81">
        <v>11776.58</v>
      </c>
      <c r="AN172" s="81">
        <v>1179.9100000000001</v>
      </c>
      <c r="AO172" s="81">
        <v>16713.34</v>
      </c>
      <c r="AP172" s="81">
        <v>1399.59</v>
      </c>
      <c r="AQ172" s="81">
        <v>18328.43</v>
      </c>
      <c r="AR172" s="81">
        <v>2243.5500000000002</v>
      </c>
      <c r="AS172" s="81">
        <v>18991.02</v>
      </c>
      <c r="AT172" s="81">
        <v>1583.92</v>
      </c>
      <c r="AU172" s="84">
        <v>13933.1</v>
      </c>
      <c r="AV172" s="81">
        <v>1800.32</v>
      </c>
      <c r="AW172" s="81">
        <v>12916.85</v>
      </c>
      <c r="AX172" s="81">
        <v>2486.16</v>
      </c>
      <c r="AY172" s="81">
        <v>10381.86</v>
      </c>
      <c r="AZ172" s="81">
        <v>1412.22</v>
      </c>
      <c r="BA172" s="81">
        <v>15964.99</v>
      </c>
      <c r="BB172" s="81">
        <v>1644.93</v>
      </c>
      <c r="BC172" s="81">
        <v>15032.78</v>
      </c>
      <c r="BD172" s="81">
        <v>1594.07</v>
      </c>
      <c r="BE172" s="81">
        <v>34374.29</v>
      </c>
      <c r="BF172" s="81">
        <v>4696.93</v>
      </c>
      <c r="BG172" s="81">
        <v>34147.339999999997</v>
      </c>
      <c r="BH172" s="81">
        <v>3477.65</v>
      </c>
      <c r="BI172" s="81">
        <v>34676.519999999997</v>
      </c>
      <c r="BJ172" s="81">
        <v>3308.78</v>
      </c>
      <c r="BK172" s="84">
        <v>18869</v>
      </c>
      <c r="BL172" s="81">
        <v>1753.89</v>
      </c>
      <c r="BM172" s="81">
        <v>35779.919999999998</v>
      </c>
      <c r="BN172" s="81">
        <v>1223.29</v>
      </c>
      <c r="BO172" s="81">
        <v>40496.089999999997</v>
      </c>
      <c r="BP172" s="81">
        <v>3388.28</v>
      </c>
      <c r="BQ172" s="84">
        <v>32650.9</v>
      </c>
      <c r="BR172" s="81">
        <v>2883.94</v>
      </c>
      <c r="BS172" s="81">
        <v>35421.01</v>
      </c>
      <c r="BT172" s="81">
        <v>2978.86</v>
      </c>
      <c r="BU172" s="81">
        <v>32135.93</v>
      </c>
      <c r="BV172" s="81">
        <v>1497.46</v>
      </c>
    </row>
    <row r="173" spans="1:74">
      <c r="A173" s="78" t="s">
        <v>774</v>
      </c>
      <c r="B173" s="78" t="s">
        <v>775</v>
      </c>
      <c r="C173" s="82">
        <v>26169.32</v>
      </c>
      <c r="D173" s="83">
        <v>28008.3</v>
      </c>
      <c r="E173" s="82">
        <v>15173.79</v>
      </c>
      <c r="F173" s="82">
        <v>22291.84</v>
      </c>
      <c r="G173" s="82">
        <v>22315.85</v>
      </c>
      <c r="H173" s="83">
        <v>28399.200000000001</v>
      </c>
      <c r="I173" s="82">
        <v>20330.37</v>
      </c>
      <c r="J173" s="82">
        <v>22651.57</v>
      </c>
      <c r="K173" s="82">
        <v>21126.29</v>
      </c>
      <c r="L173" s="82">
        <v>20483.939999999999</v>
      </c>
      <c r="M173" s="82">
        <v>20994.240000000002</v>
      </c>
      <c r="N173" s="82">
        <v>24434.94</v>
      </c>
      <c r="O173" s="82">
        <v>20082.169999999998</v>
      </c>
      <c r="P173" s="82">
        <v>25289.78</v>
      </c>
      <c r="Q173" s="82">
        <v>20692.419999999998</v>
      </c>
      <c r="R173" s="83">
        <v>24478.6</v>
      </c>
      <c r="S173" s="82">
        <v>20764.740000000002</v>
      </c>
      <c r="T173" s="82">
        <v>29085.71</v>
      </c>
      <c r="U173" s="82">
        <v>26933.05</v>
      </c>
      <c r="V173" s="82">
        <v>29124.23</v>
      </c>
      <c r="W173" s="83">
        <v>28115.1</v>
      </c>
      <c r="X173" s="82">
        <v>31725.78</v>
      </c>
      <c r="Y173" s="82">
        <v>20768.169999999998</v>
      </c>
      <c r="Z173" s="82">
        <v>33722.080000000002</v>
      </c>
      <c r="AA173" s="82">
        <v>23573.919999999998</v>
      </c>
      <c r="AB173" s="82">
        <v>20552.25</v>
      </c>
      <c r="AC173" s="82">
        <v>18999.57</v>
      </c>
      <c r="AD173" s="82">
        <v>19443.09</v>
      </c>
      <c r="AE173" s="82">
        <v>22305.17</v>
      </c>
      <c r="AF173" s="82">
        <v>20677.22</v>
      </c>
      <c r="AG173" s="83">
        <v>24199.599999999999</v>
      </c>
      <c r="AH173" s="82">
        <v>21043.19</v>
      </c>
      <c r="AI173" s="82">
        <v>25151.89</v>
      </c>
      <c r="AJ173" s="83">
        <v>17652.2</v>
      </c>
      <c r="AK173" s="82">
        <v>25379.360000000001</v>
      </c>
      <c r="AL173" s="82">
        <v>17846.61</v>
      </c>
      <c r="AM173" s="82">
        <v>24794.49</v>
      </c>
      <c r="AN173" s="82">
        <v>17953.88</v>
      </c>
      <c r="AO173" s="82">
        <v>33574.78</v>
      </c>
      <c r="AP173" s="82">
        <v>17259.86</v>
      </c>
      <c r="AQ173" s="82">
        <v>26989.919999999998</v>
      </c>
      <c r="AR173" s="82">
        <v>27799.279999999999</v>
      </c>
      <c r="AS173" s="83">
        <v>26953.7</v>
      </c>
      <c r="AT173" s="82">
        <v>34631.56</v>
      </c>
      <c r="AU173" s="82">
        <v>27835.11</v>
      </c>
      <c r="AV173" s="82">
        <v>21431.69</v>
      </c>
      <c r="AW173" s="82">
        <v>35658.33</v>
      </c>
      <c r="AX173" s="82">
        <v>21101.040000000001</v>
      </c>
      <c r="AY173" s="82">
        <v>22931.13</v>
      </c>
      <c r="AZ173" s="82">
        <v>14577.94</v>
      </c>
      <c r="BA173" s="82">
        <v>14665.27</v>
      </c>
      <c r="BB173" s="82">
        <v>13366.23</v>
      </c>
      <c r="BC173" s="82">
        <v>22346.27</v>
      </c>
      <c r="BD173" s="83">
        <v>12858.7</v>
      </c>
      <c r="BE173" s="82">
        <v>32498.68</v>
      </c>
      <c r="BF173" s="82">
        <v>13207.78</v>
      </c>
      <c r="BG173" s="83">
        <v>34408.5</v>
      </c>
      <c r="BH173" s="82">
        <v>12941.77</v>
      </c>
      <c r="BI173" s="82">
        <v>41344.44</v>
      </c>
      <c r="BJ173" s="82">
        <v>11505.03</v>
      </c>
      <c r="BK173" s="82">
        <v>29144.97</v>
      </c>
      <c r="BL173" s="83">
        <v>12712.8</v>
      </c>
      <c r="BM173" s="82">
        <v>31110.19</v>
      </c>
      <c r="BN173" s="82">
        <v>11719.83</v>
      </c>
      <c r="BO173" s="82">
        <v>40168.43</v>
      </c>
      <c r="BP173" s="83">
        <v>12243.4</v>
      </c>
      <c r="BQ173" s="82">
        <v>27148.19</v>
      </c>
      <c r="BR173" s="82">
        <v>14468.69</v>
      </c>
      <c r="BS173" s="82">
        <v>23204.91</v>
      </c>
      <c r="BT173" s="82">
        <v>14032.79</v>
      </c>
      <c r="BU173" s="82">
        <v>36227.919999999998</v>
      </c>
      <c r="BV173" s="82">
        <v>13295.81</v>
      </c>
    </row>
    <row r="174" spans="1:74">
      <c r="A174" s="78" t="s">
        <v>776</v>
      </c>
      <c r="B174" s="78" t="s">
        <v>777</v>
      </c>
      <c r="C174" s="81">
        <v>1412.81</v>
      </c>
      <c r="D174" s="81">
        <v>3676.69</v>
      </c>
      <c r="E174" s="81">
        <v>662.87</v>
      </c>
      <c r="F174" s="81">
        <v>3015.48</v>
      </c>
      <c r="G174" s="81">
        <v>889.59</v>
      </c>
      <c r="H174" s="81">
        <v>2806.62</v>
      </c>
      <c r="I174" s="81">
        <v>1125.57</v>
      </c>
      <c r="J174" s="81">
        <v>1693.14</v>
      </c>
      <c r="K174" s="81">
        <v>1121.33</v>
      </c>
      <c r="L174" s="81">
        <v>1488.73</v>
      </c>
      <c r="M174" s="81">
        <v>863.27</v>
      </c>
      <c r="N174" s="84">
        <v>1624.6</v>
      </c>
      <c r="O174" s="81">
        <v>625.82000000000005</v>
      </c>
      <c r="P174" s="81">
        <v>2207.54</v>
      </c>
      <c r="Q174" s="84">
        <v>949.9</v>
      </c>
      <c r="R174" s="81">
        <v>2035.45</v>
      </c>
      <c r="S174" s="81">
        <v>925.32</v>
      </c>
      <c r="T174" s="81">
        <v>2381.7600000000002</v>
      </c>
      <c r="U174" s="81">
        <v>517.38</v>
      </c>
      <c r="V174" s="81">
        <v>2345.4299999999998</v>
      </c>
      <c r="W174" s="81">
        <v>13992.34</v>
      </c>
      <c r="X174" s="81">
        <v>2443.0500000000002</v>
      </c>
      <c r="Y174" s="84">
        <v>1762.1</v>
      </c>
      <c r="Z174" s="81">
        <v>3276.91</v>
      </c>
      <c r="AA174" s="81">
        <v>1170.97</v>
      </c>
      <c r="AB174" s="81">
        <v>4458.22</v>
      </c>
      <c r="AC174" s="81">
        <v>1545.78</v>
      </c>
      <c r="AD174" s="81">
        <v>3825.58</v>
      </c>
      <c r="AE174" s="81">
        <v>2421.7600000000002</v>
      </c>
      <c r="AF174" s="81">
        <v>3084.73</v>
      </c>
      <c r="AG174" s="81">
        <v>1317.88</v>
      </c>
      <c r="AH174" s="81">
        <v>3416.96</v>
      </c>
      <c r="AI174" s="81">
        <v>918.71</v>
      </c>
      <c r="AJ174" s="81">
        <v>2316.14</v>
      </c>
      <c r="AK174" s="81">
        <v>2911.19</v>
      </c>
      <c r="AL174" s="81">
        <v>3268.29</v>
      </c>
      <c r="AM174" s="81">
        <v>3053.48</v>
      </c>
      <c r="AN174" s="81">
        <v>2568.75</v>
      </c>
      <c r="AO174" s="81">
        <v>2687.56</v>
      </c>
      <c r="AP174" s="81">
        <v>3131.25</v>
      </c>
      <c r="AQ174" s="81">
        <v>895.22</v>
      </c>
      <c r="AR174" s="81">
        <v>3245.61</v>
      </c>
      <c r="AS174" s="81">
        <v>2826.55</v>
      </c>
      <c r="AT174" s="81">
        <v>3365.09</v>
      </c>
      <c r="AU174" s="81">
        <v>2240.11</v>
      </c>
      <c r="AV174" s="81">
        <v>3166.26</v>
      </c>
      <c r="AW174" s="81">
        <v>1933.07</v>
      </c>
      <c r="AX174" s="81">
        <v>4805.4399999999996</v>
      </c>
      <c r="AY174" s="81">
        <v>658.86</v>
      </c>
      <c r="AZ174" s="81">
        <v>4067.04</v>
      </c>
      <c r="BA174" s="81">
        <v>825.42</v>
      </c>
      <c r="BB174" s="81">
        <v>3949.07</v>
      </c>
      <c r="BC174" s="81">
        <v>651.85</v>
      </c>
      <c r="BD174" s="81">
        <v>2181.14</v>
      </c>
      <c r="BE174" s="81">
        <v>655.76</v>
      </c>
      <c r="BF174" s="81">
        <v>1819.44</v>
      </c>
      <c r="BG174" s="84">
        <v>801.2</v>
      </c>
      <c r="BH174" s="81">
        <v>1730.83</v>
      </c>
      <c r="BI174" s="81">
        <v>471.56</v>
      </c>
      <c r="BJ174" s="81">
        <v>1613.52</v>
      </c>
      <c r="BK174" s="81">
        <v>827.57</v>
      </c>
      <c r="BL174" s="84">
        <v>1842.6</v>
      </c>
      <c r="BM174" s="81">
        <v>2181.73</v>
      </c>
      <c r="BN174" s="81">
        <v>1997.68</v>
      </c>
      <c r="BO174" s="81">
        <v>802.05</v>
      </c>
      <c r="BP174" s="81">
        <v>1593.36</v>
      </c>
      <c r="BQ174" s="84">
        <v>1172.5999999999999</v>
      </c>
      <c r="BR174" s="81">
        <v>2399.25</v>
      </c>
      <c r="BS174" s="81">
        <v>1260.19</v>
      </c>
      <c r="BT174" s="81">
        <v>3219.98</v>
      </c>
      <c r="BU174" s="84">
        <v>1126</v>
      </c>
      <c r="BV174" s="81">
        <v>3273.31</v>
      </c>
    </row>
    <row r="175" spans="1:74">
      <c r="A175" s="78" t="s">
        <v>778</v>
      </c>
      <c r="B175" s="78" t="s">
        <v>779</v>
      </c>
      <c r="C175" s="82">
        <v>10901.07</v>
      </c>
      <c r="D175" s="82">
        <v>9505.82</v>
      </c>
      <c r="E175" s="82">
        <v>13610.57</v>
      </c>
      <c r="F175" s="82">
        <v>8096.45</v>
      </c>
      <c r="G175" s="83">
        <v>17560.3</v>
      </c>
      <c r="H175" s="82">
        <v>7452.39</v>
      </c>
      <c r="I175" s="82">
        <v>13379.02</v>
      </c>
      <c r="J175" s="82">
        <v>9319.5499999999993</v>
      </c>
      <c r="K175" s="82">
        <v>11502.37</v>
      </c>
      <c r="L175" s="82">
        <v>7691.04</v>
      </c>
      <c r="M175" s="82">
        <v>14980.67</v>
      </c>
      <c r="N175" s="82">
        <v>8462.7099999999991</v>
      </c>
      <c r="O175" s="82">
        <v>11552.94</v>
      </c>
      <c r="P175" s="82">
        <v>8038.15</v>
      </c>
      <c r="Q175" s="82">
        <v>14546.14</v>
      </c>
      <c r="R175" s="82">
        <v>8258.2800000000007</v>
      </c>
      <c r="S175" s="82">
        <v>13643.92</v>
      </c>
      <c r="T175" s="82">
        <v>8917.2199999999993</v>
      </c>
      <c r="U175" s="82">
        <v>14495.42</v>
      </c>
      <c r="V175" s="82">
        <v>8390.0400000000009</v>
      </c>
      <c r="W175" s="82">
        <v>16379.13</v>
      </c>
      <c r="X175" s="82">
        <v>8398.98</v>
      </c>
      <c r="Y175" s="82">
        <v>17164.41</v>
      </c>
      <c r="Z175" s="82">
        <v>8401.35</v>
      </c>
      <c r="AA175" s="82">
        <v>19343.18</v>
      </c>
      <c r="AB175" s="82">
        <v>7318.75</v>
      </c>
      <c r="AC175" s="82">
        <v>19752.64</v>
      </c>
      <c r="AD175" s="82">
        <v>5790.97</v>
      </c>
      <c r="AE175" s="82">
        <v>16452.689999999999</v>
      </c>
      <c r="AF175" s="82">
        <v>7643.82</v>
      </c>
      <c r="AG175" s="82">
        <v>19656.68</v>
      </c>
      <c r="AH175" s="82">
        <v>7802.83</v>
      </c>
      <c r="AI175" s="82">
        <v>15332.49</v>
      </c>
      <c r="AJ175" s="82">
        <v>8060.43</v>
      </c>
      <c r="AK175" s="82">
        <v>16125.85</v>
      </c>
      <c r="AL175" s="82">
        <v>7311.88</v>
      </c>
      <c r="AM175" s="82">
        <v>18841.13</v>
      </c>
      <c r="AN175" s="82">
        <v>7037.33</v>
      </c>
      <c r="AO175" s="82">
        <v>14785.86</v>
      </c>
      <c r="AP175" s="83">
        <v>6981.8</v>
      </c>
      <c r="AQ175" s="82">
        <v>18688.72</v>
      </c>
      <c r="AR175" s="82">
        <v>9373.85</v>
      </c>
      <c r="AS175" s="82">
        <v>22248.35</v>
      </c>
      <c r="AT175" s="82">
        <v>9029.58</v>
      </c>
      <c r="AU175" s="82">
        <v>15551.59</v>
      </c>
      <c r="AV175" s="82">
        <v>7835.19</v>
      </c>
      <c r="AW175" s="82">
        <v>17613.73</v>
      </c>
      <c r="AX175" s="82">
        <v>7776.42</v>
      </c>
      <c r="AY175" s="82">
        <v>20492.21</v>
      </c>
      <c r="AZ175" s="82">
        <v>9073.7099999999991</v>
      </c>
      <c r="BA175" s="82">
        <v>27499.21</v>
      </c>
      <c r="BB175" s="82">
        <v>8357.52</v>
      </c>
      <c r="BC175" s="82">
        <v>18505.54</v>
      </c>
      <c r="BD175" s="82">
        <v>7220.67</v>
      </c>
      <c r="BE175" s="82">
        <v>16441.189999999999</v>
      </c>
      <c r="BF175" s="82">
        <v>8128.51</v>
      </c>
      <c r="BG175" s="82">
        <v>14621.67</v>
      </c>
      <c r="BH175" s="82">
        <v>7903.76</v>
      </c>
      <c r="BI175" s="82">
        <v>14013.67</v>
      </c>
      <c r="BJ175" s="82">
        <v>5436.78</v>
      </c>
      <c r="BK175" s="82">
        <v>15325.91</v>
      </c>
      <c r="BL175" s="82">
        <v>7531.05</v>
      </c>
      <c r="BM175" s="82">
        <v>17156.580000000002</v>
      </c>
      <c r="BN175" s="82">
        <v>6950.85</v>
      </c>
      <c r="BO175" s="82">
        <v>15678.51</v>
      </c>
      <c r="BP175" s="82">
        <v>7370.93</v>
      </c>
      <c r="BQ175" s="82">
        <v>19164.59</v>
      </c>
      <c r="BR175" s="82">
        <v>6771.28</v>
      </c>
      <c r="BS175" s="82">
        <v>18166.84</v>
      </c>
      <c r="BT175" s="82">
        <v>6698.04</v>
      </c>
      <c r="BU175" s="82">
        <v>16101.88</v>
      </c>
      <c r="BV175" s="82">
        <v>6148.65</v>
      </c>
    </row>
    <row r="176" spans="1:74">
      <c r="A176" s="78" t="s">
        <v>780</v>
      </c>
      <c r="B176" s="78" t="s">
        <v>781</v>
      </c>
      <c r="C176" s="81">
        <v>9865.4599999999991</v>
      </c>
      <c r="D176" s="81">
        <v>16478.810000000001</v>
      </c>
      <c r="E176" s="81">
        <v>14169.52</v>
      </c>
      <c r="F176" s="81">
        <v>12377.67</v>
      </c>
      <c r="G176" s="81">
        <v>18256.490000000002</v>
      </c>
      <c r="H176" s="81">
        <v>15166.04</v>
      </c>
      <c r="I176" s="81">
        <v>13781.21</v>
      </c>
      <c r="J176" s="84">
        <v>14962.9</v>
      </c>
      <c r="K176" s="84">
        <v>10376.200000000001</v>
      </c>
      <c r="L176" s="81">
        <v>12651.78</v>
      </c>
      <c r="M176" s="81">
        <v>14372.55</v>
      </c>
      <c r="N176" s="81">
        <v>11962.69</v>
      </c>
      <c r="O176" s="81">
        <v>11795.73</v>
      </c>
      <c r="P176" s="81">
        <v>13727.61</v>
      </c>
      <c r="Q176" s="81">
        <v>15701.11</v>
      </c>
      <c r="R176" s="81">
        <v>15668.41</v>
      </c>
      <c r="S176" s="81">
        <v>17174.849999999999</v>
      </c>
      <c r="T176" s="81">
        <v>15173.69</v>
      </c>
      <c r="U176" s="81">
        <v>13839.18</v>
      </c>
      <c r="V176" s="81">
        <v>14270.88</v>
      </c>
      <c r="W176" s="81">
        <v>15789.83</v>
      </c>
      <c r="X176" s="84">
        <v>14905.7</v>
      </c>
      <c r="Y176" s="81">
        <v>16309.52</v>
      </c>
      <c r="Z176" s="81">
        <v>15234.24</v>
      </c>
      <c r="AA176" s="84">
        <v>10577.7</v>
      </c>
      <c r="AB176" s="81">
        <v>15116.33</v>
      </c>
      <c r="AC176" s="81">
        <v>11299.25</v>
      </c>
      <c r="AD176" s="81">
        <v>14337.09</v>
      </c>
      <c r="AE176" s="81">
        <v>11879.33</v>
      </c>
      <c r="AF176" s="84">
        <v>15843.4</v>
      </c>
      <c r="AG176" s="81">
        <v>13054.68</v>
      </c>
      <c r="AH176" s="81">
        <v>19441.02</v>
      </c>
      <c r="AI176" s="81">
        <v>9564.89</v>
      </c>
      <c r="AJ176" s="81">
        <v>15919.59</v>
      </c>
      <c r="AK176" s="81">
        <v>10963.07</v>
      </c>
      <c r="AL176" s="81">
        <v>11945.13</v>
      </c>
      <c r="AM176" s="81">
        <v>10354.69</v>
      </c>
      <c r="AN176" s="81">
        <v>14942.65</v>
      </c>
      <c r="AO176" s="81">
        <v>9866.36</v>
      </c>
      <c r="AP176" s="81">
        <v>16263.34</v>
      </c>
      <c r="AQ176" s="81">
        <v>12447.49</v>
      </c>
      <c r="AR176" s="81">
        <v>21433.88</v>
      </c>
      <c r="AS176" s="81">
        <v>13185.91</v>
      </c>
      <c r="AT176" s="81">
        <v>17402.61</v>
      </c>
      <c r="AU176" s="81">
        <v>9815.48</v>
      </c>
      <c r="AV176" s="81">
        <v>16106.13</v>
      </c>
      <c r="AW176" s="84">
        <v>11469.4</v>
      </c>
      <c r="AX176" s="84">
        <v>16622.2</v>
      </c>
      <c r="AY176" s="81">
        <v>6465.76</v>
      </c>
      <c r="AZ176" s="81">
        <v>18846.169999999998</v>
      </c>
      <c r="BA176" s="81">
        <v>8882.98</v>
      </c>
      <c r="BB176" s="81">
        <v>19609.27</v>
      </c>
      <c r="BC176" s="81">
        <v>8242.85</v>
      </c>
      <c r="BD176" s="81">
        <v>21188.92</v>
      </c>
      <c r="BE176" s="81">
        <v>6703.75</v>
      </c>
      <c r="BF176" s="84">
        <v>24779.8</v>
      </c>
      <c r="BG176" s="81">
        <v>6624.58</v>
      </c>
      <c r="BH176" s="81">
        <v>22412.65</v>
      </c>
      <c r="BI176" s="81">
        <v>5687.94</v>
      </c>
      <c r="BJ176" s="84">
        <v>17260.2</v>
      </c>
      <c r="BK176" s="81">
        <v>8812.93</v>
      </c>
      <c r="BL176" s="81">
        <v>21507.42</v>
      </c>
      <c r="BM176" s="84">
        <v>8506.7000000000007</v>
      </c>
      <c r="BN176" s="81">
        <v>23245.32</v>
      </c>
      <c r="BO176" s="81">
        <v>8916.91</v>
      </c>
      <c r="BP176" s="81">
        <v>22738.37</v>
      </c>
      <c r="BQ176" s="81">
        <v>10030.379999999999</v>
      </c>
      <c r="BR176" s="81">
        <v>20491.47</v>
      </c>
      <c r="BS176" s="81">
        <v>6866.26</v>
      </c>
      <c r="BT176" s="81">
        <v>20154.77</v>
      </c>
      <c r="BU176" s="81">
        <v>6276.97</v>
      </c>
      <c r="BV176" s="81">
        <v>19796.05</v>
      </c>
    </row>
    <row r="177" spans="1:74">
      <c r="A177" s="78" t="s">
        <v>782</v>
      </c>
      <c r="B177" s="78" t="s">
        <v>783</v>
      </c>
      <c r="C177" s="82">
        <v>38306.47</v>
      </c>
      <c r="D177" s="83">
        <v>70109.3</v>
      </c>
      <c r="E177" s="83">
        <v>48585.9</v>
      </c>
      <c r="F177" s="82">
        <v>58807.45</v>
      </c>
      <c r="G177" s="82">
        <v>52838.34</v>
      </c>
      <c r="H177" s="82">
        <v>68337.14</v>
      </c>
      <c r="I177" s="82">
        <v>45921.74</v>
      </c>
      <c r="J177" s="82">
        <v>61274.47</v>
      </c>
      <c r="K177" s="82">
        <v>41117.89</v>
      </c>
      <c r="L177" s="82">
        <v>62314.71</v>
      </c>
      <c r="M177" s="82">
        <v>42655.95</v>
      </c>
      <c r="N177" s="82">
        <v>57898.62</v>
      </c>
      <c r="O177" s="82">
        <v>44257.87</v>
      </c>
      <c r="P177" s="82">
        <v>56024.33</v>
      </c>
      <c r="Q177" s="82">
        <v>45066.37</v>
      </c>
      <c r="R177" s="82">
        <v>60084.55</v>
      </c>
      <c r="S177" s="82">
        <v>48132.87</v>
      </c>
      <c r="T177" s="82">
        <v>65048.34</v>
      </c>
      <c r="U177" s="82">
        <v>47441.919999999998</v>
      </c>
      <c r="V177" s="82">
        <v>63923.75</v>
      </c>
      <c r="W177" s="82">
        <v>49221.59</v>
      </c>
      <c r="X177" s="82">
        <v>59814.68</v>
      </c>
      <c r="Y177" s="82">
        <v>51596.27</v>
      </c>
      <c r="Z177" s="82">
        <v>65528.43</v>
      </c>
      <c r="AA177" s="82">
        <v>55170.65</v>
      </c>
      <c r="AB177" s="83">
        <v>58613.2</v>
      </c>
      <c r="AC177" s="82">
        <v>51817.56</v>
      </c>
      <c r="AD177" s="82">
        <v>50448.76</v>
      </c>
      <c r="AE177" s="82">
        <v>53638.49</v>
      </c>
      <c r="AF177" s="82">
        <v>56992.72</v>
      </c>
      <c r="AG177" s="82">
        <v>55718.73</v>
      </c>
      <c r="AH177" s="82">
        <v>63349.77</v>
      </c>
      <c r="AI177" s="82">
        <v>42524.160000000003</v>
      </c>
      <c r="AJ177" s="82">
        <v>54741.43</v>
      </c>
      <c r="AK177" s="82">
        <v>45434.37</v>
      </c>
      <c r="AL177" s="82">
        <v>44308.34</v>
      </c>
      <c r="AM177" s="82">
        <v>52456.61</v>
      </c>
      <c r="AN177" s="82">
        <v>57488.83</v>
      </c>
      <c r="AO177" s="82">
        <v>52504.43</v>
      </c>
      <c r="AP177" s="82">
        <v>52946.43</v>
      </c>
      <c r="AQ177" s="82">
        <v>58666.51</v>
      </c>
      <c r="AR177" s="82">
        <v>69010.740000000005</v>
      </c>
      <c r="AS177" s="83">
        <v>66604.399999999994</v>
      </c>
      <c r="AT177" s="82">
        <v>65550.61</v>
      </c>
      <c r="AU177" s="82">
        <v>55637.04</v>
      </c>
      <c r="AV177" s="82">
        <v>58716.18</v>
      </c>
      <c r="AW177" s="82">
        <v>52210.28</v>
      </c>
      <c r="AX177" s="82">
        <v>64422.89</v>
      </c>
      <c r="AY177" s="83">
        <v>49477.1</v>
      </c>
      <c r="AZ177" s="82">
        <v>58603.15</v>
      </c>
      <c r="BA177" s="82">
        <v>60254.91</v>
      </c>
      <c r="BB177" s="82">
        <v>58300.83</v>
      </c>
      <c r="BC177" s="82">
        <v>44703.35</v>
      </c>
      <c r="BD177" s="83">
        <v>65440.9</v>
      </c>
      <c r="BE177" s="82">
        <v>52397.68</v>
      </c>
      <c r="BF177" s="83">
        <v>68473.899999999994</v>
      </c>
      <c r="BG177" s="82">
        <v>49504.24</v>
      </c>
      <c r="BH177" s="82">
        <v>58358.15</v>
      </c>
      <c r="BI177" s="82">
        <v>40286.06</v>
      </c>
      <c r="BJ177" s="82">
        <v>50358.58</v>
      </c>
      <c r="BK177" s="82">
        <v>49406.62</v>
      </c>
      <c r="BL177" s="82">
        <v>47527.29</v>
      </c>
      <c r="BM177" s="83">
        <v>46763.8</v>
      </c>
      <c r="BN177" s="82">
        <v>50509.78</v>
      </c>
      <c r="BO177" s="82">
        <v>51675.93</v>
      </c>
      <c r="BP177" s="82">
        <v>55682.93</v>
      </c>
      <c r="BQ177" s="82">
        <v>50168.14</v>
      </c>
      <c r="BR177" s="82">
        <v>56930.35</v>
      </c>
      <c r="BS177" s="82">
        <v>51285.99</v>
      </c>
      <c r="BT177" s="82">
        <v>55152.04</v>
      </c>
      <c r="BU177" s="82">
        <v>46898.23</v>
      </c>
      <c r="BV177" s="82">
        <v>52178.25</v>
      </c>
    </row>
    <row r="178" spans="1:74">
      <c r="A178" s="78" t="s">
        <v>784</v>
      </c>
      <c r="B178" s="78" t="s">
        <v>785</v>
      </c>
      <c r="C178" s="81">
        <v>13535.85</v>
      </c>
      <c r="D178" s="81">
        <v>5111.79</v>
      </c>
      <c r="E178" s="81">
        <v>9675.15</v>
      </c>
      <c r="F178" s="81">
        <v>3733.69</v>
      </c>
      <c r="G178" s="84">
        <v>11715.1</v>
      </c>
      <c r="H178" s="81">
        <v>4592.1499999999996</v>
      </c>
      <c r="I178" s="81">
        <v>12389.52</v>
      </c>
      <c r="J178" s="81">
        <v>5494.65</v>
      </c>
      <c r="K178" s="84">
        <v>12142.8</v>
      </c>
      <c r="L178" s="81">
        <v>3998.22</v>
      </c>
      <c r="M178" s="81">
        <v>16932.46</v>
      </c>
      <c r="N178" s="81">
        <v>4600.67</v>
      </c>
      <c r="O178" s="81">
        <v>11435.33</v>
      </c>
      <c r="P178" s="81">
        <v>3657.97</v>
      </c>
      <c r="Q178" s="81">
        <v>12020.08</v>
      </c>
      <c r="R178" s="81">
        <v>3352.68</v>
      </c>
      <c r="S178" s="84">
        <v>13011.5</v>
      </c>
      <c r="T178" s="81">
        <v>4379.09</v>
      </c>
      <c r="U178" s="81">
        <v>13626.48</v>
      </c>
      <c r="V178" s="84">
        <v>4604.6000000000004</v>
      </c>
      <c r="W178" s="81">
        <v>11739.92</v>
      </c>
      <c r="X178" s="81">
        <v>4649.2299999999996</v>
      </c>
      <c r="Y178" s="81">
        <v>12633.62</v>
      </c>
      <c r="Z178" s="81">
        <v>7980.94</v>
      </c>
      <c r="AA178" s="81">
        <v>11572.67</v>
      </c>
      <c r="AB178" s="81">
        <v>4408.28</v>
      </c>
      <c r="AC178" s="81">
        <v>13752.37</v>
      </c>
      <c r="AD178" s="84">
        <v>3986.8</v>
      </c>
      <c r="AE178" s="81">
        <v>13360.63</v>
      </c>
      <c r="AF178" s="81">
        <v>5087.99</v>
      </c>
      <c r="AG178" s="81">
        <v>15690.82</v>
      </c>
      <c r="AH178" s="81">
        <v>4408.5200000000004</v>
      </c>
      <c r="AI178" s="81">
        <v>7924.38</v>
      </c>
      <c r="AJ178" s="81">
        <v>2951.31</v>
      </c>
      <c r="AK178" s="84">
        <v>13573.6</v>
      </c>
      <c r="AL178" s="81">
        <v>2345.12</v>
      </c>
      <c r="AM178" s="81">
        <v>8766.4699999999993</v>
      </c>
      <c r="AN178" s="81">
        <v>3168.97</v>
      </c>
      <c r="AO178" s="81">
        <v>13725.04</v>
      </c>
      <c r="AP178" s="81">
        <v>3182.39</v>
      </c>
      <c r="AQ178" s="81">
        <v>12523.08</v>
      </c>
      <c r="AR178" s="81">
        <v>4983.2299999999996</v>
      </c>
      <c r="AS178" s="84">
        <v>14933.5</v>
      </c>
      <c r="AT178" s="81">
        <v>4298.37</v>
      </c>
      <c r="AU178" s="81">
        <v>16414.330000000002</v>
      </c>
      <c r="AV178" s="81">
        <v>3384.72</v>
      </c>
      <c r="AW178" s="81">
        <v>13478.63</v>
      </c>
      <c r="AX178" s="84">
        <v>3976.2</v>
      </c>
      <c r="AY178" s="81">
        <v>9717.68</v>
      </c>
      <c r="AZ178" s="81">
        <v>2241.34</v>
      </c>
      <c r="BA178" s="81">
        <v>14877.52</v>
      </c>
      <c r="BB178" s="81">
        <v>3652.61</v>
      </c>
      <c r="BC178" s="81">
        <v>13058.28</v>
      </c>
      <c r="BD178" s="81">
        <v>2097.4499999999998</v>
      </c>
      <c r="BE178" s="81">
        <v>8303.51</v>
      </c>
      <c r="BF178" s="81">
        <v>2928.21</v>
      </c>
      <c r="BG178" s="81">
        <v>12857.72</v>
      </c>
      <c r="BH178" s="81">
        <v>2134.0100000000002</v>
      </c>
      <c r="BI178" s="81">
        <v>13572.22</v>
      </c>
      <c r="BJ178" s="81">
        <v>2256.7600000000002</v>
      </c>
      <c r="BK178" s="81">
        <v>9164.33</v>
      </c>
      <c r="BL178" s="81">
        <v>1194.3800000000001</v>
      </c>
      <c r="BM178" s="81">
        <v>11733.95</v>
      </c>
      <c r="BN178" s="81">
        <v>2105.14</v>
      </c>
      <c r="BO178" s="81">
        <v>12844.41</v>
      </c>
      <c r="BP178" s="81">
        <v>2333.2399999999998</v>
      </c>
      <c r="BQ178" s="81">
        <v>12259.89</v>
      </c>
      <c r="BR178" s="81">
        <v>2502.12</v>
      </c>
      <c r="BS178" s="81">
        <v>7903.17</v>
      </c>
      <c r="BT178" s="81">
        <v>2218.7399999999998</v>
      </c>
      <c r="BU178" s="81">
        <v>13274.77</v>
      </c>
      <c r="BV178" s="81">
        <v>2148.11</v>
      </c>
    </row>
    <row r="179" spans="1:74">
      <c r="A179" s="78" t="s">
        <v>786</v>
      </c>
      <c r="B179" s="78" t="s">
        <v>787</v>
      </c>
      <c r="C179" s="82">
        <v>300.39</v>
      </c>
      <c r="D179" s="82">
        <v>322.08999999999997</v>
      </c>
      <c r="E179" s="83">
        <v>261.5</v>
      </c>
      <c r="F179" s="82">
        <v>146.87</v>
      </c>
      <c r="G179" s="82">
        <v>102.58</v>
      </c>
      <c r="H179" s="82">
        <v>374.14</v>
      </c>
      <c r="I179" s="82">
        <v>2528.3200000000002</v>
      </c>
      <c r="J179" s="82">
        <v>116.34</v>
      </c>
      <c r="K179" s="82">
        <v>344.86</v>
      </c>
      <c r="L179" s="82">
        <v>390.23</v>
      </c>
      <c r="M179" s="82">
        <v>118.15</v>
      </c>
      <c r="N179" s="82">
        <v>159.21</v>
      </c>
      <c r="O179" s="82">
        <v>436.68</v>
      </c>
      <c r="P179" s="82">
        <v>2160.65</v>
      </c>
      <c r="Q179" s="82">
        <v>483.89</v>
      </c>
      <c r="R179" s="83">
        <v>796.7</v>
      </c>
      <c r="S179" s="82">
        <v>488.56</v>
      </c>
      <c r="T179" s="82">
        <v>490.73</v>
      </c>
      <c r="U179" s="82">
        <v>235.51</v>
      </c>
      <c r="V179" s="82">
        <v>242.21</v>
      </c>
      <c r="W179" s="82">
        <v>143.47999999999999</v>
      </c>
      <c r="X179" s="82">
        <v>489.56</v>
      </c>
      <c r="Y179" s="82">
        <v>254.81</v>
      </c>
      <c r="Z179" s="82">
        <v>166.87</v>
      </c>
      <c r="AA179" s="83">
        <v>84.2</v>
      </c>
      <c r="AB179" s="82">
        <v>272.16000000000003</v>
      </c>
      <c r="AC179" s="82">
        <v>62.29</v>
      </c>
      <c r="AD179" s="83">
        <v>90.4</v>
      </c>
      <c r="AE179" s="82">
        <v>106.85</v>
      </c>
      <c r="AF179" s="82">
        <v>151.57</v>
      </c>
      <c r="AG179" s="82">
        <v>103.22</v>
      </c>
      <c r="AH179" s="82">
        <v>240.57</v>
      </c>
      <c r="AI179" s="82">
        <v>142.43</v>
      </c>
      <c r="AJ179" s="82">
        <v>201.39</v>
      </c>
      <c r="AK179" s="82">
        <v>459.65</v>
      </c>
      <c r="AL179" s="82">
        <v>44.95</v>
      </c>
      <c r="AM179" s="83">
        <v>128.69999999999999</v>
      </c>
      <c r="AN179" s="82">
        <v>220.13</v>
      </c>
      <c r="AO179" s="82">
        <v>92.96</v>
      </c>
      <c r="AP179" s="82">
        <v>63.59</v>
      </c>
      <c r="AQ179" s="82">
        <v>187.33</v>
      </c>
      <c r="AR179" s="82">
        <v>82.62</v>
      </c>
      <c r="AS179" s="82">
        <v>94.87</v>
      </c>
      <c r="AT179" s="82">
        <v>252.74</v>
      </c>
      <c r="AU179" s="82">
        <v>85.37</v>
      </c>
      <c r="AV179" s="82">
        <v>54.01</v>
      </c>
      <c r="AW179" s="83">
        <v>42.6</v>
      </c>
      <c r="AX179" s="82">
        <v>261.64999999999998</v>
      </c>
      <c r="AY179" s="82">
        <v>325.70999999999998</v>
      </c>
      <c r="AZ179" s="82">
        <v>408.22</v>
      </c>
      <c r="BA179" s="82">
        <v>308.52</v>
      </c>
      <c r="BB179" s="82">
        <v>252.53</v>
      </c>
      <c r="BC179" s="82">
        <v>59.13</v>
      </c>
      <c r="BD179" s="82">
        <v>348.76</v>
      </c>
      <c r="BE179" s="82">
        <v>75.55</v>
      </c>
      <c r="BF179" s="82">
        <v>472.42</v>
      </c>
      <c r="BG179" s="82">
        <v>92.54</v>
      </c>
      <c r="BH179" s="82">
        <v>505.53</v>
      </c>
      <c r="BI179" s="82">
        <v>27.05</v>
      </c>
      <c r="BJ179" s="83">
        <v>223.8</v>
      </c>
      <c r="BK179" s="82">
        <v>77.989999999999995</v>
      </c>
      <c r="BL179" s="82">
        <v>282.91000000000003</v>
      </c>
      <c r="BM179" s="83">
        <v>133.6</v>
      </c>
      <c r="BN179" s="83">
        <v>278.7</v>
      </c>
      <c r="BO179" s="82">
        <v>49.13</v>
      </c>
      <c r="BP179" s="82">
        <v>288.45</v>
      </c>
      <c r="BQ179" s="82">
        <v>74.959999999999994</v>
      </c>
      <c r="BR179" s="83">
        <v>346.9</v>
      </c>
      <c r="BS179" s="82">
        <v>46.38</v>
      </c>
      <c r="BT179" s="82">
        <v>412.94</v>
      </c>
      <c r="BU179" s="82">
        <v>70.150000000000006</v>
      </c>
      <c r="BV179" s="82">
        <v>343.66</v>
      </c>
    </row>
    <row r="180" spans="1:74">
      <c r="A180" s="78" t="s">
        <v>788</v>
      </c>
      <c r="B180" s="78" t="s">
        <v>789</v>
      </c>
      <c r="C180" s="81">
        <v>105.53</v>
      </c>
      <c r="D180" s="81">
        <v>139.94</v>
      </c>
      <c r="E180" s="81">
        <v>237.24</v>
      </c>
      <c r="F180" s="81">
        <v>216.03</v>
      </c>
      <c r="G180" s="81">
        <v>213.01</v>
      </c>
      <c r="H180" s="81">
        <v>179.74</v>
      </c>
      <c r="I180" s="81">
        <v>44.12</v>
      </c>
      <c r="J180" s="81">
        <v>187.97</v>
      </c>
      <c r="K180" s="81">
        <v>74.42</v>
      </c>
      <c r="L180" s="84">
        <v>207.3</v>
      </c>
      <c r="M180" s="81">
        <v>431.87</v>
      </c>
      <c r="N180" s="81">
        <v>247.16</v>
      </c>
      <c r="O180" s="81">
        <v>77.97</v>
      </c>
      <c r="P180" s="81">
        <v>282.86</v>
      </c>
      <c r="Q180" s="81">
        <v>67.83</v>
      </c>
      <c r="R180" s="81">
        <v>397.35</v>
      </c>
      <c r="S180" s="81">
        <v>120.84</v>
      </c>
      <c r="T180" s="81">
        <v>273.08</v>
      </c>
      <c r="U180" s="81">
        <v>169.47</v>
      </c>
      <c r="V180" s="81">
        <v>444.04</v>
      </c>
      <c r="W180" s="84">
        <v>251.9</v>
      </c>
      <c r="X180" s="81">
        <v>258.76</v>
      </c>
      <c r="Y180" s="81">
        <v>6597.52</v>
      </c>
      <c r="Z180" s="81">
        <v>511.33</v>
      </c>
      <c r="AA180" s="81">
        <v>32.79</v>
      </c>
      <c r="AB180" s="81">
        <v>269.31</v>
      </c>
      <c r="AC180" s="81">
        <v>84.14</v>
      </c>
      <c r="AD180" s="81">
        <v>613.51</v>
      </c>
      <c r="AE180" s="81">
        <v>40.65</v>
      </c>
      <c r="AF180" s="81">
        <v>243.06</v>
      </c>
      <c r="AG180" s="81">
        <v>74.12</v>
      </c>
      <c r="AH180" s="81">
        <v>502.91</v>
      </c>
      <c r="AI180" s="81">
        <v>113.02</v>
      </c>
      <c r="AJ180" s="81">
        <v>572.98</v>
      </c>
      <c r="AK180" s="81">
        <v>66.48</v>
      </c>
      <c r="AL180" s="81">
        <v>167.87</v>
      </c>
      <c r="AM180" s="81">
        <v>50.59</v>
      </c>
      <c r="AN180" s="81">
        <v>366.01</v>
      </c>
      <c r="AO180" s="81">
        <v>202.05</v>
      </c>
      <c r="AP180" s="81">
        <v>401.63</v>
      </c>
      <c r="AQ180" s="81">
        <v>64.89</v>
      </c>
      <c r="AR180" s="81">
        <v>545.29</v>
      </c>
      <c r="AS180" s="81">
        <v>37.79</v>
      </c>
      <c r="AT180" s="81">
        <v>259.44</v>
      </c>
      <c r="AU180" s="81">
        <v>39.82</v>
      </c>
      <c r="AV180" s="81">
        <v>344.67</v>
      </c>
      <c r="AW180" s="84">
        <v>34</v>
      </c>
      <c r="AX180" s="81">
        <v>396.95</v>
      </c>
      <c r="AY180" s="81">
        <v>108.17</v>
      </c>
      <c r="AZ180" s="84">
        <v>99.6</v>
      </c>
      <c r="BA180" s="81">
        <v>102.36</v>
      </c>
      <c r="BB180" s="81">
        <v>277.08</v>
      </c>
      <c r="BC180" s="81">
        <v>131.16</v>
      </c>
      <c r="BD180" s="81">
        <v>708.24</v>
      </c>
      <c r="BE180" s="81">
        <v>99.62</v>
      </c>
      <c r="BF180" s="81">
        <v>564.54</v>
      </c>
      <c r="BG180" s="81">
        <v>108.49</v>
      </c>
      <c r="BH180" s="81">
        <v>68.760000000000005</v>
      </c>
      <c r="BI180" s="84">
        <v>76.7</v>
      </c>
      <c r="BJ180" s="81">
        <v>26.31</v>
      </c>
      <c r="BK180" s="81">
        <v>219.86</v>
      </c>
      <c r="BL180" s="81">
        <v>18.02</v>
      </c>
      <c r="BM180" s="81">
        <v>277.02999999999997</v>
      </c>
      <c r="BN180" s="84">
        <v>154.6</v>
      </c>
      <c r="BO180" s="81">
        <v>96.28</v>
      </c>
      <c r="BP180" s="81">
        <v>42.62</v>
      </c>
      <c r="BQ180" s="81">
        <v>161.06</v>
      </c>
      <c r="BR180" s="84">
        <v>87.4</v>
      </c>
      <c r="BS180" s="81">
        <v>604.89</v>
      </c>
      <c r="BT180" s="81">
        <v>255.82</v>
      </c>
      <c r="BU180" s="81">
        <v>661.03</v>
      </c>
      <c r="BV180" s="81">
        <v>29.69</v>
      </c>
    </row>
    <row r="181" spans="1:74">
      <c r="A181" s="78" t="s">
        <v>790</v>
      </c>
      <c r="B181" s="78" t="s">
        <v>791</v>
      </c>
      <c r="C181" s="82">
        <v>4393.57</v>
      </c>
      <c r="D181" s="82">
        <v>1411.21</v>
      </c>
      <c r="E181" s="82">
        <v>2968.39</v>
      </c>
      <c r="F181" s="82">
        <v>922.09</v>
      </c>
      <c r="G181" s="82">
        <v>3879.21</v>
      </c>
      <c r="H181" s="83">
        <v>1277</v>
      </c>
      <c r="I181" s="82">
        <v>3759.86</v>
      </c>
      <c r="J181" s="82">
        <v>1445.59</v>
      </c>
      <c r="K181" s="82">
        <v>3422.71</v>
      </c>
      <c r="L181" s="82">
        <v>1363.82</v>
      </c>
      <c r="M181" s="82">
        <v>3551.15</v>
      </c>
      <c r="N181" s="83">
        <v>1553.4</v>
      </c>
      <c r="O181" s="82">
        <v>3904.03</v>
      </c>
      <c r="P181" s="82">
        <v>1229.3599999999999</v>
      </c>
      <c r="Q181" s="82">
        <v>4740.0200000000004</v>
      </c>
      <c r="R181" s="82">
        <v>1673.87</v>
      </c>
      <c r="S181" s="82">
        <v>4564.43</v>
      </c>
      <c r="T181" s="82">
        <v>1746.81</v>
      </c>
      <c r="U181" s="82">
        <v>3754.42</v>
      </c>
      <c r="V181" s="83">
        <v>1328</v>
      </c>
      <c r="W181" s="83">
        <v>5227.2</v>
      </c>
      <c r="X181" s="82">
        <v>1101.83</v>
      </c>
      <c r="Y181" s="82">
        <v>5625.28</v>
      </c>
      <c r="Z181" s="83">
        <v>1578.4</v>
      </c>
      <c r="AA181" s="82">
        <v>5406.83</v>
      </c>
      <c r="AB181" s="82">
        <v>4687.08</v>
      </c>
      <c r="AC181" s="82">
        <v>4610.05</v>
      </c>
      <c r="AD181" s="82">
        <v>3805.56</v>
      </c>
      <c r="AE181" s="82">
        <v>4279.25</v>
      </c>
      <c r="AF181" s="82">
        <v>4018.86</v>
      </c>
      <c r="AG181" s="82">
        <v>4991.5200000000004</v>
      </c>
      <c r="AH181" s="83">
        <v>6265.1</v>
      </c>
      <c r="AI181" s="82">
        <v>7747.94</v>
      </c>
      <c r="AJ181" s="82">
        <v>3874.98</v>
      </c>
      <c r="AK181" s="82">
        <v>4170.51</v>
      </c>
      <c r="AL181" s="82">
        <v>4736.28</v>
      </c>
      <c r="AM181" s="83">
        <v>3815.7</v>
      </c>
      <c r="AN181" s="82">
        <v>4597.7700000000004</v>
      </c>
      <c r="AO181" s="82">
        <v>4231.05</v>
      </c>
      <c r="AP181" s="82">
        <v>4909.68</v>
      </c>
      <c r="AQ181" s="82">
        <v>5337.23</v>
      </c>
      <c r="AR181" s="82">
        <v>6228.24</v>
      </c>
      <c r="AS181" s="82">
        <v>4239.74</v>
      </c>
      <c r="AT181" s="82">
        <v>5260.28</v>
      </c>
      <c r="AU181" s="82">
        <v>4792.38</v>
      </c>
      <c r="AV181" s="82">
        <v>5191.41</v>
      </c>
      <c r="AW181" s="82">
        <v>7473.54</v>
      </c>
      <c r="AX181" s="82">
        <v>5395.96</v>
      </c>
      <c r="AY181" s="82">
        <v>9731.5400000000009</v>
      </c>
      <c r="AZ181" s="83">
        <v>1803</v>
      </c>
      <c r="BA181" s="82">
        <v>7801.94</v>
      </c>
      <c r="BB181" s="82">
        <v>1680.84</v>
      </c>
      <c r="BC181" s="82">
        <v>9057.59</v>
      </c>
      <c r="BD181" s="83">
        <v>1610.2</v>
      </c>
      <c r="BE181" s="82">
        <v>11261.64</v>
      </c>
      <c r="BF181" s="82">
        <v>2017.42</v>
      </c>
      <c r="BG181" s="82">
        <v>8052.51</v>
      </c>
      <c r="BH181" s="82">
        <v>1646.63</v>
      </c>
      <c r="BI181" s="82">
        <v>7759.48</v>
      </c>
      <c r="BJ181" s="82">
        <v>1301.83</v>
      </c>
      <c r="BK181" s="82">
        <v>8553.77</v>
      </c>
      <c r="BL181" s="82">
        <v>1349.66</v>
      </c>
      <c r="BM181" s="82">
        <v>8263.16</v>
      </c>
      <c r="BN181" s="82">
        <v>1828.57</v>
      </c>
      <c r="BO181" s="82">
        <v>9024.09</v>
      </c>
      <c r="BP181" s="82">
        <v>1891.13</v>
      </c>
      <c r="BQ181" s="82">
        <v>12437.67</v>
      </c>
      <c r="BR181" s="82">
        <v>2045.95</v>
      </c>
      <c r="BS181" s="82">
        <v>8955.2199999999993</v>
      </c>
      <c r="BT181" s="82">
        <v>2213.63</v>
      </c>
      <c r="BU181" s="82">
        <v>10075.02</v>
      </c>
      <c r="BV181" s="82">
        <v>1879.57</v>
      </c>
    </row>
    <row r="182" spans="1:74">
      <c r="A182" s="78" t="s">
        <v>792</v>
      </c>
      <c r="B182" s="78" t="s">
        <v>793</v>
      </c>
      <c r="C182" s="81">
        <v>1323.31</v>
      </c>
      <c r="D182" s="81">
        <v>2588.2199999999998</v>
      </c>
      <c r="E182" s="81">
        <v>1206.8900000000001</v>
      </c>
      <c r="F182" s="81">
        <v>1329.88</v>
      </c>
      <c r="G182" s="84">
        <v>1879.7</v>
      </c>
      <c r="H182" s="81">
        <v>2358.81</v>
      </c>
      <c r="I182" s="81">
        <v>1417.33</v>
      </c>
      <c r="J182" s="84">
        <v>2543.8000000000002</v>
      </c>
      <c r="K182" s="81">
        <v>1573.67</v>
      </c>
      <c r="L182" s="81">
        <v>2716.94</v>
      </c>
      <c r="M182" s="81">
        <v>2290.77</v>
      </c>
      <c r="N182" s="81">
        <v>1664.41</v>
      </c>
      <c r="O182" s="81">
        <v>32574.98</v>
      </c>
      <c r="P182" s="81">
        <v>1707.87</v>
      </c>
      <c r="Q182" s="81">
        <v>1278.6099999999999</v>
      </c>
      <c r="R182" s="81">
        <v>2119.27</v>
      </c>
      <c r="S182" s="81">
        <v>2250.9299999999998</v>
      </c>
      <c r="T182" s="81">
        <v>2423.33</v>
      </c>
      <c r="U182" s="81">
        <v>1681.15</v>
      </c>
      <c r="V182" s="81">
        <v>2667.32</v>
      </c>
      <c r="W182" s="84">
        <v>1904.7</v>
      </c>
      <c r="X182" s="81">
        <v>2424.91</v>
      </c>
      <c r="Y182" s="81">
        <v>2128.5700000000002</v>
      </c>
      <c r="Z182" s="81">
        <v>3094.13</v>
      </c>
      <c r="AA182" s="81">
        <v>2448.5500000000002</v>
      </c>
      <c r="AB182" s="81">
        <v>3185.75</v>
      </c>
      <c r="AC182" s="81">
        <v>4583.04</v>
      </c>
      <c r="AD182" s="81">
        <v>2162.12</v>
      </c>
      <c r="AE182" s="81">
        <v>3771.31</v>
      </c>
      <c r="AF182" s="81">
        <v>3514.51</v>
      </c>
      <c r="AG182" s="81">
        <v>4050.01</v>
      </c>
      <c r="AH182" s="84">
        <v>2331.6999999999998</v>
      </c>
      <c r="AI182" s="81">
        <v>3147.92</v>
      </c>
      <c r="AJ182" s="81">
        <v>1074.31</v>
      </c>
      <c r="AK182" s="81">
        <v>3881.36</v>
      </c>
      <c r="AL182" s="81">
        <v>1290.45</v>
      </c>
      <c r="AM182" s="81">
        <v>27235.41</v>
      </c>
      <c r="AN182" s="81">
        <v>2429.71</v>
      </c>
      <c r="AO182" s="81">
        <v>5801.59</v>
      </c>
      <c r="AP182" s="81">
        <v>1694.35</v>
      </c>
      <c r="AQ182" s="81">
        <v>7032.76</v>
      </c>
      <c r="AR182" s="81">
        <v>2482.21</v>
      </c>
      <c r="AS182" s="81">
        <v>4823.33</v>
      </c>
      <c r="AT182" s="81">
        <v>2151.44</v>
      </c>
      <c r="AU182" s="81">
        <v>3615.14</v>
      </c>
      <c r="AV182" s="81">
        <v>2379.2600000000002</v>
      </c>
      <c r="AW182" s="81">
        <v>2481.69</v>
      </c>
      <c r="AX182" s="81">
        <v>2205.09</v>
      </c>
      <c r="AY182" s="81">
        <v>4333.42</v>
      </c>
      <c r="AZ182" s="81">
        <v>1015.51</v>
      </c>
      <c r="BA182" s="81">
        <v>5799.87</v>
      </c>
      <c r="BB182" s="81">
        <v>1776.82</v>
      </c>
      <c r="BC182" s="84">
        <v>4691</v>
      </c>
      <c r="BD182" s="81">
        <v>1290.76</v>
      </c>
      <c r="BE182" s="81">
        <v>7413.24</v>
      </c>
      <c r="BF182" s="81">
        <v>1666.65</v>
      </c>
      <c r="BG182" s="81">
        <v>5801.88</v>
      </c>
      <c r="BH182" s="81">
        <v>473.74</v>
      </c>
      <c r="BI182" s="81">
        <v>4700.32</v>
      </c>
      <c r="BJ182" s="81">
        <v>1063.68</v>
      </c>
      <c r="BK182" s="81">
        <v>18683.23</v>
      </c>
      <c r="BL182" s="81">
        <v>1559.05</v>
      </c>
      <c r="BM182" s="81">
        <v>4554.5200000000004</v>
      </c>
      <c r="BN182" s="81">
        <v>1406.88</v>
      </c>
      <c r="BO182" s="81">
        <v>9543.83</v>
      </c>
      <c r="BP182" s="81">
        <v>1617.59</v>
      </c>
      <c r="BQ182" s="81">
        <v>3994.64</v>
      </c>
      <c r="BR182" s="81">
        <v>1282.23</v>
      </c>
      <c r="BS182" s="81">
        <v>7702.93</v>
      </c>
      <c r="BT182" s="81">
        <v>1573.11</v>
      </c>
      <c r="BU182" s="81">
        <v>7779.64</v>
      </c>
      <c r="BV182" s="81">
        <v>1398.69</v>
      </c>
    </row>
    <row r="183" spans="1:74">
      <c r="A183" s="78" t="s">
        <v>794</v>
      </c>
      <c r="B183" s="78" t="s">
        <v>795</v>
      </c>
      <c r="C183" s="82">
        <v>8635.51</v>
      </c>
      <c r="D183" s="82">
        <v>21890.55</v>
      </c>
      <c r="E183" s="83">
        <v>6976.9</v>
      </c>
      <c r="F183" s="82">
        <v>17749.66</v>
      </c>
      <c r="G183" s="83">
        <v>14514</v>
      </c>
      <c r="H183" s="82">
        <v>20968.23</v>
      </c>
      <c r="I183" s="82">
        <v>13100.96</v>
      </c>
      <c r="J183" s="82">
        <v>17203.849999999999</v>
      </c>
      <c r="K183" s="82">
        <v>14048.54</v>
      </c>
      <c r="L183" s="82">
        <v>19894.22</v>
      </c>
      <c r="M183" s="82">
        <v>12655.11</v>
      </c>
      <c r="N183" s="82">
        <v>19478.650000000001</v>
      </c>
      <c r="O183" s="82">
        <v>13856.55</v>
      </c>
      <c r="P183" s="82">
        <v>20331.13</v>
      </c>
      <c r="Q183" s="82">
        <v>11745.23</v>
      </c>
      <c r="R183" s="83">
        <v>19997.099999999999</v>
      </c>
      <c r="S183" s="82">
        <v>14150.73</v>
      </c>
      <c r="T183" s="82">
        <v>23155.06</v>
      </c>
      <c r="U183" s="83">
        <v>15027.4</v>
      </c>
      <c r="V183" s="82">
        <v>16869.849999999999</v>
      </c>
      <c r="W183" s="82">
        <v>14879.65</v>
      </c>
      <c r="X183" s="82">
        <v>18351.11</v>
      </c>
      <c r="Y183" s="82">
        <v>13927.13</v>
      </c>
      <c r="Z183" s="83">
        <v>21587.5</v>
      </c>
      <c r="AA183" s="82">
        <v>13947.38</v>
      </c>
      <c r="AB183" s="82">
        <v>27623.51</v>
      </c>
      <c r="AC183" s="82">
        <v>11531.28</v>
      </c>
      <c r="AD183" s="82">
        <v>25783.33</v>
      </c>
      <c r="AE183" s="82">
        <v>12088.36</v>
      </c>
      <c r="AF183" s="82">
        <v>25124.57</v>
      </c>
      <c r="AG183" s="82">
        <v>12080.64</v>
      </c>
      <c r="AH183" s="82">
        <v>31732.17</v>
      </c>
      <c r="AI183" s="82">
        <v>13789.92</v>
      </c>
      <c r="AJ183" s="82">
        <v>28141.53</v>
      </c>
      <c r="AK183" s="82">
        <v>10536.01</v>
      </c>
      <c r="AL183" s="82">
        <v>22694.43</v>
      </c>
      <c r="AM183" s="82">
        <v>13018.27</v>
      </c>
      <c r="AN183" s="82">
        <v>32306.63</v>
      </c>
      <c r="AO183" s="82">
        <v>13501.86</v>
      </c>
      <c r="AP183" s="82">
        <v>30236.33</v>
      </c>
      <c r="AQ183" s="82">
        <v>10719.94</v>
      </c>
      <c r="AR183" s="82">
        <v>30244.11</v>
      </c>
      <c r="AS183" s="82">
        <v>10838.43</v>
      </c>
      <c r="AT183" s="82">
        <v>30450.53</v>
      </c>
      <c r="AU183" s="82">
        <v>9640.91</v>
      </c>
      <c r="AV183" s="82">
        <v>27298.59</v>
      </c>
      <c r="AW183" s="82">
        <v>12858.16</v>
      </c>
      <c r="AX183" s="83">
        <v>33289.1</v>
      </c>
      <c r="AY183" s="82">
        <v>10341.36</v>
      </c>
      <c r="AZ183" s="82">
        <v>24227.35</v>
      </c>
      <c r="BA183" s="82">
        <v>13230.79</v>
      </c>
      <c r="BB183" s="82">
        <v>23647.94</v>
      </c>
      <c r="BC183" s="82">
        <v>12048.16</v>
      </c>
      <c r="BD183" s="82">
        <v>23430.19</v>
      </c>
      <c r="BE183" s="82">
        <v>13667.48</v>
      </c>
      <c r="BF183" s="82">
        <v>26587.82</v>
      </c>
      <c r="BG183" s="82">
        <v>9624.49</v>
      </c>
      <c r="BH183" s="82">
        <v>26402.63</v>
      </c>
      <c r="BI183" s="82">
        <v>10913.67</v>
      </c>
      <c r="BJ183" s="82">
        <v>22382.23</v>
      </c>
      <c r="BK183" s="82">
        <v>11435.53</v>
      </c>
      <c r="BL183" s="82">
        <v>24974.95</v>
      </c>
      <c r="BM183" s="82">
        <v>14162.59</v>
      </c>
      <c r="BN183" s="82">
        <v>28214.080000000002</v>
      </c>
      <c r="BO183" s="82">
        <v>13157.67</v>
      </c>
      <c r="BP183" s="82">
        <v>29911.84</v>
      </c>
      <c r="BQ183" s="82">
        <v>15771.92</v>
      </c>
      <c r="BR183" s="82">
        <v>28659.25</v>
      </c>
      <c r="BS183" s="82">
        <v>12025.41</v>
      </c>
      <c r="BT183" s="82">
        <v>25926.19</v>
      </c>
      <c r="BU183" s="82">
        <v>13462.45</v>
      </c>
      <c r="BV183" s="83">
        <v>27845.7</v>
      </c>
    </row>
    <row r="184" spans="1:74">
      <c r="A184" s="78" t="s">
        <v>796</v>
      </c>
      <c r="B184" s="78" t="s">
        <v>797</v>
      </c>
      <c r="C184" s="81">
        <v>3133.18</v>
      </c>
      <c r="D184" s="81">
        <v>16577.84</v>
      </c>
      <c r="E184" s="81">
        <v>3343.45</v>
      </c>
      <c r="F184" s="81">
        <v>7991.29</v>
      </c>
      <c r="G184" s="81">
        <v>4079.84</v>
      </c>
      <c r="H184" s="81">
        <v>9312.9500000000007</v>
      </c>
      <c r="I184" s="81">
        <v>3175.66</v>
      </c>
      <c r="J184" s="81">
        <v>9400.6299999999992</v>
      </c>
      <c r="K184" s="81">
        <v>3426.26</v>
      </c>
      <c r="L184" s="81">
        <v>8651.93</v>
      </c>
      <c r="M184" s="81">
        <v>3838.94</v>
      </c>
      <c r="N184" s="81">
        <v>8928.5499999999993</v>
      </c>
      <c r="O184" s="81">
        <v>2933.18</v>
      </c>
      <c r="P184" s="81">
        <v>9355.4599999999991</v>
      </c>
      <c r="Q184" s="81">
        <v>3482.85</v>
      </c>
      <c r="R184" s="81">
        <v>8578.64</v>
      </c>
      <c r="S184" s="84">
        <v>4010.1</v>
      </c>
      <c r="T184" s="81">
        <v>9397.14</v>
      </c>
      <c r="U184" s="81">
        <v>3411.37</v>
      </c>
      <c r="V184" s="81">
        <v>7819.27</v>
      </c>
      <c r="W184" s="81">
        <v>3674.18</v>
      </c>
      <c r="X184" s="81">
        <v>7655.27</v>
      </c>
      <c r="Y184" s="81">
        <v>4104.79</v>
      </c>
      <c r="Z184" s="81">
        <v>8749.0400000000009</v>
      </c>
      <c r="AA184" s="81">
        <v>5526.67</v>
      </c>
      <c r="AB184" s="81">
        <v>8265.8799999999992</v>
      </c>
      <c r="AC184" s="81">
        <v>5196.6899999999996</v>
      </c>
      <c r="AD184" s="81">
        <v>5511.83</v>
      </c>
      <c r="AE184" s="81">
        <v>3849.12</v>
      </c>
      <c r="AF184" s="81">
        <v>6498.42</v>
      </c>
      <c r="AG184" s="81">
        <v>7132.89</v>
      </c>
      <c r="AH184" s="81">
        <v>6263.95</v>
      </c>
      <c r="AI184" s="81">
        <v>6950.38</v>
      </c>
      <c r="AJ184" s="81">
        <v>7197.34</v>
      </c>
      <c r="AK184" s="81">
        <v>4371.9399999999996</v>
      </c>
      <c r="AL184" s="81">
        <v>4919.3599999999997</v>
      </c>
      <c r="AM184" s="81">
        <v>5877.82</v>
      </c>
      <c r="AN184" s="81">
        <v>5850.69</v>
      </c>
      <c r="AO184" s="81">
        <v>5586.11</v>
      </c>
      <c r="AP184" s="81">
        <v>5549.41</v>
      </c>
      <c r="AQ184" s="81">
        <v>5404.87</v>
      </c>
      <c r="AR184" s="81">
        <v>6495.34</v>
      </c>
      <c r="AS184" s="81">
        <v>4050.75</v>
      </c>
      <c r="AT184" s="81">
        <v>7088.09</v>
      </c>
      <c r="AU184" s="81">
        <v>4249.3500000000004</v>
      </c>
      <c r="AV184" s="81">
        <v>5071.91</v>
      </c>
      <c r="AW184" s="81">
        <v>5537.86</v>
      </c>
      <c r="AX184" s="81">
        <v>6950.25</v>
      </c>
      <c r="AY184" s="81">
        <v>7402.56</v>
      </c>
      <c r="AZ184" s="81">
        <v>5160.3599999999997</v>
      </c>
      <c r="BA184" s="81">
        <v>4522.55</v>
      </c>
      <c r="BB184" s="81">
        <v>54291.72</v>
      </c>
      <c r="BC184" s="81">
        <v>5996.22</v>
      </c>
      <c r="BD184" s="81">
        <v>5090.66</v>
      </c>
      <c r="BE184" s="81">
        <v>7524.12</v>
      </c>
      <c r="BF184" s="81">
        <v>5230.99</v>
      </c>
      <c r="BG184" s="81">
        <v>6525.36</v>
      </c>
      <c r="BH184" s="81">
        <v>6904.32</v>
      </c>
      <c r="BI184" s="81">
        <v>9337.0300000000007</v>
      </c>
      <c r="BJ184" s="81">
        <v>4359.18</v>
      </c>
      <c r="BK184" s="81">
        <v>6059.85</v>
      </c>
      <c r="BL184" s="81">
        <v>5208.99</v>
      </c>
      <c r="BM184" s="81">
        <v>8554.2900000000009</v>
      </c>
      <c r="BN184" s="84">
        <v>4723.7</v>
      </c>
      <c r="BO184" s="81">
        <v>8309.0499999999993</v>
      </c>
      <c r="BP184" s="81">
        <v>5312.86</v>
      </c>
      <c r="BQ184" s="81">
        <v>7874.66</v>
      </c>
      <c r="BR184" s="81">
        <v>6711.34</v>
      </c>
      <c r="BS184" s="81">
        <v>6305.69</v>
      </c>
      <c r="BT184" s="81">
        <v>6227.72</v>
      </c>
      <c r="BU184" s="81">
        <v>6755.83</v>
      </c>
      <c r="BV184" s="81">
        <v>5590.57</v>
      </c>
    </row>
    <row r="185" spans="1:74">
      <c r="A185" s="78" t="s">
        <v>798</v>
      </c>
      <c r="B185" s="78" t="s">
        <v>799</v>
      </c>
      <c r="C185" s="82">
        <v>9853.23</v>
      </c>
      <c r="D185" s="82">
        <v>5116.97</v>
      </c>
      <c r="E185" s="82">
        <v>10375.51</v>
      </c>
      <c r="F185" s="82">
        <v>2594.83</v>
      </c>
      <c r="G185" s="82">
        <v>7952.82</v>
      </c>
      <c r="H185" s="82">
        <v>4323.97</v>
      </c>
      <c r="I185" s="82">
        <v>7582.19</v>
      </c>
      <c r="J185" s="82">
        <v>3136.48</v>
      </c>
      <c r="K185" s="82">
        <v>8069.17</v>
      </c>
      <c r="L185" s="83">
        <v>3219.2</v>
      </c>
      <c r="M185" s="82">
        <v>7195.69</v>
      </c>
      <c r="N185" s="82">
        <v>2543.35</v>
      </c>
      <c r="O185" s="82">
        <v>6205.41</v>
      </c>
      <c r="P185" s="82">
        <v>3727.44</v>
      </c>
      <c r="Q185" s="82">
        <v>8945.6200000000008</v>
      </c>
      <c r="R185" s="82">
        <v>2916.37</v>
      </c>
      <c r="S185" s="83">
        <v>11206.7</v>
      </c>
      <c r="T185" s="82">
        <v>4228.2700000000004</v>
      </c>
      <c r="U185" s="82">
        <v>8662.89</v>
      </c>
      <c r="V185" s="82">
        <v>3720.96</v>
      </c>
      <c r="W185" s="82">
        <v>7837.22</v>
      </c>
      <c r="X185" s="82">
        <v>4441.63</v>
      </c>
      <c r="Y185" s="82">
        <v>7413.82</v>
      </c>
      <c r="Z185" s="82">
        <v>3563.58</v>
      </c>
      <c r="AA185" s="82">
        <v>9959.81</v>
      </c>
      <c r="AB185" s="82">
        <v>13938.27</v>
      </c>
      <c r="AC185" s="82">
        <v>7817.58</v>
      </c>
      <c r="AD185" s="82">
        <v>14270.86</v>
      </c>
      <c r="AE185" s="82">
        <v>9571.6200000000008</v>
      </c>
      <c r="AF185" s="82">
        <v>23068.48</v>
      </c>
      <c r="AG185" s="82">
        <v>7701.36</v>
      </c>
      <c r="AH185" s="82">
        <v>30001.96</v>
      </c>
      <c r="AI185" s="82">
        <v>10242.02</v>
      </c>
      <c r="AJ185" s="82">
        <v>19939.25</v>
      </c>
      <c r="AK185" s="83">
        <v>9364.5</v>
      </c>
      <c r="AL185" s="82">
        <v>19285.77</v>
      </c>
      <c r="AM185" s="83">
        <v>11258.3</v>
      </c>
      <c r="AN185" s="82">
        <v>19935.93</v>
      </c>
      <c r="AO185" s="82">
        <v>11947.92</v>
      </c>
      <c r="AP185" s="82">
        <v>22669.23</v>
      </c>
      <c r="AQ185" s="82">
        <v>14298.43</v>
      </c>
      <c r="AR185" s="82">
        <v>21744.23</v>
      </c>
      <c r="AS185" s="82">
        <v>11724.57</v>
      </c>
      <c r="AT185" s="82">
        <v>32812.89</v>
      </c>
      <c r="AU185" s="82">
        <v>11750.53</v>
      </c>
      <c r="AV185" s="82">
        <v>25372.61</v>
      </c>
      <c r="AW185" s="82">
        <v>9793.94</v>
      </c>
      <c r="AX185" s="83">
        <v>14246.3</v>
      </c>
      <c r="AY185" s="82">
        <v>15159.81</v>
      </c>
      <c r="AZ185" s="82">
        <v>1237.21</v>
      </c>
      <c r="BA185" s="82">
        <v>14906.94</v>
      </c>
      <c r="BB185" s="83">
        <v>1544.4</v>
      </c>
      <c r="BC185" s="82">
        <v>15653.49</v>
      </c>
      <c r="BD185" s="82">
        <v>913.16</v>
      </c>
      <c r="BE185" s="82">
        <v>12546.68</v>
      </c>
      <c r="BF185" s="82">
        <v>1775.17</v>
      </c>
      <c r="BG185" s="82">
        <v>12581.23</v>
      </c>
      <c r="BH185" s="82">
        <v>1546.59</v>
      </c>
      <c r="BI185" s="82">
        <v>11252.34</v>
      </c>
      <c r="BJ185" s="82">
        <v>1701.64</v>
      </c>
      <c r="BK185" s="82">
        <v>13090.26</v>
      </c>
      <c r="BL185" s="82">
        <v>986.51</v>
      </c>
      <c r="BM185" s="82">
        <v>14103.58</v>
      </c>
      <c r="BN185" s="82">
        <v>1047.73</v>
      </c>
      <c r="BO185" s="82">
        <v>11976.34</v>
      </c>
      <c r="BP185" s="83">
        <v>2207.1</v>
      </c>
      <c r="BQ185" s="83">
        <v>14922.7</v>
      </c>
      <c r="BR185" s="82">
        <v>1303.9100000000001</v>
      </c>
      <c r="BS185" s="82">
        <v>14726.97</v>
      </c>
      <c r="BT185" s="82">
        <v>1473.95</v>
      </c>
      <c r="BU185" s="82">
        <v>14589.68</v>
      </c>
      <c r="BV185" s="82">
        <v>1866.22</v>
      </c>
    </row>
    <row r="186" spans="1:74">
      <c r="A186" s="78" t="s">
        <v>800</v>
      </c>
      <c r="B186" s="78" t="s">
        <v>801</v>
      </c>
      <c r="C186" s="81">
        <v>3083.45</v>
      </c>
      <c r="D186" s="84">
        <v>1198.3</v>
      </c>
      <c r="E186" s="84">
        <v>2034.6</v>
      </c>
      <c r="F186" s="81">
        <v>905.53</v>
      </c>
      <c r="G186" s="81">
        <v>2707.32</v>
      </c>
      <c r="H186" s="81">
        <v>1192.44</v>
      </c>
      <c r="I186" s="81">
        <v>4984.33</v>
      </c>
      <c r="J186" s="81">
        <v>1197.8499999999999</v>
      </c>
      <c r="K186" s="81">
        <v>3326.19</v>
      </c>
      <c r="L186" s="81">
        <v>1311.98</v>
      </c>
      <c r="M186" s="84">
        <v>2811.2</v>
      </c>
      <c r="N186" s="81">
        <v>869.79</v>
      </c>
      <c r="O186" s="81">
        <v>3075.54</v>
      </c>
      <c r="P186" s="81">
        <v>1172.48</v>
      </c>
      <c r="Q186" s="81">
        <v>4009.29</v>
      </c>
      <c r="R186" s="84">
        <v>1044.7</v>
      </c>
      <c r="S186" s="81">
        <v>3402.12</v>
      </c>
      <c r="T186" s="81">
        <v>1485.24</v>
      </c>
      <c r="U186" s="81">
        <v>3923.57</v>
      </c>
      <c r="V186" s="81">
        <v>1277.3900000000001</v>
      </c>
      <c r="W186" s="81">
        <v>3044.37</v>
      </c>
      <c r="X186" s="81">
        <v>1070.04</v>
      </c>
      <c r="Y186" s="81">
        <v>2601.12</v>
      </c>
      <c r="Z186" s="81">
        <v>1593.75</v>
      </c>
      <c r="AA186" s="81">
        <v>6513.38</v>
      </c>
      <c r="AB186" s="81">
        <v>1708.93</v>
      </c>
      <c r="AC186" s="81">
        <v>4790.5200000000004</v>
      </c>
      <c r="AD186" s="81">
        <v>1622.72</v>
      </c>
      <c r="AE186" s="81">
        <v>5814.67</v>
      </c>
      <c r="AF186" s="81">
        <v>2296.94</v>
      </c>
      <c r="AG186" s="81">
        <v>8242.7199999999993</v>
      </c>
      <c r="AH186" s="81">
        <v>3744.96</v>
      </c>
      <c r="AI186" s="84">
        <v>4189.6000000000004</v>
      </c>
      <c r="AJ186" s="84">
        <v>1992.3</v>
      </c>
      <c r="AK186" s="81">
        <v>6088.93</v>
      </c>
      <c r="AL186" s="81">
        <v>2094.3200000000002</v>
      </c>
      <c r="AM186" s="81">
        <v>12061.83</v>
      </c>
      <c r="AN186" s="81">
        <v>2501.3200000000002</v>
      </c>
      <c r="AO186" s="81">
        <v>8234.2800000000007</v>
      </c>
      <c r="AP186" s="81">
        <v>1796.77</v>
      </c>
      <c r="AQ186" s="81">
        <v>9647.7199999999993</v>
      </c>
      <c r="AR186" s="81">
        <v>1684.03</v>
      </c>
      <c r="AS186" s="81">
        <v>5516.44</v>
      </c>
      <c r="AT186" s="81">
        <v>1416.87</v>
      </c>
      <c r="AU186" s="81">
        <v>5435.71</v>
      </c>
      <c r="AV186" s="81">
        <v>1199.1199999999999</v>
      </c>
      <c r="AW186" s="81">
        <v>5778.21</v>
      </c>
      <c r="AX186" s="81">
        <v>2125.73</v>
      </c>
      <c r="AY186" s="81">
        <v>6425.44</v>
      </c>
      <c r="AZ186" s="81">
        <v>3428.28</v>
      </c>
      <c r="BA186" s="84">
        <v>6031.9</v>
      </c>
      <c r="BB186" s="81">
        <v>1917.54</v>
      </c>
      <c r="BC186" s="81">
        <v>7989.62</v>
      </c>
      <c r="BD186" s="81">
        <v>4270.32</v>
      </c>
      <c r="BE186" s="81">
        <v>7383.15</v>
      </c>
      <c r="BF186" s="81">
        <v>4803.13</v>
      </c>
      <c r="BG186" s="81">
        <v>6931.33</v>
      </c>
      <c r="BH186" s="81">
        <v>4408.3500000000004</v>
      </c>
      <c r="BI186" s="81">
        <v>6838.72</v>
      </c>
      <c r="BJ186" s="81">
        <v>3021.87</v>
      </c>
      <c r="BK186" s="81">
        <v>8060.92</v>
      </c>
      <c r="BL186" s="81">
        <v>4886.68</v>
      </c>
      <c r="BM186" s="81">
        <v>8605.8799999999992</v>
      </c>
      <c r="BN186" s="81">
        <v>4041.03</v>
      </c>
      <c r="BO186" s="81">
        <v>7563.47</v>
      </c>
      <c r="BP186" s="84">
        <v>2911.4</v>
      </c>
      <c r="BQ186" s="81">
        <v>5813.31</v>
      </c>
      <c r="BR186" s="84">
        <v>4284.8</v>
      </c>
      <c r="BS186" s="81">
        <v>6959.21</v>
      </c>
      <c r="BT186" s="81">
        <v>2673.28</v>
      </c>
      <c r="BU186" s="81">
        <v>6946.15</v>
      </c>
      <c r="BV186" s="81">
        <v>2451.56</v>
      </c>
    </row>
    <row r="187" spans="1:74">
      <c r="A187" s="78" t="s">
        <v>802</v>
      </c>
      <c r="B187" s="78" t="s">
        <v>803</v>
      </c>
      <c r="C187" s="81">
        <v>255401.81</v>
      </c>
      <c r="D187" s="81">
        <v>242212.81</v>
      </c>
      <c r="E187" s="81">
        <v>183143.87</v>
      </c>
      <c r="F187" s="81">
        <v>175265.96</v>
      </c>
      <c r="G187" s="84">
        <v>192959.3</v>
      </c>
      <c r="H187" s="81">
        <v>152232.32000000001</v>
      </c>
      <c r="I187" s="81">
        <v>219569.81</v>
      </c>
      <c r="J187" s="81">
        <v>144695.09</v>
      </c>
      <c r="K187" s="81">
        <v>187934.56</v>
      </c>
      <c r="L187" s="81">
        <v>149569.22</v>
      </c>
      <c r="M187" s="81">
        <v>188034.07</v>
      </c>
      <c r="N187" s="81">
        <v>144157.89000000001</v>
      </c>
      <c r="O187" s="81">
        <v>207651.62</v>
      </c>
      <c r="P187" s="81">
        <v>100760.34</v>
      </c>
      <c r="Q187" s="81">
        <v>189985.36</v>
      </c>
      <c r="R187" s="84">
        <v>122453.7</v>
      </c>
      <c r="S187" s="81">
        <v>249499.19</v>
      </c>
      <c r="T187" s="81">
        <v>178803.41</v>
      </c>
      <c r="U187" s="81">
        <v>276185.71999999997</v>
      </c>
      <c r="V187" s="81">
        <v>175849.19</v>
      </c>
      <c r="W187" s="81">
        <v>277366.39</v>
      </c>
      <c r="X187" s="81">
        <v>207238.49</v>
      </c>
      <c r="Y187" s="84">
        <v>304109.09999999998</v>
      </c>
      <c r="Z187" s="81">
        <v>221418.09</v>
      </c>
      <c r="AA187" s="81">
        <v>427775.47</v>
      </c>
      <c r="AB187" s="81">
        <v>182930.47</v>
      </c>
      <c r="AC187" s="81">
        <v>328148.28000000003</v>
      </c>
      <c r="AD187" s="81">
        <v>135004.73000000001</v>
      </c>
      <c r="AE187" s="81">
        <v>342297.71</v>
      </c>
      <c r="AF187" s="81">
        <v>108077.53</v>
      </c>
      <c r="AG187" s="81">
        <v>351238.41</v>
      </c>
      <c r="AH187" s="84">
        <v>113420.8</v>
      </c>
      <c r="AI187" s="81">
        <v>282387.78999999998</v>
      </c>
      <c r="AJ187" s="81">
        <v>111996.79</v>
      </c>
      <c r="AK187" s="81">
        <v>266739.37</v>
      </c>
      <c r="AL187" s="81">
        <v>104006.54</v>
      </c>
      <c r="AM187" s="81">
        <v>335226.68</v>
      </c>
      <c r="AN187" s="81">
        <v>122181.39</v>
      </c>
      <c r="AO187" s="81">
        <v>340285.15</v>
      </c>
      <c r="AP187" s="81">
        <v>159672.29</v>
      </c>
      <c r="AQ187" s="84">
        <v>464438.7</v>
      </c>
      <c r="AR187" s="81">
        <v>182971.15</v>
      </c>
      <c r="AS187" s="81">
        <v>508791.39</v>
      </c>
      <c r="AT187" s="81">
        <v>218181.83</v>
      </c>
      <c r="AU187" s="81">
        <v>569256.57999999996</v>
      </c>
      <c r="AV187" s="81">
        <v>216037.39</v>
      </c>
      <c r="AW187" s="81">
        <v>585293.12</v>
      </c>
      <c r="AX187" s="84">
        <v>235767.2</v>
      </c>
      <c r="AY187" s="81">
        <v>427870.06</v>
      </c>
      <c r="AZ187" s="81">
        <v>160764.65</v>
      </c>
      <c r="BA187" s="81">
        <v>403209.24</v>
      </c>
      <c r="BB187" s="81">
        <v>138721.10999999999</v>
      </c>
      <c r="BC187" s="81">
        <v>327662.34999999998</v>
      </c>
      <c r="BD187" s="81">
        <v>108773.82</v>
      </c>
      <c r="BE187" s="81">
        <v>271129.36</v>
      </c>
      <c r="BF187" s="81">
        <v>122008.87</v>
      </c>
      <c r="BG187" s="84">
        <v>239360.4</v>
      </c>
      <c r="BH187" s="81">
        <v>100451.54</v>
      </c>
      <c r="BI187" s="81">
        <v>201660.04</v>
      </c>
      <c r="BJ187" s="81">
        <v>84345.21</v>
      </c>
      <c r="BK187" s="81">
        <v>289854.67</v>
      </c>
      <c r="BL187" s="84">
        <v>84090.1</v>
      </c>
      <c r="BM187" s="81">
        <v>292300.33</v>
      </c>
      <c r="BN187" s="81">
        <v>91969.08</v>
      </c>
      <c r="BO187" s="81">
        <v>367474.81</v>
      </c>
      <c r="BP187" s="81">
        <v>111055.01</v>
      </c>
      <c r="BQ187" s="84">
        <v>380451.7</v>
      </c>
      <c r="BR187" s="81">
        <v>120444.87</v>
      </c>
      <c r="BS187" s="81">
        <v>382865.74</v>
      </c>
      <c r="BT187" s="81">
        <v>148449.01999999999</v>
      </c>
      <c r="BU187" s="81">
        <v>433819.46</v>
      </c>
      <c r="BV187" s="81">
        <v>146623.75</v>
      </c>
    </row>
    <row r="188" spans="1:74">
      <c r="A188" s="78" t="s">
        <v>804</v>
      </c>
      <c r="B188" s="78" t="s">
        <v>805</v>
      </c>
      <c r="C188" s="82">
        <v>294449.44</v>
      </c>
      <c r="D188" s="82">
        <v>480224.26</v>
      </c>
      <c r="E188" s="82">
        <v>220858.98</v>
      </c>
      <c r="F188" s="82">
        <v>393176.58</v>
      </c>
      <c r="G188" s="82">
        <v>236553.87</v>
      </c>
      <c r="H188" s="82">
        <v>325846.86</v>
      </c>
      <c r="I188" s="82">
        <v>255193.25</v>
      </c>
      <c r="J188" s="82">
        <v>329776.28000000003</v>
      </c>
      <c r="K188" s="83">
        <v>215156.4</v>
      </c>
      <c r="L188" s="82">
        <v>328615.36</v>
      </c>
      <c r="M188" s="82">
        <v>231383.19</v>
      </c>
      <c r="N188" s="82">
        <v>319762.12</v>
      </c>
      <c r="O188" s="82">
        <v>198392.06</v>
      </c>
      <c r="P188" s="82">
        <v>241886.32</v>
      </c>
      <c r="Q188" s="82">
        <v>265958.56</v>
      </c>
      <c r="R188" s="82">
        <v>294419.34000000003</v>
      </c>
      <c r="S188" s="82">
        <v>255524.26</v>
      </c>
      <c r="T188" s="82">
        <v>356321.73</v>
      </c>
      <c r="U188" s="82">
        <v>313702.24</v>
      </c>
      <c r="V188" s="83">
        <v>325554.09999999998</v>
      </c>
      <c r="W188" s="82">
        <v>298089.14</v>
      </c>
      <c r="X188" s="82">
        <v>344160.96</v>
      </c>
      <c r="Y188" s="82">
        <v>287582.56</v>
      </c>
      <c r="Z188" s="82">
        <v>398044.67</v>
      </c>
      <c r="AA188" s="82">
        <v>256798.53</v>
      </c>
      <c r="AB188" s="82">
        <v>319134.23</v>
      </c>
      <c r="AC188" s="82">
        <v>225386.94</v>
      </c>
      <c r="AD188" s="83">
        <v>279354.3</v>
      </c>
      <c r="AE188" s="83">
        <v>193140.1</v>
      </c>
      <c r="AF188" s="82">
        <v>241783.46</v>
      </c>
      <c r="AG188" s="82">
        <v>223648.08</v>
      </c>
      <c r="AH188" s="82">
        <v>259476.53</v>
      </c>
      <c r="AI188" s="82">
        <v>229041.43</v>
      </c>
      <c r="AJ188" s="82">
        <v>223321.42</v>
      </c>
      <c r="AK188" s="82">
        <v>175246.35</v>
      </c>
      <c r="AL188" s="82">
        <v>215021.43</v>
      </c>
      <c r="AM188" s="83">
        <v>196405.5</v>
      </c>
      <c r="AN188" s="82">
        <v>159234.60999999999</v>
      </c>
      <c r="AO188" s="82">
        <v>225035.83</v>
      </c>
      <c r="AP188" s="82">
        <v>193163.48</v>
      </c>
      <c r="AQ188" s="82">
        <v>261686.09</v>
      </c>
      <c r="AR188" s="82">
        <v>216776.04</v>
      </c>
      <c r="AS188" s="82">
        <v>285456.90999999997</v>
      </c>
      <c r="AT188" s="82">
        <v>237179.78</v>
      </c>
      <c r="AU188" s="82">
        <v>249908.47</v>
      </c>
      <c r="AV188" s="82">
        <v>248777.07</v>
      </c>
      <c r="AW188" s="82">
        <v>266004.61</v>
      </c>
      <c r="AX188" s="82">
        <v>286158.03999999998</v>
      </c>
      <c r="AY188" s="82">
        <v>236461.77</v>
      </c>
      <c r="AZ188" s="82">
        <v>224749.73</v>
      </c>
      <c r="BA188" s="82">
        <v>216321.98</v>
      </c>
      <c r="BB188" s="82">
        <v>202762.36</v>
      </c>
      <c r="BC188" s="82">
        <v>205989.26</v>
      </c>
      <c r="BD188" s="82">
        <v>196178.29</v>
      </c>
      <c r="BE188" s="82">
        <v>220613.86</v>
      </c>
      <c r="BF188" s="82">
        <v>240526.22</v>
      </c>
      <c r="BG188" s="82">
        <v>216211.48</v>
      </c>
      <c r="BH188" s="82">
        <v>224673.24</v>
      </c>
      <c r="BI188" s="82">
        <v>184695.11</v>
      </c>
      <c r="BJ188" s="82">
        <v>176942.29</v>
      </c>
      <c r="BK188" s="82">
        <v>206290.13</v>
      </c>
      <c r="BL188" s="82">
        <v>146967.72</v>
      </c>
      <c r="BM188" s="82">
        <v>257910.92</v>
      </c>
      <c r="BN188" s="82">
        <v>186748.84</v>
      </c>
      <c r="BO188" s="82">
        <v>271818.83</v>
      </c>
      <c r="BP188" s="82">
        <v>190019.58</v>
      </c>
      <c r="BQ188" s="82">
        <v>278911.40999999997</v>
      </c>
      <c r="BR188" s="82">
        <v>179781.13</v>
      </c>
      <c r="BS188" s="82">
        <v>274704.71000000002</v>
      </c>
      <c r="BT188" s="82">
        <v>210555.57</v>
      </c>
      <c r="BU188" s="82">
        <v>280933.08</v>
      </c>
      <c r="BV188" s="82">
        <v>222084.73</v>
      </c>
    </row>
    <row r="189" spans="1:74">
      <c r="A189" s="78" t="s">
        <v>806</v>
      </c>
      <c r="B189" s="78" t="s">
        <v>807</v>
      </c>
      <c r="C189" s="81">
        <v>225151.76</v>
      </c>
      <c r="D189" s="81">
        <v>34909.15</v>
      </c>
      <c r="E189" s="81">
        <v>175310.04</v>
      </c>
      <c r="F189" s="81">
        <v>34307.129999999997</v>
      </c>
      <c r="G189" s="84">
        <v>157010</v>
      </c>
      <c r="H189" s="81">
        <v>28768.61</v>
      </c>
      <c r="I189" s="81">
        <v>139149.74</v>
      </c>
      <c r="J189" s="81">
        <v>21827.43</v>
      </c>
      <c r="K189" s="84">
        <v>114228.8</v>
      </c>
      <c r="L189" s="81">
        <v>28793.78</v>
      </c>
      <c r="M189" s="81">
        <v>126311.65</v>
      </c>
      <c r="N189" s="81">
        <v>21511.22</v>
      </c>
      <c r="O189" s="81">
        <v>111745.67</v>
      </c>
      <c r="P189" s="81">
        <v>25606.49</v>
      </c>
      <c r="Q189" s="81">
        <v>137898.39000000001</v>
      </c>
      <c r="R189" s="81">
        <v>31973.61</v>
      </c>
      <c r="S189" s="81">
        <v>170135.19</v>
      </c>
      <c r="T189" s="81">
        <v>34587.97</v>
      </c>
      <c r="U189" s="81">
        <v>172510.74</v>
      </c>
      <c r="V189" s="81">
        <v>37893.78</v>
      </c>
      <c r="W189" s="84">
        <v>210826.2</v>
      </c>
      <c r="X189" s="81">
        <v>43337.279999999999</v>
      </c>
      <c r="Y189" s="81">
        <v>206049.21</v>
      </c>
      <c r="Z189" s="81">
        <v>39676.21</v>
      </c>
      <c r="AA189" s="81">
        <v>298392.03999999998</v>
      </c>
      <c r="AB189" s="81">
        <v>42397.440000000002</v>
      </c>
      <c r="AC189" s="81">
        <v>206697.69</v>
      </c>
      <c r="AD189" s="81">
        <v>43322.31</v>
      </c>
      <c r="AE189" s="81">
        <v>221694.73</v>
      </c>
      <c r="AF189" s="81">
        <v>35378.28</v>
      </c>
      <c r="AG189" s="81">
        <v>220897.78</v>
      </c>
      <c r="AH189" s="81">
        <v>37582.11</v>
      </c>
      <c r="AI189" s="81">
        <v>187745.68</v>
      </c>
      <c r="AJ189" s="81">
        <v>27923.23</v>
      </c>
      <c r="AK189" s="81">
        <v>165986.95000000001</v>
      </c>
      <c r="AL189" s="81">
        <v>32928.28</v>
      </c>
      <c r="AM189" s="81">
        <v>189499.09</v>
      </c>
      <c r="AN189" s="81">
        <v>38518.36</v>
      </c>
      <c r="AO189" s="81">
        <v>223243.26</v>
      </c>
      <c r="AP189" s="81">
        <v>51699.57</v>
      </c>
      <c r="AQ189" s="84">
        <v>156973.1</v>
      </c>
      <c r="AR189" s="81">
        <v>34727.21</v>
      </c>
      <c r="AS189" s="81">
        <v>65020.28</v>
      </c>
      <c r="AT189" s="81">
        <v>18028.02</v>
      </c>
      <c r="AU189" s="81">
        <v>51384.14</v>
      </c>
      <c r="AV189" s="81">
        <v>23923.21</v>
      </c>
      <c r="AW189" s="81">
        <v>149573.26</v>
      </c>
      <c r="AX189" s="81">
        <v>31127.94</v>
      </c>
      <c r="AY189" s="84">
        <v>202912.2</v>
      </c>
      <c r="AZ189" s="84">
        <v>20988.400000000001</v>
      </c>
      <c r="BA189" s="84">
        <v>184642.2</v>
      </c>
      <c r="BB189" s="84">
        <v>19281.2</v>
      </c>
      <c r="BC189" s="81">
        <v>139789.67000000001</v>
      </c>
      <c r="BD189" s="81">
        <v>14468.94</v>
      </c>
      <c r="BE189" s="81">
        <v>153909.07999999999</v>
      </c>
      <c r="BF189" s="84">
        <v>11739.2</v>
      </c>
      <c r="BG189" s="81">
        <v>128886.31</v>
      </c>
      <c r="BH189" s="81">
        <v>15564.76</v>
      </c>
      <c r="BI189" s="81">
        <v>95724.15</v>
      </c>
      <c r="BJ189" s="81">
        <v>13851.61</v>
      </c>
      <c r="BK189" s="81">
        <v>122799.18</v>
      </c>
      <c r="BL189" s="81">
        <v>14897.29</v>
      </c>
      <c r="BM189" s="81">
        <v>149023.21</v>
      </c>
      <c r="BN189" s="84">
        <v>26762.2</v>
      </c>
      <c r="BO189" s="81">
        <v>188487.78</v>
      </c>
      <c r="BP189" s="81">
        <v>15081.89</v>
      </c>
      <c r="BQ189" s="81">
        <v>194338.24</v>
      </c>
      <c r="BR189" s="84">
        <v>26933.9</v>
      </c>
      <c r="BS189" s="81">
        <v>197422.64</v>
      </c>
      <c r="BT189" s="81">
        <v>23891.58</v>
      </c>
      <c r="BU189" s="81">
        <v>241062.83</v>
      </c>
      <c r="BV189" s="81">
        <v>24864.48</v>
      </c>
    </row>
    <row r="190" spans="1:74">
      <c r="A190" s="78" t="s">
        <v>808</v>
      </c>
      <c r="B190" s="78" t="s">
        <v>809</v>
      </c>
      <c r="C190" s="81">
        <v>3881.84</v>
      </c>
      <c r="D190" s="81">
        <v>24298.81</v>
      </c>
      <c r="E190" s="84">
        <v>2016.1</v>
      </c>
      <c r="F190" s="81">
        <v>29997.49</v>
      </c>
      <c r="G190" s="81">
        <v>1763.72</v>
      </c>
      <c r="H190" s="81">
        <v>26436.84</v>
      </c>
      <c r="I190" s="84">
        <v>2273.6999999999998</v>
      </c>
      <c r="J190" s="84">
        <v>30190.5</v>
      </c>
      <c r="K190" s="81">
        <v>3848.96</v>
      </c>
      <c r="L190" s="81">
        <v>16223.77</v>
      </c>
      <c r="M190" s="84">
        <v>3779.4</v>
      </c>
      <c r="N190" s="81">
        <v>24648.53</v>
      </c>
      <c r="O190" s="84">
        <v>2824.5</v>
      </c>
      <c r="P190" s="81">
        <v>15982.01</v>
      </c>
      <c r="Q190" s="81">
        <v>2291.2199999999998</v>
      </c>
      <c r="R190" s="81">
        <v>19560.439999999999</v>
      </c>
      <c r="S190" s="81">
        <v>2648.48</v>
      </c>
      <c r="T190" s="81">
        <v>23091.97</v>
      </c>
      <c r="U190" s="81">
        <v>1531.33</v>
      </c>
      <c r="V190" s="81">
        <v>40381.620000000003</v>
      </c>
      <c r="W190" s="84">
        <v>1987.3</v>
      </c>
      <c r="X190" s="81">
        <v>33633.08</v>
      </c>
      <c r="Y190" s="81">
        <v>3192.44</v>
      </c>
      <c r="Z190" s="84">
        <v>2.4</v>
      </c>
      <c r="AA190" s="84">
        <v>1418.4</v>
      </c>
      <c r="AB190" s="81">
        <v>41967.24</v>
      </c>
      <c r="AC190" s="81">
        <v>721.89</v>
      </c>
      <c r="AD190" s="81">
        <v>49249.32</v>
      </c>
      <c r="AE190" s="81">
        <v>2120.44</v>
      </c>
      <c r="AF190" s="81">
        <v>106100.91</v>
      </c>
      <c r="AG190" s="81">
        <v>1196.8399999999999</v>
      </c>
      <c r="AH190" s="81">
        <v>88144.73</v>
      </c>
      <c r="AI190" s="84">
        <v>2539.4</v>
      </c>
      <c r="AJ190" s="81">
        <v>18369.88</v>
      </c>
      <c r="AK190" s="81">
        <v>2805.21</v>
      </c>
      <c r="AL190" s="81">
        <v>11568.33</v>
      </c>
      <c r="AM190" s="81">
        <v>3484.78</v>
      </c>
      <c r="AN190" s="81">
        <v>9373.41</v>
      </c>
      <c r="AO190" s="81">
        <v>5967.44</v>
      </c>
      <c r="AP190" s="81">
        <v>10160.66</v>
      </c>
      <c r="AQ190" s="81">
        <v>6899.94</v>
      </c>
      <c r="AR190" s="81">
        <v>6322.64</v>
      </c>
      <c r="AS190" s="84">
        <v>3031</v>
      </c>
      <c r="AT190" s="81">
        <v>5944.16</v>
      </c>
      <c r="AU190" s="81">
        <v>3355.49</v>
      </c>
      <c r="AV190" s="84">
        <v>12408.2</v>
      </c>
      <c r="AW190" s="81">
        <v>4456.45</v>
      </c>
      <c r="AX190" s="84">
        <v>33646.6</v>
      </c>
      <c r="AY190" s="84">
        <v>1209.4000000000001</v>
      </c>
      <c r="AZ190" s="81">
        <v>40428.720000000001</v>
      </c>
      <c r="BA190" s="81">
        <v>844.06</v>
      </c>
      <c r="BB190" s="81">
        <v>41255.839999999997</v>
      </c>
      <c r="BC190" s="81">
        <v>2690.11</v>
      </c>
      <c r="BD190" s="84">
        <v>117838.5</v>
      </c>
      <c r="BE190" s="84">
        <v>615.1</v>
      </c>
      <c r="BF190" s="81">
        <v>47736.38</v>
      </c>
      <c r="BG190" s="81">
        <v>454.54</v>
      </c>
      <c r="BH190" s="81">
        <v>34885.61</v>
      </c>
      <c r="BI190" s="81">
        <v>485.04</v>
      </c>
      <c r="BJ190" s="81">
        <v>20692.96</v>
      </c>
      <c r="BK190" s="81">
        <v>502.17</v>
      </c>
      <c r="BL190" s="81">
        <v>13063.27</v>
      </c>
      <c r="BM190" s="81">
        <v>409.47</v>
      </c>
      <c r="BN190" s="84">
        <v>17395.8</v>
      </c>
      <c r="BO190" s="81">
        <v>857.81</v>
      </c>
      <c r="BP190" s="84">
        <v>10781.8</v>
      </c>
      <c r="BQ190" s="81">
        <v>2232.0300000000002</v>
      </c>
      <c r="BR190" s="81">
        <v>5522.26</v>
      </c>
      <c r="BS190" s="84">
        <v>2684.6</v>
      </c>
      <c r="BT190" s="81">
        <v>29298.73</v>
      </c>
      <c r="BU190" s="81">
        <v>2548.61</v>
      </c>
      <c r="BV190" s="81">
        <v>22632.07</v>
      </c>
    </row>
    <row r="191" spans="1:74">
      <c r="A191" s="78" t="s">
        <v>810</v>
      </c>
      <c r="B191" s="78" t="s">
        <v>811</v>
      </c>
      <c r="C191" s="82">
        <v>7912.96</v>
      </c>
      <c r="D191" s="83">
        <v>104765.8</v>
      </c>
      <c r="E191" s="83">
        <v>4480.2</v>
      </c>
      <c r="F191" s="83">
        <v>86938.3</v>
      </c>
      <c r="G191" s="82">
        <v>2560.4699999999998</v>
      </c>
      <c r="H191" s="82">
        <v>103065.44</v>
      </c>
      <c r="I191" s="82">
        <v>3293.99</v>
      </c>
      <c r="J191" s="82">
        <v>69745.279999999999</v>
      </c>
      <c r="K191" s="82">
        <v>2471.96</v>
      </c>
      <c r="L191" s="82">
        <v>70060.429999999993</v>
      </c>
      <c r="M191" s="82">
        <v>3208.18</v>
      </c>
      <c r="N191" s="82">
        <v>56672.82</v>
      </c>
      <c r="O191" s="83">
        <v>8682.4</v>
      </c>
      <c r="P191" s="82">
        <v>67456.45</v>
      </c>
      <c r="Q191" s="82">
        <v>5217.28</v>
      </c>
      <c r="R191" s="83">
        <v>90373.7</v>
      </c>
      <c r="S191" s="82">
        <v>7052.69</v>
      </c>
      <c r="T191" s="83">
        <v>85109.4</v>
      </c>
      <c r="U191" s="83">
        <v>5196.3999999999996</v>
      </c>
      <c r="V191" s="82">
        <v>70150.14</v>
      </c>
      <c r="W191" s="82">
        <v>2740.92</v>
      </c>
      <c r="X191" s="83">
        <v>91589.2</v>
      </c>
      <c r="Y191" s="82">
        <v>2120.7399999999998</v>
      </c>
      <c r="Z191" s="82">
        <v>82890.320000000007</v>
      </c>
      <c r="AA191" s="82">
        <v>4348.25</v>
      </c>
      <c r="AB191" s="82">
        <v>17280.07</v>
      </c>
      <c r="AC191" s="82">
        <v>5717.19</v>
      </c>
      <c r="AD191" s="82">
        <v>13564.69</v>
      </c>
      <c r="AE191" s="82">
        <v>5360.85</v>
      </c>
      <c r="AF191" s="82">
        <v>16009.23</v>
      </c>
      <c r="AG191" s="82">
        <v>6787.69</v>
      </c>
      <c r="AH191" s="82">
        <v>18996.14</v>
      </c>
      <c r="AI191" s="82">
        <v>2249.11</v>
      </c>
      <c r="AJ191" s="82">
        <v>13828.11</v>
      </c>
      <c r="AK191" s="82">
        <v>5643.74</v>
      </c>
      <c r="AL191" s="82">
        <v>17745.439999999999</v>
      </c>
      <c r="AM191" s="82">
        <v>6925.65</v>
      </c>
      <c r="AN191" s="82">
        <v>21232.05</v>
      </c>
      <c r="AO191" s="82">
        <v>6505.99</v>
      </c>
      <c r="AP191" s="82">
        <v>22791.95</v>
      </c>
      <c r="AQ191" s="82">
        <v>6188.36</v>
      </c>
      <c r="AR191" s="82">
        <v>19041.13</v>
      </c>
      <c r="AS191" s="82">
        <v>5808.38</v>
      </c>
      <c r="AT191" s="83">
        <v>22952.7</v>
      </c>
      <c r="AU191" s="82">
        <v>981.45</v>
      </c>
      <c r="AV191" s="82">
        <v>23164.97</v>
      </c>
      <c r="AW191" s="82">
        <v>1485.12</v>
      </c>
      <c r="AX191" s="82">
        <v>23924.69</v>
      </c>
      <c r="AY191" s="82">
        <v>13103.09</v>
      </c>
      <c r="AZ191" s="82">
        <v>4823.8100000000004</v>
      </c>
      <c r="BA191" s="82">
        <v>12181.97</v>
      </c>
      <c r="BB191" s="82">
        <v>3989.76</v>
      </c>
      <c r="BC191" s="82">
        <v>9405.52</v>
      </c>
      <c r="BD191" s="82">
        <v>3492.49</v>
      </c>
      <c r="BE191" s="82">
        <v>12398.83</v>
      </c>
      <c r="BF191" s="82">
        <v>6182.09</v>
      </c>
      <c r="BG191" s="82">
        <v>8222.06</v>
      </c>
      <c r="BH191" s="83">
        <v>13559.5</v>
      </c>
      <c r="BI191" s="83">
        <v>6282.4</v>
      </c>
      <c r="BJ191" s="82">
        <v>7446.07</v>
      </c>
      <c r="BK191" s="83">
        <v>9171.9</v>
      </c>
      <c r="BL191" s="82">
        <v>9055.17</v>
      </c>
      <c r="BM191" s="82">
        <v>7812.85</v>
      </c>
      <c r="BN191" s="82">
        <v>5601.87</v>
      </c>
      <c r="BO191" s="83">
        <v>8940.2999999999993</v>
      </c>
      <c r="BP191" s="82">
        <v>3820.59</v>
      </c>
      <c r="BQ191" s="83">
        <v>11561.2</v>
      </c>
      <c r="BR191" s="82">
        <v>4112.1499999999996</v>
      </c>
      <c r="BS191" s="82">
        <v>11739.08</v>
      </c>
      <c r="BT191" s="82">
        <v>3319.85</v>
      </c>
      <c r="BU191" s="82">
        <v>10679.74</v>
      </c>
      <c r="BV191" s="82">
        <v>6372.91</v>
      </c>
    </row>
    <row r="192" spans="1:74">
      <c r="A192" s="78" t="s">
        <v>814</v>
      </c>
      <c r="B192" s="78" t="s">
        <v>815</v>
      </c>
      <c r="C192" s="81">
        <v>8447.98</v>
      </c>
      <c r="D192" s="81">
        <v>194760.65</v>
      </c>
      <c r="E192" s="81">
        <v>10970.79</v>
      </c>
      <c r="F192" s="84">
        <v>126861.2</v>
      </c>
      <c r="G192" s="81">
        <v>10376.09</v>
      </c>
      <c r="H192" s="81">
        <v>161692.78</v>
      </c>
      <c r="I192" s="84">
        <v>11864.6</v>
      </c>
      <c r="J192" s="81">
        <v>186650.69</v>
      </c>
      <c r="K192" s="81">
        <v>6925.94</v>
      </c>
      <c r="L192" s="81">
        <v>155717.69</v>
      </c>
      <c r="M192" s="81">
        <v>6175.35</v>
      </c>
      <c r="N192" s="81">
        <v>174938.88</v>
      </c>
      <c r="O192" s="81">
        <v>7385.67</v>
      </c>
      <c r="P192" s="81">
        <v>206512.22</v>
      </c>
      <c r="Q192" s="81">
        <v>8188.45</v>
      </c>
      <c r="R192" s="81">
        <v>124772.34</v>
      </c>
      <c r="S192" s="84">
        <v>9146.9</v>
      </c>
      <c r="T192" s="81">
        <v>175585.53</v>
      </c>
      <c r="U192" s="81">
        <v>10205.41</v>
      </c>
      <c r="V192" s="81">
        <v>180002.39</v>
      </c>
      <c r="W192" s="84">
        <v>5560.5</v>
      </c>
      <c r="X192" s="81">
        <v>247454.97</v>
      </c>
      <c r="Y192" s="81">
        <v>6135.09</v>
      </c>
      <c r="Z192" s="81">
        <v>224677.02</v>
      </c>
      <c r="AA192" s="81">
        <v>4384.87</v>
      </c>
      <c r="AB192" s="81">
        <v>138695.95000000001</v>
      </c>
      <c r="AC192" s="81">
        <v>4634.4799999999996</v>
      </c>
      <c r="AD192" s="84">
        <v>104373.5</v>
      </c>
      <c r="AE192" s="81">
        <v>7475.53</v>
      </c>
      <c r="AF192" s="81">
        <v>99435.12</v>
      </c>
      <c r="AG192" s="81">
        <v>5376.13</v>
      </c>
      <c r="AH192" s="84">
        <v>118344.2</v>
      </c>
      <c r="AI192" s="81">
        <v>5531.57</v>
      </c>
      <c r="AJ192" s="81">
        <v>108762.91</v>
      </c>
      <c r="AK192" s="81">
        <v>4637.37</v>
      </c>
      <c r="AL192" s="81">
        <v>100109.75</v>
      </c>
      <c r="AM192" s="81">
        <v>4540.17</v>
      </c>
      <c r="AN192" s="81">
        <v>94089.04</v>
      </c>
      <c r="AO192" s="81">
        <v>2924.03</v>
      </c>
      <c r="AP192" s="81">
        <v>78855.11</v>
      </c>
      <c r="AQ192" s="81">
        <v>6873.26</v>
      </c>
      <c r="AR192" s="81">
        <v>94414.04</v>
      </c>
      <c r="AS192" s="81">
        <v>5502.17</v>
      </c>
      <c r="AT192" s="81">
        <v>86544.29</v>
      </c>
      <c r="AU192" s="81">
        <v>4624.07</v>
      </c>
      <c r="AV192" s="81">
        <v>91540.36</v>
      </c>
      <c r="AW192" s="84">
        <v>2465.9</v>
      </c>
      <c r="AX192" s="81">
        <v>107761.86</v>
      </c>
      <c r="AY192" s="81">
        <v>2555.15</v>
      </c>
      <c r="AZ192" s="81">
        <v>109860.46</v>
      </c>
      <c r="BA192" s="81">
        <v>2686.89</v>
      </c>
      <c r="BB192" s="81">
        <v>59815.99</v>
      </c>
      <c r="BC192" s="81">
        <v>2577.42</v>
      </c>
      <c r="BD192" s="81">
        <v>132617.38</v>
      </c>
      <c r="BE192" s="84">
        <v>2430.8000000000002</v>
      </c>
      <c r="BF192" s="81">
        <v>140531.16</v>
      </c>
      <c r="BG192" s="81">
        <v>2246.98</v>
      </c>
      <c r="BH192" s="81">
        <v>131874.29</v>
      </c>
      <c r="BI192" s="81">
        <v>2863.32</v>
      </c>
      <c r="BJ192" s="81">
        <v>131412.94</v>
      </c>
      <c r="BK192" s="81">
        <v>2741.93</v>
      </c>
      <c r="BL192" s="81">
        <v>123079.61</v>
      </c>
      <c r="BM192" s="81">
        <v>2954.67</v>
      </c>
      <c r="BN192" s="84">
        <v>109550.8</v>
      </c>
      <c r="BO192" s="81">
        <v>1850.33</v>
      </c>
      <c r="BP192" s="81">
        <v>110265.62</v>
      </c>
      <c r="BQ192" s="81">
        <v>2299.27</v>
      </c>
      <c r="BR192" s="81">
        <v>142018.59</v>
      </c>
      <c r="BS192" s="81">
        <v>1801.02</v>
      </c>
      <c r="BT192" s="81">
        <v>157000.22</v>
      </c>
      <c r="BU192" s="81">
        <v>3130.88</v>
      </c>
      <c r="BV192" s="84">
        <v>135327.6</v>
      </c>
    </row>
    <row r="193" spans="1:74">
      <c r="A193" s="78" t="s">
        <v>816</v>
      </c>
      <c r="B193" s="78" t="s">
        <v>817</v>
      </c>
      <c r="C193" s="82">
        <v>14281.05</v>
      </c>
      <c r="D193" s="83">
        <v>158062.20000000001</v>
      </c>
      <c r="E193" s="82">
        <v>10129.959999999999</v>
      </c>
      <c r="F193" s="83">
        <v>140490.6</v>
      </c>
      <c r="G193" s="82">
        <v>15014.55</v>
      </c>
      <c r="H193" s="82">
        <v>174218.69</v>
      </c>
      <c r="I193" s="83">
        <v>13321.1</v>
      </c>
      <c r="J193" s="83">
        <v>164010.1</v>
      </c>
      <c r="K193" s="82">
        <v>10824.27</v>
      </c>
      <c r="L193" s="83">
        <v>165385.1</v>
      </c>
      <c r="M193" s="83">
        <v>16434.8</v>
      </c>
      <c r="N193" s="83">
        <v>154803.1</v>
      </c>
      <c r="O193" s="83">
        <v>14407.7</v>
      </c>
      <c r="P193" s="82">
        <v>149398.16</v>
      </c>
      <c r="Q193" s="82">
        <v>15679.35</v>
      </c>
      <c r="R193" s="83">
        <v>169412.6</v>
      </c>
      <c r="S193" s="82">
        <v>13018.75</v>
      </c>
      <c r="T193" s="83">
        <v>191043.8</v>
      </c>
      <c r="U193" s="82">
        <v>9363.69</v>
      </c>
      <c r="V193" s="83">
        <v>189355.2</v>
      </c>
      <c r="W193" s="83">
        <v>12022.6</v>
      </c>
      <c r="X193" s="82">
        <v>174880.19</v>
      </c>
      <c r="Y193" s="83">
        <v>8453.5</v>
      </c>
      <c r="Z193" s="82">
        <v>192890.86</v>
      </c>
      <c r="AA193" s="83">
        <v>8474.2000000000007</v>
      </c>
      <c r="AB193" s="82">
        <v>218160.12</v>
      </c>
      <c r="AC193" s="82">
        <v>5942.05</v>
      </c>
      <c r="AD193" s="82">
        <v>162344.56</v>
      </c>
      <c r="AE193" s="82">
        <v>8221.17</v>
      </c>
      <c r="AF193" s="82">
        <v>160340.26999999999</v>
      </c>
      <c r="AG193" s="82">
        <v>11912.59</v>
      </c>
      <c r="AH193" s="82">
        <v>222308.37</v>
      </c>
      <c r="AI193" s="82">
        <v>7543.33</v>
      </c>
      <c r="AJ193" s="82">
        <v>175441.17</v>
      </c>
      <c r="AK193" s="83">
        <v>6263.5</v>
      </c>
      <c r="AL193" s="82">
        <v>128136.64</v>
      </c>
      <c r="AM193" s="82">
        <v>3619.45</v>
      </c>
      <c r="AN193" s="83">
        <v>194879.6</v>
      </c>
      <c r="AO193" s="82">
        <v>12453.39</v>
      </c>
      <c r="AP193" s="83">
        <v>172318.9</v>
      </c>
      <c r="AQ193" s="82">
        <v>5196.75</v>
      </c>
      <c r="AR193" s="82">
        <v>217710.33</v>
      </c>
      <c r="AS193" s="83">
        <v>8701</v>
      </c>
      <c r="AT193" s="83">
        <v>331437.3</v>
      </c>
      <c r="AU193" s="82">
        <v>4318.1499999999996</v>
      </c>
      <c r="AV193" s="82">
        <v>224920.21</v>
      </c>
      <c r="AW193" s="82">
        <v>8411.34</v>
      </c>
      <c r="AX193" s="82">
        <v>247648.93</v>
      </c>
      <c r="AY193" s="82">
        <v>19038.11</v>
      </c>
      <c r="AZ193" s="82">
        <v>132846.79</v>
      </c>
      <c r="BA193" s="83">
        <v>26708.7</v>
      </c>
      <c r="BB193" s="82">
        <v>163408.16</v>
      </c>
      <c r="BC193" s="82">
        <v>11462.71</v>
      </c>
      <c r="BD193" s="82">
        <v>138440.39000000001</v>
      </c>
      <c r="BE193" s="82">
        <v>17977.28</v>
      </c>
      <c r="BF193" s="82">
        <v>162400.62</v>
      </c>
      <c r="BG193" s="82">
        <v>16427.419999999998</v>
      </c>
      <c r="BH193" s="82">
        <v>152314.68</v>
      </c>
      <c r="BI193" s="82">
        <v>7498.53</v>
      </c>
      <c r="BJ193" s="82">
        <v>152422.48000000001</v>
      </c>
      <c r="BK193" s="82">
        <v>11318.52</v>
      </c>
      <c r="BL193" s="82">
        <v>172335.99</v>
      </c>
      <c r="BM193" s="82">
        <v>11861.71</v>
      </c>
      <c r="BN193" s="82">
        <v>170123.38</v>
      </c>
      <c r="BO193" s="82">
        <v>7252.23</v>
      </c>
      <c r="BP193" s="82">
        <v>155323.56</v>
      </c>
      <c r="BQ193" s="82">
        <v>12640.82</v>
      </c>
      <c r="BR193" s="83">
        <v>175074.4</v>
      </c>
      <c r="BS193" s="82">
        <v>9843.2900000000009</v>
      </c>
      <c r="BT193" s="82">
        <v>182126.68</v>
      </c>
      <c r="BU193" s="82">
        <v>13527.61</v>
      </c>
      <c r="BV193" s="82">
        <v>169680.94</v>
      </c>
    </row>
    <row r="194" spans="1:74">
      <c r="A194" s="78" t="s">
        <v>818</v>
      </c>
      <c r="B194" s="78" t="s">
        <v>812</v>
      </c>
      <c r="C194" s="81">
        <v>7412.85</v>
      </c>
      <c r="D194" s="84">
        <v>3898.2</v>
      </c>
      <c r="E194" s="81">
        <v>2685.61</v>
      </c>
      <c r="F194" s="84">
        <v>3163.8</v>
      </c>
      <c r="G194" s="81">
        <v>4190.22</v>
      </c>
      <c r="H194" s="81">
        <v>4984.97</v>
      </c>
      <c r="I194" s="81">
        <v>7809.25</v>
      </c>
      <c r="J194" s="81">
        <v>4750.1099999999997</v>
      </c>
      <c r="K194" s="81">
        <v>3869.14</v>
      </c>
      <c r="L194" s="84">
        <v>4195.2</v>
      </c>
      <c r="M194" s="81">
        <v>5613.88</v>
      </c>
      <c r="N194" s="84">
        <v>4557.2</v>
      </c>
      <c r="O194" s="81">
        <v>5247.34</v>
      </c>
      <c r="P194" s="84">
        <v>7516.8</v>
      </c>
      <c r="Q194" s="81">
        <v>4502.91</v>
      </c>
      <c r="R194" s="84">
        <v>4439.3999999999996</v>
      </c>
      <c r="S194" s="84">
        <v>5770.1</v>
      </c>
      <c r="T194" s="84">
        <v>6866.6</v>
      </c>
      <c r="U194" s="81">
        <v>2334.64</v>
      </c>
      <c r="V194" s="84">
        <v>4832.8</v>
      </c>
      <c r="W194" s="81">
        <v>1966.28</v>
      </c>
      <c r="X194" s="81">
        <v>3400.99</v>
      </c>
      <c r="Y194" s="81">
        <v>4442.6499999999996</v>
      </c>
      <c r="Z194" s="84">
        <v>5375.8</v>
      </c>
      <c r="AA194" s="81">
        <v>4401.3500000000004</v>
      </c>
      <c r="AB194" s="81">
        <v>5179.38</v>
      </c>
      <c r="AC194" s="81">
        <v>4689.09</v>
      </c>
      <c r="AD194" s="81">
        <v>4944.87</v>
      </c>
      <c r="AE194" s="81">
        <v>4074.33</v>
      </c>
      <c r="AF194" s="81">
        <v>3807.16</v>
      </c>
      <c r="AG194" s="84">
        <v>6871.1</v>
      </c>
      <c r="AH194" s="84">
        <v>3754</v>
      </c>
      <c r="AI194" s="81">
        <v>5067.63</v>
      </c>
      <c r="AJ194" s="81">
        <v>2423.25</v>
      </c>
      <c r="AK194" s="81">
        <v>5467.75</v>
      </c>
      <c r="AL194" s="81">
        <v>5674.28</v>
      </c>
      <c r="AM194" s="81">
        <v>4744.6099999999997</v>
      </c>
      <c r="AN194" s="81">
        <v>7673.86</v>
      </c>
      <c r="AO194" s="81">
        <v>4970.28</v>
      </c>
      <c r="AP194" s="84">
        <v>6960.2</v>
      </c>
      <c r="AQ194" s="81">
        <v>5940.38</v>
      </c>
      <c r="AR194" s="84">
        <v>9129.2000000000007</v>
      </c>
      <c r="AS194" s="84">
        <v>4100.8999999999996</v>
      </c>
      <c r="AT194" s="84">
        <v>8815.4</v>
      </c>
      <c r="AU194" s="84">
        <v>3473.6</v>
      </c>
      <c r="AV194" s="81">
        <v>9644.3799999999992</v>
      </c>
      <c r="AW194" s="81">
        <v>4041.21</v>
      </c>
      <c r="AX194" s="84">
        <v>8260</v>
      </c>
      <c r="AY194" s="81">
        <v>7168.52</v>
      </c>
      <c r="AZ194" s="84">
        <v>2024.8</v>
      </c>
      <c r="BA194" s="84">
        <v>8433.1</v>
      </c>
      <c r="BB194" s="84">
        <v>1439.2</v>
      </c>
      <c r="BC194" s="84">
        <v>6914.5</v>
      </c>
      <c r="BD194" s="84">
        <v>1474.2</v>
      </c>
      <c r="BE194" s="84">
        <v>7752.5</v>
      </c>
      <c r="BF194" s="81">
        <v>3679.57</v>
      </c>
      <c r="BG194" s="81">
        <v>8009.54</v>
      </c>
      <c r="BH194" s="81">
        <v>1458.83</v>
      </c>
      <c r="BI194" s="84">
        <v>7325.2</v>
      </c>
      <c r="BJ194" s="81">
        <v>834.76</v>
      </c>
      <c r="BK194" s="81">
        <v>9245.26</v>
      </c>
      <c r="BL194" s="81">
        <v>1485.04</v>
      </c>
      <c r="BM194" s="81">
        <v>11330.16</v>
      </c>
      <c r="BN194" s="81">
        <v>3727.63</v>
      </c>
      <c r="BO194" s="81">
        <v>8926.27</v>
      </c>
      <c r="BP194" s="81">
        <v>4768.8100000000004</v>
      </c>
      <c r="BQ194" s="81">
        <v>6618.78</v>
      </c>
      <c r="BR194" s="84">
        <v>3053.4</v>
      </c>
      <c r="BS194" s="81">
        <v>7330.72</v>
      </c>
      <c r="BT194" s="81">
        <v>4641.79</v>
      </c>
      <c r="BU194" s="81">
        <v>6397.68</v>
      </c>
      <c r="BV194" s="81">
        <v>1124.1099999999999</v>
      </c>
    </row>
    <row r="195" spans="1:74">
      <c r="A195" s="78" t="s">
        <v>819</v>
      </c>
      <c r="B195" s="78" t="s">
        <v>813</v>
      </c>
      <c r="C195" s="83">
        <v>2394</v>
      </c>
      <c r="D195" s="82">
        <v>6082.34</v>
      </c>
      <c r="E195" s="83">
        <v>2616.8000000000002</v>
      </c>
      <c r="F195" s="82">
        <v>2154.37</v>
      </c>
      <c r="G195" s="82">
        <v>3567.48</v>
      </c>
      <c r="H195" s="82">
        <v>6881.23</v>
      </c>
      <c r="I195" s="83">
        <v>2459.1999999999998</v>
      </c>
      <c r="J195" s="82">
        <v>4579.6400000000003</v>
      </c>
      <c r="K195" s="82">
        <v>3559.77</v>
      </c>
      <c r="L195" s="82">
        <v>2328.0100000000002</v>
      </c>
      <c r="M195" s="83">
        <v>2797.2</v>
      </c>
      <c r="N195" s="82">
        <v>2265.54</v>
      </c>
      <c r="O195" s="83">
        <v>3726.4</v>
      </c>
      <c r="P195" s="82">
        <v>6533.46</v>
      </c>
      <c r="Q195" s="83">
        <v>2426.3000000000002</v>
      </c>
      <c r="R195" s="82">
        <v>2088.11</v>
      </c>
      <c r="S195" s="83">
        <v>4938.7</v>
      </c>
      <c r="T195" s="82">
        <v>3456.84</v>
      </c>
      <c r="U195" s="83">
        <v>2450.6</v>
      </c>
      <c r="V195" s="82">
        <v>1920.08</v>
      </c>
      <c r="W195" s="83">
        <v>2883.4</v>
      </c>
      <c r="X195" s="83">
        <v>2189.6</v>
      </c>
      <c r="Y195" s="82">
        <v>3966.54</v>
      </c>
      <c r="Z195" s="82">
        <v>9638.73</v>
      </c>
      <c r="AA195" s="83">
        <v>5971.8</v>
      </c>
      <c r="AB195" s="82">
        <v>5.45</v>
      </c>
      <c r="AC195" s="82">
        <v>4298.6400000000003</v>
      </c>
      <c r="AD195" s="82">
        <v>3080.73</v>
      </c>
      <c r="AE195" s="83">
        <v>8390.5</v>
      </c>
      <c r="AF195" s="82">
        <v>427.36</v>
      </c>
      <c r="AG195" s="82">
        <v>4457.3599999999997</v>
      </c>
      <c r="AH195" s="82">
        <v>2.04</v>
      </c>
      <c r="AI195" s="83">
        <v>6300.6</v>
      </c>
      <c r="AJ195" s="82">
        <v>382.35</v>
      </c>
      <c r="AK195" s="82">
        <v>3884.67</v>
      </c>
      <c r="AL195" s="82">
        <v>82.35</v>
      </c>
      <c r="AM195" s="83">
        <v>4041.2</v>
      </c>
      <c r="AN195" s="82">
        <v>9145.43</v>
      </c>
      <c r="AO195" s="82">
        <v>4021.52</v>
      </c>
      <c r="AP195" s="82">
        <v>8990.27</v>
      </c>
      <c r="AQ195" s="82">
        <v>3170.81</v>
      </c>
      <c r="AR195" s="82">
        <v>3104.69</v>
      </c>
      <c r="AS195" s="83">
        <v>2581.8000000000002</v>
      </c>
      <c r="AT195" s="82">
        <v>5099.75</v>
      </c>
      <c r="AU195" s="82">
        <v>4342.96</v>
      </c>
      <c r="AV195" s="82">
        <v>7526.32</v>
      </c>
      <c r="AW195" s="82">
        <v>4424.16</v>
      </c>
      <c r="AX195" s="82">
        <v>2703.96</v>
      </c>
      <c r="AY195" s="83">
        <v>240</v>
      </c>
      <c r="AZ195" s="82">
        <v>4565.0200000000004</v>
      </c>
      <c r="BA195" s="83">
        <v>120</v>
      </c>
      <c r="BB195" s="82">
        <v>2880.58</v>
      </c>
      <c r="BC195" s="83">
        <v>267</v>
      </c>
      <c r="BD195" s="82">
        <v>5037.21</v>
      </c>
      <c r="BE195" s="82">
        <v>0.02</v>
      </c>
      <c r="BF195" s="82">
        <v>2628.23</v>
      </c>
      <c r="BG195" s="83">
        <v>1510.8</v>
      </c>
      <c r="BH195" s="82">
        <v>1269.4100000000001</v>
      </c>
      <c r="BI195" s="83">
        <v>450</v>
      </c>
      <c r="BJ195" s="82">
        <v>973.49</v>
      </c>
      <c r="BK195" s="83">
        <v>30</v>
      </c>
      <c r="BL195" s="82">
        <v>3289.53</v>
      </c>
      <c r="BM195" s="83">
        <v>360</v>
      </c>
      <c r="BN195" s="82">
        <v>2752.35</v>
      </c>
      <c r="BO195" s="83">
        <v>315</v>
      </c>
      <c r="BP195" s="82">
        <v>2477.5500000000002</v>
      </c>
      <c r="BQ195" s="82">
        <v>244.09</v>
      </c>
      <c r="BR195" s="82">
        <v>4610.33</v>
      </c>
      <c r="BS195" s="82">
        <v>226.54</v>
      </c>
      <c r="BT195" s="82">
        <v>2507.02</v>
      </c>
      <c r="BU195" s="83">
        <v>105</v>
      </c>
      <c r="BV195" s="82">
        <v>770.46</v>
      </c>
    </row>
    <row r="196" spans="1:74">
      <c r="A196" s="78" t="s">
        <v>820</v>
      </c>
      <c r="B196" s="78" t="s">
        <v>821</v>
      </c>
      <c r="C196" s="81">
        <v>2601.37</v>
      </c>
      <c r="D196" s="81">
        <v>45.33</v>
      </c>
      <c r="E196" s="81">
        <v>3917.03</v>
      </c>
      <c r="F196" s="81">
        <v>753.18</v>
      </c>
      <c r="G196" s="81">
        <v>3377.85</v>
      </c>
      <c r="H196" s="81">
        <v>384.46</v>
      </c>
      <c r="I196" s="81">
        <v>3210.85</v>
      </c>
      <c r="J196" s="81">
        <v>386.36</v>
      </c>
      <c r="K196" s="81">
        <v>2576.79</v>
      </c>
      <c r="L196" s="81">
        <v>493.86</v>
      </c>
      <c r="M196" s="81">
        <v>4210.6099999999997</v>
      </c>
      <c r="N196" s="81">
        <v>267.52</v>
      </c>
      <c r="O196" s="81">
        <v>3898.97</v>
      </c>
      <c r="P196" s="81">
        <v>300.57</v>
      </c>
      <c r="Q196" s="81">
        <v>3213.48</v>
      </c>
      <c r="R196" s="81">
        <v>268.57</v>
      </c>
      <c r="S196" s="81">
        <v>3098.18</v>
      </c>
      <c r="T196" s="81">
        <v>899.14</v>
      </c>
      <c r="U196" s="81">
        <v>2277.35</v>
      </c>
      <c r="V196" s="81">
        <v>2204.9499999999998</v>
      </c>
      <c r="W196" s="81">
        <v>2259.2600000000002</v>
      </c>
      <c r="X196" s="84">
        <v>1498.1</v>
      </c>
      <c r="Y196" s="81">
        <v>1034.0899999999999</v>
      </c>
      <c r="Z196" s="81">
        <v>3487.18</v>
      </c>
      <c r="AA196" s="81">
        <v>2816.12</v>
      </c>
      <c r="AB196" s="81">
        <v>2630.25</v>
      </c>
      <c r="AC196" s="81">
        <v>3891.69</v>
      </c>
      <c r="AD196" s="81">
        <v>2163.17</v>
      </c>
      <c r="AE196" s="81">
        <v>1910.68</v>
      </c>
      <c r="AF196" s="81">
        <v>1065.96</v>
      </c>
      <c r="AG196" s="81">
        <v>260.77</v>
      </c>
      <c r="AH196" s="81">
        <v>3539.53</v>
      </c>
      <c r="AI196" s="81">
        <v>116.21</v>
      </c>
      <c r="AJ196" s="81">
        <v>4443.55</v>
      </c>
      <c r="AK196" s="81">
        <v>294.27999999999997</v>
      </c>
      <c r="AL196" s="81">
        <v>466.38</v>
      </c>
      <c r="AM196" s="81">
        <v>442.13</v>
      </c>
      <c r="AN196" s="81">
        <v>1948.72</v>
      </c>
      <c r="AO196" s="81">
        <v>1577.84</v>
      </c>
      <c r="AP196" s="81">
        <v>1917.06</v>
      </c>
      <c r="AQ196" s="81">
        <v>545.94000000000005</v>
      </c>
      <c r="AR196" s="81">
        <v>3021.36</v>
      </c>
      <c r="AS196" s="81">
        <v>203.45</v>
      </c>
      <c r="AT196" s="81">
        <v>4710.7299999999996</v>
      </c>
      <c r="AU196" s="81">
        <v>886.08</v>
      </c>
      <c r="AV196" s="81">
        <v>3839.71</v>
      </c>
      <c r="AW196" s="81">
        <v>636.92999999999995</v>
      </c>
      <c r="AX196" s="81">
        <v>2970.91</v>
      </c>
      <c r="AY196" s="84">
        <v>6983.8</v>
      </c>
      <c r="AZ196" s="81">
        <v>3929.08</v>
      </c>
      <c r="BA196" s="81">
        <v>5600.03</v>
      </c>
      <c r="BB196" s="81">
        <v>2230.46</v>
      </c>
      <c r="BC196" s="84">
        <v>8484.2999999999993</v>
      </c>
      <c r="BD196" s="81">
        <v>4479.1899999999996</v>
      </c>
      <c r="BE196" s="81">
        <v>5768.99</v>
      </c>
      <c r="BF196" s="81">
        <v>10416.73</v>
      </c>
      <c r="BG196" s="81">
        <v>4203.99</v>
      </c>
      <c r="BH196" s="84">
        <v>4423.8</v>
      </c>
      <c r="BI196" s="81">
        <v>4680.29</v>
      </c>
      <c r="BJ196" s="81">
        <v>3422.89</v>
      </c>
      <c r="BK196" s="84">
        <v>2809.4</v>
      </c>
      <c r="BL196" s="81">
        <v>5640.12</v>
      </c>
      <c r="BM196" s="81">
        <v>3196.67</v>
      </c>
      <c r="BN196" s="81">
        <v>7097.19</v>
      </c>
      <c r="BO196" s="81">
        <v>2151.16</v>
      </c>
      <c r="BP196" s="84">
        <v>5672.3</v>
      </c>
      <c r="BQ196" s="81">
        <v>2667.35</v>
      </c>
      <c r="BR196" s="81">
        <v>8154.69</v>
      </c>
      <c r="BS196" s="81">
        <v>3429.16</v>
      </c>
      <c r="BT196" s="81">
        <v>4669.88</v>
      </c>
      <c r="BU196" s="84">
        <v>2757.1</v>
      </c>
      <c r="BV196" s="81">
        <v>4365.8500000000004</v>
      </c>
    </row>
    <row r="197" spans="1:74">
      <c r="A197" s="78" t="s">
        <v>822</v>
      </c>
      <c r="B197" s="78" t="s">
        <v>823</v>
      </c>
      <c r="C197" s="82">
        <v>9745.44</v>
      </c>
      <c r="D197" s="82">
        <v>9285.18</v>
      </c>
      <c r="E197" s="82">
        <v>10142.44</v>
      </c>
      <c r="F197" s="82">
        <v>13412.82</v>
      </c>
      <c r="G197" s="83">
        <v>10371</v>
      </c>
      <c r="H197" s="82">
        <v>23532.51</v>
      </c>
      <c r="I197" s="82">
        <v>7801.34</v>
      </c>
      <c r="J197" s="82">
        <v>47987.02</v>
      </c>
      <c r="K197" s="82">
        <v>9596.7900000000009</v>
      </c>
      <c r="L197" s="82">
        <v>14016.28</v>
      </c>
      <c r="M197" s="82">
        <v>8762.4500000000007</v>
      </c>
      <c r="N197" s="82">
        <v>15357.56</v>
      </c>
      <c r="O197" s="83">
        <v>8944.6</v>
      </c>
      <c r="P197" s="83">
        <v>9084.2000000000007</v>
      </c>
      <c r="Q197" s="82">
        <v>6461.22</v>
      </c>
      <c r="R197" s="83">
        <v>6397.4</v>
      </c>
      <c r="S197" s="82">
        <v>11195.21</v>
      </c>
      <c r="T197" s="82">
        <v>6751.93</v>
      </c>
      <c r="U197" s="82">
        <v>6990.19</v>
      </c>
      <c r="V197" s="82">
        <v>4837.67</v>
      </c>
      <c r="W197" s="83">
        <v>7528.6</v>
      </c>
      <c r="X197" s="82">
        <v>7067.37</v>
      </c>
      <c r="Y197" s="82">
        <v>9227.9599999999991</v>
      </c>
      <c r="Z197" s="82">
        <v>5508.75</v>
      </c>
      <c r="AA197" s="82">
        <v>11410.26</v>
      </c>
      <c r="AB197" s="82">
        <v>12938.94</v>
      </c>
      <c r="AC197" s="82">
        <v>7643.12</v>
      </c>
      <c r="AD197" s="82">
        <v>10851.17</v>
      </c>
      <c r="AE197" s="83">
        <v>7943.6</v>
      </c>
      <c r="AF197" s="82">
        <v>11461.47</v>
      </c>
      <c r="AG197" s="82">
        <v>16270.83</v>
      </c>
      <c r="AH197" s="82">
        <v>12669.48</v>
      </c>
      <c r="AI197" s="83">
        <v>8785.2999999999993</v>
      </c>
      <c r="AJ197" s="82">
        <v>11015.59</v>
      </c>
      <c r="AK197" s="83">
        <v>10319.700000000001</v>
      </c>
      <c r="AL197" s="82">
        <v>7845.95</v>
      </c>
      <c r="AM197" s="82">
        <v>14695.19</v>
      </c>
      <c r="AN197" s="83">
        <v>10319.299999999999</v>
      </c>
      <c r="AO197" s="82">
        <v>9971.3700000000008</v>
      </c>
      <c r="AP197" s="82">
        <v>9141.0499999999993</v>
      </c>
      <c r="AQ197" s="82">
        <v>15650.81</v>
      </c>
      <c r="AR197" s="82">
        <v>17158.25</v>
      </c>
      <c r="AS197" s="82">
        <v>7447.28</v>
      </c>
      <c r="AT197" s="82">
        <v>9740.09</v>
      </c>
      <c r="AU197" s="82">
        <v>12886.97</v>
      </c>
      <c r="AV197" s="82">
        <v>10043.48</v>
      </c>
      <c r="AW197" s="82">
        <v>21677.81</v>
      </c>
      <c r="AX197" s="82">
        <v>14353.22</v>
      </c>
      <c r="AY197" s="82">
        <v>10775.04</v>
      </c>
      <c r="AZ197" s="82">
        <v>4615.2700000000004</v>
      </c>
      <c r="BA197" s="82">
        <v>16293.44</v>
      </c>
      <c r="BB197" s="82">
        <v>3758.16</v>
      </c>
      <c r="BC197" s="82">
        <v>17608.55</v>
      </c>
      <c r="BD197" s="82">
        <v>5422.99</v>
      </c>
      <c r="BE197" s="82">
        <v>14946.36</v>
      </c>
      <c r="BF197" s="83">
        <v>11885.5</v>
      </c>
      <c r="BG197" s="82">
        <v>21925.74</v>
      </c>
      <c r="BH197" s="83">
        <v>10108.700000000001</v>
      </c>
      <c r="BI197" s="82">
        <v>17340.14</v>
      </c>
      <c r="BJ197" s="82">
        <v>5514.63</v>
      </c>
      <c r="BK197" s="82">
        <v>19483.939999999999</v>
      </c>
      <c r="BL197" s="82">
        <v>7271.48</v>
      </c>
      <c r="BM197" s="82">
        <v>16336.73</v>
      </c>
      <c r="BN197" s="82">
        <v>4009.43</v>
      </c>
      <c r="BO197" s="82">
        <v>18303.39</v>
      </c>
      <c r="BP197" s="82">
        <v>2285.64</v>
      </c>
      <c r="BQ197" s="82">
        <v>16120.58</v>
      </c>
      <c r="BR197" s="82">
        <v>2648.78</v>
      </c>
      <c r="BS197" s="82">
        <v>20886.13</v>
      </c>
      <c r="BT197" s="82">
        <v>4779.26</v>
      </c>
      <c r="BU197" s="82">
        <v>14437.38</v>
      </c>
      <c r="BV197" s="82">
        <v>4411.26</v>
      </c>
    </row>
    <row r="198" spans="1:74">
      <c r="A198" s="78" t="s">
        <v>824</v>
      </c>
      <c r="B198" s="78" t="s">
        <v>825</v>
      </c>
      <c r="C198" s="81">
        <v>47933.35</v>
      </c>
      <c r="D198" s="81">
        <v>59900.93</v>
      </c>
      <c r="E198" s="81">
        <v>46143.88</v>
      </c>
      <c r="F198" s="84">
        <v>49345.3</v>
      </c>
      <c r="G198" s="84">
        <v>49267.3</v>
      </c>
      <c r="H198" s="81">
        <v>51303.95</v>
      </c>
      <c r="I198" s="81">
        <v>42366.45</v>
      </c>
      <c r="J198" s="84">
        <v>46711</v>
      </c>
      <c r="K198" s="81">
        <v>35318.11</v>
      </c>
      <c r="L198" s="81">
        <v>48195.040000000001</v>
      </c>
      <c r="M198" s="81">
        <v>34976.78</v>
      </c>
      <c r="N198" s="81">
        <v>45783.11</v>
      </c>
      <c r="O198" s="84">
        <v>29185.8</v>
      </c>
      <c r="P198" s="81">
        <v>46197.05</v>
      </c>
      <c r="Q198" s="81">
        <v>40337.519999999997</v>
      </c>
      <c r="R198" s="84">
        <v>40661</v>
      </c>
      <c r="S198" s="81">
        <v>39449.449999999997</v>
      </c>
      <c r="T198" s="81">
        <v>47668.07</v>
      </c>
      <c r="U198" s="81">
        <v>28876.05</v>
      </c>
      <c r="V198" s="81">
        <v>53136.76</v>
      </c>
      <c r="W198" s="81">
        <v>32548.99</v>
      </c>
      <c r="X198" s="81">
        <v>56287.24</v>
      </c>
      <c r="Y198" s="81">
        <v>30137.15</v>
      </c>
      <c r="Z198" s="81">
        <v>50088.959999999999</v>
      </c>
      <c r="AA198" s="81">
        <v>31988.36</v>
      </c>
      <c r="AB198" s="81">
        <v>56668.77</v>
      </c>
      <c r="AC198" s="84">
        <v>44488.800000000003</v>
      </c>
      <c r="AD198" s="81">
        <v>33675.81</v>
      </c>
      <c r="AE198" s="81">
        <v>55551.73</v>
      </c>
      <c r="AF198" s="81">
        <v>28662.41</v>
      </c>
      <c r="AG198" s="81">
        <v>51925.46</v>
      </c>
      <c r="AH198" s="81">
        <v>32396.19</v>
      </c>
      <c r="AI198" s="81">
        <v>47622.559999999998</v>
      </c>
      <c r="AJ198" s="81">
        <v>33763.24</v>
      </c>
      <c r="AK198" s="81">
        <v>56366.85</v>
      </c>
      <c r="AL198" s="81">
        <v>29000.36</v>
      </c>
      <c r="AM198" s="84">
        <v>54257</v>
      </c>
      <c r="AN198" s="81">
        <v>37112.620000000003</v>
      </c>
      <c r="AO198" s="84">
        <v>56083.9</v>
      </c>
      <c r="AP198" s="81">
        <v>51391.69</v>
      </c>
      <c r="AQ198" s="81">
        <v>53583.19</v>
      </c>
      <c r="AR198" s="81">
        <v>39546.21</v>
      </c>
      <c r="AS198" s="81">
        <v>55300.58</v>
      </c>
      <c r="AT198" s="81">
        <v>46890.96</v>
      </c>
      <c r="AU198" s="81">
        <v>56629.64</v>
      </c>
      <c r="AV198" s="81">
        <v>40385.440000000002</v>
      </c>
      <c r="AW198" s="81">
        <v>56943.68</v>
      </c>
      <c r="AX198" s="81">
        <v>41986.879999999997</v>
      </c>
      <c r="AY198" s="81">
        <v>36241.42</v>
      </c>
      <c r="AZ198" s="81">
        <v>27174.78</v>
      </c>
      <c r="BA198" s="81">
        <v>40012.35</v>
      </c>
      <c r="BB198" s="81">
        <v>33669.620000000003</v>
      </c>
      <c r="BC198" s="81">
        <v>37232.18</v>
      </c>
      <c r="BD198" s="81">
        <v>25172.38</v>
      </c>
      <c r="BE198" s="81">
        <v>39872.61</v>
      </c>
      <c r="BF198" s="84">
        <v>25562</v>
      </c>
      <c r="BG198" s="81">
        <v>34907.019999999997</v>
      </c>
      <c r="BH198" s="81">
        <v>25600.52</v>
      </c>
      <c r="BI198" s="81">
        <v>30428.51</v>
      </c>
      <c r="BJ198" s="84">
        <v>23053.599999999999</v>
      </c>
      <c r="BK198" s="81">
        <v>40110.31</v>
      </c>
      <c r="BL198" s="81">
        <v>40848.44</v>
      </c>
      <c r="BM198" s="81">
        <v>46794.15</v>
      </c>
      <c r="BN198" s="81">
        <v>37209.81</v>
      </c>
      <c r="BO198" s="81">
        <v>42551.839999999997</v>
      </c>
      <c r="BP198" s="84">
        <v>42323.3</v>
      </c>
      <c r="BQ198" s="81">
        <v>39267.550000000003</v>
      </c>
      <c r="BR198" s="81">
        <v>39750.910000000003</v>
      </c>
      <c r="BS198" s="81">
        <v>37596.089999999997</v>
      </c>
      <c r="BT198" s="81">
        <v>44882.46</v>
      </c>
      <c r="BU198" s="81">
        <v>39789.03</v>
      </c>
      <c r="BV198" s="81">
        <v>39046.14</v>
      </c>
    </row>
    <row r="199" spans="1:74">
      <c r="A199" s="78" t="s">
        <v>826</v>
      </c>
      <c r="B199" s="78" t="s">
        <v>827</v>
      </c>
      <c r="C199" s="82">
        <v>33330.720000000001</v>
      </c>
      <c r="D199" s="82">
        <v>174680.69</v>
      </c>
      <c r="E199" s="83">
        <v>37992.199999999997</v>
      </c>
      <c r="F199" s="82">
        <v>238045.58</v>
      </c>
      <c r="G199" s="82">
        <v>44739.15</v>
      </c>
      <c r="H199" s="82">
        <v>403694.67</v>
      </c>
      <c r="I199" s="82">
        <v>25541.26</v>
      </c>
      <c r="J199" s="82">
        <v>565846.73</v>
      </c>
      <c r="K199" s="82">
        <v>18127.77</v>
      </c>
      <c r="L199" s="82">
        <v>169233.16</v>
      </c>
      <c r="M199" s="82">
        <v>25059.89</v>
      </c>
      <c r="N199" s="82">
        <v>185963.67</v>
      </c>
      <c r="O199" s="82">
        <v>15397.98</v>
      </c>
      <c r="P199" s="82">
        <v>200782.03</v>
      </c>
      <c r="Q199" s="82">
        <v>25493.62</v>
      </c>
      <c r="R199" s="82">
        <v>201146.63</v>
      </c>
      <c r="S199" s="82">
        <v>40122.559999999998</v>
      </c>
      <c r="T199" s="82">
        <v>227506.87</v>
      </c>
      <c r="U199" s="82">
        <v>32004.26</v>
      </c>
      <c r="V199" s="82">
        <v>179555.76</v>
      </c>
      <c r="W199" s="83">
        <v>37323.599999999999</v>
      </c>
      <c r="X199" s="82">
        <v>206359.47</v>
      </c>
      <c r="Y199" s="83">
        <v>34005.9</v>
      </c>
      <c r="Z199" s="82">
        <v>151922.37</v>
      </c>
      <c r="AA199" s="82">
        <v>36476.85</v>
      </c>
      <c r="AB199" s="82">
        <v>103764.32</v>
      </c>
      <c r="AC199" s="82">
        <v>46955.53</v>
      </c>
      <c r="AD199" s="82">
        <v>112747.93</v>
      </c>
      <c r="AE199" s="82">
        <v>67152.240000000005</v>
      </c>
      <c r="AF199" s="82">
        <v>119550.09</v>
      </c>
      <c r="AG199" s="82">
        <v>45341.17</v>
      </c>
      <c r="AH199" s="82">
        <v>137174.57999999999</v>
      </c>
      <c r="AI199" s="82">
        <v>29592.53</v>
      </c>
      <c r="AJ199" s="82">
        <v>110595.79</v>
      </c>
      <c r="AK199" s="82">
        <v>23920.65</v>
      </c>
      <c r="AL199" s="82">
        <v>91789.01</v>
      </c>
      <c r="AM199" s="83">
        <v>30971.5</v>
      </c>
      <c r="AN199" s="82">
        <v>129249.05</v>
      </c>
      <c r="AO199" s="82">
        <v>35902.559999999998</v>
      </c>
      <c r="AP199" s="82">
        <v>116306.37</v>
      </c>
      <c r="AQ199" s="82">
        <v>25669.02</v>
      </c>
      <c r="AR199" s="83">
        <v>127432.7</v>
      </c>
      <c r="AS199" s="82">
        <v>40451.54</v>
      </c>
      <c r="AT199" s="82">
        <v>157840.98000000001</v>
      </c>
      <c r="AU199" s="82">
        <v>27807.37</v>
      </c>
      <c r="AV199" s="82">
        <v>188394.15</v>
      </c>
      <c r="AW199" s="82">
        <v>29441.82</v>
      </c>
      <c r="AX199" s="82">
        <v>180916.51</v>
      </c>
      <c r="AY199" s="82">
        <v>20508.07</v>
      </c>
      <c r="AZ199" s="82">
        <v>61911.08</v>
      </c>
      <c r="BA199" s="82">
        <v>23087.55</v>
      </c>
      <c r="BB199" s="82">
        <v>87880.12</v>
      </c>
      <c r="BC199" s="82">
        <v>13641.91</v>
      </c>
      <c r="BD199" s="82">
        <v>67795.39</v>
      </c>
      <c r="BE199" s="83">
        <v>14319.7</v>
      </c>
      <c r="BF199" s="82">
        <v>68748.61</v>
      </c>
      <c r="BG199" s="83">
        <v>14453.2</v>
      </c>
      <c r="BH199" s="82">
        <v>51115.62</v>
      </c>
      <c r="BI199" s="83">
        <v>14118.2</v>
      </c>
      <c r="BJ199" s="83">
        <v>81147.100000000006</v>
      </c>
      <c r="BK199" s="83">
        <v>17332.8</v>
      </c>
      <c r="BL199" s="82">
        <v>81005.48</v>
      </c>
      <c r="BM199" s="83">
        <v>15160.2</v>
      </c>
      <c r="BN199" s="82">
        <v>91257.919999999998</v>
      </c>
      <c r="BO199" s="82">
        <v>15430.58</v>
      </c>
      <c r="BP199" s="83">
        <v>120547</v>
      </c>
      <c r="BQ199" s="82">
        <v>14184.69</v>
      </c>
      <c r="BR199" s="82">
        <v>113441.22</v>
      </c>
      <c r="BS199" s="82">
        <v>15077.68</v>
      </c>
      <c r="BT199" s="83">
        <v>126435.5</v>
      </c>
      <c r="BU199" s="83">
        <v>12271.6</v>
      </c>
      <c r="BV199" s="83">
        <v>106323.7</v>
      </c>
    </row>
    <row r="200" spans="1:74">
      <c r="A200" s="78" t="s">
        <v>828</v>
      </c>
      <c r="B200" s="78" t="s">
        <v>829</v>
      </c>
      <c r="C200" s="84">
        <v>35652.300000000003</v>
      </c>
      <c r="D200" s="81">
        <v>247531.42</v>
      </c>
      <c r="E200" s="84">
        <v>43214.1</v>
      </c>
      <c r="F200" s="81">
        <v>170238.76</v>
      </c>
      <c r="G200" s="81">
        <v>44577.81</v>
      </c>
      <c r="H200" s="81">
        <v>212221.47</v>
      </c>
      <c r="I200" s="81">
        <v>53739.08</v>
      </c>
      <c r="J200" s="84">
        <v>237316.6</v>
      </c>
      <c r="K200" s="81">
        <v>42190.97</v>
      </c>
      <c r="L200" s="81">
        <v>230352.36</v>
      </c>
      <c r="M200" s="81">
        <v>49960.65</v>
      </c>
      <c r="N200" s="81">
        <v>238204.42</v>
      </c>
      <c r="O200" s="81">
        <v>43998.14</v>
      </c>
      <c r="P200" s="81">
        <v>232372.97</v>
      </c>
      <c r="Q200" s="81">
        <v>45591.47</v>
      </c>
      <c r="R200" s="81">
        <v>215246.19</v>
      </c>
      <c r="S200" s="81">
        <v>54429.05</v>
      </c>
      <c r="T200" s="81">
        <v>255956.43</v>
      </c>
      <c r="U200" s="81">
        <v>48598.48</v>
      </c>
      <c r="V200" s="81">
        <v>225366.78</v>
      </c>
      <c r="W200" s="84">
        <v>37203.4</v>
      </c>
      <c r="X200" s="81">
        <v>217635.26</v>
      </c>
      <c r="Y200" s="84">
        <v>49861.7</v>
      </c>
      <c r="Z200" s="81">
        <v>210498.43</v>
      </c>
      <c r="AA200" s="81">
        <v>22477.05</v>
      </c>
      <c r="AB200" s="81">
        <v>168471.76</v>
      </c>
      <c r="AC200" s="81">
        <v>41861.51</v>
      </c>
      <c r="AD200" s="81">
        <v>140263.69</v>
      </c>
      <c r="AE200" s="81">
        <v>57545.34</v>
      </c>
      <c r="AF200" s="81">
        <v>164648.57</v>
      </c>
      <c r="AG200" s="81">
        <v>53022.45</v>
      </c>
      <c r="AH200" s="81">
        <v>204823.02</v>
      </c>
      <c r="AI200" s="81">
        <v>59613.72</v>
      </c>
      <c r="AJ200" s="81">
        <v>152133.26</v>
      </c>
      <c r="AK200" s="81">
        <v>43030.35</v>
      </c>
      <c r="AL200" s="81">
        <v>118984.23</v>
      </c>
      <c r="AM200" s="81">
        <v>58461.05</v>
      </c>
      <c r="AN200" s="81">
        <v>115025.95</v>
      </c>
      <c r="AO200" s="84">
        <v>48920</v>
      </c>
      <c r="AP200" s="81">
        <v>61388.69</v>
      </c>
      <c r="AQ200" s="81">
        <v>50541.42</v>
      </c>
      <c r="AR200" s="81">
        <v>78156.789999999994</v>
      </c>
      <c r="AS200" s="84">
        <v>53862</v>
      </c>
      <c r="AT200" s="81">
        <v>69123.59</v>
      </c>
      <c r="AU200" s="81">
        <v>43800.36</v>
      </c>
      <c r="AV200" s="81">
        <v>88636.54</v>
      </c>
      <c r="AW200" s="81">
        <v>47340.78</v>
      </c>
      <c r="AX200" s="81">
        <v>82304.42</v>
      </c>
      <c r="AY200" s="81">
        <v>26247.45</v>
      </c>
      <c r="AZ200" s="81">
        <v>37266.18</v>
      </c>
      <c r="BA200" s="81">
        <v>33702.17</v>
      </c>
      <c r="BB200" s="81">
        <v>38453.25</v>
      </c>
      <c r="BC200" s="81">
        <v>27550.11</v>
      </c>
      <c r="BD200" s="81">
        <v>42701.71</v>
      </c>
      <c r="BE200" s="81">
        <v>26610.58</v>
      </c>
      <c r="BF200" s="81">
        <v>78176.45</v>
      </c>
      <c r="BG200" s="81">
        <v>24510.59</v>
      </c>
      <c r="BH200" s="81">
        <v>74185.25</v>
      </c>
      <c r="BI200" s="81">
        <v>25566.44</v>
      </c>
      <c r="BJ200" s="81">
        <v>60332.56</v>
      </c>
      <c r="BK200" s="81">
        <v>33584.339999999997</v>
      </c>
      <c r="BL200" s="81">
        <v>56694.91</v>
      </c>
      <c r="BM200" s="81">
        <v>25246.97</v>
      </c>
      <c r="BN200" s="81">
        <v>47958.27</v>
      </c>
      <c r="BO200" s="81">
        <v>21307.42</v>
      </c>
      <c r="BP200" s="81">
        <v>29577.16</v>
      </c>
      <c r="BQ200" s="81">
        <v>19951.13</v>
      </c>
      <c r="BR200" s="81">
        <v>38381.21</v>
      </c>
      <c r="BS200" s="81">
        <v>19651.63</v>
      </c>
      <c r="BT200" s="81">
        <v>29199.62</v>
      </c>
      <c r="BU200" s="84">
        <v>14824.8</v>
      </c>
      <c r="BV200" s="84">
        <v>29941.1</v>
      </c>
    </row>
    <row r="201" spans="1:74">
      <c r="A201" s="78" t="s">
        <v>830</v>
      </c>
      <c r="B201" s="78" t="s">
        <v>831</v>
      </c>
      <c r="C201" s="83">
        <v>125518</v>
      </c>
      <c r="D201" s="83">
        <v>63892.9</v>
      </c>
      <c r="E201" s="82">
        <v>182887.37</v>
      </c>
      <c r="F201" s="83">
        <v>53237.7</v>
      </c>
      <c r="G201" s="82">
        <v>163961.57999999999</v>
      </c>
      <c r="H201" s="83">
        <v>62146.400000000001</v>
      </c>
      <c r="I201" s="82">
        <v>149457.31</v>
      </c>
      <c r="J201" s="82">
        <v>67258.850000000006</v>
      </c>
      <c r="K201" s="82">
        <v>122610.36</v>
      </c>
      <c r="L201" s="82">
        <v>159101.03</v>
      </c>
      <c r="M201" s="82">
        <v>213327.26</v>
      </c>
      <c r="N201" s="82">
        <v>72399.350000000006</v>
      </c>
      <c r="O201" s="82">
        <v>129962.11</v>
      </c>
      <c r="P201" s="83">
        <v>57491.6</v>
      </c>
      <c r="Q201" s="82">
        <v>157694.04</v>
      </c>
      <c r="R201" s="82">
        <v>71794.61</v>
      </c>
      <c r="S201" s="82">
        <v>170568.44</v>
      </c>
      <c r="T201" s="82">
        <v>81904.95</v>
      </c>
      <c r="U201" s="83">
        <v>163351.9</v>
      </c>
      <c r="V201" s="82">
        <v>93589.24</v>
      </c>
      <c r="W201" s="82">
        <v>179869.68</v>
      </c>
      <c r="X201" s="83">
        <v>65250.5</v>
      </c>
      <c r="Y201" s="82">
        <v>107131.34</v>
      </c>
      <c r="Z201" s="82">
        <v>55441.67</v>
      </c>
      <c r="AA201" s="82">
        <v>212283.69</v>
      </c>
      <c r="AB201" s="82">
        <v>94634.51</v>
      </c>
      <c r="AC201" s="82">
        <v>236818.38</v>
      </c>
      <c r="AD201" s="82">
        <v>81839.13</v>
      </c>
      <c r="AE201" s="82">
        <v>163419.45000000001</v>
      </c>
      <c r="AF201" s="82">
        <v>124350.19</v>
      </c>
      <c r="AG201" s="82">
        <v>233728.31</v>
      </c>
      <c r="AH201" s="82">
        <v>109376.56</v>
      </c>
      <c r="AI201" s="82">
        <v>281470.48</v>
      </c>
      <c r="AJ201" s="82">
        <v>97231.16</v>
      </c>
      <c r="AK201" s="82">
        <v>180139.12</v>
      </c>
      <c r="AL201" s="82">
        <v>129578.48</v>
      </c>
      <c r="AM201" s="82">
        <v>254238.06</v>
      </c>
      <c r="AN201" s="83">
        <v>56162.7</v>
      </c>
      <c r="AO201" s="83">
        <v>265794.40000000002</v>
      </c>
      <c r="AP201" s="82">
        <v>210232.41</v>
      </c>
      <c r="AQ201" s="82">
        <v>252504.59</v>
      </c>
      <c r="AR201" s="82">
        <v>130795.96</v>
      </c>
      <c r="AS201" s="82">
        <v>236503.41</v>
      </c>
      <c r="AT201" s="82">
        <v>183521.74</v>
      </c>
      <c r="AU201" s="82">
        <v>190393.04</v>
      </c>
      <c r="AV201" s="83">
        <v>158856.29999999999</v>
      </c>
      <c r="AW201" s="82">
        <v>163605.13</v>
      </c>
      <c r="AX201" s="82">
        <v>64037.54</v>
      </c>
      <c r="AY201" s="82">
        <v>155184.59</v>
      </c>
      <c r="AZ201" s="82">
        <v>84146.96</v>
      </c>
      <c r="BA201" s="82">
        <v>223217.46</v>
      </c>
      <c r="BB201" s="82">
        <v>155502.57999999999</v>
      </c>
      <c r="BC201" s="83">
        <v>221324.79999999999</v>
      </c>
      <c r="BD201" s="83">
        <v>108212</v>
      </c>
      <c r="BE201" s="82">
        <v>184196.22</v>
      </c>
      <c r="BF201" s="82">
        <v>118898.56</v>
      </c>
      <c r="BG201" s="82">
        <v>213075.36</v>
      </c>
      <c r="BH201" s="83">
        <v>123219.4</v>
      </c>
      <c r="BI201" s="82">
        <v>210140.89</v>
      </c>
      <c r="BJ201" s="82">
        <v>196854.97</v>
      </c>
      <c r="BK201" s="82">
        <v>243294.44</v>
      </c>
      <c r="BL201" s="82">
        <v>121352.33</v>
      </c>
      <c r="BM201" s="82">
        <v>97411.58</v>
      </c>
      <c r="BN201" s="82">
        <v>94932.98</v>
      </c>
      <c r="BO201" s="82">
        <v>188930.23</v>
      </c>
      <c r="BP201" s="82">
        <v>132297.35999999999</v>
      </c>
      <c r="BQ201" s="82">
        <v>259402.82</v>
      </c>
      <c r="BR201" s="82">
        <v>87232.13</v>
      </c>
      <c r="BS201" s="82">
        <v>193963.02</v>
      </c>
      <c r="BT201" s="82">
        <v>113276.26</v>
      </c>
      <c r="BU201" s="82">
        <v>348701.39</v>
      </c>
      <c r="BV201" s="82">
        <v>173798.99</v>
      </c>
    </row>
    <row r="202" spans="1:74">
      <c r="A202" s="78" t="s">
        <v>832</v>
      </c>
      <c r="B202" s="78" t="s">
        <v>211</v>
      </c>
      <c r="C202" s="84">
        <v>50534</v>
      </c>
      <c r="D202" s="84">
        <v>7216.4</v>
      </c>
      <c r="E202" s="81">
        <v>100087.75</v>
      </c>
      <c r="F202" s="84">
        <v>5113.6000000000004</v>
      </c>
      <c r="G202" s="84">
        <v>8425.5</v>
      </c>
      <c r="H202" s="84">
        <v>6876.6</v>
      </c>
      <c r="I202" s="81">
        <v>34856.730000000003</v>
      </c>
      <c r="J202" s="84">
        <v>6100.4</v>
      </c>
      <c r="K202" s="81">
        <v>61080.43</v>
      </c>
      <c r="L202" s="81">
        <v>6717.64</v>
      </c>
      <c r="M202" s="81">
        <v>30983.45</v>
      </c>
      <c r="N202" s="84">
        <v>8807.2000000000007</v>
      </c>
      <c r="O202" s="81">
        <v>10245.450000000001</v>
      </c>
      <c r="P202" s="84">
        <v>4498.2</v>
      </c>
      <c r="Q202" s="84">
        <v>38027.5</v>
      </c>
      <c r="R202" s="84">
        <v>2908</v>
      </c>
      <c r="S202" s="81">
        <v>33766.75</v>
      </c>
      <c r="T202" s="84">
        <v>4086.2</v>
      </c>
      <c r="U202" s="81">
        <v>32194.05</v>
      </c>
      <c r="V202" s="84">
        <v>7074.2</v>
      </c>
      <c r="W202" s="84">
        <v>5770.1</v>
      </c>
      <c r="X202" s="84">
        <v>2520.1999999999998</v>
      </c>
      <c r="Y202" s="81">
        <v>43428.45</v>
      </c>
      <c r="Z202" s="84">
        <v>586.4</v>
      </c>
      <c r="AA202" s="81">
        <v>29328.94</v>
      </c>
      <c r="AB202" s="81">
        <v>9441.93</v>
      </c>
      <c r="AC202" s="84">
        <v>2069</v>
      </c>
      <c r="AD202" s="84">
        <v>6129.4</v>
      </c>
      <c r="AE202" s="81">
        <v>57598.080000000002</v>
      </c>
      <c r="AF202" s="84">
        <v>8894.2000000000007</v>
      </c>
      <c r="AG202" s="81">
        <v>32567.14</v>
      </c>
      <c r="AH202" s="84">
        <v>9360.6</v>
      </c>
      <c r="AI202" s="84">
        <v>2603.8000000000002</v>
      </c>
      <c r="AJ202" s="81">
        <v>6161.35</v>
      </c>
      <c r="AK202" s="81">
        <v>55387.86</v>
      </c>
      <c r="AL202" s="81">
        <v>5323.15</v>
      </c>
      <c r="AM202" s="84">
        <v>25763</v>
      </c>
      <c r="AN202" s="81">
        <v>6192.76</v>
      </c>
      <c r="AO202" s="84">
        <v>27366.799999999999</v>
      </c>
      <c r="AP202" s="81">
        <v>9980.75</v>
      </c>
      <c r="AQ202" s="84">
        <v>27198.2</v>
      </c>
      <c r="AR202" s="84">
        <v>6161.2</v>
      </c>
      <c r="AS202" s="84">
        <v>32437.8</v>
      </c>
      <c r="AT202" s="84">
        <v>7780.2</v>
      </c>
      <c r="AU202" s="84">
        <v>3882.8</v>
      </c>
      <c r="AV202" s="84">
        <v>6581</v>
      </c>
      <c r="AW202" s="81">
        <v>54289.26</v>
      </c>
      <c r="AX202" s="81">
        <v>7104.36</v>
      </c>
      <c r="AY202" s="81">
        <v>29445.34</v>
      </c>
      <c r="AZ202" s="84">
        <v>4265.1000000000004</v>
      </c>
      <c r="BA202" s="81">
        <v>25170.68</v>
      </c>
      <c r="BB202" s="81">
        <v>6534.44</v>
      </c>
      <c r="BC202" s="81">
        <v>25412.59</v>
      </c>
      <c r="BD202" s="81">
        <v>4259.99</v>
      </c>
      <c r="BE202" s="81">
        <v>26112.48</v>
      </c>
      <c r="BF202" s="81">
        <v>4569.38</v>
      </c>
      <c r="BG202" s="81">
        <v>16299.64</v>
      </c>
      <c r="BH202" s="81">
        <v>7085.39</v>
      </c>
      <c r="BI202" s="84">
        <v>51999.3</v>
      </c>
      <c r="BJ202" s="84">
        <v>5819.2</v>
      </c>
      <c r="BK202" s="81">
        <v>33370.75</v>
      </c>
      <c r="BL202" s="84">
        <v>3469.6</v>
      </c>
      <c r="BM202" s="81">
        <v>31411.759999999998</v>
      </c>
      <c r="BN202" s="84">
        <v>6319.2</v>
      </c>
      <c r="BO202" s="81">
        <v>23958.09</v>
      </c>
      <c r="BP202" s="81">
        <v>3493.46</v>
      </c>
      <c r="BQ202" s="81">
        <v>29233.08</v>
      </c>
      <c r="BR202" s="81">
        <v>3672.44</v>
      </c>
      <c r="BS202" s="81">
        <v>29667.040000000001</v>
      </c>
      <c r="BT202" s="81">
        <v>5334.04</v>
      </c>
      <c r="BU202" s="81">
        <v>29357.33</v>
      </c>
      <c r="BV202" s="81">
        <v>4364.92</v>
      </c>
    </row>
    <row r="204" spans="1:74">
      <c r="A204" s="74" t="s">
        <v>833</v>
      </c>
    </row>
    <row r="205" spans="1:74">
      <c r="A205" s="74" t="s">
        <v>195</v>
      </c>
      <c r="B205" s="72" t="s">
        <v>834</v>
      </c>
    </row>
  </sheetData>
  <mergeCells count="38">
    <mergeCell ref="BU10:BV10"/>
    <mergeCell ref="A11:B11"/>
    <mergeCell ref="BI10:BJ10"/>
    <mergeCell ref="BK10:BL10"/>
    <mergeCell ref="BM10:BN10"/>
    <mergeCell ref="BO10:BP10"/>
    <mergeCell ref="BQ10:BR10"/>
    <mergeCell ref="BS10:BT10"/>
    <mergeCell ref="AW10:AX10"/>
    <mergeCell ref="AY10:AZ10"/>
    <mergeCell ref="BA10:BB10"/>
    <mergeCell ref="BC10:BD10"/>
    <mergeCell ref="BE10:BF10"/>
    <mergeCell ref="BG10:BH10"/>
    <mergeCell ref="AK10:AL10"/>
    <mergeCell ref="AM10:AN10"/>
    <mergeCell ref="AO10:AP10"/>
    <mergeCell ref="AQ10:AR10"/>
    <mergeCell ref="AS10:AT10"/>
    <mergeCell ref="AU10:AV10"/>
    <mergeCell ref="Y10:Z10"/>
    <mergeCell ref="AA10:AB10"/>
    <mergeCell ref="AC10:AD10"/>
    <mergeCell ref="AE10:AF10"/>
    <mergeCell ref="AG10:AH10"/>
    <mergeCell ref="AI10:AJ10"/>
    <mergeCell ref="W10:X10"/>
    <mergeCell ref="A10:B10"/>
    <mergeCell ref="C10:D10"/>
    <mergeCell ref="E10:F10"/>
    <mergeCell ref="G10:H10"/>
    <mergeCell ref="I10:J10"/>
    <mergeCell ref="K10:L10"/>
    <mergeCell ref="M10:N10"/>
    <mergeCell ref="O10:P10"/>
    <mergeCell ref="Q10:R10"/>
    <mergeCell ref="S10:T10"/>
    <mergeCell ref="U10:V10"/>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EFB7-5961-4099-9B7F-4D233C03B73E}">
  <sheetPr>
    <tabColor rgb="FF92D050"/>
  </sheetPr>
  <dimension ref="A1:S13"/>
  <sheetViews>
    <sheetView workbookViewId="0">
      <pane xSplit="2" ySplit="1" topLeftCell="C2" activePane="bottomRight" state="frozen"/>
      <selection activeCell="F19" sqref="F19"/>
      <selection pane="topRight" activeCell="F19" sqref="F19"/>
      <selection pane="bottomLeft" activeCell="F19" sqref="F19"/>
      <selection pane="bottomRight" activeCell="Q15" sqref="Q15"/>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1" width="12.109375" style="26" customWidth="1"/>
    <col min="12" max="13" width="14.44140625" style="26" customWidth="1"/>
    <col min="14" max="14" width="12.109375" style="26" customWidth="1"/>
    <col min="15" max="17" width="14.44140625" style="26" customWidth="1"/>
    <col min="18" max="18" width="12.33203125" customWidth="1"/>
    <col min="19" max="19" width="17.44140625" customWidth="1"/>
  </cols>
  <sheetData>
    <row r="1" spans="1:19" ht="63.6"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Secteurs!$B$2</f>
        <v>Récolte</v>
      </c>
      <c r="B2" t="str">
        <f>Produits!$B$2</f>
        <v>Grains récoltés</v>
      </c>
      <c r="C2" s="569">
        <f>'Riz - Diverses'!E10</f>
        <v>80.735700000000008</v>
      </c>
      <c r="E2" t="str">
        <f>Etiquettes!$C$3</f>
        <v>kt</v>
      </c>
      <c r="F2" s="26" t="str">
        <f>Etiquettes!$Q$6</f>
        <v>Riz</v>
      </c>
      <c r="G2" s="26" t="str">
        <f>Etiquettes!$H$5</f>
        <v>2015-16</v>
      </c>
      <c r="H2" t="str">
        <f>Etiquettes!$C$4</f>
        <v>France entière</v>
      </c>
      <c r="I2" t="s">
        <v>1106</v>
      </c>
      <c r="J2"/>
      <c r="K2" t="s">
        <v>1595</v>
      </c>
      <c r="L2" s="26" t="str" cm="1">
        <f t="array" aca="1" ref="L2" ca="1">[1]!NOM_FEUILLE('Riz - Diverses'!$A$1:$B$1)</f>
        <v>Riz - Diverses</v>
      </c>
      <c r="M2" s="26" t="str">
        <f>Etiquettes!$H$11</f>
        <v>Volume</v>
      </c>
      <c r="N2" t="str">
        <f t="shared" ref="N2:N11" si="0">_xlfn.CONCAT(I2,IF(ISBLANK(C2),"",_xlfn.CONCAT(" = ",MROUND(C2,1)," ",E2))," (",K2,")")</f>
        <v>Récolte = 81 kt (Statistique Agricole Annuelle - SSP)</v>
      </c>
      <c r="O2" s="26" t="str">
        <f>Etiquettes!$K$15</f>
        <v>Approximative</v>
      </c>
      <c r="P2" s="603" t="str">
        <f>Etiquettes!$H$16</f>
        <v>Données collectées</v>
      </c>
      <c r="Q2" s="603" t="str">
        <f>Etiquettes!$H$17</f>
        <v>Donnée collectée (valeur du flux ou coefficient)</v>
      </c>
      <c r="R2" s="590"/>
      <c r="S2" s="463"/>
    </row>
    <row r="3" spans="1:19">
      <c r="A3" t="str">
        <f>Secteurs!$B$2</f>
        <v>Récolte</v>
      </c>
      <c r="B3" t="str">
        <f>Produits!$B$2</f>
        <v>Grains récoltés</v>
      </c>
      <c r="C3" s="569">
        <f>'Riz - Diverses'!F10</f>
        <v>83.984999999999999</v>
      </c>
      <c r="E3" t="str">
        <f>Etiquettes!$C$3</f>
        <v>kt</v>
      </c>
      <c r="F3" s="26" t="str">
        <f>Etiquettes!$Q$6</f>
        <v>Riz</v>
      </c>
      <c r="G3" s="26" t="str">
        <f>Etiquettes!$I$5</f>
        <v>2019-20</v>
      </c>
      <c r="H3" t="str">
        <f>Etiquettes!$C$4</f>
        <v>France entière</v>
      </c>
      <c r="I3" t="s">
        <v>1106</v>
      </c>
      <c r="J3"/>
      <c r="K3" t="s">
        <v>1595</v>
      </c>
      <c r="L3" s="26" t="str" cm="1">
        <f t="array" aca="1" ref="L3" ca="1">[1]!NOM_FEUILLE('Riz - Diverses'!$A$1:$B$1)</f>
        <v>Riz - Diverses</v>
      </c>
      <c r="M3" s="26" t="str">
        <f>Etiquettes!$H$11</f>
        <v>Volume</v>
      </c>
      <c r="N3" t="str">
        <f t="shared" si="0"/>
        <v>Récolte = 84 kt (Statistique Agricole Annuelle - SSP)</v>
      </c>
      <c r="O3" s="26" t="str">
        <f>Etiquettes!$K$15</f>
        <v>Approximative</v>
      </c>
      <c r="P3" s="603" t="str">
        <f>Etiquettes!$H$16</f>
        <v>Données collectées</v>
      </c>
      <c r="Q3" s="603" t="str">
        <f>Etiquettes!$H$17</f>
        <v>Donnée collectée (valeur du flux ou coefficient)</v>
      </c>
      <c r="R3" s="589"/>
      <c r="S3" s="144"/>
    </row>
    <row r="4" spans="1:19">
      <c r="A4" t="str">
        <f>Secteurs!$B$2</f>
        <v>Récolte</v>
      </c>
      <c r="B4" t="str">
        <f>Produits!$B$2</f>
        <v>Grains récoltés</v>
      </c>
      <c r="C4" s="569">
        <f>'Riz - Diverses'!G10</f>
        <v>69.871399999999994</v>
      </c>
      <c r="E4" t="str">
        <f>Etiquettes!$C$3</f>
        <v>kt</v>
      </c>
      <c r="F4" s="26" t="str">
        <f>Etiquettes!$Q$6</f>
        <v>Riz</v>
      </c>
      <c r="G4" s="26" t="str">
        <f>Etiquettes!$J$5</f>
        <v>2023-24</v>
      </c>
      <c r="H4" t="str">
        <f>Etiquettes!$C$4</f>
        <v>France entière</v>
      </c>
      <c r="I4" t="s">
        <v>1106</v>
      </c>
      <c r="J4"/>
      <c r="K4" t="s">
        <v>1595</v>
      </c>
      <c r="L4" s="26" t="str" cm="1">
        <f t="array" aca="1" ref="L4" ca="1">[1]!NOM_FEUILLE('Riz - Diverses'!$A$1:$B$1)</f>
        <v>Riz - Diverses</v>
      </c>
      <c r="M4" s="26" t="str">
        <f>Etiquettes!$H$11</f>
        <v>Volume</v>
      </c>
      <c r="N4" t="str">
        <f t="shared" si="0"/>
        <v>Récolte = 70 kt (Statistique Agricole Annuelle - SSP)</v>
      </c>
      <c r="O4" s="26" t="str">
        <f>Etiquettes!$K$15</f>
        <v>Approximative</v>
      </c>
      <c r="P4" s="603" t="str">
        <f>Etiquettes!$H$16</f>
        <v>Données collectées</v>
      </c>
      <c r="Q4" s="603" t="str">
        <f>Etiquettes!$H$17</f>
        <v>Donnée collectée (valeur du flux ou coefficient)</v>
      </c>
      <c r="R4" s="589"/>
      <c r="S4" s="144"/>
    </row>
    <row r="5" spans="1:19">
      <c r="A5" t="str">
        <f>Produits!$B$2</f>
        <v>Grains récoltés</v>
      </c>
      <c r="B5" t="str">
        <f>Secteurs!$B$3</f>
        <v>Ferme</v>
      </c>
      <c r="C5" s="591">
        <v>0</v>
      </c>
      <c r="E5" t="str">
        <f>Etiquettes!$C$3</f>
        <v>kt</v>
      </c>
      <c r="F5" s="26" t="str">
        <f>Etiquettes!$Q$6</f>
        <v>Riz</v>
      </c>
      <c r="G5" s="26" t="str">
        <f>Etiquettes!$C$5</f>
        <v>2015-16:2019-20:2023-24</v>
      </c>
      <c r="H5" t="str">
        <f>Etiquettes!$C$4</f>
        <v>France entière</v>
      </c>
      <c r="I5" t="s">
        <v>1560</v>
      </c>
      <c r="J5" t="s">
        <v>1616</v>
      </c>
      <c r="K5" t="s">
        <v>1592</v>
      </c>
      <c r="L5" s="26" t="str" cm="1">
        <f t="array" aca="1" ref="L5" ca="1">[1]!NOM_FEUILLE('Riz - Diverses'!$A$1:$B$1)</f>
        <v>Riz - Diverses</v>
      </c>
      <c r="M5" s="26" t="str">
        <f>Etiquettes!$H$11</f>
        <v>Volume</v>
      </c>
      <c r="N5" t="str">
        <f t="shared" si="0"/>
        <v>Autoconsommation à la ferme = 0 kt (Bilans d'approvisionnement agroalimentaire - SSP)</v>
      </c>
      <c r="P5" s="603"/>
      <c r="Q5" s="603"/>
      <c r="S5" s="144"/>
    </row>
    <row r="6" spans="1:19">
      <c r="A6" t="str">
        <f>Produits!$B$50</f>
        <v>Stock initial</v>
      </c>
      <c r="B6" t="str">
        <f>Secteurs!$B$3</f>
        <v>Ferme</v>
      </c>
      <c r="C6" s="591">
        <v>0</v>
      </c>
      <c r="E6" t="str">
        <f>Etiquettes!$C$3</f>
        <v>kt</v>
      </c>
      <c r="F6" s="26" t="str">
        <f>Etiquettes!$Q$6</f>
        <v>Riz</v>
      </c>
      <c r="G6" s="26" t="str">
        <f>Etiquettes!$C$5</f>
        <v>2015-16:2019-20:2023-24</v>
      </c>
      <c r="H6" t="str">
        <f>Etiquettes!$C$4</f>
        <v>France entière</v>
      </c>
      <c r="I6" t="s">
        <v>1560</v>
      </c>
      <c r="J6" t="s">
        <v>1616</v>
      </c>
      <c r="K6" t="s">
        <v>1592</v>
      </c>
      <c r="L6" s="26" t="str" cm="1">
        <f t="array" aca="1" ref="L6" ca="1">[1]!NOM_FEUILLE('Riz - Diverses'!$A$1:$B$1)</f>
        <v>Riz - Diverses</v>
      </c>
      <c r="M6" s="26" t="str">
        <f>Etiquettes!$H$11</f>
        <v>Volume</v>
      </c>
      <c r="N6" t="str">
        <f t="shared" si="0"/>
        <v>Autoconsommation à la ferme = 0 kt (Bilans d'approvisionnement agroalimentaire - SSP)</v>
      </c>
    </row>
    <row r="7" spans="1:19" ht="14.4" customHeight="1">
      <c r="A7" t="str">
        <f>Produits!$B$50</f>
        <v>Stock initial</v>
      </c>
      <c r="B7" t="str">
        <f>Secteurs!$B$4</f>
        <v>OS</v>
      </c>
      <c r="C7" s="591">
        <f>'Riz - Diverses'!F68</f>
        <v>0</v>
      </c>
      <c r="E7" t="str">
        <f>Etiquettes!$C$3</f>
        <v>kt</v>
      </c>
      <c r="F7" s="26" t="str">
        <f>Etiquettes!$Q$6</f>
        <v>Riz</v>
      </c>
      <c r="G7" s="26" t="str">
        <f>Etiquettes!$C$5</f>
        <v>2015-16:2019-20:2023-24</v>
      </c>
      <c r="H7" t="str">
        <f>Etiquettes!$C$4</f>
        <v>France entière</v>
      </c>
      <c r="I7" t="s">
        <v>1127</v>
      </c>
      <c r="J7" t="s">
        <v>1694</v>
      </c>
      <c r="K7" t="s">
        <v>1592</v>
      </c>
      <c r="L7" s="26" t="str" cm="1">
        <f t="array" aca="1" ref="L7" ca="1">[1]!NOM_FEUILLE('Riz - Diverses'!$A$1:$B$1)</f>
        <v>Riz - Diverses</v>
      </c>
      <c r="M7" s="26" t="str">
        <f>Etiquettes!$H$11</f>
        <v>Volume</v>
      </c>
      <c r="N7" t="str">
        <f t="shared" si="0"/>
        <v>Stock initial collecteurs = 0 kt (Bilans d'approvisionnement agroalimentaire - SSP)</v>
      </c>
      <c r="R7" s="144"/>
      <c r="S7" s="144"/>
    </row>
    <row r="8" spans="1:19">
      <c r="A8" t="str">
        <f>Secteurs!$B$4</f>
        <v>OS</v>
      </c>
      <c r="B8" t="str">
        <f>Produits!$B$51</f>
        <v>Stock final</v>
      </c>
      <c r="C8" s="591">
        <f>'Riz - Diverses'!F69</f>
        <v>0</v>
      </c>
      <c r="E8" t="str">
        <f>Etiquettes!$C$3</f>
        <v>kt</v>
      </c>
      <c r="F8" s="26" t="str">
        <f>Etiquettes!$Q$6</f>
        <v>Riz</v>
      </c>
      <c r="G8" s="26" t="str">
        <f>Etiquettes!$C$5</f>
        <v>2015-16:2019-20:2023-24</v>
      </c>
      <c r="H8" t="str">
        <f>Etiquettes!$C$4</f>
        <v>France entière</v>
      </c>
      <c r="I8" t="s">
        <v>1128</v>
      </c>
      <c r="J8" t="s">
        <v>1694</v>
      </c>
      <c r="K8" t="s">
        <v>1592</v>
      </c>
      <c r="L8" s="26" t="str" cm="1">
        <f t="array" aca="1" ref="L8" ca="1">[1]!NOM_FEUILLE('Riz - Diverses'!$A$1:$B$1)</f>
        <v>Riz - Diverses</v>
      </c>
      <c r="M8" s="26" t="str">
        <f>Etiquettes!$H$11</f>
        <v>Volume</v>
      </c>
      <c r="N8" t="str">
        <f t="shared" si="0"/>
        <v>Stock final collecteurs = 0 kt (Bilans d'approvisionnement agroalimentaire - SSP)</v>
      </c>
      <c r="R8" s="144"/>
      <c r="S8" s="144"/>
    </row>
    <row r="9" spans="1:19">
      <c r="A9" t="str">
        <f>Produits!$B$4</f>
        <v>Grains collectés</v>
      </c>
      <c r="B9" t="str">
        <f>Secteurs!$B$7</f>
        <v>Semences certifiées</v>
      </c>
      <c r="C9" s="591">
        <f>'Riz - Diverses'!$F$70</f>
        <v>16</v>
      </c>
      <c r="E9" t="str">
        <f>Etiquettes!$C$3</f>
        <v>kt</v>
      </c>
      <c r="F9" s="26" t="str">
        <f>Etiquettes!$Q$6</f>
        <v>Riz</v>
      </c>
      <c r="G9" s="26" t="str">
        <f>Etiquettes!$C$5</f>
        <v>2015-16:2019-20:2023-24</v>
      </c>
      <c r="H9" t="str">
        <f>Etiquettes!$C$4</f>
        <v>France entière</v>
      </c>
      <c r="I9" t="s">
        <v>1561</v>
      </c>
      <c r="J9" t="s">
        <v>1694</v>
      </c>
      <c r="K9" t="s">
        <v>1592</v>
      </c>
      <c r="L9" s="26" t="str" cm="1">
        <f t="array" aca="1" ref="L9" ca="1">[1]!NOM_FEUILLE('Riz - Diverses'!$A$1:$B$1)</f>
        <v>Riz - Diverses</v>
      </c>
      <c r="M9" s="26" t="str">
        <f>Etiquettes!$H$11</f>
        <v>Volume</v>
      </c>
      <c r="N9" t="str">
        <f t="shared" si="0"/>
        <v>Production de semences certifiées = 16 kt (Bilans d'approvisionnement agroalimentaire - SSP)</v>
      </c>
      <c r="O9" s="26" t="str">
        <f>Etiquettes!$L$15</f>
        <v>Indicative</v>
      </c>
      <c r="P9" s="603" t="str">
        <f>Etiquettes!$H$16</f>
        <v>Données collectées</v>
      </c>
      <c r="Q9" s="603" t="str">
        <f>Etiquettes!$H$17</f>
        <v>Donnée collectée (valeur du flux ou coefficient)</v>
      </c>
      <c r="R9" s="144"/>
      <c r="S9" s="144"/>
    </row>
    <row r="10" spans="1:19">
      <c r="A10" t="str">
        <f>Produits!$B$4</f>
        <v>Grains collectés</v>
      </c>
      <c r="B10" t="str">
        <f>Secteurs!$B$16</f>
        <v>Décorticage</v>
      </c>
      <c r="C10">
        <f>'Riz - Diverses'!$F$72</f>
        <v>1</v>
      </c>
      <c r="E10" t="str">
        <f>Etiquettes!$C$3</f>
        <v>kt</v>
      </c>
      <c r="F10" s="26" t="str">
        <f>Etiquettes!$Q$6</f>
        <v>Riz</v>
      </c>
      <c r="G10" s="26" t="str">
        <f>Etiquettes!$C$5</f>
        <v>2015-16:2019-20:2023-24</v>
      </c>
      <c r="H10" t="str">
        <f>Etiquettes!$C$4</f>
        <v>France entière</v>
      </c>
      <c r="I10" t="s">
        <v>1593</v>
      </c>
      <c r="J10" t="s">
        <v>1694</v>
      </c>
      <c r="K10" t="s">
        <v>1592</v>
      </c>
      <c r="L10" s="26" t="str" cm="1">
        <f t="array" aca="1" ref="L10" ca="1">[1]!NOM_FEUILLE('Riz - Diverses'!$A$1:$B$1)</f>
        <v>Riz - Diverses</v>
      </c>
      <c r="M10" s="26" t="str">
        <f>Etiquettes!$H$11</f>
        <v>Volume</v>
      </c>
      <c r="N10" t="str">
        <f t="shared" si="0"/>
        <v>Consommation de grains par le Décorticage = 1 kt (Bilans d'approvisionnement agroalimentaire - SSP)</v>
      </c>
      <c r="O10" s="26" t="str">
        <f>Etiquettes!$L$15</f>
        <v>Indicative</v>
      </c>
      <c r="P10" s="603" t="str">
        <f>Etiquettes!$H$16</f>
        <v>Données collectées</v>
      </c>
      <c r="Q10" s="603" t="str">
        <f>Etiquettes!$H$17</f>
        <v>Donnée collectée (valeur du flux ou coefficient)</v>
      </c>
    </row>
    <row r="11" spans="1:19">
      <c r="A11" t="str">
        <f>Produits!$B$45</f>
        <v>Riz décortiqué</v>
      </c>
      <c r="B11" t="str">
        <f>Secteurs!$B$22</f>
        <v>Alimentation humaine</v>
      </c>
      <c r="C11">
        <f>'Riz - Diverses'!$F$77</f>
        <v>1</v>
      </c>
      <c r="E11" t="str">
        <f>Etiquettes!$C$3</f>
        <v>kt</v>
      </c>
      <c r="F11" s="26" t="str">
        <f>Etiquettes!$Q$6</f>
        <v>Riz</v>
      </c>
      <c r="G11" s="26" t="str">
        <f>Etiquettes!$C$5</f>
        <v>2015-16:2019-20:2023-24</v>
      </c>
      <c r="H11" t="str">
        <f>Etiquettes!$C$4</f>
        <v>France entière</v>
      </c>
      <c r="I11" t="s">
        <v>1594</v>
      </c>
      <c r="J11" t="s">
        <v>1694</v>
      </c>
      <c r="K11" t="s">
        <v>1592</v>
      </c>
      <c r="L11" s="26" t="str" cm="1">
        <f t="array" aca="1" ref="L11" ca="1">[1]!NOM_FEUILLE('Riz - Diverses'!$A$1:$B$1)</f>
        <v>Riz - Diverses</v>
      </c>
      <c r="M11" s="26" t="str">
        <f>Etiquettes!$H$11</f>
        <v>Volume</v>
      </c>
      <c r="N11" t="str">
        <f t="shared" si="0"/>
        <v>Consommation de riz décortiqué en alimentation humaine = 1 kt (Bilans d'approvisionnement agroalimentaire - SSP)</v>
      </c>
      <c r="O11" s="26" t="str">
        <f>Etiquettes!$L$15</f>
        <v>Indicative</v>
      </c>
      <c r="P11" s="603" t="str">
        <f>Etiquettes!$H$16</f>
        <v>Données collectées</v>
      </c>
      <c r="Q11" s="603" t="str">
        <f>Etiquettes!$H$17</f>
        <v>Donnée collectée (valeur du flux ou coefficient)</v>
      </c>
    </row>
    <row r="12" spans="1:19">
      <c r="A12" t="str">
        <f>Produits!$B$4</f>
        <v>Grains collectés</v>
      </c>
      <c r="B12" t="str">
        <f>Secteurs!$B$16</f>
        <v>Décorticage</v>
      </c>
      <c r="C12">
        <v>0</v>
      </c>
      <c r="E12" t="str">
        <f>Etiquettes!$C$3</f>
        <v>kt</v>
      </c>
      <c r="F12" s="10" t="s">
        <v>1715</v>
      </c>
      <c r="G12" s="26" t="str">
        <f>Etiquettes!$C$5</f>
        <v>2015-16:2019-20:2023-24</v>
      </c>
      <c r="H12" t="str">
        <f>Etiquettes!$C$4</f>
        <v>France entière</v>
      </c>
      <c r="I12"/>
      <c r="J12"/>
      <c r="K12"/>
      <c r="N12"/>
      <c r="R12" s="693" t="s">
        <v>1478</v>
      </c>
    </row>
    <row r="13" spans="1:19">
      <c r="A13" t="str">
        <f>Produits!$B$4</f>
        <v>Grains collectés</v>
      </c>
      <c r="B13" t="str">
        <f>Secteurs!$B$17</f>
        <v>Usinage</v>
      </c>
      <c r="C13">
        <v>0</v>
      </c>
      <c r="E13" t="str">
        <f>Etiquettes!$C$3</f>
        <v>kt</v>
      </c>
      <c r="F13" s="26" t="s">
        <v>1715</v>
      </c>
      <c r="G13" s="26" t="str">
        <f>Etiquettes!$C$5</f>
        <v>2015-16:2019-20:2023-24</v>
      </c>
      <c r="H13" t="str">
        <f>Etiquettes!$C$4</f>
        <v>France entière</v>
      </c>
      <c r="I13"/>
      <c r="J13"/>
      <c r="K13"/>
      <c r="N13"/>
      <c r="R13" s="693"/>
    </row>
  </sheetData>
  <mergeCells count="1">
    <mergeCell ref="R12:R13"/>
  </mergeCells>
  <phoneticPr fontId="43" type="noConversion"/>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47F30-2138-4641-BCF9-B4F4B418E863}">
  <sheetPr>
    <tabColor rgb="FF92D050"/>
  </sheetPr>
  <dimension ref="A1:U41"/>
  <sheetViews>
    <sheetView workbookViewId="0">
      <pane xSplit="3" ySplit="1" topLeftCell="D2" activePane="bottomRight" state="frozen"/>
      <selection activeCell="G1" sqref="G1:G1048576"/>
      <selection pane="topRight" activeCell="G1" sqref="G1:G1048576"/>
      <selection pane="bottomLeft" activeCell="G1" sqref="G1:G1048576"/>
      <selection pane="bottomRight" activeCell="U28" sqref="U28:U35"/>
    </sheetView>
  </sheetViews>
  <sheetFormatPr baseColWidth="10" defaultColWidth="9.109375" defaultRowHeight="14.4"/>
  <cols>
    <col min="1" max="1" width="12.33203125" style="10" bestFit="1" customWidth="1"/>
    <col min="2" max="2" width="31.77734375" customWidth="1"/>
    <col min="3" max="3" width="34.88671875" bestFit="1" customWidth="1"/>
    <col min="4" max="4" width="15.44140625" bestFit="1" customWidth="1"/>
    <col min="5" max="6" width="19.109375" bestFit="1" customWidth="1"/>
    <col min="7" max="7" width="12.109375" style="10" customWidth="1"/>
    <col min="8" max="8" width="10.33203125" style="10" customWidth="1"/>
    <col min="9" max="9" width="12.109375" style="10" bestFit="1" customWidth="1"/>
    <col min="10" max="17" width="12.109375" style="10" customWidth="1"/>
    <col min="18" max="19" width="14.44140625" style="26" customWidth="1"/>
    <col min="20" max="20" width="11.6640625" bestFit="1" customWidth="1"/>
    <col min="21" max="21" width="13.109375" customWidth="1"/>
  </cols>
  <sheetData>
    <row r="1" spans="1:21" ht="88.8" thickBot="1">
      <c r="A1" s="22" t="s">
        <v>22</v>
      </c>
      <c r="B1" s="23" t="s">
        <v>14</v>
      </c>
      <c r="C1" s="23" t="s">
        <v>15</v>
      </c>
      <c r="D1" s="23" t="s">
        <v>23</v>
      </c>
      <c r="E1" s="23" t="s">
        <v>24</v>
      </c>
      <c r="F1" s="23" t="s">
        <v>25</v>
      </c>
      <c r="G1" s="24" t="str">
        <f>Etiquettes!$A$3</f>
        <v>Unité</v>
      </c>
      <c r="H1" s="24" t="str">
        <f>Etiquettes!$A$6</f>
        <v>Céréale</v>
      </c>
      <c r="I1" s="24" t="str">
        <f>Etiquettes!$A$5</f>
        <v>Campagne</v>
      </c>
      <c r="J1" s="24" t="str">
        <f>Etiquettes!$A$4</f>
        <v>Territoire</v>
      </c>
      <c r="K1" s="24" t="str">
        <f>Etiquettes!$A$12</f>
        <v>Traduction</v>
      </c>
      <c r="L1" s="24" t="str">
        <f>Etiquettes!$A$10</f>
        <v>Hypothèse</v>
      </c>
      <c r="M1" s="24" t="s">
        <v>19</v>
      </c>
      <c r="N1" s="24" t="str">
        <f>Etiquettes!$A$13</f>
        <v>Onglet fichier Excel</v>
      </c>
      <c r="O1" s="24" t="str">
        <f>Etiquettes!$A$11</f>
        <v>Type de donnée collectée</v>
      </c>
      <c r="P1" s="24" t="str">
        <f>Etiquettes!$A$8</f>
        <v>Rendement, répartition ou volume d'échange collecté</v>
      </c>
      <c r="Q1" s="24" t="str">
        <f>Etiquettes!$A$15</f>
        <v>Fiabilité des données</v>
      </c>
      <c r="R1" s="24" t="str">
        <f>Etiquettes!$A$16</f>
        <v>Méthode</v>
      </c>
      <c r="S1" s="24" t="str">
        <f>Etiquettes!$A$17</f>
        <v>Analyse des résultats</v>
      </c>
      <c r="T1" s="23" t="s">
        <v>3</v>
      </c>
      <c r="U1" s="25" t="s">
        <v>5</v>
      </c>
    </row>
    <row r="2" spans="1:21" ht="14.4" customHeight="1">
      <c r="A2" s="10">
        <f>'Contraintes            '!A30+1</f>
        <v>112</v>
      </c>
      <c r="B2" t="str">
        <f>Produits!$B$4</f>
        <v>Grains collectés</v>
      </c>
      <c r="C2" t="str">
        <f>Secteurs!$B$16</f>
        <v>Décorticage</v>
      </c>
      <c r="D2" s="462">
        <f>'Riz - Diverses'!N65</f>
        <v>0.8</v>
      </c>
      <c r="G2" s="10" t="str">
        <f>Etiquettes!$C$3</f>
        <v>kt</v>
      </c>
      <c r="H2" s="10" t="str">
        <f>Etiquettes!$Q$6</f>
        <v>Riz</v>
      </c>
      <c r="I2" s="10" t="str">
        <f>Etiquettes!$C$5</f>
        <v>2015-16:2019-20:2023-24</v>
      </c>
      <c r="J2" s="10" t="str">
        <f>Etiquettes!$C$4</f>
        <v>France entière</v>
      </c>
      <c r="U2" s="692" t="s">
        <v>1487</v>
      </c>
    </row>
    <row r="3" spans="1:21">
      <c r="A3" s="10">
        <f>'Contraintes            '!A31+1</f>
        <v>112</v>
      </c>
      <c r="B3" t="str">
        <f>Secteurs!$B$16</f>
        <v>Décorticage</v>
      </c>
      <c r="C3" t="str">
        <f>Produits!$B$45</f>
        <v>Riz décortiqué</v>
      </c>
      <c r="D3">
        <v>-1</v>
      </c>
      <c r="G3" s="10" t="str">
        <f>Etiquettes!$C$3</f>
        <v>kt</v>
      </c>
      <c r="H3" s="10" t="str">
        <f>Etiquettes!$Q$6</f>
        <v>Riz</v>
      </c>
      <c r="I3" s="10" t="str">
        <f>Etiquettes!$C$5</f>
        <v>2015-16:2019-20:2023-24</v>
      </c>
      <c r="J3" s="10" t="str">
        <f>Etiquettes!$C$4</f>
        <v>France entière</v>
      </c>
      <c r="K3" s="604" t="s">
        <v>1675</v>
      </c>
      <c r="L3" s="604"/>
      <c r="M3" s="604" t="s">
        <v>1592</v>
      </c>
      <c r="N3" s="603" t="str" cm="1">
        <f t="array" aca="1" ref="N3" ca="1">[1]!NOM_FEUILLE('Riz - Diverses'!$A$1:$B$1)</f>
        <v>Riz - Diverses</v>
      </c>
      <c r="O3" s="10" t="str">
        <f>Etiquettes!$I$11</f>
        <v>Rendement</v>
      </c>
      <c r="P3" t="str">
        <f>_xlfn.CONCAT(K3," = ",MROUND(D2*100,0.01)," % (",M3,")")</f>
        <v>Rendement en riz décortiqué du Décorticage = 80 % (Bilans d'approvisionnement agroalimentaire - SSP)</v>
      </c>
      <c r="Q3" s="10" t="str">
        <f>Etiquettes!$K$15</f>
        <v>Approximative</v>
      </c>
      <c r="R3" s="642" t="s">
        <v>1813</v>
      </c>
      <c r="S3" s="603" t="str">
        <f>Etiquettes!$H$17</f>
        <v>Donnée collectée (valeur du flux ou coefficient)</v>
      </c>
      <c r="U3" s="693"/>
    </row>
    <row r="4" spans="1:21">
      <c r="A4" s="10">
        <f>A2+1</f>
        <v>113</v>
      </c>
      <c r="B4" t="str">
        <f>Produits!$B$4</f>
        <v>Grains collectés</v>
      </c>
      <c r="C4" t="str">
        <f>Secteurs!$B$16</f>
        <v>Décorticage</v>
      </c>
      <c r="D4" s="462">
        <f>'Riz - Diverses'!P65</f>
        <v>0.2</v>
      </c>
      <c r="G4" s="10" t="str">
        <f>Etiquettes!$C$3</f>
        <v>kt</v>
      </c>
      <c r="H4" s="10" t="str">
        <f>Etiquettes!$Q$6</f>
        <v>Riz</v>
      </c>
      <c r="I4" s="10" t="str">
        <f>Etiquettes!$C$5</f>
        <v>2015-16:2019-20:2023-24</v>
      </c>
      <c r="J4" s="10" t="str">
        <f>Etiquettes!$C$4</f>
        <v>France entière</v>
      </c>
      <c r="K4" s="604"/>
      <c r="L4" s="604"/>
      <c r="M4" s="604"/>
      <c r="N4" s="604"/>
      <c r="U4" s="693"/>
    </row>
    <row r="5" spans="1:21">
      <c r="A5" s="10">
        <f t="shared" ref="A5:A37" si="0">A3+1</f>
        <v>113</v>
      </c>
      <c r="B5" t="str">
        <f>Secteurs!$B$16</f>
        <v>Décorticage</v>
      </c>
      <c r="C5" t="str">
        <f>Produits!$B$46</f>
        <v>Balles de riz</v>
      </c>
      <c r="D5">
        <v>-1</v>
      </c>
      <c r="G5" s="10" t="str">
        <f>Etiquettes!$C$3</f>
        <v>kt</v>
      </c>
      <c r="H5" s="10" t="str">
        <f>Etiquettes!$Q$6</f>
        <v>Riz</v>
      </c>
      <c r="I5" s="10" t="str">
        <f>Etiquettes!$C$5</f>
        <v>2015-16:2019-20:2023-24</v>
      </c>
      <c r="J5" s="10" t="str">
        <f>Etiquettes!$C$4</f>
        <v>France entière</v>
      </c>
      <c r="K5" s="604" t="s">
        <v>1676</v>
      </c>
      <c r="L5" s="604"/>
      <c r="M5" s="604" t="s">
        <v>1592</v>
      </c>
      <c r="N5" s="603" t="str" cm="1">
        <f t="array" aca="1" ref="N5" ca="1">[1]!NOM_FEUILLE('Riz - Diverses'!$A$1:$B$1)</f>
        <v>Riz - Diverses</v>
      </c>
      <c r="O5" s="10" t="str">
        <f>Etiquettes!$I$11</f>
        <v>Rendement</v>
      </c>
      <c r="P5" t="str">
        <f t="shared" ref="P5" si="1">_xlfn.CONCAT(K5," = ",MROUND(D4*100,0.01)," % (",M5,")")</f>
        <v>Rendement en balles de riz du Décorticage = 20 % (Bilans d'approvisionnement agroalimentaire - SSP)</v>
      </c>
      <c r="Q5" s="10" t="str">
        <f>Etiquettes!$K$15</f>
        <v>Approximative</v>
      </c>
      <c r="R5" s="642" t="s">
        <v>1813</v>
      </c>
      <c r="S5" s="603" t="str">
        <f>Etiquettes!$H$17</f>
        <v>Donnée collectée (valeur du flux ou coefficient)</v>
      </c>
      <c r="U5" s="693"/>
    </row>
    <row r="6" spans="1:21">
      <c r="A6" s="10">
        <f t="shared" si="0"/>
        <v>114</v>
      </c>
      <c r="B6" t="str">
        <f>Produits!$B$4</f>
        <v>Grains collectés</v>
      </c>
      <c r="C6" t="str">
        <f>Secteurs!$B$18</f>
        <v>Usinage - Riz paddy</v>
      </c>
      <c r="D6" s="462">
        <f>'Riz - Diverses'!N66</f>
        <v>0.6</v>
      </c>
      <c r="G6" s="10" t="str">
        <f>Etiquettes!$C$3</f>
        <v>kt</v>
      </c>
      <c r="H6" s="10" t="str">
        <f>Etiquettes!$Q$6</f>
        <v>Riz</v>
      </c>
      <c r="I6" s="10" t="str">
        <f>Etiquettes!$C$5</f>
        <v>2015-16:2019-20:2023-24</v>
      </c>
      <c r="J6" s="10" t="str">
        <f>Etiquettes!$C$4</f>
        <v>France entière</v>
      </c>
      <c r="K6" s="604"/>
      <c r="L6" s="604"/>
      <c r="M6" s="604"/>
      <c r="N6" s="604"/>
      <c r="U6" s="693" t="s">
        <v>1488</v>
      </c>
    </row>
    <row r="7" spans="1:21">
      <c r="A7" s="10">
        <f t="shared" si="0"/>
        <v>114</v>
      </c>
      <c r="B7" t="str">
        <f>Secteurs!$B$18</f>
        <v>Usinage - Riz paddy</v>
      </c>
      <c r="C7" t="str">
        <f>Produits!$B$47</f>
        <v>Riz usiné</v>
      </c>
      <c r="D7">
        <v>-1</v>
      </c>
      <c r="G7" s="10" t="str">
        <f>Etiquettes!$C$3</f>
        <v>kt</v>
      </c>
      <c r="H7" s="10" t="str">
        <f>Etiquettes!$Q$6</f>
        <v>Riz</v>
      </c>
      <c r="I7" s="10" t="str">
        <f>Etiquettes!$C$5</f>
        <v>2015-16:2019-20:2023-24</v>
      </c>
      <c r="J7" s="10" t="str">
        <f>Etiquettes!$C$4</f>
        <v>France entière</v>
      </c>
      <c r="K7" s="604" t="s">
        <v>1677</v>
      </c>
      <c r="L7" s="604"/>
      <c r="M7" s="604" t="s">
        <v>1592</v>
      </c>
      <c r="N7" s="603" t="str" cm="1">
        <f t="array" aca="1" ref="N7" ca="1">[1]!NOM_FEUILLE('Riz - Diverses'!$A$1:$B$1)</f>
        <v>Riz - Diverses</v>
      </c>
      <c r="O7" s="10" t="str">
        <f>Etiquettes!$I$11</f>
        <v>Rendement</v>
      </c>
      <c r="P7" t="str">
        <f t="shared" ref="P7" si="2">_xlfn.CONCAT(K7," = ",MROUND(D6*100,0.01)," % (",M7,")")</f>
        <v>Rendement en riz usiné de l'Usinage de riz paddy = 60 % (Bilans d'approvisionnement agroalimentaire - SSP)</v>
      </c>
      <c r="Q7" s="10" t="str">
        <f>Etiquettes!$K$15</f>
        <v>Approximative</v>
      </c>
      <c r="R7" s="642" t="s">
        <v>1813</v>
      </c>
      <c r="S7" s="603" t="str">
        <f>Etiquettes!$H$17</f>
        <v>Donnée collectée (valeur du flux ou coefficient)</v>
      </c>
      <c r="U7" s="693"/>
    </row>
    <row r="8" spans="1:21">
      <c r="A8" s="10">
        <f t="shared" si="0"/>
        <v>115</v>
      </c>
      <c r="B8" t="str">
        <f>Produits!$B$4</f>
        <v>Grains collectés</v>
      </c>
      <c r="C8" t="str">
        <f>Secteurs!$B$18</f>
        <v>Usinage - Riz paddy</v>
      </c>
      <c r="D8" s="29">
        <f>'Riz - Diverses'!P66</f>
        <v>0.2</v>
      </c>
      <c r="G8" s="10" t="str">
        <f>Etiquettes!$C$3</f>
        <v>kt</v>
      </c>
      <c r="H8" s="10" t="str">
        <f>Etiquettes!$Q$6</f>
        <v>Riz</v>
      </c>
      <c r="I8" s="10" t="str">
        <f>Etiquettes!$C$5</f>
        <v>2015-16:2019-20:2023-24</v>
      </c>
      <c r="J8" s="10" t="str">
        <f>Etiquettes!$C$4</f>
        <v>France entière</v>
      </c>
      <c r="K8" s="604"/>
      <c r="L8" s="604"/>
      <c r="M8" s="604"/>
      <c r="N8" s="604"/>
      <c r="U8" s="693"/>
    </row>
    <row r="9" spans="1:21">
      <c r="A9" s="10">
        <f t="shared" si="0"/>
        <v>115</v>
      </c>
      <c r="B9" t="str">
        <f>Secteurs!$B$18</f>
        <v>Usinage - Riz paddy</v>
      </c>
      <c r="C9" t="str">
        <f>Produits!$B$46</f>
        <v>Balles de riz</v>
      </c>
      <c r="D9">
        <v>-1</v>
      </c>
      <c r="G9" s="10" t="str">
        <f>Etiquettes!$C$3</f>
        <v>kt</v>
      </c>
      <c r="H9" s="10" t="str">
        <f>Etiquettes!$Q$6</f>
        <v>Riz</v>
      </c>
      <c r="I9" s="10" t="str">
        <f>Etiquettes!$C$5</f>
        <v>2015-16:2019-20:2023-24</v>
      </c>
      <c r="J9" s="10" t="str">
        <f>Etiquettes!$C$4</f>
        <v>France entière</v>
      </c>
      <c r="K9" s="604" t="s">
        <v>1678</v>
      </c>
      <c r="L9" s="604"/>
      <c r="M9" s="604" t="s">
        <v>1592</v>
      </c>
      <c r="N9" s="603" t="str" cm="1">
        <f t="array" aca="1" ref="N9" ca="1">[1]!NOM_FEUILLE('Riz - Diverses'!$A$1:$B$1)</f>
        <v>Riz - Diverses</v>
      </c>
      <c r="O9" s="10" t="str">
        <f>Etiquettes!$I$11</f>
        <v>Rendement</v>
      </c>
      <c r="P9" t="str">
        <f t="shared" ref="P9" si="3">_xlfn.CONCAT(K9," = ",MROUND(D8*100,0.01)," % (",M9,")")</f>
        <v>Rendement en balles de riz de l'Usinage de riz paddy = 20 % (Bilans d'approvisionnement agroalimentaire - SSP)</v>
      </c>
      <c r="Q9" s="10" t="str">
        <f>Etiquettes!$K$15</f>
        <v>Approximative</v>
      </c>
      <c r="R9" s="642" t="s">
        <v>1813</v>
      </c>
      <c r="S9" s="603" t="str">
        <f>Etiquettes!$H$17</f>
        <v>Donnée collectée (valeur du flux ou coefficient)</v>
      </c>
      <c r="U9" s="693"/>
    </row>
    <row r="10" spans="1:21">
      <c r="A10" s="10">
        <f t="shared" si="0"/>
        <v>116</v>
      </c>
      <c r="B10" t="str">
        <f>Produits!$B$4</f>
        <v>Grains collectés</v>
      </c>
      <c r="C10" t="str">
        <f>Secteurs!$B$18</f>
        <v>Usinage - Riz paddy</v>
      </c>
      <c r="D10" s="462">
        <f>'Riz - Diverses'!Q66</f>
        <v>0.1</v>
      </c>
      <c r="G10" s="10" t="str">
        <f>Etiquettes!$C$3</f>
        <v>kt</v>
      </c>
      <c r="H10" s="10" t="str">
        <f>Etiquettes!$Q$6</f>
        <v>Riz</v>
      </c>
      <c r="I10" s="10" t="str">
        <f>Etiquettes!$C$5</f>
        <v>2015-16:2019-20:2023-24</v>
      </c>
      <c r="J10" s="10" t="str">
        <f>Etiquettes!$C$4</f>
        <v>France entière</v>
      </c>
      <c r="K10" s="604"/>
      <c r="L10" s="604"/>
      <c r="M10" s="604"/>
      <c r="N10" s="604"/>
      <c r="U10" s="693"/>
    </row>
    <row r="11" spans="1:21">
      <c r="A11" s="10">
        <f t="shared" si="0"/>
        <v>116</v>
      </c>
      <c r="B11" t="str">
        <f>Secteurs!$B$18</f>
        <v>Usinage - Riz paddy</v>
      </c>
      <c r="C11" t="str">
        <f>Produits!$B$48</f>
        <v>Sons de riz</v>
      </c>
      <c r="D11">
        <v>-1</v>
      </c>
      <c r="G11" s="10" t="str">
        <f>Etiquettes!$C$3</f>
        <v>kt</v>
      </c>
      <c r="H11" s="10" t="str">
        <f>Etiquettes!$Q$6</f>
        <v>Riz</v>
      </c>
      <c r="I11" s="10" t="str">
        <f>Etiquettes!$C$5</f>
        <v>2015-16:2019-20:2023-24</v>
      </c>
      <c r="J11" s="10" t="str">
        <f>Etiquettes!$C$4</f>
        <v>France entière</v>
      </c>
      <c r="K11" s="604" t="s">
        <v>1679</v>
      </c>
      <c r="L11" s="604"/>
      <c r="M11" s="604" t="s">
        <v>1592</v>
      </c>
      <c r="N11" s="603" t="str" cm="1">
        <f t="array" aca="1" ref="N11" ca="1">[1]!NOM_FEUILLE('Riz - Diverses'!$A$1:$B$1)</f>
        <v>Riz - Diverses</v>
      </c>
      <c r="O11" s="10" t="str">
        <f>Etiquettes!$I$11</f>
        <v>Rendement</v>
      </c>
      <c r="P11" t="str">
        <f t="shared" ref="P11" si="4">_xlfn.CONCAT(K11," = ",MROUND(D10*100,0.01)," % (",M11,")")</f>
        <v>Rendement en sons de riz de l'Usinage de riz paddy = 10 % (Bilans d'approvisionnement agroalimentaire - SSP)</v>
      </c>
      <c r="Q11" s="10" t="str">
        <f>Etiquettes!$K$15</f>
        <v>Approximative</v>
      </c>
      <c r="R11" s="642" t="s">
        <v>1813</v>
      </c>
      <c r="S11" s="603" t="str">
        <f>Etiquettes!$H$17</f>
        <v>Donnée collectée (valeur du flux ou coefficient)</v>
      </c>
      <c r="U11" s="693"/>
    </row>
    <row r="12" spans="1:21">
      <c r="A12" s="10">
        <f t="shared" si="0"/>
        <v>117</v>
      </c>
      <c r="B12" t="str">
        <f>Produits!$B$4</f>
        <v>Grains collectés</v>
      </c>
      <c r="C12" t="str">
        <f>Secteurs!$B$18</f>
        <v>Usinage - Riz paddy</v>
      </c>
      <c r="D12" s="462">
        <f>'Riz - Diverses'!R66</f>
        <v>0.1</v>
      </c>
      <c r="G12" s="10" t="str">
        <f>Etiquettes!$C$3</f>
        <v>kt</v>
      </c>
      <c r="H12" s="10" t="str">
        <f>Etiquettes!$Q$6</f>
        <v>Riz</v>
      </c>
      <c r="I12" s="10" t="str">
        <f>Etiquettes!$C$5</f>
        <v>2015-16:2019-20:2023-24</v>
      </c>
      <c r="J12" s="10" t="str">
        <f>Etiquettes!$C$4</f>
        <v>France entière</v>
      </c>
      <c r="K12" s="604"/>
      <c r="L12" s="604"/>
      <c r="M12" s="604"/>
      <c r="N12" s="604"/>
      <c r="U12" s="693"/>
    </row>
    <row r="13" spans="1:21">
      <c r="A13" s="10">
        <f t="shared" si="0"/>
        <v>117</v>
      </c>
      <c r="B13" t="str">
        <f>Secteurs!$B$18</f>
        <v>Usinage - Riz paddy</v>
      </c>
      <c r="C13" t="str">
        <f>Produits!$B$49</f>
        <v>Brisures de riz</v>
      </c>
      <c r="D13">
        <v>-1</v>
      </c>
      <c r="G13" s="10" t="str">
        <f>Etiquettes!$C$3</f>
        <v>kt</v>
      </c>
      <c r="H13" s="10" t="str">
        <f>Etiquettes!$Q$6</f>
        <v>Riz</v>
      </c>
      <c r="I13" s="10" t="str">
        <f>Etiquettes!$C$5</f>
        <v>2015-16:2019-20:2023-24</v>
      </c>
      <c r="J13" s="10" t="str">
        <f>Etiquettes!$C$4</f>
        <v>France entière</v>
      </c>
      <c r="K13" s="604" t="s">
        <v>1680</v>
      </c>
      <c r="L13" s="604"/>
      <c r="M13" s="604" t="s">
        <v>1592</v>
      </c>
      <c r="N13" s="603" t="str" cm="1">
        <f t="array" aca="1" ref="N13" ca="1">[1]!NOM_FEUILLE('Riz - Diverses'!$A$1:$B$1)</f>
        <v>Riz - Diverses</v>
      </c>
      <c r="O13" s="10" t="str">
        <f>Etiquettes!$I$11</f>
        <v>Rendement</v>
      </c>
      <c r="P13" t="str">
        <f t="shared" ref="P13" si="5">_xlfn.CONCAT(K13," = ",MROUND(D12*100,0.01)," % (",M13,")")</f>
        <v>Rendement en brisures de riz de l'Usinage de riz paddy = 10 % (Bilans d'approvisionnement agroalimentaire - SSP)</v>
      </c>
      <c r="Q13" s="10" t="str">
        <f>Etiquettes!$K$15</f>
        <v>Approximative</v>
      </c>
      <c r="R13" s="642" t="s">
        <v>1813</v>
      </c>
      <c r="S13" s="603" t="str">
        <f>Etiquettes!$H$17</f>
        <v>Donnée collectée (valeur du flux ou coefficient)</v>
      </c>
      <c r="U13" s="693"/>
    </row>
    <row r="14" spans="1:21">
      <c r="A14" s="10">
        <f t="shared" si="0"/>
        <v>118</v>
      </c>
      <c r="B14" t="str">
        <f>Produits!$B$45</f>
        <v>Riz décortiqué</v>
      </c>
      <c r="C14" t="str">
        <f>Secteurs!$B$19</f>
        <v>Usinage - Riz décortiqué</v>
      </c>
      <c r="D14" s="29">
        <f>'Riz - Diverses'!N67</f>
        <v>0.7</v>
      </c>
      <c r="G14" s="10" t="str">
        <f>Etiquettes!$C$3</f>
        <v>kt</v>
      </c>
      <c r="H14" s="10" t="str">
        <f>Etiquettes!$Q$6</f>
        <v>Riz</v>
      </c>
      <c r="I14" s="10" t="str">
        <f>Etiquettes!$C$5</f>
        <v>2015-16:2019-20:2023-24</v>
      </c>
      <c r="J14" s="10" t="str">
        <f>Etiquettes!$C$4</f>
        <v>France entière</v>
      </c>
      <c r="K14" s="604"/>
      <c r="L14" s="604"/>
      <c r="M14" s="604"/>
      <c r="N14" s="604"/>
      <c r="U14" s="693" t="s">
        <v>1489</v>
      </c>
    </row>
    <row r="15" spans="1:21">
      <c r="A15" s="10">
        <f t="shared" si="0"/>
        <v>118</v>
      </c>
      <c r="B15" t="str">
        <f>Secteurs!$B$19</f>
        <v>Usinage - Riz décortiqué</v>
      </c>
      <c r="C15" t="str">
        <f>Produits!$B$47</f>
        <v>Riz usiné</v>
      </c>
      <c r="D15">
        <v>-1</v>
      </c>
      <c r="G15" s="10" t="str">
        <f>Etiquettes!$C$3</f>
        <v>kt</v>
      </c>
      <c r="H15" s="10" t="str">
        <f>Etiquettes!$Q$6</f>
        <v>Riz</v>
      </c>
      <c r="I15" s="10" t="str">
        <f>Etiquettes!$C$5</f>
        <v>2015-16:2019-20:2023-24</v>
      </c>
      <c r="J15" s="10" t="str">
        <f>Etiquettes!$C$4</f>
        <v>France entière</v>
      </c>
      <c r="K15" s="604" t="s">
        <v>1681</v>
      </c>
      <c r="L15" s="604"/>
      <c r="M15" s="604" t="s">
        <v>1592</v>
      </c>
      <c r="N15" s="603" t="str" cm="1">
        <f t="array" aca="1" ref="N15" ca="1">[1]!NOM_FEUILLE('Riz - Diverses'!$A$1:$B$1)</f>
        <v>Riz - Diverses</v>
      </c>
      <c r="O15" s="10" t="str">
        <f>Etiquettes!$I$11</f>
        <v>Rendement</v>
      </c>
      <c r="P15" t="str">
        <f t="shared" ref="P15" si="6">_xlfn.CONCAT(K15," = ",MROUND(D14*100,0.01)," % (",M15,")")</f>
        <v>Rendement en riz usiné de l'Usinage de riz décortiqué = 70 % (Bilans d'approvisionnement agroalimentaire - SSP)</v>
      </c>
      <c r="Q15" s="10" t="str">
        <f>Etiquettes!$K$15</f>
        <v>Approximative</v>
      </c>
      <c r="R15" s="642" t="s">
        <v>1813</v>
      </c>
      <c r="S15" s="603" t="str">
        <f>Etiquettes!$H$17</f>
        <v>Donnée collectée (valeur du flux ou coefficient)</v>
      </c>
      <c r="U15" s="693"/>
    </row>
    <row r="16" spans="1:21" ht="14.4" customHeight="1">
      <c r="A16" s="10">
        <f t="shared" si="0"/>
        <v>119</v>
      </c>
      <c r="B16" t="str">
        <f>Produits!$B$45</f>
        <v>Riz décortiqué</v>
      </c>
      <c r="C16" t="str">
        <f>Secteurs!$B$19</f>
        <v>Usinage - Riz décortiqué</v>
      </c>
      <c r="D16" s="29">
        <f>'Riz - Diverses'!Q67</f>
        <v>0.15</v>
      </c>
      <c r="G16" s="10" t="str">
        <f>Etiquettes!$C$3</f>
        <v>kt</v>
      </c>
      <c r="H16" s="10" t="str">
        <f>Etiquettes!$Q$6</f>
        <v>Riz</v>
      </c>
      <c r="I16" s="10" t="str">
        <f>Etiquettes!$C$5</f>
        <v>2015-16:2019-20:2023-24</v>
      </c>
      <c r="J16" s="10" t="str">
        <f>Etiquettes!$C$4</f>
        <v>France entière</v>
      </c>
      <c r="K16" s="604"/>
      <c r="L16" s="604"/>
      <c r="M16" s="604"/>
      <c r="N16" s="604"/>
      <c r="U16" s="693"/>
    </row>
    <row r="17" spans="1:21">
      <c r="A17" s="10">
        <f t="shared" si="0"/>
        <v>119</v>
      </c>
      <c r="B17" t="str">
        <f>Secteurs!$B$19</f>
        <v>Usinage - Riz décortiqué</v>
      </c>
      <c r="C17" t="str">
        <f>Produits!$B$48</f>
        <v>Sons de riz</v>
      </c>
      <c r="D17">
        <v>-1</v>
      </c>
      <c r="G17" s="10" t="str">
        <f>Etiquettes!$C$3</f>
        <v>kt</v>
      </c>
      <c r="H17" s="10" t="str">
        <f>Etiquettes!$Q$6</f>
        <v>Riz</v>
      </c>
      <c r="I17" s="10" t="str">
        <f>Etiquettes!$C$5</f>
        <v>2015-16:2019-20:2023-24</v>
      </c>
      <c r="J17" s="10" t="str">
        <f>Etiquettes!$C$4</f>
        <v>France entière</v>
      </c>
      <c r="K17" s="604" t="s">
        <v>1682</v>
      </c>
      <c r="L17" s="604"/>
      <c r="M17" s="604" t="s">
        <v>1592</v>
      </c>
      <c r="N17" s="603" t="str" cm="1">
        <f t="array" aca="1" ref="N17" ca="1">[1]!NOM_FEUILLE('Riz - Diverses'!$A$1:$B$1)</f>
        <v>Riz - Diverses</v>
      </c>
      <c r="O17" s="10" t="str">
        <f>Etiquettes!$I$11</f>
        <v>Rendement</v>
      </c>
      <c r="P17" t="str">
        <f t="shared" ref="P17" si="7">_xlfn.CONCAT(K17," = ",MROUND(D16*100,0.01)," % (",M17,")")</f>
        <v>Rendement en sons de riz de l'Usinage de riz décortiqué = 15 % (Bilans d'approvisionnement agroalimentaire - SSP)</v>
      </c>
      <c r="Q17" s="10" t="str">
        <f>Etiquettes!$K$15</f>
        <v>Approximative</v>
      </c>
      <c r="R17" s="642" t="s">
        <v>1813</v>
      </c>
      <c r="S17" s="603" t="str">
        <f>Etiquettes!$H$17</f>
        <v>Donnée collectée (valeur du flux ou coefficient)</v>
      </c>
      <c r="U17" s="693"/>
    </row>
    <row r="18" spans="1:21">
      <c r="A18" s="10">
        <f t="shared" si="0"/>
        <v>120</v>
      </c>
      <c r="B18" t="str">
        <f>Produits!$B$45</f>
        <v>Riz décortiqué</v>
      </c>
      <c r="C18" t="str">
        <f>Secteurs!$B$19</f>
        <v>Usinage - Riz décortiqué</v>
      </c>
      <c r="D18" s="29">
        <f>'Riz - Diverses'!R67</f>
        <v>0.15000000000000005</v>
      </c>
      <c r="G18" s="10" t="str">
        <f>Etiquettes!$C$3</f>
        <v>kt</v>
      </c>
      <c r="H18" s="10" t="str">
        <f>Etiquettes!$Q$6</f>
        <v>Riz</v>
      </c>
      <c r="I18" s="10" t="str">
        <f>Etiquettes!$C$5</f>
        <v>2015-16:2019-20:2023-24</v>
      </c>
      <c r="J18" s="10" t="str">
        <f>Etiquettes!$C$4</f>
        <v>France entière</v>
      </c>
      <c r="K18" s="604"/>
      <c r="L18" s="604"/>
      <c r="M18" s="604"/>
      <c r="N18" s="604"/>
      <c r="U18" s="693"/>
    </row>
    <row r="19" spans="1:21">
      <c r="A19" s="10">
        <f t="shared" si="0"/>
        <v>120</v>
      </c>
      <c r="B19" t="str">
        <f>Secteurs!$B$19</f>
        <v>Usinage - Riz décortiqué</v>
      </c>
      <c r="C19" t="str">
        <f>Produits!$B$49</f>
        <v>Brisures de riz</v>
      </c>
      <c r="D19">
        <v>-1</v>
      </c>
      <c r="G19" s="10" t="str">
        <f>Etiquettes!$C$3</f>
        <v>kt</v>
      </c>
      <c r="H19" s="10" t="str">
        <f>Etiquettes!$Q$6</f>
        <v>Riz</v>
      </c>
      <c r="I19" s="10" t="str">
        <f>Etiquettes!$C$5</f>
        <v>2015-16:2019-20:2023-24</v>
      </c>
      <c r="J19" s="10" t="str">
        <f>Etiquettes!$C$4</f>
        <v>France entière</v>
      </c>
      <c r="K19" s="604" t="s">
        <v>1683</v>
      </c>
      <c r="L19" s="604"/>
      <c r="M19" s="604" t="s">
        <v>1592</v>
      </c>
      <c r="N19" s="603" t="str" cm="1">
        <f t="array" aca="1" ref="N19" ca="1">[1]!NOM_FEUILLE('Riz - Diverses'!$A$1:$B$1)</f>
        <v>Riz - Diverses</v>
      </c>
      <c r="O19" s="10" t="str">
        <f>Etiquettes!$I$11</f>
        <v>Rendement</v>
      </c>
      <c r="P19" t="str">
        <f t="shared" ref="P19" si="8">_xlfn.CONCAT(K19," = ",MROUND(D18*100,0.01)," % (",M19,")")</f>
        <v>Rendement en brisures de riz de l'Usinage de riz décortiqué = 15 % (Bilans d'approvisionnement agroalimentaire - SSP)</v>
      </c>
      <c r="Q19" s="10" t="str">
        <f>Etiquettes!$K$15</f>
        <v>Approximative</v>
      </c>
      <c r="R19" s="642" t="s">
        <v>1813</v>
      </c>
      <c r="S19" s="603" t="str">
        <f>Etiquettes!$H$17</f>
        <v>Donnée collectée (valeur du flux ou coefficient)</v>
      </c>
      <c r="U19" s="693"/>
    </row>
    <row r="20" spans="1:21">
      <c r="A20" s="10">
        <f t="shared" si="0"/>
        <v>121</v>
      </c>
      <c r="B20" t="str">
        <f>Produits!$B$46</f>
        <v>Balles de riz</v>
      </c>
      <c r="C20" t="str">
        <f>Secteurs!$B$20</f>
        <v>Débouchés</v>
      </c>
      <c r="D20" s="462">
        <f>'Riz - Diverses'!$F$37</f>
        <v>0.25</v>
      </c>
      <c r="G20" s="10" t="str">
        <f>Etiquettes!$C$3</f>
        <v>kt</v>
      </c>
      <c r="H20" s="10" t="str">
        <f>Etiquettes!$Q$6</f>
        <v>Riz</v>
      </c>
      <c r="I20" s="10" t="str">
        <f>Etiquettes!$C$5</f>
        <v>2015-16:2019-20:2023-24</v>
      </c>
      <c r="J20" s="10" t="str">
        <f>Etiquettes!$C$4</f>
        <v>France entière</v>
      </c>
      <c r="K20" s="604"/>
      <c r="L20" s="604"/>
      <c r="M20" s="604"/>
      <c r="N20" s="604"/>
      <c r="U20" s="693" t="s">
        <v>1490</v>
      </c>
    </row>
    <row r="21" spans="1:21">
      <c r="A21" s="10">
        <f t="shared" si="0"/>
        <v>121</v>
      </c>
      <c r="B21" t="str">
        <f>Produits!$B$46</f>
        <v>Balles de riz</v>
      </c>
      <c r="C21" t="str">
        <f>Secteurs!$B$22</f>
        <v>Alimentation humaine</v>
      </c>
      <c r="D21">
        <v>-1</v>
      </c>
      <c r="G21" s="10" t="str">
        <f>Etiquettes!$C$3</f>
        <v>kt</v>
      </c>
      <c r="H21" s="10" t="str">
        <f>Etiquettes!$Q$6</f>
        <v>Riz</v>
      </c>
      <c r="I21" s="10" t="str">
        <f>Etiquettes!$C$5</f>
        <v>2015-16:2019-20:2023-24</v>
      </c>
      <c r="J21" s="10" t="str">
        <f>Etiquettes!$C$4</f>
        <v>France entière</v>
      </c>
      <c r="K21" s="604" t="s">
        <v>1684</v>
      </c>
      <c r="L21" s="604"/>
      <c r="M21" s="604" t="s">
        <v>1603</v>
      </c>
      <c r="N21" s="603" t="str" cm="1">
        <f t="array" aca="1" ref="N21" ca="1">[1]!NOM_FEUILLE('Riz - Diverses'!$A$1:$B$1)</f>
        <v>Riz - Diverses</v>
      </c>
      <c r="O21" s="10" t="str">
        <f>Etiquettes!$J$11</f>
        <v>Répartition</v>
      </c>
      <c r="P21" t="str">
        <f t="shared" ref="P21" si="9">_xlfn.CONCAT(K21," = ",MROUND(D20*100,0.01)," % (",M21,")")</f>
        <v>Part de balles de riz consommée en alimentation humaine = 25 % (ONRB - FranceAgriMer)</v>
      </c>
      <c r="Q21" s="10" t="str">
        <f>Etiquettes!$L$15</f>
        <v>Indicative</v>
      </c>
      <c r="R21" s="642" t="s">
        <v>1813</v>
      </c>
      <c r="S21" s="603" t="str">
        <f>Etiquettes!$H$17</f>
        <v>Donnée collectée (valeur du flux ou coefficient)</v>
      </c>
      <c r="U21" s="693"/>
    </row>
    <row r="22" spans="1:21">
      <c r="A22" s="10">
        <f t="shared" si="0"/>
        <v>122</v>
      </c>
      <c r="B22" t="str">
        <f>Produits!$B$46</f>
        <v>Balles de riz</v>
      </c>
      <c r="C22" t="str">
        <f>Secteurs!$B$20</f>
        <v>Débouchés</v>
      </c>
      <c r="D22" s="462">
        <f>'Riz - Diverses'!$I$37</f>
        <v>0.25</v>
      </c>
      <c r="G22" s="10" t="str">
        <f>Etiquettes!$C$3</f>
        <v>kt</v>
      </c>
      <c r="H22" s="10" t="str">
        <f>Etiquettes!$Q$6</f>
        <v>Riz</v>
      </c>
      <c r="I22" s="10" t="str">
        <f>Etiquettes!$C$5</f>
        <v>2015-16:2019-20:2023-24</v>
      </c>
      <c r="J22" s="10" t="str">
        <f>Etiquettes!$C$4</f>
        <v>France entière</v>
      </c>
      <c r="K22" s="604"/>
      <c r="L22" s="604"/>
      <c r="M22" s="604"/>
      <c r="N22" s="604"/>
      <c r="U22" s="693"/>
    </row>
    <row r="23" spans="1:21">
      <c r="A23" s="10">
        <f t="shared" si="0"/>
        <v>122</v>
      </c>
      <c r="B23" t="str">
        <f>Produits!$B$46</f>
        <v>Balles de riz</v>
      </c>
      <c r="C23" t="str">
        <f>Secteurs!$B$33</f>
        <v>FAB</v>
      </c>
      <c r="D23">
        <v>-1</v>
      </c>
      <c r="G23" s="10" t="str">
        <f>Etiquettes!$C$3</f>
        <v>kt</v>
      </c>
      <c r="H23" s="10" t="str">
        <f>Etiquettes!$Q$6</f>
        <v>Riz</v>
      </c>
      <c r="I23" s="10" t="str">
        <f>Etiquettes!$C$5</f>
        <v>2015-16:2019-20:2023-24</v>
      </c>
      <c r="J23" s="10" t="str">
        <f>Etiquettes!$C$4</f>
        <v>France entière</v>
      </c>
      <c r="K23" s="604" t="s">
        <v>1685</v>
      </c>
      <c r="L23" s="604"/>
      <c r="M23" s="604" t="s">
        <v>1603</v>
      </c>
      <c r="N23" s="603" t="str" cm="1">
        <f t="array" aca="1" ref="N23" ca="1">[1]!NOM_FEUILLE('Riz - Diverses'!$A$1:$B$1)</f>
        <v>Riz - Diverses</v>
      </c>
      <c r="O23" s="10" t="str">
        <f>Etiquettes!$J$11</f>
        <v>Répartition</v>
      </c>
      <c r="P23" t="str">
        <f t="shared" ref="P23" si="10">_xlfn.CONCAT(K23," = ",MROUND(D22*100,0.01)," % (",M23,")")</f>
        <v>Part de balles de riz consommée par les FAB = 25 % (ONRB - FranceAgriMer)</v>
      </c>
      <c r="Q23" s="10" t="str">
        <f>Etiquettes!$L$15</f>
        <v>Indicative</v>
      </c>
      <c r="R23" s="642" t="s">
        <v>1813</v>
      </c>
      <c r="S23" s="603" t="str">
        <f>Etiquettes!$H$17</f>
        <v>Donnée collectée (valeur du flux ou coefficient)</v>
      </c>
      <c r="U23" s="693"/>
    </row>
    <row r="24" spans="1:21">
      <c r="A24" s="10">
        <f t="shared" si="0"/>
        <v>123</v>
      </c>
      <c r="B24" t="str">
        <f>Produits!$B$46</f>
        <v>Balles de riz</v>
      </c>
      <c r="C24" t="str">
        <f>Secteurs!$B$20</f>
        <v>Débouchés</v>
      </c>
      <c r="D24" s="462">
        <f>'Riz - Diverses'!$L$37</f>
        <v>0.25</v>
      </c>
      <c r="G24" s="10" t="str">
        <f>Etiquettes!$C$3</f>
        <v>kt</v>
      </c>
      <c r="H24" s="10" t="str">
        <f>Etiquettes!$Q$6</f>
        <v>Riz</v>
      </c>
      <c r="I24" s="10" t="str">
        <f>Etiquettes!$C$5</f>
        <v>2015-16:2019-20:2023-24</v>
      </c>
      <c r="J24" s="10" t="str">
        <f>Etiquettes!$C$4</f>
        <v>France entière</v>
      </c>
      <c r="K24" s="604"/>
      <c r="L24" s="604"/>
      <c r="M24" s="604"/>
      <c r="N24" s="604"/>
      <c r="U24" s="693"/>
    </row>
    <row r="25" spans="1:21">
      <c r="A25" s="10">
        <f t="shared" si="0"/>
        <v>123</v>
      </c>
      <c r="B25" t="str">
        <f>Produits!$B$46</f>
        <v>Balles de riz</v>
      </c>
      <c r="C25" t="str">
        <f>Secteurs!$B$48</f>
        <v>Epandage</v>
      </c>
      <c r="D25">
        <v>-1</v>
      </c>
      <c r="G25" s="10" t="str">
        <f>Etiquettes!$C$3</f>
        <v>kt</v>
      </c>
      <c r="H25" s="10" t="str">
        <f>Etiquettes!$Q$6</f>
        <v>Riz</v>
      </c>
      <c r="I25" s="10" t="str">
        <f>Etiquettes!$C$5</f>
        <v>2015-16:2019-20:2023-24</v>
      </c>
      <c r="J25" s="10" t="str">
        <f>Etiquettes!$C$4</f>
        <v>France entière</v>
      </c>
      <c r="K25" s="604" t="s">
        <v>1690</v>
      </c>
      <c r="L25" s="604"/>
      <c r="M25" s="604" t="s">
        <v>1603</v>
      </c>
      <c r="N25" s="603" t="str" cm="1">
        <f t="array" aca="1" ref="N25" ca="1">[1]!NOM_FEUILLE('Riz - Diverses'!$A$1:$B$1)</f>
        <v>Riz - Diverses</v>
      </c>
      <c r="O25" s="10" t="str">
        <f>Etiquettes!$J$11</f>
        <v>Répartition</v>
      </c>
      <c r="P25" t="str">
        <f t="shared" ref="P25" si="11">_xlfn.CONCAT(K25," = ",MROUND(D24*100,0.01)," % (",M25,")")</f>
        <v>Part de balles de riz épandue = 25 % (ONRB - FranceAgriMer)</v>
      </c>
      <c r="Q25" s="10" t="str">
        <f>Etiquettes!$L$15</f>
        <v>Indicative</v>
      </c>
      <c r="R25" s="642" t="s">
        <v>1813</v>
      </c>
      <c r="S25" s="603" t="str">
        <f>Etiquettes!$H$17</f>
        <v>Donnée collectée (valeur du flux ou coefficient)</v>
      </c>
      <c r="U25" s="693"/>
    </row>
    <row r="26" spans="1:21">
      <c r="A26" s="10">
        <f t="shared" si="0"/>
        <v>124</v>
      </c>
      <c r="B26" t="str">
        <f>Produits!$B$46</f>
        <v>Balles de riz</v>
      </c>
      <c r="C26" t="str">
        <f>Secteurs!$B$20</f>
        <v>Débouchés</v>
      </c>
      <c r="D26" s="462">
        <f>'Riz - Diverses'!$O$37</f>
        <v>0.25</v>
      </c>
      <c r="G26" s="10" t="str">
        <f>Etiquettes!$C$3</f>
        <v>kt</v>
      </c>
      <c r="H26" s="10" t="str">
        <f>Etiquettes!$Q$6</f>
        <v>Riz</v>
      </c>
      <c r="I26" s="10" t="str">
        <f>Etiquettes!$C$5</f>
        <v>2015-16:2019-20:2023-24</v>
      </c>
      <c r="J26" s="10" t="str">
        <f>Etiquettes!$C$4</f>
        <v>France entière</v>
      </c>
      <c r="K26" s="604"/>
      <c r="L26" s="604"/>
      <c r="M26" s="604"/>
      <c r="N26" s="604"/>
      <c r="U26" s="693"/>
    </row>
    <row r="27" spans="1:21">
      <c r="A27" s="10">
        <f t="shared" si="0"/>
        <v>124</v>
      </c>
      <c r="B27" t="str">
        <f>Produits!$B$46</f>
        <v>Balles de riz</v>
      </c>
      <c r="C27" t="str">
        <f>Secteurs!$B$45</f>
        <v>Méthanisation</v>
      </c>
      <c r="D27">
        <v>-1</v>
      </c>
      <c r="G27" s="10" t="str">
        <f>Etiquettes!$C$3</f>
        <v>kt</v>
      </c>
      <c r="H27" s="10" t="str">
        <f>Etiquettes!$Q$6</f>
        <v>Riz</v>
      </c>
      <c r="I27" s="10" t="str">
        <f>Etiquettes!$C$5</f>
        <v>2015-16:2019-20:2023-24</v>
      </c>
      <c r="J27" s="10" t="str">
        <f>Etiquettes!$C$4</f>
        <v>France entière</v>
      </c>
      <c r="K27" s="604" t="s">
        <v>1686</v>
      </c>
      <c r="L27" s="604"/>
      <c r="M27" s="604" t="s">
        <v>1603</v>
      </c>
      <c r="N27" s="603" t="str" cm="1">
        <f t="array" aca="1" ref="N27" ca="1">[1]!NOM_FEUILLE('Riz - Diverses'!$A$1:$B$1)</f>
        <v>Riz - Diverses</v>
      </c>
      <c r="O27" s="10" t="str">
        <f>Etiquettes!$J$11</f>
        <v>Répartition</v>
      </c>
      <c r="P27" t="str">
        <f t="shared" ref="P27" si="12">_xlfn.CONCAT(K27," = ",MROUND(D26*100,0.01)," % (",M27,")")</f>
        <v>Part de balles de riz consommée en Méthanisation = 25 % (ONRB - FranceAgriMer)</v>
      </c>
      <c r="Q27" s="10" t="str">
        <f>Etiquettes!$L$15</f>
        <v>Indicative</v>
      </c>
      <c r="R27" s="642" t="s">
        <v>1813</v>
      </c>
      <c r="S27" s="603" t="str">
        <f>Etiquettes!$H$17</f>
        <v>Donnée collectée (valeur du flux ou coefficient)</v>
      </c>
      <c r="U27" s="693"/>
    </row>
    <row r="28" spans="1:21">
      <c r="A28" s="10">
        <f t="shared" si="0"/>
        <v>125</v>
      </c>
      <c r="B28" t="str">
        <f>Produits!$B$48</f>
        <v>Sons de riz</v>
      </c>
      <c r="C28" t="str">
        <f>Secteurs!$B$20</f>
        <v>Débouchés</v>
      </c>
      <c r="D28" s="462">
        <f>'Riz - Diverses'!$F$37</f>
        <v>0.25</v>
      </c>
      <c r="G28" s="10" t="str">
        <f>Etiquettes!$C$3</f>
        <v>kt</v>
      </c>
      <c r="H28" s="10" t="str">
        <f>Etiquettes!$Q$6</f>
        <v>Riz</v>
      </c>
      <c r="I28" s="10" t="str">
        <f>Etiquettes!$C$5</f>
        <v>2015-16:2019-20:2023-24</v>
      </c>
      <c r="J28" s="10" t="str">
        <f>Etiquettes!$C$4</f>
        <v>France entière</v>
      </c>
      <c r="K28" s="604"/>
      <c r="L28" s="604"/>
      <c r="M28" s="604"/>
      <c r="N28" s="604"/>
      <c r="U28" s="693" t="s">
        <v>1491</v>
      </c>
    </row>
    <row r="29" spans="1:21">
      <c r="A29" s="10">
        <f t="shared" si="0"/>
        <v>125</v>
      </c>
      <c r="B29" t="str">
        <f>Produits!$B$48</f>
        <v>Sons de riz</v>
      </c>
      <c r="C29" t="str">
        <f>Secteurs!$B$22</f>
        <v>Alimentation humaine</v>
      </c>
      <c r="D29">
        <v>-1</v>
      </c>
      <c r="G29" s="10" t="str">
        <f>Etiquettes!$C$3</f>
        <v>kt</v>
      </c>
      <c r="H29" s="10" t="str">
        <f>Etiquettes!$Q$6</f>
        <v>Riz</v>
      </c>
      <c r="I29" s="10" t="str">
        <f>Etiquettes!$C$5</f>
        <v>2015-16:2019-20:2023-24</v>
      </c>
      <c r="J29" s="10" t="str">
        <f>Etiquettes!$C$4</f>
        <v>France entière</v>
      </c>
      <c r="K29" s="604" t="s">
        <v>1687</v>
      </c>
      <c r="L29" s="604"/>
      <c r="M29" s="604" t="s">
        <v>1603</v>
      </c>
      <c r="N29" s="603" t="str" cm="1">
        <f t="array" aca="1" ref="N29" ca="1">[1]!NOM_FEUILLE('Riz - Diverses'!$A$1:$B$1)</f>
        <v>Riz - Diverses</v>
      </c>
      <c r="O29" s="10" t="str">
        <f>Etiquettes!$J$11</f>
        <v>Répartition</v>
      </c>
      <c r="P29" t="str">
        <f t="shared" ref="P29" si="13">_xlfn.CONCAT(K29," = ",MROUND(D28*100,0.01)," % (",M29,")")</f>
        <v>Part de sons consommée en alimentation humaine = 25 % (ONRB - FranceAgriMer)</v>
      </c>
      <c r="Q29" s="10" t="str">
        <f>Etiquettes!$L$15</f>
        <v>Indicative</v>
      </c>
      <c r="R29" s="642" t="s">
        <v>1813</v>
      </c>
      <c r="S29" s="603" t="str">
        <f>Etiquettes!$H$17</f>
        <v>Donnée collectée (valeur du flux ou coefficient)</v>
      </c>
      <c r="U29" s="693"/>
    </row>
    <row r="30" spans="1:21">
      <c r="A30" s="10">
        <f t="shared" si="0"/>
        <v>126</v>
      </c>
      <c r="B30" t="str">
        <f>Produits!$B$48</f>
        <v>Sons de riz</v>
      </c>
      <c r="C30" t="str">
        <f>Secteurs!$B$20</f>
        <v>Débouchés</v>
      </c>
      <c r="D30" s="462">
        <f>'Riz - Diverses'!$I$37</f>
        <v>0.25</v>
      </c>
      <c r="G30" s="10" t="str">
        <f>Etiquettes!$C$3</f>
        <v>kt</v>
      </c>
      <c r="H30" s="10" t="str">
        <f>Etiquettes!$Q$6</f>
        <v>Riz</v>
      </c>
      <c r="I30" s="10" t="str">
        <f>Etiquettes!$C$5</f>
        <v>2015-16:2019-20:2023-24</v>
      </c>
      <c r="J30" s="10" t="str">
        <f>Etiquettes!$C$4</f>
        <v>France entière</v>
      </c>
      <c r="K30" s="604"/>
      <c r="L30" s="604"/>
      <c r="M30" s="604"/>
      <c r="N30" s="604"/>
      <c r="U30" s="693"/>
    </row>
    <row r="31" spans="1:21">
      <c r="A31" s="10">
        <f t="shared" si="0"/>
        <v>126</v>
      </c>
      <c r="B31" t="str">
        <f>Produits!$B$48</f>
        <v>Sons de riz</v>
      </c>
      <c r="C31" t="str">
        <f>Secteurs!$B$33</f>
        <v>FAB</v>
      </c>
      <c r="D31">
        <v>-1</v>
      </c>
      <c r="G31" s="10" t="str">
        <f>Etiquettes!$C$3</f>
        <v>kt</v>
      </c>
      <c r="H31" s="10" t="str">
        <f>Etiquettes!$Q$6</f>
        <v>Riz</v>
      </c>
      <c r="I31" s="10" t="str">
        <f>Etiquettes!$C$5</f>
        <v>2015-16:2019-20:2023-24</v>
      </c>
      <c r="J31" s="10" t="str">
        <f>Etiquettes!$C$4</f>
        <v>France entière</v>
      </c>
      <c r="K31" s="604" t="s">
        <v>1688</v>
      </c>
      <c r="L31" s="604"/>
      <c r="M31" s="604" t="s">
        <v>1603</v>
      </c>
      <c r="N31" s="603" t="str" cm="1">
        <f t="array" aca="1" ref="N31" ca="1">[1]!NOM_FEUILLE('Riz - Diverses'!$A$1:$B$1)</f>
        <v>Riz - Diverses</v>
      </c>
      <c r="O31" s="10" t="str">
        <f>Etiquettes!$J$11</f>
        <v>Répartition</v>
      </c>
      <c r="P31" t="str">
        <f t="shared" ref="P31" si="14">_xlfn.CONCAT(K31," = ",MROUND(D30*100,0.01)," % (",M31,")")</f>
        <v>Part de sons consommée par les FAB = 25 % (ONRB - FranceAgriMer)</v>
      </c>
      <c r="Q31" s="10" t="str">
        <f>Etiquettes!$L$15</f>
        <v>Indicative</v>
      </c>
      <c r="R31" s="642" t="s">
        <v>1813</v>
      </c>
      <c r="S31" s="603" t="str">
        <f>Etiquettes!$H$17</f>
        <v>Donnée collectée (valeur du flux ou coefficient)</v>
      </c>
      <c r="U31" s="693"/>
    </row>
    <row r="32" spans="1:21">
      <c r="A32" s="10">
        <f t="shared" si="0"/>
        <v>127</v>
      </c>
      <c r="B32" t="str">
        <f>Produits!$B$48</f>
        <v>Sons de riz</v>
      </c>
      <c r="C32" t="str">
        <f>Secteurs!$B$20</f>
        <v>Débouchés</v>
      </c>
      <c r="D32" s="462">
        <f>'Riz - Diverses'!$L$37</f>
        <v>0.25</v>
      </c>
      <c r="G32" s="10" t="str">
        <f>Etiquettes!$C$3</f>
        <v>kt</v>
      </c>
      <c r="H32" s="10" t="str">
        <f>Etiquettes!$Q$6</f>
        <v>Riz</v>
      </c>
      <c r="I32" s="10" t="str">
        <f>Etiquettes!$C$5</f>
        <v>2015-16:2019-20:2023-24</v>
      </c>
      <c r="J32" s="10" t="str">
        <f>Etiquettes!$C$4</f>
        <v>France entière</v>
      </c>
      <c r="K32" s="604"/>
      <c r="L32" s="604"/>
      <c r="M32" s="604"/>
      <c r="N32" s="604"/>
      <c r="U32" s="693"/>
    </row>
    <row r="33" spans="1:21">
      <c r="A33" s="10">
        <f t="shared" si="0"/>
        <v>127</v>
      </c>
      <c r="B33" t="str">
        <f>Produits!$B$48</f>
        <v>Sons de riz</v>
      </c>
      <c r="C33" t="str">
        <f>Secteurs!$B$48</f>
        <v>Epandage</v>
      </c>
      <c r="D33">
        <v>-1</v>
      </c>
      <c r="G33" s="10" t="str">
        <f>Etiquettes!$C$3</f>
        <v>kt</v>
      </c>
      <c r="H33" s="10" t="str">
        <f>Etiquettes!$Q$6</f>
        <v>Riz</v>
      </c>
      <c r="I33" s="10" t="str">
        <f>Etiquettes!$C$5</f>
        <v>2015-16:2019-20:2023-24</v>
      </c>
      <c r="J33" s="10" t="str">
        <f>Etiquettes!$C$4</f>
        <v>France entière</v>
      </c>
      <c r="K33" s="604" t="s">
        <v>1689</v>
      </c>
      <c r="L33" s="604"/>
      <c r="M33" s="604" t="s">
        <v>1603</v>
      </c>
      <c r="N33" s="603" t="str" cm="1">
        <f t="array" aca="1" ref="N33" ca="1">[1]!NOM_FEUILLE('Riz - Diverses'!$A$1:$B$1)</f>
        <v>Riz - Diverses</v>
      </c>
      <c r="O33" s="10" t="str">
        <f>Etiquettes!$J$11</f>
        <v>Répartition</v>
      </c>
      <c r="P33" t="str">
        <f t="shared" ref="P33" si="15">_xlfn.CONCAT(K33," = ",MROUND(D32*100,0.01)," % (",M33,")")</f>
        <v>Part de sons épandue = 25 % (ONRB - FranceAgriMer)</v>
      </c>
      <c r="Q33" s="10" t="str">
        <f>Etiquettes!$L$15</f>
        <v>Indicative</v>
      </c>
      <c r="R33" s="642" t="s">
        <v>1813</v>
      </c>
      <c r="S33" s="603" t="str">
        <f>Etiquettes!$H$17</f>
        <v>Donnée collectée (valeur du flux ou coefficient)</v>
      </c>
      <c r="U33" s="693"/>
    </row>
    <row r="34" spans="1:21">
      <c r="A34" s="10">
        <f t="shared" si="0"/>
        <v>128</v>
      </c>
      <c r="B34" t="str">
        <f>Produits!$B$48</f>
        <v>Sons de riz</v>
      </c>
      <c r="C34" t="str">
        <f>Secteurs!$B$20</f>
        <v>Débouchés</v>
      </c>
      <c r="D34" s="462">
        <f>'Riz - Diverses'!$O$37</f>
        <v>0.25</v>
      </c>
      <c r="G34" s="10" t="str">
        <f>Etiquettes!$C$3</f>
        <v>kt</v>
      </c>
      <c r="H34" s="10" t="str">
        <f>Etiquettes!$Q$6</f>
        <v>Riz</v>
      </c>
      <c r="I34" s="10" t="str">
        <f>Etiquettes!$C$5</f>
        <v>2015-16:2019-20:2023-24</v>
      </c>
      <c r="J34" s="10" t="str">
        <f>Etiquettes!$C$4</f>
        <v>France entière</v>
      </c>
      <c r="K34" s="604"/>
      <c r="L34" s="604"/>
      <c r="M34" s="604"/>
      <c r="N34" s="604"/>
      <c r="U34" s="693"/>
    </row>
    <row r="35" spans="1:21">
      <c r="A35" s="10">
        <f t="shared" si="0"/>
        <v>128</v>
      </c>
      <c r="B35" t="str">
        <f>Produits!$B$48</f>
        <v>Sons de riz</v>
      </c>
      <c r="C35" t="str">
        <f>Secteurs!$B$45</f>
        <v>Méthanisation</v>
      </c>
      <c r="D35">
        <v>-1</v>
      </c>
      <c r="G35" s="10" t="str">
        <f>Etiquettes!$C$3</f>
        <v>kt</v>
      </c>
      <c r="H35" s="10" t="str">
        <f>Etiquettes!$Q$6</f>
        <v>Riz</v>
      </c>
      <c r="I35" s="10" t="str">
        <f>Etiquettes!$C$5</f>
        <v>2015-16:2019-20:2023-24</v>
      </c>
      <c r="J35" s="10" t="str">
        <f>Etiquettes!$C$4</f>
        <v>France entière</v>
      </c>
      <c r="K35" s="604" t="s">
        <v>1691</v>
      </c>
      <c r="L35" s="604"/>
      <c r="M35" s="604" t="s">
        <v>1603</v>
      </c>
      <c r="N35" s="603" t="str" cm="1">
        <f t="array" aca="1" ref="N35" ca="1">[1]!NOM_FEUILLE('Riz - Diverses'!$A$1:$B$1)</f>
        <v>Riz - Diverses</v>
      </c>
      <c r="O35" s="10" t="str">
        <f>Etiquettes!$J$11</f>
        <v>Répartition</v>
      </c>
      <c r="P35" t="str">
        <f t="shared" ref="P35" si="16">_xlfn.CONCAT(K35," = ",MROUND(D34*100,0.01)," % (",M35,")")</f>
        <v>Part de sons consommée en Méthanisation = 25 % (ONRB - FranceAgriMer)</v>
      </c>
      <c r="Q35" s="10" t="str">
        <f>Etiquettes!$L$15</f>
        <v>Indicative</v>
      </c>
      <c r="R35" s="642" t="s">
        <v>1813</v>
      </c>
      <c r="S35" s="603" t="str">
        <f>Etiquettes!$H$17</f>
        <v>Donnée collectée (valeur du flux ou coefficient)</v>
      </c>
      <c r="U35" s="693"/>
    </row>
    <row r="36" spans="1:21">
      <c r="A36" s="10">
        <f t="shared" si="0"/>
        <v>129</v>
      </c>
      <c r="B36" t="str">
        <f>Secteurs!$B$4</f>
        <v>OS</v>
      </c>
      <c r="C36" t="str">
        <f>Produits!$B$4</f>
        <v>Grains collectés</v>
      </c>
      <c r="D36">
        <v>1</v>
      </c>
      <c r="G36" s="10" t="str">
        <f>Etiquettes!$C$3</f>
        <v>kt</v>
      </c>
      <c r="H36" s="10" t="str">
        <f>Etiquettes!$Q$6</f>
        <v>Riz</v>
      </c>
      <c r="I36" s="10" t="str">
        <f>Etiquettes!$C$5</f>
        <v>2015-16:2019-20:2023-24</v>
      </c>
      <c r="J36" s="10" t="str">
        <f>Etiquettes!$C$4</f>
        <v>France entière</v>
      </c>
      <c r="T36" s="693" t="s">
        <v>1494</v>
      </c>
    </row>
    <row r="37" spans="1:21">
      <c r="A37" s="10">
        <f t="shared" si="0"/>
        <v>129</v>
      </c>
      <c r="B37" t="str">
        <f>Secteurs!$B$55</f>
        <v>Importations</v>
      </c>
      <c r="C37" t="str">
        <f>Produits!$B$4</f>
        <v>Grains collectés</v>
      </c>
      <c r="D37">
        <v>1</v>
      </c>
      <c r="G37" s="10" t="str">
        <f>Etiquettes!$C$3</f>
        <v>kt</v>
      </c>
      <c r="H37" s="10" t="str">
        <f>Etiquettes!$Q$6</f>
        <v>Riz</v>
      </c>
      <c r="I37" s="10" t="str">
        <f>Etiquettes!$C$5</f>
        <v>2015-16:2019-20:2023-24</v>
      </c>
      <c r="J37" s="10" t="str">
        <f>Etiquettes!$C$4</f>
        <v>France entière</v>
      </c>
      <c r="T37" s="693"/>
    </row>
    <row r="38" spans="1:21">
      <c r="A38" s="10">
        <f>A34+1</f>
        <v>129</v>
      </c>
      <c r="B38" t="str">
        <f>Produits!$B$4</f>
        <v>Grains collectés</v>
      </c>
      <c r="C38" t="str">
        <f>Secteurs!$B$56</f>
        <v>Exportations</v>
      </c>
      <c r="D38">
        <v>-1</v>
      </c>
      <c r="G38" s="10" t="str">
        <f>Etiquettes!$C$3</f>
        <v>kt</v>
      </c>
      <c r="H38" s="10" t="str">
        <f>Etiquettes!$Q$6</f>
        <v>Riz</v>
      </c>
      <c r="I38" s="10" t="str">
        <f>Etiquettes!$C$5</f>
        <v>2015-16:2019-20:2023-24</v>
      </c>
      <c r="J38" s="10" t="str">
        <f>Etiquettes!$C$4</f>
        <v>France entière</v>
      </c>
      <c r="T38" s="693"/>
    </row>
    <row r="39" spans="1:21">
      <c r="A39" s="10">
        <f>A35+1</f>
        <v>129</v>
      </c>
      <c r="B39" t="str">
        <f>Produits!$B$4</f>
        <v>Grains collectés</v>
      </c>
      <c r="C39" t="str">
        <f>Secteurs!$B$7</f>
        <v>Semences certifiées</v>
      </c>
      <c r="D39">
        <v>-1</v>
      </c>
      <c r="G39" s="10" t="str">
        <f>Etiquettes!$C$3</f>
        <v>kt</v>
      </c>
      <c r="H39" s="10" t="str">
        <f>Etiquettes!$Q$6</f>
        <v>Riz</v>
      </c>
      <c r="I39" s="10" t="str">
        <f>Etiquettes!$C$5</f>
        <v>2015-16:2019-20:2023-24</v>
      </c>
      <c r="J39" s="10" t="str">
        <f>Etiquettes!$C$4</f>
        <v>France entière</v>
      </c>
      <c r="T39" s="693"/>
    </row>
    <row r="40" spans="1:21">
      <c r="A40" s="10">
        <f>A34+1</f>
        <v>129</v>
      </c>
      <c r="B40" t="str">
        <f>Produits!$B$4</f>
        <v>Grains collectés</v>
      </c>
      <c r="C40" t="str">
        <f>Secteurs!$B$16</f>
        <v>Décorticage</v>
      </c>
      <c r="D40">
        <v>-1</v>
      </c>
      <c r="G40" s="10" t="str">
        <f>Etiquettes!$C$3</f>
        <v>kt</v>
      </c>
      <c r="H40" s="10" t="str">
        <f>Etiquettes!$Q$6</f>
        <v>Riz</v>
      </c>
      <c r="I40" s="10" t="str">
        <f>Etiquettes!$C$5</f>
        <v>2015-16:2019-20:2023-24</v>
      </c>
      <c r="J40" s="10" t="str">
        <f>Etiquettes!$C$4</f>
        <v>France entière</v>
      </c>
      <c r="T40" s="693"/>
    </row>
    <row r="41" spans="1:21">
      <c r="A41" s="10">
        <f>A35+1</f>
        <v>129</v>
      </c>
      <c r="B41" t="str">
        <f>Produits!$B$4</f>
        <v>Grains collectés</v>
      </c>
      <c r="C41" t="str">
        <f>Secteurs!$B$17</f>
        <v>Usinage</v>
      </c>
      <c r="D41">
        <v>-1</v>
      </c>
      <c r="G41" s="10" t="str">
        <f>Etiquettes!$C$3</f>
        <v>kt</v>
      </c>
      <c r="H41" s="10" t="str">
        <f>Etiquettes!$Q$6</f>
        <v>Riz</v>
      </c>
      <c r="I41" s="10" t="str">
        <f>Etiquettes!$C$5</f>
        <v>2015-16:2019-20:2023-24</v>
      </c>
      <c r="J41" s="10" t="str">
        <f>Etiquettes!$C$4</f>
        <v>France entière</v>
      </c>
      <c r="T41" s="693"/>
    </row>
  </sheetData>
  <mergeCells count="6">
    <mergeCell ref="T36:T41"/>
    <mergeCell ref="U2:U5"/>
    <mergeCell ref="U6:U13"/>
    <mergeCell ref="U14:U19"/>
    <mergeCell ref="U20:U27"/>
    <mergeCell ref="U28:U35"/>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B26B0-85CB-4936-B0B8-F3987D5B460C}">
  <sheetPr>
    <tabColor theme="1"/>
  </sheetPr>
  <dimension ref="A1:Q18"/>
  <sheetViews>
    <sheetView workbookViewId="0">
      <pane xSplit="2" ySplit="1" topLeftCell="C2" activePane="bottomRight" state="frozen"/>
      <selection activeCell="G1" sqref="G1:G1048576"/>
      <selection pane="topRight" activeCell="G1" sqref="G1:G1048576"/>
      <selection pane="bottomLeft" activeCell="G1" sqref="G1:G1048576"/>
      <selection pane="bottomRight" activeCell="A29" sqref="A29"/>
    </sheetView>
  </sheetViews>
  <sheetFormatPr baseColWidth="10" defaultColWidth="9.109375" defaultRowHeight="14.4"/>
  <cols>
    <col min="1" max="2" width="38.33203125" bestFit="1" customWidth="1"/>
    <col min="3" max="3" width="14.33203125" customWidth="1"/>
    <col min="4" max="4" width="13.109375" customWidth="1"/>
  </cols>
  <sheetData>
    <row r="1" spans="1:17" ht="15" thickBot="1">
      <c r="A1" s="27" t="s">
        <v>14</v>
      </c>
      <c r="B1" s="28" t="s">
        <v>15</v>
      </c>
      <c r="C1" s="23" t="s">
        <v>16</v>
      </c>
      <c r="D1" s="23" t="s">
        <v>18</v>
      </c>
      <c r="E1" t="str" cm="1">
        <f t="array" aca="1" ref="E1:Q18" ca="1">_xlfn._xlws.FILTER('Contraintes             '!G1:S200,ISTEXT('Contraintes             '!O1:O200))</f>
        <v>Unité</v>
      </c>
      <c r="F1" t="str">
        <f ca="1"/>
        <v>Céréale</v>
      </c>
      <c r="G1" t="str">
        <f ca="1"/>
        <v>Campagne</v>
      </c>
      <c r="H1" t="str">
        <f ca="1"/>
        <v>Territoire</v>
      </c>
      <c r="I1" t="str">
        <f ca="1"/>
        <v>Traduction</v>
      </c>
      <c r="J1" t="str">
        <f ca="1"/>
        <v>Hypothèse</v>
      </c>
      <c r="K1" t="str">
        <f ca="1"/>
        <v>Source</v>
      </c>
      <c r="L1" t="str">
        <f ca="1"/>
        <v>Onglet fichier Excel</v>
      </c>
      <c r="M1" t="str">
        <f ca="1"/>
        <v>Type de donnée collectée</v>
      </c>
      <c r="N1" t="str">
        <f ca="1"/>
        <v>Rendement, répartition ou volume d'échange collecté</v>
      </c>
      <c r="O1" t="str">
        <f ca="1"/>
        <v>Fiabilité des données</v>
      </c>
      <c r="P1" t="str">
        <f ca="1"/>
        <v>Méthode</v>
      </c>
      <c r="Q1" t="str">
        <f ca="1"/>
        <v>Analyse des résultats</v>
      </c>
    </row>
    <row r="2" spans="1:17">
      <c r="A2" t="str" cm="1">
        <f t="array" ref="A2:B18">_xlfn._xlws.FILTER('Contraintes             '!B2:C200,ISTEXT('Contraintes             '!O2:O200))</f>
        <v>Décorticage</v>
      </c>
      <c r="B2" t="str">
        <v>Riz décortiqué</v>
      </c>
      <c r="E2" t="str">
        <f ca="1"/>
        <v>kt</v>
      </c>
      <c r="F2" t="str">
        <f ca="1"/>
        <v>Riz</v>
      </c>
      <c r="G2" t="str">
        <f ca="1"/>
        <v>2015-16:2019-20:2023-24</v>
      </c>
      <c r="H2" t="str">
        <f ca="1"/>
        <v>France entière</v>
      </c>
      <c r="I2" t="str">
        <f ca="1"/>
        <v>Rendement en riz décortiqué du Décorticage</v>
      </c>
      <c r="J2">
        <f ca="1"/>
        <v>0</v>
      </c>
      <c r="K2" t="str">
        <f ca="1"/>
        <v>Bilans d'approvisionnement agroalimentaire - SSP</v>
      </c>
      <c r="L2" t="str">
        <f ca="1"/>
        <v>Riz - Diverses</v>
      </c>
      <c r="M2" t="str">
        <f ca="1"/>
        <v>Rendement</v>
      </c>
      <c r="N2" t="str">
        <f ca="1"/>
        <v>Rendement en riz décortiqué du Décorticage = 80 % (Bilans d'approvisionnement agroalimentaire - SSP)</v>
      </c>
      <c r="O2" t="str">
        <f ca="1"/>
        <v>Approximative</v>
      </c>
      <c r="P2" t="str">
        <f ca="1"/>
        <v>Données collectées:Données déterminées</v>
      </c>
      <c r="Q2" t="str">
        <f ca="1"/>
        <v>Donnée collectée (valeur du flux ou coefficient)</v>
      </c>
    </row>
    <row r="3" spans="1:17">
      <c r="A3" t="str">
        <v>Décorticage</v>
      </c>
      <c r="B3" t="str">
        <v>Balles de riz</v>
      </c>
      <c r="E3" t="str">
        <f ca="1"/>
        <v>kt</v>
      </c>
      <c r="F3" t="str">
        <f ca="1"/>
        <v>Riz</v>
      </c>
      <c r="G3" t="str">
        <f ca="1"/>
        <v>2015-16:2019-20:2023-24</v>
      </c>
      <c r="H3" t="str">
        <f ca="1"/>
        <v>France entière</v>
      </c>
      <c r="I3" t="str">
        <f ca="1"/>
        <v>Rendement en balles de riz du Décorticage</v>
      </c>
      <c r="J3">
        <f ca="1"/>
        <v>0</v>
      </c>
      <c r="K3" t="str">
        <f ca="1"/>
        <v>Bilans d'approvisionnement agroalimentaire - SSP</v>
      </c>
      <c r="L3" t="str">
        <f ca="1"/>
        <v>Riz - Diverses</v>
      </c>
      <c r="M3" t="str">
        <f ca="1"/>
        <v>Rendement</v>
      </c>
      <c r="N3" t="str">
        <f ca="1"/>
        <v>Rendement en balles de riz du Décorticage = 20 % (Bilans d'approvisionnement agroalimentaire - SSP)</v>
      </c>
      <c r="O3" t="str">
        <f ca="1"/>
        <v>Approximative</v>
      </c>
      <c r="P3" t="str">
        <f ca="1"/>
        <v>Données collectées:Données déterminées</v>
      </c>
      <c r="Q3" t="str">
        <f ca="1"/>
        <v>Donnée collectée (valeur du flux ou coefficient)</v>
      </c>
    </row>
    <row r="4" spans="1:17">
      <c r="A4" t="str">
        <v>Usinage - Riz paddy</v>
      </c>
      <c r="B4" t="str">
        <v>Riz usiné</v>
      </c>
      <c r="E4" t="str">
        <f ca="1"/>
        <v>kt</v>
      </c>
      <c r="F4" t="str">
        <f ca="1"/>
        <v>Riz</v>
      </c>
      <c r="G4" t="str">
        <f ca="1"/>
        <v>2015-16:2019-20:2023-24</v>
      </c>
      <c r="H4" t="str">
        <f ca="1"/>
        <v>France entière</v>
      </c>
      <c r="I4" t="str">
        <f ca="1"/>
        <v>Rendement en riz usiné de l'Usinage de riz paddy</v>
      </c>
      <c r="J4">
        <f ca="1"/>
        <v>0</v>
      </c>
      <c r="K4" t="str">
        <f ca="1"/>
        <v>Bilans d'approvisionnement agroalimentaire - SSP</v>
      </c>
      <c r="L4" t="str">
        <f ca="1"/>
        <v>Riz - Diverses</v>
      </c>
      <c r="M4" t="str">
        <f ca="1"/>
        <v>Rendement</v>
      </c>
      <c r="N4" t="str">
        <f ca="1"/>
        <v>Rendement en riz usiné de l'Usinage de riz paddy = 60 % (Bilans d'approvisionnement agroalimentaire - SSP)</v>
      </c>
      <c r="O4" t="str">
        <f ca="1"/>
        <v>Approximative</v>
      </c>
      <c r="P4" t="str">
        <f ca="1"/>
        <v>Données collectées:Données déterminées</v>
      </c>
      <c r="Q4" t="str">
        <f ca="1"/>
        <v>Donnée collectée (valeur du flux ou coefficient)</v>
      </c>
    </row>
    <row r="5" spans="1:17">
      <c r="A5" t="str">
        <v>Usinage - Riz paddy</v>
      </c>
      <c r="B5" t="str">
        <v>Balles de riz</v>
      </c>
      <c r="E5" t="str">
        <f ca="1"/>
        <v>kt</v>
      </c>
      <c r="F5" t="str">
        <f ca="1"/>
        <v>Riz</v>
      </c>
      <c r="G5" t="str">
        <f ca="1"/>
        <v>2015-16:2019-20:2023-24</v>
      </c>
      <c r="H5" t="str">
        <f ca="1"/>
        <v>France entière</v>
      </c>
      <c r="I5" t="str">
        <f ca="1"/>
        <v>Rendement en balles de riz de l'Usinage de riz paddy</v>
      </c>
      <c r="J5">
        <f ca="1"/>
        <v>0</v>
      </c>
      <c r="K5" t="str">
        <f ca="1"/>
        <v>Bilans d'approvisionnement agroalimentaire - SSP</v>
      </c>
      <c r="L5" t="str">
        <f ca="1"/>
        <v>Riz - Diverses</v>
      </c>
      <c r="M5" t="str">
        <f ca="1"/>
        <v>Rendement</v>
      </c>
      <c r="N5" t="str">
        <f ca="1"/>
        <v>Rendement en balles de riz de l'Usinage de riz paddy = 20 % (Bilans d'approvisionnement agroalimentaire - SSP)</v>
      </c>
      <c r="O5" t="str">
        <f ca="1"/>
        <v>Approximative</v>
      </c>
      <c r="P5" t="str">
        <f ca="1"/>
        <v>Données collectées:Données déterminées</v>
      </c>
      <c r="Q5" t="str">
        <f ca="1"/>
        <v>Donnée collectée (valeur du flux ou coefficient)</v>
      </c>
    </row>
    <row r="6" spans="1:17">
      <c r="A6" t="str">
        <v>Usinage - Riz paddy</v>
      </c>
      <c r="B6" t="str">
        <v>Sons de riz</v>
      </c>
      <c r="E6" t="str">
        <f ca="1"/>
        <v>kt</v>
      </c>
      <c r="F6" t="str">
        <f ca="1"/>
        <v>Riz</v>
      </c>
      <c r="G6" t="str">
        <f ca="1"/>
        <v>2015-16:2019-20:2023-24</v>
      </c>
      <c r="H6" t="str">
        <f ca="1"/>
        <v>France entière</v>
      </c>
      <c r="I6" t="str">
        <f ca="1"/>
        <v>Rendement en sons de riz de l'Usinage de riz paddy</v>
      </c>
      <c r="J6">
        <f ca="1"/>
        <v>0</v>
      </c>
      <c r="K6" t="str">
        <f ca="1"/>
        <v>Bilans d'approvisionnement agroalimentaire - SSP</v>
      </c>
      <c r="L6" t="str">
        <f ca="1"/>
        <v>Riz - Diverses</v>
      </c>
      <c r="M6" t="str">
        <f ca="1"/>
        <v>Rendement</v>
      </c>
      <c r="N6" t="str">
        <f ca="1"/>
        <v>Rendement en sons de riz de l'Usinage de riz paddy = 10 % (Bilans d'approvisionnement agroalimentaire - SSP)</v>
      </c>
      <c r="O6" t="str">
        <f ca="1"/>
        <v>Approximative</v>
      </c>
      <c r="P6" t="str">
        <f ca="1"/>
        <v>Données collectées:Données déterminées</v>
      </c>
      <c r="Q6" t="str">
        <f ca="1"/>
        <v>Donnée collectée (valeur du flux ou coefficient)</v>
      </c>
    </row>
    <row r="7" spans="1:17">
      <c r="A7" t="str">
        <v>Usinage - Riz paddy</v>
      </c>
      <c r="B7" t="str">
        <v>Brisures de riz</v>
      </c>
      <c r="E7" t="str">
        <f ca="1"/>
        <v>kt</v>
      </c>
      <c r="F7" t="str">
        <f ca="1"/>
        <v>Riz</v>
      </c>
      <c r="G7" t="str">
        <f ca="1"/>
        <v>2015-16:2019-20:2023-24</v>
      </c>
      <c r="H7" t="str">
        <f ca="1"/>
        <v>France entière</v>
      </c>
      <c r="I7" t="str">
        <f ca="1"/>
        <v>Rendement en brisures de riz de l'Usinage de riz paddy</v>
      </c>
      <c r="J7">
        <f ca="1"/>
        <v>0</v>
      </c>
      <c r="K7" t="str">
        <f ca="1"/>
        <v>Bilans d'approvisionnement agroalimentaire - SSP</v>
      </c>
      <c r="L7" t="str">
        <f ca="1"/>
        <v>Riz - Diverses</v>
      </c>
      <c r="M7" t="str">
        <f ca="1"/>
        <v>Rendement</v>
      </c>
      <c r="N7" t="str">
        <f ca="1"/>
        <v>Rendement en brisures de riz de l'Usinage de riz paddy = 10 % (Bilans d'approvisionnement agroalimentaire - SSP)</v>
      </c>
      <c r="O7" t="str">
        <f ca="1"/>
        <v>Approximative</v>
      </c>
      <c r="P7" t="str">
        <f ca="1"/>
        <v>Données collectées:Données déterminées</v>
      </c>
      <c r="Q7" t="str">
        <f ca="1"/>
        <v>Donnée collectée (valeur du flux ou coefficient)</v>
      </c>
    </row>
    <row r="8" spans="1:17">
      <c r="A8" t="str">
        <v>Usinage - Riz décortiqué</v>
      </c>
      <c r="B8" t="str">
        <v>Riz usiné</v>
      </c>
      <c r="E8" t="str">
        <f ca="1"/>
        <v>kt</v>
      </c>
      <c r="F8" t="str">
        <f ca="1"/>
        <v>Riz</v>
      </c>
      <c r="G8" t="str">
        <f ca="1"/>
        <v>2015-16:2019-20:2023-24</v>
      </c>
      <c r="H8" t="str">
        <f ca="1"/>
        <v>France entière</v>
      </c>
      <c r="I8" t="str">
        <f ca="1"/>
        <v>Rendement en riz usiné de l'Usinage de riz décortiqué</v>
      </c>
      <c r="J8">
        <f ca="1"/>
        <v>0</v>
      </c>
      <c r="K8" t="str">
        <f ca="1"/>
        <v>Bilans d'approvisionnement agroalimentaire - SSP</v>
      </c>
      <c r="L8" t="str">
        <f ca="1"/>
        <v>Riz - Diverses</v>
      </c>
      <c r="M8" t="str">
        <f ca="1"/>
        <v>Rendement</v>
      </c>
      <c r="N8" t="str">
        <f ca="1"/>
        <v>Rendement en riz usiné de l'Usinage de riz décortiqué = 70 % (Bilans d'approvisionnement agroalimentaire - SSP)</v>
      </c>
      <c r="O8" t="str">
        <f ca="1"/>
        <v>Approximative</v>
      </c>
      <c r="P8" t="str">
        <f ca="1"/>
        <v>Données collectées:Données déterminées</v>
      </c>
      <c r="Q8" t="str">
        <f ca="1"/>
        <v>Donnée collectée (valeur du flux ou coefficient)</v>
      </c>
    </row>
    <row r="9" spans="1:17">
      <c r="A9" t="str">
        <v>Usinage - Riz décortiqué</v>
      </c>
      <c r="B9" t="str">
        <v>Sons de riz</v>
      </c>
      <c r="E9" t="str">
        <f ca="1"/>
        <v>kt</v>
      </c>
      <c r="F9" t="str">
        <f ca="1"/>
        <v>Riz</v>
      </c>
      <c r="G9" t="str">
        <f ca="1"/>
        <v>2015-16:2019-20:2023-24</v>
      </c>
      <c r="H9" t="str">
        <f ca="1"/>
        <v>France entière</v>
      </c>
      <c r="I9" t="str">
        <f ca="1"/>
        <v>Rendement en sons de riz de l'Usinage de riz décortiqué</v>
      </c>
      <c r="J9">
        <f ca="1"/>
        <v>0</v>
      </c>
      <c r="K9" t="str">
        <f ca="1"/>
        <v>Bilans d'approvisionnement agroalimentaire - SSP</v>
      </c>
      <c r="L9" t="str">
        <f ca="1"/>
        <v>Riz - Diverses</v>
      </c>
      <c r="M9" t="str">
        <f ca="1"/>
        <v>Rendement</v>
      </c>
      <c r="N9" t="str">
        <f ca="1"/>
        <v>Rendement en sons de riz de l'Usinage de riz décortiqué = 15 % (Bilans d'approvisionnement agroalimentaire - SSP)</v>
      </c>
      <c r="O9" t="str">
        <f ca="1"/>
        <v>Approximative</v>
      </c>
      <c r="P9" t="str">
        <f ca="1"/>
        <v>Données collectées:Données déterminées</v>
      </c>
      <c r="Q9" t="str">
        <f ca="1"/>
        <v>Donnée collectée (valeur du flux ou coefficient)</v>
      </c>
    </row>
    <row r="10" spans="1:17">
      <c r="A10" t="str">
        <v>Usinage - Riz décortiqué</v>
      </c>
      <c r="B10" t="str">
        <v>Brisures de riz</v>
      </c>
      <c r="E10" t="str">
        <f ca="1"/>
        <v>kt</v>
      </c>
      <c r="F10" t="str">
        <f ca="1"/>
        <v>Riz</v>
      </c>
      <c r="G10" t="str">
        <f ca="1"/>
        <v>2015-16:2019-20:2023-24</v>
      </c>
      <c r="H10" t="str">
        <f ca="1"/>
        <v>France entière</v>
      </c>
      <c r="I10" t="str">
        <f ca="1"/>
        <v>Rendement en brisures de riz de l'Usinage de riz décortiqué</v>
      </c>
      <c r="J10">
        <f ca="1"/>
        <v>0</v>
      </c>
      <c r="K10" t="str">
        <f ca="1"/>
        <v>Bilans d'approvisionnement agroalimentaire - SSP</v>
      </c>
      <c r="L10" t="str">
        <f ca="1"/>
        <v>Riz - Diverses</v>
      </c>
      <c r="M10" t="str">
        <f ca="1"/>
        <v>Rendement</v>
      </c>
      <c r="N10" t="str">
        <f ca="1"/>
        <v>Rendement en brisures de riz de l'Usinage de riz décortiqué = 15 % (Bilans d'approvisionnement agroalimentaire - SSP)</v>
      </c>
      <c r="O10" t="str">
        <f ca="1"/>
        <v>Approximative</v>
      </c>
      <c r="P10" t="str">
        <f ca="1"/>
        <v>Données collectées:Données déterminées</v>
      </c>
      <c r="Q10" t="str">
        <f ca="1"/>
        <v>Donnée collectée (valeur du flux ou coefficient)</v>
      </c>
    </row>
    <row r="11" spans="1:17">
      <c r="A11" t="str">
        <v>Balles de riz</v>
      </c>
      <c r="B11" t="str">
        <v>Alimentation humaine</v>
      </c>
      <c r="E11" t="str">
        <f ca="1"/>
        <v>kt</v>
      </c>
      <c r="F11" t="str">
        <f ca="1"/>
        <v>Riz</v>
      </c>
      <c r="G11" t="str">
        <f ca="1"/>
        <v>2015-16:2019-20:2023-24</v>
      </c>
      <c r="H11" t="str">
        <f ca="1"/>
        <v>France entière</v>
      </c>
      <c r="I11" t="str">
        <f ca="1"/>
        <v>Part de balles de riz consommée en alimentation humaine</v>
      </c>
      <c r="J11">
        <f ca="1"/>
        <v>0</v>
      </c>
      <c r="K11" t="str">
        <f ca="1"/>
        <v>ONRB - FranceAgriMer</v>
      </c>
      <c r="L11" t="str">
        <f ca="1"/>
        <v>Riz - Diverses</v>
      </c>
      <c r="M11" t="str">
        <f ca="1"/>
        <v>Répartition</v>
      </c>
      <c r="N11" t="str">
        <f ca="1"/>
        <v>Part de balles de riz consommée en alimentation humaine = 25 % (ONRB - FranceAgriMer)</v>
      </c>
      <c r="O11" t="str">
        <f ca="1"/>
        <v>Indicative</v>
      </c>
      <c r="P11" t="str">
        <f ca="1"/>
        <v>Données collectées:Données déterminées</v>
      </c>
      <c r="Q11" t="str">
        <f ca="1"/>
        <v>Donnée collectée (valeur du flux ou coefficient)</v>
      </c>
    </row>
    <row r="12" spans="1:17">
      <c r="A12" t="str">
        <v>Balles de riz</v>
      </c>
      <c r="B12" t="str">
        <v>FAB</v>
      </c>
      <c r="E12" t="str">
        <f ca="1"/>
        <v>kt</v>
      </c>
      <c r="F12" t="str">
        <f ca="1"/>
        <v>Riz</v>
      </c>
      <c r="G12" t="str">
        <f ca="1"/>
        <v>2015-16:2019-20:2023-24</v>
      </c>
      <c r="H12" t="str">
        <f ca="1"/>
        <v>France entière</v>
      </c>
      <c r="I12" t="str">
        <f ca="1"/>
        <v>Part de balles de riz consommée par les FAB</v>
      </c>
      <c r="J12">
        <f ca="1"/>
        <v>0</v>
      </c>
      <c r="K12" t="str">
        <f ca="1"/>
        <v>ONRB - FranceAgriMer</v>
      </c>
      <c r="L12" t="str">
        <f ca="1"/>
        <v>Riz - Diverses</v>
      </c>
      <c r="M12" t="str">
        <f ca="1"/>
        <v>Répartition</v>
      </c>
      <c r="N12" t="str">
        <f ca="1"/>
        <v>Part de balles de riz consommée par les FAB = 25 % (ONRB - FranceAgriMer)</v>
      </c>
      <c r="O12" t="str">
        <f ca="1"/>
        <v>Indicative</v>
      </c>
      <c r="P12" t="str">
        <f ca="1"/>
        <v>Données collectées:Données déterminées</v>
      </c>
      <c r="Q12" t="str">
        <f ca="1"/>
        <v>Donnée collectée (valeur du flux ou coefficient)</v>
      </c>
    </row>
    <row r="13" spans="1:17">
      <c r="A13" t="str">
        <v>Balles de riz</v>
      </c>
      <c r="B13" t="str">
        <v>Epandage</v>
      </c>
      <c r="E13" t="str">
        <f ca="1"/>
        <v>kt</v>
      </c>
      <c r="F13" t="str">
        <f ca="1"/>
        <v>Riz</v>
      </c>
      <c r="G13" t="str">
        <f ca="1"/>
        <v>2015-16:2019-20:2023-24</v>
      </c>
      <c r="H13" t="str">
        <f ca="1"/>
        <v>France entière</v>
      </c>
      <c r="I13" t="str">
        <f ca="1"/>
        <v>Part de balles de riz épandue</v>
      </c>
      <c r="J13">
        <f ca="1"/>
        <v>0</v>
      </c>
      <c r="K13" t="str">
        <f ca="1"/>
        <v>ONRB - FranceAgriMer</v>
      </c>
      <c r="L13" t="str">
        <f ca="1"/>
        <v>Riz - Diverses</v>
      </c>
      <c r="M13" t="str">
        <f ca="1"/>
        <v>Répartition</v>
      </c>
      <c r="N13" t="str">
        <f ca="1"/>
        <v>Part de balles de riz épandue = 25 % (ONRB - FranceAgriMer)</v>
      </c>
      <c r="O13" t="str">
        <f ca="1"/>
        <v>Indicative</v>
      </c>
      <c r="P13" t="str">
        <f ca="1"/>
        <v>Données collectées:Données déterminées</v>
      </c>
      <c r="Q13" t="str">
        <f ca="1"/>
        <v>Donnée collectée (valeur du flux ou coefficient)</v>
      </c>
    </row>
    <row r="14" spans="1:17">
      <c r="A14" t="str">
        <v>Balles de riz</v>
      </c>
      <c r="B14" t="str">
        <v>Méthanisation</v>
      </c>
      <c r="E14" t="str">
        <f ca="1"/>
        <v>kt</v>
      </c>
      <c r="F14" t="str">
        <f ca="1"/>
        <v>Riz</v>
      </c>
      <c r="G14" t="str">
        <f ca="1"/>
        <v>2015-16:2019-20:2023-24</v>
      </c>
      <c r="H14" t="str">
        <f ca="1"/>
        <v>France entière</v>
      </c>
      <c r="I14" t="str">
        <f ca="1"/>
        <v>Part de balles de riz consommée en Méthanisation</v>
      </c>
      <c r="J14">
        <f ca="1"/>
        <v>0</v>
      </c>
      <c r="K14" t="str">
        <f ca="1"/>
        <v>ONRB - FranceAgriMer</v>
      </c>
      <c r="L14" t="str">
        <f ca="1"/>
        <v>Riz - Diverses</v>
      </c>
      <c r="M14" t="str">
        <f ca="1"/>
        <v>Répartition</v>
      </c>
      <c r="N14" t="str">
        <f ca="1"/>
        <v>Part de balles de riz consommée en Méthanisation = 25 % (ONRB - FranceAgriMer)</v>
      </c>
      <c r="O14" t="str">
        <f ca="1"/>
        <v>Indicative</v>
      </c>
      <c r="P14" t="str">
        <f ca="1"/>
        <v>Données collectées:Données déterminées</v>
      </c>
      <c r="Q14" t="str">
        <f ca="1"/>
        <v>Donnée collectée (valeur du flux ou coefficient)</v>
      </c>
    </row>
    <row r="15" spans="1:17">
      <c r="A15" t="str">
        <v>Sons de riz</v>
      </c>
      <c r="B15" t="str">
        <v>Alimentation humaine</v>
      </c>
      <c r="E15" t="str">
        <f ca="1"/>
        <v>kt</v>
      </c>
      <c r="F15" t="str">
        <f ca="1"/>
        <v>Riz</v>
      </c>
      <c r="G15" t="str">
        <f ca="1"/>
        <v>2015-16:2019-20:2023-24</v>
      </c>
      <c r="H15" t="str">
        <f ca="1"/>
        <v>France entière</v>
      </c>
      <c r="I15" t="str">
        <f ca="1"/>
        <v>Part de sons consommée en alimentation humaine</v>
      </c>
      <c r="J15">
        <f ca="1"/>
        <v>0</v>
      </c>
      <c r="K15" t="str">
        <f ca="1"/>
        <v>ONRB - FranceAgriMer</v>
      </c>
      <c r="L15" t="str">
        <f ca="1"/>
        <v>Riz - Diverses</v>
      </c>
      <c r="M15" t="str">
        <f ca="1"/>
        <v>Répartition</v>
      </c>
      <c r="N15" t="str">
        <f ca="1"/>
        <v>Part de sons consommée en alimentation humaine = 25 % (ONRB - FranceAgriMer)</v>
      </c>
      <c r="O15" t="str">
        <f ca="1"/>
        <v>Indicative</v>
      </c>
      <c r="P15" t="str">
        <f ca="1"/>
        <v>Données collectées:Données déterminées</v>
      </c>
      <c r="Q15" t="str">
        <f ca="1"/>
        <v>Donnée collectée (valeur du flux ou coefficient)</v>
      </c>
    </row>
    <row r="16" spans="1:17">
      <c r="A16" t="str">
        <v>Sons de riz</v>
      </c>
      <c r="B16" t="str">
        <v>FAB</v>
      </c>
      <c r="E16" t="str">
        <f ca="1"/>
        <v>kt</v>
      </c>
      <c r="F16" t="str">
        <f ca="1"/>
        <v>Riz</v>
      </c>
      <c r="G16" t="str">
        <f ca="1"/>
        <v>2015-16:2019-20:2023-24</v>
      </c>
      <c r="H16" t="str">
        <f ca="1"/>
        <v>France entière</v>
      </c>
      <c r="I16" t="str">
        <f ca="1"/>
        <v>Part de sons consommée par les FAB</v>
      </c>
      <c r="J16">
        <f ca="1"/>
        <v>0</v>
      </c>
      <c r="K16" t="str">
        <f ca="1"/>
        <v>ONRB - FranceAgriMer</v>
      </c>
      <c r="L16" t="str">
        <f ca="1"/>
        <v>Riz - Diverses</v>
      </c>
      <c r="M16" t="str">
        <f ca="1"/>
        <v>Répartition</v>
      </c>
      <c r="N16" t="str">
        <f ca="1"/>
        <v>Part de sons consommée par les FAB = 25 % (ONRB - FranceAgriMer)</v>
      </c>
      <c r="O16" t="str">
        <f ca="1"/>
        <v>Indicative</v>
      </c>
      <c r="P16" t="str">
        <f ca="1"/>
        <v>Données collectées:Données déterminées</v>
      </c>
      <c r="Q16" t="str">
        <f ca="1"/>
        <v>Donnée collectée (valeur du flux ou coefficient)</v>
      </c>
    </row>
    <row r="17" spans="1:17">
      <c r="A17" t="str">
        <v>Sons de riz</v>
      </c>
      <c r="B17" t="str">
        <v>Epandage</v>
      </c>
      <c r="E17" t="str">
        <f ca="1"/>
        <v>kt</v>
      </c>
      <c r="F17" t="str">
        <f ca="1"/>
        <v>Riz</v>
      </c>
      <c r="G17" t="str">
        <f ca="1"/>
        <v>2015-16:2019-20:2023-24</v>
      </c>
      <c r="H17" t="str">
        <f ca="1"/>
        <v>France entière</v>
      </c>
      <c r="I17" t="str">
        <f ca="1"/>
        <v>Part de sons épandue</v>
      </c>
      <c r="J17">
        <f ca="1"/>
        <v>0</v>
      </c>
      <c r="K17" t="str">
        <f ca="1"/>
        <v>ONRB - FranceAgriMer</v>
      </c>
      <c r="L17" t="str">
        <f ca="1"/>
        <v>Riz - Diverses</v>
      </c>
      <c r="M17" t="str">
        <f ca="1"/>
        <v>Répartition</v>
      </c>
      <c r="N17" t="str">
        <f ca="1"/>
        <v>Part de sons épandue = 25 % (ONRB - FranceAgriMer)</v>
      </c>
      <c r="O17" t="str">
        <f ca="1"/>
        <v>Indicative</v>
      </c>
      <c r="P17" t="str">
        <f ca="1"/>
        <v>Données collectées:Données déterminées</v>
      </c>
      <c r="Q17" t="str">
        <f ca="1"/>
        <v>Donnée collectée (valeur du flux ou coefficient)</v>
      </c>
    </row>
    <row r="18" spans="1:17">
      <c r="A18" t="str">
        <v>Sons de riz</v>
      </c>
      <c r="B18" t="str">
        <v>Méthanisation</v>
      </c>
      <c r="E18" t="str">
        <f ca="1"/>
        <v>kt</v>
      </c>
      <c r="F18" t="str">
        <f ca="1"/>
        <v>Riz</v>
      </c>
      <c r="G18" t="str">
        <f ca="1"/>
        <v>2015-16:2019-20:2023-24</v>
      </c>
      <c r="H18" t="str">
        <f ca="1"/>
        <v>France entière</v>
      </c>
      <c r="I18" t="str">
        <f ca="1"/>
        <v>Part de sons consommée en Méthanisation</v>
      </c>
      <c r="J18">
        <f ca="1"/>
        <v>0</v>
      </c>
      <c r="K18" t="str">
        <f ca="1"/>
        <v>ONRB - FranceAgriMer</v>
      </c>
      <c r="L18" t="str">
        <f ca="1"/>
        <v>Riz - Diverses</v>
      </c>
      <c r="M18" t="str">
        <f ca="1"/>
        <v>Répartition</v>
      </c>
      <c r="N18" t="str">
        <f ca="1"/>
        <v>Part de sons consommée en Méthanisation = 25 % (ONRB - FranceAgriMer)</v>
      </c>
      <c r="O18" t="str">
        <f ca="1"/>
        <v>Indicative</v>
      </c>
      <c r="P18" t="str">
        <f ca="1"/>
        <v>Données collectées:Données déterminées</v>
      </c>
      <c r="Q18" t="str">
        <f ca="1"/>
        <v>Donnée collectée (valeur du flux ou coefficient)</v>
      </c>
    </row>
  </sheetData>
  <pageMargins left="0.75" right="0.75" top="1" bottom="1" header="0.5" footer="0.5"/>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CE34-D19E-4589-98D8-7E9A18BF5021}">
  <sheetPr>
    <tabColor rgb="FF92D050"/>
  </sheetPr>
  <dimension ref="A1:S37"/>
  <sheetViews>
    <sheetView workbookViewId="0">
      <pane xSplit="2" ySplit="1" topLeftCell="M2" activePane="bottomRight" state="frozen"/>
      <selection activeCell="B15" sqref="B15"/>
      <selection pane="topRight" activeCell="B15" sqref="B15"/>
      <selection pane="bottomLeft" activeCell="B15" sqref="B15"/>
      <selection pane="bottomRight" activeCell="Q4" sqref="Q4"/>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6.6640625" bestFit="1" customWidth="1"/>
    <col min="6" max="6" width="10" style="26" bestFit="1" customWidth="1"/>
    <col min="7" max="7" width="12.109375" style="26" bestFit="1" customWidth="1"/>
    <col min="8" max="8" width="11" style="26" bestFit="1" customWidth="1"/>
    <col min="9" max="9" width="30.21875" style="26" customWidth="1"/>
    <col min="10" max="10" width="12.21875" style="26" bestFit="1" customWidth="1"/>
    <col min="11" max="11" width="33.21875" style="26" bestFit="1" customWidth="1"/>
    <col min="12" max="12" width="14.44140625" style="603" customWidth="1"/>
    <col min="13" max="13" width="14.44140625" style="26" customWidth="1"/>
    <col min="14" max="14" width="21" customWidth="1"/>
    <col min="15" max="17" width="14.44140625" style="26" customWidth="1"/>
    <col min="18" max="18" width="12.33203125" customWidth="1"/>
    <col min="19" max="19" width="17.44140625" customWidth="1"/>
  </cols>
  <sheetData>
    <row r="1" spans="1:19" ht="38.4"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tr">
        <f>Etiquettes!$A$9</f>
        <v>Source</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Produits!$B$2</f>
        <v>Grains récoltés</v>
      </c>
      <c r="B2" t="str">
        <f>Secteurs!$B$3</f>
        <v>Ferme</v>
      </c>
      <c r="C2" s="571"/>
      <c r="O2" s="26" t="str">
        <f>Etiquettes!$K$15</f>
        <v>Approximative</v>
      </c>
      <c r="P2" s="603" t="s">
        <v>1816</v>
      </c>
      <c r="Q2" s="603" t="str">
        <f>Etiquettes!$J$17</f>
        <v>Donnée déterminée (par bilan matière)</v>
      </c>
      <c r="S2" s="692" t="s">
        <v>1797</v>
      </c>
    </row>
    <row r="3" spans="1:19">
      <c r="A3" t="str">
        <f>Produits!$B$3</f>
        <v>Grains autoconsommés</v>
      </c>
      <c r="B3" t="str">
        <f>Secteurs!$B$34</f>
        <v>Hors FAB</v>
      </c>
      <c r="O3" s="26" t="str">
        <f>Etiquettes!$L$15</f>
        <v>Indicative</v>
      </c>
      <c r="P3" s="603" t="s">
        <v>1816</v>
      </c>
      <c r="Q3" s="603" t="str">
        <f>Etiquettes!$J$17</f>
        <v>Donnée déterminée (par bilan matière)</v>
      </c>
      <c r="S3" s="693"/>
    </row>
    <row r="4" spans="1:19">
      <c r="A4" t="str">
        <f>Secteurs!$B$4</f>
        <v>OS</v>
      </c>
      <c r="B4" t="str">
        <f>Produits!$B$4</f>
        <v>Grains collectés</v>
      </c>
      <c r="O4" s="26" t="str">
        <f>Etiquettes!$K$15</f>
        <v>Approximative</v>
      </c>
      <c r="P4" s="603" t="s">
        <v>1816</v>
      </c>
      <c r="Q4" s="603" t="str">
        <f>Etiquettes!$J$17</f>
        <v>Donnée déterminée (par bilan matière)</v>
      </c>
      <c r="S4" s="693"/>
    </row>
    <row r="5" spans="1:19">
      <c r="A5" t="str">
        <f>Produits!$B$29</f>
        <v>Malt</v>
      </c>
      <c r="B5" t="str">
        <f>Secteurs!$B$13</f>
        <v>Brasserie</v>
      </c>
      <c r="O5" s="26" t="str">
        <f>Etiquettes!$K$15</f>
        <v>Approximative</v>
      </c>
      <c r="P5" s="603" t="s">
        <v>1816</v>
      </c>
      <c r="Q5" s="603" t="str">
        <f>Etiquettes!$J$17</f>
        <v>Donnée déterminée (par bilan matière)</v>
      </c>
      <c r="S5" s="693"/>
    </row>
    <row r="6" spans="1:19">
      <c r="A6" t="str">
        <f>Produits!$B$32</f>
        <v>Particules d'enveloppes</v>
      </c>
      <c r="B6" t="str">
        <f>Secteurs!$B$33</f>
        <v>FAB</v>
      </c>
      <c r="O6" s="26" t="str">
        <f>Etiquettes!$K$15</f>
        <v>Approximative</v>
      </c>
      <c r="P6" s="603" t="s">
        <v>1816</v>
      </c>
      <c r="Q6" s="603" t="str">
        <f>Etiquettes!$J$17</f>
        <v>Donnée déterminée (par bilan matière)</v>
      </c>
      <c r="S6" s="693"/>
    </row>
    <row r="7" spans="1:19">
      <c r="A7" t="str">
        <f>Produits!$B$33</f>
        <v>Petits blés</v>
      </c>
      <c r="B7" t="str">
        <f>Secteurs!$B$34</f>
        <v>Hors FAB</v>
      </c>
      <c r="O7" s="26" t="str">
        <f>Etiquettes!$K$15</f>
        <v>Approximative</v>
      </c>
      <c r="P7" s="603" t="s">
        <v>1816</v>
      </c>
      <c r="Q7" s="603" t="str">
        <f>Etiquettes!$J$17</f>
        <v>Donnée déterminée (par bilan matière)</v>
      </c>
      <c r="S7" s="693"/>
    </row>
    <row r="8" spans="1:19">
      <c r="A8" t="str">
        <f>Produits!$B$41</f>
        <v>Kieselguhr</v>
      </c>
      <c r="B8" t="str">
        <f>Secteurs!$B$47</f>
        <v>Fertilisation</v>
      </c>
      <c r="O8" s="26" t="str">
        <f>Etiquettes!$K$15</f>
        <v>Approximative</v>
      </c>
      <c r="P8" s="603" t="s">
        <v>1816</v>
      </c>
      <c r="Q8" s="603" t="str">
        <f>Etiquettes!$J$17</f>
        <v>Donnée déterminée (par bilan matière)</v>
      </c>
      <c r="S8" s="693"/>
    </row>
    <row r="9" spans="1:19">
      <c r="A9" t="str">
        <f>Produits!$B$26</f>
        <v>Ethanol</v>
      </c>
      <c r="B9" t="str">
        <f>Secteurs!$B$43</f>
        <v>Energie</v>
      </c>
      <c r="O9" s="26" t="str">
        <f>Etiquettes!$K$15</f>
        <v>Approximative</v>
      </c>
      <c r="P9" s="603" t="s">
        <v>1816</v>
      </c>
      <c r="Q9" s="603" t="str">
        <f>Etiquettes!$J$17</f>
        <v>Donnée déterminée (par bilan matière)</v>
      </c>
      <c r="S9" s="693"/>
    </row>
    <row r="10" spans="1:19">
      <c r="A10" t="str">
        <f>Produits!$B$27</f>
        <v>Drèches et solubles</v>
      </c>
      <c r="B10" t="str">
        <f>Secteurs!$B$33</f>
        <v>FAB</v>
      </c>
      <c r="O10" s="26" t="str">
        <f>Etiquettes!$K$15</f>
        <v>Approximative</v>
      </c>
      <c r="P10" s="603" t="s">
        <v>1816</v>
      </c>
      <c r="Q10" s="603" t="str">
        <f>Etiquettes!$J$17</f>
        <v>Donnée déterminée (par bilan matière)</v>
      </c>
      <c r="S10" s="693"/>
    </row>
    <row r="11" spans="1:19">
      <c r="A11" t="str">
        <f>Produits!$B$12</f>
        <v>Gluten</v>
      </c>
      <c r="B11" t="str">
        <f>Secteurs!$B$22</f>
        <v>Alimentation humaine</v>
      </c>
      <c r="O11" s="26" t="str">
        <f>Etiquettes!$K$15</f>
        <v>Approximative</v>
      </c>
      <c r="P11" s="603" t="s">
        <v>1816</v>
      </c>
      <c r="Q11" s="603" t="str">
        <f>Etiquettes!$J$17</f>
        <v>Donnée déterminée (par bilan matière)</v>
      </c>
      <c r="S11" s="693"/>
    </row>
    <row r="12" spans="1:19">
      <c r="A12" t="str">
        <f>Produits!$B$13</f>
        <v>Wheat gluten feed et sons</v>
      </c>
      <c r="B12" t="str">
        <f>Secteurs!$B$33</f>
        <v>FAB</v>
      </c>
      <c r="O12" s="26" t="str">
        <f>Etiquettes!$K$15</f>
        <v>Approximative</v>
      </c>
      <c r="P12" s="603" t="s">
        <v>1816</v>
      </c>
      <c r="Q12" s="603" t="str">
        <f>Etiquettes!$J$17</f>
        <v>Donnée déterminée (par bilan matière)</v>
      </c>
      <c r="S12" s="693"/>
    </row>
    <row r="13" spans="1:19">
      <c r="A13" t="str">
        <f>Produits!$B$7</f>
        <v>Issues de meunerie</v>
      </c>
      <c r="B13" t="str">
        <f>Secteurs!$B$33</f>
        <v>FAB</v>
      </c>
      <c r="O13" s="26" t="str">
        <f>Etiquettes!$J$15</f>
        <v>Probable</v>
      </c>
      <c r="P13" s="603" t="s">
        <v>1816</v>
      </c>
      <c r="Q13" s="603" t="str">
        <f>Etiquettes!$J$17</f>
        <v>Donnée déterminée (par bilan matière)</v>
      </c>
      <c r="S13" s="693"/>
    </row>
    <row r="14" spans="1:19">
      <c r="A14" t="str">
        <f>Produits!$B$14</f>
        <v>Corn gluten feed, drèches et solubles</v>
      </c>
      <c r="B14" t="str">
        <f>Secteurs!$B$33</f>
        <v>FAB</v>
      </c>
      <c r="O14" s="26" t="str">
        <f>Etiquettes!$K$15</f>
        <v>Approximative</v>
      </c>
      <c r="P14" s="603" t="s">
        <v>1816</v>
      </c>
      <c r="Q14" s="603" t="str">
        <f>Etiquettes!$J$17</f>
        <v>Donnée déterminée (par bilan matière)</v>
      </c>
      <c r="S14" s="693"/>
    </row>
    <row r="15" spans="1:19">
      <c r="A15" t="str">
        <f>Produits!$B$15</f>
        <v>Huile</v>
      </c>
      <c r="B15" t="str">
        <f>Secteurs!$B$22</f>
        <v>Alimentation humaine</v>
      </c>
      <c r="O15" s="26" t="str">
        <f>Etiquettes!$K$15</f>
        <v>Approximative</v>
      </c>
      <c r="P15" s="603" t="s">
        <v>1816</v>
      </c>
      <c r="Q15" s="603" t="str">
        <f>Etiquettes!$J$17</f>
        <v>Donnée déterminée (par bilan matière)</v>
      </c>
      <c r="S15" s="693"/>
    </row>
    <row r="16" spans="1:19">
      <c r="A16" t="str">
        <f>Produits!$B$16</f>
        <v>Tourteaux</v>
      </c>
      <c r="B16" t="str">
        <f>Secteurs!$B$33</f>
        <v>FAB</v>
      </c>
      <c r="O16" s="26" t="str">
        <f>Etiquettes!$K$15</f>
        <v>Approximative</v>
      </c>
      <c r="P16" s="603" t="s">
        <v>1816</v>
      </c>
      <c r="Q16" s="603" t="str">
        <f>Etiquettes!$J$17</f>
        <v>Donnée déterminée (par bilan matière)</v>
      </c>
      <c r="S16" s="693"/>
    </row>
    <row r="17" spans="1:19">
      <c r="A17" t="str">
        <f>Produits!$B$17</f>
        <v>Semoule</v>
      </c>
      <c r="B17" t="str">
        <f>Secteurs!$B$22</f>
        <v>Alimentation humaine</v>
      </c>
      <c r="O17" s="26" t="str">
        <f>Etiquettes!$K$15</f>
        <v>Approximative</v>
      </c>
      <c r="P17" s="603" t="s">
        <v>1816</v>
      </c>
      <c r="Q17" s="603" t="str">
        <f>Etiquettes!$J$17</f>
        <v>Donnée déterminée (par bilan matière)</v>
      </c>
      <c r="S17" s="693"/>
    </row>
    <row r="18" spans="1:19">
      <c r="A18" t="str">
        <f>Produits!$B$18</f>
        <v>Farine alimentaire</v>
      </c>
      <c r="B18" t="str">
        <f>Secteurs!$B$33</f>
        <v>FAB</v>
      </c>
      <c r="O18" s="26" t="str">
        <f>Etiquettes!$K$15</f>
        <v>Approximative</v>
      </c>
      <c r="P18" s="603" t="s">
        <v>1816</v>
      </c>
      <c r="Q18" s="603" t="str">
        <f>Etiquettes!$J$17</f>
        <v>Donnée déterminée (par bilan matière)</v>
      </c>
      <c r="S18" s="693"/>
    </row>
    <row r="19" spans="1:19">
      <c r="A19" t="str">
        <f>Produits!$B$19</f>
        <v>Farine fourragère</v>
      </c>
      <c r="B19" t="str">
        <f>Secteurs!$B$33</f>
        <v>FAB</v>
      </c>
      <c r="O19" s="26" t="str">
        <f>Etiquettes!$K$15</f>
        <v>Approximative</v>
      </c>
      <c r="P19" s="603" t="s">
        <v>1816</v>
      </c>
      <c r="Q19" s="603" t="str">
        <f>Etiquettes!$J$17</f>
        <v>Donnée déterminée (par bilan matière)</v>
      </c>
      <c r="S19" s="693"/>
    </row>
    <row r="20" spans="1:19">
      <c r="A20" t="str">
        <f>Produits!$B$43</f>
        <v>Popcorn</v>
      </c>
      <c r="B20" t="str">
        <f>Secteurs!$B$22</f>
        <v>Alimentation humaine</v>
      </c>
      <c r="O20" s="26" t="str">
        <f>Etiquettes!$L$15</f>
        <v>Indicative</v>
      </c>
      <c r="P20" s="603" t="s">
        <v>1816</v>
      </c>
      <c r="Q20" s="603" t="str">
        <f>Etiquettes!$J$17</f>
        <v>Donnée déterminée (par bilan matière)</v>
      </c>
      <c r="S20" s="693"/>
    </row>
    <row r="21" spans="1:19">
      <c r="A21" t="str">
        <f>Secteurs!$B$15</f>
        <v>Indus. popcorn</v>
      </c>
      <c r="B21" t="str">
        <f>Produits!$B$44</f>
        <v>Eau - CP2</v>
      </c>
      <c r="O21" s="26" t="str">
        <f>Etiquettes!$L$15</f>
        <v>Indicative</v>
      </c>
      <c r="P21" s="603" t="s">
        <v>1816</v>
      </c>
      <c r="Q21" s="603" t="str">
        <f>Etiquettes!$J$17</f>
        <v>Donnée déterminée (par bilan matière)</v>
      </c>
      <c r="S21" s="693"/>
    </row>
    <row r="22" spans="1:19">
      <c r="A22" t="str">
        <f>Secteurs!$B$13</f>
        <v>Brasserie</v>
      </c>
      <c r="B22" t="str">
        <f>Produits!$B$42</f>
        <v>Eau - CP</v>
      </c>
      <c r="O22" s="26" t="str">
        <f>Etiquettes!$K$15</f>
        <v>Approximative</v>
      </c>
      <c r="P22" s="603" t="s">
        <v>1816</v>
      </c>
      <c r="Q22" s="603" t="str">
        <f>Etiquettes!$J$17</f>
        <v>Donnée déterminée (par bilan matière)</v>
      </c>
      <c r="S22" s="693"/>
    </row>
    <row r="23" spans="1:19">
      <c r="A23" t="str">
        <f>Secteurs!$B$11</f>
        <v>Indus. pâtes &amp; couscous</v>
      </c>
      <c r="B23" t="str">
        <f>Produits!$B$23</f>
        <v>Pâtes alimentaires sèches non préparées</v>
      </c>
      <c r="O23" s="26" t="str">
        <f>Etiquettes!$J$15</f>
        <v>Probable</v>
      </c>
      <c r="P23" s="603" t="s">
        <v>1816</v>
      </c>
      <c r="Q23" s="603" t="str">
        <f>Etiquettes!$J$17</f>
        <v>Donnée déterminée (par bilan matière)</v>
      </c>
      <c r="S23" s="693"/>
    </row>
    <row r="24" spans="1:19">
      <c r="A24" t="str">
        <f>Produits!$B$23</f>
        <v>Pâtes alimentaires sèches non préparées</v>
      </c>
      <c r="B24" t="str">
        <f>Secteurs!$B$22</f>
        <v>Alimentation humaine</v>
      </c>
      <c r="O24" s="26" t="str">
        <f>Etiquettes!$J$15</f>
        <v>Probable</v>
      </c>
      <c r="P24" s="603" t="s">
        <v>1816</v>
      </c>
      <c r="Q24" s="603" t="str">
        <f>Etiquettes!$J$17</f>
        <v>Donnée déterminée (par bilan matière)</v>
      </c>
      <c r="S24" s="693"/>
    </row>
    <row r="25" spans="1:19">
      <c r="A25" t="str">
        <f>Produits!$B$24</f>
        <v>Couscous non préparé</v>
      </c>
      <c r="B25" t="str">
        <f>Secteurs!$B$22</f>
        <v>Alimentation humaine</v>
      </c>
      <c r="O25" s="26" t="str">
        <f>Etiquettes!$J$15</f>
        <v>Probable</v>
      </c>
      <c r="P25" s="603" t="s">
        <v>1816</v>
      </c>
      <c r="Q25" s="603" t="str">
        <f>Etiquettes!$J$17</f>
        <v>Donnée déterminée (par bilan matière)</v>
      </c>
      <c r="S25" s="693"/>
    </row>
    <row r="26" spans="1:19">
      <c r="A26" t="str">
        <f>Produits!$B$25</f>
        <v>Coproduits humides</v>
      </c>
      <c r="B26" t="str">
        <f>Secteurs!$B$34</f>
        <v>Hors FAB</v>
      </c>
      <c r="O26" s="26" t="str">
        <f>Etiquettes!$K$15</f>
        <v>Approximative</v>
      </c>
      <c r="P26" s="603" t="s">
        <v>1816</v>
      </c>
      <c r="Q26" s="603" t="str">
        <f>Etiquettes!$J$17</f>
        <v>Donnée déterminée (par bilan matière)</v>
      </c>
      <c r="S26" s="693"/>
    </row>
    <row r="27" spans="1:19">
      <c r="A27" t="str">
        <f>Produits!$B$21</f>
        <v>Gruau D</v>
      </c>
      <c r="B27" t="str">
        <f>Secteurs!$B$37</f>
        <v>Petfood</v>
      </c>
      <c r="O27" s="26" t="str">
        <f>Etiquettes!$K$15</f>
        <v>Approximative</v>
      </c>
      <c r="P27" s="603" t="s">
        <v>1816</v>
      </c>
      <c r="Q27" s="603" t="str">
        <f>Etiquettes!$J$17</f>
        <v>Donnée déterminée (par bilan matière)</v>
      </c>
      <c r="S27" s="693"/>
    </row>
    <row r="28" spans="1:19">
      <c r="A28" t="str">
        <f>Produits!$B$22</f>
        <v>Sons, remoulages et écarts de nettoyage</v>
      </c>
      <c r="B28" t="str">
        <f>Secteurs!$B$33</f>
        <v>FAB</v>
      </c>
      <c r="O28" s="26" t="str">
        <f>Etiquettes!$K$15</f>
        <v>Approximative</v>
      </c>
      <c r="P28" s="603" t="s">
        <v>1816</v>
      </c>
      <c r="Q28" s="603" t="str">
        <f>Etiquettes!$J$17</f>
        <v>Donnée déterminée (par bilan matière)</v>
      </c>
      <c r="S28" s="693"/>
    </row>
    <row r="29" spans="1:19">
      <c r="A29" t="str">
        <f>Produits!$B$4</f>
        <v>Grains collectés</v>
      </c>
      <c r="B29" t="str">
        <f>Secteurs!$B$22</f>
        <v>Alimentation humaine</v>
      </c>
      <c r="O29" s="26" t="str">
        <f>Etiquettes!$K$15</f>
        <v>Approximative</v>
      </c>
      <c r="P29" s="603" t="s">
        <v>1816</v>
      </c>
      <c r="Q29" s="603" t="str">
        <f>Etiquettes!$J$17</f>
        <v>Donnée déterminée (par bilan matière)</v>
      </c>
      <c r="S29" s="693"/>
    </row>
    <row r="30" spans="1:19">
      <c r="A30" t="str">
        <f>Produits!$B$2</f>
        <v>Grains récoltés</v>
      </c>
      <c r="B30" t="str">
        <f>Secteurs!$B$4</f>
        <v>OS</v>
      </c>
      <c r="F30" s="26" t="str">
        <f>Etiquettes!$Q$6</f>
        <v>Riz</v>
      </c>
      <c r="O30" s="26" t="str">
        <f>Etiquettes!$K$15</f>
        <v>Approximative</v>
      </c>
      <c r="P30" s="603" t="s">
        <v>1816</v>
      </c>
      <c r="Q30" s="603" t="str">
        <f>Etiquettes!$J$17</f>
        <v>Donnée déterminée (par bilan matière)</v>
      </c>
      <c r="S30" s="693"/>
    </row>
    <row r="31" spans="1:19">
      <c r="A31" t="str">
        <f>Produits!$B$4</f>
        <v>Grains collectés</v>
      </c>
      <c r="B31" t="str">
        <f>Secteurs!$B$17</f>
        <v>Usinage</v>
      </c>
      <c r="O31" s="26" t="str">
        <f>Etiquettes!$L$15</f>
        <v>Indicative</v>
      </c>
      <c r="P31" s="603" t="s">
        <v>1816</v>
      </c>
      <c r="Q31" s="603" t="str">
        <f>Etiquettes!$J$17</f>
        <v>Donnée déterminée (par bilan matière)</v>
      </c>
      <c r="S31" s="693"/>
    </row>
    <row r="32" spans="1:19">
      <c r="A32" t="str">
        <f>Produits!$B$45</f>
        <v>Riz décortiqué</v>
      </c>
      <c r="B32" t="str">
        <f>Secteurs!$B$17</f>
        <v>Usinage</v>
      </c>
      <c r="O32" s="26" t="str">
        <f>Etiquettes!$K$15</f>
        <v>Approximative</v>
      </c>
      <c r="P32" s="603" t="s">
        <v>1816</v>
      </c>
      <c r="Q32" s="603" t="str">
        <f>Etiquettes!$J$17</f>
        <v>Donnée déterminée (par bilan matière)</v>
      </c>
      <c r="S32" s="693"/>
    </row>
    <row r="33" spans="1:19">
      <c r="A33" t="str">
        <f>Produits!$B$49</f>
        <v>Brisures de riz</v>
      </c>
      <c r="B33" t="str">
        <f>Secteurs!$B$31</f>
        <v>Alimentation animale</v>
      </c>
      <c r="O33" s="26" t="str">
        <f>Etiquettes!$L$15</f>
        <v>Indicative</v>
      </c>
      <c r="P33" s="603" t="s">
        <v>1816</v>
      </c>
      <c r="Q33" s="603" t="str">
        <f>Etiquettes!$J$17</f>
        <v>Donnée déterminée (par bilan matière)</v>
      </c>
      <c r="S33" s="693"/>
    </row>
    <row r="34" spans="1:19">
      <c r="A34" t="str">
        <f>Produits!$B$47</f>
        <v>Riz usiné</v>
      </c>
      <c r="B34" t="str">
        <f>Secteurs!$B$22</f>
        <v>Alimentation humaine</v>
      </c>
      <c r="O34" s="26" t="str">
        <f>Etiquettes!$K$15</f>
        <v>Approximative</v>
      </c>
      <c r="P34" s="603" t="s">
        <v>1816</v>
      </c>
      <c r="Q34" s="603" t="str">
        <f>Etiquettes!$J$17</f>
        <v>Donnée déterminée (par bilan matière)</v>
      </c>
      <c r="S34" s="693"/>
    </row>
    <row r="35" spans="1:19">
      <c r="A35" t="str">
        <f>Secteurs!$B$4</f>
        <v>OS</v>
      </c>
      <c r="B35" t="str">
        <f>Produits!$B$51</f>
        <v>Stock final</v>
      </c>
      <c r="E35" t="str">
        <f>Etiquettes!$C$3</f>
        <v>kt</v>
      </c>
      <c r="F35" s="26" t="s">
        <v>1741</v>
      </c>
      <c r="G35" s="26" t="str">
        <f>Etiquettes!$C$5</f>
        <v>2015-16:2019-20:2023-24</v>
      </c>
      <c r="H35" s="26" t="str">
        <f>Etiquettes!$C$4</f>
        <v>France entière</v>
      </c>
      <c r="O35" s="26" t="str">
        <f>Etiquettes!$K$15</f>
        <v>Approximative</v>
      </c>
      <c r="P35" s="603" t="s">
        <v>1816</v>
      </c>
      <c r="Q35" s="603" t="str">
        <f>Etiquettes!$J$17</f>
        <v>Donnée déterminée (par bilan matière)</v>
      </c>
      <c r="S35" s="693"/>
    </row>
    <row r="36" spans="1:19">
      <c r="A36" t="str">
        <f>Produits!$B$4</f>
        <v>Grains collectés</v>
      </c>
      <c r="B36" t="str">
        <f>Secteurs!$B$5</f>
        <v>Semences</v>
      </c>
      <c r="E36" t="str">
        <f>Etiquettes!$C$3</f>
        <v>kt</v>
      </c>
      <c r="F36" s="26" t="s">
        <v>1741</v>
      </c>
      <c r="G36" s="26" t="str">
        <f>Etiquettes!$C$5</f>
        <v>2015-16:2019-20:2023-24</v>
      </c>
      <c r="H36" s="26" t="str">
        <f>Etiquettes!$C$4</f>
        <v>France entière</v>
      </c>
      <c r="O36" s="26" t="str">
        <f>Etiquettes!$L$15</f>
        <v>Indicative</v>
      </c>
      <c r="P36" s="603" t="s">
        <v>1816</v>
      </c>
      <c r="Q36" s="603" t="str">
        <f>Etiquettes!$J$17</f>
        <v>Donnée déterminée (par bilan matière)</v>
      </c>
      <c r="S36" s="693"/>
    </row>
    <row r="37" spans="1:19">
      <c r="A37" t="str">
        <f>Produits!$B$6</f>
        <v>Farine</v>
      </c>
      <c r="B37" t="str">
        <f>Secteurs!$B$22</f>
        <v>Alimentation humaine</v>
      </c>
      <c r="E37" t="str">
        <f>Etiquettes!$C$3</f>
        <v>kt</v>
      </c>
      <c r="F37" s="26" t="s">
        <v>1821</v>
      </c>
      <c r="G37" s="26" t="str">
        <f>Etiquettes!$C$5</f>
        <v>2015-16:2019-20:2023-24</v>
      </c>
      <c r="H37" s="26" t="str">
        <f>Etiquettes!$C$4</f>
        <v>France entière</v>
      </c>
      <c r="O37" s="26" t="str">
        <f>Etiquettes!$K$15</f>
        <v>Approximative</v>
      </c>
      <c r="P37" s="603" t="s">
        <v>1816</v>
      </c>
      <c r="Q37" s="603" t="str">
        <f>Etiquettes!$J$17</f>
        <v>Donnée déterminée (par bilan matière)</v>
      </c>
    </row>
  </sheetData>
  <mergeCells count="1">
    <mergeCell ref="S2:S36"/>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4D87-1380-4137-9E7E-692E48334630}">
  <sheetPr>
    <tabColor rgb="FFFFC000"/>
  </sheetPr>
  <dimension ref="A1:R83"/>
  <sheetViews>
    <sheetView zoomScaleNormal="100" workbookViewId="0">
      <selection activeCell="E15" sqref="E15"/>
    </sheetView>
  </sheetViews>
  <sheetFormatPr baseColWidth="10" defaultRowHeight="14.4"/>
  <cols>
    <col min="1" max="1" width="11.5546875" style="57"/>
    <col min="2" max="2" width="67.88671875" style="57" bestFit="1" customWidth="1"/>
    <col min="4" max="4" width="25.21875" customWidth="1"/>
  </cols>
  <sheetData>
    <row r="1" spans="1:18" s="57" customFormat="1" ht="15" thickBot="1">
      <c r="A1" s="769" t="s">
        <v>149</v>
      </c>
      <c r="B1" s="769"/>
    </row>
    <row r="2" spans="1:18" s="57" customFormat="1">
      <c r="A2" s="58" t="s">
        <v>150</v>
      </c>
      <c r="B2" s="59" t="s">
        <v>1427</v>
      </c>
    </row>
    <row r="3" spans="1:18" s="57" customFormat="1">
      <c r="A3" s="60" t="s">
        <v>152</v>
      </c>
      <c r="B3" s="65"/>
    </row>
    <row r="4" spans="1:18" s="57" customFormat="1">
      <c r="A4" s="60" t="s">
        <v>153</v>
      </c>
      <c r="B4" s="61" t="s">
        <v>154</v>
      </c>
    </row>
    <row r="5" spans="1:18" s="57" customFormat="1">
      <c r="A5" s="60" t="s">
        <v>17</v>
      </c>
      <c r="B5" s="61"/>
    </row>
    <row r="6" spans="1:18" s="57" customFormat="1">
      <c r="A6" s="60" t="s">
        <v>19</v>
      </c>
      <c r="B6" s="61" t="s">
        <v>1449</v>
      </c>
    </row>
    <row r="7" spans="1:18" s="57" customFormat="1" ht="15" thickBot="1">
      <c r="A7" s="62" t="s">
        <v>156</v>
      </c>
      <c r="B7" s="63" t="s">
        <v>157</v>
      </c>
    </row>
    <row r="8" spans="1:18">
      <c r="A8" s="579"/>
      <c r="B8" s="580"/>
    </row>
    <row r="9" spans="1:18">
      <c r="A9" s="579"/>
      <c r="B9" s="580"/>
      <c r="E9" t="s">
        <v>120</v>
      </c>
      <c r="F9" t="s">
        <v>124</v>
      </c>
      <c r="G9" t="s">
        <v>128</v>
      </c>
      <c r="R9" t="s">
        <v>1458</v>
      </c>
    </row>
    <row r="10" spans="1:18">
      <c r="A10" s="579"/>
      <c r="B10" s="580"/>
      <c r="D10" t="s">
        <v>1443</v>
      </c>
      <c r="E10" s="581">
        <f>'Prétraitement récoltes'!D19+'Prétraitement récoltes'!D20</f>
        <v>80.735700000000008</v>
      </c>
      <c r="F10" s="581">
        <f>'Prétraitement récoltes'!E19+'Prétraitement récoltes'!E20</f>
        <v>83.984999999999999</v>
      </c>
      <c r="G10" s="581">
        <f>'Prétraitement récoltes'!F19+'Prétraitement récoltes'!F20</f>
        <v>69.871399999999994</v>
      </c>
      <c r="R10" s="29">
        <v>1.1100000000000001</v>
      </c>
    </row>
    <row r="11" spans="1:18">
      <c r="A11" s="579"/>
      <c r="B11" s="580"/>
      <c r="D11" t="s">
        <v>1444</v>
      </c>
      <c r="E11" s="584">
        <f>SUMIFS('Collectes, stocks - FAM'!$E:$E,'Collectes, stocks - FAM'!$A:$A,"Riz",'Collectes, stocks - FAM'!$C:$C,E9)/10^3</f>
        <v>74.880400000000009</v>
      </c>
      <c r="F11" s="584">
        <f>SUMIFS('Collectes, stocks - FAM'!$E:$E,'Collectes, stocks - FAM'!$A:$A,"Riz",'Collectes, stocks - FAM'!$C:$C,F9)/10^3</f>
        <v>71.855699999999999</v>
      </c>
      <c r="G11" s="584">
        <f>SUMIFS('Collectes, stocks - FAM'!$E:$E,'Collectes, stocks - FAM'!$A:$A,"Riz",'Collectes, stocks - FAM'!$C:$C,G9)/10^3</f>
        <v>85.304000000000002</v>
      </c>
      <c r="I11" s="458"/>
      <c r="L11">
        <v>1</v>
      </c>
      <c r="N11">
        <f>L11*M12</f>
        <v>0.8</v>
      </c>
      <c r="P11">
        <f>N11*O12</f>
        <v>0.65600000000000003</v>
      </c>
      <c r="R11">
        <f>P11/R10</f>
        <v>0.59099099099099095</v>
      </c>
    </row>
    <row r="12" spans="1:18">
      <c r="A12" s="579"/>
      <c r="B12" s="580"/>
      <c r="D12" t="s">
        <v>1445</v>
      </c>
      <c r="E12" s="584">
        <f>SUMIFS('Collectes, stocks - FAM'!$H:$H,'Collectes, stocks - FAM'!$A:$A,"Riz",'Collectes, stocks - FAM'!$C:$C,"2014/15",'Collectes, stocks - FAM'!$D:$D,6)/10^3</f>
        <v>25.604200000000002</v>
      </c>
      <c r="F12" s="584">
        <f>SUMIFS('Collectes, stocks - FAM'!$H:$H,'Collectes, stocks - FAM'!$A:$A,"Riz",'Collectes, stocks - FAM'!$C:$C,"2018/19",'Collectes, stocks - FAM'!$D:$D,6)/10^3</f>
        <v>40.368499999999997</v>
      </c>
      <c r="G12" s="584">
        <f>SUMIFS('Collectes, stocks - FAM'!$H:$H,'Collectes, stocks - FAM'!$A:$A,"Riz",'Collectes, stocks - FAM'!$C:$C,"2022/23",'Collectes, stocks - FAM'!$D:$D,6)/10^3</f>
        <v>30.4815</v>
      </c>
      <c r="L12" s="693" t="s">
        <v>1451</v>
      </c>
      <c r="M12" s="693">
        <v>0.8</v>
      </c>
      <c r="N12" s="693" t="s">
        <v>1452</v>
      </c>
      <c r="O12" s="693">
        <v>0.82</v>
      </c>
      <c r="P12" s="693" t="s">
        <v>1456</v>
      </c>
      <c r="Q12">
        <f>R11/P11</f>
        <v>0.9009009009009008</v>
      </c>
      <c r="R12" t="s">
        <v>1455</v>
      </c>
    </row>
    <row r="13" spans="1:18">
      <c r="A13" s="579"/>
      <c r="B13" s="580"/>
      <c r="D13" t="s">
        <v>1446</v>
      </c>
      <c r="E13" s="584">
        <f>SUMIFS('Collectes, stocks - FAM'!$H:$H,'Collectes, stocks - FAM'!$A:$A,"Riz",'Collectes, stocks - FAM'!$C:$C,E9,'Collectes, stocks - FAM'!$D:$D,6)/10^3</f>
        <v>30.040200000000002</v>
      </c>
      <c r="F13" s="584">
        <f>SUMIFS('Collectes, stocks - FAM'!$H:$H,'Collectes, stocks - FAM'!$A:$A,"Riz",'Collectes, stocks - FAM'!$C:$C,F9,'Collectes, stocks - FAM'!$D:$D,6)/10^3</f>
        <v>37.2498</v>
      </c>
      <c r="G13" s="584">
        <f>SUMIFS('Collectes, stocks - FAM'!$H:$H,'Collectes, stocks - FAM'!$A:$A,"Riz",'Collectes, stocks - FAM'!$C:$C,G9,'Collectes, stocks - FAM'!$D:$D,6)/10^3</f>
        <v>38.561900000000001</v>
      </c>
      <c r="L13" s="693"/>
      <c r="M13" s="693"/>
      <c r="N13" s="693"/>
      <c r="O13" s="693"/>
      <c r="P13" s="693"/>
      <c r="Q13">
        <f>1-Q12</f>
        <v>9.9099099099099197E-2</v>
      </c>
      <c r="R13" t="s">
        <v>1459</v>
      </c>
    </row>
    <row r="14" spans="1:18">
      <c r="A14" s="579"/>
      <c r="B14" s="580"/>
      <c r="D14" t="s">
        <v>1447</v>
      </c>
      <c r="E14" s="584">
        <f>SUMIFS('Collectes, stocks - FAM'!$F:$F,'Collectes, stocks - FAM'!$A:$A,"Riz",'Collectes, stocks - FAM'!$C:$C,E9)/10^3</f>
        <v>0</v>
      </c>
      <c r="F14" s="584">
        <f>SUMIFS('Collectes, stocks - FAM'!$F:$F,'Collectes, stocks - FAM'!$A:$A,"Riz",'Collectes, stocks - FAM'!$C:$C,F9)/10^3</f>
        <v>1.6922999999999999</v>
      </c>
      <c r="G14" s="584">
        <f>SUMIFS('Collectes, stocks - FAM'!$F:$F,'Collectes, stocks - FAM'!$A:$A,"Riz",'Collectes, stocks - FAM'!$C:$C,G9)/10^3</f>
        <v>1.4910000000000003</v>
      </c>
      <c r="I14" s="458"/>
      <c r="L14" s="693"/>
      <c r="M14" s="693"/>
      <c r="N14" s="693"/>
      <c r="O14">
        <f>1-O12</f>
        <v>0.18000000000000005</v>
      </c>
      <c r="P14" t="s">
        <v>1457</v>
      </c>
    </row>
    <row r="15" spans="1:18">
      <c r="A15" s="579"/>
      <c r="B15" s="580"/>
      <c r="J15">
        <f>55/0.66</f>
        <v>83.333333333333329</v>
      </c>
      <c r="L15" s="693"/>
      <c r="M15">
        <f>1-M12</f>
        <v>0.19999999999999996</v>
      </c>
      <c r="N15" t="s">
        <v>1453</v>
      </c>
    </row>
    <row r="16" spans="1:18">
      <c r="A16" s="579"/>
      <c r="B16" s="580"/>
      <c r="R16">
        <f>321/431</f>
        <v>0.74477958236658937</v>
      </c>
    </row>
    <row r="17" spans="1:18">
      <c r="A17" s="579"/>
      <c r="B17" s="580"/>
      <c r="R17">
        <f>321/0.9</f>
        <v>356.66666666666669</v>
      </c>
    </row>
    <row r="18" spans="1:18">
      <c r="A18" s="579"/>
      <c r="B18" s="580"/>
    </row>
    <row r="19" spans="1:18">
      <c r="A19" s="579"/>
      <c r="B19" s="580"/>
    </row>
    <row r="20" spans="1:18">
      <c r="A20" s="579"/>
      <c r="B20" s="580"/>
    </row>
    <row r="21" spans="1:18">
      <c r="A21" s="579"/>
      <c r="B21" s="580"/>
    </row>
    <row r="22" spans="1:18">
      <c r="A22" s="579"/>
      <c r="B22" s="580"/>
    </row>
    <row r="23" spans="1:18">
      <c r="C23" s="87" t="s">
        <v>19</v>
      </c>
      <c r="D23" s="87" t="s">
        <v>338</v>
      </c>
      <c r="E23" s="87" t="s">
        <v>339</v>
      </c>
    </row>
    <row r="24" spans="1:18">
      <c r="C24" s="87"/>
      <c r="D24" s="87" t="s">
        <v>340</v>
      </c>
      <c r="E24" s="87" t="s">
        <v>341</v>
      </c>
    </row>
    <row r="25" spans="1:18">
      <c r="C25" s="87"/>
      <c r="D25" s="87" t="s">
        <v>342</v>
      </c>
      <c r="E25" s="576" t="s">
        <v>1428</v>
      </c>
    </row>
    <row r="26" spans="1:18">
      <c r="C26" s="87"/>
      <c r="D26" s="87" t="s">
        <v>344</v>
      </c>
      <c r="E26" s="87" t="s">
        <v>1448</v>
      </c>
    </row>
    <row r="28" spans="1:18" ht="50.4">
      <c r="D28" s="705" t="s">
        <v>387</v>
      </c>
      <c r="E28" s="89" t="s">
        <v>1429</v>
      </c>
      <c r="F28" s="89" t="s">
        <v>1430</v>
      </c>
      <c r="G28" s="89" t="s">
        <v>1431</v>
      </c>
    </row>
    <row r="29" spans="1:18">
      <c r="D29" s="705"/>
      <c r="E29" s="93" t="s">
        <v>355</v>
      </c>
      <c r="F29" s="93" t="s">
        <v>356</v>
      </c>
      <c r="G29" s="104" t="s">
        <v>355</v>
      </c>
    </row>
    <row r="30" spans="1:18">
      <c r="D30" s="96" t="s">
        <v>154</v>
      </c>
      <c r="E30" s="97"/>
      <c r="F30" s="582">
        <v>0.65</v>
      </c>
      <c r="G30" s="95"/>
    </row>
    <row r="31" spans="1:18">
      <c r="D31" s="537" t="s">
        <v>1432</v>
      </c>
      <c r="E31" s="467"/>
      <c r="F31" s="468"/>
      <c r="G31" s="469"/>
    </row>
    <row r="32" spans="1:18">
      <c r="D32" s="467"/>
      <c r="E32" s="467"/>
      <c r="F32" s="468"/>
      <c r="G32" s="468"/>
    </row>
    <row r="33" spans="4:15" ht="14.4" customHeight="1">
      <c r="D33" s="770" t="s">
        <v>1450</v>
      </c>
      <c r="E33" s="771"/>
      <c r="F33" s="771"/>
      <c r="G33" s="772"/>
    </row>
    <row r="35" spans="4:15">
      <c r="D35" s="705" t="s">
        <v>365</v>
      </c>
      <c r="E35" s="744" t="s">
        <v>1433</v>
      </c>
      <c r="F35" s="768"/>
      <c r="G35" s="705" t="s">
        <v>365</v>
      </c>
      <c r="H35" s="744" t="s">
        <v>1434</v>
      </c>
      <c r="I35" s="768"/>
      <c r="J35" s="705" t="s">
        <v>365</v>
      </c>
      <c r="K35" s="744" t="s">
        <v>1435</v>
      </c>
      <c r="L35" s="768"/>
      <c r="M35" s="705" t="s">
        <v>365</v>
      </c>
      <c r="N35" s="744" t="s">
        <v>1436</v>
      </c>
      <c r="O35" s="768"/>
    </row>
    <row r="36" spans="4:15">
      <c r="D36" s="705"/>
      <c r="E36" s="93" t="s">
        <v>355</v>
      </c>
      <c r="F36" s="93" t="s">
        <v>356</v>
      </c>
      <c r="G36" s="705"/>
      <c r="H36" s="93" t="s">
        <v>355</v>
      </c>
      <c r="I36" s="93" t="s">
        <v>356</v>
      </c>
      <c r="J36" s="705"/>
      <c r="K36" s="93" t="s">
        <v>355</v>
      </c>
      <c r="L36" s="93" t="s">
        <v>356</v>
      </c>
      <c r="M36" s="705"/>
      <c r="N36" s="93" t="s">
        <v>355</v>
      </c>
      <c r="O36" s="93" t="s">
        <v>356</v>
      </c>
    </row>
    <row r="37" spans="4:15">
      <c r="D37" s="96" t="s">
        <v>154</v>
      </c>
      <c r="E37" s="577"/>
      <c r="F37" s="583">
        <v>0.25</v>
      </c>
      <c r="G37" s="96" t="s">
        <v>154</v>
      </c>
      <c r="H37" s="577"/>
      <c r="I37" s="583">
        <v>0.25</v>
      </c>
      <c r="J37" s="96" t="s">
        <v>154</v>
      </c>
      <c r="K37" s="577"/>
      <c r="L37" s="583">
        <v>0.25</v>
      </c>
      <c r="M37" s="96" t="s">
        <v>154</v>
      </c>
      <c r="N37" s="577"/>
      <c r="O37" s="583">
        <v>0.25</v>
      </c>
    </row>
    <row r="38" spans="4:15">
      <c r="D38" s="537" t="s">
        <v>1432</v>
      </c>
      <c r="E38" s="468"/>
      <c r="F38" s="468"/>
      <c r="G38" s="537" t="s">
        <v>1432</v>
      </c>
      <c r="H38" s="468"/>
      <c r="I38" s="468"/>
      <c r="J38" s="537" t="s">
        <v>1432</v>
      </c>
      <c r="K38" s="468"/>
      <c r="L38" s="468"/>
      <c r="M38" s="537" t="s">
        <v>1432</v>
      </c>
      <c r="N38" s="468"/>
      <c r="O38" s="468"/>
    </row>
    <row r="39" spans="4:15">
      <c r="D39" s="468"/>
      <c r="E39" s="468"/>
      <c r="F39" s="468"/>
      <c r="G39" s="468"/>
      <c r="H39" s="468"/>
      <c r="I39" s="468"/>
      <c r="J39" s="468"/>
      <c r="K39" s="468"/>
      <c r="L39" s="468"/>
      <c r="M39" s="468"/>
      <c r="N39" s="468"/>
      <c r="O39" s="468"/>
    </row>
    <row r="40" spans="4:15">
      <c r="D40" s="471" t="s">
        <v>1437</v>
      </c>
      <c r="E40" s="468"/>
      <c r="F40" s="468"/>
      <c r="G40" s="471" t="s">
        <v>1437</v>
      </c>
      <c r="H40" s="468"/>
      <c r="I40" s="468"/>
      <c r="J40" s="471" t="s">
        <v>1437</v>
      </c>
      <c r="K40" s="468"/>
      <c r="L40" s="468"/>
      <c r="M40" s="471" t="s">
        <v>1437</v>
      </c>
      <c r="N40" s="468"/>
      <c r="O40" s="468"/>
    </row>
    <row r="41" spans="4:15">
      <c r="D41" s="468"/>
      <c r="E41" s="468"/>
      <c r="F41" s="468"/>
      <c r="G41" s="468"/>
      <c r="H41" s="468"/>
      <c r="I41" s="468"/>
      <c r="J41" s="468"/>
      <c r="K41" s="468"/>
      <c r="L41" s="468"/>
      <c r="M41" s="468"/>
      <c r="N41" s="468"/>
      <c r="O41" s="468"/>
    </row>
    <row r="42" spans="4:15">
      <c r="D42" s="471" t="s">
        <v>1438</v>
      </c>
      <c r="E42" s="468"/>
      <c r="F42" s="468"/>
      <c r="G42" s="471" t="s">
        <v>1438</v>
      </c>
      <c r="H42" s="468"/>
      <c r="I42" s="468"/>
      <c r="J42" s="471" t="s">
        <v>1438</v>
      </c>
      <c r="K42" s="468"/>
      <c r="L42" s="468"/>
      <c r="M42" s="471" t="s">
        <v>1438</v>
      </c>
      <c r="N42" s="468"/>
      <c r="O42" s="468"/>
    </row>
    <row r="43" spans="4:15">
      <c r="D43" s="471" t="s">
        <v>1439</v>
      </c>
      <c r="E43" s="468"/>
      <c r="F43" s="468"/>
      <c r="G43" s="471" t="s">
        <v>1439</v>
      </c>
      <c r="H43" s="468"/>
      <c r="I43" s="468"/>
      <c r="J43" s="471" t="s">
        <v>1439</v>
      </c>
      <c r="K43" s="468"/>
      <c r="L43" s="468"/>
      <c r="M43" s="471" t="s">
        <v>1439</v>
      </c>
      <c r="N43" s="468"/>
      <c r="O43" s="468"/>
    </row>
    <row r="46" spans="4:15">
      <c r="D46" s="11" t="s">
        <v>19</v>
      </c>
      <c r="E46" s="11" t="s">
        <v>1440</v>
      </c>
    </row>
    <row r="47" spans="4:15">
      <c r="D47" s="11" t="s">
        <v>1441</v>
      </c>
      <c r="E47" s="578" t="s">
        <v>1442</v>
      </c>
    </row>
    <row r="63" spans="6:18">
      <c r="P63" s="694" t="s">
        <v>40</v>
      </c>
      <c r="Q63" s="694"/>
      <c r="R63" s="694"/>
    </row>
    <row r="64" spans="6:18">
      <c r="F64" t="s">
        <v>124</v>
      </c>
      <c r="G64" t="s">
        <v>127</v>
      </c>
      <c r="M64" t="s">
        <v>1482</v>
      </c>
      <c r="N64" t="s">
        <v>333</v>
      </c>
      <c r="O64" t="s">
        <v>946</v>
      </c>
      <c r="P64" t="s">
        <v>1484</v>
      </c>
      <c r="Q64" t="s">
        <v>1485</v>
      </c>
      <c r="R64" t="s">
        <v>1486</v>
      </c>
    </row>
    <row r="65" spans="3:18">
      <c r="C65" s="693" t="s">
        <v>1471</v>
      </c>
      <c r="D65" t="s">
        <v>1106</v>
      </c>
      <c r="E65" s="581"/>
      <c r="F65" s="584">
        <v>85</v>
      </c>
      <c r="G65" s="584">
        <v>67</v>
      </c>
      <c r="H65" t="s">
        <v>1460</v>
      </c>
      <c r="M65" t="s">
        <v>1480</v>
      </c>
      <c r="N65" s="483">
        <v>0.8</v>
      </c>
      <c r="O65" t="s">
        <v>1481</v>
      </c>
      <c r="P65" s="483">
        <v>0.2</v>
      </c>
    </row>
    <row r="66" spans="3:18">
      <c r="C66" s="693"/>
      <c r="D66" t="s">
        <v>1461</v>
      </c>
      <c r="F66">
        <v>1</v>
      </c>
      <c r="G66" s="563">
        <v>16</v>
      </c>
      <c r="M66" t="s">
        <v>1480</v>
      </c>
      <c r="N66" s="483">
        <v>0.6</v>
      </c>
      <c r="O66" t="s">
        <v>1454</v>
      </c>
      <c r="P66" s="483">
        <v>0.2</v>
      </c>
      <c r="Q66" s="483">
        <v>0.1</v>
      </c>
      <c r="R66" s="483">
        <v>0.1</v>
      </c>
    </row>
    <row r="67" spans="3:18">
      <c r="C67" s="693"/>
      <c r="D67" t="s">
        <v>1462</v>
      </c>
      <c r="F67">
        <v>0</v>
      </c>
      <c r="G67" s="563">
        <v>4</v>
      </c>
      <c r="M67" t="s">
        <v>1481</v>
      </c>
      <c r="N67" s="483">
        <v>0.7</v>
      </c>
      <c r="O67" t="s">
        <v>1454</v>
      </c>
      <c r="Q67" s="483">
        <f>0.3*(Q66/(Q66+R66))</f>
        <v>0.15</v>
      </c>
      <c r="R67" s="483">
        <f>1-N67-Q67</f>
        <v>0.15000000000000005</v>
      </c>
    </row>
    <row r="68" spans="3:18">
      <c r="C68" s="693"/>
      <c r="D68" t="s">
        <v>1118</v>
      </c>
      <c r="F68" s="507">
        <v>0</v>
      </c>
      <c r="G68" s="563">
        <v>0</v>
      </c>
    </row>
    <row r="69" spans="3:18">
      <c r="C69" s="693"/>
      <c r="D69" t="s">
        <v>1117</v>
      </c>
      <c r="F69" s="507">
        <v>0</v>
      </c>
      <c r="G69" s="563">
        <v>0</v>
      </c>
    </row>
    <row r="70" spans="3:18">
      <c r="C70" s="693"/>
      <c r="D70" t="s">
        <v>1038</v>
      </c>
      <c r="F70" s="507">
        <v>16</v>
      </c>
      <c r="G70" s="563">
        <v>15</v>
      </c>
      <c r="M70" s="87" t="s">
        <v>1493</v>
      </c>
    </row>
    <row r="71" spans="3:18">
      <c r="C71" s="693"/>
      <c r="D71" t="s">
        <v>1463</v>
      </c>
      <c r="G71" s="145">
        <f>0.5%*G65</f>
        <v>0.33500000000000002</v>
      </c>
      <c r="H71" t="s">
        <v>1467</v>
      </c>
    </row>
    <row r="72" spans="3:18">
      <c r="C72" s="693"/>
      <c r="D72" t="s">
        <v>1464</v>
      </c>
      <c r="F72" s="507">
        <v>1</v>
      </c>
      <c r="G72" s="563">
        <v>3</v>
      </c>
    </row>
    <row r="73" spans="3:18">
      <c r="C73" s="693"/>
      <c r="D73" t="s">
        <v>1466</v>
      </c>
      <c r="G73" s="145">
        <f>G65+G66+G68-G67-G69-G70-G71-G72</f>
        <v>60.664999999999999</v>
      </c>
      <c r="H73" t="s">
        <v>1465</v>
      </c>
    </row>
    <row r="74" spans="3:18">
      <c r="C74" s="693" t="s">
        <v>1472</v>
      </c>
      <c r="D74" t="s">
        <v>1474</v>
      </c>
      <c r="G74" s="145">
        <f>G72*0.8</f>
        <v>2.4000000000000004</v>
      </c>
      <c r="H74" t="s">
        <v>1469</v>
      </c>
    </row>
    <row r="75" spans="3:18">
      <c r="C75" s="693"/>
      <c r="D75" t="s">
        <v>1461</v>
      </c>
      <c r="F75">
        <v>100</v>
      </c>
      <c r="G75" s="563">
        <v>95</v>
      </c>
    </row>
    <row r="76" spans="3:18">
      <c r="C76" s="693"/>
      <c r="D76" t="s">
        <v>1462</v>
      </c>
      <c r="F76">
        <v>3</v>
      </c>
      <c r="G76" s="563">
        <v>3</v>
      </c>
    </row>
    <row r="77" spans="3:18">
      <c r="C77" s="693"/>
      <c r="D77" t="s">
        <v>1470</v>
      </c>
      <c r="F77" s="507">
        <v>1</v>
      </c>
      <c r="G77" s="563">
        <v>1</v>
      </c>
    </row>
    <row r="78" spans="3:18">
      <c r="C78" s="693"/>
      <c r="D78" t="s">
        <v>1466</v>
      </c>
      <c r="G78" s="145">
        <f>G74+G75-G76-G77</f>
        <v>93.4</v>
      </c>
      <c r="H78" t="s">
        <v>1465</v>
      </c>
    </row>
    <row r="79" spans="3:18">
      <c r="C79" s="693" t="s">
        <v>1473</v>
      </c>
      <c r="D79" t="s">
        <v>1468</v>
      </c>
      <c r="G79" s="145">
        <f>0.6*G73+0.7*G78</f>
        <v>101.779</v>
      </c>
      <c r="H79" t="s">
        <v>1483</v>
      </c>
    </row>
    <row r="80" spans="3:18">
      <c r="C80" s="693"/>
      <c r="D80" t="s">
        <v>1461</v>
      </c>
      <c r="F80">
        <v>449</v>
      </c>
      <c r="G80" s="563">
        <v>438</v>
      </c>
    </row>
    <row r="81" spans="3:8">
      <c r="C81" s="693"/>
      <c r="D81" t="s">
        <v>1462</v>
      </c>
      <c r="F81">
        <v>127</v>
      </c>
      <c r="G81" s="563">
        <v>120</v>
      </c>
    </row>
    <row r="82" spans="3:8">
      <c r="C82" s="693"/>
      <c r="D82" t="s">
        <v>1475</v>
      </c>
      <c r="F82" s="563">
        <v>1</v>
      </c>
      <c r="G82" s="563">
        <f>20-13</f>
        <v>7</v>
      </c>
    </row>
    <row r="83" spans="3:8">
      <c r="C83" s="693"/>
      <c r="D83" t="s">
        <v>1470</v>
      </c>
      <c r="G83" s="145">
        <f>G79+G80-G81-G82</f>
        <v>412.779</v>
      </c>
      <c r="H83" t="s">
        <v>1465</v>
      </c>
    </row>
  </sheetData>
  <mergeCells count="20">
    <mergeCell ref="A1:B1"/>
    <mergeCell ref="D28:D29"/>
    <mergeCell ref="D35:D36"/>
    <mergeCell ref="E35:F35"/>
    <mergeCell ref="G35:G36"/>
    <mergeCell ref="D33:G33"/>
    <mergeCell ref="C65:C73"/>
    <mergeCell ref="C74:C78"/>
    <mergeCell ref="C79:C83"/>
    <mergeCell ref="P63:R63"/>
    <mergeCell ref="P12:P13"/>
    <mergeCell ref="O12:O13"/>
    <mergeCell ref="N12:N14"/>
    <mergeCell ref="M12:M14"/>
    <mergeCell ref="L12:L15"/>
    <mergeCell ref="H35:I35"/>
    <mergeCell ref="J35:J36"/>
    <mergeCell ref="K35:L35"/>
    <mergeCell ref="M35:M36"/>
    <mergeCell ref="N35:O35"/>
  </mergeCells>
  <hyperlinks>
    <hyperlink ref="E47" r:id="rId1" xr:uid="{7C031DCA-562B-4920-BFC6-74C30E11307C}"/>
  </hyperlinks>
  <pageMargins left="0.7" right="0.7" top="0.75" bottom="0.75" header="0.3" footer="0.3"/>
  <pageSetup paperSize="9" orientation="portrait" r:id="rId2"/>
  <drawing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D660-B639-412F-9928-E574B3F450A5}">
  <sheetPr>
    <tabColor theme="9" tint="-0.499984740745262"/>
  </sheetPr>
  <dimension ref="A1:T20"/>
  <sheetViews>
    <sheetView workbookViewId="0">
      <pane xSplit="2" ySplit="1" topLeftCell="C2" activePane="bottomRight" state="frozen"/>
      <selection activeCell="F19" sqref="F19"/>
      <selection pane="topRight" activeCell="F19" sqref="F19"/>
      <selection pane="bottomLeft" activeCell="F19" sqref="F19"/>
      <selection pane="bottomRight" activeCell="G31" sqref="G31"/>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1" width="12.109375" style="26" customWidth="1"/>
    <col min="12" max="13" width="14.44140625" style="26" customWidth="1"/>
    <col min="14" max="14" width="12.109375" style="26" customWidth="1"/>
    <col min="15" max="18" width="14.44140625" style="26" customWidth="1"/>
    <col min="19" max="19" width="12.33203125" customWidth="1"/>
    <col min="20" max="20" width="17.44140625" customWidth="1"/>
  </cols>
  <sheetData>
    <row r="1" spans="1:20" ht="63.6"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Etiquettes!$A$14</f>
        <v>Incohérence données collectées</v>
      </c>
      <c r="P1" s="24" t="str">
        <f>Etiquettes!$A$15</f>
        <v>Fiabilité des données</v>
      </c>
      <c r="Q1" s="24" t="str">
        <f>Etiquettes!$A$16</f>
        <v>Méthode</v>
      </c>
      <c r="R1" s="24" t="str">
        <f>Etiquettes!$A$17</f>
        <v>Analyse des résultats</v>
      </c>
      <c r="S1" s="23" t="s">
        <v>3</v>
      </c>
      <c r="T1" s="25" t="s">
        <v>5</v>
      </c>
    </row>
    <row r="2" spans="1:20">
      <c r="A2" t="str">
        <f>Secteurs!$B$53</f>
        <v>Indéterminé - Approvisionnements</v>
      </c>
      <c r="B2" t="str">
        <f>Produits!$B$4</f>
        <v>Grains collectés</v>
      </c>
      <c r="C2" s="571"/>
      <c r="E2" t="str">
        <f>Etiquettes!$C$3</f>
        <v>kt</v>
      </c>
      <c r="F2" s="10" t="str">
        <f>Etiquettes!$K$6</f>
        <v>Blé dur</v>
      </c>
      <c r="G2" s="26" t="str">
        <f>Etiquettes!$C$5</f>
        <v>2015-16:2019-20:2023-24</v>
      </c>
      <c r="H2" t="str">
        <f>Etiquettes!$C$4</f>
        <v>France entière</v>
      </c>
      <c r="I2"/>
      <c r="J2"/>
      <c r="K2"/>
      <c r="N2"/>
      <c r="O2" s="26" t="str">
        <f>Etiquettes!$C$14</f>
        <v>Ecart statistique</v>
      </c>
      <c r="P2" s="26" t="str">
        <f>Etiquettes!$K$15</f>
        <v>Approximative</v>
      </c>
      <c r="Q2" s="603" t="s">
        <v>1816</v>
      </c>
      <c r="R2" s="603" t="str">
        <f>Etiquettes!$I$17</f>
        <v>Ecart statistique (ne permet pas de respecter un bilan matière)</v>
      </c>
      <c r="S2" s="774" t="s">
        <v>1420</v>
      </c>
      <c r="T2" s="692" t="s">
        <v>1419</v>
      </c>
    </row>
    <row r="3" spans="1:20" ht="14.4" customHeight="1">
      <c r="A3" t="str">
        <f>Secteurs!$B$53</f>
        <v>Indéterminé - Approvisionnements</v>
      </c>
      <c r="B3" t="str">
        <f>Produits!$B$4</f>
        <v>Grains collectés</v>
      </c>
      <c r="C3" s="571">
        <v>0</v>
      </c>
      <c r="E3" t="str">
        <f>Etiquettes!$C$3</f>
        <v>kt</v>
      </c>
      <c r="F3" s="26" t="s">
        <v>1776</v>
      </c>
      <c r="G3" s="26" t="str">
        <f>Etiquettes!$C$5</f>
        <v>2015-16:2019-20:2023-24</v>
      </c>
      <c r="H3" t="str">
        <f>Etiquettes!$C$4</f>
        <v>France entière</v>
      </c>
      <c r="I3"/>
      <c r="J3"/>
      <c r="K3"/>
      <c r="N3"/>
      <c r="S3" s="773"/>
      <c r="T3" s="693"/>
    </row>
    <row r="4" spans="1:20">
      <c r="A4" t="str">
        <f>Produits!$B$4</f>
        <v>Grains collectés</v>
      </c>
      <c r="B4" t="str">
        <f>Secteurs!$B$54</f>
        <v>Indéterminé - Débouchés</v>
      </c>
      <c r="C4" s="571">
        <v>0</v>
      </c>
      <c r="E4" t="str">
        <f>Etiquettes!$C$3</f>
        <v>kt</v>
      </c>
      <c r="F4" s="10" t="str">
        <f>Etiquettes!$K$6</f>
        <v>Blé dur</v>
      </c>
      <c r="G4" s="26" t="str">
        <f>Etiquettes!$C$5</f>
        <v>2015-16:2019-20:2023-24</v>
      </c>
      <c r="H4" t="str">
        <f>Etiquettes!$C$4</f>
        <v>France entière</v>
      </c>
      <c r="I4"/>
      <c r="J4"/>
      <c r="K4"/>
      <c r="N4"/>
      <c r="S4" s="773"/>
      <c r="T4" s="693"/>
    </row>
    <row r="5" spans="1:20">
      <c r="A5" t="str">
        <f>Secteurs!$B$53</f>
        <v>Indéterminé - Approvisionnements</v>
      </c>
      <c r="B5" t="str">
        <f>Produits!$B$4</f>
        <v>Grains collectés</v>
      </c>
      <c r="C5" s="571"/>
      <c r="E5" t="str">
        <f>Etiquettes!$C$3</f>
        <v>kt</v>
      </c>
      <c r="F5" s="10" t="str">
        <f>Etiquettes!$J$6</f>
        <v>Orge</v>
      </c>
      <c r="G5" s="26" t="str">
        <f>Etiquettes!$H$5</f>
        <v>2015-16</v>
      </c>
      <c r="H5" t="str">
        <f>Etiquettes!$C$4</f>
        <v>France entière</v>
      </c>
      <c r="I5"/>
      <c r="J5"/>
      <c r="K5"/>
      <c r="N5"/>
      <c r="O5" s="26" t="str">
        <f>Etiquettes!$C$14</f>
        <v>Ecart statistique</v>
      </c>
      <c r="P5" s="26" t="str">
        <f>Etiquettes!$K$15</f>
        <v>Approximative</v>
      </c>
      <c r="Q5" s="603" t="s">
        <v>1816</v>
      </c>
      <c r="R5" s="603" t="str">
        <f>Etiquettes!$I$17</f>
        <v>Ecart statistique (ne permet pas de respecter un bilan matière)</v>
      </c>
      <c r="S5" s="773" t="s">
        <v>1815</v>
      </c>
      <c r="T5" s="693"/>
    </row>
    <row r="6" spans="1:20" ht="14.4" customHeight="1">
      <c r="A6" t="str">
        <f>Secteurs!$B$53</f>
        <v>Indéterminé - Approvisionnements</v>
      </c>
      <c r="B6" t="str">
        <f>Produits!$B$4</f>
        <v>Grains collectés</v>
      </c>
      <c r="C6" s="571">
        <v>0</v>
      </c>
      <c r="E6" t="str">
        <f>Etiquettes!$C$3</f>
        <v>kt</v>
      </c>
      <c r="F6" s="10" t="str">
        <f>Etiquettes!$J$6</f>
        <v>Orge</v>
      </c>
      <c r="G6" s="26" t="str">
        <f>Etiquettes!$I$5&amp;":"&amp;Etiquettes!$J$5</f>
        <v>2019-20:2023-24</v>
      </c>
      <c r="H6" t="str">
        <f>Etiquettes!$C$4</f>
        <v>France entière</v>
      </c>
      <c r="I6"/>
      <c r="J6"/>
      <c r="K6"/>
      <c r="N6"/>
      <c r="S6" s="773"/>
      <c r="T6" s="693"/>
    </row>
    <row r="7" spans="1:20" ht="15" thickBot="1">
      <c r="A7" t="str">
        <f>Produits!$B$4</f>
        <v>Grains collectés</v>
      </c>
      <c r="B7" t="str">
        <f>Secteurs!$B$54</f>
        <v>Indéterminé - Débouchés</v>
      </c>
      <c r="C7" s="571">
        <v>0</v>
      </c>
      <c r="E7" t="str">
        <f>Etiquettes!$C$3</f>
        <v>kt</v>
      </c>
      <c r="F7" s="10" t="str">
        <f>Etiquettes!$J$6</f>
        <v>Orge</v>
      </c>
      <c r="G7" s="26" t="str">
        <f>Etiquettes!$H$5</f>
        <v>2015-16</v>
      </c>
      <c r="H7" t="str">
        <f>Etiquettes!$C$4</f>
        <v>France entière</v>
      </c>
      <c r="I7"/>
      <c r="J7"/>
      <c r="K7"/>
      <c r="N7"/>
      <c r="S7" s="775"/>
      <c r="T7" s="693"/>
    </row>
    <row r="8" spans="1:20">
      <c r="A8" t="str">
        <f>Secteurs!$B$53</f>
        <v>Indéterminé - Approvisionnements</v>
      </c>
      <c r="B8" t="str">
        <f>Produits!$B$2</f>
        <v>Grains récoltés</v>
      </c>
      <c r="C8" s="571"/>
      <c r="E8" t="str">
        <f>Etiquettes!$C$3</f>
        <v>kt</v>
      </c>
      <c r="F8" s="10" t="str">
        <f>Etiquettes!$K$6</f>
        <v>Blé dur</v>
      </c>
      <c r="G8" s="26" t="str">
        <f>Etiquettes!$I$5</f>
        <v>2019-20</v>
      </c>
      <c r="H8" t="str">
        <f>Etiquettes!$C$4</f>
        <v>France entière</v>
      </c>
      <c r="I8"/>
      <c r="J8"/>
      <c r="K8"/>
      <c r="N8"/>
      <c r="O8" s="26" t="str">
        <f>Etiquettes!$C$14</f>
        <v>Ecart statistique</v>
      </c>
      <c r="P8" s="26" t="str">
        <f>Etiquettes!$K$15</f>
        <v>Approximative</v>
      </c>
      <c r="Q8" s="603" t="s">
        <v>1816</v>
      </c>
      <c r="R8" s="603" t="str">
        <f>Etiquettes!$I$17</f>
        <v>Ecart statistique (ne permet pas de respecter un bilan matière)</v>
      </c>
      <c r="S8" s="774" t="s">
        <v>1421</v>
      </c>
      <c r="T8" s="693"/>
    </row>
    <row r="9" spans="1:20" ht="14.4" customHeight="1">
      <c r="A9" t="str">
        <f>Secteurs!$B$53</f>
        <v>Indéterminé - Approvisionnements</v>
      </c>
      <c r="B9" t="str">
        <f>Produits!$B$2</f>
        <v>Grains récoltés</v>
      </c>
      <c r="C9" s="571">
        <v>0</v>
      </c>
      <c r="E9" t="str">
        <f>Etiquettes!$C$3</f>
        <v>kt</v>
      </c>
      <c r="F9" s="26" t="s">
        <v>1716</v>
      </c>
      <c r="G9" s="26" t="str">
        <f>Etiquettes!$C$5</f>
        <v>2015-16:2019-20:2023-24</v>
      </c>
      <c r="H9" t="str">
        <f>Etiquettes!$C$4</f>
        <v>France entière</v>
      </c>
      <c r="I9"/>
      <c r="J9"/>
      <c r="K9"/>
      <c r="N9"/>
      <c r="S9" s="773"/>
      <c r="T9" s="693"/>
    </row>
    <row r="10" spans="1:20">
      <c r="A10" t="str">
        <f>Secteurs!$B$53</f>
        <v>Indéterminé - Approvisionnements</v>
      </c>
      <c r="B10" t="str">
        <f>Produits!$B$2</f>
        <v>Grains récoltés</v>
      </c>
      <c r="C10" s="571">
        <v>0</v>
      </c>
      <c r="E10" t="str">
        <f>Etiquettes!$C$3</f>
        <v>kt</v>
      </c>
      <c r="F10" s="10" t="str">
        <f>Etiquettes!$K$6</f>
        <v>Blé dur</v>
      </c>
      <c r="G10" s="26" t="s">
        <v>1422</v>
      </c>
      <c r="H10" t="str">
        <f>Etiquettes!$C$4</f>
        <v>France entière</v>
      </c>
      <c r="I10"/>
      <c r="J10"/>
      <c r="K10"/>
      <c r="N10"/>
      <c r="S10" s="773"/>
      <c r="T10" s="693"/>
    </row>
    <row r="11" spans="1:20">
      <c r="A11" t="str">
        <f>Secteurs!$B$53</f>
        <v>Indéterminé - Approvisionnements</v>
      </c>
      <c r="B11" t="str">
        <f>Produits!$B$4</f>
        <v>Grains collectés</v>
      </c>
      <c r="C11" s="571"/>
      <c r="E11" t="str">
        <f>Etiquettes!$C$3</f>
        <v>kt</v>
      </c>
      <c r="F11" s="10" t="str">
        <f>Etiquettes!$O$6</f>
        <v>Seigle</v>
      </c>
      <c r="G11" s="26" t="str">
        <f>Etiquettes!$H$5&amp;":"&amp;Etiquettes!$I$5</f>
        <v>2015-16:2019-20</v>
      </c>
      <c r="H11" t="str">
        <f>Etiquettes!$C$4</f>
        <v>France entière</v>
      </c>
      <c r="I11"/>
      <c r="J11"/>
      <c r="K11"/>
      <c r="N11"/>
      <c r="O11" s="26" t="str">
        <f>Etiquettes!$C$14</f>
        <v>Ecart statistique</v>
      </c>
      <c r="P11" s="26" t="str">
        <f>Etiquettes!$K$15</f>
        <v>Approximative</v>
      </c>
      <c r="Q11" s="603" t="s">
        <v>1816</v>
      </c>
      <c r="R11" s="603" t="str">
        <f>Etiquettes!$I$17</f>
        <v>Ecart statistique (ne permet pas de respecter un bilan matière)</v>
      </c>
      <c r="S11" s="773" t="s">
        <v>1775</v>
      </c>
      <c r="T11" s="693"/>
    </row>
    <row r="12" spans="1:20" ht="14.4" customHeight="1">
      <c r="A12" t="str">
        <f>Secteurs!$B$53</f>
        <v>Indéterminé - Approvisionnements</v>
      </c>
      <c r="B12" t="str">
        <f>Produits!$B$4</f>
        <v>Grains collectés</v>
      </c>
      <c r="C12" s="571">
        <v>0</v>
      </c>
      <c r="E12" t="str">
        <f>Etiquettes!$C$3</f>
        <v>kt</v>
      </c>
      <c r="F12" s="10" t="str">
        <f>Etiquettes!$O$6</f>
        <v>Seigle</v>
      </c>
      <c r="G12" s="26" t="str">
        <f>Etiquettes!$J$5</f>
        <v>2023-24</v>
      </c>
      <c r="H12" t="str">
        <f>Etiquettes!$C$4</f>
        <v>France entière</v>
      </c>
      <c r="I12"/>
      <c r="J12"/>
      <c r="K12"/>
      <c r="N12"/>
      <c r="S12" s="773"/>
      <c r="T12" s="693"/>
    </row>
    <row r="13" spans="1:20">
      <c r="A13" t="str">
        <f>Produits!$B$4</f>
        <v>Grains collectés</v>
      </c>
      <c r="B13" t="str">
        <f>Secteurs!$B$54</f>
        <v>Indéterminé - Débouchés</v>
      </c>
      <c r="C13" s="571">
        <v>0</v>
      </c>
      <c r="E13" t="str">
        <f>Etiquettes!$C$3</f>
        <v>kt</v>
      </c>
      <c r="F13" s="10" t="str">
        <f>Etiquettes!$O$6</f>
        <v>Seigle</v>
      </c>
      <c r="G13" s="26" t="str">
        <f>Etiquettes!$H$5&amp;":"&amp;Etiquettes!$I$5</f>
        <v>2015-16:2019-20</v>
      </c>
      <c r="H13" t="str">
        <f>Etiquettes!$C$4</f>
        <v>France entière</v>
      </c>
      <c r="I13"/>
      <c r="J13"/>
      <c r="K13"/>
      <c r="N13"/>
      <c r="S13" s="773"/>
      <c r="T13" s="693"/>
    </row>
    <row r="14" spans="1:20">
      <c r="A14" t="str">
        <f>Secteurs!$B$53</f>
        <v>Indéterminé - Approvisionnements</v>
      </c>
      <c r="B14" t="str">
        <f>Produits!$B$2</f>
        <v>Grains récoltés</v>
      </c>
      <c r="C14" s="571"/>
      <c r="E14" t="str">
        <f>Etiquettes!$C$3</f>
        <v>kt</v>
      </c>
      <c r="F14" s="10" t="str">
        <f>Etiquettes!$P$6</f>
        <v>Sarrasin</v>
      </c>
      <c r="G14" s="26" t="str">
        <f>Etiquettes!$J$5</f>
        <v>2023-24</v>
      </c>
      <c r="H14" t="str">
        <f>Etiquettes!$C$4</f>
        <v>France entière</v>
      </c>
      <c r="I14"/>
      <c r="J14"/>
      <c r="K14"/>
      <c r="N14"/>
      <c r="O14" s="26" t="str">
        <f>Etiquettes!$C$14</f>
        <v>Ecart statistique</v>
      </c>
      <c r="P14" s="26" t="str">
        <f>Etiquettes!$K$15</f>
        <v>Approximative</v>
      </c>
      <c r="Q14" s="603" t="s">
        <v>1816</v>
      </c>
      <c r="R14" s="603" t="str">
        <f>Etiquettes!$I$17</f>
        <v>Ecart statistique (ne permet pas de respecter un bilan matière)</v>
      </c>
      <c r="S14" s="773" t="s">
        <v>1423</v>
      </c>
      <c r="T14" s="693"/>
    </row>
    <row r="15" spans="1:20">
      <c r="A15" t="str">
        <f>Secteurs!$B$53</f>
        <v>Indéterminé - Approvisionnements</v>
      </c>
      <c r="B15" t="str">
        <f>Produits!$B$2</f>
        <v>Grains récoltés</v>
      </c>
      <c r="C15" s="571">
        <v>0</v>
      </c>
      <c r="E15" t="str">
        <f>Etiquettes!$C$3</f>
        <v>kt</v>
      </c>
      <c r="F15" s="10" t="str">
        <f>Etiquettes!$P$6</f>
        <v>Sarrasin</v>
      </c>
      <c r="G15" s="26" t="s">
        <v>1410</v>
      </c>
      <c r="H15" t="str">
        <f>Etiquettes!$C$4</f>
        <v>France entière</v>
      </c>
      <c r="I15"/>
      <c r="J15"/>
      <c r="K15"/>
      <c r="N15"/>
      <c r="S15" s="773"/>
      <c r="T15" s="693"/>
    </row>
    <row r="16" spans="1:20">
      <c r="A16" t="str">
        <f>Produits!$B$4</f>
        <v>Grains collectés</v>
      </c>
      <c r="B16" t="str">
        <f>Secteurs!$B$54</f>
        <v>Indéterminé - Débouchés</v>
      </c>
      <c r="E16" t="str">
        <f>Etiquettes!$C$3</f>
        <v>kt</v>
      </c>
      <c r="F16" s="26" t="s">
        <v>2012</v>
      </c>
      <c r="G16" s="26" t="str">
        <f>Etiquettes!$C$5</f>
        <v>2015-16:2019-20:2023-24</v>
      </c>
      <c r="H16" t="str">
        <f>Etiquettes!$C$4</f>
        <v>France entière</v>
      </c>
      <c r="O16" s="26" t="str">
        <f>Etiquettes!$C$14</f>
        <v>Ecart statistique</v>
      </c>
      <c r="P16" s="26" t="str">
        <f>Etiquettes!$K$15</f>
        <v>Approximative</v>
      </c>
      <c r="Q16" s="603" t="s">
        <v>1816</v>
      </c>
      <c r="R16" s="603" t="str">
        <f>Etiquettes!$I$17</f>
        <v>Ecart statistique (ne permet pas de respecter un bilan matière)</v>
      </c>
    </row>
    <row r="17" spans="1:18">
      <c r="A17" t="str">
        <f>Produits!$B$4</f>
        <v>Grains collectés</v>
      </c>
      <c r="B17" t="str">
        <f>Secteurs!$B$54</f>
        <v>Indéterminé - Débouchés</v>
      </c>
      <c r="E17" t="str">
        <f>Etiquettes!$C$3</f>
        <v>kt</v>
      </c>
      <c r="F17" s="10" t="s">
        <v>173</v>
      </c>
      <c r="G17" s="26" t="str">
        <f>Etiquettes!$I$5&amp;":"&amp;Etiquettes!$J$5</f>
        <v>2019-20:2023-24</v>
      </c>
      <c r="H17" t="s">
        <v>1783</v>
      </c>
      <c r="O17" s="26" t="str">
        <f>Etiquettes!$C$14</f>
        <v>Ecart statistique</v>
      </c>
      <c r="P17" s="26" t="str">
        <f>Etiquettes!$K$15</f>
        <v>Approximative</v>
      </c>
      <c r="Q17" s="603" t="s">
        <v>1816</v>
      </c>
      <c r="R17" s="603" t="str">
        <f>Etiquettes!$I$17</f>
        <v>Ecart statistique (ne permet pas de respecter un bilan matière)</v>
      </c>
    </row>
    <row r="18" spans="1:18">
      <c r="A18" t="str">
        <f>Produits!$B$4</f>
        <v>Grains collectés</v>
      </c>
      <c r="B18" t="str">
        <f>Secteurs!$B$54</f>
        <v>Indéterminé - Débouchés</v>
      </c>
      <c r="E18" t="str">
        <f>Etiquettes!$C$3</f>
        <v>kt</v>
      </c>
      <c r="F18" s="10" t="s">
        <v>310</v>
      </c>
      <c r="G18" s="26" t="str">
        <f>Etiquettes!$J$5</f>
        <v>2023-24</v>
      </c>
      <c r="H18" t="s">
        <v>1783</v>
      </c>
      <c r="O18" s="26" t="str">
        <f>Etiquettes!$C$14</f>
        <v>Ecart statistique</v>
      </c>
      <c r="P18" s="26" t="str">
        <f>Etiquettes!$K$15</f>
        <v>Approximative</v>
      </c>
      <c r="Q18" s="603" t="s">
        <v>1816</v>
      </c>
      <c r="R18" s="603" t="str">
        <f>Etiquettes!$I$17</f>
        <v>Ecart statistique (ne permet pas de respecter un bilan matière)</v>
      </c>
    </row>
    <row r="19" spans="1:18">
      <c r="A19" t="str">
        <f>Produits!$B$6</f>
        <v>Farine</v>
      </c>
      <c r="B19" t="str">
        <f>Secteurs!$B$54</f>
        <v>Indéterminé - Débouchés</v>
      </c>
      <c r="E19" t="str">
        <f>Etiquettes!$C$3</f>
        <v>kt</v>
      </c>
      <c r="F19" s="26" t="str">
        <f>Etiquettes!$H$6</f>
        <v>Blé tendre</v>
      </c>
      <c r="G19" s="26" t="str">
        <f>Etiquettes!$C$5</f>
        <v>2015-16:2019-20:2023-24</v>
      </c>
      <c r="H19" t="str">
        <f>Etiquettes!$C$4</f>
        <v>France entière</v>
      </c>
      <c r="O19" s="26" t="str">
        <f>Etiquettes!$C$14</f>
        <v>Ecart statistique</v>
      </c>
      <c r="P19" s="26" t="str">
        <f>Etiquettes!$J$15</f>
        <v>Probable</v>
      </c>
      <c r="Q19" s="603" t="s">
        <v>1820</v>
      </c>
      <c r="R19" s="603" t="str">
        <f>Etiquettes!$K$17</f>
        <v>Donnée indéterminée (seules une borne minimale et une borne maximale sont déterminées)</v>
      </c>
    </row>
    <row r="20" spans="1:18">
      <c r="A20" t="str">
        <f>Produits!$B$34</f>
        <v>Autres résidus</v>
      </c>
      <c r="B20" t="str">
        <f>Secteurs!$B$54</f>
        <v>Indéterminé - Débouchés</v>
      </c>
      <c r="E20" t="str">
        <f>Etiquettes!$C$3</f>
        <v>kt</v>
      </c>
      <c r="F20" s="26" t="s">
        <v>1340</v>
      </c>
      <c r="G20" s="26" t="str">
        <f>Etiquettes!$C$5</f>
        <v>2015-16:2019-20:2023-24</v>
      </c>
      <c r="H20" t="str">
        <f>Etiquettes!$C$4</f>
        <v>France entière</v>
      </c>
      <c r="O20" s="26" t="str">
        <f>Etiquettes!$C$14</f>
        <v>Ecart statistique</v>
      </c>
      <c r="P20" s="26" t="str">
        <f>Etiquettes!$K$15</f>
        <v>Approximative</v>
      </c>
      <c r="Q20" s="603" t="s">
        <v>1820</v>
      </c>
      <c r="R20" s="603" t="str">
        <f>Etiquettes!$K$17</f>
        <v>Donnée indéterminée (seules une borne minimale et une borne maximale sont déterminées)</v>
      </c>
    </row>
  </sheetData>
  <mergeCells count="6">
    <mergeCell ref="T2:T15"/>
    <mergeCell ref="S14:S15"/>
    <mergeCell ref="S11:S13"/>
    <mergeCell ref="S8:S10"/>
    <mergeCell ref="S2:S4"/>
    <mergeCell ref="S5:S7"/>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B814-688A-46E1-A6F2-C51F6F4C9F25}">
  <sheetPr>
    <tabColor rgb="FF002060"/>
  </sheetPr>
  <dimension ref="A1:S12"/>
  <sheetViews>
    <sheetView workbookViewId="0">
      <pane xSplit="2" ySplit="1" topLeftCell="C2" activePane="bottomRight" state="frozen"/>
      <selection activeCell="A10" sqref="A10"/>
      <selection pane="topRight" activeCell="A10" sqref="A10"/>
      <selection pane="bottomLeft" activeCell="A10" sqref="A10"/>
      <selection pane="bottomRight" activeCell="A10" sqref="A10"/>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14.88671875" style="26" customWidth="1"/>
    <col min="7" max="7" width="12.109375" style="26" bestFit="1" customWidth="1"/>
    <col min="8" max="11" width="12.109375" style="26" customWidth="1"/>
    <col min="12" max="13" width="14.44140625" style="26" customWidth="1"/>
    <col min="14" max="14" width="12.109375" style="26" customWidth="1"/>
    <col min="15" max="17" width="14.44140625" style="26" customWidth="1"/>
    <col min="18" max="18" width="12.33203125" customWidth="1"/>
    <col min="19" max="19" width="17.44140625" customWidth="1"/>
  </cols>
  <sheetData>
    <row r="1" spans="1:19" ht="63.6"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Données!A14</f>
        <v>Grains collectés</v>
      </c>
      <c r="B2" t="str">
        <f>Secteurs!$B$5</f>
        <v>Semences</v>
      </c>
      <c r="E2" t="str">
        <f>Données!E14</f>
        <v>kt</v>
      </c>
      <c r="F2" t="str">
        <f>Données!F14</f>
        <v>Blé tendre</v>
      </c>
      <c r="G2" t="str">
        <f>Etiquettes!$C$5</f>
        <v>2015-16:2019-20:2023-24</v>
      </c>
      <c r="H2" t="str">
        <f>Données!H14</f>
        <v>France entière</v>
      </c>
      <c r="I2" t="str">
        <f>Données!I14</f>
        <v>Production de semences certifiées</v>
      </c>
      <c r="J2"/>
      <c r="K2" t="str">
        <f>Données!K14</f>
        <v>Bilans par campagne - FranceAgriMer</v>
      </c>
      <c r="L2" t="str">
        <f ca="1">Données!L14</f>
        <v>Bilans Blé tendre - FAM</v>
      </c>
      <c r="M2" t="str">
        <f>Données!M14</f>
        <v>Volume</v>
      </c>
      <c r="N2" t="str">
        <f>Données!N14</f>
        <v>Production de semences certifiées = 368 kt (Bilans par campagne - FranceAgriMer)</v>
      </c>
      <c r="O2" t="str">
        <f>Données!O14</f>
        <v>Probable</v>
      </c>
      <c r="P2" t="str">
        <f>Données!P14</f>
        <v>Données collectées</v>
      </c>
      <c r="Q2" t="str">
        <f>Données!Q14</f>
        <v>Donnée collectée (valeur du flux ou coefficient)</v>
      </c>
      <c r="S2" s="692" t="s">
        <v>1558</v>
      </c>
    </row>
    <row r="3" spans="1:19">
      <c r="A3" t="str">
        <f>Données!A28</f>
        <v>Grains collectés</v>
      </c>
      <c r="B3" t="str">
        <f>Secteurs!$B$5</f>
        <v>Semences</v>
      </c>
      <c r="E3" t="str">
        <f>Données!E28</f>
        <v>kt</v>
      </c>
      <c r="F3" t="str">
        <f>Données!F28</f>
        <v>Maïs</v>
      </c>
      <c r="G3" t="str">
        <f>Etiquettes!$C$5</f>
        <v>2015-16:2019-20:2023-24</v>
      </c>
      <c r="H3" t="str">
        <f>Données!H28</f>
        <v>France entière</v>
      </c>
      <c r="I3" t="str">
        <f>Données!I28</f>
        <v>Production de semences certifiées</v>
      </c>
      <c r="J3"/>
      <c r="K3" t="str">
        <f>Données!K28</f>
        <v>Bilans par campagne - FranceAgriMer</v>
      </c>
      <c r="L3" t="str">
        <f ca="1">Données!L28</f>
        <v>Bilans Maïs - FAM</v>
      </c>
      <c r="M3" t="str">
        <f>Données!M28</f>
        <v>Volume</v>
      </c>
      <c r="N3" t="str">
        <f>Données!N28</f>
        <v>Production de semences certifiées = 116 kt (Bilans par campagne - FranceAgriMer)</v>
      </c>
      <c r="O3" t="str">
        <f>Données!O28</f>
        <v>Probable</v>
      </c>
      <c r="P3" t="str">
        <f>Données!P28</f>
        <v>Données collectées</v>
      </c>
      <c r="Q3" t="str">
        <f>Données!Q28</f>
        <v>Donnée collectée (valeur du flux ou coefficient)</v>
      </c>
      <c r="S3" s="693"/>
    </row>
    <row r="4" spans="1:19">
      <c r="A4" t="str">
        <f>Données!A42</f>
        <v>Grains collectés</v>
      </c>
      <c r="B4" t="str">
        <f>Secteurs!$B$5</f>
        <v>Semences</v>
      </c>
      <c r="E4" t="str">
        <f>Données!E42</f>
        <v>kt</v>
      </c>
      <c r="F4" t="str">
        <f>Données!F42</f>
        <v>Orge</v>
      </c>
      <c r="G4" t="str">
        <f>Etiquettes!$C$5</f>
        <v>2015-16:2019-20:2023-24</v>
      </c>
      <c r="H4" t="str">
        <f>Données!H42</f>
        <v>France entière</v>
      </c>
      <c r="I4" t="str">
        <f>Données!I42</f>
        <v>Production de semences certifiées</v>
      </c>
      <c r="J4"/>
      <c r="K4" t="str">
        <f>Données!K42</f>
        <v>Bilans par campagne - FranceAgriMer</v>
      </c>
      <c r="L4" t="str">
        <f ca="1">Données!L42</f>
        <v>Bilans Orge - FAM</v>
      </c>
      <c r="M4" t="str">
        <f>Données!M42</f>
        <v>Volume</v>
      </c>
      <c r="N4" t="str">
        <f>Données!N42</f>
        <v>Production de semences certifiées = 164 kt (Bilans par campagne - FranceAgriMer)</v>
      </c>
      <c r="O4" t="str">
        <f>Données!O42</f>
        <v>Probable</v>
      </c>
      <c r="P4" t="str">
        <f>Données!P42</f>
        <v>Données collectées</v>
      </c>
      <c r="Q4" t="str">
        <f>Données!Q42</f>
        <v>Donnée collectée (valeur du flux ou coefficient)</v>
      </c>
      <c r="S4" s="693"/>
    </row>
    <row r="5" spans="1:19">
      <c r="A5" t="str">
        <f>Données!A56</f>
        <v>Grains collectés</v>
      </c>
      <c r="B5" t="str">
        <f>Secteurs!$B$5</f>
        <v>Semences</v>
      </c>
      <c r="E5" t="str">
        <f>Données!E56</f>
        <v>kt</v>
      </c>
      <c r="F5" t="str">
        <f>Données!F56</f>
        <v>Blé dur</v>
      </c>
      <c r="G5" t="str">
        <f>Etiquettes!$C$5</f>
        <v>2015-16:2019-20:2023-24</v>
      </c>
      <c r="H5" t="str">
        <f>Données!H56</f>
        <v>France entière</v>
      </c>
      <c r="I5" t="str">
        <f>Données!I56</f>
        <v>Production de semences certifiées</v>
      </c>
      <c r="J5"/>
      <c r="K5" t="str">
        <f>Données!K56</f>
        <v>Bilans par campagne - FranceAgriMer</v>
      </c>
      <c r="L5" t="str">
        <f ca="1">Données!L56</f>
        <v>Bilans Blé dur - FAM</v>
      </c>
      <c r="M5" t="str">
        <f>Données!M56</f>
        <v>Volume</v>
      </c>
      <c r="N5" t="str">
        <f>Données!N56</f>
        <v>Production de semences certifiées = 45 kt (Bilans par campagne - FranceAgriMer)</v>
      </c>
      <c r="O5" t="str">
        <f>Données!O56</f>
        <v>Probable</v>
      </c>
      <c r="P5" t="str">
        <f>Données!P56</f>
        <v>Données collectées</v>
      </c>
      <c r="Q5" t="str">
        <f>Données!Q56</f>
        <v>Donnée collectée (valeur du flux ou coefficient)</v>
      </c>
      <c r="S5" s="693"/>
    </row>
    <row r="6" spans="1:19">
      <c r="A6" t="str">
        <f>Données!A70</f>
        <v>Grains collectés</v>
      </c>
      <c r="B6" t="str">
        <f>Secteurs!$B$5</f>
        <v>Semences</v>
      </c>
      <c r="E6" t="str">
        <f>Données!E70</f>
        <v>kt</v>
      </c>
      <c r="F6" t="str">
        <f>Données!F70</f>
        <v>Triticale</v>
      </c>
      <c r="G6" t="str">
        <f>Etiquettes!$C$5</f>
        <v>2015-16:2019-20:2023-24</v>
      </c>
      <c r="H6" t="str">
        <f>Données!H70</f>
        <v>France entière</v>
      </c>
      <c r="I6" t="str">
        <f>Données!I70</f>
        <v>Production de semences certifiées</v>
      </c>
      <c r="J6"/>
      <c r="K6" t="str">
        <f>Données!K70</f>
        <v>Bilans par campagne - FranceAgriMer</v>
      </c>
      <c r="L6" t="str">
        <f ca="1">Données!L70</f>
        <v>Bilans Triticale - FAM</v>
      </c>
      <c r="M6" t="str">
        <f>Données!M70</f>
        <v>Volume</v>
      </c>
      <c r="N6" t="str">
        <f>Données!N70</f>
        <v>Production de semences certifiées = 26 kt (Bilans par campagne - FranceAgriMer)</v>
      </c>
      <c r="O6" t="str">
        <f>Données!O70</f>
        <v>Probable</v>
      </c>
      <c r="P6" t="str">
        <f>Données!P70</f>
        <v>Données collectées</v>
      </c>
      <c r="Q6" t="str">
        <f>Données!Q70</f>
        <v>Donnée collectée (valeur du flux ou coefficient)</v>
      </c>
      <c r="S6" s="693"/>
    </row>
    <row r="7" spans="1:19">
      <c r="A7" t="str">
        <f>Données!A84</f>
        <v>Grains collectés</v>
      </c>
      <c r="B7" t="str">
        <f>Secteurs!$B$5</f>
        <v>Semences</v>
      </c>
      <c r="E7" t="str">
        <f>Données!E84</f>
        <v>kt</v>
      </c>
      <c r="F7" t="str">
        <f>Données!F84</f>
        <v>Sorgho</v>
      </c>
      <c r="G7" t="str">
        <f>Etiquettes!$C$5</f>
        <v>2015-16:2019-20:2023-24</v>
      </c>
      <c r="H7" t="str">
        <f>Données!H84</f>
        <v>France entière</v>
      </c>
      <c r="I7" t="str">
        <f>Données!I84</f>
        <v>Production de semences certifiées</v>
      </c>
      <c r="J7"/>
      <c r="K7" t="str">
        <f>Données!K84</f>
        <v>Bilans par campagne - FranceAgriMer</v>
      </c>
      <c r="L7" t="str">
        <f ca="1">Données!L84</f>
        <v>Bilans Sorgho - FAM</v>
      </c>
      <c r="M7" t="str">
        <f>Données!M84</f>
        <v>Volume</v>
      </c>
      <c r="N7" t="str">
        <f>Données!N84</f>
        <v>Production de semences certifiées = 0 kt (Bilans par campagne - FranceAgriMer)</v>
      </c>
      <c r="O7" t="str">
        <f>Données!O84</f>
        <v>Probable</v>
      </c>
      <c r="P7" t="str">
        <f>Données!P84</f>
        <v>Données collectées</v>
      </c>
      <c r="Q7" t="str">
        <f>Données!Q84</f>
        <v>Donnée collectée (valeur du flux ou coefficient)</v>
      </c>
      <c r="S7" s="693"/>
    </row>
    <row r="8" spans="1:19">
      <c r="A8" t="str">
        <f>Données!A98</f>
        <v>Grains collectés</v>
      </c>
      <c r="B8" t="str">
        <f>Secteurs!$B$5</f>
        <v>Semences</v>
      </c>
      <c r="E8" t="str">
        <f>Données!E98</f>
        <v>kt</v>
      </c>
      <c r="F8" t="str">
        <f>Données!F98</f>
        <v>Avoine</v>
      </c>
      <c r="G8" t="str">
        <f>Etiquettes!$C$5</f>
        <v>2015-16:2019-20:2023-24</v>
      </c>
      <c r="H8" t="str">
        <f>Données!H98</f>
        <v>France entière</v>
      </c>
      <c r="I8" t="str">
        <f>Données!I98</f>
        <v>Production de semences certifiées</v>
      </c>
      <c r="J8"/>
      <c r="K8" t="str">
        <f>Données!K98</f>
        <v>Bilans par campagne - FranceAgriMer</v>
      </c>
      <c r="L8" t="str">
        <f ca="1">Données!L98</f>
        <v>Bilans Avoine - FAM</v>
      </c>
      <c r="M8" t="str">
        <f>Données!M98</f>
        <v>Volume</v>
      </c>
      <c r="N8" t="str">
        <f>Données!N98</f>
        <v>Production de semences certifiées = 6 kt (Bilans par campagne - FranceAgriMer)</v>
      </c>
      <c r="O8" t="str">
        <f>Données!O98</f>
        <v>Probable</v>
      </c>
      <c r="P8" t="str">
        <f>Données!P98</f>
        <v>Données collectées</v>
      </c>
      <c r="Q8" t="str">
        <f>Données!Q98</f>
        <v>Donnée collectée (valeur du flux ou coefficient)</v>
      </c>
      <c r="S8" s="693"/>
    </row>
    <row r="9" spans="1:19">
      <c r="A9" t="str">
        <f>Données!A112</f>
        <v>Grains collectés</v>
      </c>
      <c r="B9" t="str">
        <f>Secteurs!$B$5</f>
        <v>Semences</v>
      </c>
      <c r="E9" t="str">
        <f>Données!E112</f>
        <v>kt</v>
      </c>
      <c r="F9" t="str">
        <f>Données!F112</f>
        <v>Seigle</v>
      </c>
      <c r="G9" t="str">
        <f>Etiquettes!$C$5</f>
        <v>2015-16:2019-20:2023-24</v>
      </c>
      <c r="H9" t="str">
        <f>Données!H112</f>
        <v>France entière</v>
      </c>
      <c r="I9" t="str">
        <f>Données!I112</f>
        <v>Production de semences certifiées</v>
      </c>
      <c r="J9"/>
      <c r="K9" t="str">
        <f>Données!K112</f>
        <v>Bilans par campagne - FranceAgriMer</v>
      </c>
      <c r="L9" t="str">
        <f ca="1">Données!L112</f>
        <v>Bilans Seigle - FAM</v>
      </c>
      <c r="M9" t="str">
        <f>Données!M112</f>
        <v>Volume</v>
      </c>
      <c r="N9" t="str">
        <f>Données!N112</f>
        <v>Production de semences certifiées = 14 kt (Bilans par campagne - FranceAgriMer)</v>
      </c>
      <c r="O9" t="str">
        <f>Données!O112</f>
        <v>Probable</v>
      </c>
      <c r="P9" t="str">
        <f>Données!P112</f>
        <v>Données collectées</v>
      </c>
      <c r="Q9" t="str">
        <f>Données!Q112</f>
        <v>Donnée collectée (valeur du flux ou coefficient)</v>
      </c>
      <c r="S9" s="693"/>
    </row>
    <row r="10" spans="1:19">
      <c r="A10" t="str">
        <f>Données!A126</f>
        <v>Grains collectés</v>
      </c>
      <c r="B10" t="str">
        <f>Secteurs!$B$5</f>
        <v>Semences</v>
      </c>
      <c r="E10" t="str">
        <f>Données!E126</f>
        <v>kt</v>
      </c>
      <c r="F10" t="str">
        <f>Données!F126</f>
        <v>Sarrasin</v>
      </c>
      <c r="G10" t="str">
        <f>Etiquettes!$C$5</f>
        <v>2015-16:2019-20:2023-24</v>
      </c>
      <c r="H10" t="str">
        <f>Données!H126</f>
        <v>France entière</v>
      </c>
      <c r="I10" t="str">
        <f>Données!I126</f>
        <v>Production de semences certifiées</v>
      </c>
      <c r="J10"/>
      <c r="K10" t="str">
        <f>Données!K126</f>
        <v>Bilans par campagne - FranceAgriMer</v>
      </c>
      <c r="L10" t="str">
        <f ca="1">Données!L126</f>
        <v>Bilans Sarrasin - FAM</v>
      </c>
      <c r="M10" t="str">
        <f>Données!M126</f>
        <v>Volume</v>
      </c>
      <c r="N10" t="str">
        <f>Données!N126</f>
        <v>Production de semences certifiées = 1 kt (Bilans par campagne - FranceAgriMer)</v>
      </c>
      <c r="O10" t="str">
        <f>Données!O126</f>
        <v>Probable</v>
      </c>
      <c r="P10" t="str">
        <f>Données!P126</f>
        <v>Données collectées</v>
      </c>
      <c r="Q10" t="str">
        <f>Données!Q126</f>
        <v>Donnée collectée (valeur du flux ou coefficient)</v>
      </c>
      <c r="S10" s="693"/>
    </row>
    <row r="11" spans="1:19">
      <c r="A11" t="str">
        <f>'Données       '!A2</f>
        <v>Farine</v>
      </c>
      <c r="B11" t="str">
        <f>Secteurs!$B$24</f>
        <v>Ménages</v>
      </c>
      <c r="D11"/>
      <c r="E11" t="str">
        <f>'Données       '!E2</f>
        <v>kt</v>
      </c>
      <c r="F11" t="str">
        <f>'Données       '!F2</f>
        <v>Blé tendre</v>
      </c>
      <c r="G11" s="26" t="str">
        <f>Etiquettes!$C$5</f>
        <v>2015-16:2019-20:2023-24</v>
      </c>
      <c r="H11" t="str">
        <f>'Données       '!H2</f>
        <v>France entière</v>
      </c>
      <c r="I11" t="str">
        <f>'Données       '!I2</f>
        <v>Consommation de farine par la Boulangerie artisanale</v>
      </c>
      <c r="J11" t="str">
        <f>'Données       '!J2</f>
        <v>Correspond à la consommation de la Boulangerie artisanale</v>
      </c>
      <c r="K11" t="str">
        <f>'Données       '!K2</f>
        <v>Etats 8 - FranceAgriMer</v>
      </c>
      <c r="L11" t="str">
        <f ca="1">'Données       '!L2</f>
        <v>Débouchés farine de blé - FAM</v>
      </c>
      <c r="M11" t="str">
        <f>'Données       '!M2</f>
        <v>Volume</v>
      </c>
      <c r="N11" t="str">
        <f>'Données       '!N2</f>
        <v>Consommation de farine par la Boulangerie artisanale = 1244 kt (Etats 8 - FranceAgriMer)</v>
      </c>
      <c r="O11" t="str">
        <f>'Données       '!O2</f>
        <v>Probable</v>
      </c>
      <c r="P11" t="str">
        <f>'Données       '!P2</f>
        <v>Données collectées</v>
      </c>
      <c r="Q11" t="str">
        <f>'Données       '!Q2</f>
        <v>Donnée collectée (valeur du flux ou coefficient)</v>
      </c>
      <c r="S11" s="693"/>
    </row>
    <row r="12" spans="1:19">
      <c r="A12" t="str">
        <f>'Données       '!A19</f>
        <v>Farine</v>
      </c>
      <c r="B12" t="str">
        <f>Secteurs!$B$34</f>
        <v>Hors FAB</v>
      </c>
      <c r="D12"/>
      <c r="E12" t="str">
        <f>'Données       '!E19</f>
        <v>kt</v>
      </c>
      <c r="F12" t="str">
        <f>'Données       '!F19</f>
        <v>Blé tendre</v>
      </c>
      <c r="G12"/>
      <c r="H12" t="str">
        <f>'Données       '!H19</f>
        <v>France entière</v>
      </c>
      <c r="I12" t="str">
        <f>'Données       '!I19</f>
        <v>Consommation de farine pour l'alimentation animale</v>
      </c>
      <c r="J12">
        <f>'Données       '!J19</f>
        <v>0</v>
      </c>
      <c r="K12" t="str">
        <f>'Données       '!K19</f>
        <v>Etats 8 - FranceAgriMer</v>
      </c>
      <c r="L12" t="str">
        <f ca="1">'Données       '!L19</f>
        <v>Débouchés farine de blé - FAM</v>
      </c>
      <c r="M12" t="str">
        <f>'Données       '!M19</f>
        <v>Volume</v>
      </c>
      <c r="N12" t="str">
        <f>'Données       '!N19</f>
        <v>Consommation de farine pour l'alimentation animale = 70 kt (Etats 8 - FranceAgriMer)</v>
      </c>
      <c r="O12" t="str">
        <f>'Données       '!O19</f>
        <v>Probable</v>
      </c>
      <c r="P12" t="str">
        <f>'Données       '!P19</f>
        <v>Données collectées</v>
      </c>
      <c r="Q12" t="str">
        <f>'Données       '!Q19</f>
        <v>Donnée collectée (valeur du flux ou coefficient)</v>
      </c>
      <c r="S12" s="693"/>
    </row>
  </sheetData>
  <mergeCells count="1">
    <mergeCell ref="S2:S12"/>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24B9-E5B5-4AA4-BEBF-858F2651636C}">
  <sheetPr>
    <tabColor rgb="FF002060"/>
  </sheetPr>
  <dimension ref="A1:S41"/>
  <sheetViews>
    <sheetView workbookViewId="0">
      <pane xSplit="2" ySplit="1" topLeftCell="C14" activePane="bottomRight" state="frozen"/>
      <selection activeCell="A10" sqref="A10"/>
      <selection pane="topRight" activeCell="A10" sqref="A10"/>
      <selection pane="bottomLeft" activeCell="A10" sqref="A10"/>
      <selection pane="bottomRight" activeCell="A10" sqref="A10"/>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9.33203125" bestFit="1" customWidth="1"/>
    <col min="6" max="6" width="9" style="26" customWidth="1"/>
    <col min="7" max="7" width="12.109375" style="26" bestFit="1" customWidth="1"/>
    <col min="8" max="11" width="12.109375" style="26" customWidth="1"/>
    <col min="12" max="13" width="14.44140625" style="26" customWidth="1"/>
    <col min="14" max="14" width="12.109375" style="26" customWidth="1"/>
    <col min="15" max="17" width="14.44140625" style="26" customWidth="1"/>
    <col min="18" max="18" width="12.33203125" customWidth="1"/>
    <col min="19" max="19" width="17.44140625" customWidth="1"/>
  </cols>
  <sheetData>
    <row r="1" spans="1:19" ht="88.8"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
        <v>19</v>
      </c>
      <c r="L1" s="24" t="str">
        <f>Etiquettes!$A$13</f>
        <v>Onglet fichier Excel</v>
      </c>
      <c r="M1" s="24" t="str">
        <f>Etiquettes!$A$11</f>
        <v>Type de donnée collectée</v>
      </c>
      <c r="N1" s="24" t="str">
        <f>Etiquettes!$A$8</f>
        <v>Rendement, répartition ou volume d'échange collecté</v>
      </c>
      <c r="O1" s="24" t="str">
        <f>Etiquettes!$A$15</f>
        <v>Fiabilité des données</v>
      </c>
      <c r="P1" s="24" t="str">
        <f>Etiquettes!$A$16</f>
        <v>Méthode</v>
      </c>
      <c r="Q1" s="24" t="str">
        <f>Etiquettes!$A$17</f>
        <v>Analyse des résultats</v>
      </c>
      <c r="R1" s="23" t="s">
        <v>3</v>
      </c>
      <c r="S1" s="25" t="s">
        <v>5</v>
      </c>
    </row>
    <row r="2" spans="1:19" ht="14.4" customHeight="1">
      <c r="A2" t="str">
        <f>'Contraintes  '!B3</f>
        <v>Grains autoconsommés</v>
      </c>
      <c r="B2" t="str">
        <f>Secteurs!$B$5</f>
        <v>Semences</v>
      </c>
      <c r="E2" t="str">
        <f>'Contraintes  '!G2</f>
        <v>kt</v>
      </c>
      <c r="F2" s="26" t="s">
        <v>1479</v>
      </c>
      <c r="G2" t="str">
        <f>Etiquettes!$C$5</f>
        <v>2015-16:2019-20:2023-24</v>
      </c>
      <c r="H2" t="str">
        <f>'Contraintes  '!J3</f>
        <v>France entière</v>
      </c>
      <c r="I2" t="str">
        <f>'Contraintes  '!K3</f>
        <v>Part de semences fermières (par rapport aux semences certifiées)</v>
      </c>
      <c r="J2" t="str">
        <f>'Contraintes  '!L3</f>
        <v>Le mélange de semences contient 50 % de certifiées et 50 % de fermières. Utilisation de la donnée 2017.</v>
      </c>
      <c r="K2" t="str">
        <f>'Contraintes  '!M3</f>
        <v>Enquête Pratiques culturales en grandes cultures - SSP</v>
      </c>
      <c r="L2" t="str">
        <f ca="1">'Contraintes  '!N3</f>
        <v>Semences fermières - AGRESTE</v>
      </c>
      <c r="M2" t="str">
        <f>'Contraintes  '!O3</f>
        <v>Répartition</v>
      </c>
      <c r="N2" t="str">
        <f>'Contraintes  '!P3</f>
        <v>Part de semences fermières (par rapport aux semences certifiées) = 108,32 % (Enquête Pratiques culturales en grandes cultures - SSP)</v>
      </c>
      <c r="O2" t="str">
        <f>'Contraintes  '!Q3</f>
        <v>Approximative</v>
      </c>
      <c r="P2" t="str">
        <f>'Contraintes  '!R3</f>
        <v>Données collectées:Données déterminées</v>
      </c>
      <c r="Q2" t="str">
        <f>'Contraintes  '!S3</f>
        <v>Donnée collectée (valeur du flux ou coefficient)</v>
      </c>
      <c r="S2" s="692" t="s">
        <v>1558</v>
      </c>
    </row>
    <row r="3" spans="1:19">
      <c r="A3" t="str">
        <f>'Contraintes '!B3</f>
        <v>Grains autoconsommés</v>
      </c>
      <c r="B3" t="str">
        <f>Secteurs!$B$51</f>
        <v>Autres usages (ou usages indéfinis)</v>
      </c>
      <c r="E3" t="str">
        <f>'Contraintes '!G3</f>
        <v>kt</v>
      </c>
      <c r="F3" t="str">
        <f>'Contraintes '!H3</f>
        <v>Blé tendre:Maïs:Orge:Blé dur:Triticale:Sorgho:Avoine:Seigle:Sarrasin:Riz:Epeautre:Millet</v>
      </c>
      <c r="G3" t="str">
        <f>'Contraintes '!I3</f>
        <v>2015-16:2019-20:2023-24</v>
      </c>
      <c r="H3" t="str">
        <f>'Contraintes '!J3</f>
        <v>France entière</v>
      </c>
      <c r="I3" t="str">
        <f>'Contraintes '!K3</f>
        <v>Pertes à la ferme</v>
      </c>
      <c r="J3" t="str">
        <f>'Contraintes '!L3</f>
        <v>Les pertes à la fermes sont de 3% (supérieures à celles des OS)</v>
      </c>
      <c r="K3" t="str">
        <f>'Contraintes '!M3</f>
        <v>Valeur arbitraire</v>
      </c>
      <c r="L3" t="str">
        <f ca="1">'Contraintes '!N3</f>
        <v>Pertes à la ferme</v>
      </c>
      <c r="M3" t="str">
        <f>'Contraintes '!O3</f>
        <v>Rendement</v>
      </c>
      <c r="N3" t="str">
        <f>'Contraintes '!P3</f>
        <v>Pertes à la ferme = 3 % (Valeur arbitraire)</v>
      </c>
      <c r="O3" t="str">
        <f>'Contraintes '!Q3</f>
        <v>Indicative</v>
      </c>
      <c r="P3" t="str">
        <f>'Contraintes '!R3</f>
        <v>Données collectées:Données déterminées</v>
      </c>
      <c r="Q3" t="str">
        <f>'Contraintes '!S3</f>
        <v>Donnée collectée (valeur du flux ou coefficient)</v>
      </c>
      <c r="S3" s="693"/>
    </row>
    <row r="4" spans="1:19">
      <c r="A4" t="str">
        <f>Contraintes!B13</f>
        <v>Issues de silo</v>
      </c>
      <c r="B4" t="str">
        <f>Secteurs!$B$34</f>
        <v>Hors FAB</v>
      </c>
      <c r="E4" t="str">
        <f>Contraintes!G13</f>
        <v>kt</v>
      </c>
      <c r="F4" t="str">
        <f>Contraintes!H13</f>
        <v>Blé tendre:Blé dur:Orge:Triticale:Sorgho:Avoine:Seigle:Sarrasin:Epeautre:Millet</v>
      </c>
      <c r="G4" t="str">
        <f>Contraintes!I13</f>
        <v>2015-16:2019-20:2023-24</v>
      </c>
      <c r="H4" t="str">
        <f>Contraintes!J13</f>
        <v>France entière</v>
      </c>
      <c r="I4" t="str">
        <f>Contraintes!K13</f>
        <v>Part d'issues de silo consommées par les FAF</v>
      </c>
      <c r="J4">
        <f>Contraintes!L13</f>
        <v>0</v>
      </c>
      <c r="K4" t="str">
        <f>Contraintes!M13</f>
        <v>ONRB - FranceAgriMer</v>
      </c>
      <c r="L4" t="str">
        <f ca="1">Contraintes!N13</f>
        <v>Issues céréales - ONRB</v>
      </c>
      <c r="M4" t="str">
        <f>Contraintes!O13</f>
        <v>Répartition</v>
      </c>
      <c r="N4" t="str">
        <f>Contraintes!P13</f>
        <v>Part d'issues de silo consommées par les FAF = 56,33 % (ONRB - FranceAgriMer)</v>
      </c>
      <c r="O4" t="str">
        <f>Contraintes!Q13</f>
        <v>Approximative</v>
      </c>
      <c r="P4" t="str">
        <f>Contraintes!R13</f>
        <v>Données collectées:Données déterminées</v>
      </c>
      <c r="Q4" t="str">
        <f>Contraintes!S13</f>
        <v>Donnée collectée (valeur du flux ou coefficient)</v>
      </c>
      <c r="S4" s="693"/>
    </row>
    <row r="5" spans="1:19">
      <c r="A5" t="str">
        <f>Contraintes!B15</f>
        <v>Issues de silo</v>
      </c>
      <c r="B5" t="str">
        <f>Secteurs!$B$34</f>
        <v>Hors FAB</v>
      </c>
      <c r="E5" t="str">
        <f>Contraintes!G15</f>
        <v>kt</v>
      </c>
      <c r="F5" t="str">
        <f>Contraintes!H15</f>
        <v>Maïs</v>
      </c>
      <c r="G5" t="str">
        <f>Contraintes!I15</f>
        <v>2015-16:2019-20:2023-24</v>
      </c>
      <c r="H5" t="str">
        <f>Contraintes!J15</f>
        <v>France entière</v>
      </c>
      <c r="I5" t="str">
        <f>Contraintes!K15</f>
        <v>Part d'issues de silo consommées par les FAF</v>
      </c>
      <c r="J5">
        <f>Contraintes!L15</f>
        <v>0</v>
      </c>
      <c r="K5" t="str">
        <f>Contraintes!M15</f>
        <v>ONRB - FranceAgriMer</v>
      </c>
      <c r="L5" t="str">
        <f ca="1">Contraintes!N15</f>
        <v>Issues maïs - ONRB</v>
      </c>
      <c r="M5" t="str">
        <f>Contraintes!O15</f>
        <v>Répartition</v>
      </c>
      <c r="N5" t="str">
        <f>Contraintes!P15</f>
        <v>Part d'issues de silo consommées par les FAF = 49,53 % (ONRB - FranceAgriMer)</v>
      </c>
      <c r="O5" t="str">
        <f>Contraintes!Q15</f>
        <v>Approximative</v>
      </c>
      <c r="P5" t="str">
        <f>Contraintes!R15</f>
        <v>Données collectées:Données déterminées</v>
      </c>
      <c r="Q5" t="str">
        <f>Contraintes!S15</f>
        <v>Donnée collectée (valeur du flux ou coefficient)</v>
      </c>
      <c r="S5" s="693"/>
    </row>
    <row r="6" spans="1:19">
      <c r="A6" t="str">
        <f>Contraintes!B17</f>
        <v>Issues de silo</v>
      </c>
      <c r="B6" t="str">
        <f>Secteurs!$B$34</f>
        <v>Hors FAB</v>
      </c>
      <c r="E6" t="str">
        <f>Contraintes!G17</f>
        <v>kt</v>
      </c>
      <c r="F6" t="str">
        <f>Contraintes!H17</f>
        <v>Riz</v>
      </c>
      <c r="G6" t="str">
        <f>Contraintes!I17</f>
        <v>2015-16:2019-20:2023-24</v>
      </c>
      <c r="H6" t="str">
        <f>Contraintes!J17</f>
        <v>France entière</v>
      </c>
      <c r="I6" t="str">
        <f>Contraintes!K17</f>
        <v>Part d'issues de silo consommées par les FAF</v>
      </c>
      <c r="J6">
        <f>Contraintes!L17</f>
        <v>0</v>
      </c>
      <c r="K6" t="str">
        <f>Contraintes!M17</f>
        <v>ONRB - FranceAgriMer</v>
      </c>
      <c r="L6" t="str">
        <f ca="1">Contraintes!N17</f>
        <v>Issues riz - ONRB</v>
      </c>
      <c r="M6" t="str">
        <f>Contraintes!O17</f>
        <v>Répartition</v>
      </c>
      <c r="N6" t="str">
        <f>Contraintes!P17</f>
        <v>Part d'issues de silo consommées par les FAF = 56,4 % (ONRB - FranceAgriMer)</v>
      </c>
      <c r="O6" t="str">
        <f>Contraintes!Q17</f>
        <v>Approximative</v>
      </c>
      <c r="P6" t="str">
        <f>Contraintes!R17</f>
        <v>Données collectées:Données déterminées</v>
      </c>
      <c r="Q6" t="str">
        <f>Contraintes!S17</f>
        <v>Donnée collectée (valeur du flux ou coefficient)</v>
      </c>
      <c r="S6" s="693"/>
    </row>
    <row r="7" spans="1:19">
      <c r="A7" t="str">
        <f>Contraintes!B19</f>
        <v>Issues de silo</v>
      </c>
      <c r="B7" t="str">
        <f>Secteurs!$B$40</f>
        <v>Biomatériaux</v>
      </c>
      <c r="E7" t="str">
        <f>Contraintes!G19</f>
        <v>kt</v>
      </c>
      <c r="F7" t="str">
        <f>Contraintes!H19</f>
        <v>Blé tendre:Blé dur:Orge:Triticale:Sorgho:Avoine:Seigle:Sarrasin:Epeautre:Millet</v>
      </c>
      <c r="G7" t="str">
        <f>Contraintes!I19</f>
        <v>2015-16:2019-20:2023-24</v>
      </c>
      <c r="H7" t="str">
        <f>Contraintes!J19</f>
        <v>France entière</v>
      </c>
      <c r="I7" t="str">
        <f>Contraintes!K19</f>
        <v>Part d'issues de silo consommées comme litière</v>
      </c>
      <c r="J7">
        <f>Contraintes!L19</f>
        <v>0</v>
      </c>
      <c r="K7" t="str">
        <f>Contraintes!M19</f>
        <v>ONRB - FranceAgriMer</v>
      </c>
      <c r="L7" t="str">
        <f ca="1">Contraintes!N19</f>
        <v>Issues céréales - ONRB</v>
      </c>
      <c r="M7" t="str">
        <f>Contraintes!O19</f>
        <v>Répartition</v>
      </c>
      <c r="N7" t="str">
        <f>Contraintes!P19</f>
        <v>Part d'issues de silo consommées comme litière = 0,77 % (ONRB - FranceAgriMer)</v>
      </c>
      <c r="O7" t="str">
        <f>Contraintes!Q19</f>
        <v>Approximative</v>
      </c>
      <c r="P7" t="str">
        <f>Contraintes!R19</f>
        <v>Données collectées:Données déterminées</v>
      </c>
      <c r="Q7" t="str">
        <f>Contraintes!S19</f>
        <v>Donnée collectée (valeur du flux ou coefficient)</v>
      </c>
      <c r="S7" s="693"/>
    </row>
    <row r="8" spans="1:19">
      <c r="A8" t="str">
        <f>Contraintes!B21</f>
        <v>Issues de silo</v>
      </c>
      <c r="B8" t="str">
        <f>Secteurs!$B$40</f>
        <v>Biomatériaux</v>
      </c>
      <c r="E8" t="str">
        <f>Contraintes!G21</f>
        <v>kt</v>
      </c>
      <c r="F8" t="str">
        <f>Contraintes!H21</f>
        <v>Maïs</v>
      </c>
      <c r="G8" t="str">
        <f>Contraintes!I21</f>
        <v>2015-16:2019-20:2023-24</v>
      </c>
      <c r="H8" t="str">
        <f>Contraintes!J21</f>
        <v>France entière</v>
      </c>
      <c r="I8" t="str">
        <f>Contraintes!K21</f>
        <v>Part d'issues de silo consommées comme litière</v>
      </c>
      <c r="J8">
        <f>Contraintes!L21</f>
        <v>0</v>
      </c>
      <c r="K8" t="str">
        <f>Contraintes!M21</f>
        <v>ONRB - FranceAgriMer</v>
      </c>
      <c r="L8" t="str">
        <f ca="1">Contraintes!N21</f>
        <v>Issues maïs - ONRB</v>
      </c>
      <c r="M8" t="str">
        <f>Contraintes!O21</f>
        <v>Répartition</v>
      </c>
      <c r="N8" t="str">
        <f>Contraintes!P21</f>
        <v>Part d'issues de silo consommées comme litière = 0,68 % (ONRB - FranceAgriMer)</v>
      </c>
      <c r="O8" t="str">
        <f>Contraintes!Q21</f>
        <v>Approximative</v>
      </c>
      <c r="P8" t="str">
        <f>Contraintes!R21</f>
        <v>Données collectées:Données déterminées</v>
      </c>
      <c r="Q8" t="str">
        <f>Contraintes!S21</f>
        <v>Donnée collectée (valeur du flux ou coefficient)</v>
      </c>
      <c r="S8" s="693"/>
    </row>
    <row r="9" spans="1:19">
      <c r="A9" t="str">
        <f>Contraintes!B23</f>
        <v>Issues de silo</v>
      </c>
      <c r="B9" t="str">
        <f>Secteurs!$B$40</f>
        <v>Biomatériaux</v>
      </c>
      <c r="E9" t="str">
        <f>Contraintes!G23</f>
        <v>kt</v>
      </c>
      <c r="F9" t="str">
        <f>Contraintes!H23</f>
        <v>Riz</v>
      </c>
      <c r="G9" t="str">
        <f>Contraintes!I23</f>
        <v>2015-16:2019-20:2023-24</v>
      </c>
      <c r="H9" t="str">
        <f>Contraintes!J23</f>
        <v>France entière</v>
      </c>
      <c r="I9" t="str">
        <f>Contraintes!K23</f>
        <v>Part d'issues de silo consommées comme litière</v>
      </c>
      <c r="J9">
        <f>Contraintes!L23</f>
        <v>0</v>
      </c>
      <c r="K9" t="str">
        <f>Contraintes!M23</f>
        <v>ONRB - FranceAgriMer</v>
      </c>
      <c r="L9" t="str">
        <f ca="1">Contraintes!N23</f>
        <v>Issues riz - ONRB</v>
      </c>
      <c r="M9" t="str">
        <f>Contraintes!O23</f>
        <v>Répartition</v>
      </c>
      <c r="N9" t="str">
        <f>Contraintes!P23</f>
        <v>Part d'issues de silo consommées comme litière = 0,59 % (ONRB - FranceAgriMer)</v>
      </c>
      <c r="O9" t="str">
        <f>Contraintes!Q23</f>
        <v>Approximative</v>
      </c>
      <c r="P9" t="str">
        <f>Contraintes!R23</f>
        <v>Données collectées:Données déterminées</v>
      </c>
      <c r="Q9" t="str">
        <f>Contraintes!S23</f>
        <v>Donnée collectée (valeur du flux ou coefficient)</v>
      </c>
      <c r="S9" s="693"/>
    </row>
    <row r="10" spans="1:19">
      <c r="A10" t="str">
        <f>Contraintes!B25</f>
        <v>Issues de silo</v>
      </c>
      <c r="B10" t="str">
        <f>Secteurs!$B$47</f>
        <v>Fertilisation</v>
      </c>
      <c r="E10" t="str">
        <f>Contraintes!G25</f>
        <v>kt</v>
      </c>
      <c r="F10" t="str">
        <f>Contraintes!H25</f>
        <v>Blé tendre:Blé dur:Orge:Triticale:Sorgho:Avoine:Seigle:Sarrasin:Epeautre:Millet</v>
      </c>
      <c r="G10" t="str">
        <f>Contraintes!I25</f>
        <v>2015-16:2019-20:2023-24</v>
      </c>
      <c r="H10" t="str">
        <f>Contraintes!J25</f>
        <v>France entière</v>
      </c>
      <c r="I10" t="str">
        <f>Contraintes!K25</f>
        <v>Part d'issues de silo compostées</v>
      </c>
      <c r="J10">
        <f>Contraintes!L25</f>
        <v>0</v>
      </c>
      <c r="K10" t="str">
        <f>Contraintes!M25</f>
        <v>ONRB - FranceAgriMer</v>
      </c>
      <c r="L10" t="str">
        <f ca="1">Contraintes!N25</f>
        <v>Issues céréales - ONRB</v>
      </c>
      <c r="M10" t="str">
        <f>Contraintes!O25</f>
        <v>Répartition</v>
      </c>
      <c r="N10" t="str">
        <f>Contraintes!P25</f>
        <v>Part d'issues de silo compostées = 0 % (ONRB - FranceAgriMer)</v>
      </c>
      <c r="O10" t="str">
        <f>Contraintes!Q25</f>
        <v>Approximative</v>
      </c>
      <c r="P10" t="str">
        <f>Contraintes!R25</f>
        <v>Données collectées:Données déterminées</v>
      </c>
      <c r="Q10" t="str">
        <f>Contraintes!S25</f>
        <v>Donnée collectée (valeur du flux ou coefficient)</v>
      </c>
      <c r="S10" s="693"/>
    </row>
    <row r="11" spans="1:19">
      <c r="A11" t="str">
        <f>Contraintes!B27</f>
        <v>Issues de silo</v>
      </c>
      <c r="B11" t="str">
        <f>Secteurs!$B$47</f>
        <v>Fertilisation</v>
      </c>
      <c r="E11" t="str">
        <f>Contraintes!G27</f>
        <v>kt</v>
      </c>
      <c r="F11" t="str">
        <f>Contraintes!H27</f>
        <v>Maïs</v>
      </c>
      <c r="G11" t="str">
        <f>Contraintes!I27</f>
        <v>2015-16:2019-20:2023-24</v>
      </c>
      <c r="H11" t="str">
        <f>Contraintes!J27</f>
        <v>France entière</v>
      </c>
      <c r="I11" t="str">
        <f>Contraintes!K27</f>
        <v>Part d'issues de silo compostées</v>
      </c>
      <c r="J11">
        <f>Contraintes!L27</f>
        <v>0</v>
      </c>
      <c r="K11" t="str">
        <f>Contraintes!M27</f>
        <v>ONRB - FranceAgriMer</v>
      </c>
      <c r="L11" t="str">
        <f ca="1">Contraintes!N27</f>
        <v>Issues maïs - ONRB</v>
      </c>
      <c r="M11" t="str">
        <f>Contraintes!O27</f>
        <v>Répartition</v>
      </c>
      <c r="N11" t="str">
        <f>Contraintes!P27</f>
        <v>Part d'issues de silo compostées = 12,07 % (ONRB - FranceAgriMer)</v>
      </c>
      <c r="O11" t="str">
        <f>Contraintes!Q27</f>
        <v>Approximative</v>
      </c>
      <c r="P11" t="str">
        <f>Contraintes!R27</f>
        <v>Données collectées:Données déterminées</v>
      </c>
      <c r="Q11" t="str">
        <f>Contraintes!S27</f>
        <v>Donnée collectée (valeur du flux ou coefficient)</v>
      </c>
      <c r="S11" s="693"/>
    </row>
    <row r="12" spans="1:19">
      <c r="A12" t="str">
        <f>Contraintes!B29</f>
        <v>Issues de silo</v>
      </c>
      <c r="B12" t="str">
        <f>Secteurs!$B$47</f>
        <v>Fertilisation</v>
      </c>
      <c r="E12" t="str">
        <f>Contraintes!G29</f>
        <v>kt</v>
      </c>
      <c r="F12" t="str">
        <f>Contraintes!H29</f>
        <v>Riz</v>
      </c>
      <c r="G12" t="str">
        <f>Contraintes!I29</f>
        <v>2015-16:2019-20:2023-24</v>
      </c>
      <c r="H12" t="str">
        <f>Contraintes!J29</f>
        <v>France entière</v>
      </c>
      <c r="I12" t="str">
        <f>Contraintes!K29</f>
        <v>Part d'issues de silo compostées</v>
      </c>
      <c r="J12">
        <f>Contraintes!L29</f>
        <v>0</v>
      </c>
      <c r="K12" t="str">
        <f>Contraintes!M29</f>
        <v>ONRB - FranceAgriMer</v>
      </c>
      <c r="L12" t="str">
        <f ca="1">Contraintes!N29</f>
        <v>Issues riz - ONRB</v>
      </c>
      <c r="M12" t="str">
        <f>Contraintes!O29</f>
        <v>Répartition</v>
      </c>
      <c r="N12" t="str">
        <f>Contraintes!P29</f>
        <v>Part d'issues de silo compostées = 0 % (ONRB - FranceAgriMer)</v>
      </c>
      <c r="O12" t="str">
        <f>Contraintes!Q29</f>
        <v>Approximative</v>
      </c>
      <c r="P12" t="str">
        <f>Contraintes!R29</f>
        <v>Données collectées:Données déterminées</v>
      </c>
      <c r="Q12" t="str">
        <f>Contraintes!S29</f>
        <v>Donnée collectée (valeur du flux ou coefficient)</v>
      </c>
      <c r="S12" s="693"/>
    </row>
    <row r="13" spans="1:19">
      <c r="A13" t="str">
        <f>Contraintes!B37</f>
        <v>Issues de silo</v>
      </c>
      <c r="B13" t="str">
        <f>Secteurs!$B$43</f>
        <v>Energie</v>
      </c>
      <c r="E13" t="str">
        <f>Contraintes!G37</f>
        <v>kt</v>
      </c>
      <c r="F13" t="str">
        <f>Contraintes!H37</f>
        <v>Blé tendre:Blé dur:Orge:Triticale:Sorgho:Avoine:Seigle:Sarrasin:Epeautre:Millet</v>
      </c>
      <c r="G13" t="str">
        <f>Contraintes!I37</f>
        <v>2015-16:2019-20:2023-24</v>
      </c>
      <c r="H13" t="str">
        <f>Contraintes!J37</f>
        <v>France entière</v>
      </c>
      <c r="I13" t="str">
        <f>Contraintes!K37</f>
        <v>Part d'issues de silo consommées en méthanisation</v>
      </c>
      <c r="J13">
        <f>Contraintes!L37</f>
        <v>0</v>
      </c>
      <c r="K13" t="str">
        <f>Contraintes!M37</f>
        <v>ONRB - FranceAgriMer</v>
      </c>
      <c r="L13" t="str">
        <f ca="1">Contraintes!N37</f>
        <v>Issues céréales - ONRB</v>
      </c>
      <c r="M13" t="str">
        <f>Contraintes!O37</f>
        <v>Répartition</v>
      </c>
      <c r="N13" t="str">
        <f>Contraintes!P37</f>
        <v>Part d'issues de silo consommées en méthanisation = 40,72 % (ONRB - FranceAgriMer)</v>
      </c>
      <c r="O13" t="str">
        <f>Contraintes!Q37</f>
        <v>Approximative</v>
      </c>
      <c r="P13" t="str">
        <f>Contraintes!R37</f>
        <v>Données collectées:Données déterminées</v>
      </c>
      <c r="Q13" t="str">
        <f>Contraintes!S37</f>
        <v>Donnée collectée (valeur du flux ou coefficient)</v>
      </c>
      <c r="S13" s="693"/>
    </row>
    <row r="14" spans="1:19">
      <c r="A14" t="str">
        <f>Contraintes!B39</f>
        <v>Issues de silo</v>
      </c>
      <c r="B14" t="str">
        <f>Secteurs!$B$43</f>
        <v>Energie</v>
      </c>
      <c r="E14" t="str">
        <f>Contraintes!G39</f>
        <v>kt</v>
      </c>
      <c r="F14" t="str">
        <f>Contraintes!H39</f>
        <v>Maïs</v>
      </c>
      <c r="G14" t="str">
        <f>Contraintes!I39</f>
        <v>2015-16:2019-20:2023-24</v>
      </c>
      <c r="H14" t="str">
        <f>Contraintes!J39</f>
        <v>France entière</v>
      </c>
      <c r="I14" t="str">
        <f>Contraintes!K39</f>
        <v>Part d'issues de silo consommées en méthanisation</v>
      </c>
      <c r="J14">
        <f>Contraintes!L39</f>
        <v>0</v>
      </c>
      <c r="K14" t="str">
        <f>Contraintes!M39</f>
        <v>ONRB - FranceAgriMer</v>
      </c>
      <c r="L14" t="str">
        <f ca="1">Contraintes!N39</f>
        <v>Issues maïs - ONRB</v>
      </c>
      <c r="M14" t="str">
        <f>Contraintes!O39</f>
        <v>Répartition</v>
      </c>
      <c r="N14" t="str">
        <f>Contraintes!P39</f>
        <v>Part d'issues de silo consommées en méthanisation = 35,81 % (ONRB - FranceAgriMer)</v>
      </c>
      <c r="O14" t="str">
        <f>Contraintes!Q39</f>
        <v>Approximative</v>
      </c>
      <c r="P14" t="str">
        <f>Contraintes!R39</f>
        <v>Données collectées:Données déterminées</v>
      </c>
      <c r="Q14" t="str">
        <f>Contraintes!S39</f>
        <v>Donnée collectée (valeur du flux ou coefficient)</v>
      </c>
      <c r="S14" s="693"/>
    </row>
    <row r="15" spans="1:19">
      <c r="A15" t="str">
        <f>Contraintes!B41</f>
        <v>Issues de silo</v>
      </c>
      <c r="B15" t="str">
        <f>Secteurs!$B$43</f>
        <v>Energie</v>
      </c>
      <c r="E15" t="str">
        <f>Contraintes!G41</f>
        <v>kt</v>
      </c>
      <c r="F15" t="str">
        <f>Contraintes!H41</f>
        <v>Riz</v>
      </c>
      <c r="G15" t="str">
        <f>Contraintes!I41</f>
        <v>2015-16:2019-20:2023-24</v>
      </c>
      <c r="H15" t="str">
        <f>Contraintes!J41</f>
        <v>France entière</v>
      </c>
      <c r="I15" t="str">
        <f>Contraintes!K41</f>
        <v>Part d'issues de silo consommées en méthanisation</v>
      </c>
      <c r="J15">
        <f>Contraintes!L41</f>
        <v>0</v>
      </c>
      <c r="K15" t="str">
        <f>Contraintes!M41</f>
        <v>ONRB - FranceAgriMer</v>
      </c>
      <c r="L15" t="str">
        <f ca="1">Contraintes!N41</f>
        <v>Issues riz - ONRB</v>
      </c>
      <c r="M15" t="str">
        <f>Contraintes!O41</f>
        <v>Répartition</v>
      </c>
      <c r="N15" t="str">
        <f>Contraintes!P41</f>
        <v>Part d'issues de silo consommées en méthanisation = 41,03 % (ONRB - FranceAgriMer)</v>
      </c>
      <c r="O15" t="str">
        <f>Contraintes!Q41</f>
        <v>Approximative</v>
      </c>
      <c r="P15" t="str">
        <f>Contraintes!R41</f>
        <v>Données collectées:Données déterminées</v>
      </c>
      <c r="Q15" t="str">
        <f>Contraintes!S41</f>
        <v>Donnée collectée (valeur du flux ou coefficient)</v>
      </c>
      <c r="S15" s="693"/>
    </row>
    <row r="16" spans="1:19">
      <c r="A16" t="str">
        <f>Contraintes!B49</f>
        <v>Issues de silo</v>
      </c>
      <c r="B16" t="str">
        <f>Secteurs!$B$51</f>
        <v>Autres usages (ou usages indéfinis)</v>
      </c>
      <c r="E16" t="str">
        <f>Contraintes!G49</f>
        <v>kt</v>
      </c>
      <c r="F16" t="str">
        <f>Contraintes!H49</f>
        <v>Blé tendre:Blé dur:Orge:Triticale:Sorgho:Avoine:Seigle:Sarrasin:Epeautre:Millet</v>
      </c>
      <c r="G16" t="str">
        <f>Contraintes!I49</f>
        <v>2015-16:2019-20:2023-24</v>
      </c>
      <c r="H16" t="str">
        <f>Contraintes!J49</f>
        <v>France entière</v>
      </c>
      <c r="I16" t="str">
        <f>Contraintes!K49</f>
        <v>Part d'issues de silo éliminées</v>
      </c>
      <c r="J16">
        <f>Contraintes!L49</f>
        <v>0</v>
      </c>
      <c r="K16" t="str">
        <f>Contraintes!M49</f>
        <v>ONRB - FranceAgriMer</v>
      </c>
      <c r="L16" t="str">
        <f ca="1">Contraintes!N49</f>
        <v>Issues céréales - ONRB</v>
      </c>
      <c r="M16" t="str">
        <f>Contraintes!O49</f>
        <v>Répartition</v>
      </c>
      <c r="N16" t="str">
        <f>Contraintes!P49</f>
        <v>Part d'issues de silo éliminées = 0,38 % (ONRB - FranceAgriMer)</v>
      </c>
      <c r="O16" t="str">
        <f>Contraintes!Q49</f>
        <v>Approximative</v>
      </c>
      <c r="P16" t="str">
        <f>Contraintes!R49</f>
        <v>Données collectées:Données déterminées</v>
      </c>
      <c r="Q16" t="str">
        <f>Contraintes!S49</f>
        <v>Donnée collectée (valeur du flux ou coefficient)</v>
      </c>
      <c r="S16" s="693"/>
    </row>
    <row r="17" spans="1:19">
      <c r="A17" t="str">
        <f>Contraintes!B51</f>
        <v>Issues de silo</v>
      </c>
      <c r="B17" t="str">
        <f>Secteurs!$B$51</f>
        <v>Autres usages (ou usages indéfinis)</v>
      </c>
      <c r="E17" t="str">
        <f>Contraintes!G51</f>
        <v>kt</v>
      </c>
      <c r="F17" t="str">
        <f>Contraintes!H51</f>
        <v>Maïs</v>
      </c>
      <c r="G17" t="str">
        <f>Contraintes!I51</f>
        <v>2015-16:2019-20:2023-24</v>
      </c>
      <c r="H17" t="str">
        <f>Contraintes!J51</f>
        <v>France entière</v>
      </c>
      <c r="I17" t="str">
        <f>Contraintes!K51</f>
        <v>Part d'issues de silo éliminées</v>
      </c>
      <c r="J17">
        <f>Contraintes!L51</f>
        <v>0</v>
      </c>
      <c r="K17" t="str">
        <f>Contraintes!M51</f>
        <v>ONRB - FranceAgriMer</v>
      </c>
      <c r="L17" t="str">
        <f ca="1">Contraintes!N51</f>
        <v>Issues maïs - ONRB</v>
      </c>
      <c r="M17" t="str">
        <f>Contraintes!O51</f>
        <v>Répartition</v>
      </c>
      <c r="N17" t="str">
        <f>Contraintes!P51</f>
        <v>Part d'issues de silo éliminées = 0,33 % (ONRB - FranceAgriMer)</v>
      </c>
      <c r="O17" t="str">
        <f>Contraintes!Q51</f>
        <v>Approximative</v>
      </c>
      <c r="P17" t="str">
        <f>Contraintes!R51</f>
        <v>Données collectées:Données déterminées</v>
      </c>
      <c r="Q17" t="str">
        <f>Contraintes!S51</f>
        <v>Donnée collectée (valeur du flux ou coefficient)</v>
      </c>
      <c r="S17" s="693"/>
    </row>
    <row r="18" spans="1:19">
      <c r="A18" t="str">
        <f>Contraintes!B53</f>
        <v>Issues de silo</v>
      </c>
      <c r="B18" t="str">
        <f>Secteurs!$B$51</f>
        <v>Autres usages (ou usages indéfinis)</v>
      </c>
      <c r="E18" t="str">
        <f>Contraintes!G53</f>
        <v>kt</v>
      </c>
      <c r="F18" t="str">
        <f>Contraintes!H53</f>
        <v>Riz</v>
      </c>
      <c r="G18" t="str">
        <f>Contraintes!I53</f>
        <v>2015-16:2019-20:2023-24</v>
      </c>
      <c r="H18" t="str">
        <f>Contraintes!J53</f>
        <v>France entière</v>
      </c>
      <c r="I18" t="str">
        <f>Contraintes!K53</f>
        <v>Part d'issues de silo éliminées</v>
      </c>
      <c r="J18">
        <f>Contraintes!L53</f>
        <v>0</v>
      </c>
      <c r="K18" t="str">
        <f>Contraintes!M53</f>
        <v>ONRB - FranceAgriMer</v>
      </c>
      <c r="L18" t="str">
        <f ca="1">Contraintes!N53</f>
        <v>Issues riz - ONRB</v>
      </c>
      <c r="M18" t="str">
        <f>Contraintes!O53</f>
        <v>Répartition</v>
      </c>
      <c r="N18" t="str">
        <f>Contraintes!P53</f>
        <v>Part d'issues de silo éliminées = 0,37 % (ONRB - FranceAgriMer)</v>
      </c>
      <c r="O18" t="str">
        <f>Contraintes!Q53</f>
        <v>Approximative</v>
      </c>
      <c r="P18" t="str">
        <f>Contraintes!R53</f>
        <v>Données collectées:Données déterminées</v>
      </c>
      <c r="Q18" t="str">
        <f>Contraintes!S53</f>
        <v>Donnée collectée (valeur du flux ou coefficient)</v>
      </c>
      <c r="S18" s="693"/>
    </row>
    <row r="19" spans="1:19">
      <c r="A19" t="str">
        <f>'Contraintes    '!B38</f>
        <v>Amidon</v>
      </c>
      <c r="B19" t="str">
        <f>Secteurs!$B$22</f>
        <v>Alimentation humaine</v>
      </c>
      <c r="E19" t="str">
        <f>'Contraintes    '!G38</f>
        <v>kt</v>
      </c>
      <c r="F19" t="str">
        <f>'Contraintes    '!H38</f>
        <v>Blé tendre:Maïs</v>
      </c>
      <c r="G19" t="str">
        <f>'Contraintes    '!I38</f>
        <v>2015-16:2019-20:2023-24</v>
      </c>
      <c r="H19" t="str">
        <f>'Contraintes    '!J38</f>
        <v>France entière</v>
      </c>
      <c r="I19" t="str">
        <f>'Contraintes    '!K38</f>
        <v>Part de consommation d'amidon par les autres IAA</v>
      </c>
      <c r="J19">
        <f>'Contraintes    '!L38</f>
        <v>0</v>
      </c>
      <c r="K19" t="str">
        <f>'Contraintes    '!M38</f>
        <v>Chiffres clés - USIPA</v>
      </c>
      <c r="L19" t="str">
        <f ca="1">'Contraintes    '!N38</f>
        <v>Amidonnerie - Diverses</v>
      </c>
      <c r="M19" t="str">
        <f>'Contraintes    '!O38</f>
        <v>Répartition</v>
      </c>
      <c r="N19" t="str">
        <f>'Contraintes    '!P38</f>
        <v>Part de consommation d'amidon par les autres IAA = 55 % (Chiffres clés - USIPA)</v>
      </c>
      <c r="O19" t="str">
        <f>'Contraintes    '!Q38</f>
        <v>Approximative</v>
      </c>
      <c r="P19" t="str">
        <f>'Contraintes    '!R38</f>
        <v>Données collectées:Données déterminées</v>
      </c>
      <c r="Q19" t="str">
        <f>'Contraintes    '!S38</f>
        <v>Donnée collectée (valeur du flux ou coefficient)</v>
      </c>
      <c r="S19" s="693"/>
    </row>
    <row r="20" spans="1:19">
      <c r="A20" t="str">
        <f>'    Données'!A6</f>
        <v>Issues de meunerie</v>
      </c>
      <c r="B20" t="str">
        <f>Secteurs!$B$43</f>
        <v>Energie</v>
      </c>
      <c r="D20"/>
      <c r="E20" t="str">
        <f ca="1">'    Données'!E6</f>
        <v>kt</v>
      </c>
      <c r="F20" t="str">
        <f ca="1">'    Données'!F6</f>
        <v>Blé tendre:Maïs:Orge:Blé dur:Triticale:Sorgho:Avoine:Seigle:Sarrasin:Riz:Epeautre:Millet</v>
      </c>
      <c r="G20" t="str">
        <f ca="1">'    Données'!G6</f>
        <v>2015-16:2019-20:2023-24</v>
      </c>
      <c r="H20" t="str">
        <f ca="1">'    Données'!H6</f>
        <v>France entière</v>
      </c>
      <c r="I20" t="str">
        <f ca="1">'    Données'!I6</f>
        <v>Part d'issues de meunerie valorisée en méthanisation</v>
      </c>
      <c r="J20" t="str">
        <f ca="1">'    Données'!J6</f>
        <v>1 % des issues de meunerie est valorisé en méthanisation</v>
      </c>
      <c r="K20" t="str">
        <f ca="1">'    Données'!K6</f>
        <v>Hypothèse Intercéréales</v>
      </c>
      <c r="L20" t="str">
        <f ca="1">'    Données'!L6</f>
        <v>Coproduits meunerie - Réséda</v>
      </c>
      <c r="M20" t="str">
        <f ca="1">'    Données'!M6</f>
        <v>Répartition</v>
      </c>
      <c r="N20" t="str">
        <f ca="1">'    Données'!N6</f>
        <v>Part d'issues de meunerie valorisée en méthanisation = 1 % (Hypothèse Intercéréales)</v>
      </c>
      <c r="O20" t="str">
        <f ca="1">'    Données'!O6</f>
        <v>Probable</v>
      </c>
      <c r="P20" t="str">
        <f ca="1">'    Données'!P6</f>
        <v>Données collectées:Données déterminées</v>
      </c>
      <c r="Q20" t="str">
        <f ca="1">'    Données'!Q6</f>
        <v>Donnée collectée (valeur du flux ou coefficient)</v>
      </c>
      <c r="S20" s="693"/>
    </row>
    <row r="21" spans="1:19">
      <c r="A21" t="str">
        <f>'Contraintes            '!B17</f>
        <v>Levures - CP</v>
      </c>
      <c r="B21" t="str">
        <f>Secteurs!$B$34</f>
        <v>Hors FAB</v>
      </c>
      <c r="D21"/>
      <c r="E21" t="str">
        <f>'Contraintes            '!G17</f>
        <v>kt</v>
      </c>
      <c r="F21" t="str">
        <f>'Contraintes            '!H17</f>
        <v>Blé tendre:Orge</v>
      </c>
      <c r="G21" t="str">
        <f>'Contraintes            '!I17</f>
        <v>2015-16:2019-20:2023-24</v>
      </c>
      <c r="H21" t="str">
        <f>'Contraintes            '!J17</f>
        <v>France entière</v>
      </c>
      <c r="I21" t="str">
        <f>'Contraintes            '!K17</f>
        <v>Part de consommation de levures en direct élevage</v>
      </c>
      <c r="J21">
        <f>'Contraintes            '!L17</f>
        <v>0</v>
      </c>
      <c r="K21" t="str">
        <f>'Contraintes            '!M17</f>
        <v>Gisements et valorisations des coproduits des industries agroalimentaires - Réséda</v>
      </c>
      <c r="L21" t="str">
        <f ca="1">'Contraintes            '!N17</f>
        <v>Brasserie - Diverses</v>
      </c>
      <c r="M21" t="str">
        <f>'Contraintes            '!O17</f>
        <v>Répartition</v>
      </c>
      <c r="N21" t="str">
        <f>'Contraintes            '!P17</f>
        <v>Part de consommation de levures en direct élevage = 2,08 % (Gisements et valorisations des coproduits des industries agroalimentaires - Réséda)</v>
      </c>
      <c r="O21" t="str">
        <f>'Contraintes            '!Q17</f>
        <v>Approximative</v>
      </c>
      <c r="P21" t="str">
        <f>'Contraintes            '!R17</f>
        <v>Données collectées:Données déterminées</v>
      </c>
      <c r="Q21" t="str">
        <f>'Contraintes            '!S17</f>
        <v>Donnée collectée (valeur du flux ou coefficient)</v>
      </c>
      <c r="S21" s="693"/>
    </row>
    <row r="22" spans="1:19">
      <c r="A22" t="str">
        <f>'Contraintes            '!B21</f>
        <v>Drèches</v>
      </c>
      <c r="B22" t="str">
        <f>Secteurs!$B$34</f>
        <v>Hors FAB</v>
      </c>
      <c r="D22"/>
      <c r="E22" t="str">
        <f>'Contraintes            '!G21</f>
        <v>kt</v>
      </c>
      <c r="F22" t="str">
        <f>'Contraintes            '!H21</f>
        <v>Blé tendre:Orge</v>
      </c>
      <c r="G22" t="str">
        <f>'Contraintes            '!I21</f>
        <v>2015-16:2019-20:2023-24</v>
      </c>
      <c r="H22" t="str">
        <f>'Contraintes            '!J21</f>
        <v>France entière</v>
      </c>
      <c r="I22" t="str">
        <f>'Contraintes            '!K21</f>
        <v>Part de consommation des drèches par les FAF</v>
      </c>
      <c r="J22">
        <f>'Contraintes            '!L21</f>
        <v>0</v>
      </c>
      <c r="K22" t="str">
        <f>'Contraintes            '!M21</f>
        <v>ONRB - FranceAgriMer</v>
      </c>
      <c r="L22" t="str">
        <f ca="1">'Contraintes            '!N21</f>
        <v>Brasserie - Diverses</v>
      </c>
      <c r="M22" t="str">
        <f>'Contraintes            '!O21</f>
        <v>Répartition</v>
      </c>
      <c r="N22" t="str">
        <f>'Contraintes            '!P21</f>
        <v>Part de consommation des drèches par les FAF = 42,4 % (ONRB - FranceAgriMer)</v>
      </c>
      <c r="O22" t="str">
        <f>'Contraintes            '!Q21</f>
        <v>Approximative</v>
      </c>
      <c r="P22" t="str">
        <f>'Contraintes            '!R21</f>
        <v>Données collectées:Données déterminées</v>
      </c>
      <c r="Q22" t="str">
        <f>'Contraintes            '!S21</f>
        <v>Donnée collectée (valeur du flux ou coefficient)</v>
      </c>
      <c r="S22" s="693"/>
    </row>
    <row r="23" spans="1:19">
      <c r="A23" t="str">
        <f>'Contraintes            '!B25</f>
        <v>Drèches</v>
      </c>
      <c r="B23" t="str">
        <f>Secteurs!$B$47</f>
        <v>Fertilisation</v>
      </c>
      <c r="D23"/>
      <c r="E23" t="str">
        <f>'Contraintes            '!G25</f>
        <v>kt</v>
      </c>
      <c r="F23" t="str">
        <f>'Contraintes            '!H25</f>
        <v>Blé tendre:Orge</v>
      </c>
      <c r="G23" t="str">
        <f>'Contraintes            '!I25</f>
        <v>2015-16:2019-20:2023-24</v>
      </c>
      <c r="H23" t="str">
        <f>'Contraintes            '!J25</f>
        <v>France entière</v>
      </c>
      <c r="I23" t="str">
        <f>'Contraintes            '!K25</f>
        <v>Part de consommation des drèches en compostage</v>
      </c>
      <c r="J23">
        <f>'Contraintes            '!L25</f>
        <v>0</v>
      </c>
      <c r="K23" t="str">
        <f>'Contraintes            '!M25</f>
        <v>ONRB - FranceAgriMer</v>
      </c>
      <c r="L23" t="str">
        <f ca="1">'Contraintes            '!N25</f>
        <v>Brasserie - Diverses</v>
      </c>
      <c r="M23" t="str">
        <f>'Contraintes            '!O25</f>
        <v>Répartition</v>
      </c>
      <c r="N23" t="str">
        <f>'Contraintes            '!P25</f>
        <v>Part de consommation des drèches en compostage = 1,06 % (ONRB - FranceAgriMer)</v>
      </c>
      <c r="O23" t="str">
        <f>'Contraintes            '!Q25</f>
        <v>Approximative</v>
      </c>
      <c r="P23" t="str">
        <f>'Contraintes            '!R25</f>
        <v>Données collectées:Données déterminées</v>
      </c>
      <c r="Q23" t="str">
        <f>'Contraintes            '!S25</f>
        <v>Donnée collectée (valeur du flux ou coefficient)</v>
      </c>
      <c r="S23" s="693"/>
    </row>
    <row r="24" spans="1:19">
      <c r="A24" t="str">
        <f>'Contraintes            '!B27</f>
        <v>Drèches</v>
      </c>
      <c r="B24" t="str">
        <f>Secteurs!$B$43</f>
        <v>Energie</v>
      </c>
      <c r="D24"/>
      <c r="E24" t="str">
        <f>'Contraintes            '!G27</f>
        <v>kt</v>
      </c>
      <c r="F24" t="str">
        <f>'Contraintes            '!H27</f>
        <v>Blé tendre:Orge</v>
      </c>
      <c r="G24" t="str">
        <f>'Contraintes            '!I27</f>
        <v>2015-16:2019-20:2023-24</v>
      </c>
      <c r="H24" t="str">
        <f>'Contraintes            '!J27</f>
        <v>France entière</v>
      </c>
      <c r="I24" t="str">
        <f>'Contraintes            '!K27</f>
        <v>Part de consommation des drèches en méthanisation</v>
      </c>
      <c r="J24">
        <f>'Contraintes            '!L27</f>
        <v>0</v>
      </c>
      <c r="K24" t="str">
        <f>'Contraintes            '!M27</f>
        <v>ONRB - FranceAgriMer</v>
      </c>
      <c r="L24" t="str">
        <f ca="1">'Contraintes            '!N27</f>
        <v>Brasserie - Diverses</v>
      </c>
      <c r="M24" t="str">
        <f>'Contraintes            '!O27</f>
        <v>Répartition</v>
      </c>
      <c r="N24" t="str">
        <f>'Contraintes            '!P27</f>
        <v>Part de consommation des drèches en méthanisation = 0,35 % (ONRB - FranceAgriMer)</v>
      </c>
      <c r="O24" t="str">
        <f>'Contraintes            '!Q27</f>
        <v>Approximative</v>
      </c>
      <c r="P24" t="str">
        <f>'Contraintes            '!R27</f>
        <v>Données collectées:Données déterminées</v>
      </c>
      <c r="Q24" t="str">
        <f>'Contraintes            '!S27</f>
        <v>Donnée collectée (valeur du flux ou coefficient)</v>
      </c>
      <c r="S24" s="693"/>
    </row>
    <row r="25" spans="1:19">
      <c r="A25" t="str">
        <f>'Contraintes            '!B29</f>
        <v>Bière</v>
      </c>
      <c r="B25" t="str">
        <f>Secteurs!$B$22</f>
        <v>Alimentation humaine</v>
      </c>
      <c r="D25"/>
      <c r="E25" t="str">
        <f>'Contraintes            '!G29</f>
        <v>kt</v>
      </c>
      <c r="F25" t="str">
        <f>'Contraintes            '!H29</f>
        <v>Blé tendre:Orge</v>
      </c>
      <c r="G25" t="str">
        <f>'Contraintes            '!I29</f>
        <v>2015-16:2019-20:2023-24</v>
      </c>
      <c r="H25" t="str">
        <f>'Contraintes            '!J29</f>
        <v>France entière</v>
      </c>
      <c r="I25" t="str">
        <f>'Contraintes            '!K29</f>
        <v>Part de consommation de bière par les ménages</v>
      </c>
      <c r="J25">
        <f>'Contraintes            '!L29</f>
        <v>0</v>
      </c>
      <c r="K25" t="str">
        <f>'Contraintes            '!M29</f>
        <v>Brasseurs de France</v>
      </c>
      <c r="L25" t="str">
        <f ca="1">'Contraintes            '!N29</f>
        <v>Brasserie - Diverses</v>
      </c>
      <c r="M25" t="str">
        <f>'Contraintes            '!O29</f>
        <v>Répartition</v>
      </c>
      <c r="N25" t="str">
        <f>'Contraintes            '!P29</f>
        <v>Part de consommation de bière par les ménages = 50 % (Brasseurs de France)</v>
      </c>
      <c r="O25" t="str">
        <f>'Contraintes            '!Q29</f>
        <v>Indicative</v>
      </c>
      <c r="P25" t="str">
        <f>'Contraintes            '!R29</f>
        <v>Données collectées:Données déterminées</v>
      </c>
      <c r="Q25" t="str">
        <f>'Contraintes            '!S29</f>
        <v>Donnée collectée (valeur du flux ou coefficient)</v>
      </c>
      <c r="S25" s="693"/>
    </row>
    <row r="26" spans="1:19">
      <c r="A26" t="str">
        <f>'Contraintes   '!B9</f>
        <v>Issues de meunerie</v>
      </c>
      <c r="B26" t="str">
        <f>Secteurs!$B$22</f>
        <v>Alimentation humaine</v>
      </c>
      <c r="D26"/>
      <c r="E26" t="str">
        <f>'Contraintes   '!G9</f>
        <v>kt</v>
      </c>
      <c r="F26" t="str">
        <f>'Contraintes   '!H9</f>
        <v>Blé tendre:Maïs:Orge:Blé dur:Triticale:Sorgho:Avoine:Seigle:Sarrasin:Riz:Epeautre:Millet</v>
      </c>
      <c r="G26" t="str">
        <f>'Contraintes   '!I9</f>
        <v>2015-16:2019-20:2023-24</v>
      </c>
      <c r="H26" t="str">
        <f>'Contraintes   '!J9</f>
        <v>France entière</v>
      </c>
      <c r="I26" t="str">
        <f>'Contraintes   '!K9</f>
        <v>Part d'issues de meunerie consommées par les autres IAA</v>
      </c>
      <c r="J26">
        <f>'Contraintes   '!L9</f>
        <v>0</v>
      </c>
      <c r="K26" t="str">
        <f>'Contraintes   '!M9</f>
        <v>ONRB - FranceAgriMer</v>
      </c>
      <c r="L26" t="str">
        <f ca="1">'Contraintes   '!N9</f>
        <v>Coproduits meunerie - ONRB</v>
      </c>
      <c r="M26" t="str">
        <f>'Contraintes   '!O9</f>
        <v>Répartition</v>
      </c>
      <c r="N26" t="str">
        <f>'Contraintes   '!P9</f>
        <v>Part d'issues de meunerie consommées par les autres IAA = 1 % (ONRB - FranceAgriMer)</v>
      </c>
      <c r="O26" t="str">
        <f>'Contraintes   '!Q9</f>
        <v>Probable</v>
      </c>
      <c r="P26" t="str">
        <f>'Contraintes   '!R9</f>
        <v>Données collectées:Données déterminées</v>
      </c>
      <c r="Q26" t="str">
        <f>'Contraintes   '!S9</f>
        <v>Donnée collectée (valeur du flux ou coefficient)</v>
      </c>
      <c r="S26" s="693"/>
    </row>
    <row r="27" spans="1:19">
      <c r="A27" t="str">
        <f>Secteurs!$B$17</f>
        <v>Usinage</v>
      </c>
      <c r="B27" t="str">
        <f>'Contraintes             '!C7</f>
        <v>Riz usiné</v>
      </c>
      <c r="D27"/>
      <c r="E27" t="str">
        <f>'Contraintes             '!G7</f>
        <v>kt</v>
      </c>
      <c r="F27" t="str">
        <f>'Contraintes             '!H7</f>
        <v>Riz</v>
      </c>
      <c r="G27" t="str">
        <f>'Contraintes             '!I7</f>
        <v>2015-16:2019-20:2023-24</v>
      </c>
      <c r="H27" t="str">
        <f>'Contraintes             '!J7</f>
        <v>France entière</v>
      </c>
      <c r="I27" t="str">
        <f>'Contraintes             '!K7</f>
        <v>Rendement en riz usiné de l'Usinage de riz paddy</v>
      </c>
      <c r="J27">
        <f>'Contraintes             '!L7</f>
        <v>0</v>
      </c>
      <c r="K27" t="str">
        <f>'Contraintes             '!M7</f>
        <v>Bilans d'approvisionnement agroalimentaire - SSP</v>
      </c>
      <c r="L27" t="str">
        <f ca="1">'Contraintes             '!N7</f>
        <v>Riz - Diverses</v>
      </c>
      <c r="M27" t="str">
        <f>'Contraintes             '!O7</f>
        <v>Rendement</v>
      </c>
      <c r="N27" t="str">
        <f>'Contraintes             '!P7</f>
        <v>Rendement en riz usiné de l'Usinage de riz paddy = 60 % (Bilans d'approvisionnement agroalimentaire - SSP)</v>
      </c>
      <c r="O27" t="str">
        <f>'Contraintes             '!Q7</f>
        <v>Approximative</v>
      </c>
      <c r="P27" t="str">
        <f>'Contraintes             '!R7</f>
        <v>Données collectées:Données déterminées</v>
      </c>
      <c r="Q27" t="str">
        <f>'Contraintes             '!S7</f>
        <v>Donnée collectée (valeur du flux ou coefficient)</v>
      </c>
      <c r="S27" s="693"/>
    </row>
    <row r="28" spans="1:19">
      <c r="A28" t="str">
        <f>Secteurs!$B$17</f>
        <v>Usinage</v>
      </c>
      <c r="B28" t="str">
        <f>'Contraintes             '!C9</f>
        <v>Balles de riz</v>
      </c>
      <c r="D28"/>
      <c r="E28" t="str">
        <f>'Contraintes             '!G9</f>
        <v>kt</v>
      </c>
      <c r="F28" t="str">
        <f>'Contraintes             '!H9</f>
        <v>Riz</v>
      </c>
      <c r="G28" t="str">
        <f>'Contraintes             '!I9</f>
        <v>2015-16:2019-20:2023-24</v>
      </c>
      <c r="H28" t="str">
        <f>'Contraintes             '!J9</f>
        <v>France entière</v>
      </c>
      <c r="I28" t="str">
        <f>'Contraintes             '!K9</f>
        <v>Rendement en balles de riz de l'Usinage de riz paddy</v>
      </c>
      <c r="J28">
        <f>'Contraintes             '!L9</f>
        <v>0</v>
      </c>
      <c r="K28" t="str">
        <f>'Contraintes             '!M9</f>
        <v>Bilans d'approvisionnement agroalimentaire - SSP</v>
      </c>
      <c r="L28" t="str">
        <f ca="1">'Contraintes             '!N9</f>
        <v>Riz - Diverses</v>
      </c>
      <c r="M28" t="str">
        <f>'Contraintes             '!O9</f>
        <v>Rendement</v>
      </c>
      <c r="N28" t="str">
        <f>'Contraintes             '!P9</f>
        <v>Rendement en balles de riz de l'Usinage de riz paddy = 20 % (Bilans d'approvisionnement agroalimentaire - SSP)</v>
      </c>
      <c r="O28" t="str">
        <f>'Contraintes             '!Q9</f>
        <v>Approximative</v>
      </c>
      <c r="P28" t="str">
        <f>'Contraintes             '!R9</f>
        <v>Données collectées:Données déterminées</v>
      </c>
      <c r="Q28" t="str">
        <f>'Contraintes             '!S9</f>
        <v>Donnée collectée (valeur du flux ou coefficient)</v>
      </c>
      <c r="S28" s="693"/>
    </row>
    <row r="29" spans="1:19">
      <c r="A29" t="str">
        <f>Secteurs!$B$17</f>
        <v>Usinage</v>
      </c>
      <c r="B29" t="str">
        <f>'Contraintes             '!C11</f>
        <v>Sons de riz</v>
      </c>
      <c r="D29"/>
      <c r="E29" t="str">
        <f>'Contraintes             '!G11</f>
        <v>kt</v>
      </c>
      <c r="F29" t="str">
        <f>'Contraintes             '!H11</f>
        <v>Riz</v>
      </c>
      <c r="G29" t="str">
        <f>'Contraintes             '!I11</f>
        <v>2015-16:2019-20:2023-24</v>
      </c>
      <c r="H29" t="str">
        <f>'Contraintes             '!J11</f>
        <v>France entière</v>
      </c>
      <c r="I29" t="str">
        <f>'Contraintes             '!K11</f>
        <v>Rendement en sons de riz de l'Usinage de riz paddy</v>
      </c>
      <c r="J29">
        <f>'Contraintes             '!L11</f>
        <v>0</v>
      </c>
      <c r="K29" t="str">
        <f>'Contraintes             '!M11</f>
        <v>Bilans d'approvisionnement agroalimentaire - SSP</v>
      </c>
      <c r="L29" t="str">
        <f ca="1">'Contraintes             '!N11</f>
        <v>Riz - Diverses</v>
      </c>
      <c r="M29" t="str">
        <f>'Contraintes             '!O11</f>
        <v>Rendement</v>
      </c>
      <c r="N29" t="str">
        <f>'Contraintes             '!P11</f>
        <v>Rendement en sons de riz de l'Usinage de riz paddy = 10 % (Bilans d'approvisionnement agroalimentaire - SSP)</v>
      </c>
      <c r="O29" t="str">
        <f>'Contraintes             '!Q11</f>
        <v>Approximative</v>
      </c>
      <c r="P29" t="str">
        <f>'Contraintes             '!R11</f>
        <v>Données collectées:Données déterminées</v>
      </c>
      <c r="Q29" t="str">
        <f>'Contraintes             '!S11</f>
        <v>Donnée collectée (valeur du flux ou coefficient)</v>
      </c>
      <c r="S29" s="693"/>
    </row>
    <row r="30" spans="1:19">
      <c r="A30" t="str">
        <f>Secteurs!$B$17</f>
        <v>Usinage</v>
      </c>
      <c r="B30" t="str">
        <f>'Contraintes             '!C13</f>
        <v>Brisures de riz</v>
      </c>
      <c r="D30"/>
      <c r="E30" t="str">
        <f>'Contraintes             '!G13</f>
        <v>kt</v>
      </c>
      <c r="F30" t="str">
        <f>'Contraintes             '!H13</f>
        <v>Riz</v>
      </c>
      <c r="G30" t="str">
        <f>'Contraintes             '!I13</f>
        <v>2015-16:2019-20:2023-24</v>
      </c>
      <c r="H30" t="str">
        <f>'Contraintes             '!J13</f>
        <v>France entière</v>
      </c>
      <c r="I30" t="str">
        <f>'Contraintes             '!K13</f>
        <v>Rendement en brisures de riz de l'Usinage de riz paddy</v>
      </c>
      <c r="J30">
        <f>'Contraintes             '!L13</f>
        <v>0</v>
      </c>
      <c r="K30" t="str">
        <f>'Contraintes             '!M13</f>
        <v>Bilans d'approvisionnement agroalimentaire - SSP</v>
      </c>
      <c r="L30" t="str">
        <f ca="1">'Contraintes             '!N13</f>
        <v>Riz - Diverses</v>
      </c>
      <c r="M30" t="str">
        <f>'Contraintes             '!O13</f>
        <v>Rendement</v>
      </c>
      <c r="N30" t="str">
        <f>'Contraintes             '!P13</f>
        <v>Rendement en brisures de riz de l'Usinage de riz paddy = 10 % (Bilans d'approvisionnement agroalimentaire - SSP)</v>
      </c>
      <c r="O30" t="str">
        <f>'Contraintes             '!Q13</f>
        <v>Approximative</v>
      </c>
      <c r="P30" t="str">
        <f>'Contraintes             '!R13</f>
        <v>Données collectées:Données déterminées</v>
      </c>
      <c r="Q30" t="str">
        <f>'Contraintes             '!S13</f>
        <v>Donnée collectée (valeur du flux ou coefficient)</v>
      </c>
      <c r="S30" s="693"/>
    </row>
    <row r="31" spans="1:19">
      <c r="A31" t="str">
        <f>'Contraintes             '!B23</f>
        <v>Balles de riz</v>
      </c>
      <c r="B31" t="str">
        <f>Secteurs!$B$31</f>
        <v>Alimentation animale</v>
      </c>
      <c r="D31"/>
      <c r="E31" t="str">
        <f>'Contraintes             '!G23</f>
        <v>kt</v>
      </c>
      <c r="F31" t="str">
        <f>'Contraintes             '!H23</f>
        <v>Riz</v>
      </c>
      <c r="G31" t="str">
        <f>'Contraintes             '!I23</f>
        <v>2015-16:2019-20:2023-24</v>
      </c>
      <c r="H31" t="str">
        <f>'Contraintes             '!J23</f>
        <v>France entière</v>
      </c>
      <c r="I31" t="str">
        <f>'Contraintes             '!K23</f>
        <v>Part de balles de riz consommée par les FAB</v>
      </c>
      <c r="J31">
        <f>'Contraintes             '!L23</f>
        <v>0</v>
      </c>
      <c r="K31" t="str">
        <f>'Contraintes             '!M23</f>
        <v>ONRB - FranceAgriMer</v>
      </c>
      <c r="L31" t="str">
        <f ca="1">'Contraintes             '!N23</f>
        <v>Riz - Diverses</v>
      </c>
      <c r="M31" t="str">
        <f>'Contraintes             '!O23</f>
        <v>Répartition</v>
      </c>
      <c r="N31" t="str">
        <f>'Contraintes             '!P23</f>
        <v>Part de balles de riz consommée par les FAB = 25 % (ONRB - FranceAgriMer)</v>
      </c>
      <c r="O31" t="str">
        <f>'Contraintes             '!Q23</f>
        <v>Indicative</v>
      </c>
      <c r="P31" t="str">
        <f>'Contraintes             '!R23</f>
        <v>Données collectées:Données déterminées</v>
      </c>
      <c r="Q31" t="str">
        <f>'Contraintes             '!S23</f>
        <v>Donnée collectée (valeur du flux ou coefficient)</v>
      </c>
      <c r="S31" s="693"/>
    </row>
    <row r="32" spans="1:19">
      <c r="A32" t="str">
        <f>'Contraintes             '!B25</f>
        <v>Balles de riz</v>
      </c>
      <c r="B32" t="str">
        <f>Secteurs!$B$47</f>
        <v>Fertilisation</v>
      </c>
      <c r="D32"/>
      <c r="E32" t="str">
        <f>'Contraintes             '!G25</f>
        <v>kt</v>
      </c>
      <c r="F32" t="str">
        <f>'Contraintes             '!H25</f>
        <v>Riz</v>
      </c>
      <c r="G32" t="str">
        <f>'Contraintes             '!I25</f>
        <v>2015-16:2019-20:2023-24</v>
      </c>
      <c r="H32" t="str">
        <f>'Contraintes             '!J25</f>
        <v>France entière</v>
      </c>
      <c r="I32" t="str">
        <f>'Contraintes             '!K25</f>
        <v>Part de balles de riz épandue</v>
      </c>
      <c r="J32">
        <f>'Contraintes             '!L25</f>
        <v>0</v>
      </c>
      <c r="K32" t="str">
        <f>'Contraintes             '!M25</f>
        <v>ONRB - FranceAgriMer</v>
      </c>
      <c r="L32" t="str">
        <f ca="1">'Contraintes             '!N25</f>
        <v>Riz - Diverses</v>
      </c>
      <c r="M32" t="str">
        <f>'Contraintes             '!O25</f>
        <v>Répartition</v>
      </c>
      <c r="N32" t="str">
        <f>'Contraintes             '!P25</f>
        <v>Part de balles de riz épandue = 25 % (ONRB - FranceAgriMer)</v>
      </c>
      <c r="O32" t="str">
        <f>'Contraintes             '!Q25</f>
        <v>Indicative</v>
      </c>
      <c r="P32" t="str">
        <f>'Contraintes             '!R25</f>
        <v>Données collectées:Données déterminées</v>
      </c>
      <c r="Q32" t="str">
        <f>'Contraintes             '!S25</f>
        <v>Donnée collectée (valeur du flux ou coefficient)</v>
      </c>
      <c r="S32" s="693"/>
    </row>
    <row r="33" spans="1:19">
      <c r="A33" t="str">
        <f>'Contraintes             '!B27</f>
        <v>Balles de riz</v>
      </c>
      <c r="B33" t="str">
        <f>Secteurs!$B$43</f>
        <v>Energie</v>
      </c>
      <c r="D33"/>
      <c r="E33" t="str">
        <f>'Contraintes             '!G27</f>
        <v>kt</v>
      </c>
      <c r="F33" t="str">
        <f>'Contraintes             '!H27</f>
        <v>Riz</v>
      </c>
      <c r="G33" t="str">
        <f>'Contraintes             '!I27</f>
        <v>2015-16:2019-20:2023-24</v>
      </c>
      <c r="H33" t="str">
        <f>'Contraintes             '!J27</f>
        <v>France entière</v>
      </c>
      <c r="I33" t="str">
        <f>'Contraintes             '!K27</f>
        <v>Part de balles de riz consommée en Méthanisation</v>
      </c>
      <c r="J33">
        <f>'Contraintes             '!L27</f>
        <v>0</v>
      </c>
      <c r="K33" t="str">
        <f>'Contraintes             '!M27</f>
        <v>ONRB - FranceAgriMer</v>
      </c>
      <c r="L33" t="str">
        <f ca="1">'Contraintes             '!N27</f>
        <v>Riz - Diverses</v>
      </c>
      <c r="M33" t="str">
        <f>'Contraintes             '!O27</f>
        <v>Répartition</v>
      </c>
      <c r="N33" t="str">
        <f>'Contraintes             '!P27</f>
        <v>Part de balles de riz consommée en Méthanisation = 25 % (ONRB - FranceAgriMer)</v>
      </c>
      <c r="O33" t="str">
        <f>'Contraintes             '!Q27</f>
        <v>Indicative</v>
      </c>
      <c r="P33" t="str">
        <f>'Contraintes             '!R27</f>
        <v>Données collectées:Données déterminées</v>
      </c>
      <c r="Q33" t="str">
        <f>'Contraintes             '!S27</f>
        <v>Donnée collectée (valeur du flux ou coefficient)</v>
      </c>
      <c r="S33" s="693"/>
    </row>
    <row r="34" spans="1:19">
      <c r="A34" t="str">
        <f>'Contraintes             '!B31</f>
        <v>Sons de riz</v>
      </c>
      <c r="B34" t="str">
        <f>Secteurs!$B$31</f>
        <v>Alimentation animale</v>
      </c>
      <c r="D34"/>
      <c r="E34" t="str">
        <f>'Contraintes             '!G31</f>
        <v>kt</v>
      </c>
      <c r="F34" t="str">
        <f>'Contraintes             '!H31</f>
        <v>Riz</v>
      </c>
      <c r="G34" t="str">
        <f>'Contraintes             '!I31</f>
        <v>2015-16:2019-20:2023-24</v>
      </c>
      <c r="H34" t="str">
        <f>'Contraintes             '!J31</f>
        <v>France entière</v>
      </c>
      <c r="I34" t="str">
        <f>'Contraintes             '!K31</f>
        <v>Part de sons consommée par les FAB</v>
      </c>
      <c r="J34">
        <f>'Contraintes             '!L31</f>
        <v>0</v>
      </c>
      <c r="K34" t="str">
        <f>'Contraintes             '!M31</f>
        <v>ONRB - FranceAgriMer</v>
      </c>
      <c r="L34" t="str">
        <f ca="1">'Contraintes             '!N31</f>
        <v>Riz - Diverses</v>
      </c>
      <c r="M34" t="str">
        <f>'Contraintes             '!O31</f>
        <v>Répartition</v>
      </c>
      <c r="N34" t="str">
        <f>'Contraintes             '!P31</f>
        <v>Part de sons consommée par les FAB = 25 % (ONRB - FranceAgriMer)</v>
      </c>
      <c r="O34" t="str">
        <f>'Contraintes             '!Q31</f>
        <v>Indicative</v>
      </c>
      <c r="P34" t="str">
        <f>'Contraintes             '!R31</f>
        <v>Données collectées:Données déterminées</v>
      </c>
      <c r="Q34" t="str">
        <f>'Contraintes             '!S31</f>
        <v>Donnée collectée (valeur du flux ou coefficient)</v>
      </c>
      <c r="S34" s="693"/>
    </row>
    <row r="35" spans="1:19">
      <c r="A35" t="str">
        <f>'Contraintes             '!B33</f>
        <v>Sons de riz</v>
      </c>
      <c r="B35" t="str">
        <f>Secteurs!$B$47</f>
        <v>Fertilisation</v>
      </c>
      <c r="D35"/>
      <c r="E35" t="str">
        <f>'Contraintes             '!G33</f>
        <v>kt</v>
      </c>
      <c r="F35" t="str">
        <f>'Contraintes             '!H33</f>
        <v>Riz</v>
      </c>
      <c r="G35" t="str">
        <f>'Contraintes             '!I33</f>
        <v>2015-16:2019-20:2023-24</v>
      </c>
      <c r="H35" t="str">
        <f>'Contraintes             '!J33</f>
        <v>France entière</v>
      </c>
      <c r="I35" t="str">
        <f>'Contraintes             '!K33</f>
        <v>Part de sons épandue</v>
      </c>
      <c r="J35">
        <f>'Contraintes             '!L33</f>
        <v>0</v>
      </c>
      <c r="K35" t="str">
        <f>'Contraintes             '!M33</f>
        <v>ONRB - FranceAgriMer</v>
      </c>
      <c r="L35" t="str">
        <f ca="1">'Contraintes             '!N33</f>
        <v>Riz - Diverses</v>
      </c>
      <c r="M35" t="str">
        <f>'Contraintes             '!O33</f>
        <v>Répartition</v>
      </c>
      <c r="N35" t="str">
        <f>'Contraintes             '!P33</f>
        <v>Part de sons épandue = 25 % (ONRB - FranceAgriMer)</v>
      </c>
      <c r="O35" t="str">
        <f>'Contraintes             '!Q33</f>
        <v>Indicative</v>
      </c>
      <c r="P35" t="str">
        <f>'Contraintes             '!R33</f>
        <v>Données collectées:Données déterminées</v>
      </c>
      <c r="Q35" t="str">
        <f>'Contraintes             '!S33</f>
        <v>Donnée collectée (valeur du flux ou coefficient)</v>
      </c>
      <c r="S35" s="693"/>
    </row>
    <row r="36" spans="1:19">
      <c r="A36" t="str">
        <f>'Contraintes             '!B35</f>
        <v>Sons de riz</v>
      </c>
      <c r="B36" t="str">
        <f>Secteurs!$B$43</f>
        <v>Energie</v>
      </c>
      <c r="D36"/>
      <c r="E36" t="str">
        <f>'Contraintes             '!G35</f>
        <v>kt</v>
      </c>
      <c r="F36" t="str">
        <f>'Contraintes             '!H35</f>
        <v>Riz</v>
      </c>
      <c r="G36" t="str">
        <f>'Contraintes             '!I35</f>
        <v>2015-16:2019-20:2023-24</v>
      </c>
      <c r="H36" t="str">
        <f>'Contraintes             '!J35</f>
        <v>France entière</v>
      </c>
      <c r="I36" t="str">
        <f>'Contraintes             '!K35</f>
        <v>Part de sons consommée en Méthanisation</v>
      </c>
      <c r="J36">
        <f>'Contraintes             '!L35</f>
        <v>0</v>
      </c>
      <c r="K36" t="str">
        <f>'Contraintes             '!M35</f>
        <v>ONRB - FranceAgriMer</v>
      </c>
      <c r="L36" t="str">
        <f ca="1">'Contraintes             '!N35</f>
        <v>Riz - Diverses</v>
      </c>
      <c r="M36" t="str">
        <f>'Contraintes             '!O35</f>
        <v>Répartition</v>
      </c>
      <c r="N36" t="str">
        <f>'Contraintes             '!P35</f>
        <v>Part de sons consommée en Méthanisation = 25 % (ONRB - FranceAgriMer)</v>
      </c>
      <c r="O36" t="str">
        <f>'Contraintes             '!Q35</f>
        <v>Indicative</v>
      </c>
      <c r="P36" t="str">
        <f>'Contraintes             '!R35</f>
        <v>Données collectées:Données déterminées</v>
      </c>
      <c r="Q36" t="str">
        <f>'Contraintes             '!S35</f>
        <v>Donnée collectée (valeur du flux ou coefficient)</v>
      </c>
      <c r="S36" s="693"/>
    </row>
    <row r="37" spans="1:19">
      <c r="A37" t="str">
        <f>'Contraintes  '!B43</f>
        <v>Grains autoconsommés</v>
      </c>
      <c r="B37" t="str">
        <f>Secteurs!$B$5</f>
        <v>Semences</v>
      </c>
      <c r="D37"/>
      <c r="E37" t="str">
        <f>'Contraintes  '!G43</f>
        <v>kt</v>
      </c>
      <c r="F37" t="str">
        <f>'Contraintes  '!H43</f>
        <v>Seigle:Epeautre:Millet</v>
      </c>
      <c r="G37" t="str">
        <f>'Contraintes  '!I43</f>
        <v>2023-24</v>
      </c>
      <c r="H37" t="str">
        <f>'Contraintes  '!J43</f>
        <v>France entière</v>
      </c>
      <c r="I37" t="str">
        <f>'Contraintes  '!K43</f>
        <v>Part de semences fermières (par rapport aux semences certifiées)</v>
      </c>
      <c r="J37" t="str">
        <f>'Contraintes  '!L43</f>
        <v>Autant de semences certifiées que de semences fermières.</v>
      </c>
      <c r="K37" t="str">
        <f>'Contraintes  '!M43</f>
        <v>Valeur arbitraire</v>
      </c>
      <c r="L37">
        <f>'Contraintes  '!N43</f>
        <v>0</v>
      </c>
      <c r="M37" t="str">
        <f>'Contraintes  '!O43</f>
        <v>Répartition</v>
      </c>
      <c r="N37" t="str">
        <f>'Contraintes  '!P43</f>
        <v>Part de semences fermières (par rapport aux semences certifiées) = 100 % (Valeur arbitraire)</v>
      </c>
      <c r="O37" t="str">
        <f>'Contraintes  '!Q43</f>
        <v>Indicative</v>
      </c>
      <c r="P37" t="str">
        <f>'Contraintes  '!R43</f>
        <v>Données collectées:Données déterminées</v>
      </c>
      <c r="Q37" t="str">
        <f>'Contraintes  '!S43</f>
        <v>Donnée collectée (valeur du flux ou coefficient)</v>
      </c>
      <c r="S37" s="693"/>
    </row>
    <row r="38" spans="1:19">
      <c r="A38" t="str">
        <f>'Contraintes           '!B31</f>
        <v>Radicelles</v>
      </c>
      <c r="B38" t="str">
        <f>Secteurs!$B$34</f>
        <v>Hors FAB</v>
      </c>
      <c r="D38"/>
      <c r="E38" t="str">
        <f>'Contraintes           '!G31</f>
        <v>kt</v>
      </c>
      <c r="F38" t="str">
        <f>'Contraintes           '!H31</f>
        <v>Orge</v>
      </c>
      <c r="G38" t="str">
        <f>'Contraintes           '!I31</f>
        <v>2015-16:2019-20:2023-24</v>
      </c>
      <c r="H38" t="str">
        <f>'Contraintes           '!J31</f>
        <v>France entière</v>
      </c>
      <c r="I38" t="str">
        <f>'Contraintes           '!K31</f>
        <v>Part de radicelles consommée par les FAF</v>
      </c>
      <c r="J38">
        <f>'Contraintes           '!L31</f>
        <v>0</v>
      </c>
      <c r="K38" t="str">
        <f>'Contraintes           '!M31</f>
        <v>ONRB - FranceAgriMer</v>
      </c>
      <c r="L38" t="str">
        <f ca="1">'Contraintes           '!N31</f>
        <v>Malterie - ONRB</v>
      </c>
      <c r="M38" t="str">
        <f>'Contraintes           '!O31</f>
        <v>Répartition</v>
      </c>
      <c r="N38" t="str">
        <f>'Contraintes           '!P31</f>
        <v>Part de radicelles consommée par les FAF = 4,76 % (ONRB - FranceAgriMer)</v>
      </c>
      <c r="O38" t="str">
        <f>'Contraintes           '!Q31</f>
        <v>Approximative</v>
      </c>
      <c r="P38" t="str">
        <f>'Contraintes           '!R31</f>
        <v>Données collectées:Données déterminées</v>
      </c>
      <c r="Q38" t="str">
        <f>'Contraintes           '!S31</f>
        <v>Donnée collectée (valeur du flux ou coefficient)</v>
      </c>
      <c r="S38" s="693"/>
    </row>
    <row r="39" spans="1:19">
      <c r="A39" t="str">
        <f>'Contraintes           '!B37</f>
        <v>Orgettes</v>
      </c>
      <c r="B39" t="str">
        <f>Secteurs!$B$34</f>
        <v>Hors FAB</v>
      </c>
      <c r="D39"/>
      <c r="E39" t="str">
        <f>'Contraintes           '!G37</f>
        <v>kt</v>
      </c>
      <c r="F39" t="str">
        <f>'Contraintes           '!H37</f>
        <v>Orge</v>
      </c>
      <c r="G39" t="str">
        <f>'Contraintes           '!I37</f>
        <v>2015-16:2019-20:2023-24</v>
      </c>
      <c r="H39" t="str">
        <f>'Contraintes           '!J37</f>
        <v>France entière</v>
      </c>
      <c r="I39" t="str">
        <f>'Contraintes           '!K37</f>
        <v>Part d'orgettes consommée par les FAF</v>
      </c>
      <c r="J39">
        <f>'Contraintes           '!L37</f>
        <v>0</v>
      </c>
      <c r="K39" t="str">
        <f>'Contraintes           '!M37</f>
        <v>ONRB - FranceAgriMer</v>
      </c>
      <c r="L39" t="str">
        <f ca="1">'Contraintes           '!N37</f>
        <v>Malterie - ONRB</v>
      </c>
      <c r="M39" t="str">
        <f>'Contraintes           '!O37</f>
        <v>Répartition</v>
      </c>
      <c r="N39" t="str">
        <f>'Contraintes           '!P37</f>
        <v>Part d'orgettes consommée par les FAF = 16,67 % (ONRB - FranceAgriMer)</v>
      </c>
      <c r="O39" t="str">
        <f>'Contraintes           '!Q37</f>
        <v>Approximative</v>
      </c>
      <c r="P39" t="str">
        <f>'Contraintes           '!R37</f>
        <v>Données collectées:Données déterminées</v>
      </c>
      <c r="Q39" t="str">
        <f>'Contraintes           '!S37</f>
        <v>Donnée collectée (valeur du flux ou coefficient)</v>
      </c>
      <c r="S39" s="693"/>
    </row>
    <row r="40" spans="1:19">
      <c r="A40" t="str">
        <f>'Contraintes   '!B3</f>
        <v>Meunerie</v>
      </c>
      <c r="B40" t="str">
        <f>Produits!$B$7</f>
        <v>Issues de meunerie</v>
      </c>
      <c r="D40"/>
      <c r="E40" t="str">
        <f>'Contraintes   '!G3</f>
        <v>kt</v>
      </c>
      <c r="F40" t="str">
        <f>'Contraintes   '!H3</f>
        <v>Blé tendre:Maïs:Orge:Blé dur:Triticale:Sorgho:Avoine:Seigle:Sarrasin:Riz:Epeautre:Millet</v>
      </c>
      <c r="G40" t="str">
        <f>'Contraintes   '!I3</f>
        <v>2015-16:2019-20:2023-24</v>
      </c>
      <c r="H40" t="str">
        <f>'Contraintes   '!J3</f>
        <v>France entière</v>
      </c>
      <c r="I40" t="str">
        <f>'Contraintes   '!K3</f>
        <v>Part de sons dans les issues de meuneurie</v>
      </c>
      <c r="J40">
        <f>'Contraintes   '!L3</f>
        <v>0</v>
      </c>
      <c r="K40" t="str">
        <f>'Contraintes   '!M3</f>
        <v>Gisements et valorisations des coproduits des industries agroalimentaires - Réséda</v>
      </c>
      <c r="L40" t="str">
        <f ca="1">'Contraintes   '!N3</f>
        <v>Coproduits meunerie - Réséda</v>
      </c>
      <c r="M40" t="str">
        <f>'Contraintes   '!O3</f>
        <v>Répartition</v>
      </c>
      <c r="N40" t="str">
        <f>'Contraintes   '!P3</f>
        <v>Part de sons dans les issues de meuneurie = 64,01 % (Gisements et valorisations des coproduits des industries agroalimentaires - Réséda)</v>
      </c>
      <c r="O40" t="str">
        <f>'Contraintes   '!Q3</f>
        <v>Probable</v>
      </c>
      <c r="P40" t="str">
        <f>'Contraintes   '!R3</f>
        <v>Données collectées:Données déterminées</v>
      </c>
      <c r="Q40" t="str">
        <f>'Contraintes   '!S3</f>
        <v>Donnée collectée (valeur du flux ou coefficient)</v>
      </c>
      <c r="S40" s="693"/>
    </row>
    <row r="41" spans="1:19">
      <c r="A41" t="str">
        <f>Contraintes!B17</f>
        <v>Issues de silo</v>
      </c>
      <c r="B41" t="str">
        <f>Secteurs!$B$31</f>
        <v>Alimentation animale</v>
      </c>
      <c r="D41"/>
      <c r="E41" t="str">
        <f>Contraintes!G17</f>
        <v>kt</v>
      </c>
      <c r="F41" t="str">
        <f>Contraintes!H17</f>
        <v>Riz</v>
      </c>
      <c r="G41" t="str">
        <f>Contraintes!I17</f>
        <v>2015-16:2019-20:2023-24</v>
      </c>
      <c r="H41" t="str">
        <f>Contraintes!J17</f>
        <v>France entière</v>
      </c>
      <c r="I41" t="str">
        <f>Contraintes!K17</f>
        <v>Part d'issues de silo consommées par les FAF</v>
      </c>
      <c r="J41">
        <f>Contraintes!L17</f>
        <v>0</v>
      </c>
      <c r="K41" t="str">
        <f>Contraintes!M17</f>
        <v>ONRB - FranceAgriMer</v>
      </c>
      <c r="L41" t="str">
        <f ca="1">Contraintes!N17</f>
        <v>Issues riz - ONRB</v>
      </c>
      <c r="M41" t="str">
        <f>Contraintes!O17</f>
        <v>Répartition</v>
      </c>
      <c r="N41" t="str">
        <f>Contraintes!P17</f>
        <v>Part d'issues de silo consommées par les FAF = 56,4 % (ONRB - FranceAgriMer)</v>
      </c>
      <c r="O41" t="str">
        <f>Contraintes!Q17</f>
        <v>Approximative</v>
      </c>
      <c r="P41" t="str">
        <f>Contraintes!R17</f>
        <v>Données collectées:Données déterminées</v>
      </c>
      <c r="Q41" t="str">
        <f>Contraintes!S17</f>
        <v>Donnée collectée (valeur du flux ou coefficient)</v>
      </c>
      <c r="S41" s="693"/>
    </row>
  </sheetData>
  <mergeCells count="1">
    <mergeCell ref="S2:S41"/>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9BA99-D794-40DB-8834-2AB36E85BCB0}">
  <dimension ref="A1:L30"/>
  <sheetViews>
    <sheetView workbookViewId="0">
      <selection activeCell="L33" sqref="L33"/>
    </sheetView>
  </sheetViews>
  <sheetFormatPr baseColWidth="10" defaultRowHeight="14.4"/>
  <cols>
    <col min="1" max="1" width="26.109375" bestFit="1" customWidth="1"/>
    <col min="2" max="2" width="12.5546875" customWidth="1"/>
    <col min="3" max="3" width="34.44140625" bestFit="1" customWidth="1"/>
  </cols>
  <sheetData>
    <row r="1" spans="1:12">
      <c r="A1" s="748" t="s">
        <v>297</v>
      </c>
      <c r="B1" s="748"/>
      <c r="C1" s="748"/>
      <c r="D1" s="748" t="s">
        <v>298</v>
      </c>
      <c r="E1" s="748"/>
      <c r="F1" s="748"/>
      <c r="G1" t="s">
        <v>299</v>
      </c>
    </row>
    <row r="2" spans="1:12">
      <c r="A2" t="s">
        <v>296</v>
      </c>
      <c r="C2" t="s">
        <v>20</v>
      </c>
      <c r="D2">
        <v>2015</v>
      </c>
      <c r="E2">
        <v>2019</v>
      </c>
      <c r="F2">
        <v>2023</v>
      </c>
      <c r="G2" t="s">
        <v>64</v>
      </c>
    </row>
    <row r="3" spans="1:12">
      <c r="A3" t="s">
        <v>171</v>
      </c>
      <c r="B3" s="693" t="s">
        <v>324</v>
      </c>
      <c r="C3" t="s">
        <v>251</v>
      </c>
      <c r="D3" s="86" cm="1">
        <f t="array" ref="D3">SUM(SUMIFS('Récoltes - AGRESTE'!$AJ:$AJ,'Récoltes - AGRESTE'!$A:$A,'Prétraitement récoltes'!$G$2:$G$3,'Récoltes - AGRESTE'!$B:$B,'Prétraitement récoltes'!$C3))/10^4</f>
        <v>40888.207900000001</v>
      </c>
      <c r="E3" s="86" cm="1">
        <f t="array" ref="E3">SUM(SUMIFS('Récoltes - AGRESTE'!$AN:$AN,'Récoltes - AGRESTE'!$A:$A,'Prétraitement récoltes'!$G$2:$G$3,'Récoltes - AGRESTE'!$B:$B,'Prétraitement récoltes'!$C3))/10^4</f>
        <v>39410.755100000002</v>
      </c>
      <c r="F3" s="86" cm="1">
        <f t="array" ref="F3">SUM(SUMIFS('Récoltes - AGRESTE'!$AR:$AR,'Récoltes - AGRESTE'!$A:$A,'Prétraitement récoltes'!$G$2:$G$3,'Récoltes - AGRESTE'!$B:$B,'Prétraitement récoltes'!$C3))/10^4</f>
        <v>34996.195800000001</v>
      </c>
      <c r="G3" t="s">
        <v>83</v>
      </c>
      <c r="J3" s="145">
        <f>D3+D4</f>
        <v>40997.887699999999</v>
      </c>
      <c r="K3" s="145">
        <f t="shared" ref="K3:L3" si="0">E3+E4</f>
        <v>39517.770900000003</v>
      </c>
      <c r="L3" s="145">
        <f t="shared" si="0"/>
        <v>35117.6633</v>
      </c>
    </row>
    <row r="4" spans="1:12">
      <c r="A4" t="s">
        <v>171</v>
      </c>
      <c r="B4" s="693"/>
      <c r="C4" t="s">
        <v>252</v>
      </c>
      <c r="D4" s="86" cm="1">
        <f t="array" ref="D4">SUM(SUMIFS('Récoltes - AGRESTE'!$AJ:$AJ,'Récoltes - AGRESTE'!$A:$A,'Prétraitement récoltes'!$G$2:$G$3,'Récoltes - AGRESTE'!$B:$B,'Prétraitement récoltes'!$C4))/10^4</f>
        <v>109.6798</v>
      </c>
      <c r="E4" s="86" cm="1">
        <f t="array" ref="E4">SUM(SUMIFS('Récoltes - AGRESTE'!$AN:$AN,'Récoltes - AGRESTE'!$A:$A,'Prétraitement récoltes'!$G$2:$G$3,'Récoltes - AGRESTE'!$B:$B,'Prétraitement récoltes'!$C4))/10^4</f>
        <v>107.0158</v>
      </c>
      <c r="F4" s="86" cm="1">
        <f t="array" ref="F4">SUM(SUMIFS('Récoltes - AGRESTE'!$AR:$AR,'Récoltes - AGRESTE'!$A:$A,'Prétraitement récoltes'!$G$2:$G$3,'Récoltes - AGRESTE'!$B:$B,'Prétraitement récoltes'!$C4))/10^4</f>
        <v>121.4675</v>
      </c>
    </row>
    <row r="5" spans="1:12">
      <c r="A5" t="s">
        <v>172</v>
      </c>
      <c r="B5" s="693"/>
      <c r="C5" t="s">
        <v>254</v>
      </c>
      <c r="D5" s="86" cm="1">
        <f t="array" ref="D5">SUM(SUMIFS('Récoltes - AGRESTE'!$AJ:$AJ,'Récoltes - AGRESTE'!$A:$A,'Prétraitement récoltes'!$G$2:$G$3,'Récoltes - AGRESTE'!$B:$B,'Prétraitement récoltes'!$C5))/10^4</f>
        <v>1718.6288</v>
      </c>
      <c r="E5" s="86" cm="1">
        <f t="array" ref="E5">SUM(SUMIFS('Récoltes - AGRESTE'!$AN:$AN,'Récoltes - AGRESTE'!$A:$A,'Prétraitement récoltes'!$G$2:$G$3,'Récoltes - AGRESTE'!$B:$B,'Prétraitement récoltes'!$C5))/10^4</f>
        <v>1522.8552999999999</v>
      </c>
      <c r="F5" s="86" cm="1">
        <f t="array" ref="F5">SUM(SUMIFS('Récoltes - AGRESTE'!$AR:$AR,'Récoltes - AGRESTE'!$A:$A,'Prétraitement récoltes'!$G$2:$G$3,'Récoltes - AGRESTE'!$B:$B,'Prétraitement récoltes'!$C5))/10^4</f>
        <v>1265.2262000000001</v>
      </c>
      <c r="J5" s="145">
        <f>D5+D6</f>
        <v>1789.1025</v>
      </c>
      <c r="K5" s="145">
        <f t="shared" ref="K5" si="1">E5+E6</f>
        <v>1565.1657</v>
      </c>
      <c r="L5" s="145">
        <f t="shared" ref="L5" si="2">F5+F6</f>
        <v>1301.3883000000001</v>
      </c>
    </row>
    <row r="6" spans="1:12">
      <c r="A6" t="s">
        <v>172</v>
      </c>
      <c r="B6" s="693"/>
      <c r="C6" t="s">
        <v>255</v>
      </c>
      <c r="D6" s="86" cm="1">
        <f t="array" ref="D6">SUM(SUMIFS('Récoltes - AGRESTE'!$AJ:$AJ,'Récoltes - AGRESTE'!$A:$A,'Prétraitement récoltes'!$G$2:$G$3,'Récoltes - AGRESTE'!$B:$B,'Prétraitement récoltes'!$C6))/10^4</f>
        <v>70.473699999999994</v>
      </c>
      <c r="E6" s="86" cm="1">
        <f t="array" ref="E6">SUM(SUMIFS('Récoltes - AGRESTE'!$AN:$AN,'Récoltes - AGRESTE'!$A:$A,'Prétraitement récoltes'!$G$2:$G$3,'Récoltes - AGRESTE'!$B:$B,'Prétraitement récoltes'!$C6))/10^4</f>
        <v>42.310400000000001</v>
      </c>
      <c r="F6" s="86" cm="1">
        <f t="array" ref="F6">SUM(SUMIFS('Récoltes - AGRESTE'!$AR:$AR,'Récoltes - AGRESTE'!$A:$A,'Prétraitement récoltes'!$G$2:$G$3,'Récoltes - AGRESTE'!$B:$B,'Prétraitement récoltes'!$C6))/10^4</f>
        <v>36.162100000000002</v>
      </c>
    </row>
    <row r="7" spans="1:12">
      <c r="A7" t="s">
        <v>310</v>
      </c>
      <c r="B7" s="693"/>
      <c r="C7" t="s">
        <v>257</v>
      </c>
      <c r="D7" s="86" cm="1">
        <f t="array" ref="D7">SUM(SUMIFS('Récoltes - AGRESTE'!$AJ:$AJ,'Récoltes - AGRESTE'!$A:$A,'Prétraitement récoltes'!$G$2:$G$3,'Récoltes - AGRESTE'!$B:$B,'Prétraitement récoltes'!$C7))/10^4</f>
        <v>123.6957</v>
      </c>
      <c r="E7" s="86" cm="1">
        <f t="array" ref="E7">SUM(SUMIFS('Récoltes - AGRESTE'!$AN:$AN,'Récoltes - AGRESTE'!$A:$A,'Prétraitement récoltes'!$G$2:$G$3,'Récoltes - AGRESTE'!$B:$B,'Prétraitement récoltes'!$C7))/10^4</f>
        <v>136.9547</v>
      </c>
      <c r="F7" s="86" cm="1">
        <f t="array" ref="F7">SUM(SUMIFS('Récoltes - AGRESTE'!$AR:$AR,'Récoltes - AGRESTE'!$A:$A,'Prétraitement récoltes'!$G$2:$G$3,'Récoltes - AGRESTE'!$B:$B,'Prétraitement récoltes'!$C7))/10^4</f>
        <v>170.29</v>
      </c>
    </row>
    <row r="8" spans="1:12">
      <c r="A8" t="s">
        <v>173</v>
      </c>
      <c r="B8" s="693"/>
      <c r="C8" t="s">
        <v>258</v>
      </c>
      <c r="D8" s="86" cm="1">
        <f t="array" ref="D8">SUM(SUMIFS('Récoltes - AGRESTE'!$AJ:$AJ,'Récoltes - AGRESTE'!$A:$A,'Prétraitement récoltes'!$G$2:$G$3,'Récoltes - AGRESTE'!$B:$B,'Prétraitement récoltes'!$C8))/10^4</f>
        <v>10061.421200000001</v>
      </c>
      <c r="E8" s="86" cm="1">
        <f t="array" ref="E8">SUM(SUMIFS('Récoltes - AGRESTE'!$AN:$AN,'Récoltes - AGRESTE'!$A:$A,'Prétraitement récoltes'!$G$2:$G$3,'Récoltes - AGRESTE'!$B:$B,'Prétraitement récoltes'!$C8))/10^4</f>
        <v>9247.6062999999995</v>
      </c>
      <c r="F8" s="86" cm="1">
        <f t="array" ref="F8">SUM(SUMIFS('Récoltes - AGRESTE'!$AR:$AR,'Récoltes - AGRESTE'!$A:$A,'Prétraitement récoltes'!$G$2:$G$3,'Récoltes - AGRESTE'!$B:$B,'Prétraitement récoltes'!$C8))/10^4</f>
        <v>9694.8737999999994</v>
      </c>
      <c r="J8" s="145">
        <f>D8+D9</f>
        <v>13095.6836</v>
      </c>
      <c r="K8" s="145">
        <f t="shared" ref="K8" si="3">E8+E9</f>
        <v>13725.2572</v>
      </c>
      <c r="L8" s="145">
        <f t="shared" ref="L8" si="4">F8+F9</f>
        <v>12286.3518</v>
      </c>
    </row>
    <row r="9" spans="1:12">
      <c r="A9" t="s">
        <v>173</v>
      </c>
      <c r="B9" s="693"/>
      <c r="C9" t="s">
        <v>259</v>
      </c>
      <c r="D9" s="86" cm="1">
        <f t="array" ref="D9">SUM(SUMIFS('Récoltes - AGRESTE'!$AJ:$AJ,'Récoltes - AGRESTE'!$A:$A,'Prétraitement récoltes'!$G$2:$G$3,'Récoltes - AGRESTE'!$B:$B,'Prétraitement récoltes'!$C9))/10^4</f>
        <v>3034.2624000000001</v>
      </c>
      <c r="E9" s="86" cm="1">
        <f t="array" ref="E9">SUM(SUMIFS('Récoltes - AGRESTE'!$AN:$AN,'Récoltes - AGRESTE'!$A:$A,'Prétraitement récoltes'!$G$2:$G$3,'Récoltes - AGRESTE'!$B:$B,'Prétraitement récoltes'!$C9))/10^4</f>
        <v>4477.6508999999996</v>
      </c>
      <c r="F9" s="86" cm="1">
        <f t="array" ref="F9">SUM(SUMIFS('Récoltes - AGRESTE'!$AR:$AR,'Récoltes - AGRESTE'!$A:$A,'Prétraitement récoltes'!$G$2:$G$3,'Récoltes - AGRESTE'!$B:$B,'Prétraitement récoltes'!$C9))/10^4</f>
        <v>2591.4780000000001</v>
      </c>
    </row>
    <row r="10" spans="1:12">
      <c r="A10" t="s">
        <v>306</v>
      </c>
      <c r="B10" s="693"/>
      <c r="C10" t="s">
        <v>261</v>
      </c>
      <c r="D10" s="86" cm="1">
        <f t="array" ref="D10">SUM(SUMIFS('Récoltes - AGRESTE'!$AJ:$AJ,'Récoltes - AGRESTE'!$A:$A,'Prétraitement récoltes'!$G$2:$G$3,'Récoltes - AGRESTE'!$B:$B,'Prétraitement récoltes'!$C10))/10^4</f>
        <v>230.39760000000001</v>
      </c>
      <c r="E10" s="86" cm="1">
        <f t="array" ref="E10">SUM(SUMIFS('Récoltes - AGRESTE'!$AN:$AN,'Récoltes - AGRESTE'!$A:$A,'Prétraitement récoltes'!$G$2:$G$3,'Récoltes - AGRESTE'!$B:$B,'Prétraitement récoltes'!$C10))/10^4</f>
        <v>234.42580000000001</v>
      </c>
      <c r="F10" s="86" cm="1">
        <f t="array" ref="F10">SUM(SUMIFS('Récoltes - AGRESTE'!$AR:$AR,'Récoltes - AGRESTE'!$A:$A,'Prétraitement récoltes'!$G$2:$G$3,'Récoltes - AGRESTE'!$B:$B,'Prétraitement récoltes'!$C10))/10^4</f>
        <v>210.19880000000001</v>
      </c>
      <c r="J10" s="145">
        <f>D10+D11</f>
        <v>399.93060000000003</v>
      </c>
      <c r="K10" s="145">
        <f t="shared" ref="K10" si="5">E10+E11</f>
        <v>406.9341</v>
      </c>
      <c r="L10" s="145">
        <f t="shared" ref="L10" si="6">F10+F11</f>
        <v>341.30380000000002</v>
      </c>
    </row>
    <row r="11" spans="1:12">
      <c r="A11" t="s">
        <v>306</v>
      </c>
      <c r="B11" s="693"/>
      <c r="C11" t="s">
        <v>262</v>
      </c>
      <c r="D11" s="86" cm="1">
        <f t="array" ref="D11">SUM(SUMIFS('Récoltes - AGRESTE'!$AJ:$AJ,'Récoltes - AGRESTE'!$A:$A,'Prétraitement récoltes'!$G$2:$G$3,'Récoltes - AGRESTE'!$B:$B,'Prétraitement récoltes'!$C11))/10^4</f>
        <v>169.53299999999999</v>
      </c>
      <c r="E11" s="86" cm="1">
        <f t="array" ref="E11">SUM(SUMIFS('Récoltes - AGRESTE'!$AN:$AN,'Récoltes - AGRESTE'!$A:$A,'Prétraitement récoltes'!$G$2:$G$3,'Récoltes - AGRESTE'!$B:$B,'Prétraitement récoltes'!$C11))/10^4</f>
        <v>172.50829999999999</v>
      </c>
      <c r="F11" s="86" cm="1">
        <f t="array" ref="F11">SUM(SUMIFS('Récoltes - AGRESTE'!$AR:$AR,'Récoltes - AGRESTE'!$A:$A,'Prétraitement récoltes'!$G$2:$G$3,'Récoltes - AGRESTE'!$B:$B,'Prétraitement récoltes'!$C11))/10^4</f>
        <v>131.10499999999999</v>
      </c>
    </row>
    <row r="12" spans="1:12">
      <c r="A12" t="s">
        <v>177</v>
      </c>
      <c r="B12" s="693"/>
      <c r="C12" t="s">
        <v>264</v>
      </c>
      <c r="D12" s="86" cm="1">
        <f t="array" ref="D12">SUM(SUMIFS('Récoltes - AGRESTE'!$AJ:$AJ,'Récoltes - AGRESTE'!$A:$A,'Prétraitement récoltes'!$G$2:$G$3,'Récoltes - AGRESTE'!$B:$B,'Prétraitement récoltes'!$C12))/10^4</f>
        <v>6497.4781999999996</v>
      </c>
      <c r="E12" s="86" cm="1">
        <f t="array" ref="E12">SUM(SUMIFS('Récoltes - AGRESTE'!$AN:$AN,'Récoltes - AGRESTE'!$A:$A,'Prétraitement récoltes'!$G$2:$G$3,'Récoltes - AGRESTE'!$B:$B,'Prétraitement récoltes'!$C12))/10^4</f>
        <v>5859.9863999999998</v>
      </c>
      <c r="F12" s="86" cm="1">
        <f t="array" ref="F12">SUM(SUMIFS('Récoltes - AGRESTE'!$AR:$AR,'Récoltes - AGRESTE'!$A:$A,'Prétraitement récoltes'!$G$2:$G$3,'Récoltes - AGRESTE'!$B:$B,'Prétraitement récoltes'!$C12))/10^4</f>
        <v>4476.1230999999998</v>
      </c>
      <c r="J12" s="145">
        <f>D12+D13</f>
        <v>13859.796200000001</v>
      </c>
      <c r="K12" s="145">
        <f t="shared" ref="K12" si="7">E12+E13</f>
        <v>12873.3361</v>
      </c>
      <c r="L12" s="145">
        <f t="shared" ref="L12" si="8">F12+F13</f>
        <v>12679.785599999999</v>
      </c>
    </row>
    <row r="13" spans="1:12">
      <c r="A13" t="s">
        <v>177</v>
      </c>
      <c r="B13" s="693"/>
      <c r="C13" t="s">
        <v>265</v>
      </c>
      <c r="D13" s="86" cm="1">
        <f t="array" ref="D13">SUM(SUMIFS('Récoltes - AGRESTE'!$AJ:$AJ,'Récoltes - AGRESTE'!$A:$A,'Prétraitement récoltes'!$G$2:$G$3,'Récoltes - AGRESTE'!$B:$B,'Prétraitement récoltes'!$C13))/10^4</f>
        <v>7362.3180000000002</v>
      </c>
      <c r="E13" s="86" cm="1">
        <f t="array" ref="E13">SUM(SUMIFS('Récoltes - AGRESTE'!$AN:$AN,'Récoltes - AGRESTE'!$A:$A,'Prétraitement récoltes'!$G$2:$G$3,'Récoltes - AGRESTE'!$B:$B,'Prétraitement récoltes'!$C13))/10^4</f>
        <v>7013.3496999999998</v>
      </c>
      <c r="F13" s="86" cm="1">
        <f t="array" ref="F13">SUM(SUMIFS('Récoltes - AGRESTE'!$AR:$AR,'Récoltes - AGRESTE'!$A:$A,'Prétraitement récoltes'!$G$2:$G$3,'Récoltes - AGRESTE'!$B:$B,'Prétraitement récoltes'!$C13))/10^4</f>
        <v>8203.6625000000004</v>
      </c>
    </row>
    <row r="14" spans="1:12">
      <c r="A14" t="s">
        <v>303</v>
      </c>
      <c r="B14" s="693"/>
      <c r="C14" t="s">
        <v>266</v>
      </c>
      <c r="D14" s="86" cm="1">
        <f t="array" ref="D14">SUM(SUMIFS('Récoltes - AGRESTE'!$AJ:$AJ,'Récoltes - AGRESTE'!$A:$A,'Prétraitement récoltes'!$G$2:$G$3,'Récoltes - AGRESTE'!$B:$B,'Prétraitement récoltes'!$C14))/10^4</f>
        <v>256.4837</v>
      </c>
      <c r="E14" s="86" cm="1">
        <f t="array" ref="E14">SUM(SUMIFS('Récoltes - AGRESTE'!$AN:$AN,'Récoltes - AGRESTE'!$A:$A,'Prétraitement récoltes'!$G$2:$G$3,'Récoltes - AGRESTE'!$B:$B,'Prétraitement récoltes'!$C14))/10^4</f>
        <v>239.15270000000001</v>
      </c>
      <c r="F14" s="86" cm="1">
        <f t="array" ref="F14">SUM(SUMIFS('Récoltes - AGRESTE'!$AR:$AR,'Récoltes - AGRESTE'!$A:$A,'Prétraitement récoltes'!$G$2:$G$3,'Récoltes - AGRESTE'!$B:$B,'Prétraitement récoltes'!$C14))/10^4</f>
        <v>305.80930000000001</v>
      </c>
    </row>
    <row r="15" spans="1:12">
      <c r="A15" t="s">
        <v>304</v>
      </c>
      <c r="B15" s="693"/>
      <c r="C15" t="s">
        <v>268</v>
      </c>
      <c r="D15" s="86" cm="1">
        <f t="array" ref="D15">SUM(SUMIFS('Récoltes - AGRESTE'!$AJ:$AJ,'Récoltes - AGRESTE'!$A:$A,'Prétraitement récoltes'!$G$2:$G$3,'Récoltes - AGRESTE'!$B:$B,'Prétraitement récoltes'!$C15))/10^4</f>
        <v>240.94990000000001</v>
      </c>
      <c r="E15" s="86" cm="1">
        <f t="array" ref="E15">SUM(SUMIFS('Récoltes - AGRESTE'!$AN:$AN,'Récoltes - AGRESTE'!$A:$A,'Prétraitement récoltes'!$G$2:$G$3,'Récoltes - AGRESTE'!$B:$B,'Prétraitement récoltes'!$C15))/10^4</f>
        <v>360.75020000000001</v>
      </c>
      <c r="F15" s="86" cm="1">
        <f t="array" ref="F15">SUM(SUMIFS('Récoltes - AGRESTE'!$AR:$AR,'Récoltes - AGRESTE'!$A:$A,'Prétraitement récoltes'!$G$2:$G$3,'Récoltes - AGRESTE'!$B:$B,'Prétraitement récoltes'!$C15))/10^4</f>
        <v>307.56900000000002</v>
      </c>
    </row>
    <row r="16" spans="1:12">
      <c r="A16" t="s">
        <v>174</v>
      </c>
      <c r="B16" s="693"/>
      <c r="C16" t="s">
        <v>269</v>
      </c>
      <c r="D16" s="86" cm="1">
        <f t="array" ref="D16">SUM(SUMIFS('Récoltes - AGRESTE'!$AJ:$AJ,'Récoltes - AGRESTE'!$A:$A,'Prétraitement récoltes'!$G$2:$G$3,'Récoltes - AGRESTE'!$B:$B,'Prétraitement récoltes'!$C16))/10^4</f>
        <v>1866.3992000000001</v>
      </c>
      <c r="E16" s="86" cm="1">
        <f t="array" ref="E16">SUM(SUMIFS('Récoltes - AGRESTE'!$AN:$AN,'Récoltes - AGRESTE'!$A:$A,'Prétraitement récoltes'!$G$2:$G$3,'Récoltes - AGRESTE'!$B:$B,'Prétraitement récoltes'!$C16))/10^4</f>
        <v>1660.7570000000001</v>
      </c>
      <c r="F16" s="86" cm="1">
        <f t="array" ref="F16">SUM(SUMIFS('Récoltes - AGRESTE'!$AR:$AR,'Récoltes - AGRESTE'!$A:$A,'Prétraitement récoltes'!$G$2:$G$3,'Récoltes - AGRESTE'!$B:$B,'Prétraitement récoltes'!$C16))/10^4</f>
        <v>1665.8331000000001</v>
      </c>
    </row>
    <row r="17" spans="1:9">
      <c r="A17" t="s">
        <v>305</v>
      </c>
      <c r="B17" s="693"/>
      <c r="C17" t="s">
        <v>270</v>
      </c>
      <c r="D17" s="86" cm="1">
        <f t="array" ref="D17">SUM(SUMIFS('Récoltes - AGRESTE'!$AJ:$AJ,'Récoltes - AGRESTE'!$A:$A,'Prétraitement récoltes'!$G$2:$G$3,'Récoltes - AGRESTE'!$B:$B,'Prétraitement récoltes'!$C17))/10^4</f>
        <v>202.72790000000001</v>
      </c>
      <c r="E17" s="86" cm="1">
        <f t="array" ref="E17">SUM(SUMIFS('Récoltes - AGRESTE'!$AN:$AN,'Récoltes - AGRESTE'!$A:$A,'Prétraitement récoltes'!$G$2:$G$3,'Récoltes - AGRESTE'!$B:$B,'Prétraitement récoltes'!$C17))/10^4</f>
        <v>227.6173</v>
      </c>
      <c r="F17" s="86" cm="1">
        <f t="array" ref="F17">SUM(SUMIFS('Récoltes - AGRESTE'!$AR:$AR,'Récoltes - AGRESTE'!$A:$A,'Prétraitement récoltes'!$G$2:$G$3,'Récoltes - AGRESTE'!$B:$B,'Prétraitement récoltes'!$C17))/10^4</f>
        <v>273.38909999999998</v>
      </c>
    </row>
    <row r="18" spans="1:9">
      <c r="A18" t="s">
        <v>313</v>
      </c>
      <c r="B18" s="693"/>
      <c r="C18" t="s">
        <v>271</v>
      </c>
      <c r="D18" s="86" cm="1">
        <f t="array" ref="D18">SUM(SUMIFS('Récoltes - AGRESTE'!$AJ:$AJ,'Récoltes - AGRESTE'!$A:$A,'Prétraitement récoltes'!$G$2:$G$3,'Récoltes - AGRESTE'!$B:$B,'Prétraitement récoltes'!$C18))/10^4</f>
        <v>193.88040000000001</v>
      </c>
      <c r="E18" s="86" cm="1">
        <f t="array" ref="E18">SUM(SUMIFS('Récoltes - AGRESTE'!$AN:$AN,'Récoltes - AGRESTE'!$A:$A,'Prétraitement récoltes'!$G$2:$G$3,'Récoltes - AGRESTE'!$B:$B,'Prétraitement récoltes'!$C18))/10^4</f>
        <v>439.28030000000001</v>
      </c>
      <c r="F18" s="86" cm="1">
        <f t="array" ref="F18">SUM(SUMIFS('Récoltes - AGRESTE'!$AR:$AR,'Récoltes - AGRESTE'!$A:$A,'Prétraitement récoltes'!$G$2:$G$3,'Récoltes - AGRESTE'!$B:$B,'Prétraitement récoltes'!$C18))/10^4</f>
        <v>478.12819999999999</v>
      </c>
      <c r="I18" s="145"/>
    </row>
    <row r="19" spans="1:9">
      <c r="A19" t="s">
        <v>309</v>
      </c>
      <c r="B19" s="693"/>
      <c r="C19" t="s">
        <v>273</v>
      </c>
      <c r="D19" s="509" cm="1">
        <f t="array" ref="D19">SUM(SUMIFS('Récoltes - AGRESTE'!$AJ:$AJ,'Récoltes - AGRESTE'!$A:$A,'Prétraitement récoltes'!$G$2:$G$3,'Récoltes - AGRESTE'!$B:$B,'Prétraitement récoltes'!$C19))/10^4</f>
        <v>5.8536999999999999</v>
      </c>
      <c r="E19" s="509" cm="1">
        <f t="array" ref="E19">SUM(SUMIFS('Récoltes - AGRESTE'!$AN:$AN,'Récoltes - AGRESTE'!$A:$A,'Prétraitement récoltes'!$G$2:$G$3,'Récoltes - AGRESTE'!$B:$B,'Prétraitement récoltes'!$C19))/10^4</f>
        <v>7.6456</v>
      </c>
      <c r="F19" s="509" cm="1">
        <f t="array" ref="F19">SUM(SUMIFS('Récoltes - AGRESTE'!$AR:$AR,'Récoltes - AGRESTE'!$A:$A,'Prétraitement récoltes'!$G$2:$G$3,'Récoltes - AGRESTE'!$B:$B,'Prétraitement récoltes'!$C19))/10^4</f>
        <v>4.5477999999999996</v>
      </c>
    </row>
    <row r="20" spans="1:9">
      <c r="A20" t="s">
        <v>309</v>
      </c>
      <c r="B20" s="693"/>
      <c r="C20" t="s">
        <v>274</v>
      </c>
      <c r="D20" s="509" cm="1">
        <f t="array" ref="D20">SUM(SUMIFS('Récoltes - AGRESTE'!$AJ:$AJ,'Récoltes - AGRESTE'!$A:$A,'Prétraitement récoltes'!$G$2:$G$3,'Récoltes - AGRESTE'!$B:$B,'Prétraitement récoltes'!$C20))/10^4</f>
        <v>74.882000000000005</v>
      </c>
      <c r="E20" s="509" cm="1">
        <f t="array" ref="E20">SUM(SUMIFS('Récoltes - AGRESTE'!$AN:$AN,'Récoltes - AGRESTE'!$A:$A,'Prétraitement récoltes'!$G$2:$G$3,'Récoltes - AGRESTE'!$B:$B,'Prétraitement récoltes'!$C20))/10^4</f>
        <v>76.339399999999998</v>
      </c>
      <c r="F20" s="509" cm="1">
        <f t="array" ref="F20">SUM(SUMIFS('Récoltes - AGRESTE'!$AR:$AR,'Récoltes - AGRESTE'!$A:$A,'Prétraitement récoltes'!$G$2:$G$3,'Récoltes - AGRESTE'!$B:$B,'Prétraitement récoltes'!$C20))/10^4</f>
        <v>65.323599999999999</v>
      </c>
    </row>
    <row r="21" spans="1:9">
      <c r="A21" t="s">
        <v>300</v>
      </c>
      <c r="B21" s="693" t="s">
        <v>330</v>
      </c>
      <c r="F21" s="86">
        <f>'Récoltes - Intercéréales'!H10</f>
        <v>75</v>
      </c>
    </row>
    <row r="22" spans="1:9">
      <c r="A22" t="s">
        <v>311</v>
      </c>
      <c r="B22" s="693"/>
    </row>
    <row r="23" spans="1:9">
      <c r="A23" t="s">
        <v>312</v>
      </c>
      <c r="B23" s="693"/>
      <c r="D23" s="86">
        <f>'Récoltes - FNPSMS'!C6</f>
        <v>1.75</v>
      </c>
      <c r="E23" s="86">
        <f>'Récoltes - FNPSMS'!D6</f>
        <v>2.4500000000000002</v>
      </c>
      <c r="F23" s="86">
        <f>'Récoltes - FNPSMS'!E6</f>
        <v>3.5750000000000002</v>
      </c>
    </row>
    <row r="24" spans="1:9">
      <c r="A24" t="s">
        <v>314</v>
      </c>
      <c r="B24" s="693" t="s">
        <v>318</v>
      </c>
      <c r="G24" s="693" t="s">
        <v>331</v>
      </c>
    </row>
    <row r="25" spans="1:9">
      <c r="A25" t="s">
        <v>315</v>
      </c>
      <c r="B25" s="693"/>
      <c r="F25">
        <f>'Récoltes - Intercéréales'!H18</f>
        <v>60</v>
      </c>
      <c r="G25" s="693"/>
    </row>
    <row r="26" spans="1:9">
      <c r="A26" t="s">
        <v>316</v>
      </c>
      <c r="B26" s="693"/>
      <c r="E26">
        <f>'Récoltes - Intercéréales'!G5</f>
        <v>21</v>
      </c>
      <c r="F26">
        <f>'Récoltes - Intercéréales'!H5</f>
        <v>21</v>
      </c>
      <c r="G26" s="693"/>
    </row>
    <row r="27" spans="1:9">
      <c r="A27" t="s">
        <v>320</v>
      </c>
      <c r="B27" s="693" t="s">
        <v>319</v>
      </c>
      <c r="F27">
        <f>'Récoltes - Intercéréales'!H14</f>
        <v>4</v>
      </c>
      <c r="G27" s="693"/>
    </row>
    <row r="28" spans="1:9">
      <c r="A28" t="s">
        <v>321</v>
      </c>
      <c r="B28" s="693"/>
      <c r="G28" s="693"/>
    </row>
    <row r="29" spans="1:9">
      <c r="A29" t="s">
        <v>322</v>
      </c>
      <c r="B29" s="693"/>
      <c r="F29">
        <f>'Récoltes - Intercéréales'!H30</f>
        <v>0.4</v>
      </c>
      <c r="G29" s="693"/>
    </row>
    <row r="30" spans="1:9">
      <c r="A30" t="s">
        <v>323</v>
      </c>
      <c r="B30" s="693"/>
      <c r="D30">
        <f>'Récoltes - Intercéréales'!F35</f>
        <v>0</v>
      </c>
      <c r="E30">
        <f>'Récoltes - Intercéréales'!G35</f>
        <v>0</v>
      </c>
      <c r="F30">
        <f>'Récoltes - Intercéréales'!H35</f>
        <v>0</v>
      </c>
      <c r="G30" s="693"/>
    </row>
  </sheetData>
  <mergeCells count="7">
    <mergeCell ref="G24:G30"/>
    <mergeCell ref="A1:C1"/>
    <mergeCell ref="D1:F1"/>
    <mergeCell ref="B24:B26"/>
    <mergeCell ref="B27:B30"/>
    <mergeCell ref="B3:B20"/>
    <mergeCell ref="B21:B23"/>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81AE-B494-47F8-BCAE-DAB22C0731C3}">
  <dimension ref="A1:BF1500"/>
  <sheetViews>
    <sheetView workbookViewId="0">
      <pane xSplit="2" ySplit="6" topLeftCell="C7" activePane="bottomRight" state="frozen"/>
      <selection activeCell="L33" sqref="L33"/>
      <selection pane="topRight" activeCell="L33" sqref="L33"/>
      <selection pane="bottomLeft" activeCell="L33" sqref="L33"/>
      <selection pane="bottomRight" activeCell="L33" sqref="L33"/>
    </sheetView>
  </sheetViews>
  <sheetFormatPr baseColWidth="10" defaultRowHeight="14.4"/>
  <cols>
    <col min="1" max="1" width="11.5546875" style="46"/>
    <col min="2" max="2" width="37.33203125" style="46" customWidth="1"/>
    <col min="3" max="16" width="15.6640625" style="46" customWidth="1"/>
    <col min="17" max="30" width="8.6640625" style="46" customWidth="1"/>
    <col min="31" max="34" width="15.6640625" style="46" customWidth="1"/>
    <col min="35" max="35" width="13" style="46" customWidth="1"/>
    <col min="36" max="36" width="15.6640625" style="46" customWidth="1"/>
    <col min="37" max="39" width="15.6640625" style="46" hidden="1" customWidth="1"/>
    <col min="40" max="40" width="15.6640625" style="46" customWidth="1"/>
    <col min="41" max="43" width="15.6640625" style="46" hidden="1" customWidth="1"/>
    <col min="44" max="58" width="15.6640625" style="46" customWidth="1"/>
    <col min="59" max="59" width="14.6640625" style="46" customWidth="1"/>
    <col min="60" max="16384" width="11.5546875" style="46"/>
  </cols>
  <sheetData>
    <row r="1" spans="1:58" ht="19.8">
      <c r="A1" s="45" t="s">
        <v>55</v>
      </c>
      <c r="C1" s="47"/>
      <c r="D1" s="47"/>
      <c r="E1" s="47"/>
      <c r="F1" s="47"/>
      <c r="G1" s="47"/>
      <c r="H1" s="47"/>
      <c r="I1" s="47"/>
      <c r="J1" s="47"/>
      <c r="K1" s="47"/>
      <c r="L1" s="47"/>
      <c r="M1" s="47"/>
      <c r="N1" s="47"/>
      <c r="O1" s="47"/>
      <c r="P1" s="47"/>
      <c r="Q1" s="85"/>
      <c r="R1" s="85"/>
      <c r="S1" s="85"/>
      <c r="T1" s="85"/>
      <c r="U1" s="85"/>
      <c r="V1" s="85"/>
      <c r="W1" s="85"/>
      <c r="X1" s="85"/>
      <c r="Y1" s="85"/>
      <c r="Z1" s="85"/>
      <c r="AA1" s="85"/>
      <c r="AB1" s="85"/>
      <c r="AC1" s="85"/>
      <c r="AD1" s="85"/>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row>
    <row r="2" spans="1:58" ht="15.6">
      <c r="A2" s="48" t="s">
        <v>56</v>
      </c>
      <c r="C2" s="47"/>
      <c r="D2" s="47"/>
      <c r="E2" s="47"/>
      <c r="F2" s="47"/>
      <c r="G2" s="47"/>
      <c r="H2" s="47"/>
      <c r="I2" s="47"/>
      <c r="J2" s="47"/>
      <c r="K2" s="47"/>
      <c r="L2" s="47"/>
      <c r="M2" s="47"/>
      <c r="N2" s="47"/>
      <c r="O2" s="47"/>
      <c r="P2" s="47"/>
      <c r="Q2" s="85"/>
      <c r="R2" s="85"/>
      <c r="S2" s="85"/>
      <c r="T2" s="85"/>
      <c r="U2" s="85"/>
      <c r="V2" s="85"/>
      <c r="W2" s="85"/>
      <c r="X2" s="85"/>
      <c r="Y2" s="85"/>
      <c r="Z2" s="85"/>
      <c r="AA2" s="85"/>
      <c r="AB2" s="85"/>
      <c r="AC2" s="85"/>
      <c r="AD2" s="85"/>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row>
    <row r="3" spans="1:58">
      <c r="A3" s="46" t="s">
        <v>57</v>
      </c>
      <c r="C3" s="47"/>
      <c r="D3" s="47"/>
      <c r="E3" s="47"/>
      <c r="F3" s="47"/>
      <c r="G3" s="47"/>
      <c r="H3" s="47"/>
      <c r="I3" s="47"/>
      <c r="J3" s="47"/>
      <c r="K3" s="47"/>
      <c r="L3" s="47"/>
      <c r="M3" s="47"/>
      <c r="N3" s="47"/>
      <c r="O3" s="47"/>
      <c r="P3" s="47"/>
      <c r="Q3" s="85"/>
      <c r="R3" s="85"/>
      <c r="S3" s="85"/>
      <c r="T3" s="85"/>
      <c r="U3" s="85"/>
      <c r="V3" s="85"/>
      <c r="W3" s="85"/>
      <c r="X3" s="85"/>
      <c r="Y3" s="85"/>
      <c r="Z3" s="85"/>
      <c r="AA3" s="85"/>
      <c r="AB3" s="85"/>
      <c r="AC3" s="85"/>
      <c r="AD3" s="85"/>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row>
    <row r="4" spans="1:58">
      <c r="A4" s="46" t="s">
        <v>58</v>
      </c>
      <c r="C4" s="47"/>
      <c r="D4" s="47"/>
      <c r="E4" s="47"/>
      <c r="F4" s="47"/>
      <c r="G4" s="47"/>
      <c r="H4" s="47"/>
      <c r="I4" s="47"/>
      <c r="J4" s="47"/>
      <c r="K4" s="47"/>
      <c r="L4" s="47"/>
      <c r="M4" s="47"/>
      <c r="N4" s="47"/>
      <c r="O4" s="47"/>
      <c r="P4" s="47"/>
      <c r="Q4" s="85"/>
      <c r="R4" s="85"/>
      <c r="S4" s="85"/>
      <c r="T4" s="85"/>
      <c r="U4" s="85"/>
      <c r="V4" s="85"/>
      <c r="W4" s="85"/>
      <c r="X4" s="85"/>
      <c r="Y4" s="85"/>
      <c r="Z4" s="85"/>
      <c r="AA4" s="85"/>
      <c r="AB4" s="85"/>
      <c r="AC4" s="85"/>
      <c r="AD4" s="85"/>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row>
    <row r="5" spans="1:58">
      <c r="C5" s="47"/>
      <c r="D5" s="47"/>
      <c r="E5" s="47"/>
      <c r="F5" s="47"/>
      <c r="G5" s="47"/>
      <c r="H5" s="47"/>
      <c r="I5" s="47"/>
      <c r="J5" s="47"/>
      <c r="K5" s="47"/>
      <c r="L5" s="47"/>
      <c r="M5" s="47"/>
      <c r="N5" s="47"/>
      <c r="O5" s="47"/>
      <c r="P5" s="47"/>
      <c r="Q5" s="85"/>
      <c r="R5" s="85"/>
      <c r="S5" s="85"/>
      <c r="T5" s="85"/>
      <c r="U5" s="85"/>
      <c r="V5" s="85"/>
      <c r="W5" s="85"/>
      <c r="X5" s="85"/>
      <c r="Y5" s="85"/>
      <c r="Z5" s="85"/>
      <c r="AA5" s="85"/>
      <c r="AB5" s="85"/>
      <c r="AC5" s="85"/>
      <c r="AD5" s="85"/>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row>
    <row r="6" spans="1:58">
      <c r="A6" s="46" t="s">
        <v>59</v>
      </c>
      <c r="B6" s="46" t="s">
        <v>60</v>
      </c>
      <c r="C6" s="47" t="s">
        <v>212</v>
      </c>
      <c r="D6" s="47" t="s">
        <v>213</v>
      </c>
      <c r="E6" s="47" t="s">
        <v>214</v>
      </c>
      <c r="F6" s="47" t="s">
        <v>215</v>
      </c>
      <c r="G6" s="47" t="s">
        <v>216</v>
      </c>
      <c r="H6" s="47" t="s">
        <v>217</v>
      </c>
      <c r="I6" s="47" t="s">
        <v>218</v>
      </c>
      <c r="J6" s="47" t="s">
        <v>219</v>
      </c>
      <c r="K6" s="47" t="s">
        <v>220</v>
      </c>
      <c r="L6" s="47" t="s">
        <v>221</v>
      </c>
      <c r="M6" s="47" t="s">
        <v>222</v>
      </c>
      <c r="N6" s="47" t="s">
        <v>223</v>
      </c>
      <c r="O6" s="47" t="s">
        <v>224</v>
      </c>
      <c r="P6" s="47" t="s">
        <v>225</v>
      </c>
      <c r="Q6" s="85" t="s">
        <v>226</v>
      </c>
      <c r="R6" s="85" t="s">
        <v>227</v>
      </c>
      <c r="S6" s="85" t="s">
        <v>228</v>
      </c>
      <c r="T6" s="85" t="s">
        <v>229</v>
      </c>
      <c r="U6" s="85" t="s">
        <v>230</v>
      </c>
      <c r="V6" s="85" t="s">
        <v>231</v>
      </c>
      <c r="W6" s="85" t="s">
        <v>232</v>
      </c>
      <c r="X6" s="85" t="s">
        <v>233</v>
      </c>
      <c r="Y6" s="85" t="s">
        <v>234</v>
      </c>
      <c r="Z6" s="85" t="s">
        <v>235</v>
      </c>
      <c r="AA6" s="85" t="s">
        <v>236</v>
      </c>
      <c r="AB6" s="85" t="s">
        <v>237</v>
      </c>
      <c r="AC6" s="85" t="s">
        <v>238</v>
      </c>
      <c r="AD6" s="85" t="s">
        <v>239</v>
      </c>
      <c r="AE6" s="47" t="s">
        <v>240</v>
      </c>
      <c r="AF6" s="47" t="s">
        <v>241</v>
      </c>
      <c r="AG6" s="47" t="s">
        <v>242</v>
      </c>
      <c r="AH6" s="47" t="s">
        <v>243</v>
      </c>
      <c r="AI6" s="47" t="s">
        <v>244</v>
      </c>
      <c r="AJ6" s="47" t="s">
        <v>61</v>
      </c>
      <c r="AK6" s="47" t="s">
        <v>245</v>
      </c>
      <c r="AL6" s="47" t="s">
        <v>246</v>
      </c>
      <c r="AM6" s="47" t="s">
        <v>247</v>
      </c>
      <c r="AN6" s="47" t="s">
        <v>62</v>
      </c>
      <c r="AO6" s="47" t="s">
        <v>248</v>
      </c>
      <c r="AP6" s="47" t="s">
        <v>249</v>
      </c>
      <c r="AQ6" s="47" t="s">
        <v>250</v>
      </c>
      <c r="AR6" s="47" t="s">
        <v>63</v>
      </c>
      <c r="AS6" s="47"/>
      <c r="AT6" s="47"/>
      <c r="AU6" s="47"/>
      <c r="AV6" s="47"/>
      <c r="AW6" s="47"/>
      <c r="AX6" s="47"/>
      <c r="AY6" s="47"/>
      <c r="AZ6" s="47"/>
      <c r="BA6" s="47"/>
      <c r="BB6" s="47"/>
      <c r="BC6" s="47"/>
      <c r="BD6" s="47"/>
      <c r="BE6" s="47"/>
      <c r="BF6" s="47"/>
    </row>
    <row r="7" spans="1:58">
      <c r="A7" s="46" t="s">
        <v>64</v>
      </c>
      <c r="B7" s="46" t="s">
        <v>251</v>
      </c>
      <c r="C7" s="47">
        <v>4881829</v>
      </c>
      <c r="D7" s="47">
        <v>4977224</v>
      </c>
      <c r="E7" s="47">
        <v>4819556</v>
      </c>
      <c r="F7" s="47">
        <v>4956684</v>
      </c>
      <c r="G7" s="47">
        <v>4986232</v>
      </c>
      <c r="H7" s="47">
        <v>5146242</v>
      </c>
      <c r="I7" s="47">
        <v>5125624</v>
      </c>
      <c r="J7" s="47">
        <v>4948883</v>
      </c>
      <c r="K7" s="47">
        <v>4866857</v>
      </c>
      <c r="L7" s="47">
        <v>4983409</v>
      </c>
      <c r="M7" s="47">
        <v>4226344</v>
      </c>
      <c r="N7" s="47">
        <v>4960464</v>
      </c>
      <c r="O7" s="47">
        <v>4671845</v>
      </c>
      <c r="P7" s="47">
        <v>4742898</v>
      </c>
      <c r="Q7" s="85">
        <v>72.47</v>
      </c>
      <c r="R7" s="85">
        <v>68.150000000000006</v>
      </c>
      <c r="S7" s="85">
        <v>73.13</v>
      </c>
      <c r="T7" s="85">
        <v>74.03</v>
      </c>
      <c r="U7" s="85">
        <v>74.86</v>
      </c>
      <c r="V7" s="85">
        <v>79.45</v>
      </c>
      <c r="W7" s="85">
        <v>53.76</v>
      </c>
      <c r="X7" s="85">
        <v>73.7</v>
      </c>
      <c r="Y7" s="85">
        <v>69.78</v>
      </c>
      <c r="Z7" s="85">
        <v>79.08</v>
      </c>
      <c r="AA7" s="85">
        <v>68.5</v>
      </c>
      <c r="AB7" s="85">
        <v>71.06</v>
      </c>
      <c r="AC7" s="85">
        <v>71.790000000000006</v>
      </c>
      <c r="AD7" s="85">
        <v>73.790000000000006</v>
      </c>
      <c r="AE7" s="47">
        <v>353793632</v>
      </c>
      <c r="AF7" s="47">
        <v>339181956</v>
      </c>
      <c r="AG7" s="47">
        <v>352442900</v>
      </c>
      <c r="AH7" s="47">
        <v>366928633</v>
      </c>
      <c r="AI7" s="47">
        <v>373276426</v>
      </c>
      <c r="AJ7" s="47">
        <v>408882079</v>
      </c>
      <c r="AK7" s="47">
        <v>275539198</v>
      </c>
      <c r="AL7" s="47">
        <v>364733268</v>
      </c>
      <c r="AM7" s="47">
        <v>339587357</v>
      </c>
      <c r="AN7" s="47">
        <v>394107551</v>
      </c>
      <c r="AO7" s="47">
        <v>289512658</v>
      </c>
      <c r="AP7" s="47">
        <v>352504874</v>
      </c>
      <c r="AQ7" s="47">
        <v>335379188</v>
      </c>
      <c r="AR7" s="47">
        <v>349961958</v>
      </c>
      <c r="AS7" s="47"/>
      <c r="AT7" s="47"/>
      <c r="AU7" s="47"/>
      <c r="AV7" s="47"/>
      <c r="AW7" s="47"/>
      <c r="AX7" s="47"/>
      <c r="AY7" s="47"/>
      <c r="AZ7" s="47"/>
      <c r="BA7" s="47"/>
      <c r="BB7" s="47"/>
      <c r="BC7" s="47"/>
      <c r="BD7" s="47"/>
      <c r="BE7" s="47"/>
      <c r="BF7" s="47"/>
    </row>
    <row r="8" spans="1:58">
      <c r="A8" s="46" t="s">
        <v>64</v>
      </c>
      <c r="B8" s="46" t="s">
        <v>252</v>
      </c>
      <c r="C8" s="47">
        <v>16606</v>
      </c>
      <c r="D8" s="47">
        <v>14153</v>
      </c>
      <c r="E8" s="47">
        <v>42605</v>
      </c>
      <c r="F8" s="47">
        <v>26381</v>
      </c>
      <c r="G8" s="47">
        <v>27098</v>
      </c>
      <c r="H8" s="47">
        <v>17153</v>
      </c>
      <c r="I8" s="47">
        <v>14188</v>
      </c>
      <c r="J8" s="47">
        <v>13872</v>
      </c>
      <c r="K8" s="47">
        <v>13871</v>
      </c>
      <c r="L8" s="47">
        <v>15529</v>
      </c>
      <c r="M8" s="47">
        <v>41153</v>
      </c>
      <c r="N8" s="47">
        <v>22042</v>
      </c>
      <c r="O8" s="47">
        <v>25052</v>
      </c>
      <c r="P8" s="47">
        <v>19050</v>
      </c>
      <c r="Q8" s="85">
        <v>63.07</v>
      </c>
      <c r="R8" s="85">
        <v>57.71</v>
      </c>
      <c r="S8" s="85">
        <v>62.1</v>
      </c>
      <c r="T8" s="85">
        <v>64.02</v>
      </c>
      <c r="U8" s="85">
        <v>63.08</v>
      </c>
      <c r="V8" s="85">
        <v>63.94</v>
      </c>
      <c r="W8" s="85">
        <v>49.43</v>
      </c>
      <c r="X8" s="85">
        <v>65.25</v>
      </c>
      <c r="Y8" s="85">
        <v>64.91</v>
      </c>
      <c r="Z8" s="85">
        <v>68.91</v>
      </c>
      <c r="AA8" s="85">
        <v>62.98</v>
      </c>
      <c r="AB8" s="85">
        <v>66.23</v>
      </c>
      <c r="AC8" s="85">
        <v>62.23</v>
      </c>
      <c r="AD8" s="85">
        <v>63.76</v>
      </c>
      <c r="AE8" s="47">
        <v>1047282</v>
      </c>
      <c r="AF8" s="47">
        <v>816714</v>
      </c>
      <c r="AG8" s="47">
        <v>2645823</v>
      </c>
      <c r="AH8" s="47">
        <v>1688841</v>
      </c>
      <c r="AI8" s="47">
        <v>1709472</v>
      </c>
      <c r="AJ8" s="47">
        <v>1096798</v>
      </c>
      <c r="AK8" s="47">
        <v>701355</v>
      </c>
      <c r="AL8" s="47">
        <v>905175</v>
      </c>
      <c r="AM8" s="47">
        <v>900340</v>
      </c>
      <c r="AN8" s="47">
        <v>1070158</v>
      </c>
      <c r="AO8" s="47">
        <v>2591817</v>
      </c>
      <c r="AP8" s="47">
        <v>1459922</v>
      </c>
      <c r="AQ8" s="47">
        <v>1559069</v>
      </c>
      <c r="AR8" s="47">
        <v>1214675</v>
      </c>
      <c r="AS8" s="47"/>
      <c r="AT8" s="47"/>
      <c r="AU8" s="47"/>
      <c r="AV8" s="47"/>
      <c r="AW8" s="47"/>
      <c r="AX8" s="47"/>
      <c r="AY8" s="47"/>
      <c r="AZ8" s="47"/>
      <c r="BA8" s="47"/>
      <c r="BB8" s="47"/>
      <c r="BC8" s="47"/>
      <c r="BD8" s="47"/>
      <c r="BE8" s="47"/>
      <c r="BF8" s="47"/>
    </row>
    <row r="9" spans="1:58">
      <c r="A9" s="46" t="s">
        <v>64</v>
      </c>
      <c r="B9" s="46" t="s">
        <v>253</v>
      </c>
      <c r="C9" s="47">
        <v>4898435</v>
      </c>
      <c r="D9" s="47">
        <v>4991377</v>
      </c>
      <c r="E9" s="47">
        <v>4862161</v>
      </c>
      <c r="F9" s="47">
        <v>4983065</v>
      </c>
      <c r="G9" s="47">
        <v>5013330</v>
      </c>
      <c r="H9" s="47">
        <v>5163395</v>
      </c>
      <c r="I9" s="47">
        <v>5139812</v>
      </c>
      <c r="J9" s="47">
        <v>4962755</v>
      </c>
      <c r="K9" s="47">
        <v>4880728</v>
      </c>
      <c r="L9" s="47">
        <v>4998938</v>
      </c>
      <c r="M9" s="47">
        <v>4267497</v>
      </c>
      <c r="N9" s="47">
        <v>4982506</v>
      </c>
      <c r="O9" s="47">
        <v>4696897</v>
      </c>
      <c r="P9" s="47">
        <v>4761948</v>
      </c>
      <c r="Q9" s="85">
        <v>72.44</v>
      </c>
      <c r="R9" s="85">
        <v>68.12</v>
      </c>
      <c r="S9" s="85">
        <v>73.03</v>
      </c>
      <c r="T9" s="85">
        <v>73.97</v>
      </c>
      <c r="U9" s="85">
        <v>74.8</v>
      </c>
      <c r="V9" s="85">
        <v>79.400000000000006</v>
      </c>
      <c r="W9" s="85">
        <v>53.75</v>
      </c>
      <c r="X9" s="85">
        <v>73.680000000000007</v>
      </c>
      <c r="Y9" s="85">
        <v>69.760000000000005</v>
      </c>
      <c r="Z9" s="85">
        <v>79.05</v>
      </c>
      <c r="AA9" s="85">
        <v>68.45</v>
      </c>
      <c r="AB9" s="85">
        <v>71.040000000000006</v>
      </c>
      <c r="AC9" s="85">
        <v>71.739999999999995</v>
      </c>
      <c r="AD9" s="85">
        <v>73.75</v>
      </c>
      <c r="AE9" s="47">
        <v>354840914</v>
      </c>
      <c r="AF9" s="47">
        <v>339998670</v>
      </c>
      <c r="AG9" s="47">
        <v>355088723</v>
      </c>
      <c r="AH9" s="47">
        <v>368617474</v>
      </c>
      <c r="AI9" s="47">
        <v>374985898</v>
      </c>
      <c r="AJ9" s="47">
        <v>409978877</v>
      </c>
      <c r="AK9" s="47">
        <v>276240553</v>
      </c>
      <c r="AL9" s="47">
        <v>365638443</v>
      </c>
      <c r="AM9" s="47">
        <v>340487697</v>
      </c>
      <c r="AN9" s="47">
        <v>395177709</v>
      </c>
      <c r="AO9" s="47">
        <v>292104475</v>
      </c>
      <c r="AP9" s="47">
        <v>353964796</v>
      </c>
      <c r="AQ9" s="47">
        <v>336938257</v>
      </c>
      <c r="AR9" s="47">
        <v>351176633</v>
      </c>
      <c r="AS9" s="47"/>
      <c r="AT9" s="47"/>
      <c r="AU9" s="47"/>
      <c r="AV9" s="47"/>
      <c r="AW9" s="47"/>
      <c r="AX9" s="47"/>
      <c r="AY9" s="47"/>
      <c r="AZ9" s="47"/>
      <c r="BA9" s="47"/>
      <c r="BB9" s="47"/>
      <c r="BC9" s="47"/>
      <c r="BD9" s="47"/>
      <c r="BE9" s="47"/>
      <c r="BF9" s="47"/>
    </row>
    <row r="10" spans="1:58">
      <c r="A10" s="46" t="s">
        <v>64</v>
      </c>
      <c r="B10" s="46" t="s">
        <v>254</v>
      </c>
      <c r="C10" s="47">
        <v>493872</v>
      </c>
      <c r="D10" s="47">
        <v>410076</v>
      </c>
      <c r="E10" s="47">
        <v>421586</v>
      </c>
      <c r="F10" s="47">
        <v>326137</v>
      </c>
      <c r="G10" s="47">
        <v>280141</v>
      </c>
      <c r="H10" s="47">
        <v>307222</v>
      </c>
      <c r="I10" s="47">
        <v>394360</v>
      </c>
      <c r="J10" s="47">
        <v>360734</v>
      </c>
      <c r="K10" s="47">
        <v>346836</v>
      </c>
      <c r="L10" s="47">
        <v>238635</v>
      </c>
      <c r="M10" s="47">
        <v>218407</v>
      </c>
      <c r="N10" s="47">
        <v>285312</v>
      </c>
      <c r="O10" s="47">
        <v>245216</v>
      </c>
      <c r="P10" s="47">
        <v>229526</v>
      </c>
      <c r="Q10" s="85">
        <v>50.22</v>
      </c>
      <c r="R10" s="85">
        <v>48.36</v>
      </c>
      <c r="S10" s="85">
        <v>54.35</v>
      </c>
      <c r="T10" s="85">
        <v>52.12</v>
      </c>
      <c r="U10" s="85">
        <v>51.33</v>
      </c>
      <c r="V10" s="85">
        <v>55.94</v>
      </c>
      <c r="W10" s="85">
        <v>41.29</v>
      </c>
      <c r="X10" s="85">
        <v>56.55</v>
      </c>
      <c r="Y10" s="85">
        <v>50.39</v>
      </c>
      <c r="Z10" s="85">
        <v>63.82</v>
      </c>
      <c r="AA10" s="85">
        <v>52.74</v>
      </c>
      <c r="AB10" s="85">
        <v>54.25</v>
      </c>
      <c r="AC10" s="85">
        <v>53.26</v>
      </c>
      <c r="AD10" s="85">
        <v>55.12</v>
      </c>
      <c r="AE10" s="47">
        <v>24804211</v>
      </c>
      <c r="AF10" s="47">
        <v>19832749</v>
      </c>
      <c r="AG10" s="47">
        <v>22914409</v>
      </c>
      <c r="AH10" s="47">
        <v>16999087</v>
      </c>
      <c r="AI10" s="47">
        <v>14380884</v>
      </c>
      <c r="AJ10" s="47">
        <v>17186288</v>
      </c>
      <c r="AK10" s="47">
        <v>16285045</v>
      </c>
      <c r="AL10" s="47">
        <v>20400619</v>
      </c>
      <c r="AM10" s="47">
        <v>17476993</v>
      </c>
      <c r="AN10" s="47">
        <v>15228553</v>
      </c>
      <c r="AO10" s="47">
        <v>11517957</v>
      </c>
      <c r="AP10" s="47">
        <v>15478789</v>
      </c>
      <c r="AQ10" s="47">
        <v>13059148</v>
      </c>
      <c r="AR10" s="47">
        <v>12652262</v>
      </c>
      <c r="AS10" s="47"/>
      <c r="AT10" s="47"/>
      <c r="AU10" s="47"/>
      <c r="AV10" s="47"/>
      <c r="AW10" s="47"/>
      <c r="AX10" s="47"/>
      <c r="AY10" s="47"/>
      <c r="AZ10" s="47"/>
      <c r="BA10" s="47"/>
      <c r="BB10" s="47"/>
      <c r="BC10" s="47"/>
      <c r="BD10" s="47"/>
      <c r="BE10" s="47"/>
      <c r="BF10" s="47"/>
    </row>
    <row r="11" spans="1:58">
      <c r="A11" s="46" t="s">
        <v>64</v>
      </c>
      <c r="B11" s="46" t="s">
        <v>255</v>
      </c>
      <c r="C11" s="47">
        <v>12738</v>
      </c>
      <c r="D11" s="47">
        <v>6400</v>
      </c>
      <c r="E11" s="47">
        <v>15776</v>
      </c>
      <c r="F11" s="47">
        <v>9457</v>
      </c>
      <c r="G11" s="47">
        <v>5825</v>
      </c>
      <c r="H11" s="47">
        <v>11642</v>
      </c>
      <c r="I11" s="47">
        <v>8130</v>
      </c>
      <c r="J11" s="47">
        <v>8674</v>
      </c>
      <c r="K11" s="47">
        <v>6625</v>
      </c>
      <c r="L11" s="47">
        <v>6847</v>
      </c>
      <c r="M11" s="47">
        <v>33871</v>
      </c>
      <c r="N11" s="47">
        <v>8914</v>
      </c>
      <c r="O11" s="47">
        <v>7731</v>
      </c>
      <c r="P11" s="47">
        <v>6809</v>
      </c>
      <c r="Q11" s="85">
        <v>46.14</v>
      </c>
      <c r="R11" s="85">
        <v>50.35</v>
      </c>
      <c r="S11" s="85">
        <v>56.54</v>
      </c>
      <c r="T11" s="85">
        <v>58.25</v>
      </c>
      <c r="U11" s="85">
        <v>59.88</v>
      </c>
      <c r="V11" s="85">
        <v>60.53</v>
      </c>
      <c r="W11" s="85">
        <v>39.770000000000003</v>
      </c>
      <c r="X11" s="85">
        <v>56.08</v>
      </c>
      <c r="Y11" s="85">
        <v>55.67</v>
      </c>
      <c r="Z11" s="85">
        <v>61.79</v>
      </c>
      <c r="AA11" s="85">
        <v>51.36</v>
      </c>
      <c r="AB11" s="85">
        <v>50.71</v>
      </c>
      <c r="AC11" s="85">
        <v>51.85</v>
      </c>
      <c r="AD11" s="85">
        <v>53.11</v>
      </c>
      <c r="AE11" s="47">
        <v>587723</v>
      </c>
      <c r="AF11" s="47">
        <v>322215</v>
      </c>
      <c r="AG11" s="47">
        <v>892017</v>
      </c>
      <c r="AH11" s="47">
        <v>550876</v>
      </c>
      <c r="AI11" s="47">
        <v>348822</v>
      </c>
      <c r="AJ11" s="47">
        <v>704737</v>
      </c>
      <c r="AK11" s="47">
        <v>323360</v>
      </c>
      <c r="AL11" s="47">
        <v>486417</v>
      </c>
      <c r="AM11" s="47">
        <v>368832</v>
      </c>
      <c r="AN11" s="47">
        <v>423104</v>
      </c>
      <c r="AO11" s="47">
        <v>1739693</v>
      </c>
      <c r="AP11" s="47">
        <v>452031</v>
      </c>
      <c r="AQ11" s="47">
        <v>400828</v>
      </c>
      <c r="AR11" s="47">
        <v>361621</v>
      </c>
      <c r="AS11" s="47"/>
      <c r="AT11" s="47"/>
      <c r="AU11" s="47"/>
      <c r="AV11" s="47"/>
      <c r="AW11" s="47"/>
      <c r="AX11" s="47"/>
      <c r="AY11" s="47"/>
      <c r="AZ11" s="47"/>
      <c r="BA11" s="47"/>
      <c r="BB11" s="47"/>
      <c r="BC11" s="47"/>
      <c r="BD11" s="47"/>
      <c r="BE11" s="47"/>
      <c r="BF11" s="47"/>
    </row>
    <row r="12" spans="1:58">
      <c r="A12" s="46" t="s">
        <v>64</v>
      </c>
      <c r="B12" s="46" t="s">
        <v>256</v>
      </c>
      <c r="C12" s="47">
        <v>506610</v>
      </c>
      <c r="D12" s="47">
        <v>416476</v>
      </c>
      <c r="E12" s="47">
        <v>437362</v>
      </c>
      <c r="F12" s="47">
        <v>335594</v>
      </c>
      <c r="G12" s="47">
        <v>285966</v>
      </c>
      <c r="H12" s="47">
        <v>318864</v>
      </c>
      <c r="I12" s="47">
        <v>402490</v>
      </c>
      <c r="J12" s="47">
        <v>369408</v>
      </c>
      <c r="K12" s="47">
        <v>353461</v>
      </c>
      <c r="L12" s="47">
        <v>245482</v>
      </c>
      <c r="M12" s="47">
        <v>252278</v>
      </c>
      <c r="N12" s="47">
        <v>294226</v>
      </c>
      <c r="O12" s="47">
        <v>252947</v>
      </c>
      <c r="P12" s="47">
        <v>236335</v>
      </c>
      <c r="Q12" s="85">
        <v>50.12</v>
      </c>
      <c r="R12" s="85">
        <v>48.39</v>
      </c>
      <c r="S12" s="85">
        <v>54.43</v>
      </c>
      <c r="T12" s="85">
        <v>52.3</v>
      </c>
      <c r="U12" s="85">
        <v>51.51</v>
      </c>
      <c r="V12" s="85">
        <v>56.11</v>
      </c>
      <c r="W12" s="85">
        <v>41.26</v>
      </c>
      <c r="X12" s="85">
        <v>56.54</v>
      </c>
      <c r="Y12" s="85">
        <v>50.49</v>
      </c>
      <c r="Z12" s="85">
        <v>63.76</v>
      </c>
      <c r="AA12" s="85">
        <v>52.55</v>
      </c>
      <c r="AB12" s="85">
        <v>54.14</v>
      </c>
      <c r="AC12" s="85">
        <v>53.21</v>
      </c>
      <c r="AD12" s="85">
        <v>55.07</v>
      </c>
      <c r="AE12" s="47">
        <v>25391934</v>
      </c>
      <c r="AF12" s="47">
        <v>20154964</v>
      </c>
      <c r="AG12" s="47">
        <v>23806426</v>
      </c>
      <c r="AH12" s="47">
        <v>17549963</v>
      </c>
      <c r="AI12" s="47">
        <v>14729706</v>
      </c>
      <c r="AJ12" s="47">
        <v>17891025</v>
      </c>
      <c r="AK12" s="47">
        <v>16608405</v>
      </c>
      <c r="AL12" s="47">
        <v>20887036</v>
      </c>
      <c r="AM12" s="47">
        <v>17845825</v>
      </c>
      <c r="AN12" s="47">
        <v>15651657</v>
      </c>
      <c r="AO12" s="47">
        <v>13257650</v>
      </c>
      <c r="AP12" s="47">
        <v>15930820</v>
      </c>
      <c r="AQ12" s="47">
        <v>13459976</v>
      </c>
      <c r="AR12" s="47">
        <v>13013883</v>
      </c>
      <c r="AS12" s="47"/>
      <c r="AT12" s="47"/>
      <c r="AU12" s="47"/>
      <c r="AV12" s="47"/>
      <c r="AW12" s="47"/>
      <c r="AX12" s="47"/>
      <c r="AY12" s="47"/>
      <c r="AZ12" s="47"/>
      <c r="BA12" s="47"/>
      <c r="BB12" s="47"/>
      <c r="BC12" s="47"/>
      <c r="BD12" s="47"/>
      <c r="BE12" s="47"/>
      <c r="BF12" s="47"/>
    </row>
    <row r="13" spans="1:58">
      <c r="A13" s="46" t="s">
        <v>64</v>
      </c>
      <c r="B13" s="46" t="s">
        <v>257</v>
      </c>
      <c r="C13" s="47">
        <v>29642</v>
      </c>
      <c r="D13" s="47">
        <v>27639</v>
      </c>
      <c r="E13" s="47">
        <v>31596</v>
      </c>
      <c r="F13" s="47">
        <v>29131</v>
      </c>
      <c r="G13" s="47">
        <v>26181</v>
      </c>
      <c r="H13" s="47">
        <v>26253</v>
      </c>
      <c r="I13" s="47">
        <v>24373</v>
      </c>
      <c r="J13" s="47">
        <v>24187</v>
      </c>
      <c r="K13" s="47">
        <v>24449</v>
      </c>
      <c r="L13" s="47">
        <v>28725</v>
      </c>
      <c r="M13" s="47">
        <v>31961</v>
      </c>
      <c r="N13" s="47">
        <v>43221</v>
      </c>
      <c r="O13" s="47">
        <v>41539</v>
      </c>
      <c r="P13" s="47">
        <v>38824</v>
      </c>
      <c r="Q13" s="85">
        <v>51.42</v>
      </c>
      <c r="R13" s="85">
        <v>44.98</v>
      </c>
      <c r="S13" s="85">
        <v>50.8</v>
      </c>
      <c r="T13" s="85">
        <v>49.17</v>
      </c>
      <c r="U13" s="85">
        <v>48.98</v>
      </c>
      <c r="V13" s="85">
        <v>47.12</v>
      </c>
      <c r="W13" s="85">
        <v>39.79</v>
      </c>
      <c r="X13" s="85">
        <v>45.36</v>
      </c>
      <c r="Y13" s="85">
        <v>44.92</v>
      </c>
      <c r="Z13" s="85">
        <v>47.68</v>
      </c>
      <c r="AA13" s="85">
        <v>41.92</v>
      </c>
      <c r="AB13" s="85">
        <v>45.48</v>
      </c>
      <c r="AC13" s="85">
        <v>38.4</v>
      </c>
      <c r="AD13" s="85">
        <v>43.86</v>
      </c>
      <c r="AE13" s="47">
        <v>1524332</v>
      </c>
      <c r="AF13" s="47">
        <v>1243281</v>
      </c>
      <c r="AG13" s="47">
        <v>1605108</v>
      </c>
      <c r="AH13" s="47">
        <v>1432315</v>
      </c>
      <c r="AI13" s="47">
        <v>1282444</v>
      </c>
      <c r="AJ13" s="47">
        <v>1236957</v>
      </c>
      <c r="AK13" s="47">
        <v>969922</v>
      </c>
      <c r="AL13" s="47">
        <v>1097147</v>
      </c>
      <c r="AM13" s="47">
        <v>1098199</v>
      </c>
      <c r="AN13" s="47">
        <v>1369547</v>
      </c>
      <c r="AO13" s="47">
        <v>1339811</v>
      </c>
      <c r="AP13" s="47">
        <v>1965782</v>
      </c>
      <c r="AQ13" s="47">
        <v>1594902</v>
      </c>
      <c r="AR13" s="47">
        <v>1702900</v>
      </c>
      <c r="AS13" s="47"/>
      <c r="AT13" s="47"/>
      <c r="AU13" s="47"/>
      <c r="AV13" s="47"/>
      <c r="AW13" s="47"/>
      <c r="AX13" s="47"/>
      <c r="AY13" s="47"/>
      <c r="AZ13" s="47"/>
      <c r="BA13" s="47"/>
      <c r="BB13" s="47"/>
      <c r="BC13" s="47"/>
      <c r="BD13" s="47"/>
      <c r="BE13" s="47"/>
      <c r="BF13" s="47"/>
    </row>
    <row r="14" spans="1:58">
      <c r="A14" s="46" t="s">
        <v>64</v>
      </c>
      <c r="B14" s="46" t="s">
        <v>258</v>
      </c>
      <c r="C14" s="47">
        <v>1153545</v>
      </c>
      <c r="D14" s="47">
        <v>1055430</v>
      </c>
      <c r="E14" s="47">
        <v>995026</v>
      </c>
      <c r="F14" s="47">
        <v>1139588</v>
      </c>
      <c r="G14" s="47">
        <v>1238315</v>
      </c>
      <c r="H14" s="47">
        <v>1375606</v>
      </c>
      <c r="I14" s="47">
        <v>1507771</v>
      </c>
      <c r="J14" s="47">
        <v>1397940</v>
      </c>
      <c r="K14" s="47">
        <v>1283644</v>
      </c>
      <c r="L14" s="47">
        <v>1305282</v>
      </c>
      <c r="M14" s="47">
        <v>1180045</v>
      </c>
      <c r="N14" s="47">
        <v>1199431</v>
      </c>
      <c r="O14" s="47">
        <v>1294425</v>
      </c>
      <c r="P14" s="47">
        <v>1367274</v>
      </c>
      <c r="Q14" s="85">
        <v>65.040000000000006</v>
      </c>
      <c r="R14" s="85">
        <v>59.88</v>
      </c>
      <c r="S14" s="85">
        <v>68.02</v>
      </c>
      <c r="T14" s="85">
        <v>64.040000000000006</v>
      </c>
      <c r="U14" s="85">
        <v>68.709999999999994</v>
      </c>
      <c r="V14" s="85">
        <v>73.14</v>
      </c>
      <c r="W14" s="85">
        <v>55.66</v>
      </c>
      <c r="X14" s="85">
        <v>64.98</v>
      </c>
      <c r="Y14" s="85">
        <v>63.42</v>
      </c>
      <c r="Z14" s="85">
        <v>70.849999999999994</v>
      </c>
      <c r="AA14" s="85">
        <v>55.21</v>
      </c>
      <c r="AB14" s="85">
        <v>68.489999999999995</v>
      </c>
      <c r="AC14" s="85">
        <v>65.489999999999995</v>
      </c>
      <c r="AD14" s="85">
        <v>70.91</v>
      </c>
      <c r="AE14" s="47">
        <v>75024733</v>
      </c>
      <c r="AF14" s="47">
        <v>63197232</v>
      </c>
      <c r="AG14" s="47">
        <v>67682200</v>
      </c>
      <c r="AH14" s="47">
        <v>72984732</v>
      </c>
      <c r="AI14" s="47">
        <v>85079429</v>
      </c>
      <c r="AJ14" s="47">
        <v>100614212</v>
      </c>
      <c r="AK14" s="47">
        <v>83929217</v>
      </c>
      <c r="AL14" s="47">
        <v>90839237</v>
      </c>
      <c r="AM14" s="47">
        <v>81406262</v>
      </c>
      <c r="AN14" s="47">
        <v>92476063</v>
      </c>
      <c r="AO14" s="47">
        <v>65153019</v>
      </c>
      <c r="AP14" s="47">
        <v>82153328</v>
      </c>
      <c r="AQ14" s="47">
        <v>84766356</v>
      </c>
      <c r="AR14" s="47">
        <v>96948738</v>
      </c>
      <c r="AS14" s="47"/>
      <c r="AT14" s="47"/>
      <c r="AU14" s="47"/>
      <c r="AV14" s="47"/>
      <c r="AW14" s="47"/>
      <c r="AX14" s="47"/>
      <c r="AY14" s="47"/>
      <c r="AZ14" s="47"/>
      <c r="BA14" s="47"/>
      <c r="BB14" s="47"/>
      <c r="BC14" s="47"/>
      <c r="BD14" s="47"/>
      <c r="BE14" s="47"/>
      <c r="BF14" s="47"/>
    </row>
    <row r="15" spans="1:58">
      <c r="A15" s="46" t="s">
        <v>64</v>
      </c>
      <c r="B15" s="46" t="s">
        <v>259</v>
      </c>
      <c r="C15" s="47">
        <v>421093</v>
      </c>
      <c r="D15" s="47">
        <v>489197</v>
      </c>
      <c r="E15" s="47">
        <v>689312</v>
      </c>
      <c r="F15" s="47">
        <v>495744</v>
      </c>
      <c r="G15" s="47">
        <v>526193</v>
      </c>
      <c r="H15" s="47">
        <v>463314</v>
      </c>
      <c r="I15" s="47">
        <v>409819</v>
      </c>
      <c r="J15" s="47">
        <v>506978</v>
      </c>
      <c r="K15" s="47">
        <v>484380</v>
      </c>
      <c r="L15" s="47">
        <v>638967</v>
      </c>
      <c r="M15" s="47">
        <v>794110</v>
      </c>
      <c r="N15" s="47">
        <v>530938</v>
      </c>
      <c r="O15" s="47">
        <v>572095</v>
      </c>
      <c r="P15" s="47">
        <v>448220</v>
      </c>
      <c r="Q15" s="85">
        <v>60.41</v>
      </c>
      <c r="R15" s="85">
        <v>50.29</v>
      </c>
      <c r="S15" s="85">
        <v>66.37</v>
      </c>
      <c r="T15" s="85">
        <v>60.77</v>
      </c>
      <c r="U15" s="85">
        <v>61.1</v>
      </c>
      <c r="V15" s="85">
        <v>65.489999999999995</v>
      </c>
      <c r="W15" s="85">
        <v>49.93</v>
      </c>
      <c r="X15" s="85">
        <v>59.23</v>
      </c>
      <c r="Y15" s="85">
        <v>62.6</v>
      </c>
      <c r="Z15" s="85">
        <v>70.08</v>
      </c>
      <c r="AA15" s="85">
        <v>48.9</v>
      </c>
      <c r="AB15" s="85">
        <v>61.01</v>
      </c>
      <c r="AC15" s="85">
        <v>51.42</v>
      </c>
      <c r="AD15" s="85">
        <v>57.82</v>
      </c>
      <c r="AE15" s="47">
        <v>25438848</v>
      </c>
      <c r="AF15" s="47">
        <v>24604112</v>
      </c>
      <c r="AG15" s="47">
        <v>45748542</v>
      </c>
      <c r="AH15" s="47">
        <v>30126297</v>
      </c>
      <c r="AI15" s="47">
        <v>32148730</v>
      </c>
      <c r="AJ15" s="47">
        <v>30342624</v>
      </c>
      <c r="AK15" s="47">
        <v>20464305</v>
      </c>
      <c r="AL15" s="47">
        <v>30030332</v>
      </c>
      <c r="AM15" s="47">
        <v>30322939</v>
      </c>
      <c r="AN15" s="47">
        <v>44776509</v>
      </c>
      <c r="AO15" s="47">
        <v>38828332</v>
      </c>
      <c r="AP15" s="47">
        <v>32391805</v>
      </c>
      <c r="AQ15" s="47">
        <v>29415702</v>
      </c>
      <c r="AR15" s="47">
        <v>25914780</v>
      </c>
      <c r="AS15" s="47"/>
      <c r="AT15" s="47"/>
      <c r="AU15" s="47"/>
      <c r="AV15" s="47"/>
      <c r="AW15" s="47"/>
      <c r="AX15" s="47"/>
      <c r="AY15" s="47"/>
      <c r="AZ15" s="47"/>
      <c r="BA15" s="47"/>
      <c r="BB15" s="47"/>
      <c r="BC15" s="47"/>
      <c r="BD15" s="47"/>
      <c r="BE15" s="47"/>
      <c r="BF15" s="47"/>
    </row>
    <row r="16" spans="1:58">
      <c r="A16" s="46" t="s">
        <v>64</v>
      </c>
      <c r="B16" s="46" t="s">
        <v>260</v>
      </c>
      <c r="C16" s="47">
        <v>1574638</v>
      </c>
      <c r="D16" s="47">
        <v>1544627</v>
      </c>
      <c r="E16" s="47">
        <v>1684338</v>
      </c>
      <c r="F16" s="47">
        <v>1635332</v>
      </c>
      <c r="G16" s="47">
        <v>1764508</v>
      </c>
      <c r="H16" s="47">
        <v>1838920</v>
      </c>
      <c r="I16" s="47">
        <v>1917590</v>
      </c>
      <c r="J16" s="47">
        <v>1904918</v>
      </c>
      <c r="K16" s="47">
        <v>1768024</v>
      </c>
      <c r="L16" s="47">
        <v>1944249</v>
      </c>
      <c r="M16" s="47">
        <v>1974155</v>
      </c>
      <c r="N16" s="47">
        <v>1730369</v>
      </c>
      <c r="O16" s="47">
        <v>1866520</v>
      </c>
      <c r="P16" s="47">
        <v>1815494</v>
      </c>
      <c r="Q16" s="85">
        <v>63.8</v>
      </c>
      <c r="R16" s="85">
        <v>56.84</v>
      </c>
      <c r="S16" s="85">
        <v>67.34</v>
      </c>
      <c r="T16" s="85">
        <v>63.05</v>
      </c>
      <c r="U16" s="85">
        <v>66.44</v>
      </c>
      <c r="V16" s="85">
        <v>71.209999999999994</v>
      </c>
      <c r="W16" s="85">
        <v>54.44</v>
      </c>
      <c r="X16" s="85">
        <v>63.45</v>
      </c>
      <c r="Y16" s="85">
        <v>63.19</v>
      </c>
      <c r="Z16" s="85">
        <v>70.59</v>
      </c>
      <c r="AA16" s="85">
        <v>52.67</v>
      </c>
      <c r="AB16" s="85">
        <v>66.2</v>
      </c>
      <c r="AC16" s="85">
        <v>61.17</v>
      </c>
      <c r="AD16" s="85">
        <v>67.67</v>
      </c>
      <c r="AE16" s="47">
        <v>100463581</v>
      </c>
      <c r="AF16" s="47">
        <v>87801344</v>
      </c>
      <c r="AG16" s="47">
        <v>113430742</v>
      </c>
      <c r="AH16" s="47">
        <v>103111029</v>
      </c>
      <c r="AI16" s="47">
        <v>117228159</v>
      </c>
      <c r="AJ16" s="47">
        <v>130956836</v>
      </c>
      <c r="AK16" s="47">
        <v>104393522</v>
      </c>
      <c r="AL16" s="47">
        <v>120869569</v>
      </c>
      <c r="AM16" s="47">
        <v>111729201</v>
      </c>
      <c r="AN16" s="47">
        <v>137252572</v>
      </c>
      <c r="AO16" s="47">
        <v>103981351</v>
      </c>
      <c r="AP16" s="47">
        <v>114545133</v>
      </c>
      <c r="AQ16" s="47">
        <v>114182058</v>
      </c>
      <c r="AR16" s="47">
        <v>122863518</v>
      </c>
      <c r="AS16" s="47"/>
      <c r="AT16" s="47"/>
      <c r="AU16" s="47"/>
      <c r="AV16" s="47"/>
      <c r="AW16" s="47"/>
      <c r="AX16" s="47"/>
      <c r="AY16" s="47"/>
      <c r="AZ16" s="47"/>
      <c r="BA16" s="47"/>
      <c r="BB16" s="47"/>
      <c r="BC16" s="47"/>
      <c r="BD16" s="47"/>
      <c r="BE16" s="47"/>
      <c r="BF16" s="47"/>
    </row>
    <row r="17" spans="1:58">
      <c r="A17" s="46" t="s">
        <v>64</v>
      </c>
      <c r="B17" s="46" t="s">
        <v>261</v>
      </c>
      <c r="C17" s="47">
        <v>56247</v>
      </c>
      <c r="D17" s="47">
        <v>47121</v>
      </c>
      <c r="E17" s="47">
        <v>42367</v>
      </c>
      <c r="F17" s="47">
        <v>49152</v>
      </c>
      <c r="G17" s="47">
        <v>52438</v>
      </c>
      <c r="H17" s="47">
        <v>46662</v>
      </c>
      <c r="I17" s="47">
        <v>50288</v>
      </c>
      <c r="J17" s="47">
        <v>70934</v>
      </c>
      <c r="K17" s="47">
        <v>59273</v>
      </c>
      <c r="L17" s="47">
        <v>49226</v>
      </c>
      <c r="M17" s="47">
        <v>41969</v>
      </c>
      <c r="N17" s="47">
        <v>61110</v>
      </c>
      <c r="O17" s="47">
        <v>55157</v>
      </c>
      <c r="P17" s="47">
        <v>48172</v>
      </c>
      <c r="Q17" s="85">
        <v>46.46</v>
      </c>
      <c r="R17" s="85">
        <v>43.24</v>
      </c>
      <c r="S17" s="85">
        <v>51.52</v>
      </c>
      <c r="T17" s="85">
        <v>48.59</v>
      </c>
      <c r="U17" s="85">
        <v>47.65</v>
      </c>
      <c r="V17" s="85">
        <v>49.38</v>
      </c>
      <c r="W17" s="85">
        <v>40.96</v>
      </c>
      <c r="X17" s="85">
        <v>48.85</v>
      </c>
      <c r="Y17" s="85">
        <v>47.06</v>
      </c>
      <c r="Z17" s="85">
        <v>47.62</v>
      </c>
      <c r="AA17" s="85">
        <v>39.24</v>
      </c>
      <c r="AB17" s="85">
        <v>46.29</v>
      </c>
      <c r="AC17" s="85">
        <v>40.46</v>
      </c>
      <c r="AD17" s="85">
        <v>43.64</v>
      </c>
      <c r="AE17" s="47">
        <v>2613287</v>
      </c>
      <c r="AF17" s="47">
        <v>2037696</v>
      </c>
      <c r="AG17" s="47">
        <v>2182762</v>
      </c>
      <c r="AH17" s="47">
        <v>2388305</v>
      </c>
      <c r="AI17" s="47">
        <v>2498868</v>
      </c>
      <c r="AJ17" s="47">
        <v>2303976</v>
      </c>
      <c r="AK17" s="47">
        <v>2059936</v>
      </c>
      <c r="AL17" s="47">
        <v>3465154</v>
      </c>
      <c r="AM17" s="47">
        <v>2789578</v>
      </c>
      <c r="AN17" s="47">
        <v>2344258</v>
      </c>
      <c r="AO17" s="47">
        <v>1647017</v>
      </c>
      <c r="AP17" s="47">
        <v>2829047</v>
      </c>
      <c r="AQ17" s="47">
        <v>2231661</v>
      </c>
      <c r="AR17" s="47">
        <v>2101988</v>
      </c>
      <c r="AS17" s="47"/>
      <c r="AT17" s="47"/>
      <c r="AU17" s="47"/>
      <c r="AV17" s="47"/>
      <c r="AW17" s="47"/>
      <c r="AX17" s="47"/>
      <c r="AY17" s="47"/>
      <c r="AZ17" s="47"/>
      <c r="BA17" s="47"/>
      <c r="BB17" s="47"/>
      <c r="BC17" s="47"/>
      <c r="BD17" s="47"/>
      <c r="BE17" s="47"/>
      <c r="BF17" s="47"/>
    </row>
    <row r="18" spans="1:58">
      <c r="A18" s="46" t="s">
        <v>64</v>
      </c>
      <c r="B18" s="46" t="s">
        <v>262</v>
      </c>
      <c r="C18" s="47">
        <v>30206</v>
      </c>
      <c r="D18" s="47">
        <v>30303</v>
      </c>
      <c r="E18" s="47">
        <v>40494</v>
      </c>
      <c r="F18" s="47">
        <v>43789</v>
      </c>
      <c r="G18" s="47">
        <v>46671</v>
      </c>
      <c r="H18" s="47">
        <v>39161</v>
      </c>
      <c r="I18" s="47">
        <v>34950</v>
      </c>
      <c r="J18" s="47">
        <v>42306</v>
      </c>
      <c r="K18" s="47">
        <v>32489</v>
      </c>
      <c r="L18" s="47">
        <v>38170</v>
      </c>
      <c r="M18" s="47">
        <v>56437</v>
      </c>
      <c r="N18" s="47">
        <v>46052</v>
      </c>
      <c r="O18" s="47">
        <v>41646</v>
      </c>
      <c r="P18" s="47">
        <v>30728</v>
      </c>
      <c r="Q18" s="85">
        <v>43.88</v>
      </c>
      <c r="R18" s="85">
        <v>37.93</v>
      </c>
      <c r="S18" s="85">
        <v>45.17</v>
      </c>
      <c r="T18" s="85">
        <v>43.44</v>
      </c>
      <c r="U18" s="85">
        <v>41.35</v>
      </c>
      <c r="V18" s="85">
        <v>43.29</v>
      </c>
      <c r="W18" s="85">
        <v>39.96</v>
      </c>
      <c r="X18" s="85">
        <v>45.07</v>
      </c>
      <c r="Y18" s="85">
        <v>45.88</v>
      </c>
      <c r="Z18" s="85">
        <v>45.19</v>
      </c>
      <c r="AA18" s="85">
        <v>40.200000000000003</v>
      </c>
      <c r="AB18" s="85">
        <v>44.01</v>
      </c>
      <c r="AC18" s="85">
        <v>38.49</v>
      </c>
      <c r="AD18" s="85">
        <v>42.67</v>
      </c>
      <c r="AE18" s="47">
        <v>1325502</v>
      </c>
      <c r="AF18" s="47">
        <v>1149273</v>
      </c>
      <c r="AG18" s="47">
        <v>1829148</v>
      </c>
      <c r="AH18" s="47">
        <v>1902375</v>
      </c>
      <c r="AI18" s="47">
        <v>1929920</v>
      </c>
      <c r="AJ18" s="47">
        <v>1695330</v>
      </c>
      <c r="AK18" s="47">
        <v>1396667</v>
      </c>
      <c r="AL18" s="47">
        <v>1906752</v>
      </c>
      <c r="AM18" s="47">
        <v>1490662</v>
      </c>
      <c r="AN18" s="47">
        <v>1725083</v>
      </c>
      <c r="AO18" s="47">
        <v>2268672</v>
      </c>
      <c r="AP18" s="47">
        <v>2026543</v>
      </c>
      <c r="AQ18" s="47">
        <v>1602930</v>
      </c>
      <c r="AR18" s="47">
        <v>1311050</v>
      </c>
      <c r="AS18" s="47"/>
      <c r="AT18" s="47"/>
      <c r="AU18" s="47"/>
      <c r="AV18" s="47"/>
      <c r="AW18" s="47"/>
      <c r="AX18" s="47"/>
      <c r="AY18" s="47"/>
      <c r="AZ18" s="47"/>
      <c r="BA18" s="47"/>
      <c r="BB18" s="47"/>
      <c r="BC18" s="47"/>
      <c r="BD18" s="47"/>
      <c r="BE18" s="47"/>
      <c r="BF18" s="47"/>
    </row>
    <row r="19" spans="1:58">
      <c r="A19" s="46" t="s">
        <v>64</v>
      </c>
      <c r="B19" s="46" t="s">
        <v>263</v>
      </c>
      <c r="C19" s="47">
        <v>86453</v>
      </c>
      <c r="D19" s="47">
        <v>77424</v>
      </c>
      <c r="E19" s="47">
        <v>82861</v>
      </c>
      <c r="F19" s="47">
        <v>92941</v>
      </c>
      <c r="G19" s="47">
        <v>99109</v>
      </c>
      <c r="H19" s="47">
        <v>85823</v>
      </c>
      <c r="I19" s="47">
        <v>85238</v>
      </c>
      <c r="J19" s="47">
        <v>113240</v>
      </c>
      <c r="K19" s="47">
        <v>91762</v>
      </c>
      <c r="L19" s="47">
        <v>87396</v>
      </c>
      <c r="M19" s="47">
        <v>98406</v>
      </c>
      <c r="N19" s="47">
        <v>107162</v>
      </c>
      <c r="O19" s="47">
        <v>96803</v>
      </c>
      <c r="P19" s="47">
        <v>78900</v>
      </c>
      <c r="Q19" s="85">
        <v>45.56</v>
      </c>
      <c r="R19" s="85">
        <v>41.16</v>
      </c>
      <c r="S19" s="85">
        <v>48.42</v>
      </c>
      <c r="T19" s="85">
        <v>46.17</v>
      </c>
      <c r="U19" s="85">
        <v>44.69</v>
      </c>
      <c r="V19" s="85">
        <v>46.6</v>
      </c>
      <c r="W19" s="85">
        <v>40.549999999999997</v>
      </c>
      <c r="X19" s="85">
        <v>47.44</v>
      </c>
      <c r="Y19" s="85">
        <v>46.65</v>
      </c>
      <c r="Z19" s="85">
        <v>46.56</v>
      </c>
      <c r="AA19" s="85">
        <v>39.79</v>
      </c>
      <c r="AB19" s="85">
        <v>45.31</v>
      </c>
      <c r="AC19" s="85">
        <v>39.61</v>
      </c>
      <c r="AD19" s="85">
        <v>43.26</v>
      </c>
      <c r="AE19" s="47">
        <v>3938789</v>
      </c>
      <c r="AF19" s="47">
        <v>3186969</v>
      </c>
      <c r="AG19" s="47">
        <v>4011910</v>
      </c>
      <c r="AH19" s="47">
        <v>4290680</v>
      </c>
      <c r="AI19" s="47">
        <v>4428788</v>
      </c>
      <c r="AJ19" s="47">
        <v>3999306</v>
      </c>
      <c r="AK19" s="47">
        <v>3456603</v>
      </c>
      <c r="AL19" s="47">
        <v>5371906</v>
      </c>
      <c r="AM19" s="47">
        <v>4280240</v>
      </c>
      <c r="AN19" s="47">
        <v>4069341</v>
      </c>
      <c r="AO19" s="47">
        <v>3915689</v>
      </c>
      <c r="AP19" s="47">
        <v>4855590</v>
      </c>
      <c r="AQ19" s="47">
        <v>3834591</v>
      </c>
      <c r="AR19" s="47">
        <v>3413038</v>
      </c>
      <c r="AS19" s="47"/>
      <c r="AT19" s="47"/>
      <c r="AU19" s="47"/>
      <c r="AV19" s="47"/>
      <c r="AW19" s="47"/>
      <c r="AX19" s="47"/>
      <c r="AY19" s="47"/>
      <c r="AZ19" s="47"/>
      <c r="BA19" s="47"/>
      <c r="BB19" s="47"/>
      <c r="BC19" s="47"/>
      <c r="BD19" s="47"/>
      <c r="BE19" s="47"/>
      <c r="BF19" s="47"/>
    </row>
    <row r="20" spans="1:58">
      <c r="A20" s="46" t="s">
        <v>64</v>
      </c>
      <c r="B20" s="46" t="s">
        <v>264</v>
      </c>
      <c r="C20" s="47">
        <v>621294</v>
      </c>
      <c r="D20" s="47">
        <v>628416</v>
      </c>
      <c r="E20" s="47">
        <v>626884</v>
      </c>
      <c r="F20" s="47">
        <v>657979</v>
      </c>
      <c r="G20" s="47">
        <v>633210</v>
      </c>
      <c r="H20" s="47">
        <v>594961</v>
      </c>
      <c r="I20" s="47">
        <v>534904</v>
      </c>
      <c r="J20" s="47">
        <v>520481</v>
      </c>
      <c r="K20" s="47">
        <v>526516</v>
      </c>
      <c r="L20" s="47">
        <v>549432</v>
      </c>
      <c r="M20" s="47">
        <v>565693</v>
      </c>
      <c r="N20" s="47">
        <v>458772</v>
      </c>
      <c r="O20" s="47">
        <v>426802</v>
      </c>
      <c r="P20" s="47">
        <v>369685</v>
      </c>
      <c r="Q20" s="85">
        <v>104.63</v>
      </c>
      <c r="R20" s="85">
        <v>113.15</v>
      </c>
      <c r="S20" s="85">
        <v>109.06</v>
      </c>
      <c r="T20" s="85">
        <v>98.68</v>
      </c>
      <c r="U20" s="85">
        <v>115.09</v>
      </c>
      <c r="V20" s="85">
        <v>109.2</v>
      </c>
      <c r="W20" s="85">
        <v>105.06</v>
      </c>
      <c r="X20" s="85">
        <v>116.4</v>
      </c>
      <c r="Y20" s="85">
        <v>111.57</v>
      </c>
      <c r="Z20" s="85">
        <v>106.65</v>
      </c>
      <c r="AA20" s="85">
        <v>104.56</v>
      </c>
      <c r="AB20" s="85">
        <v>117.26</v>
      </c>
      <c r="AC20" s="85">
        <v>103.51</v>
      </c>
      <c r="AD20" s="85">
        <v>121.08</v>
      </c>
      <c r="AE20" s="47">
        <v>65008605</v>
      </c>
      <c r="AF20" s="47">
        <v>71104359</v>
      </c>
      <c r="AG20" s="47">
        <v>68366849</v>
      </c>
      <c r="AH20" s="47">
        <v>64930800</v>
      </c>
      <c r="AI20" s="47">
        <v>72875673</v>
      </c>
      <c r="AJ20" s="47">
        <v>64972542</v>
      </c>
      <c r="AK20" s="47">
        <v>56194372</v>
      </c>
      <c r="AL20" s="47">
        <v>60581486</v>
      </c>
      <c r="AM20" s="47">
        <v>58743778</v>
      </c>
      <c r="AN20" s="47">
        <v>58598664</v>
      </c>
      <c r="AO20" s="47">
        <v>59149878</v>
      </c>
      <c r="AP20" s="47">
        <v>53796937</v>
      </c>
      <c r="AQ20" s="47">
        <v>44178140</v>
      </c>
      <c r="AR20" s="47">
        <v>44760421</v>
      </c>
      <c r="AS20" s="47"/>
      <c r="AT20" s="47"/>
      <c r="AU20" s="47"/>
      <c r="AV20" s="47"/>
      <c r="AW20" s="47"/>
      <c r="AX20" s="47"/>
      <c r="AY20" s="47"/>
      <c r="AZ20" s="47"/>
      <c r="BA20" s="47"/>
      <c r="BB20" s="47"/>
      <c r="BC20" s="47"/>
      <c r="BD20" s="47"/>
      <c r="BE20" s="47"/>
      <c r="BF20" s="47"/>
    </row>
    <row r="21" spans="1:58">
      <c r="A21" s="46" t="s">
        <v>64</v>
      </c>
      <c r="B21" s="46" t="s">
        <v>265</v>
      </c>
      <c r="C21" s="47">
        <v>928993</v>
      </c>
      <c r="D21" s="47">
        <v>929305</v>
      </c>
      <c r="E21" s="47">
        <v>1022431</v>
      </c>
      <c r="F21" s="47">
        <v>1122814</v>
      </c>
      <c r="G21" s="47">
        <v>1114088</v>
      </c>
      <c r="H21" s="47">
        <v>984429</v>
      </c>
      <c r="I21" s="47">
        <v>857240</v>
      </c>
      <c r="J21" s="47">
        <v>869194</v>
      </c>
      <c r="K21" s="47">
        <v>854790</v>
      </c>
      <c r="L21" s="47">
        <v>901812</v>
      </c>
      <c r="M21" s="47">
        <v>1081770</v>
      </c>
      <c r="N21" s="47">
        <v>1002208</v>
      </c>
      <c r="O21" s="47">
        <v>943713</v>
      </c>
      <c r="P21" s="47">
        <v>861819</v>
      </c>
      <c r="Q21" s="85">
        <v>80.459999999999994</v>
      </c>
      <c r="R21" s="85">
        <v>96.05</v>
      </c>
      <c r="S21" s="85">
        <v>84.2</v>
      </c>
      <c r="T21" s="85">
        <v>75.39</v>
      </c>
      <c r="U21" s="85">
        <v>100.23</v>
      </c>
      <c r="V21" s="85">
        <v>74.78</v>
      </c>
      <c r="W21" s="85">
        <v>71.349999999999994</v>
      </c>
      <c r="X21" s="85">
        <v>96.47</v>
      </c>
      <c r="Y21" s="85">
        <v>79.42</v>
      </c>
      <c r="Z21" s="85">
        <v>77.760000000000005</v>
      </c>
      <c r="AA21" s="85">
        <v>71.099999999999994</v>
      </c>
      <c r="AB21" s="85">
        <v>98.01</v>
      </c>
      <c r="AC21" s="85">
        <v>67.25</v>
      </c>
      <c r="AD21" s="85">
        <v>95.19</v>
      </c>
      <c r="AE21" s="47">
        <v>74750389</v>
      </c>
      <c r="AF21" s="47">
        <v>89260581</v>
      </c>
      <c r="AG21" s="47">
        <v>86090597</v>
      </c>
      <c r="AH21" s="47">
        <v>84643558</v>
      </c>
      <c r="AI21" s="47">
        <v>111662339</v>
      </c>
      <c r="AJ21" s="47">
        <v>73619135</v>
      </c>
      <c r="AK21" s="47">
        <v>61163305</v>
      </c>
      <c r="AL21" s="47">
        <v>83848282</v>
      </c>
      <c r="AM21" s="47">
        <v>67883384</v>
      </c>
      <c r="AN21" s="47">
        <v>70129080</v>
      </c>
      <c r="AO21" s="47">
        <v>76910055</v>
      </c>
      <c r="AP21" s="47">
        <v>98224804</v>
      </c>
      <c r="AQ21" s="47">
        <v>63463097</v>
      </c>
      <c r="AR21" s="47">
        <v>82035925</v>
      </c>
      <c r="AS21" s="47"/>
      <c r="AT21" s="47"/>
      <c r="AU21" s="47"/>
      <c r="AV21" s="47"/>
      <c r="AW21" s="47"/>
      <c r="AX21" s="47"/>
      <c r="AY21" s="47"/>
      <c r="AZ21" s="47"/>
      <c r="BA21" s="47"/>
      <c r="BB21" s="47"/>
      <c r="BC21" s="47"/>
      <c r="BD21" s="47"/>
      <c r="BE21" s="47"/>
      <c r="BF21" s="47"/>
    </row>
    <row r="22" spans="1:58">
      <c r="A22" s="46" t="s">
        <v>64</v>
      </c>
      <c r="B22" s="46" t="s">
        <v>266</v>
      </c>
      <c r="C22" s="47">
        <v>49149</v>
      </c>
      <c r="D22" s="47">
        <v>54453</v>
      </c>
      <c r="E22" s="47">
        <v>69558</v>
      </c>
      <c r="F22" s="47">
        <v>81662</v>
      </c>
      <c r="G22" s="47">
        <v>94781</v>
      </c>
      <c r="H22" s="47">
        <v>73077</v>
      </c>
      <c r="I22" s="47">
        <v>66144</v>
      </c>
      <c r="J22" s="47">
        <v>59195</v>
      </c>
      <c r="K22" s="47">
        <v>61170</v>
      </c>
      <c r="L22" s="47">
        <v>69550</v>
      </c>
      <c r="M22" s="47">
        <v>82486</v>
      </c>
      <c r="N22" s="47">
        <v>88465</v>
      </c>
      <c r="O22" s="47">
        <v>85495</v>
      </c>
      <c r="P22" s="47">
        <v>83103</v>
      </c>
      <c r="Q22" s="85">
        <v>36.36</v>
      </c>
      <c r="R22" s="85">
        <v>35.659999999999997</v>
      </c>
      <c r="S22" s="85">
        <v>37.54</v>
      </c>
      <c r="T22" s="85">
        <v>35.76</v>
      </c>
      <c r="U22" s="85">
        <v>36.17</v>
      </c>
      <c r="V22" s="85">
        <v>35.1</v>
      </c>
      <c r="W22" s="85">
        <v>35.36</v>
      </c>
      <c r="X22" s="85">
        <v>39.770000000000003</v>
      </c>
      <c r="Y22" s="85">
        <v>37.51</v>
      </c>
      <c r="Z22" s="85">
        <v>34.39</v>
      </c>
      <c r="AA22" s="85">
        <v>34.17</v>
      </c>
      <c r="AB22" s="85">
        <v>38.06</v>
      </c>
      <c r="AC22" s="85">
        <v>28.17</v>
      </c>
      <c r="AD22" s="85">
        <v>36.799999999999997</v>
      </c>
      <c r="AE22" s="47">
        <v>1787000</v>
      </c>
      <c r="AF22" s="47">
        <v>1941571</v>
      </c>
      <c r="AG22" s="47">
        <v>2611145</v>
      </c>
      <c r="AH22" s="47">
        <v>2919872</v>
      </c>
      <c r="AI22" s="47">
        <v>3427974</v>
      </c>
      <c r="AJ22" s="47">
        <v>2564837</v>
      </c>
      <c r="AK22" s="47">
        <v>2339029</v>
      </c>
      <c r="AL22" s="47">
        <v>2354167</v>
      </c>
      <c r="AM22" s="47">
        <v>2294290</v>
      </c>
      <c r="AN22" s="47">
        <v>2391527</v>
      </c>
      <c r="AO22" s="47">
        <v>2818244</v>
      </c>
      <c r="AP22" s="47">
        <v>3367289</v>
      </c>
      <c r="AQ22" s="47">
        <v>2408768</v>
      </c>
      <c r="AR22" s="47">
        <v>3058093</v>
      </c>
      <c r="AS22" s="47"/>
      <c r="AT22" s="47"/>
      <c r="AU22" s="47"/>
      <c r="AV22" s="47"/>
      <c r="AW22" s="47"/>
      <c r="AX22" s="47"/>
      <c r="AY22" s="47"/>
      <c r="AZ22" s="47"/>
      <c r="BA22" s="47"/>
      <c r="BB22" s="47"/>
      <c r="BC22" s="47"/>
      <c r="BD22" s="47"/>
      <c r="BE22" s="47"/>
      <c r="BF22" s="47"/>
    </row>
    <row r="23" spans="1:58">
      <c r="A23" s="46" t="s">
        <v>64</v>
      </c>
      <c r="B23" s="46" t="s">
        <v>267</v>
      </c>
      <c r="C23" s="47">
        <v>1599436</v>
      </c>
      <c r="D23" s="47">
        <v>1612174</v>
      </c>
      <c r="E23" s="47">
        <v>1718873</v>
      </c>
      <c r="F23" s="47">
        <v>1862455</v>
      </c>
      <c r="G23" s="47">
        <v>1842079</v>
      </c>
      <c r="H23" s="47">
        <v>1652467</v>
      </c>
      <c r="I23" s="47">
        <v>1458288</v>
      </c>
      <c r="J23" s="47">
        <v>1448870</v>
      </c>
      <c r="K23" s="47">
        <v>1442476</v>
      </c>
      <c r="L23" s="47">
        <v>1520794</v>
      </c>
      <c r="M23" s="47">
        <v>1729949</v>
      </c>
      <c r="N23" s="47">
        <v>1549445</v>
      </c>
      <c r="O23" s="47">
        <v>1456010</v>
      </c>
      <c r="P23" s="47">
        <v>1314607</v>
      </c>
      <c r="Q23" s="85">
        <v>88.5</v>
      </c>
      <c r="R23" s="85">
        <v>100.68</v>
      </c>
      <c r="S23" s="85">
        <v>91.38</v>
      </c>
      <c r="T23" s="85">
        <v>81.88</v>
      </c>
      <c r="U23" s="85">
        <v>102.04</v>
      </c>
      <c r="V23" s="85">
        <v>85.42</v>
      </c>
      <c r="W23" s="85">
        <v>82.08</v>
      </c>
      <c r="X23" s="85">
        <v>101.31</v>
      </c>
      <c r="Y23" s="85">
        <v>89.38</v>
      </c>
      <c r="Z23" s="85">
        <v>86.22</v>
      </c>
      <c r="AA23" s="85">
        <v>80.28</v>
      </c>
      <c r="AB23" s="85">
        <v>100.29</v>
      </c>
      <c r="AC23" s="85">
        <v>75.58</v>
      </c>
      <c r="AD23" s="85">
        <v>98.78</v>
      </c>
      <c r="AE23" s="47">
        <v>141545994</v>
      </c>
      <c r="AF23" s="47">
        <v>162306511</v>
      </c>
      <c r="AG23" s="47">
        <v>157068591</v>
      </c>
      <c r="AH23" s="47">
        <v>152494230</v>
      </c>
      <c r="AI23" s="47">
        <v>187965986</v>
      </c>
      <c r="AJ23" s="47">
        <v>141156514</v>
      </c>
      <c r="AK23" s="47">
        <v>119696706</v>
      </c>
      <c r="AL23" s="47">
        <v>146783935</v>
      </c>
      <c r="AM23" s="47">
        <v>128921452</v>
      </c>
      <c r="AN23" s="47">
        <v>131119271</v>
      </c>
      <c r="AO23" s="47">
        <v>138878177</v>
      </c>
      <c r="AP23" s="47">
        <v>155389030</v>
      </c>
      <c r="AQ23" s="47">
        <v>110050005</v>
      </c>
      <c r="AR23" s="47">
        <v>129854439</v>
      </c>
      <c r="AS23" s="47"/>
      <c r="AT23" s="47"/>
      <c r="AU23" s="47"/>
      <c r="AV23" s="47"/>
      <c r="AW23" s="47"/>
      <c r="AX23" s="47"/>
      <c r="AY23" s="47"/>
      <c r="AZ23" s="47"/>
      <c r="BA23" s="47"/>
      <c r="BB23" s="47"/>
      <c r="BC23" s="47"/>
      <c r="BD23" s="47"/>
      <c r="BE23" s="47"/>
      <c r="BF23" s="47"/>
    </row>
    <row r="24" spans="1:58">
      <c r="A24" s="46" t="s">
        <v>64</v>
      </c>
      <c r="B24" s="46" t="s">
        <v>268</v>
      </c>
      <c r="C24" s="47">
        <v>44447</v>
      </c>
      <c r="D24" s="47">
        <v>38625</v>
      </c>
      <c r="E24" s="47">
        <v>36801</v>
      </c>
      <c r="F24" s="47">
        <v>45533</v>
      </c>
      <c r="G24" s="47">
        <v>56479</v>
      </c>
      <c r="H24" s="47">
        <v>46177</v>
      </c>
      <c r="I24" s="47">
        <v>40191</v>
      </c>
      <c r="J24" s="47">
        <v>47256</v>
      </c>
      <c r="K24" s="47">
        <v>50841</v>
      </c>
      <c r="L24" s="47">
        <v>70233</v>
      </c>
      <c r="M24" s="47">
        <v>93581</v>
      </c>
      <c r="N24" s="47">
        <v>67477</v>
      </c>
      <c r="O24" s="47">
        <v>49828</v>
      </c>
      <c r="P24" s="47">
        <v>54614</v>
      </c>
      <c r="Q24" s="85">
        <v>55.1</v>
      </c>
      <c r="R24" s="85">
        <v>65.150000000000006</v>
      </c>
      <c r="S24" s="85">
        <v>56.98</v>
      </c>
      <c r="T24" s="85">
        <v>54.28</v>
      </c>
      <c r="U24" s="85">
        <v>63.39</v>
      </c>
      <c r="V24" s="85">
        <v>52.18</v>
      </c>
      <c r="W24" s="85">
        <v>55.54</v>
      </c>
      <c r="X24" s="85">
        <v>58.6</v>
      </c>
      <c r="Y24" s="85">
        <v>52.93</v>
      </c>
      <c r="Z24" s="85">
        <v>51.36</v>
      </c>
      <c r="AA24" s="85">
        <v>46.67</v>
      </c>
      <c r="AB24" s="85">
        <v>57.32</v>
      </c>
      <c r="AC24" s="85">
        <v>42.81</v>
      </c>
      <c r="AD24" s="85">
        <v>56.32</v>
      </c>
      <c r="AE24" s="47">
        <v>2448847</v>
      </c>
      <c r="AF24" s="47">
        <v>2516368</v>
      </c>
      <c r="AG24" s="47">
        <v>2096806</v>
      </c>
      <c r="AH24" s="47">
        <v>2471444</v>
      </c>
      <c r="AI24" s="47">
        <v>3580058</v>
      </c>
      <c r="AJ24" s="47">
        <v>2409499</v>
      </c>
      <c r="AK24" s="47">
        <v>2232357</v>
      </c>
      <c r="AL24" s="47">
        <v>2769211</v>
      </c>
      <c r="AM24" s="47">
        <v>2690844</v>
      </c>
      <c r="AN24" s="47">
        <v>3607502</v>
      </c>
      <c r="AO24" s="47">
        <v>4367822</v>
      </c>
      <c r="AP24" s="47">
        <v>3867790</v>
      </c>
      <c r="AQ24" s="47">
        <v>2133090</v>
      </c>
      <c r="AR24" s="47">
        <v>3075690</v>
      </c>
      <c r="AS24" s="47"/>
      <c r="AT24" s="47"/>
      <c r="AU24" s="47"/>
      <c r="AV24" s="47"/>
      <c r="AW24" s="47"/>
      <c r="AX24" s="47"/>
      <c r="AY24" s="47"/>
      <c r="AZ24" s="47"/>
      <c r="BA24" s="47"/>
      <c r="BB24" s="47"/>
      <c r="BC24" s="47"/>
      <c r="BD24" s="47"/>
      <c r="BE24" s="47"/>
      <c r="BF24" s="47"/>
    </row>
    <row r="25" spans="1:58">
      <c r="A25" s="46" t="s">
        <v>64</v>
      </c>
      <c r="B25" s="46" t="s">
        <v>269</v>
      </c>
      <c r="C25" s="47">
        <v>383301</v>
      </c>
      <c r="D25" s="47">
        <v>391721</v>
      </c>
      <c r="E25" s="47">
        <v>416125</v>
      </c>
      <c r="F25" s="47">
        <v>384986</v>
      </c>
      <c r="G25" s="47">
        <v>387922</v>
      </c>
      <c r="H25" s="47">
        <v>343032</v>
      </c>
      <c r="I25" s="47">
        <v>331641</v>
      </c>
      <c r="J25" s="47">
        <v>303889</v>
      </c>
      <c r="K25" s="47">
        <v>283793</v>
      </c>
      <c r="L25" s="47">
        <v>305212</v>
      </c>
      <c r="M25" s="47">
        <v>261625</v>
      </c>
      <c r="N25" s="47">
        <v>338599</v>
      </c>
      <c r="O25" s="47">
        <v>339696</v>
      </c>
      <c r="P25" s="47">
        <v>326274</v>
      </c>
      <c r="Q25" s="85">
        <v>53.76</v>
      </c>
      <c r="R25" s="85">
        <v>50.8</v>
      </c>
      <c r="S25" s="85">
        <v>55.34</v>
      </c>
      <c r="T25" s="85">
        <v>52.77</v>
      </c>
      <c r="U25" s="85">
        <v>52.2</v>
      </c>
      <c r="V25" s="85">
        <v>54.41</v>
      </c>
      <c r="W25" s="85">
        <v>42.82</v>
      </c>
      <c r="X25" s="85">
        <v>51.97</v>
      </c>
      <c r="Y25" s="85">
        <v>47.55</v>
      </c>
      <c r="Z25" s="85">
        <v>54.41</v>
      </c>
      <c r="AA25" s="85">
        <v>46.66</v>
      </c>
      <c r="AB25" s="85">
        <v>51.9</v>
      </c>
      <c r="AC25" s="85">
        <v>48.06</v>
      </c>
      <c r="AD25" s="85">
        <v>51.06</v>
      </c>
      <c r="AE25" s="47">
        <v>20606580</v>
      </c>
      <c r="AF25" s="47">
        <v>19899504</v>
      </c>
      <c r="AG25" s="47">
        <v>23026918</v>
      </c>
      <c r="AH25" s="47">
        <v>20316485</v>
      </c>
      <c r="AI25" s="47">
        <v>20248668</v>
      </c>
      <c r="AJ25" s="47">
        <v>18663992</v>
      </c>
      <c r="AK25" s="47">
        <v>14201872</v>
      </c>
      <c r="AL25" s="47">
        <v>15793000</v>
      </c>
      <c r="AM25" s="47">
        <v>13494196</v>
      </c>
      <c r="AN25" s="47">
        <v>16607570</v>
      </c>
      <c r="AO25" s="47">
        <v>12207581</v>
      </c>
      <c r="AP25" s="47">
        <v>17573456</v>
      </c>
      <c r="AQ25" s="47">
        <v>16327154</v>
      </c>
      <c r="AR25" s="47">
        <v>16658331</v>
      </c>
      <c r="AS25" s="47"/>
      <c r="AT25" s="47"/>
      <c r="AU25" s="47"/>
      <c r="AV25" s="47"/>
      <c r="AW25" s="47"/>
      <c r="AX25" s="47"/>
      <c r="AY25" s="47"/>
      <c r="AZ25" s="47"/>
      <c r="BA25" s="47"/>
      <c r="BB25" s="47"/>
      <c r="BC25" s="47"/>
      <c r="BD25" s="47"/>
      <c r="BE25" s="47"/>
      <c r="BF25" s="47"/>
    </row>
    <row r="26" spans="1:58">
      <c r="A26" s="46" t="s">
        <v>64</v>
      </c>
      <c r="B26" s="46" t="s">
        <v>270</v>
      </c>
      <c r="C26" s="47">
        <v>37239</v>
      </c>
      <c r="D26" s="47">
        <v>30612</v>
      </c>
      <c r="E26" s="47">
        <v>31109</v>
      </c>
      <c r="F26" s="47">
        <v>44472</v>
      </c>
      <c r="G26" s="47">
        <v>30121</v>
      </c>
      <c r="H26" s="47">
        <v>54402</v>
      </c>
      <c r="I26" s="47">
        <v>58484</v>
      </c>
      <c r="J26" s="47">
        <v>74862</v>
      </c>
      <c r="K26" s="47">
        <v>57346</v>
      </c>
      <c r="L26" s="47">
        <v>64447</v>
      </c>
      <c r="M26" s="47">
        <v>100703</v>
      </c>
      <c r="N26" s="47">
        <v>66539</v>
      </c>
      <c r="O26" s="47">
        <v>72609</v>
      </c>
      <c r="P26" s="47">
        <v>79208</v>
      </c>
      <c r="Q26" s="85"/>
      <c r="R26" s="85"/>
      <c r="S26" s="85"/>
      <c r="T26" s="85"/>
      <c r="U26" s="85"/>
      <c r="V26" s="85"/>
      <c r="W26" s="85"/>
      <c r="X26" s="85"/>
      <c r="Y26" s="85"/>
      <c r="Z26" s="85"/>
      <c r="AA26" s="85"/>
      <c r="AB26" s="85"/>
      <c r="AC26" s="85"/>
      <c r="AD26" s="85"/>
      <c r="AE26" s="47">
        <v>1268832</v>
      </c>
      <c r="AF26" s="47">
        <v>896090</v>
      </c>
      <c r="AG26" s="47">
        <v>1053153</v>
      </c>
      <c r="AH26" s="47">
        <v>1540523</v>
      </c>
      <c r="AI26" s="47">
        <v>1099249</v>
      </c>
      <c r="AJ26" s="47">
        <v>2027242</v>
      </c>
      <c r="AK26" s="47">
        <v>1676180</v>
      </c>
      <c r="AL26" s="47">
        <v>2594685</v>
      </c>
      <c r="AM26" s="47">
        <v>1862986</v>
      </c>
      <c r="AN26" s="47">
        <v>2275804</v>
      </c>
      <c r="AO26" s="47">
        <v>3132232</v>
      </c>
      <c r="AP26" s="47">
        <v>2386767</v>
      </c>
      <c r="AQ26" s="47">
        <v>2473620</v>
      </c>
      <c r="AR26" s="47">
        <v>2733813</v>
      </c>
      <c r="AS26" s="47"/>
      <c r="AT26" s="47"/>
      <c r="AU26" s="47"/>
      <c r="AV26" s="47"/>
      <c r="AW26" s="47"/>
      <c r="AX26" s="47"/>
      <c r="AY26" s="47"/>
      <c r="AZ26" s="47"/>
      <c r="BA26" s="47"/>
      <c r="BB26" s="47"/>
      <c r="BC26" s="47"/>
      <c r="BD26" s="47"/>
      <c r="BE26" s="47"/>
      <c r="BF26" s="47"/>
    </row>
    <row r="27" spans="1:58">
      <c r="A27" s="46" t="s">
        <v>64</v>
      </c>
      <c r="B27" s="46" t="s">
        <v>271</v>
      </c>
      <c r="C27" s="47">
        <v>46500</v>
      </c>
      <c r="D27" s="47">
        <v>58834</v>
      </c>
      <c r="E27" s="47">
        <v>61353</v>
      </c>
      <c r="F27" s="47">
        <v>54152</v>
      </c>
      <c r="G27" s="47">
        <v>53427</v>
      </c>
      <c r="H27" s="47">
        <v>47524</v>
      </c>
      <c r="I27" s="47">
        <v>60596</v>
      </c>
      <c r="J27" s="47">
        <v>75223</v>
      </c>
      <c r="K27" s="47">
        <v>92404</v>
      </c>
      <c r="L27" s="47">
        <v>110917</v>
      </c>
      <c r="M27" s="47">
        <v>102129</v>
      </c>
      <c r="N27" s="47">
        <v>126142</v>
      </c>
      <c r="O27" s="47">
        <v>120292</v>
      </c>
      <c r="P27" s="47">
        <v>113139</v>
      </c>
      <c r="Q27" s="85"/>
      <c r="R27" s="85"/>
      <c r="S27" s="85"/>
      <c r="T27" s="85"/>
      <c r="U27" s="85"/>
      <c r="V27" s="85"/>
      <c r="W27" s="85"/>
      <c r="X27" s="85"/>
      <c r="Y27" s="85"/>
      <c r="Z27" s="85"/>
      <c r="AA27" s="85"/>
      <c r="AB27" s="85"/>
      <c r="AC27" s="85"/>
      <c r="AD27" s="85"/>
      <c r="AE27" s="47">
        <v>1793871</v>
      </c>
      <c r="AF27" s="47">
        <v>2120959</v>
      </c>
      <c r="AG27" s="47">
        <v>2446591</v>
      </c>
      <c r="AH27" s="47">
        <v>2160002</v>
      </c>
      <c r="AI27" s="47">
        <v>2193339</v>
      </c>
      <c r="AJ27" s="47">
        <v>1938804</v>
      </c>
      <c r="AK27" s="47">
        <v>2124893</v>
      </c>
      <c r="AL27" s="47">
        <v>3065820</v>
      </c>
      <c r="AM27" s="47">
        <v>3449144</v>
      </c>
      <c r="AN27" s="47">
        <v>4392803</v>
      </c>
      <c r="AO27" s="47">
        <v>3618468</v>
      </c>
      <c r="AP27" s="47">
        <v>5205752</v>
      </c>
      <c r="AQ27" s="47">
        <v>4676327</v>
      </c>
      <c r="AR27" s="47">
        <v>4781282</v>
      </c>
      <c r="AS27" s="47"/>
      <c r="AT27" s="47"/>
      <c r="AU27" s="47"/>
      <c r="AV27" s="47"/>
      <c r="AW27" s="47"/>
      <c r="AX27" s="47"/>
      <c r="AY27" s="47"/>
      <c r="AZ27" s="47"/>
      <c r="BA27" s="47"/>
      <c r="BB27" s="47"/>
      <c r="BC27" s="47"/>
      <c r="BD27" s="47"/>
      <c r="BE27" s="47"/>
      <c r="BF27" s="47"/>
    </row>
    <row r="28" spans="1:58">
      <c r="A28" s="46" t="s">
        <v>64</v>
      </c>
      <c r="B28" s="46" t="s">
        <v>272</v>
      </c>
      <c r="C28" s="47">
        <v>9206701</v>
      </c>
      <c r="D28" s="47">
        <v>9189509</v>
      </c>
      <c r="E28" s="47">
        <v>9362579</v>
      </c>
      <c r="F28" s="47">
        <v>9467661</v>
      </c>
      <c r="G28" s="47">
        <v>9559122</v>
      </c>
      <c r="H28" s="47">
        <v>9576857</v>
      </c>
      <c r="I28" s="47">
        <v>9518703</v>
      </c>
      <c r="J28" s="47">
        <v>9324608</v>
      </c>
      <c r="K28" s="47">
        <v>9045284</v>
      </c>
      <c r="L28" s="47">
        <v>9376393</v>
      </c>
      <c r="M28" s="47">
        <v>8912284</v>
      </c>
      <c r="N28" s="47">
        <v>9305686</v>
      </c>
      <c r="O28" s="47">
        <v>8993141</v>
      </c>
      <c r="P28" s="47">
        <v>8819343</v>
      </c>
      <c r="Q28" s="85">
        <v>71.02</v>
      </c>
      <c r="R28" s="85">
        <v>69.66</v>
      </c>
      <c r="S28" s="85">
        <v>73.02</v>
      </c>
      <c r="T28" s="85">
        <v>71.19</v>
      </c>
      <c r="U28" s="85">
        <v>76.13</v>
      </c>
      <c r="V28" s="85">
        <v>76.25</v>
      </c>
      <c r="W28" s="85">
        <v>56.9</v>
      </c>
      <c r="X28" s="85">
        <v>73.45</v>
      </c>
      <c r="Y28" s="85">
        <v>69.19</v>
      </c>
      <c r="Z28" s="85">
        <v>75.88</v>
      </c>
      <c r="AA28" s="85">
        <v>64.72</v>
      </c>
      <c r="AB28" s="85">
        <v>72.61</v>
      </c>
      <c r="AC28" s="85">
        <v>67.349999999999994</v>
      </c>
      <c r="AD28" s="85">
        <v>73.62</v>
      </c>
      <c r="AE28" s="47">
        <v>653823674</v>
      </c>
      <c r="AF28" s="47">
        <v>640124660</v>
      </c>
      <c r="AG28" s="47">
        <v>683634968</v>
      </c>
      <c r="AH28" s="47">
        <v>673984145</v>
      </c>
      <c r="AI28" s="47">
        <v>727742295</v>
      </c>
      <c r="AJ28" s="47">
        <v>730259052</v>
      </c>
      <c r="AK28" s="47">
        <v>541601013</v>
      </c>
      <c r="AL28" s="47">
        <v>684870752</v>
      </c>
      <c r="AM28" s="47">
        <v>625859784</v>
      </c>
      <c r="AN28" s="47">
        <v>711523776</v>
      </c>
      <c r="AO28" s="47">
        <v>576803256</v>
      </c>
      <c r="AP28" s="47">
        <v>675684916</v>
      </c>
      <c r="AQ28" s="47">
        <v>605669980</v>
      </c>
      <c r="AR28" s="47">
        <v>649273527</v>
      </c>
      <c r="AS28" s="47"/>
      <c r="AT28" s="47"/>
      <c r="AU28" s="47"/>
      <c r="AV28" s="47"/>
      <c r="AW28" s="47"/>
      <c r="AX28" s="47"/>
      <c r="AY28" s="47"/>
      <c r="AZ28" s="47"/>
      <c r="BA28" s="47"/>
      <c r="BB28" s="47"/>
      <c r="BC28" s="47"/>
      <c r="BD28" s="47"/>
      <c r="BE28" s="47"/>
      <c r="BF28" s="47"/>
    </row>
    <row r="29" spans="1:58">
      <c r="A29" s="46" t="s">
        <v>64</v>
      </c>
      <c r="B29" s="46" t="s">
        <v>273</v>
      </c>
      <c r="C29" s="47">
        <v>3907</v>
      </c>
      <c r="D29" s="47">
        <v>2656</v>
      </c>
      <c r="E29" s="47">
        <v>1475</v>
      </c>
      <c r="F29" s="47">
        <v>1370</v>
      </c>
      <c r="G29" s="47">
        <v>1067</v>
      </c>
      <c r="H29" s="47">
        <v>1015</v>
      </c>
      <c r="I29" s="47">
        <v>1053</v>
      </c>
      <c r="J29" s="47">
        <v>1093</v>
      </c>
      <c r="K29" s="47">
        <v>886</v>
      </c>
      <c r="L29" s="47">
        <v>1247</v>
      </c>
      <c r="M29" s="47">
        <v>1043</v>
      </c>
      <c r="N29" s="47">
        <v>830</v>
      </c>
      <c r="O29" s="47">
        <v>705</v>
      </c>
      <c r="P29" s="47">
        <v>710</v>
      </c>
      <c r="Q29" s="85">
        <v>49</v>
      </c>
      <c r="R29" s="85">
        <v>51.2</v>
      </c>
      <c r="S29" s="85">
        <v>58.2</v>
      </c>
      <c r="T29" s="85">
        <v>42.12</v>
      </c>
      <c r="U29" s="85">
        <v>55.07</v>
      </c>
      <c r="V29" s="85">
        <v>54.94</v>
      </c>
      <c r="W29" s="85">
        <v>53.75</v>
      </c>
      <c r="X29" s="85">
        <v>58.59</v>
      </c>
      <c r="Y29" s="85">
        <v>57.38</v>
      </c>
      <c r="Z29" s="85">
        <v>58.21</v>
      </c>
      <c r="AA29" s="85">
        <v>55.12</v>
      </c>
      <c r="AB29" s="85">
        <v>56.07</v>
      </c>
      <c r="AC29" s="85">
        <v>57.21</v>
      </c>
      <c r="AD29" s="85">
        <v>58.31</v>
      </c>
      <c r="AE29" s="47">
        <v>191460</v>
      </c>
      <c r="AF29" s="47">
        <v>135996</v>
      </c>
      <c r="AG29" s="47">
        <v>85850</v>
      </c>
      <c r="AH29" s="47">
        <v>57700</v>
      </c>
      <c r="AI29" s="47">
        <v>58755</v>
      </c>
      <c r="AJ29" s="47">
        <v>55762</v>
      </c>
      <c r="AK29" s="47">
        <v>56601</v>
      </c>
      <c r="AL29" s="47">
        <v>64037</v>
      </c>
      <c r="AM29" s="47">
        <v>50836</v>
      </c>
      <c r="AN29" s="47">
        <v>72591</v>
      </c>
      <c r="AO29" s="47">
        <v>57495</v>
      </c>
      <c r="AP29" s="47">
        <v>46540</v>
      </c>
      <c r="AQ29" s="47">
        <v>40335</v>
      </c>
      <c r="AR29" s="47">
        <v>41400</v>
      </c>
      <c r="AS29" s="47"/>
      <c r="AT29" s="47"/>
      <c r="AU29" s="47"/>
      <c r="AV29" s="47"/>
      <c r="AW29" s="47"/>
      <c r="AX29" s="47"/>
      <c r="AY29" s="47"/>
      <c r="AZ29" s="47"/>
      <c r="BA29" s="47"/>
      <c r="BB29" s="47"/>
      <c r="BC29" s="47"/>
      <c r="BD29" s="47"/>
      <c r="BE29" s="47"/>
      <c r="BF29" s="47"/>
    </row>
    <row r="30" spans="1:58">
      <c r="A30" s="46" t="s">
        <v>64</v>
      </c>
      <c r="B30" s="46" t="s">
        <v>274</v>
      </c>
      <c r="C30" s="47">
        <v>16785</v>
      </c>
      <c r="D30" s="47">
        <v>19071</v>
      </c>
      <c r="E30" s="47">
        <v>19255</v>
      </c>
      <c r="F30" s="47">
        <v>17638</v>
      </c>
      <c r="G30" s="47">
        <v>13914</v>
      </c>
      <c r="H30" s="47">
        <v>13552</v>
      </c>
      <c r="I30" s="47">
        <v>13947</v>
      </c>
      <c r="J30" s="47">
        <v>14217</v>
      </c>
      <c r="K30" s="47">
        <v>11584</v>
      </c>
      <c r="L30" s="47">
        <v>13090</v>
      </c>
      <c r="M30" s="47">
        <v>13008</v>
      </c>
      <c r="N30" s="47">
        <v>11192</v>
      </c>
      <c r="O30" s="47">
        <v>10801</v>
      </c>
      <c r="P30" s="47">
        <v>11151</v>
      </c>
      <c r="Q30" s="85">
        <v>54.74</v>
      </c>
      <c r="R30" s="85">
        <v>60.38</v>
      </c>
      <c r="S30" s="85">
        <v>59.76</v>
      </c>
      <c r="T30" s="85">
        <v>42.06</v>
      </c>
      <c r="U30" s="85">
        <v>55.08</v>
      </c>
      <c r="V30" s="85">
        <v>54.96</v>
      </c>
      <c r="W30" s="85">
        <v>53.25</v>
      </c>
      <c r="X30" s="85">
        <v>58.75</v>
      </c>
      <c r="Y30" s="85">
        <v>57.84</v>
      </c>
      <c r="Z30" s="85">
        <v>58.32</v>
      </c>
      <c r="AA30" s="85">
        <v>54.94</v>
      </c>
      <c r="AB30" s="85">
        <v>55.22</v>
      </c>
      <c r="AC30" s="85">
        <v>56.95</v>
      </c>
      <c r="AD30" s="85">
        <v>58.58</v>
      </c>
      <c r="AE30" s="47">
        <v>918774</v>
      </c>
      <c r="AF30" s="47">
        <v>1151481</v>
      </c>
      <c r="AG30" s="47">
        <v>1150760</v>
      </c>
      <c r="AH30" s="47">
        <v>741916</v>
      </c>
      <c r="AI30" s="47">
        <v>766345</v>
      </c>
      <c r="AJ30" s="47">
        <v>744820</v>
      </c>
      <c r="AK30" s="47">
        <v>742617</v>
      </c>
      <c r="AL30" s="47">
        <v>835233</v>
      </c>
      <c r="AM30" s="47">
        <v>670054</v>
      </c>
      <c r="AN30" s="47">
        <v>763394</v>
      </c>
      <c r="AO30" s="47">
        <v>714694</v>
      </c>
      <c r="AP30" s="47">
        <v>618045</v>
      </c>
      <c r="AQ30" s="47">
        <v>615089</v>
      </c>
      <c r="AR30" s="47">
        <v>653236</v>
      </c>
      <c r="AS30" s="47"/>
      <c r="AT30" s="47"/>
      <c r="AU30" s="47"/>
      <c r="AV30" s="47"/>
      <c r="AW30" s="47"/>
      <c r="AX30" s="47"/>
      <c r="AY30" s="47"/>
      <c r="AZ30" s="47"/>
      <c r="BA30" s="47"/>
      <c r="BB30" s="47"/>
      <c r="BC30" s="47"/>
      <c r="BD30" s="47"/>
      <c r="BE30" s="47"/>
      <c r="BF30" s="47"/>
    </row>
    <row r="31" spans="1:58">
      <c r="A31" s="46" t="s">
        <v>64</v>
      </c>
      <c r="B31" s="46" t="s">
        <v>275</v>
      </c>
      <c r="C31" s="47">
        <v>20692</v>
      </c>
      <c r="D31" s="47">
        <v>21727</v>
      </c>
      <c r="E31" s="47">
        <v>20730</v>
      </c>
      <c r="F31" s="47">
        <v>19008</v>
      </c>
      <c r="G31" s="47">
        <v>14981</v>
      </c>
      <c r="H31" s="47">
        <v>14567</v>
      </c>
      <c r="I31" s="47">
        <v>15000</v>
      </c>
      <c r="J31" s="47">
        <v>15310</v>
      </c>
      <c r="K31" s="47">
        <v>12470</v>
      </c>
      <c r="L31" s="47">
        <v>14337</v>
      </c>
      <c r="M31" s="47">
        <v>14051</v>
      </c>
      <c r="N31" s="47">
        <v>12022</v>
      </c>
      <c r="O31" s="47">
        <v>11506</v>
      </c>
      <c r="P31" s="47">
        <v>11861</v>
      </c>
      <c r="Q31" s="85">
        <v>53.66</v>
      </c>
      <c r="R31" s="85">
        <v>59.26</v>
      </c>
      <c r="S31" s="85">
        <v>59.65</v>
      </c>
      <c r="T31" s="85">
        <v>42.07</v>
      </c>
      <c r="U31" s="85">
        <v>55.08</v>
      </c>
      <c r="V31" s="85">
        <v>54.96</v>
      </c>
      <c r="W31" s="85">
        <v>53.28</v>
      </c>
      <c r="X31" s="85">
        <v>58.74</v>
      </c>
      <c r="Y31" s="85">
        <v>57.81</v>
      </c>
      <c r="Z31" s="85">
        <v>58.31</v>
      </c>
      <c r="AA31" s="85">
        <v>54.96</v>
      </c>
      <c r="AB31" s="85">
        <v>55.28</v>
      </c>
      <c r="AC31" s="85">
        <v>56.96</v>
      </c>
      <c r="AD31" s="85">
        <v>58.56</v>
      </c>
      <c r="AE31" s="47">
        <v>1110234</v>
      </c>
      <c r="AF31" s="47">
        <v>1287477</v>
      </c>
      <c r="AG31" s="47">
        <v>1236610</v>
      </c>
      <c r="AH31" s="47">
        <v>799616</v>
      </c>
      <c r="AI31" s="47">
        <v>825100</v>
      </c>
      <c r="AJ31" s="47">
        <v>800582</v>
      </c>
      <c r="AK31" s="47">
        <v>799218</v>
      </c>
      <c r="AL31" s="47">
        <v>899270</v>
      </c>
      <c r="AM31" s="47">
        <v>720890</v>
      </c>
      <c r="AN31" s="47">
        <v>835985</v>
      </c>
      <c r="AO31" s="47">
        <v>772189</v>
      </c>
      <c r="AP31" s="47">
        <v>664585</v>
      </c>
      <c r="AQ31" s="47">
        <v>655424</v>
      </c>
      <c r="AR31" s="47">
        <v>694636</v>
      </c>
      <c r="AS31" s="47"/>
      <c r="AT31" s="47"/>
      <c r="AU31" s="47"/>
      <c r="AV31" s="47"/>
      <c r="AW31" s="47"/>
      <c r="AX31" s="47"/>
      <c r="AY31" s="47"/>
      <c r="AZ31" s="47"/>
      <c r="BA31" s="47"/>
      <c r="BB31" s="47"/>
      <c r="BC31" s="47"/>
      <c r="BD31" s="47"/>
      <c r="BE31" s="47"/>
      <c r="BF31" s="47"/>
    </row>
    <row r="32" spans="1:58">
      <c r="A32" s="46" t="s">
        <v>64</v>
      </c>
      <c r="B32" s="46" t="s">
        <v>276</v>
      </c>
      <c r="C32" s="47">
        <v>9227393</v>
      </c>
      <c r="D32" s="47">
        <v>9211236</v>
      </c>
      <c r="E32" s="47">
        <v>9383309</v>
      </c>
      <c r="F32" s="47">
        <v>9486669</v>
      </c>
      <c r="G32" s="47">
        <v>9574103</v>
      </c>
      <c r="H32" s="47">
        <v>9591424</v>
      </c>
      <c r="I32" s="47">
        <v>9533703</v>
      </c>
      <c r="J32" s="47">
        <v>9339918</v>
      </c>
      <c r="K32" s="47">
        <v>9057754</v>
      </c>
      <c r="L32" s="47">
        <v>9390730</v>
      </c>
      <c r="M32" s="47">
        <v>8926335</v>
      </c>
      <c r="N32" s="47">
        <v>9317708</v>
      </c>
      <c r="O32" s="47">
        <v>9004647</v>
      </c>
      <c r="P32" s="47">
        <v>8831204</v>
      </c>
      <c r="Q32" s="85">
        <v>70.98</v>
      </c>
      <c r="R32" s="85">
        <v>69.63</v>
      </c>
      <c r="S32" s="85">
        <v>72.989999999999995</v>
      </c>
      <c r="T32" s="85">
        <v>71.13</v>
      </c>
      <c r="U32" s="85">
        <v>76.099999999999994</v>
      </c>
      <c r="V32" s="85">
        <v>76.22</v>
      </c>
      <c r="W32" s="85">
        <v>56.89</v>
      </c>
      <c r="X32" s="85">
        <v>73.42</v>
      </c>
      <c r="Y32" s="85">
        <v>69.180000000000007</v>
      </c>
      <c r="Z32" s="85">
        <v>75.86</v>
      </c>
      <c r="AA32" s="85">
        <v>64.7</v>
      </c>
      <c r="AB32" s="85">
        <v>72.59</v>
      </c>
      <c r="AC32" s="85">
        <v>67.33</v>
      </c>
      <c r="AD32" s="85">
        <v>73.599999999999994</v>
      </c>
      <c r="AE32" s="47">
        <v>654933908</v>
      </c>
      <c r="AF32" s="47">
        <v>641412137</v>
      </c>
      <c r="AG32" s="47">
        <v>684871578</v>
      </c>
      <c r="AH32" s="47">
        <v>674783761</v>
      </c>
      <c r="AI32" s="47">
        <v>728567395</v>
      </c>
      <c r="AJ32" s="47">
        <v>731059634</v>
      </c>
      <c r="AK32" s="47">
        <v>542400231</v>
      </c>
      <c r="AL32" s="47">
        <v>685770022</v>
      </c>
      <c r="AM32" s="47">
        <v>626580674</v>
      </c>
      <c r="AN32" s="47">
        <v>712359761</v>
      </c>
      <c r="AO32" s="47">
        <v>577575445</v>
      </c>
      <c r="AP32" s="47">
        <v>676349501</v>
      </c>
      <c r="AQ32" s="47">
        <v>606325404</v>
      </c>
      <c r="AR32" s="47">
        <v>649968163</v>
      </c>
      <c r="AS32" s="47"/>
      <c r="AT32" s="47"/>
      <c r="AU32" s="47"/>
      <c r="AV32" s="47"/>
      <c r="AW32" s="47"/>
      <c r="AX32" s="47"/>
      <c r="AY32" s="47"/>
      <c r="AZ32" s="47"/>
      <c r="BA32" s="47"/>
      <c r="BB32" s="47"/>
      <c r="BC32" s="47"/>
      <c r="BD32" s="47"/>
      <c r="BE32" s="47"/>
      <c r="BF32" s="47"/>
    </row>
    <row r="33" spans="1:58" hidden="1">
      <c r="A33" s="46" t="s">
        <v>64</v>
      </c>
      <c r="B33" s="46" t="s">
        <v>277</v>
      </c>
      <c r="C33" s="47"/>
      <c r="D33" s="47"/>
      <c r="E33" s="47"/>
      <c r="F33" s="47"/>
      <c r="G33" s="47"/>
      <c r="H33" s="47"/>
      <c r="I33" s="47"/>
      <c r="J33" s="47"/>
      <c r="K33" s="47"/>
      <c r="L33" s="47"/>
      <c r="M33" s="47"/>
      <c r="N33" s="47"/>
      <c r="O33" s="47"/>
      <c r="P33" s="47"/>
      <c r="Q33" s="85"/>
      <c r="R33" s="85"/>
      <c r="S33" s="85"/>
      <c r="T33" s="85"/>
      <c r="U33" s="85"/>
      <c r="V33" s="85"/>
      <c r="W33" s="85"/>
      <c r="X33" s="85"/>
      <c r="Y33" s="85"/>
      <c r="Z33" s="85"/>
      <c r="AA33" s="85"/>
      <c r="AB33" s="85"/>
      <c r="AC33" s="85"/>
      <c r="AD33" s="85"/>
      <c r="AE33" s="47">
        <v>130309433.396982</v>
      </c>
      <c r="AF33" s="47">
        <v>122774948.27734999</v>
      </c>
      <c r="AG33" s="47">
        <v>135550768.20876801</v>
      </c>
      <c r="AH33" s="47">
        <v>137339970.885804</v>
      </c>
      <c r="AI33" s="47">
        <v>134394796.73580599</v>
      </c>
      <c r="AJ33" s="47">
        <v>140767458.99157801</v>
      </c>
      <c r="AK33" s="47">
        <v>128154681.58076601</v>
      </c>
      <c r="AL33" s="47">
        <v>134276874.57134199</v>
      </c>
      <c r="AM33" s="47">
        <v>127839936.35019401</v>
      </c>
      <c r="AN33" s="47">
        <v>138289641.77151999</v>
      </c>
      <c r="AO33" s="47">
        <v>139570945.78008601</v>
      </c>
      <c r="AP33" s="47">
        <v>148359041.994544</v>
      </c>
      <c r="AQ33" s="47">
        <v>138486454.40967801</v>
      </c>
      <c r="AR33" s="47">
        <v>154327652</v>
      </c>
      <c r="AS33" s="47"/>
      <c r="AT33" s="47"/>
      <c r="AU33" s="47"/>
      <c r="AV33" s="47"/>
      <c r="AW33" s="47"/>
      <c r="AX33" s="47"/>
      <c r="AY33" s="47"/>
      <c r="AZ33" s="47"/>
      <c r="BA33" s="47"/>
      <c r="BB33" s="47"/>
      <c r="BC33" s="47"/>
      <c r="BD33" s="47"/>
      <c r="BE33" s="47"/>
      <c r="BF33" s="47"/>
    </row>
    <row r="34" spans="1:58" hidden="1">
      <c r="A34" s="46" t="s">
        <v>64</v>
      </c>
      <c r="B34" s="46" t="s">
        <v>65</v>
      </c>
      <c r="C34" s="47">
        <v>1458990</v>
      </c>
      <c r="D34" s="47">
        <v>1551278</v>
      </c>
      <c r="E34" s="47">
        <v>1603180</v>
      </c>
      <c r="F34" s="47">
        <v>1428930</v>
      </c>
      <c r="G34" s="47">
        <v>1501087</v>
      </c>
      <c r="H34" s="47">
        <v>1504279</v>
      </c>
      <c r="I34" s="47">
        <v>1548974</v>
      </c>
      <c r="J34" s="47">
        <v>1399346</v>
      </c>
      <c r="K34" s="47">
        <v>1614716</v>
      </c>
      <c r="L34" s="47">
        <v>1104795</v>
      </c>
      <c r="M34" s="47">
        <v>1110383</v>
      </c>
      <c r="N34" s="47">
        <v>978715</v>
      </c>
      <c r="O34" s="47">
        <v>1228704</v>
      </c>
      <c r="P34" s="47">
        <v>1344245</v>
      </c>
      <c r="Q34" s="85">
        <v>32.880000000000003</v>
      </c>
      <c r="R34" s="85">
        <v>34.520000000000003</v>
      </c>
      <c r="S34" s="85">
        <v>34.03</v>
      </c>
      <c r="T34" s="85">
        <v>30.43</v>
      </c>
      <c r="U34" s="85">
        <v>36.76</v>
      </c>
      <c r="V34" s="85">
        <v>35.44</v>
      </c>
      <c r="W34" s="85">
        <v>30.59</v>
      </c>
      <c r="X34" s="85">
        <v>37.950000000000003</v>
      </c>
      <c r="Y34" s="85">
        <v>30.81</v>
      </c>
      <c r="Z34" s="85">
        <v>31.83</v>
      </c>
      <c r="AA34" s="85">
        <v>29.57</v>
      </c>
      <c r="AB34" s="85">
        <v>33.74</v>
      </c>
      <c r="AC34" s="85">
        <v>36.72</v>
      </c>
      <c r="AD34" s="85">
        <v>31.78</v>
      </c>
      <c r="AE34" s="47">
        <v>47965924</v>
      </c>
      <c r="AF34" s="47">
        <v>53554470</v>
      </c>
      <c r="AG34" s="47">
        <v>54549729</v>
      </c>
      <c r="AH34" s="47">
        <v>43480815</v>
      </c>
      <c r="AI34" s="47">
        <v>55175506</v>
      </c>
      <c r="AJ34" s="47">
        <v>53315085</v>
      </c>
      <c r="AK34" s="47">
        <v>47384388</v>
      </c>
      <c r="AL34" s="47">
        <v>53099759</v>
      </c>
      <c r="AM34" s="47">
        <v>49751784</v>
      </c>
      <c r="AN34" s="47">
        <v>35165953</v>
      </c>
      <c r="AO34" s="47">
        <v>32836755</v>
      </c>
      <c r="AP34" s="47">
        <v>33023981</v>
      </c>
      <c r="AQ34" s="47">
        <v>45117966</v>
      </c>
      <c r="AR34" s="47">
        <v>42725315</v>
      </c>
      <c r="AS34" s="47"/>
      <c r="AT34" s="47"/>
      <c r="AU34" s="47"/>
      <c r="AV34" s="47"/>
      <c r="AW34" s="47"/>
      <c r="AX34" s="47"/>
      <c r="AY34" s="47"/>
      <c r="AZ34" s="47"/>
      <c r="BA34" s="47"/>
      <c r="BB34" s="47"/>
      <c r="BC34" s="47"/>
      <c r="BD34" s="47"/>
      <c r="BE34" s="47"/>
      <c r="BF34" s="47"/>
    </row>
    <row r="35" spans="1:58" hidden="1">
      <c r="A35" s="46" t="s">
        <v>64</v>
      </c>
      <c r="B35" s="46" t="s">
        <v>66</v>
      </c>
      <c r="C35" s="47">
        <v>4801</v>
      </c>
      <c r="D35" s="47">
        <v>4328</v>
      </c>
      <c r="E35" s="47">
        <v>3741</v>
      </c>
      <c r="F35" s="47">
        <v>7922</v>
      </c>
      <c r="G35" s="47">
        <v>2056</v>
      </c>
      <c r="H35" s="47">
        <v>1422</v>
      </c>
      <c r="I35" s="47">
        <v>1485</v>
      </c>
      <c r="J35" s="47">
        <v>2097</v>
      </c>
      <c r="K35" s="47">
        <v>1873</v>
      </c>
      <c r="L35" s="47">
        <v>2246</v>
      </c>
      <c r="M35" s="47">
        <v>2545</v>
      </c>
      <c r="N35" s="47">
        <v>1412</v>
      </c>
      <c r="O35" s="47">
        <v>1447</v>
      </c>
      <c r="P35" s="47">
        <v>1489</v>
      </c>
      <c r="Q35" s="85">
        <v>30.19</v>
      </c>
      <c r="R35" s="85">
        <v>30.69</v>
      </c>
      <c r="S35" s="85">
        <v>30.73</v>
      </c>
      <c r="T35" s="85">
        <v>24.79</v>
      </c>
      <c r="U35" s="85">
        <v>32.700000000000003</v>
      </c>
      <c r="V35" s="85">
        <v>32.31</v>
      </c>
      <c r="W35" s="85">
        <v>30.48</v>
      </c>
      <c r="X35" s="85">
        <v>35.29</v>
      </c>
      <c r="Y35" s="85">
        <v>28.61</v>
      </c>
      <c r="Z35" s="85">
        <v>29.85</v>
      </c>
      <c r="AA35" s="85">
        <v>24.7</v>
      </c>
      <c r="AB35" s="85">
        <v>29.17</v>
      </c>
      <c r="AC35" s="85">
        <v>32.75</v>
      </c>
      <c r="AD35" s="85">
        <v>29.3</v>
      </c>
      <c r="AE35" s="47">
        <v>144933</v>
      </c>
      <c r="AF35" s="47">
        <v>132832</v>
      </c>
      <c r="AG35" s="47">
        <v>114945</v>
      </c>
      <c r="AH35" s="47">
        <v>196349</v>
      </c>
      <c r="AI35" s="47">
        <v>67233</v>
      </c>
      <c r="AJ35" s="47">
        <v>45946</v>
      </c>
      <c r="AK35" s="47">
        <v>45263</v>
      </c>
      <c r="AL35" s="47">
        <v>74012</v>
      </c>
      <c r="AM35" s="47">
        <v>53589</v>
      </c>
      <c r="AN35" s="47">
        <v>67036</v>
      </c>
      <c r="AO35" s="47">
        <v>62869</v>
      </c>
      <c r="AP35" s="47">
        <v>41194</v>
      </c>
      <c r="AQ35" s="47">
        <v>47394</v>
      </c>
      <c r="AR35" s="47">
        <v>43623</v>
      </c>
      <c r="AS35" s="47"/>
      <c r="AT35" s="47"/>
      <c r="AU35" s="47"/>
      <c r="AV35" s="47"/>
      <c r="AW35" s="47"/>
      <c r="AX35" s="47"/>
      <c r="AY35" s="47"/>
      <c r="AZ35" s="47"/>
      <c r="BA35" s="47"/>
      <c r="BB35" s="47"/>
      <c r="BC35" s="47"/>
      <c r="BD35" s="47"/>
      <c r="BE35" s="47"/>
      <c r="BF35" s="47"/>
    </row>
    <row r="36" spans="1:58" hidden="1">
      <c r="A36" s="46" t="s">
        <v>64</v>
      </c>
      <c r="B36" s="46" t="s">
        <v>67</v>
      </c>
      <c r="C36" s="47">
        <v>1463791</v>
      </c>
      <c r="D36" s="47">
        <v>1555606</v>
      </c>
      <c r="E36" s="47">
        <v>1606921</v>
      </c>
      <c r="F36" s="47">
        <v>1436852</v>
      </c>
      <c r="G36" s="47">
        <v>1503143</v>
      </c>
      <c r="H36" s="47">
        <v>1505701</v>
      </c>
      <c r="I36" s="47">
        <v>1550459</v>
      </c>
      <c r="J36" s="47">
        <v>1401443</v>
      </c>
      <c r="K36" s="47">
        <v>1616589</v>
      </c>
      <c r="L36" s="47">
        <v>1107041</v>
      </c>
      <c r="M36" s="47">
        <v>1112928</v>
      </c>
      <c r="N36" s="47">
        <v>980127</v>
      </c>
      <c r="O36" s="47">
        <v>1230151</v>
      </c>
      <c r="P36" s="47">
        <v>1345734</v>
      </c>
      <c r="Q36" s="85">
        <v>32.869999999999997</v>
      </c>
      <c r="R36" s="85">
        <v>34.51</v>
      </c>
      <c r="S36" s="85">
        <v>34.020000000000003</v>
      </c>
      <c r="T36" s="85">
        <v>30.4</v>
      </c>
      <c r="U36" s="85">
        <v>36.75</v>
      </c>
      <c r="V36" s="85">
        <v>35.44</v>
      </c>
      <c r="W36" s="85">
        <v>30.59</v>
      </c>
      <c r="X36" s="85">
        <v>37.94</v>
      </c>
      <c r="Y36" s="85">
        <v>30.81</v>
      </c>
      <c r="Z36" s="85">
        <v>31.83</v>
      </c>
      <c r="AA36" s="85">
        <v>29.56</v>
      </c>
      <c r="AB36" s="85">
        <v>33.74</v>
      </c>
      <c r="AC36" s="85">
        <v>36.72</v>
      </c>
      <c r="AD36" s="85">
        <v>31.78</v>
      </c>
      <c r="AE36" s="47">
        <v>48110857</v>
      </c>
      <c r="AF36" s="47">
        <v>53687302</v>
      </c>
      <c r="AG36" s="47">
        <v>54664674</v>
      </c>
      <c r="AH36" s="47">
        <v>43677164</v>
      </c>
      <c r="AI36" s="47">
        <v>55242739</v>
      </c>
      <c r="AJ36" s="47">
        <v>53361031</v>
      </c>
      <c r="AK36" s="47">
        <v>47429651</v>
      </c>
      <c r="AL36" s="47">
        <v>53173771</v>
      </c>
      <c r="AM36" s="47">
        <v>49805373</v>
      </c>
      <c r="AN36" s="47">
        <v>35232989</v>
      </c>
      <c r="AO36" s="47">
        <v>32899624</v>
      </c>
      <c r="AP36" s="47">
        <v>33065175</v>
      </c>
      <c r="AQ36" s="47">
        <v>45165360</v>
      </c>
      <c r="AR36" s="47">
        <v>42768938</v>
      </c>
      <c r="AS36" s="47"/>
      <c r="AT36" s="47"/>
      <c r="AU36" s="47"/>
      <c r="AV36" s="47"/>
      <c r="AW36" s="47"/>
      <c r="AX36" s="47"/>
      <c r="AY36" s="47"/>
      <c r="AZ36" s="47"/>
      <c r="BA36" s="47"/>
      <c r="BB36" s="47"/>
      <c r="BC36" s="47"/>
      <c r="BD36" s="47"/>
      <c r="BE36" s="47"/>
      <c r="BF36" s="47"/>
    </row>
    <row r="37" spans="1:58" hidden="1">
      <c r="A37" s="46" t="s">
        <v>64</v>
      </c>
      <c r="B37" s="46" t="s">
        <v>68</v>
      </c>
      <c r="C37" s="47">
        <v>692265</v>
      </c>
      <c r="D37" s="47">
        <v>740710</v>
      </c>
      <c r="E37" s="47">
        <v>680344</v>
      </c>
      <c r="F37" s="47">
        <v>769992</v>
      </c>
      <c r="G37" s="47">
        <v>657178</v>
      </c>
      <c r="H37" s="47">
        <v>617904</v>
      </c>
      <c r="I37" s="47">
        <v>535762</v>
      </c>
      <c r="J37" s="47">
        <v>584810</v>
      </c>
      <c r="K37" s="47">
        <v>550473</v>
      </c>
      <c r="L37" s="47">
        <v>602117</v>
      </c>
      <c r="M37" s="47">
        <v>777344</v>
      </c>
      <c r="N37" s="47">
        <v>698359</v>
      </c>
      <c r="O37" s="47">
        <v>870563</v>
      </c>
      <c r="P37" s="47">
        <v>821737</v>
      </c>
      <c r="Q37" s="85">
        <v>23.63</v>
      </c>
      <c r="R37" s="85">
        <v>25.28</v>
      </c>
      <c r="S37" s="85">
        <v>23.31</v>
      </c>
      <c r="T37" s="85">
        <v>20.41</v>
      </c>
      <c r="U37" s="85">
        <v>24.11</v>
      </c>
      <c r="V37" s="85">
        <v>19.28</v>
      </c>
      <c r="W37" s="85">
        <v>21.83</v>
      </c>
      <c r="X37" s="85">
        <v>27.26</v>
      </c>
      <c r="Y37" s="85">
        <v>22.43</v>
      </c>
      <c r="Z37" s="85">
        <v>21.49</v>
      </c>
      <c r="AA37" s="85">
        <v>20.69</v>
      </c>
      <c r="AB37" s="85">
        <v>27.39</v>
      </c>
      <c r="AC37" s="85">
        <v>20.66</v>
      </c>
      <c r="AD37" s="85">
        <v>25.09</v>
      </c>
      <c r="AE37" s="47">
        <v>16356280</v>
      </c>
      <c r="AF37" s="47">
        <v>18724969</v>
      </c>
      <c r="AG37" s="47">
        <v>15860269</v>
      </c>
      <c r="AH37" s="47">
        <v>15717110</v>
      </c>
      <c r="AI37" s="47">
        <v>15843451</v>
      </c>
      <c r="AJ37" s="47">
        <v>11911431</v>
      </c>
      <c r="AK37" s="47">
        <v>11696507</v>
      </c>
      <c r="AL37" s="47">
        <v>15943194</v>
      </c>
      <c r="AM37" s="47">
        <v>12346803</v>
      </c>
      <c r="AN37" s="47">
        <v>12941769</v>
      </c>
      <c r="AO37" s="47">
        <v>16081884</v>
      </c>
      <c r="AP37" s="47">
        <v>19128855</v>
      </c>
      <c r="AQ37" s="47">
        <v>17983761</v>
      </c>
      <c r="AR37" s="47">
        <v>20614287</v>
      </c>
      <c r="AS37" s="47"/>
      <c r="AT37" s="47"/>
      <c r="AU37" s="47"/>
      <c r="AV37" s="47"/>
      <c r="AW37" s="47"/>
      <c r="AX37" s="47"/>
      <c r="AY37" s="47"/>
      <c r="AZ37" s="47"/>
      <c r="BA37" s="47"/>
      <c r="BB37" s="47"/>
      <c r="BC37" s="47"/>
      <c r="BD37" s="47"/>
      <c r="BE37" s="47"/>
      <c r="BF37" s="47"/>
    </row>
    <row r="38" spans="1:58" hidden="1">
      <c r="A38" s="46" t="s">
        <v>64</v>
      </c>
      <c r="B38" s="46" t="s">
        <v>69</v>
      </c>
      <c r="C38" s="47">
        <v>49736</v>
      </c>
      <c r="D38" s="47">
        <v>42456</v>
      </c>
      <c r="E38" s="47">
        <v>38152</v>
      </c>
      <c r="F38" s="47">
        <v>44114</v>
      </c>
      <c r="G38" s="47">
        <v>76654</v>
      </c>
      <c r="H38" s="47">
        <v>124198</v>
      </c>
      <c r="I38" s="47">
        <v>136518</v>
      </c>
      <c r="J38" s="47">
        <v>141829</v>
      </c>
      <c r="K38" s="47">
        <v>153853</v>
      </c>
      <c r="L38" s="47">
        <v>163800</v>
      </c>
      <c r="M38" s="47">
        <v>187068</v>
      </c>
      <c r="N38" s="47">
        <v>154382</v>
      </c>
      <c r="O38" s="47">
        <v>183906</v>
      </c>
      <c r="P38" s="47">
        <v>157753</v>
      </c>
      <c r="Q38" s="85">
        <v>27.64</v>
      </c>
      <c r="R38" s="85">
        <v>29.44</v>
      </c>
      <c r="S38" s="85">
        <v>27.73</v>
      </c>
      <c r="T38" s="85">
        <v>25.52</v>
      </c>
      <c r="U38" s="85">
        <v>30</v>
      </c>
      <c r="V38" s="85">
        <v>27.41</v>
      </c>
      <c r="W38" s="85">
        <v>24.83</v>
      </c>
      <c r="X38" s="85">
        <v>29.27</v>
      </c>
      <c r="Y38" s="85">
        <v>25.9</v>
      </c>
      <c r="Z38" s="85">
        <v>26.16</v>
      </c>
      <c r="AA38" s="85">
        <v>21.75</v>
      </c>
      <c r="AB38" s="85">
        <v>28.46</v>
      </c>
      <c r="AC38" s="85">
        <v>20.440000000000001</v>
      </c>
      <c r="AD38" s="85">
        <v>24.58</v>
      </c>
      <c r="AE38" s="47">
        <v>1374844</v>
      </c>
      <c r="AF38" s="47">
        <v>1249989</v>
      </c>
      <c r="AG38" s="47">
        <v>1058073</v>
      </c>
      <c r="AH38" s="47">
        <v>1125752</v>
      </c>
      <c r="AI38" s="47">
        <v>2299483</v>
      </c>
      <c r="AJ38" s="47">
        <v>3404212</v>
      </c>
      <c r="AK38" s="47">
        <v>3389548</v>
      </c>
      <c r="AL38" s="47">
        <v>4152016</v>
      </c>
      <c r="AM38" s="47">
        <v>3984808</v>
      </c>
      <c r="AN38" s="47">
        <v>4285314</v>
      </c>
      <c r="AO38" s="47">
        <v>4068117</v>
      </c>
      <c r="AP38" s="47">
        <v>4393518</v>
      </c>
      <c r="AQ38" s="47">
        <v>3758204</v>
      </c>
      <c r="AR38" s="47">
        <v>3878229</v>
      </c>
      <c r="AS38" s="47"/>
      <c r="AT38" s="47"/>
      <c r="AU38" s="47"/>
      <c r="AV38" s="47"/>
      <c r="AW38" s="47"/>
      <c r="AX38" s="47"/>
      <c r="AY38" s="47"/>
      <c r="AZ38" s="47"/>
      <c r="BA38" s="47"/>
      <c r="BB38" s="47"/>
      <c r="BC38" s="47"/>
      <c r="BD38" s="47"/>
      <c r="BE38" s="47"/>
      <c r="BF38" s="47"/>
    </row>
    <row r="39" spans="1:58" hidden="1">
      <c r="A39" s="46" t="s">
        <v>64</v>
      </c>
      <c r="B39" s="46" t="s">
        <v>70</v>
      </c>
      <c r="C39" s="47">
        <v>18121</v>
      </c>
      <c r="D39" s="47">
        <v>16422</v>
      </c>
      <c r="E39" s="47">
        <v>12022</v>
      </c>
      <c r="F39" s="47">
        <v>8525</v>
      </c>
      <c r="G39" s="47">
        <v>12059</v>
      </c>
      <c r="H39" s="47">
        <v>22308</v>
      </c>
      <c r="I39" s="47">
        <v>24961</v>
      </c>
      <c r="J39" s="47">
        <v>29124</v>
      </c>
      <c r="K39" s="47">
        <v>24767</v>
      </c>
      <c r="L39" s="47">
        <v>21853</v>
      </c>
      <c r="M39" s="47">
        <v>32051</v>
      </c>
      <c r="N39" s="47">
        <v>37503</v>
      </c>
      <c r="O39" s="47">
        <v>28913</v>
      </c>
      <c r="P39" s="47">
        <v>26898</v>
      </c>
      <c r="Q39" s="85">
        <v>19.79</v>
      </c>
      <c r="R39" s="85">
        <v>18.7</v>
      </c>
      <c r="S39" s="85">
        <v>19.64</v>
      </c>
      <c r="T39" s="85">
        <v>18.98</v>
      </c>
      <c r="U39" s="85">
        <v>21.82</v>
      </c>
      <c r="V39" s="85">
        <v>19.09</v>
      </c>
      <c r="W39" s="85">
        <v>17.29</v>
      </c>
      <c r="X39" s="85">
        <v>18.8</v>
      </c>
      <c r="Y39" s="85">
        <v>18.510000000000002</v>
      </c>
      <c r="Z39" s="85">
        <v>20.84</v>
      </c>
      <c r="AA39" s="85">
        <v>18.579999999999998</v>
      </c>
      <c r="AB39" s="85">
        <v>19.45</v>
      </c>
      <c r="AC39" s="85">
        <v>17.57</v>
      </c>
      <c r="AD39" s="85">
        <v>19.22</v>
      </c>
      <c r="AE39" s="47">
        <v>358538</v>
      </c>
      <c r="AF39" s="47">
        <v>307142</v>
      </c>
      <c r="AG39" s="47">
        <v>236153</v>
      </c>
      <c r="AH39" s="47">
        <v>161789</v>
      </c>
      <c r="AI39" s="47">
        <v>263128</v>
      </c>
      <c r="AJ39" s="47">
        <v>425936</v>
      </c>
      <c r="AK39" s="47">
        <v>431695</v>
      </c>
      <c r="AL39" s="47">
        <v>547457</v>
      </c>
      <c r="AM39" s="47">
        <v>458549</v>
      </c>
      <c r="AN39" s="47">
        <v>455313</v>
      </c>
      <c r="AO39" s="47">
        <v>595414</v>
      </c>
      <c r="AP39" s="47">
        <v>729381</v>
      </c>
      <c r="AQ39" s="47">
        <v>507905</v>
      </c>
      <c r="AR39" s="47">
        <v>516892</v>
      </c>
      <c r="AS39" s="47"/>
      <c r="AT39" s="47"/>
      <c r="AU39" s="47"/>
      <c r="AV39" s="47"/>
      <c r="AW39" s="47"/>
      <c r="AX39" s="47"/>
      <c r="AY39" s="47"/>
      <c r="AZ39" s="47"/>
      <c r="BA39" s="47"/>
      <c r="BB39" s="47"/>
      <c r="BC39" s="47"/>
      <c r="BD39" s="47"/>
      <c r="BE39" s="47"/>
      <c r="BF39" s="47"/>
    </row>
    <row r="40" spans="1:58" hidden="1">
      <c r="A40" s="46" t="s">
        <v>64</v>
      </c>
      <c r="B40" s="46" t="s">
        <v>71</v>
      </c>
      <c r="C40" s="47">
        <v>8824</v>
      </c>
      <c r="D40" s="47">
        <v>8262</v>
      </c>
      <c r="E40" s="47">
        <v>9418</v>
      </c>
      <c r="F40" s="47">
        <v>11479</v>
      </c>
      <c r="G40" s="47">
        <v>8247</v>
      </c>
      <c r="H40" s="47">
        <v>8699</v>
      </c>
      <c r="I40" s="47">
        <v>8473</v>
      </c>
      <c r="J40" s="47">
        <v>10233</v>
      </c>
      <c r="K40" s="47">
        <v>9883</v>
      </c>
      <c r="L40" s="47">
        <v>10038</v>
      </c>
      <c r="M40" s="47">
        <v>9704</v>
      </c>
      <c r="N40" s="47">
        <v>8547</v>
      </c>
      <c r="O40" s="47">
        <v>10061</v>
      </c>
      <c r="P40" s="47">
        <v>19539</v>
      </c>
      <c r="Q40" s="85"/>
      <c r="R40" s="85"/>
      <c r="S40" s="85"/>
      <c r="T40" s="85"/>
      <c r="U40" s="85"/>
      <c r="V40" s="85"/>
      <c r="W40" s="85"/>
      <c r="X40" s="85"/>
      <c r="Y40" s="85"/>
      <c r="Z40" s="85"/>
      <c r="AA40" s="85"/>
      <c r="AB40" s="85"/>
      <c r="AC40" s="85"/>
      <c r="AD40" s="85"/>
      <c r="AE40" s="47">
        <v>154224</v>
      </c>
      <c r="AF40" s="47">
        <v>162977</v>
      </c>
      <c r="AG40" s="47">
        <v>173988</v>
      </c>
      <c r="AH40" s="47">
        <v>218159</v>
      </c>
      <c r="AI40" s="47">
        <v>163047</v>
      </c>
      <c r="AJ40" s="47">
        <v>154315</v>
      </c>
      <c r="AK40" s="47">
        <v>119542</v>
      </c>
      <c r="AL40" s="47">
        <v>197518</v>
      </c>
      <c r="AM40" s="47">
        <v>148278</v>
      </c>
      <c r="AN40" s="47">
        <v>131281</v>
      </c>
      <c r="AO40" s="47">
        <v>145129</v>
      </c>
      <c r="AP40" s="47">
        <v>153294</v>
      </c>
      <c r="AQ40" s="47">
        <v>187066</v>
      </c>
      <c r="AR40" s="47">
        <v>266256</v>
      </c>
      <c r="AS40" s="47"/>
      <c r="AT40" s="47"/>
      <c r="AU40" s="47"/>
      <c r="AV40" s="47"/>
      <c r="AW40" s="47"/>
      <c r="AX40" s="47"/>
      <c r="AY40" s="47"/>
      <c r="AZ40" s="47"/>
      <c r="BA40" s="47"/>
      <c r="BB40" s="47"/>
      <c r="BC40" s="47"/>
      <c r="BD40" s="47"/>
      <c r="BE40" s="47"/>
      <c r="BF40" s="47"/>
    </row>
    <row r="41" spans="1:58" hidden="1">
      <c r="A41" s="46" t="s">
        <v>64</v>
      </c>
      <c r="B41" s="46" t="s">
        <v>72</v>
      </c>
      <c r="C41" s="47">
        <v>2232737</v>
      </c>
      <c r="D41" s="47">
        <v>2363456</v>
      </c>
      <c r="E41" s="47">
        <v>2346857</v>
      </c>
      <c r="F41" s="47">
        <v>2270962</v>
      </c>
      <c r="G41" s="47">
        <v>2257281</v>
      </c>
      <c r="H41" s="47">
        <v>2278810</v>
      </c>
      <c r="I41" s="47">
        <v>2256173</v>
      </c>
      <c r="J41" s="47">
        <v>2167439</v>
      </c>
      <c r="K41" s="47">
        <v>2355565</v>
      </c>
      <c r="L41" s="47">
        <v>1904849</v>
      </c>
      <c r="M41" s="47">
        <v>2119095</v>
      </c>
      <c r="N41" s="47">
        <v>1878918</v>
      </c>
      <c r="O41" s="47">
        <v>2323594</v>
      </c>
      <c r="P41" s="47">
        <v>2371661</v>
      </c>
      <c r="Q41" s="85">
        <v>29.72</v>
      </c>
      <c r="R41" s="85">
        <v>31.37</v>
      </c>
      <c r="S41" s="85">
        <v>30.68</v>
      </c>
      <c r="T41" s="85">
        <v>26.82</v>
      </c>
      <c r="U41" s="85">
        <v>32.700000000000003</v>
      </c>
      <c r="V41" s="85">
        <v>30.39</v>
      </c>
      <c r="W41" s="85">
        <v>27.95</v>
      </c>
      <c r="X41" s="85">
        <v>34.15</v>
      </c>
      <c r="Y41" s="85">
        <v>28.33</v>
      </c>
      <c r="Z41" s="85">
        <v>27.85</v>
      </c>
      <c r="AA41" s="85">
        <v>25.38</v>
      </c>
      <c r="AB41" s="85">
        <v>30.59</v>
      </c>
      <c r="AC41" s="85">
        <v>29.09</v>
      </c>
      <c r="AD41" s="85">
        <v>28.69</v>
      </c>
      <c r="AE41" s="47">
        <v>66354743</v>
      </c>
      <c r="AF41" s="47">
        <v>74132379</v>
      </c>
      <c r="AG41" s="47">
        <v>71993157</v>
      </c>
      <c r="AH41" s="47">
        <v>60899974</v>
      </c>
      <c r="AI41" s="47">
        <v>73811848</v>
      </c>
      <c r="AJ41" s="47">
        <v>69256925</v>
      </c>
      <c r="AK41" s="47">
        <v>63066943</v>
      </c>
      <c r="AL41" s="47">
        <v>74013956</v>
      </c>
      <c r="AM41" s="47">
        <v>66743811</v>
      </c>
      <c r="AN41" s="47">
        <v>53046666</v>
      </c>
      <c r="AO41" s="47">
        <v>53790168</v>
      </c>
      <c r="AP41" s="47">
        <v>57470223</v>
      </c>
      <c r="AQ41" s="47">
        <v>67602296</v>
      </c>
      <c r="AR41" s="47">
        <v>68044602</v>
      </c>
      <c r="AS41" s="47"/>
      <c r="AT41" s="47"/>
      <c r="AU41" s="47"/>
      <c r="AV41" s="47"/>
      <c r="AW41" s="47"/>
      <c r="AX41" s="47"/>
      <c r="AY41" s="47"/>
      <c r="AZ41" s="47"/>
      <c r="BA41" s="47"/>
      <c r="BB41" s="47"/>
      <c r="BC41" s="47"/>
      <c r="BD41" s="47"/>
      <c r="BE41" s="47"/>
      <c r="BF41" s="47"/>
    </row>
    <row r="42" spans="1:58" hidden="1">
      <c r="A42" s="46" t="s">
        <v>64</v>
      </c>
      <c r="B42" s="46" t="s">
        <v>73</v>
      </c>
      <c r="C42" s="47">
        <v>0</v>
      </c>
      <c r="D42" s="47">
        <v>0</v>
      </c>
      <c r="E42" s="47">
        <v>0</v>
      </c>
      <c r="F42" s="47">
        <v>0</v>
      </c>
      <c r="G42" s="47">
        <v>0</v>
      </c>
      <c r="H42" s="47">
        <v>0</v>
      </c>
      <c r="I42" s="47">
        <v>0</v>
      </c>
      <c r="J42" s="47">
        <v>0</v>
      </c>
      <c r="K42" s="47">
        <v>0</v>
      </c>
      <c r="L42" s="47">
        <v>0</v>
      </c>
      <c r="M42" s="47">
        <v>0</v>
      </c>
      <c r="N42" s="47">
        <v>0</v>
      </c>
      <c r="O42" s="47">
        <v>0</v>
      </c>
      <c r="P42" s="47">
        <v>0</v>
      </c>
      <c r="Q42" s="85"/>
      <c r="R42" s="85"/>
      <c r="S42" s="85"/>
      <c r="T42" s="85"/>
      <c r="U42" s="85"/>
      <c r="V42" s="85"/>
      <c r="W42" s="85"/>
      <c r="X42" s="85"/>
      <c r="Y42" s="85"/>
      <c r="Z42" s="85"/>
      <c r="AA42" s="85"/>
      <c r="AB42" s="85"/>
      <c r="AC42" s="85"/>
      <c r="AD42" s="85"/>
      <c r="AE42" s="47">
        <v>0</v>
      </c>
      <c r="AF42" s="47">
        <v>0</v>
      </c>
      <c r="AG42" s="47">
        <v>0</v>
      </c>
      <c r="AH42" s="47">
        <v>0</v>
      </c>
      <c r="AI42" s="47">
        <v>0</v>
      </c>
      <c r="AJ42" s="47">
        <v>0</v>
      </c>
      <c r="AK42" s="47">
        <v>0</v>
      </c>
      <c r="AL42" s="47">
        <v>0</v>
      </c>
      <c r="AM42" s="47">
        <v>0</v>
      </c>
      <c r="AN42" s="47">
        <v>0</v>
      </c>
      <c r="AO42" s="47">
        <v>0</v>
      </c>
      <c r="AP42" s="47">
        <v>0</v>
      </c>
      <c r="AQ42" s="47">
        <v>0</v>
      </c>
      <c r="AR42" s="47">
        <v>0</v>
      </c>
      <c r="AS42" s="47"/>
      <c r="AT42" s="47"/>
      <c r="AU42" s="47"/>
      <c r="AV42" s="47"/>
      <c r="AW42" s="47"/>
      <c r="AX42" s="47"/>
      <c r="AY42" s="47"/>
      <c r="AZ42" s="47"/>
      <c r="BA42" s="47"/>
      <c r="BB42" s="47"/>
      <c r="BC42" s="47"/>
      <c r="BD42" s="47"/>
      <c r="BE42" s="47"/>
      <c r="BF42" s="47"/>
    </row>
    <row r="43" spans="1:58" hidden="1">
      <c r="A43" s="46" t="s">
        <v>64</v>
      </c>
      <c r="B43" s="46" t="s">
        <v>74</v>
      </c>
      <c r="C43" s="47">
        <v>151342</v>
      </c>
      <c r="D43" s="47">
        <v>91416</v>
      </c>
      <c r="E43" s="47">
        <v>60376</v>
      </c>
      <c r="F43" s="47">
        <v>67980</v>
      </c>
      <c r="G43" s="47">
        <v>74993</v>
      </c>
      <c r="H43" s="47">
        <v>86552</v>
      </c>
      <c r="I43" s="47">
        <v>77793</v>
      </c>
      <c r="J43" s="47">
        <v>77439</v>
      </c>
      <c r="K43" s="47">
        <v>57231</v>
      </c>
      <c r="L43" s="47">
        <v>63118</v>
      </c>
      <c r="M43" s="47">
        <v>76350</v>
      </c>
      <c r="N43" s="47">
        <v>77996</v>
      </c>
      <c r="O43" s="47">
        <v>68087</v>
      </c>
      <c r="P43" s="47">
        <v>80231</v>
      </c>
      <c r="Q43" s="85">
        <v>31.87</v>
      </c>
      <c r="R43" s="85">
        <v>37.630000000000003</v>
      </c>
      <c r="S43" s="85">
        <v>45.1</v>
      </c>
      <c r="T43" s="85">
        <v>35.68</v>
      </c>
      <c r="U43" s="85">
        <v>36.549999999999997</v>
      </c>
      <c r="V43" s="85">
        <v>28.9</v>
      </c>
      <c r="W43" s="85">
        <v>25.1</v>
      </c>
      <c r="X43" s="85">
        <v>25.63</v>
      </c>
      <c r="Y43" s="85">
        <v>24.6</v>
      </c>
      <c r="Z43" s="85">
        <v>27.22</v>
      </c>
      <c r="AA43" s="85">
        <v>19.329999999999998</v>
      </c>
      <c r="AB43" s="85">
        <v>23.62</v>
      </c>
      <c r="AC43" s="85">
        <v>23.18</v>
      </c>
      <c r="AD43" s="85">
        <v>26.96</v>
      </c>
      <c r="AE43" s="47">
        <v>4823135</v>
      </c>
      <c r="AF43" s="47">
        <v>3439920</v>
      </c>
      <c r="AG43" s="47">
        <v>2723036</v>
      </c>
      <c r="AH43" s="47">
        <v>2425830</v>
      </c>
      <c r="AI43" s="47">
        <v>2741082</v>
      </c>
      <c r="AJ43" s="47">
        <v>2501152</v>
      </c>
      <c r="AK43" s="47">
        <v>1952960</v>
      </c>
      <c r="AL43" s="47">
        <v>1984563</v>
      </c>
      <c r="AM43" s="47">
        <v>1407675</v>
      </c>
      <c r="AN43" s="47">
        <v>1718225</v>
      </c>
      <c r="AO43" s="47">
        <v>1476146</v>
      </c>
      <c r="AP43" s="47">
        <v>1841982</v>
      </c>
      <c r="AQ43" s="47">
        <v>1578527</v>
      </c>
      <c r="AR43" s="47">
        <v>2163231</v>
      </c>
      <c r="AS43" s="47"/>
      <c r="AT43" s="47"/>
      <c r="AU43" s="47"/>
      <c r="AV43" s="47"/>
      <c r="AW43" s="47"/>
      <c r="AX43" s="47"/>
      <c r="AY43" s="47"/>
      <c r="AZ43" s="47"/>
      <c r="BA43" s="47"/>
      <c r="BB43" s="47"/>
      <c r="BC43" s="47"/>
      <c r="BD43" s="47"/>
      <c r="BE43" s="47"/>
      <c r="BF43" s="47"/>
    </row>
    <row r="44" spans="1:58" hidden="1">
      <c r="A44" s="46" t="s">
        <v>64</v>
      </c>
      <c r="B44" s="46" t="s">
        <v>75</v>
      </c>
      <c r="C44" s="47">
        <v>3177</v>
      </c>
      <c r="D44" s="47">
        <v>3341</v>
      </c>
      <c r="E44" s="47">
        <v>4133</v>
      </c>
      <c r="F44" s="47">
        <v>4899</v>
      </c>
      <c r="G44" s="47">
        <v>5488</v>
      </c>
      <c r="H44" s="47">
        <v>5927</v>
      </c>
      <c r="I44" s="47">
        <v>5746</v>
      </c>
      <c r="J44" s="47">
        <v>6685</v>
      </c>
      <c r="K44" s="47">
        <v>7347</v>
      </c>
      <c r="L44" s="47">
        <v>7593</v>
      </c>
      <c r="M44" s="47">
        <v>8593</v>
      </c>
      <c r="N44" s="47">
        <v>8168</v>
      </c>
      <c r="O44" s="47">
        <v>5749</v>
      </c>
      <c r="P44" s="47">
        <v>6858</v>
      </c>
      <c r="Q44" s="85">
        <v>22.77</v>
      </c>
      <c r="R44" s="85">
        <v>21.52</v>
      </c>
      <c r="S44" s="85">
        <v>20.51</v>
      </c>
      <c r="T44" s="85">
        <v>18.46</v>
      </c>
      <c r="U44" s="85">
        <v>19.02</v>
      </c>
      <c r="V44" s="85">
        <v>21.4</v>
      </c>
      <c r="W44" s="85">
        <v>20.94</v>
      </c>
      <c r="X44" s="85">
        <v>24.19</v>
      </c>
      <c r="Y44" s="85">
        <v>22.12</v>
      </c>
      <c r="Z44" s="85">
        <v>21.53</v>
      </c>
      <c r="AA44" s="85">
        <v>17.989999999999998</v>
      </c>
      <c r="AB44" s="85">
        <v>24.51</v>
      </c>
      <c r="AC44" s="85">
        <v>17.670000000000002</v>
      </c>
      <c r="AD44" s="85">
        <v>23.58</v>
      </c>
      <c r="AE44" s="47">
        <v>72340</v>
      </c>
      <c r="AF44" s="47">
        <v>71891</v>
      </c>
      <c r="AG44" s="47">
        <v>84776</v>
      </c>
      <c r="AH44" s="47">
        <v>90423</v>
      </c>
      <c r="AI44" s="47">
        <v>104370</v>
      </c>
      <c r="AJ44" s="47">
        <v>126809</v>
      </c>
      <c r="AK44" s="47">
        <v>120322</v>
      </c>
      <c r="AL44" s="47">
        <v>161739</v>
      </c>
      <c r="AM44" s="47">
        <v>162479</v>
      </c>
      <c r="AN44" s="47">
        <v>163504</v>
      </c>
      <c r="AO44" s="47">
        <v>154602</v>
      </c>
      <c r="AP44" s="47">
        <v>200187</v>
      </c>
      <c r="AQ44" s="47">
        <v>101559</v>
      </c>
      <c r="AR44" s="47">
        <v>161703</v>
      </c>
      <c r="AS44" s="47"/>
      <c r="AT44" s="47"/>
      <c r="AU44" s="47"/>
      <c r="AV44" s="47"/>
      <c r="AW44" s="47"/>
      <c r="AX44" s="47"/>
      <c r="AY44" s="47"/>
      <c r="AZ44" s="47"/>
      <c r="BA44" s="47"/>
      <c r="BB44" s="47"/>
      <c r="BC44" s="47"/>
      <c r="BD44" s="47"/>
      <c r="BE44" s="47"/>
      <c r="BF44" s="47"/>
    </row>
    <row r="45" spans="1:58" hidden="1">
      <c r="A45" s="46" t="s">
        <v>64</v>
      </c>
      <c r="B45" s="46" t="s">
        <v>76</v>
      </c>
      <c r="C45" s="47">
        <v>12086</v>
      </c>
      <c r="D45" s="47">
        <v>13480</v>
      </c>
      <c r="E45" s="47">
        <v>14932</v>
      </c>
      <c r="F45" s="47">
        <v>14096</v>
      </c>
      <c r="G45" s="47">
        <v>16491</v>
      </c>
      <c r="H45" s="47">
        <v>17578</v>
      </c>
      <c r="I45" s="47">
        <v>19544</v>
      </c>
      <c r="J45" s="47">
        <v>33726</v>
      </c>
      <c r="K45" s="47">
        <v>37660</v>
      </c>
      <c r="L45" s="47">
        <v>37909</v>
      </c>
      <c r="M45" s="47">
        <v>35789</v>
      </c>
      <c r="N45" s="47">
        <v>34690</v>
      </c>
      <c r="O45" s="47">
        <v>28806</v>
      </c>
      <c r="P45" s="47">
        <v>27675</v>
      </c>
      <c r="Q45" s="85">
        <v>15.27</v>
      </c>
      <c r="R45" s="85">
        <v>17.03</v>
      </c>
      <c r="S45" s="85">
        <v>16.86</v>
      </c>
      <c r="T45" s="85">
        <v>16.28</v>
      </c>
      <c r="U45" s="85">
        <v>13.53</v>
      </c>
      <c r="V45" s="85">
        <v>13.36</v>
      </c>
      <c r="W45" s="85">
        <v>13.44</v>
      </c>
      <c r="X45" s="85">
        <v>12.81</v>
      </c>
      <c r="Y45" s="85">
        <v>14.03</v>
      </c>
      <c r="Z45" s="85">
        <v>12.76</v>
      </c>
      <c r="AA45" s="85">
        <v>8.2200000000000006</v>
      </c>
      <c r="AB45" s="85">
        <v>6.78</v>
      </c>
      <c r="AC45" s="85">
        <v>10.15</v>
      </c>
      <c r="AD45" s="85">
        <v>11.91</v>
      </c>
      <c r="AE45" s="47">
        <v>184555</v>
      </c>
      <c r="AF45" s="47">
        <v>229510</v>
      </c>
      <c r="AG45" s="47">
        <v>251776</v>
      </c>
      <c r="AH45" s="47">
        <v>229426</v>
      </c>
      <c r="AI45" s="47">
        <v>223199</v>
      </c>
      <c r="AJ45" s="47">
        <v>234795</v>
      </c>
      <c r="AK45" s="47">
        <v>262711</v>
      </c>
      <c r="AL45" s="47">
        <v>432108</v>
      </c>
      <c r="AM45" s="47">
        <v>528242</v>
      </c>
      <c r="AN45" s="47">
        <v>483737</v>
      </c>
      <c r="AO45" s="47">
        <v>294063</v>
      </c>
      <c r="AP45" s="47">
        <v>235134</v>
      </c>
      <c r="AQ45" s="47">
        <v>292452</v>
      </c>
      <c r="AR45" s="47">
        <v>329646</v>
      </c>
      <c r="AS45" s="47"/>
      <c r="AT45" s="47"/>
      <c r="AU45" s="47"/>
      <c r="AV45" s="47"/>
      <c r="AW45" s="47"/>
      <c r="AX45" s="47"/>
      <c r="AY45" s="47"/>
      <c r="AZ45" s="47"/>
      <c r="BA45" s="47"/>
      <c r="BB45" s="47"/>
      <c r="BC45" s="47"/>
      <c r="BD45" s="47"/>
      <c r="BE45" s="47"/>
      <c r="BF45" s="47"/>
    </row>
    <row r="46" spans="1:58" hidden="1">
      <c r="A46" s="46" t="s">
        <v>64</v>
      </c>
      <c r="B46" s="46" t="s">
        <v>77</v>
      </c>
      <c r="C46" s="47">
        <v>209980</v>
      </c>
      <c r="D46" s="47">
        <v>162203</v>
      </c>
      <c r="E46" s="47">
        <v>120421</v>
      </c>
      <c r="F46" s="47">
        <v>109371</v>
      </c>
      <c r="G46" s="47">
        <v>126657</v>
      </c>
      <c r="H46" s="47">
        <v>155491</v>
      </c>
      <c r="I46" s="47">
        <v>188022</v>
      </c>
      <c r="J46" s="47">
        <v>186172</v>
      </c>
      <c r="K46" s="47">
        <v>145362</v>
      </c>
      <c r="L46" s="47">
        <v>153779</v>
      </c>
      <c r="M46" s="47">
        <v>202692</v>
      </c>
      <c r="N46" s="47">
        <v>194326</v>
      </c>
      <c r="O46" s="47">
        <v>133485</v>
      </c>
      <c r="P46" s="47">
        <v>151603</v>
      </c>
      <c r="Q46" s="85">
        <v>42.96</v>
      </c>
      <c r="R46" s="85">
        <v>34.79</v>
      </c>
      <c r="S46" s="85">
        <v>39.25</v>
      </c>
      <c r="T46" s="85">
        <v>38.9</v>
      </c>
      <c r="U46" s="85">
        <v>35.96</v>
      </c>
      <c r="V46" s="85">
        <v>35.85</v>
      </c>
      <c r="W46" s="85">
        <v>23.35</v>
      </c>
      <c r="X46" s="85">
        <v>33.81</v>
      </c>
      <c r="Y46" s="85">
        <v>34.04</v>
      </c>
      <c r="Z46" s="85">
        <v>38.69</v>
      </c>
      <c r="AA46" s="85">
        <v>27.57</v>
      </c>
      <c r="AB46" s="85">
        <v>28.41</v>
      </c>
      <c r="AC46" s="85">
        <v>29.96</v>
      </c>
      <c r="AD46" s="85">
        <v>32</v>
      </c>
      <c r="AE46" s="47">
        <v>9019770</v>
      </c>
      <c r="AF46" s="47">
        <v>5642393</v>
      </c>
      <c r="AG46" s="47">
        <v>4726109</v>
      </c>
      <c r="AH46" s="47">
        <v>4254065</v>
      </c>
      <c r="AI46" s="47">
        <v>4555150</v>
      </c>
      <c r="AJ46" s="47">
        <v>5573668</v>
      </c>
      <c r="AK46" s="47">
        <v>4391229</v>
      </c>
      <c r="AL46" s="47">
        <v>6294161</v>
      </c>
      <c r="AM46" s="47">
        <v>4948721</v>
      </c>
      <c r="AN46" s="47">
        <v>5949078</v>
      </c>
      <c r="AO46" s="47">
        <v>5588059</v>
      </c>
      <c r="AP46" s="47">
        <v>5521560</v>
      </c>
      <c r="AQ46" s="47">
        <v>3999059</v>
      </c>
      <c r="AR46" s="47">
        <v>4851896</v>
      </c>
      <c r="AS46" s="47"/>
      <c r="AT46" s="47"/>
      <c r="AU46" s="47"/>
      <c r="AV46" s="47"/>
      <c r="AW46" s="47"/>
      <c r="AX46" s="47"/>
      <c r="AY46" s="47"/>
      <c r="AZ46" s="47"/>
      <c r="BA46" s="47"/>
      <c r="BB46" s="47"/>
      <c r="BC46" s="47"/>
      <c r="BD46" s="47"/>
      <c r="BE46" s="47"/>
      <c r="BF46" s="47"/>
    </row>
    <row r="47" spans="1:58" hidden="1">
      <c r="A47" s="46" t="s">
        <v>64</v>
      </c>
      <c r="B47" s="46" t="s">
        <v>78</v>
      </c>
      <c r="C47" s="47">
        <v>29537</v>
      </c>
      <c r="D47" s="47">
        <v>22294</v>
      </c>
      <c r="E47" s="47">
        <v>15678</v>
      </c>
      <c r="F47" s="47">
        <v>13263</v>
      </c>
      <c r="G47" s="47">
        <v>16801</v>
      </c>
      <c r="H47" s="47">
        <v>25480</v>
      </c>
      <c r="I47" s="47">
        <v>32543</v>
      </c>
      <c r="J47" s="47">
        <v>36600</v>
      </c>
      <c r="K47" s="47">
        <v>29761</v>
      </c>
      <c r="L47" s="47">
        <v>30778</v>
      </c>
      <c r="M47" s="47">
        <v>34918</v>
      </c>
      <c r="N47" s="47">
        <v>50650</v>
      </c>
      <c r="O47" s="47">
        <v>49404</v>
      </c>
      <c r="P47" s="47">
        <v>54747</v>
      </c>
      <c r="Q47" s="85">
        <v>42.47</v>
      </c>
      <c r="R47" s="85">
        <v>36.89</v>
      </c>
      <c r="S47" s="85">
        <v>39.74</v>
      </c>
      <c r="T47" s="85">
        <v>37.909999999999997</v>
      </c>
      <c r="U47" s="85">
        <v>38.64</v>
      </c>
      <c r="V47" s="85">
        <v>38.409999999999997</v>
      </c>
      <c r="W47" s="85">
        <v>33.93</v>
      </c>
      <c r="X47" s="85">
        <v>35.71</v>
      </c>
      <c r="Y47" s="85">
        <v>32.39</v>
      </c>
      <c r="Z47" s="85">
        <v>39.44</v>
      </c>
      <c r="AA47" s="85">
        <v>34.36</v>
      </c>
      <c r="AB47" s="85">
        <v>35.28</v>
      </c>
      <c r="AC47" s="85">
        <v>33.69</v>
      </c>
      <c r="AD47" s="85">
        <v>35.36</v>
      </c>
      <c r="AE47" s="47">
        <v>1254382</v>
      </c>
      <c r="AF47" s="47">
        <v>822458</v>
      </c>
      <c r="AG47" s="47">
        <v>623028</v>
      </c>
      <c r="AH47" s="47">
        <v>502762</v>
      </c>
      <c r="AI47" s="47">
        <v>649225</v>
      </c>
      <c r="AJ47" s="47">
        <v>978756</v>
      </c>
      <c r="AK47" s="47">
        <v>1104229</v>
      </c>
      <c r="AL47" s="47">
        <v>1306939</v>
      </c>
      <c r="AM47" s="47">
        <v>964073</v>
      </c>
      <c r="AN47" s="47">
        <v>1213925</v>
      </c>
      <c r="AO47" s="47">
        <v>1199700</v>
      </c>
      <c r="AP47" s="47">
        <v>1786825</v>
      </c>
      <c r="AQ47" s="47">
        <v>1664548</v>
      </c>
      <c r="AR47" s="47">
        <v>1936076</v>
      </c>
      <c r="AS47" s="47"/>
      <c r="AT47" s="47"/>
      <c r="AU47" s="47"/>
      <c r="AV47" s="47"/>
      <c r="AW47" s="47"/>
      <c r="AX47" s="47"/>
      <c r="AY47" s="47"/>
      <c r="AZ47" s="47"/>
      <c r="BA47" s="47"/>
      <c r="BB47" s="47"/>
      <c r="BC47" s="47"/>
      <c r="BD47" s="47"/>
      <c r="BE47" s="47"/>
      <c r="BF47" s="47"/>
    </row>
    <row r="48" spans="1:58" hidden="1">
      <c r="A48" s="46" t="s">
        <v>64</v>
      </c>
      <c r="B48" s="46" t="s">
        <v>79</v>
      </c>
      <c r="C48" s="47">
        <v>2781</v>
      </c>
      <c r="D48" s="47">
        <v>4534</v>
      </c>
      <c r="E48" s="47">
        <v>6743</v>
      </c>
      <c r="F48" s="47">
        <v>7761</v>
      </c>
      <c r="G48" s="47">
        <v>8055</v>
      </c>
      <c r="H48" s="47">
        <v>8674</v>
      </c>
      <c r="I48" s="47">
        <v>9827</v>
      </c>
      <c r="J48" s="47">
        <v>18099</v>
      </c>
      <c r="K48" s="47">
        <v>27148</v>
      </c>
      <c r="L48" s="47">
        <v>33203</v>
      </c>
      <c r="M48" s="47">
        <v>23529</v>
      </c>
      <c r="N48" s="47">
        <v>18859</v>
      </c>
      <c r="O48" s="47">
        <v>17580</v>
      </c>
      <c r="P48" s="47">
        <v>26532</v>
      </c>
      <c r="Q48" s="85">
        <v>17.239999999999998</v>
      </c>
      <c r="R48" s="85">
        <v>18.03</v>
      </c>
      <c r="S48" s="85">
        <v>16.8</v>
      </c>
      <c r="T48" s="85">
        <v>17.86</v>
      </c>
      <c r="U48" s="85">
        <v>18.059999999999999</v>
      </c>
      <c r="V48" s="85">
        <v>18.14</v>
      </c>
      <c r="W48" s="85">
        <v>18.420000000000002</v>
      </c>
      <c r="X48" s="85">
        <v>16.72</v>
      </c>
      <c r="Y48" s="85">
        <v>13.53</v>
      </c>
      <c r="Z48" s="85">
        <v>15.37</v>
      </c>
      <c r="AA48" s="85">
        <v>16.63</v>
      </c>
      <c r="AB48" s="85">
        <v>13.49</v>
      </c>
      <c r="AC48" s="85">
        <v>12.7</v>
      </c>
      <c r="AD48" s="85">
        <v>16.73</v>
      </c>
      <c r="AE48" s="47">
        <v>47958</v>
      </c>
      <c r="AF48" s="47">
        <v>81770</v>
      </c>
      <c r="AG48" s="47">
        <v>113283</v>
      </c>
      <c r="AH48" s="47">
        <v>138613</v>
      </c>
      <c r="AI48" s="47">
        <v>145442</v>
      </c>
      <c r="AJ48" s="47">
        <v>157334</v>
      </c>
      <c r="AK48" s="47">
        <v>181051</v>
      </c>
      <c r="AL48" s="47">
        <v>302617</v>
      </c>
      <c r="AM48" s="47">
        <v>367387</v>
      </c>
      <c r="AN48" s="47">
        <v>510372</v>
      </c>
      <c r="AO48" s="47">
        <v>391370</v>
      </c>
      <c r="AP48" s="47">
        <v>254422</v>
      </c>
      <c r="AQ48" s="47">
        <v>223222</v>
      </c>
      <c r="AR48" s="47">
        <v>443908</v>
      </c>
      <c r="AS48" s="47"/>
      <c r="AT48" s="47"/>
      <c r="AU48" s="47"/>
      <c r="AV48" s="47"/>
      <c r="AW48" s="47"/>
      <c r="AX48" s="47"/>
      <c r="AY48" s="47"/>
      <c r="AZ48" s="47"/>
      <c r="BA48" s="47"/>
      <c r="BB48" s="47"/>
      <c r="BC48" s="47"/>
      <c r="BD48" s="47"/>
      <c r="BE48" s="47"/>
      <c r="BF48" s="47"/>
    </row>
    <row r="49" spans="1:58" hidden="1">
      <c r="A49" s="46" t="s">
        <v>64</v>
      </c>
      <c r="B49" s="46" t="s">
        <v>80</v>
      </c>
      <c r="C49" s="47">
        <v>6273</v>
      </c>
      <c r="D49" s="47">
        <v>3329</v>
      </c>
      <c r="E49" s="47">
        <v>2437</v>
      </c>
      <c r="F49" s="47">
        <v>3064</v>
      </c>
      <c r="G49" s="47">
        <v>4869</v>
      </c>
      <c r="H49" s="47">
        <v>6565</v>
      </c>
      <c r="I49" s="47">
        <v>7730</v>
      </c>
      <c r="J49" s="47">
        <v>5382</v>
      </c>
      <c r="K49" s="47">
        <v>2922</v>
      </c>
      <c r="L49" s="47">
        <v>2910</v>
      </c>
      <c r="M49" s="47">
        <v>5933</v>
      </c>
      <c r="N49" s="47">
        <v>6685</v>
      </c>
      <c r="O49" s="47">
        <v>5291</v>
      </c>
      <c r="P49" s="47">
        <v>4927</v>
      </c>
      <c r="Q49" s="85">
        <v>24.82</v>
      </c>
      <c r="R49" s="85">
        <v>21.05</v>
      </c>
      <c r="S49" s="85">
        <v>24.35</v>
      </c>
      <c r="T49" s="85">
        <v>24.79</v>
      </c>
      <c r="U49" s="85">
        <v>28.8</v>
      </c>
      <c r="V49" s="85">
        <v>25.03</v>
      </c>
      <c r="W49" s="85">
        <v>21.75</v>
      </c>
      <c r="X49" s="85">
        <v>23.42</v>
      </c>
      <c r="Y49" s="85">
        <v>23.67</v>
      </c>
      <c r="Z49" s="85">
        <v>24.36</v>
      </c>
      <c r="AA49" s="85">
        <v>21.96</v>
      </c>
      <c r="AB49" s="85">
        <v>22.63</v>
      </c>
      <c r="AC49" s="85">
        <v>20.82</v>
      </c>
      <c r="AD49" s="85">
        <v>22.06</v>
      </c>
      <c r="AE49" s="47">
        <v>155726</v>
      </c>
      <c r="AF49" s="47">
        <v>70064</v>
      </c>
      <c r="AG49" s="47">
        <v>59331</v>
      </c>
      <c r="AH49" s="47">
        <v>75962</v>
      </c>
      <c r="AI49" s="47">
        <v>140247</v>
      </c>
      <c r="AJ49" s="47">
        <v>164332</v>
      </c>
      <c r="AK49" s="47">
        <v>168137</v>
      </c>
      <c r="AL49" s="47">
        <v>126063</v>
      </c>
      <c r="AM49" s="47">
        <v>69167</v>
      </c>
      <c r="AN49" s="47">
        <v>70893</v>
      </c>
      <c r="AO49" s="47">
        <v>130272</v>
      </c>
      <c r="AP49" s="47">
        <v>151281</v>
      </c>
      <c r="AQ49" s="47">
        <v>110167</v>
      </c>
      <c r="AR49" s="47">
        <v>108710</v>
      </c>
      <c r="AS49" s="47"/>
      <c r="AT49" s="47"/>
      <c r="AU49" s="47"/>
      <c r="AV49" s="47"/>
      <c r="AW49" s="47"/>
      <c r="AX49" s="47"/>
      <c r="AY49" s="47"/>
      <c r="AZ49" s="47"/>
      <c r="BA49" s="47"/>
      <c r="BB49" s="47"/>
      <c r="BC49" s="47"/>
      <c r="BD49" s="47"/>
      <c r="BE49" s="47"/>
      <c r="BF49" s="47"/>
    </row>
    <row r="50" spans="1:58" hidden="1">
      <c r="A50" s="46" t="s">
        <v>64</v>
      </c>
      <c r="B50" s="46" t="s">
        <v>81</v>
      </c>
      <c r="C50" s="47">
        <v>0</v>
      </c>
      <c r="D50" s="47">
        <v>0</v>
      </c>
      <c r="E50" s="47">
        <v>0</v>
      </c>
      <c r="F50" s="47">
        <v>0</v>
      </c>
      <c r="G50" s="47">
        <v>0</v>
      </c>
      <c r="H50" s="47">
        <v>0</v>
      </c>
      <c r="I50" s="47">
        <v>0</v>
      </c>
      <c r="J50" s="47">
        <v>0</v>
      </c>
      <c r="K50" s="47">
        <v>0</v>
      </c>
      <c r="L50" s="47">
        <v>0</v>
      </c>
      <c r="M50" s="47">
        <v>599</v>
      </c>
      <c r="N50" s="47">
        <v>494</v>
      </c>
      <c r="O50" s="47">
        <v>257</v>
      </c>
      <c r="P50" s="47">
        <v>995</v>
      </c>
      <c r="Q50" s="85"/>
      <c r="R50" s="85"/>
      <c r="S50" s="85"/>
      <c r="T50" s="85"/>
      <c r="U50" s="85"/>
      <c r="V50" s="85"/>
      <c r="W50" s="85"/>
      <c r="X50" s="85"/>
      <c r="Y50" s="85"/>
      <c r="Z50" s="85"/>
      <c r="AA50" s="85"/>
      <c r="AB50" s="85"/>
      <c r="AC50" s="85"/>
      <c r="AD50" s="85"/>
      <c r="AE50" s="47">
        <v>0</v>
      </c>
      <c r="AF50" s="47">
        <v>0</v>
      </c>
      <c r="AG50" s="47">
        <v>0</v>
      </c>
      <c r="AH50" s="47">
        <v>0</v>
      </c>
      <c r="AI50" s="47">
        <v>0</v>
      </c>
      <c r="AJ50" s="47">
        <v>0</v>
      </c>
      <c r="AK50" s="47">
        <v>0</v>
      </c>
      <c r="AL50" s="47">
        <v>0</v>
      </c>
      <c r="AM50" s="47">
        <v>0</v>
      </c>
      <c r="AN50" s="47">
        <v>0</v>
      </c>
      <c r="AO50" s="47">
        <v>11505</v>
      </c>
      <c r="AP50" s="47">
        <v>9552</v>
      </c>
      <c r="AQ50" s="47">
        <v>5283</v>
      </c>
      <c r="AR50" s="47">
        <v>16397</v>
      </c>
      <c r="AS50" s="47"/>
      <c r="AT50" s="47"/>
      <c r="AU50" s="47"/>
      <c r="AV50" s="47"/>
      <c r="AW50" s="47"/>
      <c r="AX50" s="47"/>
      <c r="AY50" s="47"/>
      <c r="AZ50" s="47"/>
      <c r="BA50" s="47"/>
      <c r="BB50" s="47"/>
      <c r="BC50" s="47"/>
      <c r="BD50" s="47"/>
      <c r="BE50" s="47"/>
      <c r="BF50" s="47"/>
    </row>
    <row r="51" spans="1:58" hidden="1">
      <c r="A51" s="46" t="s">
        <v>64</v>
      </c>
      <c r="B51" s="46" t="s">
        <v>82</v>
      </c>
      <c r="C51" s="47">
        <v>415176</v>
      </c>
      <c r="D51" s="47">
        <v>300597</v>
      </c>
      <c r="E51" s="47">
        <v>224720</v>
      </c>
      <c r="F51" s="47">
        <v>220434</v>
      </c>
      <c r="G51" s="47">
        <v>253354</v>
      </c>
      <c r="H51" s="47">
        <v>306267</v>
      </c>
      <c r="I51" s="47">
        <v>341205</v>
      </c>
      <c r="J51" s="47">
        <v>364103</v>
      </c>
      <c r="K51" s="47">
        <v>307431</v>
      </c>
      <c r="L51" s="47">
        <v>329290</v>
      </c>
      <c r="M51" s="47">
        <v>388403</v>
      </c>
      <c r="N51" s="47">
        <v>391868</v>
      </c>
      <c r="O51" s="47">
        <v>308659</v>
      </c>
      <c r="P51" s="47">
        <v>353568</v>
      </c>
      <c r="Q51" s="85">
        <v>37.47</v>
      </c>
      <c r="R51" s="85">
        <v>34.46</v>
      </c>
      <c r="S51" s="85">
        <v>38.19</v>
      </c>
      <c r="T51" s="85">
        <v>35.01</v>
      </c>
      <c r="U51" s="85">
        <v>33.78</v>
      </c>
      <c r="V51" s="85">
        <v>31.79</v>
      </c>
      <c r="W51" s="85">
        <v>23.98</v>
      </c>
      <c r="X51" s="85">
        <v>29.14</v>
      </c>
      <c r="Y51" s="85">
        <v>27.48</v>
      </c>
      <c r="Z51" s="85">
        <v>30.7</v>
      </c>
      <c r="AA51" s="85">
        <v>23.8</v>
      </c>
      <c r="AB51" s="85">
        <v>25.52</v>
      </c>
      <c r="AC51" s="85">
        <v>25.84</v>
      </c>
      <c r="AD51" s="85">
        <v>28.32</v>
      </c>
      <c r="AE51" s="47">
        <v>15557866</v>
      </c>
      <c r="AF51" s="47">
        <v>10358006</v>
      </c>
      <c r="AG51" s="47">
        <v>8581339</v>
      </c>
      <c r="AH51" s="47">
        <v>7717081</v>
      </c>
      <c r="AI51" s="47">
        <v>8558715</v>
      </c>
      <c r="AJ51" s="47">
        <v>9736846</v>
      </c>
      <c r="AK51" s="47">
        <v>8180639</v>
      </c>
      <c r="AL51" s="47">
        <v>10608190</v>
      </c>
      <c r="AM51" s="47">
        <v>8447744</v>
      </c>
      <c r="AN51" s="47">
        <v>10109734</v>
      </c>
      <c r="AO51" s="47">
        <v>9245717</v>
      </c>
      <c r="AP51" s="47">
        <v>10000943</v>
      </c>
      <c r="AQ51" s="47">
        <v>7974817</v>
      </c>
      <c r="AR51" s="47">
        <v>10011567</v>
      </c>
      <c r="AS51" s="47"/>
      <c r="AT51" s="47"/>
      <c r="AU51" s="47"/>
      <c r="AV51" s="47"/>
      <c r="AW51" s="47"/>
      <c r="AX51" s="47"/>
      <c r="AY51" s="47"/>
      <c r="AZ51" s="47"/>
      <c r="BA51" s="47"/>
      <c r="BB51" s="47"/>
      <c r="BC51" s="47"/>
      <c r="BD51" s="47"/>
      <c r="BE51" s="47"/>
      <c r="BF51" s="47"/>
    </row>
    <row r="52" spans="1:58" hidden="1">
      <c r="A52" s="46" t="s">
        <v>278</v>
      </c>
      <c r="B52" s="46" t="s">
        <v>251</v>
      </c>
      <c r="C52" s="47">
        <v>229830</v>
      </c>
      <c r="D52" s="47">
        <v>241377</v>
      </c>
      <c r="E52" s="47">
        <v>235948</v>
      </c>
      <c r="F52" s="47">
        <v>236064</v>
      </c>
      <c r="G52" s="47">
        <v>238445</v>
      </c>
      <c r="H52" s="47">
        <v>239290</v>
      </c>
      <c r="I52" s="47">
        <v>235300</v>
      </c>
      <c r="J52" s="47">
        <v>227975</v>
      </c>
      <c r="K52" s="47">
        <v>219935</v>
      </c>
      <c r="L52" s="47">
        <v>222280</v>
      </c>
      <c r="M52" s="47">
        <v>192500</v>
      </c>
      <c r="N52" s="47">
        <v>219870</v>
      </c>
      <c r="O52" s="47">
        <v>203140</v>
      </c>
      <c r="P52" s="47">
        <v>206605</v>
      </c>
      <c r="Q52" s="85">
        <v>81.069999999999993</v>
      </c>
      <c r="R52" s="85">
        <v>75.75</v>
      </c>
      <c r="S52" s="85">
        <v>81.25</v>
      </c>
      <c r="T52" s="85">
        <v>83.81</v>
      </c>
      <c r="U52" s="85">
        <v>86.21</v>
      </c>
      <c r="V52" s="85">
        <v>88.03</v>
      </c>
      <c r="W52" s="85">
        <v>43.34</v>
      </c>
      <c r="X52" s="85">
        <v>80.09</v>
      </c>
      <c r="Y52" s="85">
        <v>76.56</v>
      </c>
      <c r="Z52" s="85">
        <v>87.71</v>
      </c>
      <c r="AA52" s="85">
        <v>75.64</v>
      </c>
      <c r="AB52" s="85">
        <v>82.27</v>
      </c>
      <c r="AC52" s="85">
        <v>84.66</v>
      </c>
      <c r="AD52" s="85">
        <v>82.27</v>
      </c>
      <c r="AE52" s="47">
        <v>18633352</v>
      </c>
      <c r="AF52" s="47">
        <v>18283282</v>
      </c>
      <c r="AG52" s="47">
        <v>19171886</v>
      </c>
      <c r="AH52" s="47">
        <v>19783804</v>
      </c>
      <c r="AI52" s="47">
        <v>20556295</v>
      </c>
      <c r="AJ52" s="47">
        <v>21063650</v>
      </c>
      <c r="AK52" s="47">
        <v>10197950</v>
      </c>
      <c r="AL52" s="47">
        <v>18259085</v>
      </c>
      <c r="AM52" s="47">
        <v>16837865</v>
      </c>
      <c r="AN52" s="47">
        <v>19495855</v>
      </c>
      <c r="AO52" s="47">
        <v>14560415</v>
      </c>
      <c r="AP52" s="47">
        <v>18088580</v>
      </c>
      <c r="AQ52" s="47">
        <v>17198245</v>
      </c>
      <c r="AR52" s="47">
        <v>16998416</v>
      </c>
      <c r="AS52" s="47"/>
      <c r="AT52" s="47"/>
      <c r="AU52" s="47"/>
      <c r="AV52" s="47"/>
      <c r="AW52" s="47"/>
      <c r="AX52" s="47"/>
      <c r="AY52" s="47"/>
      <c r="AZ52" s="47"/>
      <c r="BA52" s="47"/>
      <c r="BB52" s="47"/>
      <c r="BC52" s="47"/>
      <c r="BD52" s="47"/>
      <c r="BE52" s="47"/>
      <c r="BF52" s="47"/>
    </row>
    <row r="53" spans="1:58" hidden="1">
      <c r="A53" s="46" t="s">
        <v>278</v>
      </c>
      <c r="B53" s="46" t="s">
        <v>252</v>
      </c>
      <c r="C53" s="47">
        <v>828</v>
      </c>
      <c r="D53" s="47">
        <v>772</v>
      </c>
      <c r="E53" s="47">
        <v>605</v>
      </c>
      <c r="F53" s="47">
        <v>1225</v>
      </c>
      <c r="G53" s="47">
        <v>785</v>
      </c>
      <c r="H53" s="47">
        <v>500</v>
      </c>
      <c r="I53" s="47">
        <v>410</v>
      </c>
      <c r="J53" s="47">
        <v>595</v>
      </c>
      <c r="K53" s="47">
        <v>495</v>
      </c>
      <c r="L53" s="47">
        <v>810</v>
      </c>
      <c r="M53" s="47">
        <v>1790</v>
      </c>
      <c r="N53" s="47">
        <v>1015</v>
      </c>
      <c r="O53" s="47">
        <v>1450</v>
      </c>
      <c r="P53" s="47">
        <v>822</v>
      </c>
      <c r="Q53" s="85">
        <v>78.849999999999994</v>
      </c>
      <c r="R53" s="85">
        <v>74.11</v>
      </c>
      <c r="S53" s="85">
        <v>81.2</v>
      </c>
      <c r="T53" s="85">
        <v>83.65</v>
      </c>
      <c r="U53" s="85">
        <v>86.35</v>
      </c>
      <c r="V53" s="85">
        <v>87.98</v>
      </c>
      <c r="W53" s="85">
        <v>42.99</v>
      </c>
      <c r="X53" s="85">
        <v>79.83</v>
      </c>
      <c r="Y53" s="85">
        <v>76.58</v>
      </c>
      <c r="Z53" s="85">
        <v>87.75</v>
      </c>
      <c r="AA53" s="85">
        <v>75.84</v>
      </c>
      <c r="AB53" s="85">
        <v>82.34</v>
      </c>
      <c r="AC53" s="85">
        <v>84.57</v>
      </c>
      <c r="AD53" s="85">
        <v>81.72</v>
      </c>
      <c r="AE53" s="47">
        <v>65287</v>
      </c>
      <c r="AF53" s="47">
        <v>57216</v>
      </c>
      <c r="AG53" s="47">
        <v>49125</v>
      </c>
      <c r="AH53" s="47">
        <v>102475</v>
      </c>
      <c r="AI53" s="47">
        <v>67785</v>
      </c>
      <c r="AJ53" s="47">
        <v>43990</v>
      </c>
      <c r="AK53" s="47">
        <v>17625</v>
      </c>
      <c r="AL53" s="47">
        <v>47500</v>
      </c>
      <c r="AM53" s="47">
        <v>37905</v>
      </c>
      <c r="AN53" s="47">
        <v>71075</v>
      </c>
      <c r="AO53" s="47">
        <v>135760</v>
      </c>
      <c r="AP53" s="47">
        <v>83575</v>
      </c>
      <c r="AQ53" s="47">
        <v>122630</v>
      </c>
      <c r="AR53" s="47">
        <v>67177</v>
      </c>
      <c r="AS53" s="47"/>
      <c r="AT53" s="47"/>
      <c r="AU53" s="47"/>
      <c r="AV53" s="47"/>
      <c r="AW53" s="47"/>
      <c r="AX53" s="47"/>
      <c r="AY53" s="47"/>
      <c r="AZ53" s="47"/>
      <c r="BA53" s="47"/>
      <c r="BB53" s="47"/>
      <c r="BC53" s="47"/>
      <c r="BD53" s="47"/>
      <c r="BE53" s="47"/>
      <c r="BF53" s="47"/>
    </row>
    <row r="54" spans="1:58" hidden="1">
      <c r="A54" s="46" t="s">
        <v>278</v>
      </c>
      <c r="B54" s="46" t="s">
        <v>253</v>
      </c>
      <c r="C54" s="47">
        <v>230658</v>
      </c>
      <c r="D54" s="47">
        <v>242149</v>
      </c>
      <c r="E54" s="47">
        <v>236553</v>
      </c>
      <c r="F54" s="47">
        <v>237289</v>
      </c>
      <c r="G54" s="47">
        <v>239230</v>
      </c>
      <c r="H54" s="47">
        <v>239790</v>
      </c>
      <c r="I54" s="47">
        <v>235710</v>
      </c>
      <c r="J54" s="47">
        <v>228570</v>
      </c>
      <c r="K54" s="47">
        <v>220430</v>
      </c>
      <c r="L54" s="47">
        <v>223090</v>
      </c>
      <c r="M54" s="47">
        <v>194290</v>
      </c>
      <c r="N54" s="47">
        <v>220885</v>
      </c>
      <c r="O54" s="47">
        <v>204590</v>
      </c>
      <c r="P54" s="47">
        <v>207427</v>
      </c>
      <c r="Q54" s="85">
        <v>81.069999999999993</v>
      </c>
      <c r="R54" s="85">
        <v>75.739999999999995</v>
      </c>
      <c r="S54" s="85">
        <v>81.25</v>
      </c>
      <c r="T54" s="85">
        <v>83.81</v>
      </c>
      <c r="U54" s="85">
        <v>86.21</v>
      </c>
      <c r="V54" s="85">
        <v>88.03</v>
      </c>
      <c r="W54" s="85">
        <v>43.34</v>
      </c>
      <c r="X54" s="85">
        <v>80.09</v>
      </c>
      <c r="Y54" s="85">
        <v>76.56</v>
      </c>
      <c r="Z54" s="85">
        <v>87.71</v>
      </c>
      <c r="AA54" s="85">
        <v>75.64</v>
      </c>
      <c r="AB54" s="85">
        <v>82.27</v>
      </c>
      <c r="AC54" s="85">
        <v>84.66</v>
      </c>
      <c r="AD54" s="85">
        <v>82.27</v>
      </c>
      <c r="AE54" s="47">
        <v>18698639</v>
      </c>
      <c r="AF54" s="47">
        <v>18340498</v>
      </c>
      <c r="AG54" s="47">
        <v>19221011</v>
      </c>
      <c r="AH54" s="47">
        <v>19886279</v>
      </c>
      <c r="AI54" s="47">
        <v>20624080</v>
      </c>
      <c r="AJ54" s="47">
        <v>21107640</v>
      </c>
      <c r="AK54" s="47">
        <v>10215575</v>
      </c>
      <c r="AL54" s="47">
        <v>18306585</v>
      </c>
      <c r="AM54" s="47">
        <v>16875770</v>
      </c>
      <c r="AN54" s="47">
        <v>19566930</v>
      </c>
      <c r="AO54" s="47">
        <v>14696175</v>
      </c>
      <c r="AP54" s="47">
        <v>18172155</v>
      </c>
      <c r="AQ54" s="47">
        <v>17320875</v>
      </c>
      <c r="AR54" s="47">
        <v>17065593</v>
      </c>
      <c r="AS54" s="47"/>
      <c r="AT54" s="47"/>
      <c r="AU54" s="47"/>
      <c r="AV54" s="47"/>
      <c r="AW54" s="47"/>
      <c r="AX54" s="47"/>
      <c r="AY54" s="47"/>
      <c r="AZ54" s="47"/>
      <c r="BA54" s="47"/>
      <c r="BB54" s="47"/>
      <c r="BC54" s="47"/>
      <c r="BD54" s="47"/>
      <c r="BE54" s="47"/>
      <c r="BF54" s="47"/>
    </row>
    <row r="55" spans="1:58" hidden="1">
      <c r="A55" s="46" t="s">
        <v>278</v>
      </c>
      <c r="B55" s="46" t="s">
        <v>254</v>
      </c>
      <c r="C55" s="47">
        <v>6123</v>
      </c>
      <c r="D55" s="47">
        <v>4214</v>
      </c>
      <c r="E55" s="47">
        <v>4061</v>
      </c>
      <c r="F55" s="47">
        <v>3170</v>
      </c>
      <c r="G55" s="47">
        <v>2165</v>
      </c>
      <c r="H55" s="47">
        <v>2260</v>
      </c>
      <c r="I55" s="47">
        <v>3455</v>
      </c>
      <c r="J55" s="47">
        <v>3160</v>
      </c>
      <c r="K55" s="47">
        <v>2560</v>
      </c>
      <c r="L55" s="47">
        <v>2090</v>
      </c>
      <c r="M55" s="47">
        <v>2585</v>
      </c>
      <c r="N55" s="47">
        <v>4210</v>
      </c>
      <c r="O55" s="47">
        <v>3290</v>
      </c>
      <c r="P55" s="47">
        <v>2869</v>
      </c>
      <c r="Q55" s="85">
        <v>60.29</v>
      </c>
      <c r="R55" s="85">
        <v>60</v>
      </c>
      <c r="S55" s="85">
        <v>63.88</v>
      </c>
      <c r="T55" s="85">
        <v>66.069999999999993</v>
      </c>
      <c r="U55" s="85">
        <v>70.42</v>
      </c>
      <c r="V55" s="85">
        <v>72.22</v>
      </c>
      <c r="W55" s="85">
        <v>20.53</v>
      </c>
      <c r="X55" s="85">
        <v>65.36</v>
      </c>
      <c r="Y55" s="85">
        <v>70.7</v>
      </c>
      <c r="Z55" s="85">
        <v>71.53</v>
      </c>
      <c r="AA55" s="85">
        <v>69.209999999999994</v>
      </c>
      <c r="AB55" s="85">
        <v>68.2</v>
      </c>
      <c r="AC55" s="85">
        <v>71.86</v>
      </c>
      <c r="AD55" s="85">
        <v>67.06</v>
      </c>
      <c r="AE55" s="47">
        <v>369167</v>
      </c>
      <c r="AF55" s="47">
        <v>252840</v>
      </c>
      <c r="AG55" s="47">
        <v>259404</v>
      </c>
      <c r="AH55" s="47">
        <v>209450</v>
      </c>
      <c r="AI55" s="47">
        <v>152465</v>
      </c>
      <c r="AJ55" s="47">
        <v>163220</v>
      </c>
      <c r="AK55" s="47">
        <v>70915</v>
      </c>
      <c r="AL55" s="47">
        <v>206525</v>
      </c>
      <c r="AM55" s="47">
        <v>181000</v>
      </c>
      <c r="AN55" s="47">
        <v>149490</v>
      </c>
      <c r="AO55" s="47">
        <v>178915</v>
      </c>
      <c r="AP55" s="47">
        <v>287115</v>
      </c>
      <c r="AQ55" s="47">
        <v>236415</v>
      </c>
      <c r="AR55" s="47">
        <v>192396</v>
      </c>
      <c r="AS55" s="47"/>
      <c r="AT55" s="47"/>
      <c r="AU55" s="47"/>
      <c r="AV55" s="47"/>
      <c r="AW55" s="47"/>
      <c r="AX55" s="47"/>
      <c r="AY55" s="47"/>
      <c r="AZ55" s="47"/>
      <c r="BA55" s="47"/>
      <c r="BB55" s="47"/>
      <c r="BC55" s="47"/>
      <c r="BD55" s="47"/>
      <c r="BE55" s="47"/>
      <c r="BF55" s="47"/>
    </row>
    <row r="56" spans="1:58" hidden="1">
      <c r="A56" s="46" t="s">
        <v>278</v>
      </c>
      <c r="B56" s="46" t="s">
        <v>255</v>
      </c>
      <c r="C56" s="47">
        <v>853</v>
      </c>
      <c r="D56" s="47">
        <v>410</v>
      </c>
      <c r="E56" s="47">
        <v>990</v>
      </c>
      <c r="F56" s="47">
        <v>375</v>
      </c>
      <c r="G56" s="47">
        <v>265</v>
      </c>
      <c r="H56" s="47">
        <v>395</v>
      </c>
      <c r="I56" s="47">
        <v>340</v>
      </c>
      <c r="J56" s="47">
        <v>295</v>
      </c>
      <c r="K56" s="47">
        <v>340</v>
      </c>
      <c r="L56" s="47">
        <v>200</v>
      </c>
      <c r="M56" s="47">
        <v>1035</v>
      </c>
      <c r="N56" s="47">
        <v>310</v>
      </c>
      <c r="O56" s="47">
        <v>485</v>
      </c>
      <c r="P56" s="47">
        <v>302</v>
      </c>
      <c r="Q56" s="85">
        <v>60.23</v>
      </c>
      <c r="R56" s="85">
        <v>60</v>
      </c>
      <c r="S56" s="85">
        <v>63.18</v>
      </c>
      <c r="T56" s="85">
        <v>66.650000000000006</v>
      </c>
      <c r="U56" s="85">
        <v>69.680000000000007</v>
      </c>
      <c r="V56" s="85">
        <v>72.38</v>
      </c>
      <c r="W56" s="85">
        <v>20.62</v>
      </c>
      <c r="X56" s="85">
        <v>64.61</v>
      </c>
      <c r="Y56" s="85">
        <v>70.739999999999995</v>
      </c>
      <c r="Z56" s="85">
        <v>71.95</v>
      </c>
      <c r="AA56" s="85">
        <v>69.150000000000006</v>
      </c>
      <c r="AB56" s="85">
        <v>67.290000000000006</v>
      </c>
      <c r="AC56" s="85">
        <v>70.849999999999994</v>
      </c>
      <c r="AD56" s="85">
        <v>67.31</v>
      </c>
      <c r="AE56" s="47">
        <v>51374</v>
      </c>
      <c r="AF56" s="47">
        <v>24600</v>
      </c>
      <c r="AG56" s="47">
        <v>62550</v>
      </c>
      <c r="AH56" s="47">
        <v>24995</v>
      </c>
      <c r="AI56" s="47">
        <v>18465</v>
      </c>
      <c r="AJ56" s="47">
        <v>28590</v>
      </c>
      <c r="AK56" s="47">
        <v>7010</v>
      </c>
      <c r="AL56" s="47">
        <v>19060</v>
      </c>
      <c r="AM56" s="47">
        <v>24050</v>
      </c>
      <c r="AN56" s="47">
        <v>14390</v>
      </c>
      <c r="AO56" s="47">
        <v>71570</v>
      </c>
      <c r="AP56" s="47">
        <v>20860</v>
      </c>
      <c r="AQ56" s="47">
        <v>34360</v>
      </c>
      <c r="AR56" s="47">
        <v>20328</v>
      </c>
      <c r="AS56" s="47"/>
      <c r="AT56" s="47"/>
      <c r="AU56" s="47"/>
      <c r="AV56" s="47"/>
      <c r="AW56" s="47"/>
      <c r="AX56" s="47"/>
      <c r="AY56" s="47"/>
      <c r="AZ56" s="47"/>
      <c r="BA56" s="47"/>
      <c r="BB56" s="47"/>
      <c r="BC56" s="47"/>
      <c r="BD56" s="47"/>
      <c r="BE56" s="47"/>
      <c r="BF56" s="47"/>
    </row>
    <row r="57" spans="1:58" hidden="1">
      <c r="A57" s="46" t="s">
        <v>278</v>
      </c>
      <c r="B57" s="46" t="s">
        <v>256</v>
      </c>
      <c r="C57" s="47">
        <v>6976</v>
      </c>
      <c r="D57" s="47">
        <v>4624</v>
      </c>
      <c r="E57" s="47">
        <v>5051</v>
      </c>
      <c r="F57" s="47">
        <v>3545</v>
      </c>
      <c r="G57" s="47">
        <v>2430</v>
      </c>
      <c r="H57" s="47">
        <v>2655</v>
      </c>
      <c r="I57" s="47">
        <v>3795</v>
      </c>
      <c r="J57" s="47">
        <v>3455</v>
      </c>
      <c r="K57" s="47">
        <v>2900</v>
      </c>
      <c r="L57" s="47">
        <v>2290</v>
      </c>
      <c r="M57" s="47">
        <v>3620</v>
      </c>
      <c r="N57" s="47">
        <v>4520</v>
      </c>
      <c r="O57" s="47">
        <v>3775</v>
      </c>
      <c r="P57" s="47">
        <v>3171</v>
      </c>
      <c r="Q57" s="85">
        <v>60.28</v>
      </c>
      <c r="R57" s="85">
        <v>60</v>
      </c>
      <c r="S57" s="85">
        <v>63.74</v>
      </c>
      <c r="T57" s="85">
        <v>66.13</v>
      </c>
      <c r="U57" s="85">
        <v>70.34</v>
      </c>
      <c r="V57" s="85">
        <v>72.239999999999995</v>
      </c>
      <c r="W57" s="85">
        <v>20.53</v>
      </c>
      <c r="X57" s="85">
        <v>65.290000000000006</v>
      </c>
      <c r="Y57" s="85">
        <v>70.709999999999994</v>
      </c>
      <c r="Z57" s="85">
        <v>71.56</v>
      </c>
      <c r="AA57" s="85">
        <v>69.19</v>
      </c>
      <c r="AB57" s="85">
        <v>68.14</v>
      </c>
      <c r="AC57" s="85">
        <v>71.73</v>
      </c>
      <c r="AD57" s="85">
        <v>67.08</v>
      </c>
      <c r="AE57" s="47">
        <v>420541</v>
      </c>
      <c r="AF57" s="47">
        <v>277440</v>
      </c>
      <c r="AG57" s="47">
        <v>321954</v>
      </c>
      <c r="AH57" s="47">
        <v>234445</v>
      </c>
      <c r="AI57" s="47">
        <v>170930</v>
      </c>
      <c r="AJ57" s="47">
        <v>191810</v>
      </c>
      <c r="AK57" s="47">
        <v>77925</v>
      </c>
      <c r="AL57" s="47">
        <v>225585</v>
      </c>
      <c r="AM57" s="47">
        <v>205050</v>
      </c>
      <c r="AN57" s="47">
        <v>163880</v>
      </c>
      <c r="AO57" s="47">
        <v>250485</v>
      </c>
      <c r="AP57" s="47">
        <v>307975</v>
      </c>
      <c r="AQ57" s="47">
        <v>270775</v>
      </c>
      <c r="AR57" s="47">
        <v>212724</v>
      </c>
      <c r="AS57" s="47"/>
      <c r="AT57" s="47"/>
      <c r="AU57" s="47"/>
      <c r="AV57" s="47"/>
      <c r="AW57" s="47"/>
      <c r="AX57" s="47"/>
      <c r="AY57" s="47"/>
      <c r="AZ57" s="47"/>
      <c r="BA57" s="47"/>
      <c r="BB57" s="47"/>
      <c r="BC57" s="47"/>
      <c r="BD57" s="47"/>
      <c r="BE57" s="47"/>
      <c r="BF57" s="47"/>
    </row>
    <row r="58" spans="1:58" hidden="1">
      <c r="A58" s="46" t="s">
        <v>278</v>
      </c>
      <c r="B58" s="46" t="s">
        <v>257</v>
      </c>
      <c r="C58" s="47">
        <v>627</v>
      </c>
      <c r="D58" s="47">
        <v>622</v>
      </c>
      <c r="E58" s="47">
        <v>719</v>
      </c>
      <c r="F58" s="47">
        <v>341</v>
      </c>
      <c r="G58" s="47">
        <v>365</v>
      </c>
      <c r="H58" s="47">
        <v>395</v>
      </c>
      <c r="I58" s="47">
        <v>325</v>
      </c>
      <c r="J58" s="47">
        <v>320</v>
      </c>
      <c r="K58" s="47">
        <v>325</v>
      </c>
      <c r="L58" s="47">
        <v>280</v>
      </c>
      <c r="M58" s="47">
        <v>435</v>
      </c>
      <c r="N58" s="47">
        <v>860</v>
      </c>
      <c r="O58" s="47">
        <v>945</v>
      </c>
      <c r="P58" s="47">
        <v>857</v>
      </c>
      <c r="Q58" s="85">
        <v>70</v>
      </c>
      <c r="R58" s="85">
        <v>60</v>
      </c>
      <c r="S58" s="85">
        <v>62.29</v>
      </c>
      <c r="T58" s="85">
        <v>65</v>
      </c>
      <c r="U58" s="85">
        <v>65</v>
      </c>
      <c r="V58" s="85">
        <v>64.78</v>
      </c>
      <c r="W58" s="85">
        <v>30</v>
      </c>
      <c r="X58" s="85">
        <v>62.66</v>
      </c>
      <c r="Y58" s="85">
        <v>60.74</v>
      </c>
      <c r="Z58" s="85">
        <v>63.48</v>
      </c>
      <c r="AA58" s="85">
        <v>55</v>
      </c>
      <c r="AB58" s="85">
        <v>59.42</v>
      </c>
      <c r="AC58" s="85">
        <v>59.44</v>
      </c>
      <c r="AD58" s="85">
        <v>65.010000000000005</v>
      </c>
      <c r="AE58" s="47">
        <v>43890</v>
      </c>
      <c r="AF58" s="47">
        <v>37320</v>
      </c>
      <c r="AG58" s="47">
        <v>44788</v>
      </c>
      <c r="AH58" s="47">
        <v>22165</v>
      </c>
      <c r="AI58" s="47">
        <v>23725</v>
      </c>
      <c r="AJ58" s="47">
        <v>25590</v>
      </c>
      <c r="AK58" s="47">
        <v>9750</v>
      </c>
      <c r="AL58" s="47">
        <v>20050</v>
      </c>
      <c r="AM58" s="47">
        <v>19740</v>
      </c>
      <c r="AN58" s="47">
        <v>17775</v>
      </c>
      <c r="AO58" s="47">
        <v>23925</v>
      </c>
      <c r="AP58" s="47">
        <v>51105</v>
      </c>
      <c r="AQ58" s="47">
        <v>56170</v>
      </c>
      <c r="AR58" s="47">
        <v>55717</v>
      </c>
      <c r="AS58" s="47"/>
      <c r="AT58" s="47"/>
      <c r="AU58" s="47"/>
      <c r="AV58" s="47"/>
      <c r="AW58" s="47"/>
      <c r="AX58" s="47"/>
      <c r="AY58" s="47"/>
      <c r="AZ58" s="47"/>
      <c r="BA58" s="47"/>
      <c r="BB58" s="47"/>
      <c r="BC58" s="47"/>
      <c r="BD58" s="47"/>
      <c r="BE58" s="47"/>
      <c r="BF58" s="47"/>
    </row>
    <row r="59" spans="1:58" hidden="1">
      <c r="A59" s="46" t="s">
        <v>278</v>
      </c>
      <c r="B59" s="46" t="s">
        <v>258</v>
      </c>
      <c r="C59" s="47">
        <v>33429</v>
      </c>
      <c r="D59" s="47">
        <v>29729</v>
      </c>
      <c r="E59" s="47">
        <v>34729</v>
      </c>
      <c r="F59" s="47">
        <v>35343</v>
      </c>
      <c r="G59" s="47">
        <v>39350</v>
      </c>
      <c r="H59" s="47">
        <v>43300</v>
      </c>
      <c r="I59" s="47">
        <v>49755</v>
      </c>
      <c r="J59" s="47">
        <v>46895</v>
      </c>
      <c r="K59" s="47">
        <v>43735</v>
      </c>
      <c r="L59" s="47">
        <v>42315</v>
      </c>
      <c r="M59" s="47">
        <v>42660</v>
      </c>
      <c r="N59" s="47">
        <v>44255</v>
      </c>
      <c r="O59" s="47">
        <v>46070</v>
      </c>
      <c r="P59" s="47">
        <v>50584</v>
      </c>
      <c r="Q59" s="85">
        <v>74.44</v>
      </c>
      <c r="R59" s="85">
        <v>67.19</v>
      </c>
      <c r="S59" s="85">
        <v>78.55</v>
      </c>
      <c r="T59" s="85">
        <v>73.5</v>
      </c>
      <c r="U59" s="85">
        <v>80.41</v>
      </c>
      <c r="V59" s="85">
        <v>84.68</v>
      </c>
      <c r="W59" s="85">
        <v>54.07</v>
      </c>
      <c r="X59" s="85">
        <v>75.37</v>
      </c>
      <c r="Y59" s="85">
        <v>71.23</v>
      </c>
      <c r="Z59" s="85">
        <v>78.400000000000006</v>
      </c>
      <c r="AA59" s="85">
        <v>64.790000000000006</v>
      </c>
      <c r="AB59" s="85">
        <v>80.010000000000005</v>
      </c>
      <c r="AC59" s="85">
        <v>76.92</v>
      </c>
      <c r="AD59" s="85">
        <v>81.7</v>
      </c>
      <c r="AE59" s="47">
        <v>2488401</v>
      </c>
      <c r="AF59" s="47">
        <v>1997512</v>
      </c>
      <c r="AG59" s="47">
        <v>2727895</v>
      </c>
      <c r="AH59" s="47">
        <v>2597772</v>
      </c>
      <c r="AI59" s="47">
        <v>3164205</v>
      </c>
      <c r="AJ59" s="47">
        <v>3666480</v>
      </c>
      <c r="AK59" s="47">
        <v>2690300</v>
      </c>
      <c r="AL59" s="47">
        <v>3534445</v>
      </c>
      <c r="AM59" s="47">
        <v>3115280</v>
      </c>
      <c r="AN59" s="47">
        <v>3317605</v>
      </c>
      <c r="AO59" s="47">
        <v>2763840</v>
      </c>
      <c r="AP59" s="47">
        <v>3540905</v>
      </c>
      <c r="AQ59" s="47">
        <v>3543620</v>
      </c>
      <c r="AR59" s="47">
        <v>4132958</v>
      </c>
      <c r="AS59" s="47"/>
      <c r="AT59" s="47"/>
      <c r="AU59" s="47"/>
      <c r="AV59" s="47"/>
      <c r="AW59" s="47"/>
      <c r="AX59" s="47"/>
      <c r="AY59" s="47"/>
      <c r="AZ59" s="47"/>
      <c r="BA59" s="47"/>
      <c r="BB59" s="47"/>
      <c r="BC59" s="47"/>
      <c r="BD59" s="47"/>
      <c r="BE59" s="47"/>
      <c r="BF59" s="47"/>
    </row>
    <row r="60" spans="1:58" hidden="1">
      <c r="A60" s="46" t="s">
        <v>278</v>
      </c>
      <c r="B60" s="46" t="s">
        <v>259</v>
      </c>
      <c r="C60" s="47">
        <v>33005</v>
      </c>
      <c r="D60" s="47">
        <v>37976</v>
      </c>
      <c r="E60" s="47">
        <v>35119</v>
      </c>
      <c r="F60" s="47">
        <v>35462</v>
      </c>
      <c r="G60" s="47">
        <v>35740</v>
      </c>
      <c r="H60" s="47">
        <v>35160</v>
      </c>
      <c r="I60" s="47">
        <v>33310</v>
      </c>
      <c r="J60" s="47">
        <v>41725</v>
      </c>
      <c r="K60" s="47">
        <v>43870</v>
      </c>
      <c r="L60" s="47">
        <v>62165</v>
      </c>
      <c r="M60" s="47">
        <v>58110</v>
      </c>
      <c r="N60" s="47">
        <v>39925</v>
      </c>
      <c r="O60" s="47">
        <v>43560</v>
      </c>
      <c r="P60" s="47">
        <v>38454</v>
      </c>
      <c r="Q60" s="85">
        <v>62.75</v>
      </c>
      <c r="R60" s="85">
        <v>55.74</v>
      </c>
      <c r="S60" s="85">
        <v>73.52</v>
      </c>
      <c r="T60" s="85">
        <v>69.489999999999995</v>
      </c>
      <c r="U60" s="85">
        <v>71.33</v>
      </c>
      <c r="V60" s="85">
        <v>71.11</v>
      </c>
      <c r="W60" s="85">
        <v>50.13</v>
      </c>
      <c r="X60" s="85">
        <v>70.099999999999994</v>
      </c>
      <c r="Y60" s="85">
        <v>67.34</v>
      </c>
      <c r="Z60" s="85">
        <v>78.61</v>
      </c>
      <c r="AA60" s="85">
        <v>52.85</v>
      </c>
      <c r="AB60" s="85">
        <v>70.17</v>
      </c>
      <c r="AC60" s="85">
        <v>64.34</v>
      </c>
      <c r="AD60" s="85">
        <v>68.48</v>
      </c>
      <c r="AE60" s="47">
        <v>2071176</v>
      </c>
      <c r="AF60" s="47">
        <v>2116946</v>
      </c>
      <c r="AG60" s="47">
        <v>2581825</v>
      </c>
      <c r="AH60" s="47">
        <v>2464323</v>
      </c>
      <c r="AI60" s="47">
        <v>2549190</v>
      </c>
      <c r="AJ60" s="47">
        <v>2500180</v>
      </c>
      <c r="AK60" s="47">
        <v>1669685</v>
      </c>
      <c r="AL60" s="47">
        <v>2924990</v>
      </c>
      <c r="AM60" s="47">
        <v>2954030</v>
      </c>
      <c r="AN60" s="47">
        <v>4886840</v>
      </c>
      <c r="AO60" s="47">
        <v>3071340</v>
      </c>
      <c r="AP60" s="47">
        <v>2801500</v>
      </c>
      <c r="AQ60" s="47">
        <v>2802470</v>
      </c>
      <c r="AR60" s="47">
        <v>2633488</v>
      </c>
      <c r="AS60" s="47"/>
      <c r="AT60" s="47"/>
      <c r="AU60" s="47"/>
      <c r="AV60" s="47"/>
      <c r="AW60" s="47"/>
      <c r="AX60" s="47"/>
      <c r="AY60" s="47"/>
      <c r="AZ60" s="47"/>
      <c r="BA60" s="47"/>
      <c r="BB60" s="47"/>
      <c r="BC60" s="47"/>
      <c r="BD60" s="47"/>
      <c r="BE60" s="47"/>
      <c r="BF60" s="47"/>
    </row>
    <row r="61" spans="1:58" hidden="1">
      <c r="A61" s="46" t="s">
        <v>278</v>
      </c>
      <c r="B61" s="46" t="s">
        <v>260</v>
      </c>
      <c r="C61" s="47">
        <v>66434</v>
      </c>
      <c r="D61" s="47">
        <v>67705</v>
      </c>
      <c r="E61" s="47">
        <v>69848</v>
      </c>
      <c r="F61" s="47">
        <v>70805</v>
      </c>
      <c r="G61" s="47">
        <v>75090</v>
      </c>
      <c r="H61" s="47">
        <v>78460</v>
      </c>
      <c r="I61" s="47">
        <v>83065</v>
      </c>
      <c r="J61" s="47">
        <v>88620</v>
      </c>
      <c r="K61" s="47">
        <v>87605</v>
      </c>
      <c r="L61" s="47">
        <v>104480</v>
      </c>
      <c r="M61" s="47">
        <v>100770</v>
      </c>
      <c r="N61" s="47">
        <v>84180</v>
      </c>
      <c r="O61" s="47">
        <v>89630</v>
      </c>
      <c r="P61" s="47">
        <v>89038</v>
      </c>
      <c r="Q61" s="85">
        <v>68.63</v>
      </c>
      <c r="R61" s="85">
        <v>60.77</v>
      </c>
      <c r="S61" s="85">
        <v>76.02</v>
      </c>
      <c r="T61" s="85">
        <v>71.489999999999995</v>
      </c>
      <c r="U61" s="85">
        <v>76.09</v>
      </c>
      <c r="V61" s="85">
        <v>78.599999999999994</v>
      </c>
      <c r="W61" s="85">
        <v>52.49</v>
      </c>
      <c r="X61" s="85">
        <v>72.89</v>
      </c>
      <c r="Y61" s="85">
        <v>69.28</v>
      </c>
      <c r="Z61" s="85">
        <v>78.53</v>
      </c>
      <c r="AA61" s="85">
        <v>57.91</v>
      </c>
      <c r="AB61" s="85">
        <v>75.34</v>
      </c>
      <c r="AC61" s="85">
        <v>70.8</v>
      </c>
      <c r="AD61" s="85">
        <v>76</v>
      </c>
      <c r="AE61" s="47">
        <v>4559577</v>
      </c>
      <c r="AF61" s="47">
        <v>4114458</v>
      </c>
      <c r="AG61" s="47">
        <v>5309720</v>
      </c>
      <c r="AH61" s="47">
        <v>5062095</v>
      </c>
      <c r="AI61" s="47">
        <v>5713395</v>
      </c>
      <c r="AJ61" s="47">
        <v>6166660</v>
      </c>
      <c r="AK61" s="47">
        <v>4359985</v>
      </c>
      <c r="AL61" s="47">
        <v>6459435</v>
      </c>
      <c r="AM61" s="47">
        <v>6069310</v>
      </c>
      <c r="AN61" s="47">
        <v>8204445</v>
      </c>
      <c r="AO61" s="47">
        <v>5835180</v>
      </c>
      <c r="AP61" s="47">
        <v>6342405</v>
      </c>
      <c r="AQ61" s="47">
        <v>6346090</v>
      </c>
      <c r="AR61" s="47">
        <v>6766446</v>
      </c>
      <c r="AS61" s="47"/>
      <c r="AT61" s="47"/>
      <c r="AU61" s="47"/>
      <c r="AV61" s="47"/>
      <c r="AW61" s="47"/>
      <c r="AX61" s="47"/>
      <c r="AY61" s="47"/>
      <c r="AZ61" s="47"/>
      <c r="BA61" s="47"/>
      <c r="BB61" s="47"/>
      <c r="BC61" s="47"/>
      <c r="BD61" s="47"/>
      <c r="BE61" s="47"/>
      <c r="BF61" s="47"/>
    </row>
    <row r="62" spans="1:58" hidden="1">
      <c r="A62" s="46" t="s">
        <v>278</v>
      </c>
      <c r="B62" s="46" t="s">
        <v>261</v>
      </c>
      <c r="C62" s="47">
        <v>1501</v>
      </c>
      <c r="D62" s="47">
        <v>1155</v>
      </c>
      <c r="E62" s="47">
        <v>1164</v>
      </c>
      <c r="F62" s="47">
        <v>1234</v>
      </c>
      <c r="G62" s="47">
        <v>1250</v>
      </c>
      <c r="H62" s="47">
        <v>1195</v>
      </c>
      <c r="I62" s="47">
        <v>1440</v>
      </c>
      <c r="J62" s="47">
        <v>1925</v>
      </c>
      <c r="K62" s="47">
        <v>1730</v>
      </c>
      <c r="L62" s="47">
        <v>815</v>
      </c>
      <c r="M62" s="47">
        <v>655</v>
      </c>
      <c r="N62" s="47">
        <v>1025</v>
      </c>
      <c r="O62" s="47">
        <v>675</v>
      </c>
      <c r="P62" s="47">
        <v>761</v>
      </c>
      <c r="Q62" s="85">
        <v>60.57</v>
      </c>
      <c r="R62" s="85">
        <v>58.52</v>
      </c>
      <c r="S62" s="85">
        <v>62.21</v>
      </c>
      <c r="T62" s="85">
        <v>60</v>
      </c>
      <c r="U62" s="85">
        <v>65</v>
      </c>
      <c r="V62" s="85">
        <v>70</v>
      </c>
      <c r="W62" s="85">
        <v>40</v>
      </c>
      <c r="X62" s="85">
        <v>60</v>
      </c>
      <c r="Y62" s="85">
        <v>60</v>
      </c>
      <c r="Z62" s="85">
        <v>62</v>
      </c>
      <c r="AA62" s="85">
        <v>50</v>
      </c>
      <c r="AB62" s="85">
        <v>57.81</v>
      </c>
      <c r="AC62" s="85">
        <v>59.14</v>
      </c>
      <c r="AD62" s="85">
        <v>57.27</v>
      </c>
      <c r="AE62" s="47">
        <v>90922</v>
      </c>
      <c r="AF62" s="47">
        <v>67595</v>
      </c>
      <c r="AG62" s="47">
        <v>72412</v>
      </c>
      <c r="AH62" s="47">
        <v>74040</v>
      </c>
      <c r="AI62" s="47">
        <v>81250</v>
      </c>
      <c r="AJ62" s="47">
        <v>83650</v>
      </c>
      <c r="AK62" s="47">
        <v>57600</v>
      </c>
      <c r="AL62" s="47">
        <v>115500</v>
      </c>
      <c r="AM62" s="47">
        <v>103800</v>
      </c>
      <c r="AN62" s="47">
        <v>50530</v>
      </c>
      <c r="AO62" s="47">
        <v>32750</v>
      </c>
      <c r="AP62" s="47">
        <v>59260</v>
      </c>
      <c r="AQ62" s="47">
        <v>39920</v>
      </c>
      <c r="AR62" s="47">
        <v>43579</v>
      </c>
      <c r="AS62" s="47"/>
      <c r="AT62" s="47"/>
      <c r="AU62" s="47"/>
      <c r="AV62" s="47"/>
      <c r="AW62" s="47"/>
      <c r="AX62" s="47"/>
      <c r="AY62" s="47"/>
      <c r="AZ62" s="47"/>
      <c r="BA62" s="47"/>
      <c r="BB62" s="47"/>
      <c r="BC62" s="47"/>
      <c r="BD62" s="47"/>
      <c r="BE62" s="47"/>
      <c r="BF62" s="47"/>
    </row>
    <row r="63" spans="1:58" hidden="1">
      <c r="A63" s="46" t="s">
        <v>278</v>
      </c>
      <c r="B63" s="46" t="s">
        <v>262</v>
      </c>
      <c r="C63" s="47">
        <v>795</v>
      </c>
      <c r="D63" s="47">
        <v>644</v>
      </c>
      <c r="E63" s="47">
        <v>960</v>
      </c>
      <c r="F63" s="47">
        <v>1360</v>
      </c>
      <c r="G63" s="47">
        <v>1290</v>
      </c>
      <c r="H63" s="47">
        <v>1075</v>
      </c>
      <c r="I63" s="47">
        <v>1090</v>
      </c>
      <c r="J63" s="47">
        <v>1320</v>
      </c>
      <c r="K63" s="47">
        <v>1020</v>
      </c>
      <c r="L63" s="47">
        <v>1435</v>
      </c>
      <c r="M63" s="47">
        <v>1925</v>
      </c>
      <c r="N63" s="47">
        <v>1770</v>
      </c>
      <c r="O63" s="47">
        <v>1280</v>
      </c>
      <c r="P63" s="47">
        <v>955</v>
      </c>
      <c r="Q63" s="85">
        <v>58.79</v>
      </c>
      <c r="R63" s="85">
        <v>57.71</v>
      </c>
      <c r="S63" s="85">
        <v>62.73</v>
      </c>
      <c r="T63" s="85">
        <v>60</v>
      </c>
      <c r="U63" s="85">
        <v>65</v>
      </c>
      <c r="V63" s="85">
        <v>70</v>
      </c>
      <c r="W63" s="85">
        <v>40</v>
      </c>
      <c r="X63" s="85">
        <v>60</v>
      </c>
      <c r="Y63" s="85">
        <v>60</v>
      </c>
      <c r="Z63" s="85">
        <v>62</v>
      </c>
      <c r="AA63" s="85">
        <v>50</v>
      </c>
      <c r="AB63" s="85">
        <v>57.23</v>
      </c>
      <c r="AC63" s="85">
        <v>59.25</v>
      </c>
      <c r="AD63" s="85">
        <v>57.32</v>
      </c>
      <c r="AE63" s="47">
        <v>46741</v>
      </c>
      <c r="AF63" s="47">
        <v>37165</v>
      </c>
      <c r="AG63" s="47">
        <v>60220</v>
      </c>
      <c r="AH63" s="47">
        <v>81600</v>
      </c>
      <c r="AI63" s="47">
        <v>83850</v>
      </c>
      <c r="AJ63" s="47">
        <v>75250</v>
      </c>
      <c r="AK63" s="47">
        <v>43600</v>
      </c>
      <c r="AL63" s="47">
        <v>79200</v>
      </c>
      <c r="AM63" s="47">
        <v>61200</v>
      </c>
      <c r="AN63" s="47">
        <v>88970</v>
      </c>
      <c r="AO63" s="47">
        <v>96250</v>
      </c>
      <c r="AP63" s="47">
        <v>101295</v>
      </c>
      <c r="AQ63" s="47">
        <v>75840</v>
      </c>
      <c r="AR63" s="47">
        <v>54744</v>
      </c>
      <c r="AS63" s="47"/>
      <c r="AT63" s="47"/>
      <c r="AU63" s="47"/>
      <c r="AV63" s="47"/>
      <c r="AW63" s="47"/>
      <c r="AX63" s="47"/>
      <c r="AY63" s="47"/>
      <c r="AZ63" s="47"/>
      <c r="BA63" s="47"/>
      <c r="BB63" s="47"/>
      <c r="BC63" s="47"/>
      <c r="BD63" s="47"/>
      <c r="BE63" s="47"/>
      <c r="BF63" s="47"/>
    </row>
    <row r="64" spans="1:58" hidden="1">
      <c r="A64" s="46" t="s">
        <v>278</v>
      </c>
      <c r="B64" s="46" t="s">
        <v>263</v>
      </c>
      <c r="C64" s="47">
        <v>2296</v>
      </c>
      <c r="D64" s="47">
        <v>1799</v>
      </c>
      <c r="E64" s="47">
        <v>2124</v>
      </c>
      <c r="F64" s="47">
        <v>2594</v>
      </c>
      <c r="G64" s="47">
        <v>2540</v>
      </c>
      <c r="H64" s="47">
        <v>2270</v>
      </c>
      <c r="I64" s="47">
        <v>2530</v>
      </c>
      <c r="J64" s="47">
        <v>3245</v>
      </c>
      <c r="K64" s="47">
        <v>2750</v>
      </c>
      <c r="L64" s="47">
        <v>2250</v>
      </c>
      <c r="M64" s="47">
        <v>2580</v>
      </c>
      <c r="N64" s="47">
        <v>2795</v>
      </c>
      <c r="O64" s="47">
        <v>1955</v>
      </c>
      <c r="P64" s="47">
        <v>1716</v>
      </c>
      <c r="Q64" s="85">
        <v>59.96</v>
      </c>
      <c r="R64" s="85">
        <v>58.23</v>
      </c>
      <c r="S64" s="85">
        <v>62.44</v>
      </c>
      <c r="T64" s="85">
        <v>60</v>
      </c>
      <c r="U64" s="85">
        <v>65</v>
      </c>
      <c r="V64" s="85">
        <v>70</v>
      </c>
      <c r="W64" s="85">
        <v>40</v>
      </c>
      <c r="X64" s="85">
        <v>60</v>
      </c>
      <c r="Y64" s="85">
        <v>60</v>
      </c>
      <c r="Z64" s="85">
        <v>62</v>
      </c>
      <c r="AA64" s="85">
        <v>50</v>
      </c>
      <c r="AB64" s="85">
        <v>57.44</v>
      </c>
      <c r="AC64" s="85">
        <v>59.21</v>
      </c>
      <c r="AD64" s="85">
        <v>57.3</v>
      </c>
      <c r="AE64" s="47">
        <v>137663</v>
      </c>
      <c r="AF64" s="47">
        <v>104760</v>
      </c>
      <c r="AG64" s="47">
        <v>132632</v>
      </c>
      <c r="AH64" s="47">
        <v>155640</v>
      </c>
      <c r="AI64" s="47">
        <v>165100</v>
      </c>
      <c r="AJ64" s="47">
        <v>158900</v>
      </c>
      <c r="AK64" s="47">
        <v>101200</v>
      </c>
      <c r="AL64" s="47">
        <v>194700</v>
      </c>
      <c r="AM64" s="47">
        <v>165000</v>
      </c>
      <c r="AN64" s="47">
        <v>139500</v>
      </c>
      <c r="AO64" s="47">
        <v>129000</v>
      </c>
      <c r="AP64" s="47">
        <v>160555</v>
      </c>
      <c r="AQ64" s="47">
        <v>115760</v>
      </c>
      <c r="AR64" s="47">
        <v>98323</v>
      </c>
      <c r="AS64" s="47"/>
      <c r="AT64" s="47"/>
      <c r="AU64" s="47"/>
      <c r="AV64" s="47"/>
      <c r="AW64" s="47"/>
      <c r="AX64" s="47"/>
      <c r="AY64" s="47"/>
      <c r="AZ64" s="47"/>
      <c r="BA64" s="47"/>
      <c r="BB64" s="47"/>
      <c r="BC64" s="47"/>
      <c r="BD64" s="47"/>
      <c r="BE64" s="47"/>
      <c r="BF64" s="47"/>
    </row>
    <row r="65" spans="1:58" hidden="1">
      <c r="A65" s="46" t="s">
        <v>278</v>
      </c>
      <c r="B65" s="46" t="s">
        <v>264</v>
      </c>
      <c r="C65" s="47">
        <v>3399</v>
      </c>
      <c r="D65" s="47">
        <v>3362</v>
      </c>
      <c r="E65" s="47">
        <v>2258</v>
      </c>
      <c r="F65" s="47">
        <v>2610</v>
      </c>
      <c r="G65" s="47">
        <v>2300</v>
      </c>
      <c r="H65" s="47">
        <v>2160</v>
      </c>
      <c r="I65" s="47">
        <v>1850</v>
      </c>
      <c r="J65" s="47">
        <v>1570</v>
      </c>
      <c r="K65" s="47">
        <v>1960</v>
      </c>
      <c r="L65" s="47">
        <v>2300</v>
      </c>
      <c r="M65" s="47">
        <v>3660</v>
      </c>
      <c r="N65" s="47">
        <v>2210</v>
      </c>
      <c r="O65" s="47">
        <v>2347</v>
      </c>
      <c r="P65" s="47">
        <v>2206</v>
      </c>
      <c r="Q65" s="85">
        <v>108.26</v>
      </c>
      <c r="R65" s="85">
        <v>115.63</v>
      </c>
      <c r="S65" s="85">
        <v>98.58</v>
      </c>
      <c r="T65" s="85">
        <v>110.75</v>
      </c>
      <c r="U65" s="85">
        <v>110.7</v>
      </c>
      <c r="V65" s="85">
        <v>112.45</v>
      </c>
      <c r="W65" s="85">
        <v>83.22</v>
      </c>
      <c r="X65" s="85">
        <v>116.29</v>
      </c>
      <c r="Y65" s="85">
        <v>115.56</v>
      </c>
      <c r="Z65" s="85">
        <v>102.35</v>
      </c>
      <c r="AA65" s="85">
        <v>102.05</v>
      </c>
      <c r="AB65" s="85">
        <v>118.42</v>
      </c>
      <c r="AC65" s="85">
        <v>114.36</v>
      </c>
      <c r="AD65" s="85">
        <v>145.46</v>
      </c>
      <c r="AE65" s="47">
        <v>367970</v>
      </c>
      <c r="AF65" s="47">
        <v>388750</v>
      </c>
      <c r="AG65" s="47">
        <v>222600</v>
      </c>
      <c r="AH65" s="47">
        <v>289050</v>
      </c>
      <c r="AI65" s="47">
        <v>254600</v>
      </c>
      <c r="AJ65" s="47">
        <v>242900</v>
      </c>
      <c r="AK65" s="47">
        <v>153950</v>
      </c>
      <c r="AL65" s="47">
        <v>182570</v>
      </c>
      <c r="AM65" s="47">
        <v>226500</v>
      </c>
      <c r="AN65" s="47">
        <v>235410</v>
      </c>
      <c r="AO65" s="47">
        <v>373500</v>
      </c>
      <c r="AP65" s="47">
        <v>261700</v>
      </c>
      <c r="AQ65" s="47">
        <v>268400</v>
      </c>
      <c r="AR65" s="47">
        <v>320885</v>
      </c>
      <c r="AS65" s="47"/>
      <c r="AT65" s="47"/>
      <c r="AU65" s="47"/>
      <c r="AV65" s="47"/>
      <c r="AW65" s="47"/>
      <c r="AX65" s="47"/>
      <c r="AY65" s="47"/>
      <c r="AZ65" s="47"/>
      <c r="BA65" s="47"/>
      <c r="BB65" s="47"/>
      <c r="BC65" s="47"/>
      <c r="BD65" s="47"/>
      <c r="BE65" s="47"/>
      <c r="BF65" s="47"/>
    </row>
    <row r="66" spans="1:58" hidden="1">
      <c r="A66" s="46" t="s">
        <v>278</v>
      </c>
      <c r="B66" s="46" t="s">
        <v>265</v>
      </c>
      <c r="C66" s="47">
        <v>35040</v>
      </c>
      <c r="D66" s="47">
        <v>34397</v>
      </c>
      <c r="E66" s="47">
        <v>40206</v>
      </c>
      <c r="F66" s="47">
        <v>46182</v>
      </c>
      <c r="G66" s="47">
        <v>41170</v>
      </c>
      <c r="H66" s="47">
        <v>38675</v>
      </c>
      <c r="I66" s="47">
        <v>33485</v>
      </c>
      <c r="J66" s="47">
        <v>32115</v>
      </c>
      <c r="K66" s="47">
        <v>36815</v>
      </c>
      <c r="L66" s="47">
        <v>42235</v>
      </c>
      <c r="M66" s="47">
        <v>47615</v>
      </c>
      <c r="N66" s="47">
        <v>41705</v>
      </c>
      <c r="O66" s="47">
        <v>44513</v>
      </c>
      <c r="P66" s="47">
        <v>41367</v>
      </c>
      <c r="Q66" s="85">
        <v>104.27</v>
      </c>
      <c r="R66" s="85">
        <v>107.4</v>
      </c>
      <c r="S66" s="85">
        <v>94.83</v>
      </c>
      <c r="T66" s="85">
        <v>96.64</v>
      </c>
      <c r="U66" s="85">
        <v>108.3</v>
      </c>
      <c r="V66" s="85">
        <v>83.39</v>
      </c>
      <c r="W66" s="85">
        <v>68.8</v>
      </c>
      <c r="X66" s="85">
        <v>110.3</v>
      </c>
      <c r="Y66" s="85">
        <v>81.5</v>
      </c>
      <c r="Z66" s="85">
        <v>80.819999999999993</v>
      </c>
      <c r="AA66" s="85">
        <v>66.64</v>
      </c>
      <c r="AB66" s="85">
        <v>107.11</v>
      </c>
      <c r="AC66" s="85">
        <v>81.260000000000005</v>
      </c>
      <c r="AD66" s="85">
        <v>105.31</v>
      </c>
      <c r="AE66" s="47">
        <v>3653728</v>
      </c>
      <c r="AF66" s="47">
        <v>3694310</v>
      </c>
      <c r="AG66" s="47">
        <v>3812634</v>
      </c>
      <c r="AH66" s="47">
        <v>4463145</v>
      </c>
      <c r="AI66" s="47">
        <v>4458840</v>
      </c>
      <c r="AJ66" s="47">
        <v>3225185</v>
      </c>
      <c r="AK66" s="47">
        <v>2303655</v>
      </c>
      <c r="AL66" s="47">
        <v>3542170</v>
      </c>
      <c r="AM66" s="47">
        <v>3000275</v>
      </c>
      <c r="AN66" s="47">
        <v>3413575</v>
      </c>
      <c r="AO66" s="47">
        <v>3172845</v>
      </c>
      <c r="AP66" s="47">
        <v>4467035</v>
      </c>
      <c r="AQ66" s="47">
        <v>3616948</v>
      </c>
      <c r="AR66" s="47">
        <v>4356152</v>
      </c>
      <c r="AS66" s="47"/>
      <c r="AT66" s="47"/>
      <c r="AU66" s="47"/>
      <c r="AV66" s="47"/>
      <c r="AW66" s="47"/>
      <c r="AX66" s="47"/>
      <c r="AY66" s="47"/>
      <c r="AZ66" s="47"/>
      <c r="BA66" s="47"/>
      <c r="BB66" s="47"/>
      <c r="BC66" s="47"/>
      <c r="BD66" s="47"/>
      <c r="BE66" s="47"/>
      <c r="BF66" s="47"/>
    </row>
    <row r="67" spans="1:58" hidden="1">
      <c r="A67" s="46" t="s">
        <v>278</v>
      </c>
      <c r="B67" s="46" t="s">
        <v>266</v>
      </c>
      <c r="C67" s="47">
        <v>0</v>
      </c>
      <c r="D67" s="47">
        <v>0</v>
      </c>
      <c r="E67" s="47">
        <v>0</v>
      </c>
      <c r="F67" s="47">
        <v>0</v>
      </c>
      <c r="G67" s="47">
        <v>0</v>
      </c>
      <c r="H67" s="47">
        <v>0</v>
      </c>
      <c r="I67" s="47">
        <v>0</v>
      </c>
      <c r="J67" s="47">
        <v>0</v>
      </c>
      <c r="K67" s="47">
        <v>0</v>
      </c>
      <c r="L67" s="47">
        <v>0</v>
      </c>
      <c r="M67" s="47">
        <v>0</v>
      </c>
      <c r="N67" s="47">
        <v>0</v>
      </c>
      <c r="O67" s="47">
        <v>0</v>
      </c>
      <c r="P67" s="47">
        <v>0</v>
      </c>
      <c r="Q67" s="85"/>
      <c r="R67" s="85"/>
      <c r="S67" s="85"/>
      <c r="T67" s="85"/>
      <c r="U67" s="85"/>
      <c r="V67" s="85"/>
      <c r="W67" s="85"/>
      <c r="X67" s="85"/>
      <c r="Y67" s="85"/>
      <c r="Z67" s="85"/>
      <c r="AA67" s="85"/>
      <c r="AB67" s="85"/>
      <c r="AC67" s="85"/>
      <c r="AD67" s="85"/>
      <c r="AE67" s="47">
        <v>0</v>
      </c>
      <c r="AF67" s="47">
        <v>0</v>
      </c>
      <c r="AG67" s="47">
        <v>0</v>
      </c>
      <c r="AH67" s="47">
        <v>0</v>
      </c>
      <c r="AI67" s="47">
        <v>0</v>
      </c>
      <c r="AJ67" s="47">
        <v>0</v>
      </c>
      <c r="AK67" s="47">
        <v>0</v>
      </c>
      <c r="AL67" s="47">
        <v>0</v>
      </c>
      <c r="AM67" s="47">
        <v>0</v>
      </c>
      <c r="AN67" s="47">
        <v>0</v>
      </c>
      <c r="AO67" s="47">
        <v>0</v>
      </c>
      <c r="AP67" s="47">
        <v>0</v>
      </c>
      <c r="AQ67" s="47">
        <v>0</v>
      </c>
      <c r="AR67" s="47">
        <v>0</v>
      </c>
      <c r="AS67" s="47"/>
      <c r="AT67" s="47"/>
      <c r="AU67" s="47"/>
      <c r="AV67" s="47"/>
      <c r="AW67" s="47"/>
      <c r="AX67" s="47"/>
      <c r="AY67" s="47"/>
      <c r="AZ67" s="47"/>
      <c r="BA67" s="47"/>
      <c r="BB67" s="47"/>
      <c r="BC67" s="47"/>
      <c r="BD67" s="47"/>
      <c r="BE67" s="47"/>
      <c r="BF67" s="47"/>
    </row>
    <row r="68" spans="1:58" hidden="1">
      <c r="A68" s="46" t="s">
        <v>278</v>
      </c>
      <c r="B68" s="46" t="s">
        <v>267</v>
      </c>
      <c r="C68" s="47">
        <v>38439</v>
      </c>
      <c r="D68" s="47">
        <v>37759</v>
      </c>
      <c r="E68" s="47">
        <v>42464</v>
      </c>
      <c r="F68" s="47">
        <v>48792</v>
      </c>
      <c r="G68" s="47">
        <v>43470</v>
      </c>
      <c r="H68" s="47">
        <v>40835</v>
      </c>
      <c r="I68" s="47">
        <v>35335</v>
      </c>
      <c r="J68" s="47">
        <v>33685</v>
      </c>
      <c r="K68" s="47">
        <v>38775</v>
      </c>
      <c r="L68" s="47">
        <v>44535</v>
      </c>
      <c r="M68" s="47">
        <v>51275</v>
      </c>
      <c r="N68" s="47">
        <v>43915</v>
      </c>
      <c r="O68" s="47">
        <v>46860</v>
      </c>
      <c r="P68" s="47">
        <v>43573</v>
      </c>
      <c r="Q68" s="85">
        <v>104.63</v>
      </c>
      <c r="R68" s="85">
        <v>108.13</v>
      </c>
      <c r="S68" s="85">
        <v>95.03</v>
      </c>
      <c r="T68" s="85">
        <v>97.4</v>
      </c>
      <c r="U68" s="85">
        <v>108.43</v>
      </c>
      <c r="V68" s="85">
        <v>84.93</v>
      </c>
      <c r="W68" s="85">
        <v>69.55</v>
      </c>
      <c r="X68" s="85">
        <v>110.58</v>
      </c>
      <c r="Y68" s="85">
        <v>83.22</v>
      </c>
      <c r="Z68" s="85">
        <v>81.94</v>
      </c>
      <c r="AA68" s="85">
        <v>69.16</v>
      </c>
      <c r="AB68" s="85">
        <v>107.68</v>
      </c>
      <c r="AC68" s="85">
        <v>82.91</v>
      </c>
      <c r="AD68" s="85">
        <v>107.34</v>
      </c>
      <c r="AE68" s="47">
        <v>4021698</v>
      </c>
      <c r="AF68" s="47">
        <v>4083060</v>
      </c>
      <c r="AG68" s="47">
        <v>4035234</v>
      </c>
      <c r="AH68" s="47">
        <v>4752195</v>
      </c>
      <c r="AI68" s="47">
        <v>4713440</v>
      </c>
      <c r="AJ68" s="47">
        <v>3468085</v>
      </c>
      <c r="AK68" s="47">
        <v>2457605</v>
      </c>
      <c r="AL68" s="47">
        <v>3724740</v>
      </c>
      <c r="AM68" s="47">
        <v>3226775</v>
      </c>
      <c r="AN68" s="47">
        <v>3648985</v>
      </c>
      <c r="AO68" s="47">
        <v>3546345</v>
      </c>
      <c r="AP68" s="47">
        <v>4728735</v>
      </c>
      <c r="AQ68" s="47">
        <v>3885348</v>
      </c>
      <c r="AR68" s="47">
        <v>4677037</v>
      </c>
      <c r="AS68" s="47"/>
      <c r="AT68" s="47"/>
      <c r="AU68" s="47"/>
      <c r="AV68" s="47"/>
      <c r="AW68" s="47"/>
      <c r="AX68" s="47"/>
      <c r="AY68" s="47"/>
      <c r="AZ68" s="47"/>
      <c r="BA68" s="47"/>
      <c r="BB68" s="47"/>
      <c r="BC68" s="47"/>
      <c r="BD68" s="47"/>
      <c r="BE68" s="47"/>
      <c r="BF68" s="47"/>
    </row>
    <row r="69" spans="1:58" hidden="1">
      <c r="A69" s="46" t="s">
        <v>278</v>
      </c>
      <c r="B69" s="46" t="s">
        <v>268</v>
      </c>
      <c r="C69" s="47">
        <v>61</v>
      </c>
      <c r="D69" s="47">
        <v>105</v>
      </c>
      <c r="E69" s="47">
        <v>107</v>
      </c>
      <c r="F69" s="47">
        <v>120</v>
      </c>
      <c r="G69" s="47">
        <v>110</v>
      </c>
      <c r="H69" s="47">
        <v>140</v>
      </c>
      <c r="I69" s="47">
        <v>140</v>
      </c>
      <c r="J69" s="47">
        <v>170</v>
      </c>
      <c r="K69" s="47">
        <v>115</v>
      </c>
      <c r="L69" s="47">
        <v>275</v>
      </c>
      <c r="M69" s="47">
        <v>662</v>
      </c>
      <c r="N69" s="47">
        <v>2215</v>
      </c>
      <c r="O69" s="47">
        <v>1525</v>
      </c>
      <c r="P69" s="47">
        <v>1332</v>
      </c>
      <c r="Q69" s="85">
        <v>75</v>
      </c>
      <c r="R69" s="85">
        <v>75</v>
      </c>
      <c r="S69" s="85">
        <v>75</v>
      </c>
      <c r="T69" s="85">
        <v>75</v>
      </c>
      <c r="U69" s="85">
        <v>75</v>
      </c>
      <c r="V69" s="85">
        <v>75</v>
      </c>
      <c r="W69" s="85">
        <v>65</v>
      </c>
      <c r="X69" s="85">
        <v>75</v>
      </c>
      <c r="Y69" s="85">
        <v>73</v>
      </c>
      <c r="Z69" s="85">
        <v>74</v>
      </c>
      <c r="AA69" s="85">
        <v>70</v>
      </c>
      <c r="AB69" s="85">
        <v>72</v>
      </c>
      <c r="AC69" s="85">
        <v>73</v>
      </c>
      <c r="AD69" s="85">
        <v>79.97</v>
      </c>
      <c r="AE69" s="47">
        <v>4575</v>
      </c>
      <c r="AF69" s="47">
        <v>7875</v>
      </c>
      <c r="AG69" s="47">
        <v>8025</v>
      </c>
      <c r="AH69" s="47">
        <v>9000</v>
      </c>
      <c r="AI69" s="47">
        <v>8250</v>
      </c>
      <c r="AJ69" s="47">
        <v>10500</v>
      </c>
      <c r="AK69" s="47">
        <v>9100</v>
      </c>
      <c r="AL69" s="47">
        <v>12750</v>
      </c>
      <c r="AM69" s="47">
        <v>8395</v>
      </c>
      <c r="AN69" s="47">
        <v>20350</v>
      </c>
      <c r="AO69" s="47">
        <v>46340</v>
      </c>
      <c r="AP69" s="47">
        <v>159480</v>
      </c>
      <c r="AQ69" s="47">
        <v>111325</v>
      </c>
      <c r="AR69" s="47">
        <v>106515</v>
      </c>
      <c r="AS69" s="47"/>
      <c r="AT69" s="47"/>
      <c r="AU69" s="47"/>
      <c r="AV69" s="47"/>
      <c r="AW69" s="47"/>
      <c r="AX69" s="47"/>
      <c r="AY69" s="47"/>
      <c r="AZ69" s="47"/>
      <c r="BA69" s="47"/>
      <c r="BB69" s="47"/>
      <c r="BC69" s="47"/>
      <c r="BD69" s="47"/>
      <c r="BE69" s="47"/>
      <c r="BF69" s="47"/>
    </row>
    <row r="70" spans="1:58" hidden="1">
      <c r="A70" s="46" t="s">
        <v>278</v>
      </c>
      <c r="B70" s="46" t="s">
        <v>269</v>
      </c>
      <c r="C70" s="47">
        <v>1466</v>
      </c>
      <c r="D70" s="47">
        <v>1542</v>
      </c>
      <c r="E70" s="47">
        <v>1445</v>
      </c>
      <c r="F70" s="47">
        <v>1370</v>
      </c>
      <c r="G70" s="47">
        <v>1445</v>
      </c>
      <c r="H70" s="47">
        <v>1595</v>
      </c>
      <c r="I70" s="47">
        <v>1725</v>
      </c>
      <c r="J70" s="47">
        <v>1920</v>
      </c>
      <c r="K70" s="47">
        <v>1865</v>
      </c>
      <c r="L70" s="47">
        <v>3190</v>
      </c>
      <c r="M70" s="47">
        <v>3575</v>
      </c>
      <c r="N70" s="47">
        <v>3605</v>
      </c>
      <c r="O70" s="47">
        <v>2940</v>
      </c>
      <c r="P70" s="47">
        <v>2384</v>
      </c>
      <c r="Q70" s="85">
        <v>64.98</v>
      </c>
      <c r="R70" s="85">
        <v>56.72</v>
      </c>
      <c r="S70" s="85">
        <v>61.75</v>
      </c>
      <c r="T70" s="85">
        <v>65</v>
      </c>
      <c r="U70" s="85">
        <v>65</v>
      </c>
      <c r="V70" s="85">
        <v>65</v>
      </c>
      <c r="W70" s="85">
        <v>25</v>
      </c>
      <c r="X70" s="85">
        <v>60</v>
      </c>
      <c r="Y70" s="85">
        <v>60</v>
      </c>
      <c r="Z70" s="85">
        <v>62</v>
      </c>
      <c r="AA70" s="85">
        <v>55</v>
      </c>
      <c r="AB70" s="85">
        <v>64.349999999999994</v>
      </c>
      <c r="AC70" s="85">
        <v>63.51</v>
      </c>
      <c r="AD70" s="85">
        <v>64.569999999999993</v>
      </c>
      <c r="AE70" s="47">
        <v>95266</v>
      </c>
      <c r="AF70" s="47">
        <v>87455</v>
      </c>
      <c r="AG70" s="47">
        <v>89233</v>
      </c>
      <c r="AH70" s="47">
        <v>89050</v>
      </c>
      <c r="AI70" s="47">
        <v>93925</v>
      </c>
      <c r="AJ70" s="47">
        <v>103675</v>
      </c>
      <c r="AK70" s="47">
        <v>43125</v>
      </c>
      <c r="AL70" s="47">
        <v>115200</v>
      </c>
      <c r="AM70" s="47">
        <v>111900</v>
      </c>
      <c r="AN70" s="47">
        <v>197780</v>
      </c>
      <c r="AO70" s="47">
        <v>196625</v>
      </c>
      <c r="AP70" s="47">
        <v>231965</v>
      </c>
      <c r="AQ70" s="47">
        <v>186725</v>
      </c>
      <c r="AR70" s="47">
        <v>153941</v>
      </c>
      <c r="AS70" s="47"/>
      <c r="AT70" s="47"/>
      <c r="AU70" s="47"/>
      <c r="AV70" s="47"/>
      <c r="AW70" s="47"/>
      <c r="AX70" s="47"/>
      <c r="AY70" s="47"/>
      <c r="AZ70" s="47"/>
      <c r="BA70" s="47"/>
      <c r="BB70" s="47"/>
      <c r="BC70" s="47"/>
      <c r="BD70" s="47"/>
      <c r="BE70" s="47"/>
      <c r="BF70" s="47"/>
    </row>
    <row r="71" spans="1:58" hidden="1">
      <c r="A71" s="46" t="s">
        <v>278</v>
      </c>
      <c r="B71" s="46" t="s">
        <v>270</v>
      </c>
      <c r="C71" s="47">
        <v>317</v>
      </c>
      <c r="D71" s="47">
        <v>181</v>
      </c>
      <c r="E71" s="47">
        <v>280</v>
      </c>
      <c r="F71" s="47">
        <v>320</v>
      </c>
      <c r="G71" s="47">
        <v>245</v>
      </c>
      <c r="H71" s="47">
        <v>420</v>
      </c>
      <c r="I71" s="47">
        <v>515</v>
      </c>
      <c r="J71" s="47">
        <v>590</v>
      </c>
      <c r="K71" s="47">
        <v>725</v>
      </c>
      <c r="L71" s="47">
        <v>530</v>
      </c>
      <c r="M71" s="47">
        <v>830</v>
      </c>
      <c r="N71" s="47">
        <v>745</v>
      </c>
      <c r="O71" s="47">
        <v>860</v>
      </c>
      <c r="P71" s="47">
        <v>924</v>
      </c>
      <c r="Q71" s="85"/>
      <c r="R71" s="85"/>
      <c r="S71" s="85"/>
      <c r="T71" s="85"/>
      <c r="U71" s="85"/>
      <c r="V71" s="85"/>
      <c r="W71" s="85"/>
      <c r="X71" s="85"/>
      <c r="Y71" s="85"/>
      <c r="Z71" s="85"/>
      <c r="AA71" s="85"/>
      <c r="AB71" s="85"/>
      <c r="AC71" s="85"/>
      <c r="AD71" s="85"/>
      <c r="AE71" s="47">
        <v>15850</v>
      </c>
      <c r="AF71" s="47">
        <v>9050</v>
      </c>
      <c r="AG71" s="47">
        <v>14000</v>
      </c>
      <c r="AH71" s="47">
        <v>16000</v>
      </c>
      <c r="AI71" s="47">
        <v>12250</v>
      </c>
      <c r="AJ71" s="47">
        <v>21000</v>
      </c>
      <c r="AK71" s="47">
        <v>20600</v>
      </c>
      <c r="AL71" s="47">
        <v>27840</v>
      </c>
      <c r="AM71" s="47">
        <v>34465</v>
      </c>
      <c r="AN71" s="47">
        <v>25580</v>
      </c>
      <c r="AO71" s="47">
        <v>38810</v>
      </c>
      <c r="AP71" s="47">
        <v>34730</v>
      </c>
      <c r="AQ71" s="47">
        <v>40485</v>
      </c>
      <c r="AR71" s="47">
        <v>43755</v>
      </c>
      <c r="AS71" s="47"/>
      <c r="AT71" s="47"/>
      <c r="AU71" s="47"/>
      <c r="AV71" s="47"/>
      <c r="AW71" s="47"/>
      <c r="AX71" s="47"/>
      <c r="AY71" s="47"/>
      <c r="AZ71" s="47"/>
      <c r="BA71" s="47"/>
      <c r="BB71" s="47"/>
      <c r="BC71" s="47"/>
      <c r="BD71" s="47"/>
      <c r="BE71" s="47"/>
      <c r="BF71" s="47"/>
    </row>
    <row r="72" spans="1:58" hidden="1">
      <c r="A72" s="46" t="s">
        <v>278</v>
      </c>
      <c r="B72" s="46" t="s">
        <v>271</v>
      </c>
      <c r="C72" s="47">
        <v>318</v>
      </c>
      <c r="D72" s="47">
        <v>144</v>
      </c>
      <c r="E72" s="47">
        <v>143</v>
      </c>
      <c r="F72" s="47">
        <v>95</v>
      </c>
      <c r="G72" s="47">
        <v>115</v>
      </c>
      <c r="H72" s="47">
        <v>130</v>
      </c>
      <c r="I72" s="47">
        <v>150</v>
      </c>
      <c r="J72" s="47">
        <v>105</v>
      </c>
      <c r="K72" s="47">
        <v>265</v>
      </c>
      <c r="L72" s="47">
        <v>320</v>
      </c>
      <c r="M72" s="47">
        <v>300</v>
      </c>
      <c r="N72" s="47">
        <v>370</v>
      </c>
      <c r="O72" s="47">
        <v>380</v>
      </c>
      <c r="P72" s="47">
        <v>379</v>
      </c>
      <c r="Q72" s="85"/>
      <c r="R72" s="85"/>
      <c r="S72" s="85"/>
      <c r="T72" s="85"/>
      <c r="U72" s="85"/>
      <c r="V72" s="85"/>
      <c r="W72" s="85"/>
      <c r="X72" s="85"/>
      <c r="Y72" s="85"/>
      <c r="Z72" s="85"/>
      <c r="AA72" s="85"/>
      <c r="AB72" s="85"/>
      <c r="AC72" s="85"/>
      <c r="AD72" s="85"/>
      <c r="AE72" s="47">
        <v>15900</v>
      </c>
      <c r="AF72" s="47">
        <v>7200</v>
      </c>
      <c r="AG72" s="47">
        <v>7150</v>
      </c>
      <c r="AH72" s="47">
        <v>4750</v>
      </c>
      <c r="AI72" s="47">
        <v>5750</v>
      </c>
      <c r="AJ72" s="47">
        <v>6500</v>
      </c>
      <c r="AK72" s="47">
        <v>6000</v>
      </c>
      <c r="AL72" s="47">
        <v>4850</v>
      </c>
      <c r="AM72" s="47">
        <v>12330</v>
      </c>
      <c r="AN72" s="47">
        <v>15150</v>
      </c>
      <c r="AO72" s="47">
        <v>13960</v>
      </c>
      <c r="AP72" s="47">
        <v>17430</v>
      </c>
      <c r="AQ72" s="47">
        <v>17695</v>
      </c>
      <c r="AR72" s="47">
        <v>17530</v>
      </c>
      <c r="AS72" s="47"/>
      <c r="AT72" s="47"/>
      <c r="AU72" s="47"/>
      <c r="AV72" s="47"/>
      <c r="AW72" s="47"/>
      <c r="AX72" s="47"/>
      <c r="AY72" s="47"/>
      <c r="AZ72" s="47"/>
      <c r="BA72" s="47"/>
      <c r="BB72" s="47"/>
      <c r="BC72" s="47"/>
      <c r="BD72" s="47"/>
      <c r="BE72" s="47"/>
      <c r="BF72" s="47"/>
    </row>
    <row r="73" spans="1:58" hidden="1">
      <c r="A73" s="46" t="s">
        <v>278</v>
      </c>
      <c r="B73" s="46" t="s">
        <v>272</v>
      </c>
      <c r="C73" s="47">
        <v>347592</v>
      </c>
      <c r="D73" s="47">
        <v>356630</v>
      </c>
      <c r="E73" s="47">
        <v>358734</v>
      </c>
      <c r="F73" s="47">
        <v>365271</v>
      </c>
      <c r="G73" s="47">
        <v>365040</v>
      </c>
      <c r="H73" s="47">
        <v>366690</v>
      </c>
      <c r="I73" s="47">
        <v>363290</v>
      </c>
      <c r="J73" s="47">
        <v>360680</v>
      </c>
      <c r="K73" s="47">
        <v>355755</v>
      </c>
      <c r="L73" s="47">
        <v>381240</v>
      </c>
      <c r="M73" s="47">
        <v>358337</v>
      </c>
      <c r="N73" s="47">
        <v>364090</v>
      </c>
      <c r="O73" s="47">
        <v>353460</v>
      </c>
      <c r="P73" s="47">
        <v>350801</v>
      </c>
      <c r="Q73" s="85">
        <v>80.59</v>
      </c>
      <c r="R73" s="85">
        <v>75.900000000000006</v>
      </c>
      <c r="S73" s="85">
        <v>81.349999999999994</v>
      </c>
      <c r="T73" s="85">
        <v>82.76</v>
      </c>
      <c r="U73" s="85">
        <v>86.38</v>
      </c>
      <c r="V73" s="85">
        <v>85.25</v>
      </c>
      <c r="W73" s="85">
        <v>47.62</v>
      </c>
      <c r="X73" s="85">
        <v>80.66</v>
      </c>
      <c r="Y73" s="85">
        <v>75.13</v>
      </c>
      <c r="Z73" s="85">
        <v>83.94</v>
      </c>
      <c r="AA73" s="85">
        <v>69.14</v>
      </c>
      <c r="AB73" s="85">
        <v>82.96</v>
      </c>
      <c r="AC73" s="85">
        <v>80.209999999999994</v>
      </c>
      <c r="AD73" s="85">
        <v>83.23</v>
      </c>
      <c r="AE73" s="47">
        <v>28013599</v>
      </c>
      <c r="AF73" s="47">
        <v>27069116</v>
      </c>
      <c r="AG73" s="47">
        <v>29183747</v>
      </c>
      <c r="AH73" s="47">
        <v>30231619</v>
      </c>
      <c r="AI73" s="47">
        <v>31530845</v>
      </c>
      <c r="AJ73" s="47">
        <v>31260360</v>
      </c>
      <c r="AK73" s="47">
        <v>17300865</v>
      </c>
      <c r="AL73" s="47">
        <v>29091735</v>
      </c>
      <c r="AM73" s="47">
        <v>26728735</v>
      </c>
      <c r="AN73" s="47">
        <v>32000375</v>
      </c>
      <c r="AO73" s="47">
        <v>24776845</v>
      </c>
      <c r="AP73" s="47">
        <v>30206535</v>
      </c>
      <c r="AQ73" s="47">
        <v>28351248</v>
      </c>
      <c r="AR73" s="47">
        <v>29197581</v>
      </c>
      <c r="AS73" s="47"/>
      <c r="AT73" s="47"/>
      <c r="AU73" s="47"/>
      <c r="AV73" s="47"/>
      <c r="AW73" s="47"/>
      <c r="AX73" s="47"/>
      <c r="AY73" s="47"/>
      <c r="AZ73" s="47"/>
      <c r="BA73" s="47"/>
      <c r="BB73" s="47"/>
      <c r="BC73" s="47"/>
      <c r="BD73" s="47"/>
      <c r="BE73" s="47"/>
      <c r="BF73" s="47"/>
    </row>
    <row r="74" spans="1:58" hidden="1">
      <c r="A74" s="46" t="s">
        <v>278</v>
      </c>
      <c r="B74" s="46" t="s">
        <v>273</v>
      </c>
      <c r="C74" s="47">
        <v>0</v>
      </c>
      <c r="D74" s="47">
        <v>0</v>
      </c>
      <c r="E74" s="47">
        <v>0</v>
      </c>
      <c r="F74" s="47">
        <v>0</v>
      </c>
      <c r="G74" s="47">
        <v>0</v>
      </c>
      <c r="H74" s="47">
        <v>0</v>
      </c>
      <c r="I74" s="47">
        <v>0</v>
      </c>
      <c r="J74" s="47">
        <v>0</v>
      </c>
      <c r="K74" s="47">
        <v>0</v>
      </c>
      <c r="L74" s="47">
        <v>0</v>
      </c>
      <c r="M74" s="47">
        <v>0</v>
      </c>
      <c r="N74" s="47">
        <v>0</v>
      </c>
      <c r="O74" s="47">
        <v>0</v>
      </c>
      <c r="P74" s="47">
        <v>0</v>
      </c>
      <c r="Q74" s="85"/>
      <c r="R74" s="85"/>
      <c r="S74" s="85"/>
      <c r="T74" s="85"/>
      <c r="U74" s="85"/>
      <c r="V74" s="85"/>
      <c r="W74" s="85"/>
      <c r="X74" s="85"/>
      <c r="Y74" s="85"/>
      <c r="Z74" s="85"/>
      <c r="AA74" s="85"/>
      <c r="AB74" s="85"/>
      <c r="AC74" s="85"/>
      <c r="AD74" s="85"/>
      <c r="AE74" s="47">
        <v>0</v>
      </c>
      <c r="AF74" s="47">
        <v>0</v>
      </c>
      <c r="AG74" s="47">
        <v>0</v>
      </c>
      <c r="AH74" s="47">
        <v>0</v>
      </c>
      <c r="AI74" s="47">
        <v>0</v>
      </c>
      <c r="AJ74" s="47">
        <v>0</v>
      </c>
      <c r="AK74" s="47">
        <v>0</v>
      </c>
      <c r="AL74" s="47">
        <v>0</v>
      </c>
      <c r="AM74" s="47">
        <v>0</v>
      </c>
      <c r="AN74" s="47">
        <v>0</v>
      </c>
      <c r="AO74" s="47">
        <v>0</v>
      </c>
      <c r="AP74" s="47">
        <v>0</v>
      </c>
      <c r="AQ74" s="47">
        <v>0</v>
      </c>
      <c r="AR74" s="47">
        <v>0</v>
      </c>
      <c r="AS74" s="47"/>
      <c r="AT74" s="47"/>
      <c r="AU74" s="47"/>
      <c r="AV74" s="47"/>
      <c r="AW74" s="47"/>
      <c r="AX74" s="47"/>
      <c r="AY74" s="47"/>
      <c r="AZ74" s="47"/>
      <c r="BA74" s="47"/>
      <c r="BB74" s="47"/>
      <c r="BC74" s="47"/>
      <c r="BD74" s="47"/>
      <c r="BE74" s="47"/>
      <c r="BF74" s="47"/>
    </row>
    <row r="75" spans="1:58" hidden="1">
      <c r="A75" s="46" t="s">
        <v>278</v>
      </c>
      <c r="B75" s="46" t="s">
        <v>274</v>
      </c>
      <c r="C75" s="47">
        <v>0</v>
      </c>
      <c r="D75" s="47">
        <v>0</v>
      </c>
      <c r="E75" s="47">
        <v>0</v>
      </c>
      <c r="F75" s="47">
        <v>0</v>
      </c>
      <c r="G75" s="47">
        <v>0</v>
      </c>
      <c r="H75" s="47">
        <v>0</v>
      </c>
      <c r="I75" s="47">
        <v>0</v>
      </c>
      <c r="J75" s="47">
        <v>0</v>
      </c>
      <c r="K75" s="47">
        <v>0</v>
      </c>
      <c r="L75" s="47">
        <v>0</v>
      </c>
      <c r="M75" s="47">
        <v>0</v>
      </c>
      <c r="N75" s="47">
        <v>0</v>
      </c>
      <c r="O75" s="47">
        <v>0</v>
      </c>
      <c r="P75" s="47">
        <v>0</v>
      </c>
      <c r="Q75" s="85"/>
      <c r="R75" s="85"/>
      <c r="S75" s="85"/>
      <c r="T75" s="85"/>
      <c r="U75" s="85"/>
      <c r="V75" s="85"/>
      <c r="W75" s="85"/>
      <c r="X75" s="85"/>
      <c r="Y75" s="85"/>
      <c r="Z75" s="85"/>
      <c r="AA75" s="85"/>
      <c r="AB75" s="85"/>
      <c r="AC75" s="85"/>
      <c r="AD75" s="85"/>
      <c r="AE75" s="47">
        <v>0</v>
      </c>
      <c r="AF75" s="47">
        <v>0</v>
      </c>
      <c r="AG75" s="47">
        <v>0</v>
      </c>
      <c r="AH75" s="47">
        <v>0</v>
      </c>
      <c r="AI75" s="47">
        <v>0</v>
      </c>
      <c r="AJ75" s="47">
        <v>0</v>
      </c>
      <c r="AK75" s="47">
        <v>0</v>
      </c>
      <c r="AL75" s="47">
        <v>0</v>
      </c>
      <c r="AM75" s="47">
        <v>0</v>
      </c>
      <c r="AN75" s="47">
        <v>0</v>
      </c>
      <c r="AO75" s="47">
        <v>0</v>
      </c>
      <c r="AP75" s="47">
        <v>0</v>
      </c>
      <c r="AQ75" s="47">
        <v>0</v>
      </c>
      <c r="AR75" s="47">
        <v>0</v>
      </c>
      <c r="AS75" s="47"/>
      <c r="AT75" s="47"/>
      <c r="AU75" s="47"/>
      <c r="AV75" s="47"/>
      <c r="AW75" s="47"/>
      <c r="AX75" s="47"/>
      <c r="AY75" s="47"/>
      <c r="AZ75" s="47"/>
      <c r="BA75" s="47"/>
      <c r="BB75" s="47"/>
      <c r="BC75" s="47"/>
      <c r="BD75" s="47"/>
      <c r="BE75" s="47"/>
      <c r="BF75" s="47"/>
    </row>
    <row r="76" spans="1:58" hidden="1">
      <c r="A76" s="46" t="s">
        <v>278</v>
      </c>
      <c r="B76" s="46" t="s">
        <v>275</v>
      </c>
      <c r="C76" s="47">
        <v>0</v>
      </c>
      <c r="D76" s="47">
        <v>0</v>
      </c>
      <c r="E76" s="47">
        <v>0</v>
      </c>
      <c r="F76" s="47">
        <v>0</v>
      </c>
      <c r="G76" s="47">
        <v>0</v>
      </c>
      <c r="H76" s="47">
        <v>0</v>
      </c>
      <c r="I76" s="47">
        <v>0</v>
      </c>
      <c r="J76" s="47">
        <v>0</v>
      </c>
      <c r="K76" s="47">
        <v>0</v>
      </c>
      <c r="L76" s="47">
        <v>0</v>
      </c>
      <c r="M76" s="47">
        <v>0</v>
      </c>
      <c r="N76" s="47">
        <v>0</v>
      </c>
      <c r="O76" s="47">
        <v>0</v>
      </c>
      <c r="P76" s="47">
        <v>0</v>
      </c>
      <c r="Q76" s="85"/>
      <c r="R76" s="85"/>
      <c r="S76" s="85"/>
      <c r="T76" s="85"/>
      <c r="U76" s="85"/>
      <c r="V76" s="85"/>
      <c r="W76" s="85"/>
      <c r="X76" s="85"/>
      <c r="Y76" s="85"/>
      <c r="Z76" s="85"/>
      <c r="AA76" s="85"/>
      <c r="AB76" s="85"/>
      <c r="AC76" s="85"/>
      <c r="AD76" s="85"/>
      <c r="AE76" s="47">
        <v>0</v>
      </c>
      <c r="AF76" s="47">
        <v>0</v>
      </c>
      <c r="AG76" s="47">
        <v>0</v>
      </c>
      <c r="AH76" s="47">
        <v>0</v>
      </c>
      <c r="AI76" s="47">
        <v>0</v>
      </c>
      <c r="AJ76" s="47">
        <v>0</v>
      </c>
      <c r="AK76" s="47">
        <v>0</v>
      </c>
      <c r="AL76" s="47">
        <v>0</v>
      </c>
      <c r="AM76" s="47">
        <v>0</v>
      </c>
      <c r="AN76" s="47">
        <v>0</v>
      </c>
      <c r="AO76" s="47">
        <v>0</v>
      </c>
      <c r="AP76" s="47">
        <v>0</v>
      </c>
      <c r="AQ76" s="47">
        <v>0</v>
      </c>
      <c r="AR76" s="47">
        <v>0</v>
      </c>
      <c r="AS76" s="47"/>
      <c r="AT76" s="47"/>
      <c r="AU76" s="47"/>
      <c r="AV76" s="47"/>
      <c r="AW76" s="47"/>
      <c r="AX76" s="47"/>
      <c r="AY76" s="47"/>
      <c r="AZ76" s="47"/>
      <c r="BA76" s="47"/>
      <c r="BB76" s="47"/>
      <c r="BC76" s="47"/>
      <c r="BD76" s="47"/>
      <c r="BE76" s="47"/>
      <c r="BF76" s="47"/>
    </row>
    <row r="77" spans="1:58" hidden="1">
      <c r="A77" s="46" t="s">
        <v>278</v>
      </c>
      <c r="B77" s="46" t="s">
        <v>276</v>
      </c>
      <c r="C77" s="47">
        <v>347592</v>
      </c>
      <c r="D77" s="47">
        <v>356630</v>
      </c>
      <c r="E77" s="47">
        <v>358734</v>
      </c>
      <c r="F77" s="47">
        <v>365271</v>
      </c>
      <c r="G77" s="47">
        <v>365040</v>
      </c>
      <c r="H77" s="47">
        <v>366690</v>
      </c>
      <c r="I77" s="47">
        <v>363290</v>
      </c>
      <c r="J77" s="47">
        <v>360680</v>
      </c>
      <c r="K77" s="47">
        <v>355755</v>
      </c>
      <c r="L77" s="47">
        <v>381240</v>
      </c>
      <c r="M77" s="47">
        <v>358337</v>
      </c>
      <c r="N77" s="47">
        <v>364090</v>
      </c>
      <c r="O77" s="47">
        <v>353460</v>
      </c>
      <c r="P77" s="47">
        <v>350801</v>
      </c>
      <c r="Q77" s="85">
        <v>80.59</v>
      </c>
      <c r="R77" s="85">
        <v>75.900000000000006</v>
      </c>
      <c r="S77" s="85">
        <v>81.349999999999994</v>
      </c>
      <c r="T77" s="85">
        <v>82.76</v>
      </c>
      <c r="U77" s="85">
        <v>86.38</v>
      </c>
      <c r="V77" s="85">
        <v>85.25</v>
      </c>
      <c r="W77" s="85">
        <v>47.62</v>
      </c>
      <c r="X77" s="85">
        <v>80.66</v>
      </c>
      <c r="Y77" s="85">
        <v>75.13</v>
      </c>
      <c r="Z77" s="85">
        <v>83.94</v>
      </c>
      <c r="AA77" s="85">
        <v>69.14</v>
      </c>
      <c r="AB77" s="85">
        <v>82.96</v>
      </c>
      <c r="AC77" s="85">
        <v>80.209999999999994</v>
      </c>
      <c r="AD77" s="85">
        <v>83.23</v>
      </c>
      <c r="AE77" s="47">
        <v>28013599</v>
      </c>
      <c r="AF77" s="47">
        <v>27069116</v>
      </c>
      <c r="AG77" s="47">
        <v>29183747</v>
      </c>
      <c r="AH77" s="47">
        <v>30231619</v>
      </c>
      <c r="AI77" s="47">
        <v>31530845</v>
      </c>
      <c r="AJ77" s="47">
        <v>31260360</v>
      </c>
      <c r="AK77" s="47">
        <v>17300865</v>
      </c>
      <c r="AL77" s="47">
        <v>29091735</v>
      </c>
      <c r="AM77" s="47">
        <v>26728735</v>
      </c>
      <c r="AN77" s="47">
        <v>32000375</v>
      </c>
      <c r="AO77" s="47">
        <v>24776845</v>
      </c>
      <c r="AP77" s="47">
        <v>30206535</v>
      </c>
      <c r="AQ77" s="47">
        <v>28351248</v>
      </c>
      <c r="AR77" s="47">
        <v>29197581</v>
      </c>
      <c r="AS77" s="47"/>
      <c r="AT77" s="47"/>
      <c r="AU77" s="47"/>
      <c r="AV77" s="47"/>
      <c r="AW77" s="47"/>
      <c r="AX77" s="47"/>
      <c r="AY77" s="47"/>
      <c r="AZ77" s="47"/>
      <c r="BA77" s="47"/>
      <c r="BB77" s="47"/>
      <c r="BC77" s="47"/>
      <c r="BD77" s="47"/>
      <c r="BE77" s="47"/>
      <c r="BF77" s="47"/>
    </row>
    <row r="78" spans="1:58" hidden="1">
      <c r="A78" s="46" t="s">
        <v>278</v>
      </c>
      <c r="B78" s="46" t="s">
        <v>277</v>
      </c>
      <c r="C78" s="47"/>
      <c r="D78" s="47"/>
      <c r="E78" s="47"/>
      <c r="F78" s="47"/>
      <c r="G78" s="47"/>
      <c r="H78" s="47"/>
      <c r="I78" s="47"/>
      <c r="J78" s="47"/>
      <c r="K78" s="47"/>
      <c r="L78" s="47"/>
      <c r="M78" s="47"/>
      <c r="N78" s="47"/>
      <c r="O78" s="47"/>
      <c r="P78" s="47"/>
      <c r="Q78" s="85"/>
      <c r="R78" s="85"/>
      <c r="S78" s="85"/>
      <c r="T78" s="85"/>
      <c r="U78" s="85"/>
      <c r="V78" s="85"/>
      <c r="W78" s="85"/>
      <c r="X78" s="85"/>
      <c r="Y78" s="85"/>
      <c r="Z78" s="85"/>
      <c r="AA78" s="85"/>
      <c r="AB78" s="85"/>
      <c r="AC78" s="85"/>
      <c r="AD78" s="85"/>
      <c r="AE78" s="47">
        <v>869000</v>
      </c>
      <c r="AF78" s="47">
        <v>898000</v>
      </c>
      <c r="AG78" s="47">
        <v>890400</v>
      </c>
      <c r="AH78" s="47">
        <v>890200</v>
      </c>
      <c r="AI78" s="47">
        <v>905500</v>
      </c>
      <c r="AJ78" s="47">
        <v>917600</v>
      </c>
      <c r="AK78" s="47">
        <v>924100</v>
      </c>
      <c r="AL78" s="47">
        <v>921300</v>
      </c>
      <c r="AM78" s="47">
        <v>893100</v>
      </c>
      <c r="AN78" s="47">
        <v>947500</v>
      </c>
      <c r="AO78" s="47">
        <v>864100</v>
      </c>
      <c r="AP78" s="47">
        <v>897500</v>
      </c>
      <c r="AQ78" s="47">
        <v>861300</v>
      </c>
      <c r="AR78" s="47">
        <v>864610</v>
      </c>
      <c r="AS78" s="47"/>
      <c r="AT78" s="47"/>
      <c r="AU78" s="47"/>
      <c r="AV78" s="47"/>
      <c r="AW78" s="47"/>
      <c r="AX78" s="47"/>
      <c r="AY78" s="47"/>
      <c r="AZ78" s="47"/>
      <c r="BA78" s="47"/>
      <c r="BB78" s="47"/>
      <c r="BC78" s="47"/>
      <c r="BD78" s="47"/>
      <c r="BE78" s="47"/>
      <c r="BF78" s="47"/>
    </row>
    <row r="79" spans="1:58" hidden="1">
      <c r="A79" s="46" t="s">
        <v>278</v>
      </c>
      <c r="B79" s="46" t="s">
        <v>65</v>
      </c>
      <c r="C79" s="47">
        <v>70753</v>
      </c>
      <c r="D79" s="47">
        <v>76479</v>
      </c>
      <c r="E79" s="47">
        <v>82209</v>
      </c>
      <c r="F79" s="47">
        <v>76612</v>
      </c>
      <c r="G79" s="47">
        <v>77470</v>
      </c>
      <c r="H79" s="47">
        <v>76705</v>
      </c>
      <c r="I79" s="47">
        <v>79945</v>
      </c>
      <c r="J79" s="47">
        <v>75985</v>
      </c>
      <c r="K79" s="47">
        <v>78670</v>
      </c>
      <c r="L79" s="47">
        <v>48575</v>
      </c>
      <c r="M79" s="47">
        <v>60635</v>
      </c>
      <c r="N79" s="47">
        <v>52210</v>
      </c>
      <c r="O79" s="47">
        <v>63465</v>
      </c>
      <c r="P79" s="47">
        <v>68216</v>
      </c>
      <c r="Q79" s="85">
        <v>36.82</v>
      </c>
      <c r="R79" s="85">
        <v>36.479999999999997</v>
      </c>
      <c r="S79" s="85">
        <v>39.54</v>
      </c>
      <c r="T79" s="85">
        <v>33.630000000000003</v>
      </c>
      <c r="U79" s="85">
        <v>39.79</v>
      </c>
      <c r="V79" s="85">
        <v>37.92</v>
      </c>
      <c r="W79" s="85">
        <v>29.81</v>
      </c>
      <c r="X79" s="85">
        <v>41.13</v>
      </c>
      <c r="Y79" s="85">
        <v>33.83</v>
      </c>
      <c r="Z79" s="85">
        <v>30.63</v>
      </c>
      <c r="AA79" s="85">
        <v>33.75</v>
      </c>
      <c r="AB79" s="85">
        <v>36.479999999999997</v>
      </c>
      <c r="AC79" s="85">
        <v>42.04</v>
      </c>
      <c r="AD79" s="85">
        <v>34.369999999999997</v>
      </c>
      <c r="AE79" s="47">
        <v>2605007</v>
      </c>
      <c r="AF79" s="47">
        <v>2789783</v>
      </c>
      <c r="AG79" s="47">
        <v>3250301</v>
      </c>
      <c r="AH79" s="47">
        <v>2576361</v>
      </c>
      <c r="AI79" s="47">
        <v>3082470</v>
      </c>
      <c r="AJ79" s="47">
        <v>2908965</v>
      </c>
      <c r="AK79" s="47">
        <v>2382780</v>
      </c>
      <c r="AL79" s="47">
        <v>3125530</v>
      </c>
      <c r="AM79" s="47">
        <v>2661255</v>
      </c>
      <c r="AN79" s="47">
        <v>1487685</v>
      </c>
      <c r="AO79" s="47">
        <v>2046625</v>
      </c>
      <c r="AP79" s="47">
        <v>1904825</v>
      </c>
      <c r="AQ79" s="47">
        <v>2667990</v>
      </c>
      <c r="AR79" s="47">
        <v>2344899</v>
      </c>
      <c r="AS79" s="47"/>
      <c r="AT79" s="47"/>
      <c r="AU79" s="47"/>
      <c r="AV79" s="47"/>
      <c r="AW79" s="47"/>
      <c r="AX79" s="47"/>
      <c r="AY79" s="47"/>
      <c r="AZ79" s="47"/>
      <c r="BA79" s="47"/>
      <c r="BB79" s="47"/>
      <c r="BC79" s="47"/>
      <c r="BD79" s="47"/>
      <c r="BE79" s="47"/>
      <c r="BF79" s="47"/>
    </row>
    <row r="80" spans="1:58" hidden="1">
      <c r="A80" s="46" t="s">
        <v>278</v>
      </c>
      <c r="B80" s="46" t="s">
        <v>66</v>
      </c>
      <c r="C80" s="47">
        <v>166</v>
      </c>
      <c r="D80" s="47">
        <v>118</v>
      </c>
      <c r="E80" s="47">
        <v>40</v>
      </c>
      <c r="F80" s="47">
        <v>265</v>
      </c>
      <c r="G80" s="47">
        <v>160</v>
      </c>
      <c r="H80" s="47">
        <v>80</v>
      </c>
      <c r="I80" s="47">
        <v>50</v>
      </c>
      <c r="J80" s="47">
        <v>155</v>
      </c>
      <c r="K80" s="47">
        <v>130</v>
      </c>
      <c r="L80" s="47">
        <v>80</v>
      </c>
      <c r="M80" s="47">
        <v>70</v>
      </c>
      <c r="N80" s="47">
        <v>50</v>
      </c>
      <c r="O80" s="47">
        <v>30</v>
      </c>
      <c r="P80" s="47">
        <v>10</v>
      </c>
      <c r="Q80" s="85">
        <v>37</v>
      </c>
      <c r="R80" s="85">
        <v>36.68</v>
      </c>
      <c r="S80" s="85">
        <v>39.75</v>
      </c>
      <c r="T80" s="85">
        <v>33.72</v>
      </c>
      <c r="U80" s="85">
        <v>40.03</v>
      </c>
      <c r="V80" s="85">
        <v>37.44</v>
      </c>
      <c r="W80" s="85">
        <v>29.9</v>
      </c>
      <c r="X80" s="85">
        <v>40.520000000000003</v>
      </c>
      <c r="Y80" s="85">
        <v>33.380000000000003</v>
      </c>
      <c r="Z80" s="85">
        <v>30.25</v>
      </c>
      <c r="AA80" s="85">
        <v>33.43</v>
      </c>
      <c r="AB80" s="85">
        <v>36.700000000000003</v>
      </c>
      <c r="AC80" s="85">
        <v>41.83</v>
      </c>
      <c r="AD80" s="85">
        <v>33.299999999999997</v>
      </c>
      <c r="AE80" s="47">
        <v>6142</v>
      </c>
      <c r="AF80" s="47">
        <v>4328</v>
      </c>
      <c r="AG80" s="47">
        <v>1590</v>
      </c>
      <c r="AH80" s="47">
        <v>8935</v>
      </c>
      <c r="AI80" s="47">
        <v>6405</v>
      </c>
      <c r="AJ80" s="47">
        <v>2995</v>
      </c>
      <c r="AK80" s="47">
        <v>1495</v>
      </c>
      <c r="AL80" s="47">
        <v>6280</v>
      </c>
      <c r="AM80" s="47">
        <v>4340</v>
      </c>
      <c r="AN80" s="47">
        <v>2420</v>
      </c>
      <c r="AO80" s="47">
        <v>2340</v>
      </c>
      <c r="AP80" s="47">
        <v>1835</v>
      </c>
      <c r="AQ80" s="47">
        <v>1255</v>
      </c>
      <c r="AR80" s="47">
        <v>333</v>
      </c>
      <c r="AS80" s="47"/>
      <c r="AT80" s="47"/>
      <c r="AU80" s="47"/>
      <c r="AV80" s="47"/>
      <c r="AW80" s="47"/>
      <c r="AX80" s="47"/>
      <c r="AY80" s="47"/>
      <c r="AZ80" s="47"/>
      <c r="BA80" s="47"/>
      <c r="BB80" s="47"/>
      <c r="BC80" s="47"/>
      <c r="BD80" s="47"/>
      <c r="BE80" s="47"/>
      <c r="BF80" s="47"/>
    </row>
    <row r="81" spans="1:58" hidden="1">
      <c r="A81" s="46" t="s">
        <v>278</v>
      </c>
      <c r="B81" s="46" t="s">
        <v>67</v>
      </c>
      <c r="C81" s="47">
        <v>70919</v>
      </c>
      <c r="D81" s="47">
        <v>76597</v>
      </c>
      <c r="E81" s="47">
        <v>82249</v>
      </c>
      <c r="F81" s="47">
        <v>76877</v>
      </c>
      <c r="G81" s="47">
        <v>77630</v>
      </c>
      <c r="H81" s="47">
        <v>76785</v>
      </c>
      <c r="I81" s="47">
        <v>79995</v>
      </c>
      <c r="J81" s="47">
        <v>76140</v>
      </c>
      <c r="K81" s="47">
        <v>78800</v>
      </c>
      <c r="L81" s="47">
        <v>48655</v>
      </c>
      <c r="M81" s="47">
        <v>60705</v>
      </c>
      <c r="N81" s="47">
        <v>52260</v>
      </c>
      <c r="O81" s="47">
        <v>63495</v>
      </c>
      <c r="P81" s="47">
        <v>68226</v>
      </c>
      <c r="Q81" s="85">
        <v>36.82</v>
      </c>
      <c r="R81" s="85">
        <v>36.479999999999997</v>
      </c>
      <c r="S81" s="85">
        <v>39.54</v>
      </c>
      <c r="T81" s="85">
        <v>33.630000000000003</v>
      </c>
      <c r="U81" s="85">
        <v>39.79</v>
      </c>
      <c r="V81" s="85">
        <v>37.92</v>
      </c>
      <c r="W81" s="85">
        <v>29.81</v>
      </c>
      <c r="X81" s="85">
        <v>41.13</v>
      </c>
      <c r="Y81" s="85">
        <v>33.83</v>
      </c>
      <c r="Z81" s="85">
        <v>30.63</v>
      </c>
      <c r="AA81" s="85">
        <v>33.75</v>
      </c>
      <c r="AB81" s="85">
        <v>36.479999999999997</v>
      </c>
      <c r="AC81" s="85">
        <v>42.04</v>
      </c>
      <c r="AD81" s="85">
        <v>34.369999999999997</v>
      </c>
      <c r="AE81" s="47">
        <v>2611149</v>
      </c>
      <c r="AF81" s="47">
        <v>2794111</v>
      </c>
      <c r="AG81" s="47">
        <v>3251891</v>
      </c>
      <c r="AH81" s="47">
        <v>2585296</v>
      </c>
      <c r="AI81" s="47">
        <v>3088875</v>
      </c>
      <c r="AJ81" s="47">
        <v>2911960</v>
      </c>
      <c r="AK81" s="47">
        <v>2384275</v>
      </c>
      <c r="AL81" s="47">
        <v>3131810</v>
      </c>
      <c r="AM81" s="47">
        <v>2665595</v>
      </c>
      <c r="AN81" s="47">
        <v>1490105</v>
      </c>
      <c r="AO81" s="47">
        <v>2048965</v>
      </c>
      <c r="AP81" s="47">
        <v>1906660</v>
      </c>
      <c r="AQ81" s="47">
        <v>2669245</v>
      </c>
      <c r="AR81" s="47">
        <v>2345232</v>
      </c>
      <c r="AS81" s="47"/>
      <c r="AT81" s="47"/>
      <c r="AU81" s="47"/>
      <c r="AV81" s="47"/>
      <c r="AW81" s="47"/>
      <c r="AX81" s="47"/>
      <c r="AY81" s="47"/>
      <c r="AZ81" s="47"/>
      <c r="BA81" s="47"/>
      <c r="BB81" s="47"/>
      <c r="BC81" s="47"/>
      <c r="BD81" s="47"/>
      <c r="BE81" s="47"/>
      <c r="BF81" s="47"/>
    </row>
    <row r="82" spans="1:58" hidden="1">
      <c r="A82" s="46" t="s">
        <v>278</v>
      </c>
      <c r="B82" s="46" t="s">
        <v>68</v>
      </c>
      <c r="C82" s="47">
        <v>4625</v>
      </c>
      <c r="D82" s="47">
        <v>3995</v>
      </c>
      <c r="E82" s="47">
        <v>3585</v>
      </c>
      <c r="F82" s="47">
        <v>3275</v>
      </c>
      <c r="G82" s="47">
        <v>2370</v>
      </c>
      <c r="H82" s="47">
        <v>1625</v>
      </c>
      <c r="I82" s="47">
        <v>1180</v>
      </c>
      <c r="J82" s="47">
        <v>1280</v>
      </c>
      <c r="K82" s="47">
        <v>1505</v>
      </c>
      <c r="L82" s="47">
        <v>3950</v>
      </c>
      <c r="M82" s="47">
        <v>6195</v>
      </c>
      <c r="N82" s="47">
        <v>8860</v>
      </c>
      <c r="O82" s="47">
        <v>12023</v>
      </c>
      <c r="P82" s="47">
        <v>12169</v>
      </c>
      <c r="Q82" s="85">
        <v>32</v>
      </c>
      <c r="R82" s="85">
        <v>31.52</v>
      </c>
      <c r="S82" s="85">
        <v>30</v>
      </c>
      <c r="T82" s="85">
        <v>29</v>
      </c>
      <c r="U82" s="85">
        <v>30</v>
      </c>
      <c r="V82" s="85">
        <v>24.66</v>
      </c>
      <c r="W82" s="85">
        <v>20.89</v>
      </c>
      <c r="X82" s="85">
        <v>33.43</v>
      </c>
      <c r="Y82" s="85">
        <v>28.48</v>
      </c>
      <c r="Z82" s="85">
        <v>30.16</v>
      </c>
      <c r="AA82" s="85">
        <v>28.55</v>
      </c>
      <c r="AB82" s="85">
        <v>34.549999999999997</v>
      </c>
      <c r="AC82" s="85">
        <v>28.32</v>
      </c>
      <c r="AD82" s="85">
        <v>32.29</v>
      </c>
      <c r="AE82" s="47">
        <v>148000</v>
      </c>
      <c r="AF82" s="47">
        <v>125932</v>
      </c>
      <c r="AG82" s="47">
        <v>107550</v>
      </c>
      <c r="AH82" s="47">
        <v>94975</v>
      </c>
      <c r="AI82" s="47">
        <v>71100</v>
      </c>
      <c r="AJ82" s="47">
        <v>40070</v>
      </c>
      <c r="AK82" s="47">
        <v>24655</v>
      </c>
      <c r="AL82" s="47">
        <v>42795</v>
      </c>
      <c r="AM82" s="47">
        <v>42855</v>
      </c>
      <c r="AN82" s="47">
        <v>119150</v>
      </c>
      <c r="AO82" s="47">
        <v>176855</v>
      </c>
      <c r="AP82" s="47">
        <v>306075</v>
      </c>
      <c r="AQ82" s="47">
        <v>340469</v>
      </c>
      <c r="AR82" s="47">
        <v>392931</v>
      </c>
      <c r="AS82" s="47"/>
      <c r="AT82" s="47"/>
      <c r="AU82" s="47"/>
      <c r="AV82" s="47"/>
      <c r="AW82" s="47"/>
      <c r="AX82" s="47"/>
      <c r="AY82" s="47"/>
      <c r="AZ82" s="47"/>
      <c r="BA82" s="47"/>
      <c r="BB82" s="47"/>
      <c r="BC82" s="47"/>
      <c r="BD82" s="47"/>
      <c r="BE82" s="47"/>
      <c r="BF82" s="47"/>
    </row>
    <row r="83" spans="1:58" hidden="1">
      <c r="A83" s="46" t="s">
        <v>278</v>
      </c>
      <c r="B83" s="46" t="s">
        <v>69</v>
      </c>
      <c r="C83" s="47">
        <v>8</v>
      </c>
      <c r="D83" s="47">
        <v>22</v>
      </c>
      <c r="E83" s="47">
        <v>48</v>
      </c>
      <c r="F83" s="47">
        <v>50</v>
      </c>
      <c r="G83" s="47">
        <v>60</v>
      </c>
      <c r="H83" s="47">
        <v>230</v>
      </c>
      <c r="I83" s="47">
        <v>255</v>
      </c>
      <c r="J83" s="47">
        <v>375</v>
      </c>
      <c r="K83" s="47">
        <v>930</v>
      </c>
      <c r="L83" s="47">
        <v>1990</v>
      </c>
      <c r="M83" s="47">
        <v>2795</v>
      </c>
      <c r="N83" s="47">
        <v>2010</v>
      </c>
      <c r="O83" s="47">
        <v>1910</v>
      </c>
      <c r="P83" s="47">
        <v>2056</v>
      </c>
      <c r="Q83" s="85">
        <v>28</v>
      </c>
      <c r="R83" s="85">
        <v>28</v>
      </c>
      <c r="S83" s="85">
        <v>28</v>
      </c>
      <c r="T83" s="85">
        <v>28</v>
      </c>
      <c r="U83" s="85">
        <v>28</v>
      </c>
      <c r="V83" s="85">
        <v>28</v>
      </c>
      <c r="W83" s="85">
        <v>28</v>
      </c>
      <c r="X83" s="85">
        <v>28</v>
      </c>
      <c r="Y83" s="85">
        <v>28</v>
      </c>
      <c r="Z83" s="85">
        <v>28</v>
      </c>
      <c r="AA83" s="85">
        <v>28</v>
      </c>
      <c r="AB83" s="85">
        <v>28</v>
      </c>
      <c r="AC83" s="85">
        <v>28</v>
      </c>
      <c r="AD83" s="85">
        <v>27.99</v>
      </c>
      <c r="AE83" s="47">
        <v>224</v>
      </c>
      <c r="AF83" s="47">
        <v>616</v>
      </c>
      <c r="AG83" s="47">
        <v>1344</v>
      </c>
      <c r="AH83" s="47">
        <v>1400</v>
      </c>
      <c r="AI83" s="47">
        <v>1680</v>
      </c>
      <c r="AJ83" s="47">
        <v>6440</v>
      </c>
      <c r="AK83" s="47">
        <v>7140</v>
      </c>
      <c r="AL83" s="47">
        <v>10500</v>
      </c>
      <c r="AM83" s="47">
        <v>26040</v>
      </c>
      <c r="AN83" s="47">
        <v>55720</v>
      </c>
      <c r="AO83" s="47">
        <v>78260</v>
      </c>
      <c r="AP83" s="47">
        <v>56280</v>
      </c>
      <c r="AQ83" s="47">
        <v>53480</v>
      </c>
      <c r="AR83" s="47">
        <v>57545</v>
      </c>
      <c r="AS83" s="47"/>
      <c r="AT83" s="47"/>
      <c r="AU83" s="47"/>
      <c r="AV83" s="47"/>
      <c r="AW83" s="47"/>
      <c r="AX83" s="47"/>
      <c r="AY83" s="47"/>
      <c r="AZ83" s="47"/>
      <c r="BA83" s="47"/>
      <c r="BB83" s="47"/>
      <c r="BC83" s="47"/>
      <c r="BD83" s="47"/>
      <c r="BE83" s="47"/>
      <c r="BF83" s="47"/>
    </row>
    <row r="84" spans="1:58" hidden="1">
      <c r="A84" s="46" t="s">
        <v>278</v>
      </c>
      <c r="B84" s="46" t="s">
        <v>70</v>
      </c>
      <c r="C84" s="47">
        <v>805</v>
      </c>
      <c r="D84" s="47">
        <v>685</v>
      </c>
      <c r="E84" s="47">
        <v>317</v>
      </c>
      <c r="F84" s="47">
        <v>150</v>
      </c>
      <c r="G84" s="47">
        <v>280</v>
      </c>
      <c r="H84" s="47">
        <v>480</v>
      </c>
      <c r="I84" s="47">
        <v>485</v>
      </c>
      <c r="J84" s="47">
        <v>455</v>
      </c>
      <c r="K84" s="47">
        <v>510</v>
      </c>
      <c r="L84" s="47">
        <v>665</v>
      </c>
      <c r="M84" s="47">
        <v>1025</v>
      </c>
      <c r="N84" s="47">
        <v>1005</v>
      </c>
      <c r="O84" s="47">
        <v>665</v>
      </c>
      <c r="P84" s="47">
        <v>444</v>
      </c>
      <c r="Q84" s="85">
        <v>20</v>
      </c>
      <c r="R84" s="85">
        <v>20</v>
      </c>
      <c r="S84" s="85">
        <v>18</v>
      </c>
      <c r="T84" s="85">
        <v>18</v>
      </c>
      <c r="U84" s="85">
        <v>18</v>
      </c>
      <c r="V84" s="85">
        <v>18</v>
      </c>
      <c r="W84" s="85">
        <v>18</v>
      </c>
      <c r="X84" s="85">
        <v>18</v>
      </c>
      <c r="Y84" s="85">
        <v>18</v>
      </c>
      <c r="Z84" s="85">
        <v>18</v>
      </c>
      <c r="AA84" s="85">
        <v>18</v>
      </c>
      <c r="AB84" s="85">
        <v>18</v>
      </c>
      <c r="AC84" s="85">
        <v>18</v>
      </c>
      <c r="AD84" s="85">
        <v>18.03</v>
      </c>
      <c r="AE84" s="47">
        <v>16100</v>
      </c>
      <c r="AF84" s="47">
        <v>13700</v>
      </c>
      <c r="AG84" s="47">
        <v>5706</v>
      </c>
      <c r="AH84" s="47">
        <v>2700</v>
      </c>
      <c r="AI84" s="47">
        <v>5040</v>
      </c>
      <c r="AJ84" s="47">
        <v>8640</v>
      </c>
      <c r="AK84" s="47">
        <v>8730</v>
      </c>
      <c r="AL84" s="47">
        <v>8190</v>
      </c>
      <c r="AM84" s="47">
        <v>9180</v>
      </c>
      <c r="AN84" s="47">
        <v>11970</v>
      </c>
      <c r="AO84" s="47">
        <v>18450</v>
      </c>
      <c r="AP84" s="47">
        <v>18090</v>
      </c>
      <c r="AQ84" s="47">
        <v>11970</v>
      </c>
      <c r="AR84" s="47">
        <v>8004</v>
      </c>
      <c r="AS84" s="47"/>
      <c r="AT84" s="47"/>
      <c r="AU84" s="47"/>
      <c r="AV84" s="47"/>
      <c r="AW84" s="47"/>
      <c r="AX84" s="47"/>
      <c r="AY84" s="47"/>
      <c r="AZ84" s="47"/>
      <c r="BA84" s="47"/>
      <c r="BB84" s="47"/>
      <c r="BC84" s="47"/>
      <c r="BD84" s="47"/>
      <c r="BE84" s="47"/>
      <c r="BF84" s="47"/>
    </row>
    <row r="85" spans="1:58" hidden="1">
      <c r="A85" s="46" t="s">
        <v>278</v>
      </c>
      <c r="B85" s="46" t="s">
        <v>71</v>
      </c>
      <c r="C85" s="47">
        <v>221</v>
      </c>
      <c r="D85" s="47">
        <v>330</v>
      </c>
      <c r="E85" s="47">
        <v>333</v>
      </c>
      <c r="F85" s="47">
        <v>340</v>
      </c>
      <c r="G85" s="47">
        <v>300</v>
      </c>
      <c r="H85" s="47">
        <v>255</v>
      </c>
      <c r="I85" s="47">
        <v>305</v>
      </c>
      <c r="J85" s="47">
        <v>275</v>
      </c>
      <c r="K85" s="47">
        <v>235</v>
      </c>
      <c r="L85" s="47">
        <v>120</v>
      </c>
      <c r="M85" s="47">
        <v>276</v>
      </c>
      <c r="N85" s="47">
        <v>375</v>
      </c>
      <c r="O85" s="47">
        <v>375</v>
      </c>
      <c r="P85" s="47">
        <v>789</v>
      </c>
      <c r="Q85" s="85"/>
      <c r="R85" s="85"/>
      <c r="S85" s="85"/>
      <c r="T85" s="85"/>
      <c r="U85" s="85"/>
      <c r="V85" s="85"/>
      <c r="W85" s="85"/>
      <c r="X85" s="85"/>
      <c r="Y85" s="85"/>
      <c r="Z85" s="85"/>
      <c r="AA85" s="85"/>
      <c r="AB85" s="85"/>
      <c r="AC85" s="85"/>
      <c r="AD85" s="85"/>
      <c r="AE85" s="47">
        <v>3315</v>
      </c>
      <c r="AF85" s="47">
        <v>4950</v>
      </c>
      <c r="AG85" s="47">
        <v>5994</v>
      </c>
      <c r="AH85" s="47">
        <v>6120</v>
      </c>
      <c r="AI85" s="47">
        <v>5400</v>
      </c>
      <c r="AJ85" s="47">
        <v>4590</v>
      </c>
      <c r="AK85" s="47">
        <v>5490</v>
      </c>
      <c r="AL85" s="47">
        <v>4950</v>
      </c>
      <c r="AM85" s="47">
        <v>4230</v>
      </c>
      <c r="AN85" s="47">
        <v>2160</v>
      </c>
      <c r="AO85" s="47">
        <v>4968</v>
      </c>
      <c r="AP85" s="47">
        <v>6750</v>
      </c>
      <c r="AQ85" s="47">
        <v>6750</v>
      </c>
      <c r="AR85" s="47">
        <v>14194</v>
      </c>
      <c r="AS85" s="47"/>
      <c r="AT85" s="47"/>
      <c r="AU85" s="47"/>
      <c r="AV85" s="47"/>
      <c r="AW85" s="47"/>
      <c r="AX85" s="47"/>
      <c r="AY85" s="47"/>
      <c r="AZ85" s="47"/>
      <c r="BA85" s="47"/>
      <c r="BB85" s="47"/>
      <c r="BC85" s="47"/>
      <c r="BD85" s="47"/>
      <c r="BE85" s="47"/>
      <c r="BF85" s="47"/>
    </row>
    <row r="86" spans="1:58" hidden="1">
      <c r="A86" s="46" t="s">
        <v>278</v>
      </c>
      <c r="B86" s="46" t="s">
        <v>72</v>
      </c>
      <c r="C86" s="47">
        <v>76578</v>
      </c>
      <c r="D86" s="47">
        <v>81629</v>
      </c>
      <c r="E86" s="47">
        <v>86532</v>
      </c>
      <c r="F86" s="47">
        <v>80692</v>
      </c>
      <c r="G86" s="47">
        <v>80640</v>
      </c>
      <c r="H86" s="47">
        <v>79375</v>
      </c>
      <c r="I86" s="47">
        <v>82220</v>
      </c>
      <c r="J86" s="47">
        <v>78525</v>
      </c>
      <c r="K86" s="47">
        <v>81980</v>
      </c>
      <c r="L86" s="47">
        <v>55380</v>
      </c>
      <c r="M86" s="47">
        <v>70996</v>
      </c>
      <c r="N86" s="47">
        <v>64510</v>
      </c>
      <c r="O86" s="47">
        <v>78468</v>
      </c>
      <c r="P86" s="47">
        <v>83684</v>
      </c>
      <c r="Q86" s="85">
        <v>36.29</v>
      </c>
      <c r="R86" s="85">
        <v>36.01</v>
      </c>
      <c r="S86" s="85">
        <v>38.97</v>
      </c>
      <c r="T86" s="85">
        <v>33.340000000000003</v>
      </c>
      <c r="U86" s="85">
        <v>39.340000000000003</v>
      </c>
      <c r="V86" s="85">
        <v>37.44</v>
      </c>
      <c r="W86" s="85">
        <v>29.56</v>
      </c>
      <c r="X86" s="85">
        <v>40.729999999999997</v>
      </c>
      <c r="Y86" s="85">
        <v>33.520000000000003</v>
      </c>
      <c r="Z86" s="85">
        <v>30.32</v>
      </c>
      <c r="AA86" s="85">
        <v>32.78</v>
      </c>
      <c r="AB86" s="85">
        <v>35.56</v>
      </c>
      <c r="AC86" s="85">
        <v>39.28</v>
      </c>
      <c r="AD86" s="85">
        <v>33.67</v>
      </c>
      <c r="AE86" s="47">
        <v>2778788</v>
      </c>
      <c r="AF86" s="47">
        <v>2939309</v>
      </c>
      <c r="AG86" s="47">
        <v>3372485</v>
      </c>
      <c r="AH86" s="47">
        <v>2690491</v>
      </c>
      <c r="AI86" s="47">
        <v>3172095</v>
      </c>
      <c r="AJ86" s="47">
        <v>2971700</v>
      </c>
      <c r="AK86" s="47">
        <v>2430290</v>
      </c>
      <c r="AL86" s="47">
        <v>3198245</v>
      </c>
      <c r="AM86" s="47">
        <v>2747900</v>
      </c>
      <c r="AN86" s="47">
        <v>1679105</v>
      </c>
      <c r="AO86" s="47">
        <v>2327498</v>
      </c>
      <c r="AP86" s="47">
        <v>2293855</v>
      </c>
      <c r="AQ86" s="47">
        <v>3081914</v>
      </c>
      <c r="AR86" s="47">
        <v>2817906</v>
      </c>
      <c r="AS86" s="47"/>
      <c r="AT86" s="47"/>
      <c r="AU86" s="47"/>
      <c r="AV86" s="47"/>
      <c r="AW86" s="47"/>
      <c r="AX86" s="47"/>
      <c r="AY86" s="47"/>
      <c r="AZ86" s="47"/>
      <c r="BA86" s="47"/>
      <c r="BB86" s="47"/>
      <c r="BC86" s="47"/>
      <c r="BD86" s="47"/>
      <c r="BE86" s="47"/>
      <c r="BF86" s="47"/>
    </row>
    <row r="87" spans="1:58" hidden="1">
      <c r="A87" s="46" t="s">
        <v>278</v>
      </c>
      <c r="B87" s="46" t="s">
        <v>73</v>
      </c>
      <c r="C87" s="47">
        <v>0</v>
      </c>
      <c r="D87" s="47">
        <v>0</v>
      </c>
      <c r="E87" s="47">
        <v>0</v>
      </c>
      <c r="F87" s="47">
        <v>0</v>
      </c>
      <c r="G87" s="47">
        <v>0</v>
      </c>
      <c r="H87" s="47">
        <v>0</v>
      </c>
      <c r="I87" s="47">
        <v>0</v>
      </c>
      <c r="J87" s="47">
        <v>0</v>
      </c>
      <c r="K87" s="47">
        <v>0</v>
      </c>
      <c r="L87" s="47">
        <v>0</v>
      </c>
      <c r="M87" s="47">
        <v>0</v>
      </c>
      <c r="N87" s="47">
        <v>0</v>
      </c>
      <c r="O87" s="47">
        <v>0</v>
      </c>
      <c r="P87" s="47">
        <v>0</v>
      </c>
      <c r="Q87" s="85"/>
      <c r="R87" s="85"/>
      <c r="S87" s="85"/>
      <c r="T87" s="85"/>
      <c r="U87" s="85"/>
      <c r="V87" s="85"/>
      <c r="W87" s="85"/>
      <c r="X87" s="85"/>
      <c r="Y87" s="85"/>
      <c r="Z87" s="85"/>
      <c r="AA87" s="85"/>
      <c r="AB87" s="85"/>
      <c r="AC87" s="85"/>
      <c r="AD87" s="85"/>
      <c r="AE87" s="47">
        <v>0</v>
      </c>
      <c r="AF87" s="47">
        <v>0</v>
      </c>
      <c r="AG87" s="47">
        <v>0</v>
      </c>
      <c r="AH87" s="47">
        <v>0</v>
      </c>
      <c r="AI87" s="47">
        <v>0</v>
      </c>
      <c r="AJ87" s="47">
        <v>0</v>
      </c>
      <c r="AK87" s="47">
        <v>0</v>
      </c>
      <c r="AL87" s="47">
        <v>0</v>
      </c>
      <c r="AM87" s="47">
        <v>0</v>
      </c>
      <c r="AN87" s="47">
        <v>0</v>
      </c>
      <c r="AO87" s="47">
        <v>0</v>
      </c>
      <c r="AP87" s="47">
        <v>0</v>
      </c>
      <c r="AQ87" s="47">
        <v>0</v>
      </c>
      <c r="AR87" s="47">
        <v>0</v>
      </c>
      <c r="AS87" s="47"/>
      <c r="AT87" s="47"/>
      <c r="AU87" s="47"/>
      <c r="AV87" s="47"/>
      <c r="AW87" s="47"/>
      <c r="AX87" s="47"/>
      <c r="AY87" s="47"/>
      <c r="AZ87" s="47"/>
      <c r="BA87" s="47"/>
      <c r="BB87" s="47"/>
      <c r="BC87" s="47"/>
      <c r="BD87" s="47"/>
      <c r="BE87" s="47"/>
      <c r="BF87" s="47"/>
    </row>
    <row r="88" spans="1:58" hidden="1">
      <c r="A88" s="46" t="s">
        <v>278</v>
      </c>
      <c r="B88" s="46" t="s">
        <v>74</v>
      </c>
      <c r="C88" s="47">
        <v>24681</v>
      </c>
      <c r="D88" s="47">
        <v>16156</v>
      </c>
      <c r="E88" s="47">
        <v>13070</v>
      </c>
      <c r="F88" s="47">
        <v>13621</v>
      </c>
      <c r="G88" s="47">
        <v>13875</v>
      </c>
      <c r="H88" s="47">
        <v>14080</v>
      </c>
      <c r="I88" s="47">
        <v>10205</v>
      </c>
      <c r="J88" s="47">
        <v>7800</v>
      </c>
      <c r="K88" s="47">
        <v>3655</v>
      </c>
      <c r="L88" s="47">
        <v>4615</v>
      </c>
      <c r="M88" s="47">
        <v>6150</v>
      </c>
      <c r="N88" s="47">
        <v>3630</v>
      </c>
      <c r="O88" s="47">
        <v>4680</v>
      </c>
      <c r="P88" s="47">
        <v>5162</v>
      </c>
      <c r="Q88" s="85">
        <v>32.11</v>
      </c>
      <c r="R88" s="85">
        <v>45.58</v>
      </c>
      <c r="S88" s="85">
        <v>51.09</v>
      </c>
      <c r="T88" s="85">
        <v>37.299999999999997</v>
      </c>
      <c r="U88" s="85">
        <v>39.14</v>
      </c>
      <c r="V88" s="85">
        <v>25.02</v>
      </c>
      <c r="W88" s="85">
        <v>23.71</v>
      </c>
      <c r="X88" s="85">
        <v>30.75</v>
      </c>
      <c r="Y88" s="85">
        <v>27.52</v>
      </c>
      <c r="Z88" s="85">
        <v>31.11</v>
      </c>
      <c r="AA88" s="85">
        <v>21.35</v>
      </c>
      <c r="AB88" s="85">
        <v>29.3</v>
      </c>
      <c r="AC88" s="85">
        <v>32.51</v>
      </c>
      <c r="AD88" s="85">
        <v>35.68</v>
      </c>
      <c r="AE88" s="47">
        <v>792388</v>
      </c>
      <c r="AF88" s="47">
        <v>736470</v>
      </c>
      <c r="AG88" s="47">
        <v>667730</v>
      </c>
      <c r="AH88" s="47">
        <v>508119</v>
      </c>
      <c r="AI88" s="47">
        <v>543050</v>
      </c>
      <c r="AJ88" s="47">
        <v>352240</v>
      </c>
      <c r="AK88" s="47">
        <v>241930</v>
      </c>
      <c r="AL88" s="47">
        <v>239850</v>
      </c>
      <c r="AM88" s="47">
        <v>100580</v>
      </c>
      <c r="AN88" s="47">
        <v>143590</v>
      </c>
      <c r="AO88" s="47">
        <v>131300</v>
      </c>
      <c r="AP88" s="47">
        <v>106375</v>
      </c>
      <c r="AQ88" s="47">
        <v>152150</v>
      </c>
      <c r="AR88" s="47">
        <v>184202</v>
      </c>
      <c r="AS88" s="47"/>
      <c r="AT88" s="47"/>
      <c r="AU88" s="47"/>
      <c r="AV88" s="47"/>
      <c r="AW88" s="47"/>
      <c r="AX88" s="47"/>
      <c r="AY88" s="47"/>
      <c r="AZ88" s="47"/>
      <c r="BA88" s="47"/>
      <c r="BB88" s="47"/>
      <c r="BC88" s="47"/>
      <c r="BD88" s="47"/>
      <c r="BE88" s="47"/>
      <c r="BF88" s="47"/>
    </row>
    <row r="89" spans="1:58" hidden="1">
      <c r="A89" s="46" t="s">
        <v>278</v>
      </c>
      <c r="B89" s="46" t="s">
        <v>75</v>
      </c>
      <c r="C89" s="47">
        <v>24</v>
      </c>
      <c r="D89" s="47">
        <v>34</v>
      </c>
      <c r="E89" s="47">
        <v>48</v>
      </c>
      <c r="F89" s="47">
        <v>64</v>
      </c>
      <c r="G89" s="47">
        <v>75</v>
      </c>
      <c r="H89" s="47">
        <v>89</v>
      </c>
      <c r="I89" s="47">
        <v>94</v>
      </c>
      <c r="J89" s="47">
        <v>112</v>
      </c>
      <c r="K89" s="47">
        <v>126</v>
      </c>
      <c r="L89" s="47">
        <v>138</v>
      </c>
      <c r="M89" s="47">
        <v>149</v>
      </c>
      <c r="N89" s="47">
        <v>141</v>
      </c>
      <c r="O89" s="47">
        <v>99</v>
      </c>
      <c r="P89" s="47">
        <v>99</v>
      </c>
      <c r="Q89" s="85">
        <v>59</v>
      </c>
      <c r="R89" s="85">
        <v>56.09</v>
      </c>
      <c r="S89" s="85">
        <v>53.58</v>
      </c>
      <c r="T89" s="85">
        <v>47.28</v>
      </c>
      <c r="U89" s="85">
        <v>48.85</v>
      </c>
      <c r="V89" s="85">
        <v>55.31</v>
      </c>
      <c r="W89" s="85">
        <v>55.05</v>
      </c>
      <c r="X89" s="85">
        <v>62.96</v>
      </c>
      <c r="Y89" s="85">
        <v>57.04</v>
      </c>
      <c r="Z89" s="85">
        <v>50.93</v>
      </c>
      <c r="AA89" s="85">
        <v>47.26</v>
      </c>
      <c r="AB89" s="85">
        <v>64.67</v>
      </c>
      <c r="AC89" s="85">
        <v>46.72</v>
      </c>
      <c r="AD89" s="85">
        <v>46.7</v>
      </c>
      <c r="AE89" s="47">
        <v>1416</v>
      </c>
      <c r="AF89" s="47">
        <v>1907</v>
      </c>
      <c r="AG89" s="47">
        <v>2572</v>
      </c>
      <c r="AH89" s="47">
        <v>3026</v>
      </c>
      <c r="AI89" s="47">
        <v>3664</v>
      </c>
      <c r="AJ89" s="47">
        <v>4923</v>
      </c>
      <c r="AK89" s="47">
        <v>5175</v>
      </c>
      <c r="AL89" s="47">
        <v>7051</v>
      </c>
      <c r="AM89" s="47">
        <v>7187</v>
      </c>
      <c r="AN89" s="47">
        <v>7028</v>
      </c>
      <c r="AO89" s="47">
        <v>7041</v>
      </c>
      <c r="AP89" s="47">
        <v>9118</v>
      </c>
      <c r="AQ89" s="47">
        <v>4625</v>
      </c>
      <c r="AR89" s="47">
        <v>4623</v>
      </c>
      <c r="AS89" s="47"/>
      <c r="AT89" s="47"/>
      <c r="AU89" s="47"/>
      <c r="AV89" s="47"/>
      <c r="AW89" s="47"/>
      <c r="AX89" s="47"/>
      <c r="AY89" s="47"/>
      <c r="AZ89" s="47"/>
      <c r="BA89" s="47"/>
      <c r="BB89" s="47"/>
      <c r="BC89" s="47"/>
      <c r="BD89" s="47"/>
      <c r="BE89" s="47"/>
      <c r="BF89" s="47"/>
    </row>
    <row r="90" spans="1:58" hidden="1">
      <c r="A90" s="46" t="s">
        <v>278</v>
      </c>
      <c r="B90" s="46" t="s">
        <v>76</v>
      </c>
      <c r="C90" s="47">
        <v>67</v>
      </c>
      <c r="D90" s="47">
        <v>128</v>
      </c>
      <c r="E90" s="47">
        <v>187</v>
      </c>
      <c r="F90" s="47">
        <v>235</v>
      </c>
      <c r="G90" s="47">
        <v>302</v>
      </c>
      <c r="H90" s="47">
        <v>360</v>
      </c>
      <c r="I90" s="47">
        <v>421</v>
      </c>
      <c r="J90" s="47">
        <v>594</v>
      </c>
      <c r="K90" s="47">
        <v>671</v>
      </c>
      <c r="L90" s="47">
        <v>728</v>
      </c>
      <c r="M90" s="47">
        <v>769</v>
      </c>
      <c r="N90" s="47">
        <v>745</v>
      </c>
      <c r="O90" s="47">
        <v>619</v>
      </c>
      <c r="P90" s="47">
        <v>594</v>
      </c>
      <c r="Q90" s="85">
        <v>19.010000000000002</v>
      </c>
      <c r="R90" s="85">
        <v>16.399999999999999</v>
      </c>
      <c r="S90" s="85">
        <v>14.57</v>
      </c>
      <c r="T90" s="85">
        <v>13.05</v>
      </c>
      <c r="U90" s="85">
        <v>11.29</v>
      </c>
      <c r="V90" s="85">
        <v>11</v>
      </c>
      <c r="W90" s="85">
        <v>10.81</v>
      </c>
      <c r="X90" s="85">
        <v>9.17</v>
      </c>
      <c r="Y90" s="85">
        <v>9.74</v>
      </c>
      <c r="Z90" s="85">
        <v>8.9600000000000009</v>
      </c>
      <c r="AA90" s="85">
        <v>6.77</v>
      </c>
      <c r="AB90" s="85">
        <v>5.59</v>
      </c>
      <c r="AC90" s="85">
        <v>8.3699999999999992</v>
      </c>
      <c r="AD90" s="85">
        <v>9.83</v>
      </c>
      <c r="AE90" s="47">
        <v>1274</v>
      </c>
      <c r="AF90" s="47">
        <v>2099</v>
      </c>
      <c r="AG90" s="47">
        <v>2725</v>
      </c>
      <c r="AH90" s="47">
        <v>3067</v>
      </c>
      <c r="AI90" s="47">
        <v>3410</v>
      </c>
      <c r="AJ90" s="47">
        <v>3959</v>
      </c>
      <c r="AK90" s="47">
        <v>4552</v>
      </c>
      <c r="AL90" s="47">
        <v>5445</v>
      </c>
      <c r="AM90" s="47">
        <v>6533</v>
      </c>
      <c r="AN90" s="47">
        <v>6525</v>
      </c>
      <c r="AO90" s="47">
        <v>5208</v>
      </c>
      <c r="AP90" s="47">
        <v>4164</v>
      </c>
      <c r="AQ90" s="47">
        <v>5179</v>
      </c>
      <c r="AR90" s="47">
        <v>5837</v>
      </c>
      <c r="AS90" s="47"/>
      <c r="AT90" s="47"/>
      <c r="AU90" s="47"/>
      <c r="AV90" s="47"/>
      <c r="AW90" s="47"/>
      <c r="AX90" s="47"/>
      <c r="AY90" s="47"/>
      <c r="AZ90" s="47"/>
      <c r="BA90" s="47"/>
      <c r="BB90" s="47"/>
      <c r="BC90" s="47"/>
      <c r="BD90" s="47"/>
      <c r="BE90" s="47"/>
      <c r="BF90" s="47"/>
    </row>
    <row r="91" spans="1:58" hidden="1">
      <c r="A91" s="46" t="s">
        <v>278</v>
      </c>
      <c r="B91" s="46" t="s">
        <v>77</v>
      </c>
      <c r="C91" s="47">
        <v>16555</v>
      </c>
      <c r="D91" s="47">
        <v>12264</v>
      </c>
      <c r="E91" s="47">
        <v>9259</v>
      </c>
      <c r="F91" s="47">
        <v>6827</v>
      </c>
      <c r="G91" s="47">
        <v>6096</v>
      </c>
      <c r="H91" s="47">
        <v>7242</v>
      </c>
      <c r="I91" s="47">
        <v>9036</v>
      </c>
      <c r="J91" s="47">
        <v>8380</v>
      </c>
      <c r="K91" s="47">
        <v>7740</v>
      </c>
      <c r="L91" s="47">
        <v>8813</v>
      </c>
      <c r="M91" s="47">
        <v>12305</v>
      </c>
      <c r="N91" s="47">
        <v>13265</v>
      </c>
      <c r="O91" s="47">
        <v>9430</v>
      </c>
      <c r="P91" s="47">
        <v>12068</v>
      </c>
      <c r="Q91" s="85">
        <v>50</v>
      </c>
      <c r="R91" s="85">
        <v>38.159999999999997</v>
      </c>
      <c r="S91" s="85">
        <v>43.4</v>
      </c>
      <c r="T91" s="85">
        <v>46.55</v>
      </c>
      <c r="U91" s="85">
        <v>42.29</v>
      </c>
      <c r="V91" s="85">
        <v>43.25</v>
      </c>
      <c r="W91" s="85">
        <v>22</v>
      </c>
      <c r="X91" s="85">
        <v>44.05</v>
      </c>
      <c r="Y91" s="85">
        <v>38.08</v>
      </c>
      <c r="Z91" s="85">
        <v>50.5</v>
      </c>
      <c r="AA91" s="85">
        <v>35.5</v>
      </c>
      <c r="AB91" s="85">
        <v>31.84</v>
      </c>
      <c r="AC91" s="85">
        <v>41.16</v>
      </c>
      <c r="AD91" s="85">
        <v>36.479999999999997</v>
      </c>
      <c r="AE91" s="47">
        <v>827748</v>
      </c>
      <c r="AF91" s="47">
        <v>467978</v>
      </c>
      <c r="AG91" s="47">
        <v>401883</v>
      </c>
      <c r="AH91" s="47">
        <v>317765</v>
      </c>
      <c r="AI91" s="47">
        <v>257813</v>
      </c>
      <c r="AJ91" s="47">
        <v>313196</v>
      </c>
      <c r="AK91" s="47">
        <v>198750</v>
      </c>
      <c r="AL91" s="47">
        <v>369146</v>
      </c>
      <c r="AM91" s="47">
        <v>294729</v>
      </c>
      <c r="AN91" s="47">
        <v>445086</v>
      </c>
      <c r="AO91" s="47">
        <v>436775</v>
      </c>
      <c r="AP91" s="47">
        <v>422415</v>
      </c>
      <c r="AQ91" s="47">
        <v>388125</v>
      </c>
      <c r="AR91" s="47">
        <v>440189</v>
      </c>
      <c r="AS91" s="47"/>
      <c r="AT91" s="47"/>
      <c r="AU91" s="47"/>
      <c r="AV91" s="47"/>
      <c r="AW91" s="47"/>
      <c r="AX91" s="47"/>
      <c r="AY91" s="47"/>
      <c r="AZ91" s="47"/>
      <c r="BA91" s="47"/>
      <c r="BB91" s="47"/>
      <c r="BC91" s="47"/>
      <c r="BD91" s="47"/>
      <c r="BE91" s="47"/>
      <c r="BF91" s="47"/>
    </row>
    <row r="92" spans="1:58" hidden="1">
      <c r="A92" s="46" t="s">
        <v>278</v>
      </c>
      <c r="B92" s="46" t="s">
        <v>78</v>
      </c>
      <c r="C92" s="47">
        <v>795</v>
      </c>
      <c r="D92" s="47">
        <v>593</v>
      </c>
      <c r="E92" s="47">
        <v>451</v>
      </c>
      <c r="F92" s="47">
        <v>343</v>
      </c>
      <c r="G92" s="47">
        <v>304</v>
      </c>
      <c r="H92" s="47">
        <v>363</v>
      </c>
      <c r="I92" s="47">
        <v>434</v>
      </c>
      <c r="J92" s="47">
        <v>395</v>
      </c>
      <c r="K92" s="47">
        <v>355</v>
      </c>
      <c r="L92" s="47">
        <v>432</v>
      </c>
      <c r="M92" s="47">
        <v>600</v>
      </c>
      <c r="N92" s="47">
        <v>985</v>
      </c>
      <c r="O92" s="47">
        <v>965</v>
      </c>
      <c r="P92" s="47">
        <v>1041</v>
      </c>
      <c r="Q92" s="85">
        <v>50</v>
      </c>
      <c r="R92" s="85">
        <v>38</v>
      </c>
      <c r="S92" s="85">
        <v>43.46</v>
      </c>
      <c r="T92" s="85">
        <v>46.55</v>
      </c>
      <c r="U92" s="85">
        <v>42.46</v>
      </c>
      <c r="V92" s="85">
        <v>42.89</v>
      </c>
      <c r="W92" s="85">
        <v>21.61</v>
      </c>
      <c r="X92" s="85">
        <v>43.68</v>
      </c>
      <c r="Y92" s="85">
        <v>38.520000000000003</v>
      </c>
      <c r="Z92" s="85">
        <v>50.4</v>
      </c>
      <c r="AA92" s="85">
        <v>35</v>
      </c>
      <c r="AB92" s="85">
        <v>31.95</v>
      </c>
      <c r="AC92" s="85">
        <v>41.01</v>
      </c>
      <c r="AD92" s="85">
        <v>35.92</v>
      </c>
      <c r="AE92" s="47">
        <v>39752</v>
      </c>
      <c r="AF92" s="47">
        <v>22533</v>
      </c>
      <c r="AG92" s="47">
        <v>19602</v>
      </c>
      <c r="AH92" s="47">
        <v>15965</v>
      </c>
      <c r="AI92" s="47">
        <v>12907</v>
      </c>
      <c r="AJ92" s="47">
        <v>15569</v>
      </c>
      <c r="AK92" s="47">
        <v>9380</v>
      </c>
      <c r="AL92" s="47">
        <v>17254</v>
      </c>
      <c r="AM92" s="47">
        <v>13676</v>
      </c>
      <c r="AN92" s="47">
        <v>21774</v>
      </c>
      <c r="AO92" s="47">
        <v>21000</v>
      </c>
      <c r="AP92" s="47">
        <v>31470</v>
      </c>
      <c r="AQ92" s="47">
        <v>39575</v>
      </c>
      <c r="AR92" s="47">
        <v>37389</v>
      </c>
      <c r="AS92" s="47"/>
      <c r="AT92" s="47"/>
      <c r="AU92" s="47"/>
      <c r="AV92" s="47"/>
      <c r="AW92" s="47"/>
      <c r="AX92" s="47"/>
      <c r="AY92" s="47"/>
      <c r="AZ92" s="47"/>
      <c r="BA92" s="47"/>
      <c r="BB92" s="47"/>
      <c r="BC92" s="47"/>
      <c r="BD92" s="47"/>
      <c r="BE92" s="47"/>
      <c r="BF92" s="47"/>
    </row>
    <row r="93" spans="1:58" hidden="1">
      <c r="A93" s="46" t="s">
        <v>278</v>
      </c>
      <c r="B93" s="46" t="s">
        <v>79</v>
      </c>
      <c r="C93" s="47">
        <v>1</v>
      </c>
      <c r="D93" s="47">
        <v>19</v>
      </c>
      <c r="E93" s="47">
        <v>37</v>
      </c>
      <c r="F93" s="47">
        <v>56</v>
      </c>
      <c r="G93" s="47">
        <v>74</v>
      </c>
      <c r="H93" s="47">
        <v>92</v>
      </c>
      <c r="I93" s="47">
        <v>109</v>
      </c>
      <c r="J93" s="47">
        <v>128</v>
      </c>
      <c r="K93" s="47">
        <v>148</v>
      </c>
      <c r="L93" s="47">
        <v>166</v>
      </c>
      <c r="M93" s="47">
        <v>183</v>
      </c>
      <c r="N93" s="47">
        <v>147</v>
      </c>
      <c r="O93" s="47">
        <v>138</v>
      </c>
      <c r="P93" s="47">
        <v>209</v>
      </c>
      <c r="Q93" s="85">
        <v>27</v>
      </c>
      <c r="R93" s="85">
        <v>27</v>
      </c>
      <c r="S93" s="85">
        <v>27</v>
      </c>
      <c r="T93" s="85">
        <v>32</v>
      </c>
      <c r="U93" s="85">
        <v>31</v>
      </c>
      <c r="V93" s="85">
        <v>32</v>
      </c>
      <c r="W93" s="85">
        <v>41</v>
      </c>
      <c r="X93" s="85">
        <v>34</v>
      </c>
      <c r="Y93" s="85">
        <v>28</v>
      </c>
      <c r="Z93" s="85">
        <v>17</v>
      </c>
      <c r="AA93" s="85">
        <v>18.829999999999998</v>
      </c>
      <c r="AB93" s="85">
        <v>15.24</v>
      </c>
      <c r="AC93" s="85">
        <v>14.25</v>
      </c>
      <c r="AD93" s="85">
        <v>18.72</v>
      </c>
      <c r="AE93" s="47">
        <v>27</v>
      </c>
      <c r="AF93" s="47">
        <v>513</v>
      </c>
      <c r="AG93" s="47">
        <v>999</v>
      </c>
      <c r="AH93" s="47">
        <v>1792</v>
      </c>
      <c r="AI93" s="47">
        <v>2294</v>
      </c>
      <c r="AJ93" s="47">
        <v>2944</v>
      </c>
      <c r="AK93" s="47">
        <v>4469</v>
      </c>
      <c r="AL93" s="47">
        <v>4352</v>
      </c>
      <c r="AM93" s="47">
        <v>4144</v>
      </c>
      <c r="AN93" s="47">
        <v>2822</v>
      </c>
      <c r="AO93" s="47">
        <v>3446</v>
      </c>
      <c r="AP93" s="47">
        <v>2241</v>
      </c>
      <c r="AQ93" s="47">
        <v>1967</v>
      </c>
      <c r="AR93" s="47">
        <v>3913</v>
      </c>
      <c r="AS93" s="47"/>
      <c r="AT93" s="47"/>
      <c r="AU93" s="47"/>
      <c r="AV93" s="47"/>
      <c r="AW93" s="47"/>
      <c r="AX93" s="47"/>
      <c r="AY93" s="47"/>
      <c r="AZ93" s="47"/>
      <c r="BA93" s="47"/>
      <c r="BB93" s="47"/>
      <c r="BC93" s="47"/>
      <c r="BD93" s="47"/>
      <c r="BE93" s="47"/>
      <c r="BF93" s="47"/>
    </row>
    <row r="94" spans="1:58" hidden="1">
      <c r="A94" s="46" t="s">
        <v>278</v>
      </c>
      <c r="B94" s="46" t="s">
        <v>80</v>
      </c>
      <c r="C94" s="47">
        <v>77</v>
      </c>
      <c r="D94" s="47">
        <v>9</v>
      </c>
      <c r="E94" s="47">
        <v>7</v>
      </c>
      <c r="F94" s="47">
        <v>10</v>
      </c>
      <c r="G94" s="47">
        <v>20</v>
      </c>
      <c r="H94" s="47">
        <v>20</v>
      </c>
      <c r="I94" s="47">
        <v>20</v>
      </c>
      <c r="J94" s="47">
        <v>25</v>
      </c>
      <c r="K94" s="47">
        <v>0</v>
      </c>
      <c r="L94" s="47">
        <v>5</v>
      </c>
      <c r="M94" s="47">
        <v>20</v>
      </c>
      <c r="N94" s="47">
        <v>30</v>
      </c>
      <c r="O94" s="47">
        <v>30</v>
      </c>
      <c r="P94" s="47">
        <v>18</v>
      </c>
      <c r="Q94" s="85">
        <v>25</v>
      </c>
      <c r="R94" s="85">
        <v>25</v>
      </c>
      <c r="S94" s="85">
        <v>25</v>
      </c>
      <c r="T94" s="85">
        <v>25</v>
      </c>
      <c r="U94" s="85">
        <v>25</v>
      </c>
      <c r="V94" s="85">
        <v>25</v>
      </c>
      <c r="W94" s="85">
        <v>25</v>
      </c>
      <c r="X94" s="85">
        <v>25</v>
      </c>
      <c r="Y94" s="85"/>
      <c r="Z94" s="85">
        <v>25</v>
      </c>
      <c r="AA94" s="85">
        <v>25</v>
      </c>
      <c r="AB94" s="85">
        <v>27</v>
      </c>
      <c r="AC94" s="85">
        <v>25</v>
      </c>
      <c r="AD94" s="85">
        <v>23.72</v>
      </c>
      <c r="AE94" s="47">
        <v>1925</v>
      </c>
      <c r="AF94" s="47">
        <v>225</v>
      </c>
      <c r="AG94" s="47">
        <v>175</v>
      </c>
      <c r="AH94" s="47">
        <v>250</v>
      </c>
      <c r="AI94" s="47">
        <v>500</v>
      </c>
      <c r="AJ94" s="47">
        <v>500</v>
      </c>
      <c r="AK94" s="47">
        <v>500</v>
      </c>
      <c r="AL94" s="47">
        <v>625</v>
      </c>
      <c r="AM94" s="47">
        <v>0</v>
      </c>
      <c r="AN94" s="47">
        <v>125</v>
      </c>
      <c r="AO94" s="47">
        <v>500</v>
      </c>
      <c r="AP94" s="47">
        <v>810</v>
      </c>
      <c r="AQ94" s="47">
        <v>750</v>
      </c>
      <c r="AR94" s="47">
        <v>427</v>
      </c>
      <c r="AS94" s="47"/>
      <c r="AT94" s="47"/>
      <c r="AU94" s="47"/>
      <c r="AV94" s="47"/>
      <c r="AW94" s="47"/>
      <c r="AX94" s="47"/>
      <c r="AY94" s="47"/>
      <c r="AZ94" s="47"/>
      <c r="BA94" s="47"/>
      <c r="BB94" s="47"/>
      <c r="BC94" s="47"/>
      <c r="BD94" s="47"/>
      <c r="BE94" s="47"/>
      <c r="BF94" s="47"/>
    </row>
    <row r="95" spans="1:58" hidden="1">
      <c r="A95" s="46" t="s">
        <v>278</v>
      </c>
      <c r="B95" s="46" t="s">
        <v>81</v>
      </c>
      <c r="C95" s="47">
        <v>0</v>
      </c>
      <c r="D95" s="47">
        <v>0</v>
      </c>
      <c r="E95" s="47">
        <v>0</v>
      </c>
      <c r="F95" s="47">
        <v>0</v>
      </c>
      <c r="G95" s="47">
        <v>0</v>
      </c>
      <c r="H95" s="47">
        <v>0</v>
      </c>
      <c r="I95" s="47">
        <v>0</v>
      </c>
      <c r="J95" s="47">
        <v>0</v>
      </c>
      <c r="K95" s="47">
        <v>0</v>
      </c>
      <c r="L95" s="47">
        <v>0</v>
      </c>
      <c r="M95" s="47">
        <v>5</v>
      </c>
      <c r="N95" s="47">
        <v>5</v>
      </c>
      <c r="O95" s="47">
        <v>5</v>
      </c>
      <c r="P95" s="47">
        <v>3</v>
      </c>
      <c r="Q95" s="85"/>
      <c r="R95" s="85"/>
      <c r="S95" s="85"/>
      <c r="T95" s="85"/>
      <c r="U95" s="85"/>
      <c r="V95" s="85"/>
      <c r="W95" s="85"/>
      <c r="X95" s="85"/>
      <c r="Y95" s="85"/>
      <c r="Z95" s="85"/>
      <c r="AA95" s="85"/>
      <c r="AB95" s="85"/>
      <c r="AC95" s="85"/>
      <c r="AD95" s="85"/>
      <c r="AE95" s="47">
        <v>0</v>
      </c>
      <c r="AF95" s="47">
        <v>0</v>
      </c>
      <c r="AG95" s="47">
        <v>0</v>
      </c>
      <c r="AH95" s="47">
        <v>0</v>
      </c>
      <c r="AI95" s="47">
        <v>0</v>
      </c>
      <c r="AJ95" s="47">
        <v>0</v>
      </c>
      <c r="AK95" s="47">
        <v>0</v>
      </c>
      <c r="AL95" s="47">
        <v>0</v>
      </c>
      <c r="AM95" s="47">
        <v>0</v>
      </c>
      <c r="AN95" s="47">
        <v>0</v>
      </c>
      <c r="AO95" s="47">
        <v>0</v>
      </c>
      <c r="AP95" s="47">
        <v>4</v>
      </c>
      <c r="AQ95" s="47">
        <v>4</v>
      </c>
      <c r="AR95" s="47">
        <v>48</v>
      </c>
      <c r="AS95" s="47"/>
      <c r="AT95" s="47"/>
      <c r="AU95" s="47"/>
      <c r="AV95" s="47"/>
      <c r="AW95" s="47"/>
      <c r="AX95" s="47"/>
      <c r="AY95" s="47"/>
      <c r="AZ95" s="47"/>
      <c r="BA95" s="47"/>
      <c r="BB95" s="47"/>
      <c r="BC95" s="47"/>
      <c r="BD95" s="47"/>
      <c r="BE95" s="47"/>
      <c r="BF95" s="47"/>
    </row>
    <row r="96" spans="1:58" hidden="1">
      <c r="A96" s="46" t="s">
        <v>278</v>
      </c>
      <c r="B96" s="46" t="s">
        <v>82</v>
      </c>
      <c r="C96" s="47">
        <v>42200</v>
      </c>
      <c r="D96" s="47">
        <v>29203</v>
      </c>
      <c r="E96" s="47">
        <v>23059</v>
      </c>
      <c r="F96" s="47">
        <v>21156</v>
      </c>
      <c r="G96" s="47">
        <v>20746</v>
      </c>
      <c r="H96" s="47">
        <v>22246</v>
      </c>
      <c r="I96" s="47">
        <v>20319</v>
      </c>
      <c r="J96" s="47">
        <v>17434</v>
      </c>
      <c r="K96" s="47">
        <v>12695</v>
      </c>
      <c r="L96" s="47">
        <v>14897</v>
      </c>
      <c r="M96" s="47">
        <v>20181</v>
      </c>
      <c r="N96" s="47">
        <v>18948</v>
      </c>
      <c r="O96" s="47">
        <v>15966</v>
      </c>
      <c r="P96" s="47">
        <v>19194</v>
      </c>
      <c r="Q96" s="85">
        <v>39.44</v>
      </c>
      <c r="R96" s="85">
        <v>42.18</v>
      </c>
      <c r="S96" s="85">
        <v>47.52</v>
      </c>
      <c r="T96" s="85">
        <v>40.18</v>
      </c>
      <c r="U96" s="85">
        <v>39.700000000000003</v>
      </c>
      <c r="V96" s="85">
        <v>31.17</v>
      </c>
      <c r="W96" s="85">
        <v>22.87</v>
      </c>
      <c r="X96" s="85">
        <v>36.92</v>
      </c>
      <c r="Y96" s="85">
        <v>33.619999999999997</v>
      </c>
      <c r="Z96" s="85">
        <v>42.09</v>
      </c>
      <c r="AA96" s="85">
        <v>29.99</v>
      </c>
      <c r="AB96" s="85">
        <v>30.43</v>
      </c>
      <c r="AC96" s="85">
        <v>37.1</v>
      </c>
      <c r="AD96" s="85">
        <v>35.25</v>
      </c>
      <c r="AE96" s="47">
        <v>1664530</v>
      </c>
      <c r="AF96" s="47">
        <v>1231725</v>
      </c>
      <c r="AG96" s="47">
        <v>1095686</v>
      </c>
      <c r="AH96" s="47">
        <v>849984</v>
      </c>
      <c r="AI96" s="47">
        <v>823638</v>
      </c>
      <c r="AJ96" s="47">
        <v>693331</v>
      </c>
      <c r="AK96" s="47">
        <v>464756</v>
      </c>
      <c r="AL96" s="47">
        <v>643723</v>
      </c>
      <c r="AM96" s="47">
        <v>426849</v>
      </c>
      <c r="AN96" s="47">
        <v>626950</v>
      </c>
      <c r="AO96" s="47">
        <v>605270</v>
      </c>
      <c r="AP96" s="47">
        <v>576597</v>
      </c>
      <c r="AQ96" s="47">
        <v>592375</v>
      </c>
      <c r="AR96" s="47">
        <v>676628</v>
      </c>
      <c r="AS96" s="47"/>
      <c r="AT96" s="47"/>
      <c r="AU96" s="47"/>
      <c r="AV96" s="47"/>
      <c r="AW96" s="47"/>
      <c r="AX96" s="47"/>
      <c r="AY96" s="47"/>
      <c r="AZ96" s="47"/>
      <c r="BA96" s="47"/>
      <c r="BB96" s="47"/>
      <c r="BC96" s="47"/>
      <c r="BD96" s="47"/>
      <c r="BE96" s="47"/>
      <c r="BF96" s="47"/>
    </row>
    <row r="97" spans="1:58" hidden="1">
      <c r="A97" s="46" t="s">
        <v>279</v>
      </c>
      <c r="B97" s="46" t="s">
        <v>251</v>
      </c>
      <c r="C97" s="47">
        <v>665536</v>
      </c>
      <c r="D97" s="47">
        <v>679900</v>
      </c>
      <c r="E97" s="47">
        <v>675000</v>
      </c>
      <c r="F97" s="47">
        <v>657000</v>
      </c>
      <c r="G97" s="47">
        <v>676415</v>
      </c>
      <c r="H97" s="47">
        <v>694284</v>
      </c>
      <c r="I97" s="47">
        <v>683130</v>
      </c>
      <c r="J97" s="47">
        <v>663465</v>
      </c>
      <c r="K97" s="47">
        <v>644255</v>
      </c>
      <c r="L97" s="47">
        <v>665215</v>
      </c>
      <c r="M97" s="47">
        <v>551725</v>
      </c>
      <c r="N97" s="47">
        <v>640100</v>
      </c>
      <c r="O97" s="47">
        <v>606310</v>
      </c>
      <c r="P97" s="47">
        <v>603770</v>
      </c>
      <c r="Q97" s="85">
        <v>68.42</v>
      </c>
      <c r="R97" s="85">
        <v>62.61</v>
      </c>
      <c r="S97" s="85">
        <v>73.569999999999993</v>
      </c>
      <c r="T97" s="85">
        <v>71.03</v>
      </c>
      <c r="U97" s="85">
        <v>74.599999999999994</v>
      </c>
      <c r="V97" s="85">
        <v>76.34</v>
      </c>
      <c r="W97" s="85">
        <v>44.51</v>
      </c>
      <c r="X97" s="85">
        <v>71.69</v>
      </c>
      <c r="Y97" s="85">
        <v>68.58</v>
      </c>
      <c r="Z97" s="85">
        <v>75.89</v>
      </c>
      <c r="AA97" s="85">
        <v>59.42</v>
      </c>
      <c r="AB97" s="85">
        <v>71.94</v>
      </c>
      <c r="AC97" s="85">
        <v>68.010000000000005</v>
      </c>
      <c r="AD97" s="85">
        <v>71.86</v>
      </c>
      <c r="AE97" s="47">
        <v>45538488</v>
      </c>
      <c r="AF97" s="47">
        <v>42567900</v>
      </c>
      <c r="AG97" s="47">
        <v>49656500</v>
      </c>
      <c r="AH97" s="47">
        <v>46666600</v>
      </c>
      <c r="AI97" s="47">
        <v>50458615</v>
      </c>
      <c r="AJ97" s="47">
        <v>53001614</v>
      </c>
      <c r="AK97" s="47">
        <v>30403480</v>
      </c>
      <c r="AL97" s="47">
        <v>47566963</v>
      </c>
      <c r="AM97" s="47">
        <v>44186045</v>
      </c>
      <c r="AN97" s="47">
        <v>50486291</v>
      </c>
      <c r="AO97" s="47">
        <v>32785265</v>
      </c>
      <c r="AP97" s="47">
        <v>46050525</v>
      </c>
      <c r="AQ97" s="47">
        <v>41235295</v>
      </c>
      <c r="AR97" s="47">
        <v>43387560</v>
      </c>
      <c r="AS97" s="47"/>
      <c r="AT97" s="47"/>
      <c r="AU97" s="47"/>
      <c r="AV97" s="47"/>
      <c r="AW97" s="47"/>
      <c r="AX97" s="47"/>
      <c r="AY97" s="47"/>
      <c r="AZ97" s="47"/>
      <c r="BA97" s="47"/>
      <c r="BB97" s="47"/>
      <c r="BC97" s="47"/>
      <c r="BD97" s="47"/>
      <c r="BE97" s="47"/>
      <c r="BF97" s="47"/>
    </row>
    <row r="98" spans="1:58" hidden="1">
      <c r="A98" s="46" t="s">
        <v>279</v>
      </c>
      <c r="B98" s="46" t="s">
        <v>252</v>
      </c>
      <c r="C98" s="47">
        <v>1814</v>
      </c>
      <c r="D98" s="47">
        <v>1000</v>
      </c>
      <c r="E98" s="47">
        <v>2500</v>
      </c>
      <c r="F98" s="47">
        <v>3300</v>
      </c>
      <c r="G98" s="47">
        <v>2240</v>
      </c>
      <c r="H98" s="47">
        <v>1191</v>
      </c>
      <c r="I98" s="47">
        <v>675</v>
      </c>
      <c r="J98" s="47">
        <v>930</v>
      </c>
      <c r="K98" s="47">
        <v>745</v>
      </c>
      <c r="L98" s="47">
        <v>1060</v>
      </c>
      <c r="M98" s="47">
        <v>2780</v>
      </c>
      <c r="N98" s="47">
        <v>1140</v>
      </c>
      <c r="O98" s="47">
        <v>1200</v>
      </c>
      <c r="P98" s="47">
        <v>1060</v>
      </c>
      <c r="Q98" s="85">
        <v>62.69</v>
      </c>
      <c r="R98" s="85">
        <v>51.9</v>
      </c>
      <c r="S98" s="85">
        <v>66</v>
      </c>
      <c r="T98" s="85">
        <v>65.94</v>
      </c>
      <c r="U98" s="85">
        <v>65.760000000000005</v>
      </c>
      <c r="V98" s="85">
        <v>67.709999999999994</v>
      </c>
      <c r="W98" s="85">
        <v>40.24</v>
      </c>
      <c r="X98" s="85">
        <v>62.56</v>
      </c>
      <c r="Y98" s="85">
        <v>60.17</v>
      </c>
      <c r="Z98" s="85">
        <v>69.680000000000007</v>
      </c>
      <c r="AA98" s="85">
        <v>54.56</v>
      </c>
      <c r="AB98" s="85">
        <v>64.5</v>
      </c>
      <c r="AC98" s="85">
        <v>59.16</v>
      </c>
      <c r="AD98" s="85">
        <v>63.45</v>
      </c>
      <c r="AE98" s="47">
        <v>113728</v>
      </c>
      <c r="AF98" s="47">
        <v>51900</v>
      </c>
      <c r="AG98" s="47">
        <v>165000</v>
      </c>
      <c r="AH98" s="47">
        <v>217600</v>
      </c>
      <c r="AI98" s="47">
        <v>147300</v>
      </c>
      <c r="AJ98" s="47">
        <v>80637</v>
      </c>
      <c r="AK98" s="47">
        <v>27160</v>
      </c>
      <c r="AL98" s="47">
        <v>58180</v>
      </c>
      <c r="AM98" s="47">
        <v>44830</v>
      </c>
      <c r="AN98" s="47">
        <v>73860</v>
      </c>
      <c r="AO98" s="47">
        <v>151670</v>
      </c>
      <c r="AP98" s="47">
        <v>73535</v>
      </c>
      <c r="AQ98" s="47">
        <v>70995</v>
      </c>
      <c r="AR98" s="47">
        <v>67255</v>
      </c>
      <c r="AS98" s="47"/>
      <c r="AT98" s="47"/>
      <c r="AU98" s="47"/>
      <c r="AV98" s="47"/>
      <c r="AW98" s="47"/>
      <c r="AX98" s="47"/>
      <c r="AY98" s="47"/>
      <c r="AZ98" s="47"/>
      <c r="BA98" s="47"/>
      <c r="BB98" s="47"/>
      <c r="BC98" s="47"/>
      <c r="BD98" s="47"/>
      <c r="BE98" s="47"/>
      <c r="BF98" s="47"/>
    </row>
    <row r="99" spans="1:58" hidden="1">
      <c r="A99" s="46" t="s">
        <v>279</v>
      </c>
      <c r="B99" s="46" t="s">
        <v>253</v>
      </c>
      <c r="C99" s="47">
        <v>667350</v>
      </c>
      <c r="D99" s="47">
        <v>680900</v>
      </c>
      <c r="E99" s="47">
        <v>677500</v>
      </c>
      <c r="F99" s="47">
        <v>660300</v>
      </c>
      <c r="G99" s="47">
        <v>678655</v>
      </c>
      <c r="H99" s="47">
        <v>695475</v>
      </c>
      <c r="I99" s="47">
        <v>683805</v>
      </c>
      <c r="J99" s="47">
        <v>664395</v>
      </c>
      <c r="K99" s="47">
        <v>645000</v>
      </c>
      <c r="L99" s="47">
        <v>666275</v>
      </c>
      <c r="M99" s="47">
        <v>554505</v>
      </c>
      <c r="N99" s="47">
        <v>641240</v>
      </c>
      <c r="O99" s="47">
        <v>607510</v>
      </c>
      <c r="P99" s="47">
        <v>604830</v>
      </c>
      <c r="Q99" s="85">
        <v>68.41</v>
      </c>
      <c r="R99" s="85">
        <v>62.59</v>
      </c>
      <c r="S99" s="85">
        <v>73.540000000000006</v>
      </c>
      <c r="T99" s="85">
        <v>71</v>
      </c>
      <c r="U99" s="85">
        <v>74.569999999999993</v>
      </c>
      <c r="V99" s="85">
        <v>76.33</v>
      </c>
      <c r="W99" s="85">
        <v>44.5</v>
      </c>
      <c r="X99" s="85">
        <v>71.680000000000007</v>
      </c>
      <c r="Y99" s="85">
        <v>68.58</v>
      </c>
      <c r="Z99" s="85">
        <v>75.88</v>
      </c>
      <c r="AA99" s="85">
        <v>59.4</v>
      </c>
      <c r="AB99" s="85">
        <v>71.930000000000007</v>
      </c>
      <c r="AC99" s="85">
        <v>67.989999999999995</v>
      </c>
      <c r="AD99" s="85">
        <v>71.849999999999994</v>
      </c>
      <c r="AE99" s="47">
        <v>45652216</v>
      </c>
      <c r="AF99" s="47">
        <v>42619800</v>
      </c>
      <c r="AG99" s="47">
        <v>49821500</v>
      </c>
      <c r="AH99" s="47">
        <v>46884200</v>
      </c>
      <c r="AI99" s="47">
        <v>50605915</v>
      </c>
      <c r="AJ99" s="47">
        <v>53082251</v>
      </c>
      <c r="AK99" s="47">
        <v>30430640</v>
      </c>
      <c r="AL99" s="47">
        <v>47625143</v>
      </c>
      <c r="AM99" s="47">
        <v>44230875</v>
      </c>
      <c r="AN99" s="47">
        <v>50560151</v>
      </c>
      <c r="AO99" s="47">
        <v>32936935</v>
      </c>
      <c r="AP99" s="47">
        <v>46124060</v>
      </c>
      <c r="AQ99" s="47">
        <v>41306290</v>
      </c>
      <c r="AR99" s="47">
        <v>43454815</v>
      </c>
      <c r="AS99" s="47"/>
      <c r="AT99" s="47"/>
      <c r="AU99" s="47"/>
      <c r="AV99" s="47"/>
      <c r="AW99" s="47"/>
      <c r="AX99" s="47"/>
      <c r="AY99" s="47"/>
      <c r="AZ99" s="47"/>
      <c r="BA99" s="47"/>
      <c r="BB99" s="47"/>
      <c r="BC99" s="47"/>
      <c r="BD99" s="47"/>
      <c r="BE99" s="47"/>
      <c r="BF99" s="47"/>
    </row>
    <row r="100" spans="1:58" hidden="1">
      <c r="A100" s="46" t="s">
        <v>279</v>
      </c>
      <c r="B100" s="46" t="s">
        <v>254</v>
      </c>
      <c r="C100" s="47">
        <v>122902</v>
      </c>
      <c r="D100" s="47">
        <v>99300</v>
      </c>
      <c r="E100" s="47">
        <v>92500</v>
      </c>
      <c r="F100" s="47">
        <v>67200</v>
      </c>
      <c r="G100" s="47">
        <v>61400</v>
      </c>
      <c r="H100" s="47">
        <v>66439</v>
      </c>
      <c r="I100" s="47">
        <v>90975</v>
      </c>
      <c r="J100" s="47">
        <v>82410</v>
      </c>
      <c r="K100" s="47">
        <v>79215</v>
      </c>
      <c r="L100" s="47">
        <v>64520</v>
      </c>
      <c r="M100" s="47">
        <v>66110</v>
      </c>
      <c r="N100" s="47">
        <v>82425</v>
      </c>
      <c r="O100" s="47">
        <v>68290</v>
      </c>
      <c r="P100" s="47">
        <v>58585</v>
      </c>
      <c r="Q100" s="85">
        <v>58.02</v>
      </c>
      <c r="R100" s="85">
        <v>62.85</v>
      </c>
      <c r="S100" s="85">
        <v>61.37</v>
      </c>
      <c r="T100" s="85">
        <v>65</v>
      </c>
      <c r="U100" s="85">
        <v>69.34</v>
      </c>
      <c r="V100" s="85">
        <v>72.83</v>
      </c>
      <c r="W100" s="85">
        <v>22.7</v>
      </c>
      <c r="X100" s="85">
        <v>64.63</v>
      </c>
      <c r="Y100" s="85">
        <v>68.97</v>
      </c>
      <c r="Z100" s="85">
        <v>76.98</v>
      </c>
      <c r="AA100" s="85">
        <v>64.62</v>
      </c>
      <c r="AB100" s="85">
        <v>63.24</v>
      </c>
      <c r="AC100" s="85">
        <v>68.48</v>
      </c>
      <c r="AD100" s="85">
        <v>67.89</v>
      </c>
      <c r="AE100" s="47">
        <v>7131304</v>
      </c>
      <c r="AF100" s="47">
        <v>6240800</v>
      </c>
      <c r="AG100" s="47">
        <v>5676500</v>
      </c>
      <c r="AH100" s="47">
        <v>4368000</v>
      </c>
      <c r="AI100" s="47">
        <v>4257270</v>
      </c>
      <c r="AJ100" s="47">
        <v>4838522</v>
      </c>
      <c r="AK100" s="47">
        <v>2065285</v>
      </c>
      <c r="AL100" s="47">
        <v>5326560</v>
      </c>
      <c r="AM100" s="47">
        <v>5463615</v>
      </c>
      <c r="AN100" s="47">
        <v>4966508</v>
      </c>
      <c r="AO100" s="47">
        <v>4271995</v>
      </c>
      <c r="AP100" s="47">
        <v>5212760</v>
      </c>
      <c r="AQ100" s="47">
        <v>4676785</v>
      </c>
      <c r="AR100" s="47">
        <v>3977425</v>
      </c>
      <c r="AS100" s="47"/>
      <c r="AT100" s="47"/>
      <c r="AU100" s="47"/>
      <c r="AV100" s="47"/>
      <c r="AW100" s="47"/>
      <c r="AX100" s="47"/>
      <c r="AY100" s="47"/>
      <c r="AZ100" s="47"/>
      <c r="BA100" s="47"/>
      <c r="BB100" s="47"/>
      <c r="BC100" s="47"/>
      <c r="BD100" s="47"/>
      <c r="BE100" s="47"/>
      <c r="BF100" s="47"/>
    </row>
    <row r="101" spans="1:58" hidden="1">
      <c r="A101" s="46" t="s">
        <v>279</v>
      </c>
      <c r="B101" s="46" t="s">
        <v>255</v>
      </c>
      <c r="C101" s="47">
        <v>6481</v>
      </c>
      <c r="D101" s="47">
        <v>3100</v>
      </c>
      <c r="E101" s="47">
        <v>11500</v>
      </c>
      <c r="F101" s="47">
        <v>5400</v>
      </c>
      <c r="G101" s="47">
        <v>3665</v>
      </c>
      <c r="H101" s="47">
        <v>5776</v>
      </c>
      <c r="I101" s="47">
        <v>2940</v>
      </c>
      <c r="J101" s="47">
        <v>3535</v>
      </c>
      <c r="K101" s="47">
        <v>2165</v>
      </c>
      <c r="L101" s="47">
        <v>2750</v>
      </c>
      <c r="M101" s="47">
        <v>12080</v>
      </c>
      <c r="N101" s="47">
        <v>2405</v>
      </c>
      <c r="O101" s="47">
        <v>2310</v>
      </c>
      <c r="P101" s="47">
        <v>2030</v>
      </c>
      <c r="Q101" s="85">
        <v>58.03</v>
      </c>
      <c r="R101" s="85">
        <v>50.06</v>
      </c>
      <c r="S101" s="85">
        <v>55.57</v>
      </c>
      <c r="T101" s="85">
        <v>59.28</v>
      </c>
      <c r="U101" s="85">
        <v>60.73</v>
      </c>
      <c r="V101" s="85">
        <v>64.67</v>
      </c>
      <c r="W101" s="85">
        <v>29.03</v>
      </c>
      <c r="X101" s="85">
        <v>58.9</v>
      </c>
      <c r="Y101" s="85">
        <v>61.02</v>
      </c>
      <c r="Z101" s="85">
        <v>70.62</v>
      </c>
      <c r="AA101" s="85">
        <v>57.12</v>
      </c>
      <c r="AB101" s="85">
        <v>56.36</v>
      </c>
      <c r="AC101" s="85">
        <v>61.37</v>
      </c>
      <c r="AD101" s="85">
        <v>62.99</v>
      </c>
      <c r="AE101" s="47">
        <v>376106</v>
      </c>
      <c r="AF101" s="47">
        <v>155200</v>
      </c>
      <c r="AG101" s="47">
        <v>639000</v>
      </c>
      <c r="AH101" s="47">
        <v>320100</v>
      </c>
      <c r="AI101" s="47">
        <v>222560</v>
      </c>
      <c r="AJ101" s="47">
        <v>373551</v>
      </c>
      <c r="AK101" s="47">
        <v>85345</v>
      </c>
      <c r="AL101" s="47">
        <v>208205</v>
      </c>
      <c r="AM101" s="47">
        <v>132105</v>
      </c>
      <c r="AN101" s="47">
        <v>194195</v>
      </c>
      <c r="AO101" s="47">
        <v>689965</v>
      </c>
      <c r="AP101" s="47">
        <v>135550</v>
      </c>
      <c r="AQ101" s="47">
        <v>141775</v>
      </c>
      <c r="AR101" s="47">
        <v>127860</v>
      </c>
      <c r="AS101" s="47"/>
      <c r="AT101" s="47"/>
      <c r="AU101" s="47"/>
      <c r="AV101" s="47"/>
      <c r="AW101" s="47"/>
      <c r="AX101" s="47"/>
      <c r="AY101" s="47"/>
      <c r="AZ101" s="47"/>
      <c r="BA101" s="47"/>
      <c r="BB101" s="47"/>
      <c r="BC101" s="47"/>
      <c r="BD101" s="47"/>
      <c r="BE101" s="47"/>
      <c r="BF101" s="47"/>
    </row>
    <row r="102" spans="1:58" hidden="1">
      <c r="A102" s="46" t="s">
        <v>279</v>
      </c>
      <c r="B102" s="46" t="s">
        <v>256</v>
      </c>
      <c r="C102" s="47">
        <v>129383</v>
      </c>
      <c r="D102" s="47">
        <v>102400</v>
      </c>
      <c r="E102" s="47">
        <v>104000</v>
      </c>
      <c r="F102" s="47">
        <v>72600</v>
      </c>
      <c r="G102" s="47">
        <v>65065</v>
      </c>
      <c r="H102" s="47">
        <v>72215</v>
      </c>
      <c r="I102" s="47">
        <v>93915</v>
      </c>
      <c r="J102" s="47">
        <v>85945</v>
      </c>
      <c r="K102" s="47">
        <v>81380</v>
      </c>
      <c r="L102" s="47">
        <v>67270</v>
      </c>
      <c r="M102" s="47">
        <v>78190</v>
      </c>
      <c r="N102" s="47">
        <v>84830</v>
      </c>
      <c r="O102" s="47">
        <v>70600</v>
      </c>
      <c r="P102" s="47">
        <v>60615</v>
      </c>
      <c r="Q102" s="85">
        <v>58.02</v>
      </c>
      <c r="R102" s="85">
        <v>62.46</v>
      </c>
      <c r="S102" s="85">
        <v>60.73</v>
      </c>
      <c r="T102" s="85">
        <v>64.569999999999993</v>
      </c>
      <c r="U102" s="85">
        <v>68.849999999999994</v>
      </c>
      <c r="V102" s="85">
        <v>72.17</v>
      </c>
      <c r="W102" s="85">
        <v>22.9</v>
      </c>
      <c r="X102" s="85">
        <v>64.400000000000006</v>
      </c>
      <c r="Y102" s="85">
        <v>68.760000000000005</v>
      </c>
      <c r="Z102" s="85">
        <v>76.72</v>
      </c>
      <c r="AA102" s="85">
        <v>63.46</v>
      </c>
      <c r="AB102" s="85">
        <v>63.05</v>
      </c>
      <c r="AC102" s="85">
        <v>68.25</v>
      </c>
      <c r="AD102" s="85">
        <v>67.73</v>
      </c>
      <c r="AE102" s="47">
        <v>7507410</v>
      </c>
      <c r="AF102" s="47">
        <v>6396000</v>
      </c>
      <c r="AG102" s="47">
        <v>6315500</v>
      </c>
      <c r="AH102" s="47">
        <v>4688100</v>
      </c>
      <c r="AI102" s="47">
        <v>4479830</v>
      </c>
      <c r="AJ102" s="47">
        <v>5212073</v>
      </c>
      <c r="AK102" s="47">
        <v>2150630</v>
      </c>
      <c r="AL102" s="47">
        <v>5534765</v>
      </c>
      <c r="AM102" s="47">
        <v>5595720</v>
      </c>
      <c r="AN102" s="47">
        <v>5160703</v>
      </c>
      <c r="AO102" s="47">
        <v>4961960</v>
      </c>
      <c r="AP102" s="47">
        <v>5348310</v>
      </c>
      <c r="AQ102" s="47">
        <v>4818560</v>
      </c>
      <c r="AR102" s="47">
        <v>4105285</v>
      </c>
      <c r="AS102" s="47"/>
      <c r="AT102" s="47"/>
      <c r="AU102" s="47"/>
      <c r="AV102" s="47"/>
      <c r="AW102" s="47"/>
      <c r="AX102" s="47"/>
      <c r="AY102" s="47"/>
      <c r="AZ102" s="47"/>
      <c r="BA102" s="47"/>
      <c r="BB102" s="47"/>
      <c r="BC102" s="47"/>
      <c r="BD102" s="47"/>
      <c r="BE102" s="47"/>
      <c r="BF102" s="47"/>
    </row>
    <row r="103" spans="1:58" hidden="1">
      <c r="A103" s="46" t="s">
        <v>279</v>
      </c>
      <c r="B103" s="46" t="s">
        <v>257</v>
      </c>
      <c r="C103" s="47">
        <v>7665</v>
      </c>
      <c r="D103" s="47">
        <v>6900</v>
      </c>
      <c r="E103" s="47">
        <v>8100</v>
      </c>
      <c r="F103" s="47">
        <v>7400</v>
      </c>
      <c r="G103" s="47">
        <v>6575</v>
      </c>
      <c r="H103" s="47">
        <v>5867</v>
      </c>
      <c r="I103" s="47">
        <v>3690</v>
      </c>
      <c r="J103" s="47">
        <v>3325</v>
      </c>
      <c r="K103" s="47">
        <v>3540</v>
      </c>
      <c r="L103" s="47">
        <v>4570</v>
      </c>
      <c r="M103" s="47">
        <v>4745</v>
      </c>
      <c r="N103" s="47">
        <v>6330</v>
      </c>
      <c r="O103" s="47">
        <v>5575</v>
      </c>
      <c r="P103" s="47">
        <v>4410</v>
      </c>
      <c r="Q103" s="85">
        <v>61.23</v>
      </c>
      <c r="R103" s="85">
        <v>53.87</v>
      </c>
      <c r="S103" s="85">
        <v>59.3</v>
      </c>
      <c r="T103" s="85">
        <v>58.45</v>
      </c>
      <c r="U103" s="85">
        <v>56.23</v>
      </c>
      <c r="V103" s="85">
        <v>54.94</v>
      </c>
      <c r="W103" s="85">
        <v>39.340000000000003</v>
      </c>
      <c r="X103" s="85">
        <v>55.29</v>
      </c>
      <c r="Y103" s="85">
        <v>53.62</v>
      </c>
      <c r="Z103" s="85">
        <v>58.7</v>
      </c>
      <c r="AA103" s="85">
        <v>50.78</v>
      </c>
      <c r="AB103" s="85">
        <v>60.25</v>
      </c>
      <c r="AC103" s="85">
        <v>45.95</v>
      </c>
      <c r="AD103" s="85">
        <v>47.54</v>
      </c>
      <c r="AE103" s="47">
        <v>469311</v>
      </c>
      <c r="AF103" s="47">
        <v>371700</v>
      </c>
      <c r="AG103" s="47">
        <v>480300</v>
      </c>
      <c r="AH103" s="47">
        <v>432500</v>
      </c>
      <c r="AI103" s="47">
        <v>369680</v>
      </c>
      <c r="AJ103" s="47">
        <v>322332</v>
      </c>
      <c r="AK103" s="47">
        <v>145155</v>
      </c>
      <c r="AL103" s="47">
        <v>183840</v>
      </c>
      <c r="AM103" s="47">
        <v>189800</v>
      </c>
      <c r="AN103" s="47">
        <v>268240</v>
      </c>
      <c r="AO103" s="47">
        <v>240945</v>
      </c>
      <c r="AP103" s="47">
        <v>381405</v>
      </c>
      <c r="AQ103" s="47">
        <v>256155</v>
      </c>
      <c r="AR103" s="47">
        <v>209630</v>
      </c>
      <c r="AS103" s="47"/>
      <c r="AT103" s="47"/>
      <c r="AU103" s="47"/>
      <c r="AV103" s="47"/>
      <c r="AW103" s="47"/>
      <c r="AX103" s="47"/>
      <c r="AY103" s="47"/>
      <c r="AZ103" s="47"/>
      <c r="BA103" s="47"/>
      <c r="BB103" s="47"/>
      <c r="BC103" s="47"/>
      <c r="BD103" s="47"/>
      <c r="BE103" s="47"/>
      <c r="BF103" s="47"/>
    </row>
    <row r="104" spans="1:58" hidden="1">
      <c r="A104" s="46" t="s">
        <v>279</v>
      </c>
      <c r="B104" s="46" t="s">
        <v>258</v>
      </c>
      <c r="C104" s="47">
        <v>174495</v>
      </c>
      <c r="D104" s="47">
        <v>167500</v>
      </c>
      <c r="E104" s="47">
        <v>181000</v>
      </c>
      <c r="F104" s="47">
        <v>185200</v>
      </c>
      <c r="G104" s="47">
        <v>204735</v>
      </c>
      <c r="H104" s="47">
        <v>224531</v>
      </c>
      <c r="I104" s="47">
        <v>244130</v>
      </c>
      <c r="J104" s="47">
        <v>224645</v>
      </c>
      <c r="K104" s="47">
        <v>207405</v>
      </c>
      <c r="L104" s="47">
        <v>216400</v>
      </c>
      <c r="M104" s="47">
        <v>196155</v>
      </c>
      <c r="N104" s="47">
        <v>201575</v>
      </c>
      <c r="O104" s="47">
        <v>222165</v>
      </c>
      <c r="P104" s="47">
        <v>238955</v>
      </c>
      <c r="Q104" s="85">
        <v>65.349999999999994</v>
      </c>
      <c r="R104" s="85">
        <v>60.64</v>
      </c>
      <c r="S104" s="85">
        <v>73.58</v>
      </c>
      <c r="T104" s="85">
        <v>66.05</v>
      </c>
      <c r="U104" s="85">
        <v>72.180000000000007</v>
      </c>
      <c r="V104" s="85">
        <v>72.56</v>
      </c>
      <c r="W104" s="85">
        <v>51.09</v>
      </c>
      <c r="X104" s="85">
        <v>65.430000000000007</v>
      </c>
      <c r="Y104" s="85">
        <v>65.41</v>
      </c>
      <c r="Z104" s="85">
        <v>71.72</v>
      </c>
      <c r="AA104" s="85">
        <v>51.05</v>
      </c>
      <c r="AB104" s="85">
        <v>73.38</v>
      </c>
      <c r="AC104" s="85">
        <v>66.2</v>
      </c>
      <c r="AD104" s="85">
        <v>75.23</v>
      </c>
      <c r="AE104" s="47">
        <v>11402427</v>
      </c>
      <c r="AF104" s="47">
        <v>10156400</v>
      </c>
      <c r="AG104" s="47">
        <v>13318500</v>
      </c>
      <c r="AH104" s="47">
        <v>12231600</v>
      </c>
      <c r="AI104" s="47">
        <v>14777440</v>
      </c>
      <c r="AJ104" s="47">
        <v>16291413</v>
      </c>
      <c r="AK104" s="47">
        <v>12472990</v>
      </c>
      <c r="AL104" s="47">
        <v>14698696</v>
      </c>
      <c r="AM104" s="47">
        <v>13567023</v>
      </c>
      <c r="AN104" s="47">
        <v>15519495</v>
      </c>
      <c r="AO104" s="47">
        <v>10014385</v>
      </c>
      <c r="AP104" s="47">
        <v>14792230</v>
      </c>
      <c r="AQ104" s="47">
        <v>14708280</v>
      </c>
      <c r="AR104" s="47">
        <v>17976590</v>
      </c>
      <c r="AS104" s="47"/>
      <c r="AT104" s="47"/>
      <c r="AU104" s="47"/>
      <c r="AV104" s="47"/>
      <c r="AW104" s="47"/>
      <c r="AX104" s="47"/>
      <c r="AY104" s="47"/>
      <c r="AZ104" s="47"/>
      <c r="BA104" s="47"/>
      <c r="BB104" s="47"/>
      <c r="BC104" s="47"/>
      <c r="BD104" s="47"/>
      <c r="BE104" s="47"/>
      <c r="BF104" s="47"/>
    </row>
    <row r="105" spans="1:58" hidden="1">
      <c r="A105" s="46" t="s">
        <v>279</v>
      </c>
      <c r="B105" s="46" t="s">
        <v>259</v>
      </c>
      <c r="C105" s="47">
        <v>57395</v>
      </c>
      <c r="D105" s="47">
        <v>64700</v>
      </c>
      <c r="E105" s="47">
        <v>70000</v>
      </c>
      <c r="F105" s="47">
        <v>77900</v>
      </c>
      <c r="G105" s="47">
        <v>84045</v>
      </c>
      <c r="H105" s="47">
        <v>69178</v>
      </c>
      <c r="I105" s="47">
        <v>59185</v>
      </c>
      <c r="J105" s="47">
        <v>81880</v>
      </c>
      <c r="K105" s="47">
        <v>81075</v>
      </c>
      <c r="L105" s="47">
        <v>115560</v>
      </c>
      <c r="M105" s="47">
        <v>133020</v>
      </c>
      <c r="N105" s="47">
        <v>77045</v>
      </c>
      <c r="O105" s="47">
        <v>82730</v>
      </c>
      <c r="P105" s="47">
        <v>70905</v>
      </c>
      <c r="Q105" s="85">
        <v>59.44</v>
      </c>
      <c r="R105" s="85">
        <v>58.18</v>
      </c>
      <c r="S105" s="85">
        <v>71.83</v>
      </c>
      <c r="T105" s="85">
        <v>63.37</v>
      </c>
      <c r="U105" s="85">
        <v>63.24</v>
      </c>
      <c r="V105" s="85">
        <v>65.67</v>
      </c>
      <c r="W105" s="85">
        <v>50.08</v>
      </c>
      <c r="X105" s="85">
        <v>65.34</v>
      </c>
      <c r="Y105" s="85">
        <v>62.63</v>
      </c>
      <c r="Z105" s="85">
        <v>74.17</v>
      </c>
      <c r="AA105" s="85">
        <v>47.59</v>
      </c>
      <c r="AB105" s="85">
        <v>64.38</v>
      </c>
      <c r="AC105" s="85">
        <v>56.37</v>
      </c>
      <c r="AD105" s="85">
        <v>61.93</v>
      </c>
      <c r="AE105" s="47">
        <v>3411792</v>
      </c>
      <c r="AF105" s="47">
        <v>3764100</v>
      </c>
      <c r="AG105" s="47">
        <v>5028000</v>
      </c>
      <c r="AH105" s="47">
        <v>4936500</v>
      </c>
      <c r="AI105" s="47">
        <v>5315115</v>
      </c>
      <c r="AJ105" s="47">
        <v>4542786</v>
      </c>
      <c r="AK105" s="47">
        <v>2964120</v>
      </c>
      <c r="AL105" s="47">
        <v>5349748</v>
      </c>
      <c r="AM105" s="47">
        <v>5078003</v>
      </c>
      <c r="AN105" s="47">
        <v>8570968</v>
      </c>
      <c r="AO105" s="47">
        <v>6330125</v>
      </c>
      <c r="AP105" s="47">
        <v>4959990</v>
      </c>
      <c r="AQ105" s="47">
        <v>4663890</v>
      </c>
      <c r="AR105" s="47">
        <v>4391330</v>
      </c>
      <c r="AS105" s="47"/>
      <c r="AT105" s="47"/>
      <c r="AU105" s="47"/>
      <c r="AV105" s="47"/>
      <c r="AW105" s="47"/>
      <c r="AX105" s="47"/>
      <c r="AY105" s="47"/>
      <c r="AZ105" s="47"/>
      <c r="BA105" s="47"/>
      <c r="BB105" s="47"/>
      <c r="BC105" s="47"/>
      <c r="BD105" s="47"/>
      <c r="BE105" s="47"/>
      <c r="BF105" s="47"/>
    </row>
    <row r="106" spans="1:58" hidden="1">
      <c r="A106" s="46" t="s">
        <v>279</v>
      </c>
      <c r="B106" s="46" t="s">
        <v>260</v>
      </c>
      <c r="C106" s="47">
        <v>231890</v>
      </c>
      <c r="D106" s="47">
        <v>232200</v>
      </c>
      <c r="E106" s="47">
        <v>251000</v>
      </c>
      <c r="F106" s="47">
        <v>263100</v>
      </c>
      <c r="G106" s="47">
        <v>288780</v>
      </c>
      <c r="H106" s="47">
        <v>293709</v>
      </c>
      <c r="I106" s="47">
        <v>303315</v>
      </c>
      <c r="J106" s="47">
        <v>306525</v>
      </c>
      <c r="K106" s="47">
        <v>288480</v>
      </c>
      <c r="L106" s="47">
        <v>331960</v>
      </c>
      <c r="M106" s="47">
        <v>329175</v>
      </c>
      <c r="N106" s="47">
        <v>278620</v>
      </c>
      <c r="O106" s="47">
        <v>304895</v>
      </c>
      <c r="P106" s="47">
        <v>309860</v>
      </c>
      <c r="Q106" s="85">
        <v>63.88</v>
      </c>
      <c r="R106" s="85">
        <v>59.95</v>
      </c>
      <c r="S106" s="85">
        <v>73.09</v>
      </c>
      <c r="T106" s="85">
        <v>65.25</v>
      </c>
      <c r="U106" s="85">
        <v>69.58</v>
      </c>
      <c r="V106" s="85">
        <v>70.930000000000007</v>
      </c>
      <c r="W106" s="85">
        <v>50.89</v>
      </c>
      <c r="X106" s="85">
        <v>65.41</v>
      </c>
      <c r="Y106" s="85">
        <v>64.63</v>
      </c>
      <c r="Z106" s="85">
        <v>72.569999999999993</v>
      </c>
      <c r="AA106" s="85">
        <v>49.65</v>
      </c>
      <c r="AB106" s="85">
        <v>70.89</v>
      </c>
      <c r="AC106" s="85">
        <v>63.54</v>
      </c>
      <c r="AD106" s="85">
        <v>72.19</v>
      </c>
      <c r="AE106" s="47">
        <v>14814219</v>
      </c>
      <c r="AF106" s="47">
        <v>13920500</v>
      </c>
      <c r="AG106" s="47">
        <v>18346500</v>
      </c>
      <c r="AH106" s="47">
        <v>17168100</v>
      </c>
      <c r="AI106" s="47">
        <v>20092555</v>
      </c>
      <c r="AJ106" s="47">
        <v>20834199</v>
      </c>
      <c r="AK106" s="47">
        <v>15437110</v>
      </c>
      <c r="AL106" s="47">
        <v>20048444</v>
      </c>
      <c r="AM106" s="47">
        <v>18645026</v>
      </c>
      <c r="AN106" s="47">
        <v>24090463</v>
      </c>
      <c r="AO106" s="47">
        <v>16344510</v>
      </c>
      <c r="AP106" s="47">
        <v>19752220</v>
      </c>
      <c r="AQ106" s="47">
        <v>19372170</v>
      </c>
      <c r="AR106" s="47">
        <v>22367920</v>
      </c>
      <c r="AS106" s="47"/>
      <c r="AT106" s="47"/>
      <c r="AU106" s="47"/>
      <c r="AV106" s="47"/>
      <c r="AW106" s="47"/>
      <c r="AX106" s="47"/>
      <c r="AY106" s="47"/>
      <c r="AZ106" s="47"/>
      <c r="BA106" s="47"/>
      <c r="BB106" s="47"/>
      <c r="BC106" s="47"/>
      <c r="BD106" s="47"/>
      <c r="BE106" s="47"/>
      <c r="BF106" s="47"/>
    </row>
    <row r="107" spans="1:58" hidden="1">
      <c r="A107" s="46" t="s">
        <v>279</v>
      </c>
      <c r="B107" s="46" t="s">
        <v>261</v>
      </c>
      <c r="C107" s="47">
        <v>8423</v>
      </c>
      <c r="D107" s="47">
        <v>4900</v>
      </c>
      <c r="E107" s="47">
        <v>5300</v>
      </c>
      <c r="F107" s="47">
        <v>6700</v>
      </c>
      <c r="G107" s="47">
        <v>7015</v>
      </c>
      <c r="H107" s="47">
        <v>5782</v>
      </c>
      <c r="I107" s="47">
        <v>6390</v>
      </c>
      <c r="J107" s="47">
        <v>10975</v>
      </c>
      <c r="K107" s="47">
        <v>7725</v>
      </c>
      <c r="L107" s="47">
        <v>5270</v>
      </c>
      <c r="M107" s="47">
        <v>5110</v>
      </c>
      <c r="N107" s="47">
        <v>7950</v>
      </c>
      <c r="O107" s="47">
        <v>6465</v>
      </c>
      <c r="P107" s="47">
        <v>5235</v>
      </c>
      <c r="Q107" s="85">
        <v>45.57</v>
      </c>
      <c r="R107" s="85">
        <v>42.14</v>
      </c>
      <c r="S107" s="85">
        <v>49.4</v>
      </c>
      <c r="T107" s="85">
        <v>47.77</v>
      </c>
      <c r="U107" s="85">
        <v>44.34</v>
      </c>
      <c r="V107" s="85">
        <v>47.93</v>
      </c>
      <c r="W107" s="85">
        <v>35.71</v>
      </c>
      <c r="X107" s="85">
        <v>48.7</v>
      </c>
      <c r="Y107" s="85">
        <v>48.41</v>
      </c>
      <c r="Z107" s="85">
        <v>49.13</v>
      </c>
      <c r="AA107" s="85">
        <v>36.43</v>
      </c>
      <c r="AB107" s="85">
        <v>47.53</v>
      </c>
      <c r="AC107" s="85">
        <v>40.9</v>
      </c>
      <c r="AD107" s="85">
        <v>47.72</v>
      </c>
      <c r="AE107" s="47">
        <v>383863</v>
      </c>
      <c r="AF107" s="47">
        <v>206500</v>
      </c>
      <c r="AG107" s="47">
        <v>261800</v>
      </c>
      <c r="AH107" s="47">
        <v>320050</v>
      </c>
      <c r="AI107" s="47">
        <v>311025</v>
      </c>
      <c r="AJ107" s="47">
        <v>277130</v>
      </c>
      <c r="AK107" s="47">
        <v>228210</v>
      </c>
      <c r="AL107" s="47">
        <v>534448</v>
      </c>
      <c r="AM107" s="47">
        <v>373950</v>
      </c>
      <c r="AN107" s="47">
        <v>258930</v>
      </c>
      <c r="AO107" s="47">
        <v>186155</v>
      </c>
      <c r="AP107" s="47">
        <v>377900</v>
      </c>
      <c r="AQ107" s="47">
        <v>264415</v>
      </c>
      <c r="AR107" s="47">
        <v>249810</v>
      </c>
      <c r="AS107" s="47"/>
      <c r="AT107" s="47"/>
      <c r="AU107" s="47"/>
      <c r="AV107" s="47"/>
      <c r="AW107" s="47"/>
      <c r="AX107" s="47"/>
      <c r="AY107" s="47"/>
      <c r="AZ107" s="47"/>
      <c r="BA107" s="47"/>
      <c r="BB107" s="47"/>
      <c r="BC107" s="47"/>
      <c r="BD107" s="47"/>
      <c r="BE107" s="47"/>
      <c r="BF107" s="47"/>
    </row>
    <row r="108" spans="1:58" hidden="1">
      <c r="A108" s="46" t="s">
        <v>279</v>
      </c>
      <c r="B108" s="46" t="s">
        <v>262</v>
      </c>
      <c r="C108" s="47">
        <v>1735</v>
      </c>
      <c r="D108" s="47">
        <v>2000</v>
      </c>
      <c r="E108" s="47">
        <v>2700</v>
      </c>
      <c r="F108" s="47">
        <v>3300</v>
      </c>
      <c r="G108" s="47">
        <v>3930</v>
      </c>
      <c r="H108" s="47">
        <v>2302</v>
      </c>
      <c r="I108" s="47">
        <v>1365</v>
      </c>
      <c r="J108" s="47">
        <v>2250</v>
      </c>
      <c r="K108" s="47">
        <v>815</v>
      </c>
      <c r="L108" s="47">
        <v>1850</v>
      </c>
      <c r="M108" s="47">
        <v>3495</v>
      </c>
      <c r="N108" s="47">
        <v>1915</v>
      </c>
      <c r="O108" s="47">
        <v>1560</v>
      </c>
      <c r="P108" s="47">
        <v>1120</v>
      </c>
      <c r="Q108" s="85">
        <v>44.07</v>
      </c>
      <c r="R108" s="85">
        <v>47.6</v>
      </c>
      <c r="S108" s="85">
        <v>57.26</v>
      </c>
      <c r="T108" s="85">
        <v>50.36</v>
      </c>
      <c r="U108" s="85">
        <v>38.47</v>
      </c>
      <c r="V108" s="85">
        <v>42.35</v>
      </c>
      <c r="W108" s="85">
        <v>35.630000000000003</v>
      </c>
      <c r="X108" s="85">
        <v>46.9</v>
      </c>
      <c r="Y108" s="85">
        <v>45.19</v>
      </c>
      <c r="Z108" s="85">
        <v>44.67</v>
      </c>
      <c r="AA108" s="85">
        <v>33.53</v>
      </c>
      <c r="AB108" s="85">
        <v>42.95</v>
      </c>
      <c r="AC108" s="85">
        <v>37.67</v>
      </c>
      <c r="AD108" s="85">
        <v>44.02</v>
      </c>
      <c r="AE108" s="47">
        <v>76464</v>
      </c>
      <c r="AF108" s="47">
        <v>95200</v>
      </c>
      <c r="AG108" s="47">
        <v>154600</v>
      </c>
      <c r="AH108" s="47">
        <v>166200</v>
      </c>
      <c r="AI108" s="47">
        <v>151190</v>
      </c>
      <c r="AJ108" s="47">
        <v>97487</v>
      </c>
      <c r="AK108" s="47">
        <v>48635</v>
      </c>
      <c r="AL108" s="47">
        <v>105530</v>
      </c>
      <c r="AM108" s="47">
        <v>36830</v>
      </c>
      <c r="AN108" s="47">
        <v>82640</v>
      </c>
      <c r="AO108" s="47">
        <v>117200</v>
      </c>
      <c r="AP108" s="47">
        <v>82240</v>
      </c>
      <c r="AQ108" s="47">
        <v>58760</v>
      </c>
      <c r="AR108" s="47">
        <v>49300</v>
      </c>
      <c r="AS108" s="47"/>
      <c r="AT108" s="47"/>
      <c r="AU108" s="47"/>
      <c r="AV108" s="47"/>
      <c r="AW108" s="47"/>
      <c r="AX108" s="47"/>
      <c r="AY108" s="47"/>
      <c r="AZ108" s="47"/>
      <c r="BA108" s="47"/>
      <c r="BB108" s="47"/>
      <c r="BC108" s="47"/>
      <c r="BD108" s="47"/>
      <c r="BE108" s="47"/>
      <c r="BF108" s="47"/>
    </row>
    <row r="109" spans="1:58" hidden="1">
      <c r="A109" s="46" t="s">
        <v>279</v>
      </c>
      <c r="B109" s="46" t="s">
        <v>263</v>
      </c>
      <c r="C109" s="47">
        <v>10158</v>
      </c>
      <c r="D109" s="47">
        <v>6900</v>
      </c>
      <c r="E109" s="47">
        <v>8000</v>
      </c>
      <c r="F109" s="47">
        <v>10000</v>
      </c>
      <c r="G109" s="47">
        <v>10945</v>
      </c>
      <c r="H109" s="47">
        <v>8084</v>
      </c>
      <c r="I109" s="47">
        <v>7755</v>
      </c>
      <c r="J109" s="47">
        <v>13225</v>
      </c>
      <c r="K109" s="47">
        <v>8540</v>
      </c>
      <c r="L109" s="47">
        <v>7120</v>
      </c>
      <c r="M109" s="47">
        <v>8605</v>
      </c>
      <c r="N109" s="47">
        <v>9865</v>
      </c>
      <c r="O109" s="47">
        <v>8025</v>
      </c>
      <c r="P109" s="47">
        <v>6355</v>
      </c>
      <c r="Q109" s="85">
        <v>45.32</v>
      </c>
      <c r="R109" s="85">
        <v>43.72</v>
      </c>
      <c r="S109" s="85">
        <v>52.05</v>
      </c>
      <c r="T109" s="85">
        <v>48.62</v>
      </c>
      <c r="U109" s="85">
        <v>42.23</v>
      </c>
      <c r="V109" s="85">
        <v>46.34</v>
      </c>
      <c r="W109" s="85">
        <v>35.700000000000003</v>
      </c>
      <c r="X109" s="85">
        <v>48.39</v>
      </c>
      <c r="Y109" s="85">
        <v>48.1</v>
      </c>
      <c r="Z109" s="85">
        <v>47.97</v>
      </c>
      <c r="AA109" s="85">
        <v>35.25</v>
      </c>
      <c r="AB109" s="85">
        <v>46.64</v>
      </c>
      <c r="AC109" s="85">
        <v>40.270000000000003</v>
      </c>
      <c r="AD109" s="85">
        <v>47.07</v>
      </c>
      <c r="AE109" s="47">
        <v>460327</v>
      </c>
      <c r="AF109" s="47">
        <v>301700</v>
      </c>
      <c r="AG109" s="47">
        <v>416400</v>
      </c>
      <c r="AH109" s="47">
        <v>486250</v>
      </c>
      <c r="AI109" s="47">
        <v>462215</v>
      </c>
      <c r="AJ109" s="47">
        <v>374617</v>
      </c>
      <c r="AK109" s="47">
        <v>276845</v>
      </c>
      <c r="AL109" s="47">
        <v>639978</v>
      </c>
      <c r="AM109" s="47">
        <v>410780</v>
      </c>
      <c r="AN109" s="47">
        <v>341570</v>
      </c>
      <c r="AO109" s="47">
        <v>303355</v>
      </c>
      <c r="AP109" s="47">
        <v>460140</v>
      </c>
      <c r="AQ109" s="47">
        <v>323175</v>
      </c>
      <c r="AR109" s="47">
        <v>299110</v>
      </c>
      <c r="AS109" s="47"/>
      <c r="AT109" s="47"/>
      <c r="AU109" s="47"/>
      <c r="AV109" s="47"/>
      <c r="AW109" s="47"/>
      <c r="AX109" s="47"/>
      <c r="AY109" s="47"/>
      <c r="AZ109" s="47"/>
      <c r="BA109" s="47"/>
      <c r="BB109" s="47"/>
      <c r="BC109" s="47"/>
      <c r="BD109" s="47"/>
      <c r="BE109" s="47"/>
      <c r="BF109" s="47"/>
    </row>
    <row r="110" spans="1:58" hidden="1">
      <c r="A110" s="46" t="s">
        <v>279</v>
      </c>
      <c r="B110" s="46" t="s">
        <v>264</v>
      </c>
      <c r="C110" s="47">
        <v>79123</v>
      </c>
      <c r="D110" s="47">
        <v>84200</v>
      </c>
      <c r="E110" s="47">
        <v>82600</v>
      </c>
      <c r="F110" s="47">
        <v>106900</v>
      </c>
      <c r="G110" s="47">
        <v>100560</v>
      </c>
      <c r="H110" s="47">
        <v>78700</v>
      </c>
      <c r="I110" s="47">
        <v>70180</v>
      </c>
      <c r="J110" s="47">
        <v>71720</v>
      </c>
      <c r="K110" s="47">
        <v>75390</v>
      </c>
      <c r="L110" s="47">
        <v>95300</v>
      </c>
      <c r="M110" s="47">
        <v>93560</v>
      </c>
      <c r="N110" s="47">
        <v>77425</v>
      </c>
      <c r="O110" s="47">
        <v>64210</v>
      </c>
      <c r="P110" s="47">
        <v>57025</v>
      </c>
      <c r="Q110" s="85">
        <v>107.16</v>
      </c>
      <c r="R110" s="85">
        <v>111.22</v>
      </c>
      <c r="S110" s="85">
        <v>104.31</v>
      </c>
      <c r="T110" s="85">
        <v>106.13</v>
      </c>
      <c r="U110" s="85">
        <v>111.53</v>
      </c>
      <c r="V110" s="85">
        <v>106.42</v>
      </c>
      <c r="W110" s="85">
        <v>91.82</v>
      </c>
      <c r="X110" s="85">
        <v>116.39</v>
      </c>
      <c r="Y110" s="85">
        <v>116.99</v>
      </c>
      <c r="Z110" s="85">
        <v>94.38</v>
      </c>
      <c r="AA110" s="85">
        <v>102.94</v>
      </c>
      <c r="AB110" s="85">
        <v>114.36</v>
      </c>
      <c r="AC110" s="85">
        <v>111.47</v>
      </c>
      <c r="AD110" s="85">
        <v>119.82</v>
      </c>
      <c r="AE110" s="47">
        <v>8478655</v>
      </c>
      <c r="AF110" s="47">
        <v>9365100</v>
      </c>
      <c r="AG110" s="47">
        <v>8616200</v>
      </c>
      <c r="AH110" s="47">
        <v>11345700</v>
      </c>
      <c r="AI110" s="47">
        <v>11215200</v>
      </c>
      <c r="AJ110" s="47">
        <v>8375600</v>
      </c>
      <c r="AK110" s="47">
        <v>6443980</v>
      </c>
      <c r="AL110" s="47">
        <v>8347780</v>
      </c>
      <c r="AM110" s="47">
        <v>8820050</v>
      </c>
      <c r="AN110" s="47">
        <v>8994550</v>
      </c>
      <c r="AO110" s="47">
        <v>9630740</v>
      </c>
      <c r="AP110" s="47">
        <v>8854535</v>
      </c>
      <c r="AQ110" s="47">
        <v>7157195</v>
      </c>
      <c r="AR110" s="47">
        <v>6832455</v>
      </c>
      <c r="AS110" s="47"/>
      <c r="AT110" s="47"/>
      <c r="AU110" s="47"/>
      <c r="AV110" s="47"/>
      <c r="AW110" s="47"/>
      <c r="AX110" s="47"/>
      <c r="AY110" s="47"/>
      <c r="AZ110" s="47"/>
      <c r="BA110" s="47"/>
      <c r="BB110" s="47"/>
      <c r="BC110" s="47"/>
      <c r="BD110" s="47"/>
      <c r="BE110" s="47"/>
      <c r="BF110" s="47"/>
    </row>
    <row r="111" spans="1:58" hidden="1">
      <c r="A111" s="46" t="s">
        <v>279</v>
      </c>
      <c r="B111" s="46" t="s">
        <v>265</v>
      </c>
      <c r="C111" s="47">
        <v>33930</v>
      </c>
      <c r="D111" s="47">
        <v>36500</v>
      </c>
      <c r="E111" s="47">
        <v>40700</v>
      </c>
      <c r="F111" s="47">
        <v>60800</v>
      </c>
      <c r="G111" s="47">
        <v>60030</v>
      </c>
      <c r="H111" s="47">
        <v>50400</v>
      </c>
      <c r="I111" s="47">
        <v>38420</v>
      </c>
      <c r="J111" s="47">
        <v>41515</v>
      </c>
      <c r="K111" s="47">
        <v>38450</v>
      </c>
      <c r="L111" s="47">
        <v>45350</v>
      </c>
      <c r="M111" s="47">
        <v>52630</v>
      </c>
      <c r="N111" s="47">
        <v>43400</v>
      </c>
      <c r="O111" s="47">
        <v>49720</v>
      </c>
      <c r="P111" s="47">
        <v>45500</v>
      </c>
      <c r="Q111" s="85">
        <v>78.73</v>
      </c>
      <c r="R111" s="85">
        <v>86.49</v>
      </c>
      <c r="S111" s="85">
        <v>65.56</v>
      </c>
      <c r="T111" s="85">
        <v>64.510000000000005</v>
      </c>
      <c r="U111" s="85">
        <v>93.58</v>
      </c>
      <c r="V111" s="85">
        <v>55.08</v>
      </c>
      <c r="W111" s="85">
        <v>46.05</v>
      </c>
      <c r="X111" s="85">
        <v>88.92</v>
      </c>
      <c r="Y111" s="85">
        <v>65.400000000000006</v>
      </c>
      <c r="Z111" s="85">
        <v>42.52</v>
      </c>
      <c r="AA111" s="85">
        <v>52.25</v>
      </c>
      <c r="AB111" s="85">
        <v>87.52</v>
      </c>
      <c r="AC111" s="85">
        <v>61.72</v>
      </c>
      <c r="AD111" s="85">
        <v>84.68</v>
      </c>
      <c r="AE111" s="47">
        <v>2671367</v>
      </c>
      <c r="AF111" s="47">
        <v>3157000</v>
      </c>
      <c r="AG111" s="47">
        <v>2668300</v>
      </c>
      <c r="AH111" s="47">
        <v>3922200</v>
      </c>
      <c r="AI111" s="47">
        <v>5617480</v>
      </c>
      <c r="AJ111" s="47">
        <v>2775900</v>
      </c>
      <c r="AK111" s="47">
        <v>1769320</v>
      </c>
      <c r="AL111" s="47">
        <v>3691700</v>
      </c>
      <c r="AM111" s="47">
        <v>2514510</v>
      </c>
      <c r="AN111" s="47">
        <v>1928350</v>
      </c>
      <c r="AO111" s="47">
        <v>2749730</v>
      </c>
      <c r="AP111" s="47">
        <v>3798260</v>
      </c>
      <c r="AQ111" s="47">
        <v>3068530</v>
      </c>
      <c r="AR111" s="47">
        <v>3852825</v>
      </c>
      <c r="AS111" s="47"/>
      <c r="AT111" s="47"/>
      <c r="AU111" s="47"/>
      <c r="AV111" s="47"/>
      <c r="AW111" s="47"/>
      <c r="AX111" s="47"/>
      <c r="AY111" s="47"/>
      <c r="AZ111" s="47"/>
      <c r="BA111" s="47"/>
      <c r="BB111" s="47"/>
      <c r="BC111" s="47"/>
      <c r="BD111" s="47"/>
      <c r="BE111" s="47"/>
      <c r="BF111" s="47"/>
    </row>
    <row r="112" spans="1:58" hidden="1">
      <c r="A112" s="46" t="s">
        <v>279</v>
      </c>
      <c r="B112" s="46" t="s">
        <v>266</v>
      </c>
      <c r="C112" s="47">
        <v>2743</v>
      </c>
      <c r="D112" s="47">
        <v>2907</v>
      </c>
      <c r="E112" s="47">
        <v>3331</v>
      </c>
      <c r="F112" s="47">
        <v>3841</v>
      </c>
      <c r="G112" s="47">
        <v>3998</v>
      </c>
      <c r="H112" s="47">
        <v>2966</v>
      </c>
      <c r="I112" s="47">
        <v>2831</v>
      </c>
      <c r="J112" s="47">
        <v>2276</v>
      </c>
      <c r="K112" s="47">
        <v>2135</v>
      </c>
      <c r="L112" s="47">
        <v>2270</v>
      </c>
      <c r="M112" s="47">
        <v>3013</v>
      </c>
      <c r="N112" s="47">
        <v>2945</v>
      </c>
      <c r="O112" s="47">
        <v>2574</v>
      </c>
      <c r="P112" s="47">
        <v>2584</v>
      </c>
      <c r="Q112" s="85">
        <v>46.05</v>
      </c>
      <c r="R112" s="85">
        <v>48.14</v>
      </c>
      <c r="S112" s="85">
        <v>45.31</v>
      </c>
      <c r="T112" s="85">
        <v>41.05</v>
      </c>
      <c r="U112" s="85">
        <v>50</v>
      </c>
      <c r="V112" s="85">
        <v>49.94</v>
      </c>
      <c r="W112" s="85">
        <v>35.18</v>
      </c>
      <c r="X112" s="85">
        <v>70.19</v>
      </c>
      <c r="Y112" s="85">
        <v>59.56</v>
      </c>
      <c r="Z112" s="85">
        <v>28.57</v>
      </c>
      <c r="AA112" s="85">
        <v>28.74</v>
      </c>
      <c r="AB112" s="85">
        <v>31.37</v>
      </c>
      <c r="AC112" s="85">
        <v>25.97</v>
      </c>
      <c r="AD112" s="85">
        <v>31.6</v>
      </c>
      <c r="AE112" s="47">
        <v>126320</v>
      </c>
      <c r="AF112" s="47">
        <v>139940</v>
      </c>
      <c r="AG112" s="47">
        <v>150930</v>
      </c>
      <c r="AH112" s="47">
        <v>157690</v>
      </c>
      <c r="AI112" s="47">
        <v>199900</v>
      </c>
      <c r="AJ112" s="47">
        <v>148116</v>
      </c>
      <c r="AK112" s="47">
        <v>99598</v>
      </c>
      <c r="AL112" s="47">
        <v>159751</v>
      </c>
      <c r="AM112" s="47">
        <v>127165</v>
      </c>
      <c r="AN112" s="47">
        <v>64850</v>
      </c>
      <c r="AO112" s="47">
        <v>86595</v>
      </c>
      <c r="AP112" s="47">
        <v>92375</v>
      </c>
      <c r="AQ112" s="47">
        <v>66854</v>
      </c>
      <c r="AR112" s="47">
        <v>81664</v>
      </c>
      <c r="AS112" s="47"/>
      <c r="AT112" s="47"/>
      <c r="AU112" s="47"/>
      <c r="AV112" s="47"/>
      <c r="AW112" s="47"/>
      <c r="AX112" s="47"/>
      <c r="AY112" s="47"/>
      <c r="AZ112" s="47"/>
      <c r="BA112" s="47"/>
      <c r="BB112" s="47"/>
      <c r="BC112" s="47"/>
      <c r="BD112" s="47"/>
      <c r="BE112" s="47"/>
      <c r="BF112" s="47"/>
    </row>
    <row r="113" spans="1:58" hidden="1">
      <c r="A113" s="46" t="s">
        <v>279</v>
      </c>
      <c r="B113" s="46" t="s">
        <v>267</v>
      </c>
      <c r="C113" s="47">
        <v>115796</v>
      </c>
      <c r="D113" s="47">
        <v>123607</v>
      </c>
      <c r="E113" s="47">
        <v>126631</v>
      </c>
      <c r="F113" s="47">
        <v>171541</v>
      </c>
      <c r="G113" s="47">
        <v>164588</v>
      </c>
      <c r="H113" s="47">
        <v>132066</v>
      </c>
      <c r="I113" s="47">
        <v>111431</v>
      </c>
      <c r="J113" s="47">
        <v>115511</v>
      </c>
      <c r="K113" s="47">
        <v>115975</v>
      </c>
      <c r="L113" s="47">
        <v>142920</v>
      </c>
      <c r="M113" s="47">
        <v>149203</v>
      </c>
      <c r="N113" s="47">
        <v>123770</v>
      </c>
      <c r="O113" s="47">
        <v>116504</v>
      </c>
      <c r="P113" s="47">
        <v>105109</v>
      </c>
      <c r="Q113" s="85">
        <v>97.38</v>
      </c>
      <c r="R113" s="85">
        <v>102.44</v>
      </c>
      <c r="S113" s="85">
        <v>90.31</v>
      </c>
      <c r="T113" s="85">
        <v>89.92</v>
      </c>
      <c r="U113" s="85">
        <v>103.49</v>
      </c>
      <c r="V113" s="85">
        <v>85.56</v>
      </c>
      <c r="W113" s="85">
        <v>74.599999999999994</v>
      </c>
      <c r="X113" s="85">
        <v>105.61</v>
      </c>
      <c r="Y113" s="85">
        <v>98.83</v>
      </c>
      <c r="Z113" s="85">
        <v>76.88</v>
      </c>
      <c r="AA113" s="85">
        <v>83.56</v>
      </c>
      <c r="AB113" s="85">
        <v>102.97</v>
      </c>
      <c r="AC113" s="85">
        <v>88.35</v>
      </c>
      <c r="AD113" s="85">
        <v>102.44</v>
      </c>
      <c r="AE113" s="47">
        <v>11276342</v>
      </c>
      <c r="AF113" s="47">
        <v>12662040</v>
      </c>
      <c r="AG113" s="47">
        <v>11435430</v>
      </c>
      <c r="AH113" s="47">
        <v>15425590</v>
      </c>
      <c r="AI113" s="47">
        <v>17032580</v>
      </c>
      <c r="AJ113" s="47">
        <v>11299616</v>
      </c>
      <c r="AK113" s="47">
        <v>8312898</v>
      </c>
      <c r="AL113" s="47">
        <v>12199231</v>
      </c>
      <c r="AM113" s="47">
        <v>11461725</v>
      </c>
      <c r="AN113" s="47">
        <v>10987750</v>
      </c>
      <c r="AO113" s="47">
        <v>12467065</v>
      </c>
      <c r="AP113" s="47">
        <v>12745170</v>
      </c>
      <c r="AQ113" s="47">
        <v>10292579</v>
      </c>
      <c r="AR113" s="47">
        <v>10766944</v>
      </c>
      <c r="AS113" s="47"/>
      <c r="AT113" s="47"/>
      <c r="AU113" s="47"/>
      <c r="AV113" s="47"/>
      <c r="AW113" s="47"/>
      <c r="AX113" s="47"/>
      <c r="AY113" s="47"/>
      <c r="AZ113" s="47"/>
      <c r="BA113" s="47"/>
      <c r="BB113" s="47"/>
      <c r="BC113" s="47"/>
      <c r="BD113" s="47"/>
      <c r="BE113" s="47"/>
      <c r="BF113" s="47"/>
    </row>
    <row r="114" spans="1:58" hidden="1">
      <c r="A114" s="46" t="s">
        <v>279</v>
      </c>
      <c r="B114" s="46" t="s">
        <v>268</v>
      </c>
      <c r="C114" s="47">
        <v>4273</v>
      </c>
      <c r="D114" s="47">
        <v>4507</v>
      </c>
      <c r="E114" s="47">
        <v>3895</v>
      </c>
      <c r="F114" s="47">
        <v>8137</v>
      </c>
      <c r="G114" s="47">
        <v>6096</v>
      </c>
      <c r="H114" s="47">
        <v>3227</v>
      </c>
      <c r="I114" s="47">
        <v>2559</v>
      </c>
      <c r="J114" s="47">
        <v>6514</v>
      </c>
      <c r="K114" s="47">
        <v>7418</v>
      </c>
      <c r="L114" s="47">
        <v>14922</v>
      </c>
      <c r="M114" s="47">
        <v>18699</v>
      </c>
      <c r="N114" s="47">
        <v>12435</v>
      </c>
      <c r="O114" s="47">
        <v>7550</v>
      </c>
      <c r="P114" s="47">
        <v>7580</v>
      </c>
      <c r="Q114" s="85">
        <v>42.97</v>
      </c>
      <c r="R114" s="85">
        <v>59.64</v>
      </c>
      <c r="S114" s="85">
        <v>55.05</v>
      </c>
      <c r="T114" s="85">
        <v>57.38</v>
      </c>
      <c r="U114" s="85">
        <v>58.81</v>
      </c>
      <c r="V114" s="85">
        <v>55.76</v>
      </c>
      <c r="W114" s="85">
        <v>45.29</v>
      </c>
      <c r="X114" s="85">
        <v>60.33</v>
      </c>
      <c r="Y114" s="85">
        <v>51.92</v>
      </c>
      <c r="Z114" s="85">
        <v>47.96</v>
      </c>
      <c r="AA114" s="85">
        <v>44.37</v>
      </c>
      <c r="AB114" s="85">
        <v>52.95</v>
      </c>
      <c r="AC114" s="85">
        <v>46.5</v>
      </c>
      <c r="AD114" s="85">
        <v>59.78</v>
      </c>
      <c r="AE114" s="47">
        <v>183602</v>
      </c>
      <c r="AF114" s="47">
        <v>268793</v>
      </c>
      <c r="AG114" s="47">
        <v>214421</v>
      </c>
      <c r="AH114" s="47">
        <v>466927</v>
      </c>
      <c r="AI114" s="47">
        <v>358512</v>
      </c>
      <c r="AJ114" s="47">
        <v>179933</v>
      </c>
      <c r="AK114" s="47">
        <v>115890</v>
      </c>
      <c r="AL114" s="47">
        <v>392971</v>
      </c>
      <c r="AM114" s="47">
        <v>385159</v>
      </c>
      <c r="AN114" s="47">
        <v>715649</v>
      </c>
      <c r="AO114" s="47">
        <v>829594</v>
      </c>
      <c r="AP114" s="47">
        <v>658380</v>
      </c>
      <c r="AQ114" s="47">
        <v>351085</v>
      </c>
      <c r="AR114" s="47">
        <v>453140</v>
      </c>
      <c r="AS114" s="47"/>
      <c r="AT114" s="47"/>
      <c r="AU114" s="47"/>
      <c r="AV114" s="47"/>
      <c r="AW114" s="47"/>
      <c r="AX114" s="47"/>
      <c r="AY114" s="47"/>
      <c r="AZ114" s="47"/>
      <c r="BA114" s="47"/>
      <c r="BB114" s="47"/>
      <c r="BC114" s="47"/>
      <c r="BD114" s="47"/>
      <c r="BE114" s="47"/>
      <c r="BF114" s="47"/>
    </row>
    <row r="115" spans="1:58" hidden="1">
      <c r="A115" s="46" t="s">
        <v>279</v>
      </c>
      <c r="B115" s="46" t="s">
        <v>269</v>
      </c>
      <c r="C115" s="47">
        <v>27380</v>
      </c>
      <c r="D115" s="47">
        <v>27700</v>
      </c>
      <c r="E115" s="47">
        <v>30400</v>
      </c>
      <c r="F115" s="47">
        <v>25500</v>
      </c>
      <c r="G115" s="47">
        <v>26300</v>
      </c>
      <c r="H115" s="47">
        <v>23043</v>
      </c>
      <c r="I115" s="47">
        <v>24575</v>
      </c>
      <c r="J115" s="47">
        <v>23170</v>
      </c>
      <c r="K115" s="47">
        <v>22965</v>
      </c>
      <c r="L115" s="47">
        <v>24730</v>
      </c>
      <c r="M115" s="47">
        <v>20875</v>
      </c>
      <c r="N115" s="47">
        <v>26875</v>
      </c>
      <c r="O115" s="47">
        <v>25670</v>
      </c>
      <c r="P115" s="47">
        <v>22620</v>
      </c>
      <c r="Q115" s="85">
        <v>51.47</v>
      </c>
      <c r="R115" s="85">
        <v>47.62</v>
      </c>
      <c r="S115" s="85">
        <v>56.25</v>
      </c>
      <c r="T115" s="85">
        <v>52.73</v>
      </c>
      <c r="U115" s="85">
        <v>49.88</v>
      </c>
      <c r="V115" s="85">
        <v>52.94</v>
      </c>
      <c r="W115" s="85">
        <v>33.46</v>
      </c>
      <c r="X115" s="85">
        <v>48.17</v>
      </c>
      <c r="Y115" s="85">
        <v>44.34</v>
      </c>
      <c r="Z115" s="85">
        <v>53.16</v>
      </c>
      <c r="AA115" s="85">
        <v>37.96</v>
      </c>
      <c r="AB115" s="85">
        <v>50.07</v>
      </c>
      <c r="AC115" s="85">
        <v>45.14</v>
      </c>
      <c r="AD115" s="85">
        <v>49.47</v>
      </c>
      <c r="AE115" s="47">
        <v>1409249</v>
      </c>
      <c r="AF115" s="47">
        <v>1319100</v>
      </c>
      <c r="AG115" s="47">
        <v>1709900</v>
      </c>
      <c r="AH115" s="47">
        <v>1344500</v>
      </c>
      <c r="AI115" s="47">
        <v>1311855</v>
      </c>
      <c r="AJ115" s="47">
        <v>1219875</v>
      </c>
      <c r="AK115" s="47">
        <v>822220</v>
      </c>
      <c r="AL115" s="47">
        <v>1116130</v>
      </c>
      <c r="AM115" s="47">
        <v>1018300</v>
      </c>
      <c r="AN115" s="47">
        <v>1314665</v>
      </c>
      <c r="AO115" s="47">
        <v>792340</v>
      </c>
      <c r="AP115" s="47">
        <v>1345635</v>
      </c>
      <c r="AQ115" s="47">
        <v>1158745</v>
      </c>
      <c r="AR115" s="47">
        <v>1118905</v>
      </c>
      <c r="AS115" s="47"/>
      <c r="AT115" s="47"/>
      <c r="AU115" s="47"/>
      <c r="AV115" s="47"/>
      <c r="AW115" s="47"/>
      <c r="AX115" s="47"/>
      <c r="AY115" s="47"/>
      <c r="AZ115" s="47"/>
      <c r="BA115" s="47"/>
      <c r="BB115" s="47"/>
      <c r="BC115" s="47"/>
      <c r="BD115" s="47"/>
      <c r="BE115" s="47"/>
      <c r="BF115" s="47"/>
    </row>
    <row r="116" spans="1:58" hidden="1">
      <c r="A116" s="46" t="s">
        <v>279</v>
      </c>
      <c r="B116" s="46" t="s">
        <v>270</v>
      </c>
      <c r="C116" s="47">
        <v>20200</v>
      </c>
      <c r="D116" s="47">
        <v>18100</v>
      </c>
      <c r="E116" s="47">
        <v>17900</v>
      </c>
      <c r="F116" s="47">
        <v>28800</v>
      </c>
      <c r="G116" s="47">
        <v>16300</v>
      </c>
      <c r="H116" s="47">
        <v>21521</v>
      </c>
      <c r="I116" s="47">
        <v>19840</v>
      </c>
      <c r="J116" s="47">
        <v>25775</v>
      </c>
      <c r="K116" s="47">
        <v>15660</v>
      </c>
      <c r="L116" s="47">
        <v>25763</v>
      </c>
      <c r="M116" s="47">
        <v>39897</v>
      </c>
      <c r="N116" s="47">
        <v>22644</v>
      </c>
      <c r="O116" s="47">
        <v>22618</v>
      </c>
      <c r="P116" s="47">
        <v>29634</v>
      </c>
      <c r="Q116" s="85"/>
      <c r="R116" s="85"/>
      <c r="S116" s="85"/>
      <c r="T116" s="85"/>
      <c r="U116" s="85"/>
      <c r="V116" s="85"/>
      <c r="W116" s="85"/>
      <c r="X116" s="85"/>
      <c r="Y116" s="85"/>
      <c r="Z116" s="85"/>
      <c r="AA116" s="85"/>
      <c r="AB116" s="85"/>
      <c r="AC116" s="85"/>
      <c r="AD116" s="85"/>
      <c r="AE116" s="47">
        <v>782000</v>
      </c>
      <c r="AF116" s="47">
        <v>557500</v>
      </c>
      <c r="AG116" s="47">
        <v>600000</v>
      </c>
      <c r="AH116" s="47">
        <v>959900</v>
      </c>
      <c r="AI116" s="47">
        <v>550300</v>
      </c>
      <c r="AJ116" s="47">
        <v>709054</v>
      </c>
      <c r="AK116" s="47">
        <v>437495</v>
      </c>
      <c r="AL116" s="47">
        <v>840500</v>
      </c>
      <c r="AM116" s="47">
        <v>499870</v>
      </c>
      <c r="AN116" s="47">
        <v>811325</v>
      </c>
      <c r="AO116" s="47">
        <v>1059623</v>
      </c>
      <c r="AP116" s="47">
        <v>722099</v>
      </c>
      <c r="AQ116" s="47">
        <v>635453</v>
      </c>
      <c r="AR116" s="47">
        <v>857860</v>
      </c>
      <c r="AS116" s="47"/>
      <c r="AT116" s="47"/>
      <c r="AU116" s="47"/>
      <c r="AV116" s="47"/>
      <c r="AW116" s="47"/>
      <c r="AX116" s="47"/>
      <c r="AY116" s="47"/>
      <c r="AZ116" s="47"/>
      <c r="BA116" s="47"/>
      <c r="BB116" s="47"/>
      <c r="BC116" s="47"/>
      <c r="BD116" s="47"/>
      <c r="BE116" s="47"/>
      <c r="BF116" s="47"/>
    </row>
    <row r="117" spans="1:58" hidden="1">
      <c r="A117" s="46" t="s">
        <v>279</v>
      </c>
      <c r="B117" s="46" t="s">
        <v>271</v>
      </c>
      <c r="C117" s="47">
        <v>2900</v>
      </c>
      <c r="D117" s="47">
        <v>2900</v>
      </c>
      <c r="E117" s="47">
        <v>2700</v>
      </c>
      <c r="F117" s="47">
        <v>2150</v>
      </c>
      <c r="G117" s="47">
        <v>1730</v>
      </c>
      <c r="H117" s="47">
        <v>1850</v>
      </c>
      <c r="I117" s="47">
        <v>2100</v>
      </c>
      <c r="J117" s="47">
        <v>2650</v>
      </c>
      <c r="K117" s="47">
        <v>3780</v>
      </c>
      <c r="L117" s="47">
        <v>5377</v>
      </c>
      <c r="M117" s="47">
        <v>4578</v>
      </c>
      <c r="N117" s="47">
        <v>6026</v>
      </c>
      <c r="O117" s="47">
        <v>5325</v>
      </c>
      <c r="P117" s="47">
        <v>2065</v>
      </c>
      <c r="Q117" s="85"/>
      <c r="R117" s="85"/>
      <c r="S117" s="85"/>
      <c r="T117" s="85"/>
      <c r="U117" s="85"/>
      <c r="V117" s="85"/>
      <c r="W117" s="85"/>
      <c r="X117" s="85"/>
      <c r="Y117" s="85"/>
      <c r="Z117" s="85"/>
      <c r="AA117" s="85"/>
      <c r="AB117" s="85"/>
      <c r="AC117" s="85"/>
      <c r="AD117" s="85"/>
      <c r="AE117" s="47">
        <v>113500</v>
      </c>
      <c r="AF117" s="47">
        <v>88300</v>
      </c>
      <c r="AG117" s="47">
        <v>88500</v>
      </c>
      <c r="AH117" s="47">
        <v>68800</v>
      </c>
      <c r="AI117" s="47">
        <v>57500</v>
      </c>
      <c r="AJ117" s="47">
        <v>59750</v>
      </c>
      <c r="AK117" s="47">
        <v>42220</v>
      </c>
      <c r="AL117" s="47">
        <v>83270</v>
      </c>
      <c r="AM117" s="47">
        <v>119640</v>
      </c>
      <c r="AN117" s="47">
        <v>168495</v>
      </c>
      <c r="AO117" s="47">
        <v>119017</v>
      </c>
      <c r="AP117" s="47">
        <v>190236</v>
      </c>
      <c r="AQ117" s="47">
        <v>148680</v>
      </c>
      <c r="AR117" s="47">
        <v>59040</v>
      </c>
      <c r="AS117" s="47"/>
      <c r="AT117" s="47"/>
      <c r="AU117" s="47"/>
      <c r="AV117" s="47"/>
      <c r="AW117" s="47"/>
      <c r="AX117" s="47"/>
      <c r="AY117" s="47"/>
      <c r="AZ117" s="47"/>
      <c r="BA117" s="47"/>
      <c r="BB117" s="47"/>
      <c r="BC117" s="47"/>
      <c r="BD117" s="47"/>
      <c r="BE117" s="47"/>
      <c r="BF117" s="47"/>
    </row>
    <row r="118" spans="1:58" hidden="1">
      <c r="A118" s="46" t="s">
        <v>279</v>
      </c>
      <c r="B118" s="46" t="s">
        <v>272</v>
      </c>
      <c r="C118" s="47">
        <v>1216995</v>
      </c>
      <c r="D118" s="47">
        <v>1206114</v>
      </c>
      <c r="E118" s="47">
        <v>1230126</v>
      </c>
      <c r="F118" s="47">
        <v>1249528</v>
      </c>
      <c r="G118" s="47">
        <v>1265034</v>
      </c>
      <c r="H118" s="47">
        <v>1257057</v>
      </c>
      <c r="I118" s="47">
        <v>1252985</v>
      </c>
      <c r="J118" s="47">
        <v>1247035</v>
      </c>
      <c r="K118" s="47">
        <v>1192738</v>
      </c>
      <c r="L118" s="47">
        <v>1290907</v>
      </c>
      <c r="M118" s="47">
        <v>1208472</v>
      </c>
      <c r="N118" s="47">
        <v>1212635</v>
      </c>
      <c r="O118" s="47">
        <v>1174272</v>
      </c>
      <c r="P118" s="47">
        <v>1153078</v>
      </c>
      <c r="Q118" s="85">
        <v>67.930000000000007</v>
      </c>
      <c r="R118" s="85">
        <v>65.09</v>
      </c>
      <c r="S118" s="85">
        <v>72.7</v>
      </c>
      <c r="T118" s="85">
        <v>70.37</v>
      </c>
      <c r="U118" s="85">
        <v>75.349999999999994</v>
      </c>
      <c r="V118" s="85">
        <v>74.22</v>
      </c>
      <c r="W118" s="85">
        <v>46.43</v>
      </c>
      <c r="X118" s="85">
        <v>71.099999999999994</v>
      </c>
      <c r="Y118" s="85">
        <v>69.22</v>
      </c>
      <c r="Z118" s="85">
        <v>73.14</v>
      </c>
      <c r="AA118" s="85">
        <v>57.97</v>
      </c>
      <c r="AB118" s="85">
        <v>72.34</v>
      </c>
      <c r="AC118" s="85">
        <v>66.989999999999995</v>
      </c>
      <c r="AD118" s="85">
        <v>72.58</v>
      </c>
      <c r="AE118" s="47">
        <v>82668176</v>
      </c>
      <c r="AF118" s="47">
        <v>78505433</v>
      </c>
      <c r="AG118" s="47">
        <v>89428451</v>
      </c>
      <c r="AH118" s="47">
        <v>87924867</v>
      </c>
      <c r="AI118" s="47">
        <v>95320942</v>
      </c>
      <c r="AJ118" s="47">
        <v>93293700</v>
      </c>
      <c r="AK118" s="47">
        <v>58171103</v>
      </c>
      <c r="AL118" s="47">
        <v>88664272</v>
      </c>
      <c r="AM118" s="47">
        <v>82556895</v>
      </c>
      <c r="AN118" s="47">
        <v>94419011</v>
      </c>
      <c r="AO118" s="47">
        <v>70055344</v>
      </c>
      <c r="AP118" s="47">
        <v>87727655</v>
      </c>
      <c r="AQ118" s="47">
        <v>78662892</v>
      </c>
      <c r="AR118" s="47">
        <v>83692649</v>
      </c>
      <c r="AS118" s="47"/>
      <c r="AT118" s="47"/>
      <c r="AU118" s="47"/>
      <c r="AV118" s="47"/>
      <c r="AW118" s="47"/>
      <c r="AX118" s="47"/>
      <c r="AY118" s="47"/>
      <c r="AZ118" s="47"/>
      <c r="BA118" s="47"/>
      <c r="BB118" s="47"/>
      <c r="BC118" s="47"/>
      <c r="BD118" s="47"/>
      <c r="BE118" s="47"/>
      <c r="BF118" s="47"/>
    </row>
    <row r="119" spans="1:58" hidden="1">
      <c r="A119" s="46" t="s">
        <v>279</v>
      </c>
      <c r="B119" s="46" t="s">
        <v>273</v>
      </c>
      <c r="C119" s="47">
        <v>0</v>
      </c>
      <c r="D119" s="47">
        <v>0</v>
      </c>
      <c r="E119" s="47">
        <v>0</v>
      </c>
      <c r="F119" s="47">
        <v>0</v>
      </c>
      <c r="G119" s="47">
        <v>0</v>
      </c>
      <c r="H119" s="47">
        <v>0</v>
      </c>
      <c r="I119" s="47">
        <v>0</v>
      </c>
      <c r="J119" s="47">
        <v>0</v>
      </c>
      <c r="K119" s="47">
        <v>0</v>
      </c>
      <c r="L119" s="47">
        <v>0</v>
      </c>
      <c r="M119" s="47">
        <v>0</v>
      </c>
      <c r="N119" s="47">
        <v>0</v>
      </c>
      <c r="O119" s="47">
        <v>0</v>
      </c>
      <c r="P119" s="47">
        <v>0</v>
      </c>
      <c r="Q119" s="85"/>
      <c r="R119" s="85"/>
      <c r="S119" s="85"/>
      <c r="T119" s="85"/>
      <c r="U119" s="85"/>
      <c r="V119" s="85"/>
      <c r="W119" s="85"/>
      <c r="X119" s="85"/>
      <c r="Y119" s="85"/>
      <c r="Z119" s="85"/>
      <c r="AA119" s="85"/>
      <c r="AB119" s="85"/>
      <c r="AC119" s="85"/>
      <c r="AD119" s="85"/>
      <c r="AE119" s="47">
        <v>0</v>
      </c>
      <c r="AF119" s="47">
        <v>0</v>
      </c>
      <c r="AG119" s="47">
        <v>0</v>
      </c>
      <c r="AH119" s="47">
        <v>0</v>
      </c>
      <c r="AI119" s="47">
        <v>0</v>
      </c>
      <c r="AJ119" s="47">
        <v>0</v>
      </c>
      <c r="AK119" s="47">
        <v>0</v>
      </c>
      <c r="AL119" s="47">
        <v>0</v>
      </c>
      <c r="AM119" s="47">
        <v>0</v>
      </c>
      <c r="AN119" s="47">
        <v>0</v>
      </c>
      <c r="AO119" s="47">
        <v>0</v>
      </c>
      <c r="AP119" s="47">
        <v>0</v>
      </c>
      <c r="AQ119" s="47">
        <v>0</v>
      </c>
      <c r="AR119" s="47">
        <v>0</v>
      </c>
      <c r="AS119" s="47"/>
      <c r="AT119" s="47"/>
      <c r="AU119" s="47"/>
      <c r="AV119" s="47"/>
      <c r="AW119" s="47"/>
      <c r="AX119" s="47"/>
      <c r="AY119" s="47"/>
      <c r="AZ119" s="47"/>
      <c r="BA119" s="47"/>
      <c r="BB119" s="47"/>
      <c r="BC119" s="47"/>
      <c r="BD119" s="47"/>
      <c r="BE119" s="47"/>
      <c r="BF119" s="47"/>
    </row>
    <row r="120" spans="1:58" hidden="1">
      <c r="A120" s="46" t="s">
        <v>279</v>
      </c>
      <c r="B120" s="46" t="s">
        <v>274</v>
      </c>
      <c r="C120" s="47">
        <v>0</v>
      </c>
      <c r="D120" s="47">
        <v>0</v>
      </c>
      <c r="E120" s="47">
        <v>0</v>
      </c>
      <c r="F120" s="47">
        <v>0</v>
      </c>
      <c r="G120" s="47">
        <v>0</v>
      </c>
      <c r="H120" s="47">
        <v>0</v>
      </c>
      <c r="I120" s="47">
        <v>0</v>
      </c>
      <c r="J120" s="47">
        <v>0</v>
      </c>
      <c r="K120" s="47">
        <v>0</v>
      </c>
      <c r="L120" s="47">
        <v>0</v>
      </c>
      <c r="M120" s="47">
        <v>0</v>
      </c>
      <c r="N120" s="47">
        <v>0</v>
      </c>
      <c r="O120" s="47">
        <v>0</v>
      </c>
      <c r="P120" s="47">
        <v>0</v>
      </c>
      <c r="Q120" s="85"/>
      <c r="R120" s="85"/>
      <c r="S120" s="85"/>
      <c r="T120" s="85"/>
      <c r="U120" s="85"/>
      <c r="V120" s="85"/>
      <c r="W120" s="85"/>
      <c r="X120" s="85"/>
      <c r="Y120" s="85"/>
      <c r="Z120" s="85"/>
      <c r="AA120" s="85"/>
      <c r="AB120" s="85"/>
      <c r="AC120" s="85"/>
      <c r="AD120" s="85"/>
      <c r="AE120" s="47">
        <v>0</v>
      </c>
      <c r="AF120" s="47">
        <v>0</v>
      </c>
      <c r="AG120" s="47">
        <v>0</v>
      </c>
      <c r="AH120" s="47">
        <v>0</v>
      </c>
      <c r="AI120" s="47">
        <v>0</v>
      </c>
      <c r="AJ120" s="47">
        <v>0</v>
      </c>
      <c r="AK120" s="47">
        <v>0</v>
      </c>
      <c r="AL120" s="47">
        <v>0</v>
      </c>
      <c r="AM120" s="47">
        <v>0</v>
      </c>
      <c r="AN120" s="47">
        <v>0</v>
      </c>
      <c r="AO120" s="47">
        <v>0</v>
      </c>
      <c r="AP120" s="47">
        <v>0</v>
      </c>
      <c r="AQ120" s="47">
        <v>0</v>
      </c>
      <c r="AR120" s="47">
        <v>0</v>
      </c>
      <c r="AS120" s="47"/>
      <c r="AT120" s="47"/>
      <c r="AU120" s="47"/>
      <c r="AV120" s="47"/>
      <c r="AW120" s="47"/>
      <c r="AX120" s="47"/>
      <c r="AY120" s="47"/>
      <c r="AZ120" s="47"/>
      <c r="BA120" s="47"/>
      <c r="BB120" s="47"/>
      <c r="BC120" s="47"/>
      <c r="BD120" s="47"/>
      <c r="BE120" s="47"/>
      <c r="BF120" s="47"/>
    </row>
    <row r="121" spans="1:58" hidden="1">
      <c r="A121" s="46" t="s">
        <v>279</v>
      </c>
      <c r="B121" s="46" t="s">
        <v>275</v>
      </c>
      <c r="C121" s="47">
        <v>0</v>
      </c>
      <c r="D121" s="47">
        <v>0</v>
      </c>
      <c r="E121" s="47">
        <v>0</v>
      </c>
      <c r="F121" s="47">
        <v>0</v>
      </c>
      <c r="G121" s="47">
        <v>0</v>
      </c>
      <c r="H121" s="47">
        <v>0</v>
      </c>
      <c r="I121" s="47">
        <v>0</v>
      </c>
      <c r="J121" s="47">
        <v>0</v>
      </c>
      <c r="K121" s="47">
        <v>0</v>
      </c>
      <c r="L121" s="47">
        <v>0</v>
      </c>
      <c r="M121" s="47">
        <v>0</v>
      </c>
      <c r="N121" s="47">
        <v>0</v>
      </c>
      <c r="O121" s="47">
        <v>0</v>
      </c>
      <c r="P121" s="47">
        <v>0</v>
      </c>
      <c r="Q121" s="85"/>
      <c r="R121" s="85"/>
      <c r="S121" s="85"/>
      <c r="T121" s="85"/>
      <c r="U121" s="85"/>
      <c r="V121" s="85"/>
      <c r="W121" s="85"/>
      <c r="X121" s="85"/>
      <c r="Y121" s="85"/>
      <c r="Z121" s="85"/>
      <c r="AA121" s="85"/>
      <c r="AB121" s="85"/>
      <c r="AC121" s="85"/>
      <c r="AD121" s="85"/>
      <c r="AE121" s="47">
        <v>0</v>
      </c>
      <c r="AF121" s="47">
        <v>0</v>
      </c>
      <c r="AG121" s="47">
        <v>0</v>
      </c>
      <c r="AH121" s="47">
        <v>0</v>
      </c>
      <c r="AI121" s="47">
        <v>0</v>
      </c>
      <c r="AJ121" s="47">
        <v>0</v>
      </c>
      <c r="AK121" s="47">
        <v>0</v>
      </c>
      <c r="AL121" s="47">
        <v>0</v>
      </c>
      <c r="AM121" s="47">
        <v>0</v>
      </c>
      <c r="AN121" s="47">
        <v>0</v>
      </c>
      <c r="AO121" s="47">
        <v>0</v>
      </c>
      <c r="AP121" s="47">
        <v>0</v>
      </c>
      <c r="AQ121" s="47">
        <v>0</v>
      </c>
      <c r="AR121" s="47">
        <v>0</v>
      </c>
      <c r="AS121" s="47"/>
      <c r="AT121" s="47"/>
      <c r="AU121" s="47"/>
      <c r="AV121" s="47"/>
      <c r="AW121" s="47"/>
      <c r="AX121" s="47"/>
      <c r="AY121" s="47"/>
      <c r="AZ121" s="47"/>
      <c r="BA121" s="47"/>
      <c r="BB121" s="47"/>
      <c r="BC121" s="47"/>
      <c r="BD121" s="47"/>
      <c r="BE121" s="47"/>
      <c r="BF121" s="47"/>
    </row>
    <row r="122" spans="1:58" hidden="1">
      <c r="A122" s="46" t="s">
        <v>279</v>
      </c>
      <c r="B122" s="46" t="s">
        <v>276</v>
      </c>
      <c r="C122" s="47">
        <v>1216995</v>
      </c>
      <c r="D122" s="47">
        <v>1206114</v>
      </c>
      <c r="E122" s="47">
        <v>1230126</v>
      </c>
      <c r="F122" s="47">
        <v>1249528</v>
      </c>
      <c r="G122" s="47">
        <v>1265034</v>
      </c>
      <c r="H122" s="47">
        <v>1257057</v>
      </c>
      <c r="I122" s="47">
        <v>1252985</v>
      </c>
      <c r="J122" s="47">
        <v>1247035</v>
      </c>
      <c r="K122" s="47">
        <v>1192738</v>
      </c>
      <c r="L122" s="47">
        <v>1290907</v>
      </c>
      <c r="M122" s="47">
        <v>1208472</v>
      </c>
      <c r="N122" s="47">
        <v>1212635</v>
      </c>
      <c r="O122" s="47">
        <v>1174272</v>
      </c>
      <c r="P122" s="47">
        <v>1153078</v>
      </c>
      <c r="Q122" s="85">
        <v>67.930000000000007</v>
      </c>
      <c r="R122" s="85">
        <v>65.09</v>
      </c>
      <c r="S122" s="85">
        <v>72.7</v>
      </c>
      <c r="T122" s="85">
        <v>70.37</v>
      </c>
      <c r="U122" s="85">
        <v>75.349999999999994</v>
      </c>
      <c r="V122" s="85">
        <v>74.22</v>
      </c>
      <c r="W122" s="85">
        <v>46.43</v>
      </c>
      <c r="X122" s="85">
        <v>71.099999999999994</v>
      </c>
      <c r="Y122" s="85">
        <v>69.22</v>
      </c>
      <c r="Z122" s="85">
        <v>73.14</v>
      </c>
      <c r="AA122" s="85">
        <v>57.97</v>
      </c>
      <c r="AB122" s="85">
        <v>72.34</v>
      </c>
      <c r="AC122" s="85">
        <v>66.989999999999995</v>
      </c>
      <c r="AD122" s="85">
        <v>72.58</v>
      </c>
      <c r="AE122" s="47">
        <v>82668176</v>
      </c>
      <c r="AF122" s="47">
        <v>78505433</v>
      </c>
      <c r="AG122" s="47">
        <v>89428451</v>
      </c>
      <c r="AH122" s="47">
        <v>87924867</v>
      </c>
      <c r="AI122" s="47">
        <v>95320942</v>
      </c>
      <c r="AJ122" s="47">
        <v>93293700</v>
      </c>
      <c r="AK122" s="47">
        <v>58171103</v>
      </c>
      <c r="AL122" s="47">
        <v>88664272</v>
      </c>
      <c r="AM122" s="47">
        <v>82556895</v>
      </c>
      <c r="AN122" s="47">
        <v>94419011</v>
      </c>
      <c r="AO122" s="47">
        <v>70055344</v>
      </c>
      <c r="AP122" s="47">
        <v>87727655</v>
      </c>
      <c r="AQ122" s="47">
        <v>78662892</v>
      </c>
      <c r="AR122" s="47">
        <v>83692649</v>
      </c>
      <c r="AS122" s="47"/>
      <c r="AT122" s="47"/>
      <c r="AU122" s="47"/>
      <c r="AV122" s="47"/>
      <c r="AW122" s="47"/>
      <c r="AX122" s="47"/>
      <c r="AY122" s="47"/>
      <c r="AZ122" s="47"/>
      <c r="BA122" s="47"/>
      <c r="BB122" s="47"/>
      <c r="BC122" s="47"/>
      <c r="BD122" s="47"/>
      <c r="BE122" s="47"/>
      <c r="BF122" s="47"/>
    </row>
    <row r="123" spans="1:58" hidden="1">
      <c r="A123" s="46" t="s">
        <v>279</v>
      </c>
      <c r="B123" s="46" t="s">
        <v>277</v>
      </c>
      <c r="C123" s="47"/>
      <c r="D123" s="47"/>
      <c r="E123" s="47"/>
      <c r="F123" s="47"/>
      <c r="G123" s="47"/>
      <c r="H123" s="47"/>
      <c r="I123" s="47"/>
      <c r="J123" s="47"/>
      <c r="K123" s="47"/>
      <c r="L123" s="47"/>
      <c r="M123" s="47"/>
      <c r="N123" s="47"/>
      <c r="O123" s="47"/>
      <c r="P123" s="47"/>
      <c r="Q123" s="85"/>
      <c r="R123" s="85"/>
      <c r="S123" s="85"/>
      <c r="T123" s="85"/>
      <c r="U123" s="85"/>
      <c r="V123" s="85"/>
      <c r="W123" s="85"/>
      <c r="X123" s="85"/>
      <c r="Y123" s="85"/>
      <c r="Z123" s="85"/>
      <c r="AA123" s="85"/>
      <c r="AB123" s="85"/>
      <c r="AC123" s="85"/>
      <c r="AD123" s="85"/>
      <c r="AE123" s="47">
        <v>12667200</v>
      </c>
      <c r="AF123" s="47">
        <v>12456700</v>
      </c>
      <c r="AG123" s="47">
        <v>12788200</v>
      </c>
      <c r="AH123" s="47">
        <v>12455600</v>
      </c>
      <c r="AI123" s="47">
        <v>12788700</v>
      </c>
      <c r="AJ123" s="47">
        <v>13060400</v>
      </c>
      <c r="AK123" s="47">
        <v>13395100</v>
      </c>
      <c r="AL123" s="47">
        <v>13164600</v>
      </c>
      <c r="AM123" s="47">
        <v>12394900</v>
      </c>
      <c r="AN123" s="47">
        <v>13137400</v>
      </c>
      <c r="AO123" s="47">
        <v>11722400</v>
      </c>
      <c r="AP123" s="47">
        <v>12363100</v>
      </c>
      <c r="AQ123" s="47">
        <v>12082500</v>
      </c>
      <c r="AR123" s="47">
        <v>11968400</v>
      </c>
      <c r="AS123" s="47"/>
      <c r="AT123" s="47"/>
      <c r="AU123" s="47"/>
      <c r="AV123" s="47"/>
      <c r="AW123" s="47"/>
      <c r="AX123" s="47"/>
      <c r="AY123" s="47"/>
      <c r="AZ123" s="47"/>
      <c r="BA123" s="47"/>
      <c r="BB123" s="47"/>
      <c r="BC123" s="47"/>
      <c r="BD123" s="47"/>
      <c r="BE123" s="47"/>
      <c r="BF123" s="47"/>
    </row>
    <row r="124" spans="1:58" hidden="1">
      <c r="A124" s="46" t="s">
        <v>279</v>
      </c>
      <c r="B124" s="46" t="s">
        <v>65</v>
      </c>
      <c r="C124" s="47">
        <v>306890</v>
      </c>
      <c r="D124" s="47">
        <v>324400</v>
      </c>
      <c r="E124" s="47">
        <v>331300</v>
      </c>
      <c r="F124" s="47">
        <v>272600</v>
      </c>
      <c r="G124" s="47">
        <v>291995</v>
      </c>
      <c r="H124" s="47">
        <v>302736</v>
      </c>
      <c r="I124" s="47">
        <v>313050</v>
      </c>
      <c r="J124" s="47">
        <v>270280</v>
      </c>
      <c r="K124" s="47">
        <v>327620</v>
      </c>
      <c r="L124" s="47">
        <v>183770</v>
      </c>
      <c r="M124" s="47">
        <v>195635</v>
      </c>
      <c r="N124" s="47">
        <v>223540</v>
      </c>
      <c r="O124" s="47">
        <v>271960</v>
      </c>
      <c r="P124" s="47">
        <v>284395</v>
      </c>
      <c r="Q124" s="85">
        <v>31.52</v>
      </c>
      <c r="R124" s="85">
        <v>31.91</v>
      </c>
      <c r="S124" s="85">
        <v>35.33</v>
      </c>
      <c r="T124" s="85">
        <v>27.59</v>
      </c>
      <c r="U124" s="85">
        <v>36.869999999999997</v>
      </c>
      <c r="V124" s="85">
        <v>34.33</v>
      </c>
      <c r="W124" s="85">
        <v>29.48</v>
      </c>
      <c r="X124" s="85">
        <v>36.81</v>
      </c>
      <c r="Y124" s="85">
        <v>30.58</v>
      </c>
      <c r="Z124" s="85">
        <v>31.66</v>
      </c>
      <c r="AA124" s="85">
        <v>30.75</v>
      </c>
      <c r="AB124" s="85">
        <v>34.6</v>
      </c>
      <c r="AC124" s="85">
        <v>35.299999999999997</v>
      </c>
      <c r="AD124" s="85">
        <v>31.16</v>
      </c>
      <c r="AE124" s="47">
        <v>9673909</v>
      </c>
      <c r="AF124" s="47">
        <v>10352200</v>
      </c>
      <c r="AG124" s="47">
        <v>11703900</v>
      </c>
      <c r="AH124" s="47">
        <v>7520900</v>
      </c>
      <c r="AI124" s="47">
        <v>10766800</v>
      </c>
      <c r="AJ124" s="47">
        <v>10392108</v>
      </c>
      <c r="AK124" s="47">
        <v>9227713</v>
      </c>
      <c r="AL124" s="47">
        <v>9950168</v>
      </c>
      <c r="AM124" s="47">
        <v>10019235</v>
      </c>
      <c r="AN124" s="47">
        <v>5818000</v>
      </c>
      <c r="AO124" s="47">
        <v>6015338</v>
      </c>
      <c r="AP124" s="47">
        <v>7735320</v>
      </c>
      <c r="AQ124" s="47">
        <v>9599425</v>
      </c>
      <c r="AR124" s="47">
        <v>8860745</v>
      </c>
      <c r="AS124" s="47"/>
      <c r="AT124" s="47"/>
      <c r="AU124" s="47"/>
      <c r="AV124" s="47"/>
      <c r="AW124" s="47"/>
      <c r="AX124" s="47"/>
      <c r="AY124" s="47"/>
      <c r="AZ124" s="47"/>
      <c r="BA124" s="47"/>
      <c r="BB124" s="47"/>
      <c r="BC124" s="47"/>
      <c r="BD124" s="47"/>
      <c r="BE124" s="47"/>
      <c r="BF124" s="47"/>
    </row>
    <row r="125" spans="1:58" hidden="1">
      <c r="A125" s="46" t="s">
        <v>279</v>
      </c>
      <c r="B125" s="46" t="s">
        <v>66</v>
      </c>
      <c r="C125" s="47">
        <v>801</v>
      </c>
      <c r="D125" s="47">
        <v>1500</v>
      </c>
      <c r="E125" s="47">
        <v>1200</v>
      </c>
      <c r="F125" s="47">
        <v>930</v>
      </c>
      <c r="G125" s="47">
        <v>198</v>
      </c>
      <c r="H125" s="47">
        <v>142</v>
      </c>
      <c r="I125" s="47">
        <v>151</v>
      </c>
      <c r="J125" s="47">
        <v>175</v>
      </c>
      <c r="K125" s="47">
        <v>81</v>
      </c>
      <c r="L125" s="47">
        <v>66</v>
      </c>
      <c r="M125" s="47">
        <v>130</v>
      </c>
      <c r="N125" s="47">
        <v>90</v>
      </c>
      <c r="O125" s="47">
        <v>135</v>
      </c>
      <c r="P125" s="47">
        <v>75</v>
      </c>
      <c r="Q125" s="85">
        <v>29.2</v>
      </c>
      <c r="R125" s="85">
        <v>25.87</v>
      </c>
      <c r="S125" s="85">
        <v>31.5</v>
      </c>
      <c r="T125" s="85">
        <v>26.04</v>
      </c>
      <c r="U125" s="85">
        <v>36.549999999999997</v>
      </c>
      <c r="V125" s="85">
        <v>34.61</v>
      </c>
      <c r="W125" s="85">
        <v>29.75</v>
      </c>
      <c r="X125" s="85">
        <v>33.14</v>
      </c>
      <c r="Y125" s="85">
        <v>31.48</v>
      </c>
      <c r="Z125" s="85">
        <v>29</v>
      </c>
      <c r="AA125" s="85">
        <v>27.31</v>
      </c>
      <c r="AB125" s="85">
        <v>31</v>
      </c>
      <c r="AC125" s="85">
        <v>33.85</v>
      </c>
      <c r="AD125" s="85">
        <v>30.6</v>
      </c>
      <c r="AE125" s="47">
        <v>23393</v>
      </c>
      <c r="AF125" s="47">
        <v>38800</v>
      </c>
      <c r="AG125" s="47">
        <v>37800</v>
      </c>
      <c r="AH125" s="47">
        <v>24220</v>
      </c>
      <c r="AI125" s="47">
        <v>7236</v>
      </c>
      <c r="AJ125" s="47">
        <v>4915</v>
      </c>
      <c r="AK125" s="47">
        <v>4493</v>
      </c>
      <c r="AL125" s="47">
        <v>5800</v>
      </c>
      <c r="AM125" s="47">
        <v>2550</v>
      </c>
      <c r="AN125" s="47">
        <v>1914</v>
      </c>
      <c r="AO125" s="47">
        <v>3550</v>
      </c>
      <c r="AP125" s="47">
        <v>2790</v>
      </c>
      <c r="AQ125" s="47">
        <v>4570</v>
      </c>
      <c r="AR125" s="47">
        <v>2295</v>
      </c>
      <c r="AS125" s="47"/>
      <c r="AT125" s="47"/>
      <c r="AU125" s="47"/>
      <c r="AV125" s="47"/>
      <c r="AW125" s="47"/>
      <c r="AX125" s="47"/>
      <c r="AY125" s="47"/>
      <c r="AZ125" s="47"/>
      <c r="BA125" s="47"/>
      <c r="BB125" s="47"/>
      <c r="BC125" s="47"/>
      <c r="BD125" s="47"/>
      <c r="BE125" s="47"/>
      <c r="BF125" s="47"/>
    </row>
    <row r="126" spans="1:58" hidden="1">
      <c r="A126" s="46" t="s">
        <v>279</v>
      </c>
      <c r="B126" s="46" t="s">
        <v>67</v>
      </c>
      <c r="C126" s="47">
        <v>307691</v>
      </c>
      <c r="D126" s="47">
        <v>325900</v>
      </c>
      <c r="E126" s="47">
        <v>332500</v>
      </c>
      <c r="F126" s="47">
        <v>273530</v>
      </c>
      <c r="G126" s="47">
        <v>292193</v>
      </c>
      <c r="H126" s="47">
        <v>302878</v>
      </c>
      <c r="I126" s="47">
        <v>313201</v>
      </c>
      <c r="J126" s="47">
        <v>270455</v>
      </c>
      <c r="K126" s="47">
        <v>327701</v>
      </c>
      <c r="L126" s="47">
        <v>183836</v>
      </c>
      <c r="M126" s="47">
        <v>195765</v>
      </c>
      <c r="N126" s="47">
        <v>223630</v>
      </c>
      <c r="O126" s="47">
        <v>272095</v>
      </c>
      <c r="P126" s="47">
        <v>284470</v>
      </c>
      <c r="Q126" s="85">
        <v>31.52</v>
      </c>
      <c r="R126" s="85">
        <v>31.88</v>
      </c>
      <c r="S126" s="85">
        <v>35.31</v>
      </c>
      <c r="T126" s="85">
        <v>27.58</v>
      </c>
      <c r="U126" s="85">
        <v>36.869999999999997</v>
      </c>
      <c r="V126" s="85">
        <v>34.33</v>
      </c>
      <c r="W126" s="85">
        <v>29.48</v>
      </c>
      <c r="X126" s="85">
        <v>36.81</v>
      </c>
      <c r="Y126" s="85">
        <v>30.58</v>
      </c>
      <c r="Z126" s="85">
        <v>31.66</v>
      </c>
      <c r="AA126" s="85">
        <v>30.75</v>
      </c>
      <c r="AB126" s="85">
        <v>34.6</v>
      </c>
      <c r="AC126" s="85">
        <v>35.299999999999997</v>
      </c>
      <c r="AD126" s="85">
        <v>31.16</v>
      </c>
      <c r="AE126" s="47">
        <v>9697302</v>
      </c>
      <c r="AF126" s="47">
        <v>10391000</v>
      </c>
      <c r="AG126" s="47">
        <v>11741700</v>
      </c>
      <c r="AH126" s="47">
        <v>7545120</v>
      </c>
      <c r="AI126" s="47">
        <v>10774036</v>
      </c>
      <c r="AJ126" s="47">
        <v>10397023</v>
      </c>
      <c r="AK126" s="47">
        <v>9232206</v>
      </c>
      <c r="AL126" s="47">
        <v>9955968</v>
      </c>
      <c r="AM126" s="47">
        <v>10021785</v>
      </c>
      <c r="AN126" s="47">
        <v>5819914</v>
      </c>
      <c r="AO126" s="47">
        <v>6018888</v>
      </c>
      <c r="AP126" s="47">
        <v>7738110</v>
      </c>
      <c r="AQ126" s="47">
        <v>9603995</v>
      </c>
      <c r="AR126" s="47">
        <v>8863040</v>
      </c>
      <c r="AS126" s="47"/>
      <c r="AT126" s="47"/>
      <c r="AU126" s="47"/>
      <c r="AV126" s="47"/>
      <c r="AW126" s="47"/>
      <c r="AX126" s="47"/>
      <c r="AY126" s="47"/>
      <c r="AZ126" s="47"/>
      <c r="BA126" s="47"/>
      <c r="BB126" s="47"/>
      <c r="BC126" s="47"/>
      <c r="BD126" s="47"/>
      <c r="BE126" s="47"/>
      <c r="BF126" s="47"/>
    </row>
    <row r="127" spans="1:58" hidden="1">
      <c r="A127" s="46" t="s">
        <v>279</v>
      </c>
      <c r="B127" s="46" t="s">
        <v>68</v>
      </c>
      <c r="C127" s="47">
        <v>84994</v>
      </c>
      <c r="D127" s="47">
        <v>83900</v>
      </c>
      <c r="E127" s="47">
        <v>70100</v>
      </c>
      <c r="F127" s="47">
        <v>108500</v>
      </c>
      <c r="G127" s="47">
        <v>77305</v>
      </c>
      <c r="H127" s="47">
        <v>61590</v>
      </c>
      <c r="I127" s="47">
        <v>45175</v>
      </c>
      <c r="J127" s="47">
        <v>60145</v>
      </c>
      <c r="K127" s="47">
        <v>57040</v>
      </c>
      <c r="L127" s="47">
        <v>80240</v>
      </c>
      <c r="M127" s="47">
        <v>116045</v>
      </c>
      <c r="N127" s="47">
        <v>98575</v>
      </c>
      <c r="O127" s="47">
        <v>114290</v>
      </c>
      <c r="P127" s="47">
        <v>108005</v>
      </c>
      <c r="Q127" s="85">
        <v>26.25</v>
      </c>
      <c r="R127" s="85">
        <v>28.25</v>
      </c>
      <c r="S127" s="85">
        <v>25.34</v>
      </c>
      <c r="T127" s="85">
        <v>22.43</v>
      </c>
      <c r="U127" s="85">
        <v>23.49</v>
      </c>
      <c r="V127" s="85">
        <v>19.61</v>
      </c>
      <c r="W127" s="85">
        <v>19.25</v>
      </c>
      <c r="X127" s="85">
        <v>31.14</v>
      </c>
      <c r="Y127" s="85">
        <v>24.85</v>
      </c>
      <c r="Z127" s="85">
        <v>20.149999999999999</v>
      </c>
      <c r="AA127" s="85">
        <v>22.18</v>
      </c>
      <c r="AB127" s="85">
        <v>28.56</v>
      </c>
      <c r="AC127" s="85">
        <v>23.13</v>
      </c>
      <c r="AD127" s="85">
        <v>26.02</v>
      </c>
      <c r="AE127" s="47">
        <v>2230922</v>
      </c>
      <c r="AF127" s="47">
        <v>2369800</v>
      </c>
      <c r="AG127" s="47">
        <v>1776200</v>
      </c>
      <c r="AH127" s="47">
        <v>2433900</v>
      </c>
      <c r="AI127" s="47">
        <v>1815680</v>
      </c>
      <c r="AJ127" s="47">
        <v>1207770</v>
      </c>
      <c r="AK127" s="47">
        <v>869595</v>
      </c>
      <c r="AL127" s="47">
        <v>1872710</v>
      </c>
      <c r="AM127" s="47">
        <v>1417600</v>
      </c>
      <c r="AN127" s="47">
        <v>1616555</v>
      </c>
      <c r="AO127" s="47">
        <v>2574410</v>
      </c>
      <c r="AP127" s="47">
        <v>2815650</v>
      </c>
      <c r="AQ127" s="47">
        <v>2643830</v>
      </c>
      <c r="AR127" s="47">
        <v>2810220</v>
      </c>
      <c r="AS127" s="47"/>
      <c r="AT127" s="47"/>
      <c r="AU127" s="47"/>
      <c r="AV127" s="47"/>
      <c r="AW127" s="47"/>
      <c r="AX127" s="47"/>
      <c r="AY127" s="47"/>
      <c r="AZ127" s="47"/>
      <c r="BA127" s="47"/>
      <c r="BB127" s="47"/>
      <c r="BC127" s="47"/>
      <c r="BD127" s="47"/>
      <c r="BE127" s="47"/>
      <c r="BF127" s="47"/>
    </row>
    <row r="128" spans="1:58" hidden="1">
      <c r="A128" s="46" t="s">
        <v>279</v>
      </c>
      <c r="B128" s="46" t="s">
        <v>69</v>
      </c>
      <c r="C128" s="47">
        <v>418</v>
      </c>
      <c r="D128" s="47">
        <v>440</v>
      </c>
      <c r="E128" s="47">
        <v>290</v>
      </c>
      <c r="F128" s="47">
        <v>300</v>
      </c>
      <c r="G128" s="47">
        <v>577</v>
      </c>
      <c r="H128" s="47">
        <v>1841</v>
      </c>
      <c r="I128" s="47">
        <v>1935</v>
      </c>
      <c r="J128" s="47">
        <v>2470</v>
      </c>
      <c r="K128" s="47">
        <v>3635</v>
      </c>
      <c r="L128" s="47">
        <v>4925</v>
      </c>
      <c r="M128" s="47">
        <v>6085</v>
      </c>
      <c r="N128" s="47">
        <v>3755</v>
      </c>
      <c r="O128" s="47">
        <v>4085</v>
      </c>
      <c r="P128" s="47">
        <v>4115</v>
      </c>
      <c r="Q128" s="85">
        <v>24.33</v>
      </c>
      <c r="R128" s="85">
        <v>25</v>
      </c>
      <c r="S128" s="85">
        <v>24.43</v>
      </c>
      <c r="T128" s="85">
        <v>24</v>
      </c>
      <c r="U128" s="85">
        <v>22.77</v>
      </c>
      <c r="V128" s="85">
        <v>24.43</v>
      </c>
      <c r="W128" s="85">
        <v>19.61</v>
      </c>
      <c r="X128" s="85">
        <v>25.94</v>
      </c>
      <c r="Y128" s="85">
        <v>27.99</v>
      </c>
      <c r="Z128" s="85">
        <v>21.87</v>
      </c>
      <c r="AA128" s="85">
        <v>23.19</v>
      </c>
      <c r="AB128" s="85">
        <v>24.01</v>
      </c>
      <c r="AC128" s="85">
        <v>24.7</v>
      </c>
      <c r="AD128" s="85">
        <v>26.87</v>
      </c>
      <c r="AE128" s="47">
        <v>10168</v>
      </c>
      <c r="AF128" s="47">
        <v>11000</v>
      </c>
      <c r="AG128" s="47">
        <v>7085</v>
      </c>
      <c r="AH128" s="47">
        <v>7200</v>
      </c>
      <c r="AI128" s="47">
        <v>13140</v>
      </c>
      <c r="AJ128" s="47">
        <v>44978</v>
      </c>
      <c r="AK128" s="47">
        <v>37950</v>
      </c>
      <c r="AL128" s="47">
        <v>64075</v>
      </c>
      <c r="AM128" s="47">
        <v>101730</v>
      </c>
      <c r="AN128" s="47">
        <v>107730</v>
      </c>
      <c r="AO128" s="47">
        <v>141090</v>
      </c>
      <c r="AP128" s="47">
        <v>90170</v>
      </c>
      <c r="AQ128" s="47">
        <v>100905</v>
      </c>
      <c r="AR128" s="47">
        <v>110570</v>
      </c>
      <c r="AS128" s="47"/>
      <c r="AT128" s="47"/>
      <c r="AU128" s="47"/>
      <c r="AV128" s="47"/>
      <c r="AW128" s="47"/>
      <c r="AX128" s="47"/>
      <c r="AY128" s="47"/>
      <c r="AZ128" s="47"/>
      <c r="BA128" s="47"/>
      <c r="BB128" s="47"/>
      <c r="BC128" s="47"/>
      <c r="BD128" s="47"/>
      <c r="BE128" s="47"/>
      <c r="BF128" s="47"/>
    </row>
    <row r="129" spans="1:58" hidden="1">
      <c r="A129" s="46" t="s">
        <v>279</v>
      </c>
      <c r="B129" s="46" t="s">
        <v>70</v>
      </c>
      <c r="C129" s="47">
        <v>4603</v>
      </c>
      <c r="D129" s="47">
        <v>3980</v>
      </c>
      <c r="E129" s="47">
        <v>2670</v>
      </c>
      <c r="F129" s="47">
        <v>2340</v>
      </c>
      <c r="G129" s="47">
        <v>3690</v>
      </c>
      <c r="H129" s="47">
        <v>5695</v>
      </c>
      <c r="I129" s="47">
        <v>6780</v>
      </c>
      <c r="J129" s="47">
        <v>7650</v>
      </c>
      <c r="K129" s="47">
        <v>6785</v>
      </c>
      <c r="L129" s="47">
        <v>6205</v>
      </c>
      <c r="M129" s="47">
        <v>10165</v>
      </c>
      <c r="N129" s="47">
        <v>12145</v>
      </c>
      <c r="O129" s="47">
        <v>7085</v>
      </c>
      <c r="P129" s="47">
        <v>6260</v>
      </c>
      <c r="Q129" s="85">
        <v>19.559999999999999</v>
      </c>
      <c r="R129" s="85">
        <v>17.59</v>
      </c>
      <c r="S129" s="85">
        <v>18.350000000000001</v>
      </c>
      <c r="T129" s="85">
        <v>19.23</v>
      </c>
      <c r="U129" s="85">
        <v>25.47</v>
      </c>
      <c r="V129" s="85">
        <v>20.59</v>
      </c>
      <c r="W129" s="85">
        <v>19.7</v>
      </c>
      <c r="X129" s="85">
        <v>21.5</v>
      </c>
      <c r="Y129" s="85">
        <v>20.48</v>
      </c>
      <c r="Z129" s="85">
        <v>20.98</v>
      </c>
      <c r="AA129" s="85">
        <v>19.87</v>
      </c>
      <c r="AB129" s="85">
        <v>21.92</v>
      </c>
      <c r="AC129" s="85">
        <v>20.68</v>
      </c>
      <c r="AD129" s="85">
        <v>21.88</v>
      </c>
      <c r="AE129" s="47">
        <v>90021</v>
      </c>
      <c r="AF129" s="47">
        <v>70000</v>
      </c>
      <c r="AG129" s="47">
        <v>49000</v>
      </c>
      <c r="AH129" s="47">
        <v>45000</v>
      </c>
      <c r="AI129" s="47">
        <v>94000</v>
      </c>
      <c r="AJ129" s="47">
        <v>117280</v>
      </c>
      <c r="AK129" s="47">
        <v>133595</v>
      </c>
      <c r="AL129" s="47">
        <v>164450</v>
      </c>
      <c r="AM129" s="47">
        <v>138975</v>
      </c>
      <c r="AN129" s="47">
        <v>130170</v>
      </c>
      <c r="AO129" s="47">
        <v>201975</v>
      </c>
      <c r="AP129" s="47">
        <v>266270</v>
      </c>
      <c r="AQ129" s="47">
        <v>146540</v>
      </c>
      <c r="AR129" s="47">
        <v>136992</v>
      </c>
      <c r="AS129" s="47"/>
      <c r="AT129" s="47"/>
      <c r="AU129" s="47"/>
      <c r="AV129" s="47"/>
      <c r="AW129" s="47"/>
      <c r="AX129" s="47"/>
      <c r="AY129" s="47"/>
      <c r="AZ129" s="47"/>
      <c r="BA129" s="47"/>
      <c r="BB129" s="47"/>
      <c r="BC129" s="47"/>
      <c r="BD129" s="47"/>
      <c r="BE129" s="47"/>
      <c r="BF129" s="47"/>
    </row>
    <row r="130" spans="1:58" hidden="1">
      <c r="A130" s="46" t="s">
        <v>279</v>
      </c>
      <c r="B130" s="46" t="s">
        <v>71</v>
      </c>
      <c r="C130" s="47">
        <v>465</v>
      </c>
      <c r="D130" s="47">
        <v>400</v>
      </c>
      <c r="E130" s="47">
        <v>1930</v>
      </c>
      <c r="F130" s="47">
        <v>2860</v>
      </c>
      <c r="G130" s="47">
        <v>610</v>
      </c>
      <c r="H130" s="47">
        <v>690</v>
      </c>
      <c r="I130" s="47">
        <v>750</v>
      </c>
      <c r="J130" s="47">
        <v>760</v>
      </c>
      <c r="K130" s="47">
        <v>705</v>
      </c>
      <c r="L130" s="47">
        <v>700</v>
      </c>
      <c r="M130" s="47">
        <v>1135</v>
      </c>
      <c r="N130" s="47">
        <v>925</v>
      </c>
      <c r="O130" s="47">
        <v>775</v>
      </c>
      <c r="P130" s="47">
        <v>1675</v>
      </c>
      <c r="Q130" s="85"/>
      <c r="R130" s="85"/>
      <c r="S130" s="85"/>
      <c r="T130" s="85"/>
      <c r="U130" s="85"/>
      <c r="V130" s="85"/>
      <c r="W130" s="85"/>
      <c r="X130" s="85"/>
      <c r="Y130" s="85"/>
      <c r="Z130" s="85"/>
      <c r="AA130" s="85"/>
      <c r="AB130" s="85"/>
      <c r="AC130" s="85"/>
      <c r="AD130" s="85"/>
      <c r="AE130" s="47">
        <v>11625</v>
      </c>
      <c r="AF130" s="47">
        <v>9200</v>
      </c>
      <c r="AG130" s="47">
        <v>49000</v>
      </c>
      <c r="AH130" s="47">
        <v>75200</v>
      </c>
      <c r="AI130" s="47">
        <v>12900</v>
      </c>
      <c r="AJ130" s="47">
        <v>16980</v>
      </c>
      <c r="AK130" s="47">
        <v>14800</v>
      </c>
      <c r="AL130" s="47">
        <v>16285</v>
      </c>
      <c r="AM130" s="47">
        <v>14515</v>
      </c>
      <c r="AN130" s="47">
        <v>14810</v>
      </c>
      <c r="AO130" s="47">
        <v>22855</v>
      </c>
      <c r="AP130" s="47">
        <v>20335</v>
      </c>
      <c r="AQ130" s="47">
        <v>16425</v>
      </c>
      <c r="AR130" s="47">
        <v>37058</v>
      </c>
      <c r="AS130" s="47"/>
      <c r="AT130" s="47"/>
      <c r="AU130" s="47"/>
      <c r="AV130" s="47"/>
      <c r="AW130" s="47"/>
      <c r="AX130" s="47"/>
      <c r="AY130" s="47"/>
      <c r="AZ130" s="47"/>
      <c r="BA130" s="47"/>
      <c r="BB130" s="47"/>
      <c r="BC130" s="47"/>
      <c r="BD130" s="47"/>
      <c r="BE130" s="47"/>
      <c r="BF130" s="47"/>
    </row>
    <row r="131" spans="1:58" hidden="1">
      <c r="A131" s="46" t="s">
        <v>279</v>
      </c>
      <c r="B131" s="46" t="s">
        <v>72</v>
      </c>
      <c r="C131" s="47">
        <v>398171</v>
      </c>
      <c r="D131" s="47">
        <v>414620</v>
      </c>
      <c r="E131" s="47">
        <v>407490</v>
      </c>
      <c r="F131" s="47">
        <v>387530</v>
      </c>
      <c r="G131" s="47">
        <v>374375</v>
      </c>
      <c r="H131" s="47">
        <v>372694</v>
      </c>
      <c r="I131" s="47">
        <v>367841</v>
      </c>
      <c r="J131" s="47">
        <v>341480</v>
      </c>
      <c r="K131" s="47">
        <v>395866</v>
      </c>
      <c r="L131" s="47">
        <v>275906</v>
      </c>
      <c r="M131" s="47">
        <v>329195</v>
      </c>
      <c r="N131" s="47">
        <v>339030</v>
      </c>
      <c r="O131" s="47">
        <v>398330</v>
      </c>
      <c r="P131" s="47">
        <v>404525</v>
      </c>
      <c r="Q131" s="85">
        <v>30.24</v>
      </c>
      <c r="R131" s="85">
        <v>30.99</v>
      </c>
      <c r="S131" s="85">
        <v>33.43</v>
      </c>
      <c r="T131" s="85">
        <v>26.08</v>
      </c>
      <c r="U131" s="85">
        <v>33.950000000000003</v>
      </c>
      <c r="V131" s="85">
        <v>31.62</v>
      </c>
      <c r="W131" s="85">
        <v>27.97</v>
      </c>
      <c r="X131" s="85">
        <v>35.36</v>
      </c>
      <c r="Y131" s="85">
        <v>29.54</v>
      </c>
      <c r="Z131" s="85">
        <v>27.87</v>
      </c>
      <c r="AA131" s="85">
        <v>27.22</v>
      </c>
      <c r="AB131" s="85">
        <v>32.24</v>
      </c>
      <c r="AC131" s="85">
        <v>31.41</v>
      </c>
      <c r="AD131" s="85">
        <v>29.56</v>
      </c>
      <c r="AE131" s="47">
        <v>12040038</v>
      </c>
      <c r="AF131" s="47">
        <v>12851000</v>
      </c>
      <c r="AG131" s="47">
        <v>13622985</v>
      </c>
      <c r="AH131" s="47">
        <v>10106420</v>
      </c>
      <c r="AI131" s="47">
        <v>12709756</v>
      </c>
      <c r="AJ131" s="47">
        <v>11784031</v>
      </c>
      <c r="AK131" s="47">
        <v>10288146</v>
      </c>
      <c r="AL131" s="47">
        <v>12073488</v>
      </c>
      <c r="AM131" s="47">
        <v>11694605</v>
      </c>
      <c r="AN131" s="47">
        <v>7689179</v>
      </c>
      <c r="AO131" s="47">
        <v>8959218</v>
      </c>
      <c r="AP131" s="47">
        <v>10930535</v>
      </c>
      <c r="AQ131" s="47">
        <v>12511695</v>
      </c>
      <c r="AR131" s="47">
        <v>11957880</v>
      </c>
      <c r="AS131" s="47"/>
      <c r="AT131" s="47"/>
      <c r="AU131" s="47"/>
      <c r="AV131" s="47"/>
      <c r="AW131" s="47"/>
      <c r="AX131" s="47"/>
      <c r="AY131" s="47"/>
      <c r="AZ131" s="47"/>
      <c r="BA131" s="47"/>
      <c r="BB131" s="47"/>
      <c r="BC131" s="47"/>
      <c r="BD131" s="47"/>
      <c r="BE131" s="47"/>
      <c r="BF131" s="47"/>
    </row>
    <row r="132" spans="1:58" hidden="1">
      <c r="A132" s="46" t="s">
        <v>279</v>
      </c>
      <c r="B132" s="46" t="s">
        <v>73</v>
      </c>
      <c r="C132" s="47">
        <v>0</v>
      </c>
      <c r="D132" s="47">
        <v>0</v>
      </c>
      <c r="E132" s="47">
        <v>0</v>
      </c>
      <c r="F132" s="47">
        <v>0</v>
      </c>
      <c r="G132" s="47">
        <v>0</v>
      </c>
      <c r="H132" s="47">
        <v>0</v>
      </c>
      <c r="I132" s="47">
        <v>0</v>
      </c>
      <c r="J132" s="47">
        <v>0</v>
      </c>
      <c r="K132" s="47">
        <v>0</v>
      </c>
      <c r="L132" s="47">
        <v>0</v>
      </c>
      <c r="M132" s="47">
        <v>0</v>
      </c>
      <c r="N132" s="47">
        <v>0</v>
      </c>
      <c r="O132" s="47">
        <v>0</v>
      </c>
      <c r="P132" s="47">
        <v>0</v>
      </c>
      <c r="Q132" s="85"/>
      <c r="R132" s="85"/>
      <c r="S132" s="85"/>
      <c r="T132" s="85"/>
      <c r="U132" s="85"/>
      <c r="V132" s="85"/>
      <c r="W132" s="85"/>
      <c r="X132" s="85"/>
      <c r="Y132" s="85"/>
      <c r="Z132" s="85"/>
      <c r="AA132" s="85"/>
      <c r="AB132" s="85"/>
      <c r="AC132" s="85"/>
      <c r="AD132" s="85"/>
      <c r="AE132" s="47">
        <v>0</v>
      </c>
      <c r="AF132" s="47">
        <v>0</v>
      </c>
      <c r="AG132" s="47">
        <v>0</v>
      </c>
      <c r="AH132" s="47">
        <v>0</v>
      </c>
      <c r="AI132" s="47">
        <v>0</v>
      </c>
      <c r="AJ132" s="47">
        <v>0</v>
      </c>
      <c r="AK132" s="47">
        <v>0</v>
      </c>
      <c r="AL132" s="47">
        <v>0</v>
      </c>
      <c r="AM132" s="47">
        <v>0</v>
      </c>
      <c r="AN132" s="47">
        <v>0</v>
      </c>
      <c r="AO132" s="47">
        <v>0</v>
      </c>
      <c r="AP132" s="47">
        <v>0</v>
      </c>
      <c r="AQ132" s="47">
        <v>0</v>
      </c>
      <c r="AR132" s="47">
        <v>0</v>
      </c>
      <c r="AS132" s="47"/>
      <c r="AT132" s="47"/>
      <c r="AU132" s="47"/>
      <c r="AV132" s="47"/>
      <c r="AW132" s="47"/>
      <c r="AX132" s="47"/>
      <c r="AY132" s="47"/>
      <c r="AZ132" s="47"/>
      <c r="BA132" s="47"/>
      <c r="BB132" s="47"/>
      <c r="BC132" s="47"/>
      <c r="BD132" s="47"/>
      <c r="BE132" s="47"/>
      <c r="BF132" s="47"/>
    </row>
    <row r="133" spans="1:58" hidden="1">
      <c r="A133" s="46" t="s">
        <v>279</v>
      </c>
      <c r="B133" s="46" t="s">
        <v>74</v>
      </c>
      <c r="C133" s="47">
        <v>6869</v>
      </c>
      <c r="D133" s="47">
        <v>4900</v>
      </c>
      <c r="E133" s="47">
        <v>2600</v>
      </c>
      <c r="F133" s="47">
        <v>3250</v>
      </c>
      <c r="G133" s="47">
        <v>4470</v>
      </c>
      <c r="H133" s="47">
        <v>5658</v>
      </c>
      <c r="I133" s="47">
        <v>8895</v>
      </c>
      <c r="J133" s="47">
        <v>12450</v>
      </c>
      <c r="K133" s="47">
        <v>8850</v>
      </c>
      <c r="L133" s="47">
        <v>11550</v>
      </c>
      <c r="M133" s="47">
        <v>13440</v>
      </c>
      <c r="N133" s="47">
        <v>13605</v>
      </c>
      <c r="O133" s="47">
        <v>11180</v>
      </c>
      <c r="P133" s="47">
        <v>11875</v>
      </c>
      <c r="Q133" s="85">
        <v>31.79</v>
      </c>
      <c r="R133" s="85">
        <v>30.61</v>
      </c>
      <c r="S133" s="85">
        <v>29.87</v>
      </c>
      <c r="T133" s="85">
        <v>29.05</v>
      </c>
      <c r="U133" s="85">
        <v>27.18</v>
      </c>
      <c r="V133" s="85">
        <v>27.49</v>
      </c>
      <c r="W133" s="85">
        <v>14.52</v>
      </c>
      <c r="X133" s="85">
        <v>22.81</v>
      </c>
      <c r="Y133" s="85">
        <v>25.31</v>
      </c>
      <c r="Z133" s="85">
        <v>26.41</v>
      </c>
      <c r="AA133" s="85">
        <v>18.25</v>
      </c>
      <c r="AB133" s="85">
        <v>24.05</v>
      </c>
      <c r="AC133" s="85">
        <v>21.75</v>
      </c>
      <c r="AD133" s="85">
        <v>25.75</v>
      </c>
      <c r="AE133" s="47">
        <v>218355</v>
      </c>
      <c r="AF133" s="47">
        <v>150000</v>
      </c>
      <c r="AG133" s="47">
        <v>77650</v>
      </c>
      <c r="AH133" s="47">
        <v>94400</v>
      </c>
      <c r="AI133" s="47">
        <v>121515</v>
      </c>
      <c r="AJ133" s="47">
        <v>155538</v>
      </c>
      <c r="AK133" s="47">
        <v>129115</v>
      </c>
      <c r="AL133" s="47">
        <v>283983</v>
      </c>
      <c r="AM133" s="47">
        <v>224015</v>
      </c>
      <c r="AN133" s="47">
        <v>304980</v>
      </c>
      <c r="AO133" s="47">
        <v>245330</v>
      </c>
      <c r="AP133" s="47">
        <v>327235</v>
      </c>
      <c r="AQ133" s="47">
        <v>243180</v>
      </c>
      <c r="AR133" s="47">
        <v>305745</v>
      </c>
      <c r="AS133" s="47"/>
      <c r="AT133" s="47"/>
      <c r="AU133" s="47"/>
      <c r="AV133" s="47"/>
      <c r="AW133" s="47"/>
      <c r="AX133" s="47"/>
      <c r="AY133" s="47"/>
      <c r="AZ133" s="47"/>
      <c r="BA133" s="47"/>
      <c r="BB133" s="47"/>
      <c r="BC133" s="47"/>
      <c r="BD133" s="47"/>
      <c r="BE133" s="47"/>
      <c r="BF133" s="47"/>
    </row>
    <row r="134" spans="1:58" hidden="1">
      <c r="A134" s="46" t="s">
        <v>279</v>
      </c>
      <c r="B134" s="46" t="s">
        <v>75</v>
      </c>
      <c r="C134" s="47">
        <v>459</v>
      </c>
      <c r="D134" s="47">
        <v>539</v>
      </c>
      <c r="E134" s="47">
        <v>691</v>
      </c>
      <c r="F134" s="47">
        <v>858</v>
      </c>
      <c r="G134" s="47">
        <v>973</v>
      </c>
      <c r="H134" s="47">
        <v>1093</v>
      </c>
      <c r="I134" s="47">
        <v>1099</v>
      </c>
      <c r="J134" s="47">
        <v>1331</v>
      </c>
      <c r="K134" s="47">
        <v>1481</v>
      </c>
      <c r="L134" s="47">
        <v>1573</v>
      </c>
      <c r="M134" s="47">
        <v>1686</v>
      </c>
      <c r="N134" s="47">
        <v>1603</v>
      </c>
      <c r="O134" s="47">
        <v>1129</v>
      </c>
      <c r="P134" s="47">
        <v>1922</v>
      </c>
      <c r="Q134" s="85">
        <v>19.13</v>
      </c>
      <c r="R134" s="85">
        <v>17.71</v>
      </c>
      <c r="S134" s="85">
        <v>16.78</v>
      </c>
      <c r="T134" s="85">
        <v>14.93</v>
      </c>
      <c r="U134" s="85">
        <v>15.25</v>
      </c>
      <c r="V134" s="85">
        <v>17.16</v>
      </c>
      <c r="W134" s="85">
        <v>16.670000000000002</v>
      </c>
      <c r="X134" s="85">
        <v>19.03</v>
      </c>
      <c r="Y134" s="85">
        <v>17.34</v>
      </c>
      <c r="Z134" s="85">
        <v>15.5</v>
      </c>
      <c r="AA134" s="85">
        <v>14.37</v>
      </c>
      <c r="AB134" s="85">
        <v>19.57</v>
      </c>
      <c r="AC134" s="85">
        <v>14.1</v>
      </c>
      <c r="AD134" s="85">
        <v>22.22</v>
      </c>
      <c r="AE134" s="47">
        <v>8780</v>
      </c>
      <c r="AF134" s="47">
        <v>9547</v>
      </c>
      <c r="AG134" s="47">
        <v>11592</v>
      </c>
      <c r="AH134" s="47">
        <v>12809</v>
      </c>
      <c r="AI134" s="47">
        <v>14837</v>
      </c>
      <c r="AJ134" s="47">
        <v>18755</v>
      </c>
      <c r="AK134" s="47">
        <v>18320</v>
      </c>
      <c r="AL134" s="47">
        <v>25323</v>
      </c>
      <c r="AM134" s="47">
        <v>25674</v>
      </c>
      <c r="AN134" s="47">
        <v>24382</v>
      </c>
      <c r="AO134" s="47">
        <v>24231</v>
      </c>
      <c r="AP134" s="47">
        <v>31376</v>
      </c>
      <c r="AQ134" s="47">
        <v>15918</v>
      </c>
      <c r="AR134" s="47">
        <v>42713</v>
      </c>
      <c r="AS134" s="47"/>
      <c r="AT134" s="47"/>
      <c r="AU134" s="47"/>
      <c r="AV134" s="47"/>
      <c r="AW134" s="47"/>
      <c r="AX134" s="47"/>
      <c r="AY134" s="47"/>
      <c r="AZ134" s="47"/>
      <c r="BA134" s="47"/>
      <c r="BB134" s="47"/>
      <c r="BC134" s="47"/>
      <c r="BD134" s="47"/>
      <c r="BE134" s="47"/>
      <c r="BF134" s="47"/>
    </row>
    <row r="135" spans="1:58" hidden="1">
      <c r="A135" s="46" t="s">
        <v>279</v>
      </c>
      <c r="B135" s="46" t="s">
        <v>76</v>
      </c>
      <c r="C135" s="47">
        <v>3445</v>
      </c>
      <c r="D135" s="47">
        <v>3884</v>
      </c>
      <c r="E135" s="47">
        <v>4497</v>
      </c>
      <c r="F135" s="47">
        <v>3971</v>
      </c>
      <c r="G135" s="47">
        <v>4504</v>
      </c>
      <c r="H135" s="47">
        <v>4512</v>
      </c>
      <c r="I135" s="47">
        <v>5424</v>
      </c>
      <c r="J135" s="47">
        <v>11028</v>
      </c>
      <c r="K135" s="47">
        <v>10360</v>
      </c>
      <c r="L135" s="47">
        <v>8448</v>
      </c>
      <c r="M135" s="47">
        <v>6467</v>
      </c>
      <c r="N135" s="47">
        <v>4963</v>
      </c>
      <c r="O135" s="47">
        <v>4177</v>
      </c>
      <c r="P135" s="47">
        <v>4209</v>
      </c>
      <c r="Q135" s="85">
        <v>21.99</v>
      </c>
      <c r="R135" s="85">
        <v>23.49</v>
      </c>
      <c r="S135" s="85">
        <v>21.22</v>
      </c>
      <c r="T135" s="85">
        <v>21.52</v>
      </c>
      <c r="U135" s="85">
        <v>16.100000000000001</v>
      </c>
      <c r="V135" s="85">
        <v>15.8</v>
      </c>
      <c r="W135" s="85">
        <v>15.75</v>
      </c>
      <c r="X135" s="85">
        <v>11.13</v>
      </c>
      <c r="Y135" s="85">
        <v>15.05</v>
      </c>
      <c r="Z135" s="85">
        <v>14.31</v>
      </c>
      <c r="AA135" s="85">
        <v>6.64</v>
      </c>
      <c r="AB135" s="85">
        <v>9.17</v>
      </c>
      <c r="AC135" s="85">
        <v>15.39</v>
      </c>
      <c r="AD135" s="85">
        <v>14.98</v>
      </c>
      <c r="AE135" s="47">
        <v>75749</v>
      </c>
      <c r="AF135" s="47">
        <v>91221</v>
      </c>
      <c r="AG135" s="47">
        <v>95445</v>
      </c>
      <c r="AH135" s="47">
        <v>85454</v>
      </c>
      <c r="AI135" s="47">
        <v>72521</v>
      </c>
      <c r="AJ135" s="47">
        <v>71306</v>
      </c>
      <c r="AK135" s="47">
        <v>85439</v>
      </c>
      <c r="AL135" s="47">
        <v>122699</v>
      </c>
      <c r="AM135" s="47">
        <v>155945</v>
      </c>
      <c r="AN135" s="47">
        <v>120851</v>
      </c>
      <c r="AO135" s="47">
        <v>42947</v>
      </c>
      <c r="AP135" s="47">
        <v>45487</v>
      </c>
      <c r="AQ135" s="47">
        <v>64281</v>
      </c>
      <c r="AR135" s="47">
        <v>63056</v>
      </c>
      <c r="AS135" s="47"/>
      <c r="AT135" s="47"/>
      <c r="AU135" s="47"/>
      <c r="AV135" s="47"/>
      <c r="AW135" s="47"/>
      <c r="AX135" s="47"/>
      <c r="AY135" s="47"/>
      <c r="AZ135" s="47"/>
      <c r="BA135" s="47"/>
      <c r="BB135" s="47"/>
      <c r="BC135" s="47"/>
      <c r="BD135" s="47"/>
      <c r="BE135" s="47"/>
      <c r="BF135" s="47"/>
    </row>
    <row r="136" spans="1:58" hidden="1">
      <c r="A136" s="46" t="s">
        <v>279</v>
      </c>
      <c r="B136" s="46" t="s">
        <v>77</v>
      </c>
      <c r="C136" s="47">
        <v>42215</v>
      </c>
      <c r="D136" s="47">
        <v>33500</v>
      </c>
      <c r="E136" s="47">
        <v>23100</v>
      </c>
      <c r="F136" s="47">
        <v>19400</v>
      </c>
      <c r="G136" s="47">
        <v>22400</v>
      </c>
      <c r="H136" s="47">
        <v>26634</v>
      </c>
      <c r="I136" s="47">
        <v>28365</v>
      </c>
      <c r="J136" s="47">
        <v>28670</v>
      </c>
      <c r="K136" s="47">
        <v>21620</v>
      </c>
      <c r="L136" s="47">
        <v>25105</v>
      </c>
      <c r="M136" s="47">
        <v>31900</v>
      </c>
      <c r="N136" s="47">
        <v>27235</v>
      </c>
      <c r="O136" s="47">
        <v>18095</v>
      </c>
      <c r="P136" s="47">
        <v>22487</v>
      </c>
      <c r="Q136" s="85">
        <v>47.06</v>
      </c>
      <c r="R136" s="85">
        <v>37.72</v>
      </c>
      <c r="S136" s="85">
        <v>36.29</v>
      </c>
      <c r="T136" s="85">
        <v>37.979999999999997</v>
      </c>
      <c r="U136" s="85">
        <v>38.22</v>
      </c>
      <c r="V136" s="85">
        <v>35.01</v>
      </c>
      <c r="W136" s="85">
        <v>21.35</v>
      </c>
      <c r="X136" s="85">
        <v>38.79</v>
      </c>
      <c r="Y136" s="85">
        <v>35.07</v>
      </c>
      <c r="Z136" s="85">
        <v>40.409999999999997</v>
      </c>
      <c r="AA136" s="85">
        <v>24.96</v>
      </c>
      <c r="AB136" s="85">
        <v>28.5</v>
      </c>
      <c r="AC136" s="85">
        <v>29.47</v>
      </c>
      <c r="AD136" s="85">
        <v>32.01</v>
      </c>
      <c r="AE136" s="47">
        <v>1986555</v>
      </c>
      <c r="AF136" s="47">
        <v>1263500</v>
      </c>
      <c r="AG136" s="47">
        <v>838300</v>
      </c>
      <c r="AH136" s="47">
        <v>736900</v>
      </c>
      <c r="AI136" s="47">
        <v>856130</v>
      </c>
      <c r="AJ136" s="47">
        <v>932530</v>
      </c>
      <c r="AK136" s="47">
        <v>605580</v>
      </c>
      <c r="AL136" s="47">
        <v>1112203</v>
      </c>
      <c r="AM136" s="47">
        <v>758220</v>
      </c>
      <c r="AN136" s="47">
        <v>1014483</v>
      </c>
      <c r="AO136" s="47">
        <v>796270</v>
      </c>
      <c r="AP136" s="47">
        <v>776320</v>
      </c>
      <c r="AQ136" s="47">
        <v>533335</v>
      </c>
      <c r="AR136" s="47">
        <v>719819</v>
      </c>
      <c r="AS136" s="47"/>
      <c r="AT136" s="47"/>
      <c r="AU136" s="47"/>
      <c r="AV136" s="47"/>
      <c r="AW136" s="47"/>
      <c r="AX136" s="47"/>
      <c r="AY136" s="47"/>
      <c r="AZ136" s="47"/>
      <c r="BA136" s="47"/>
      <c r="BB136" s="47"/>
      <c r="BC136" s="47"/>
      <c r="BD136" s="47"/>
      <c r="BE136" s="47"/>
      <c r="BF136" s="47"/>
    </row>
    <row r="137" spans="1:58" hidden="1">
      <c r="A137" s="46" t="s">
        <v>279</v>
      </c>
      <c r="B137" s="46" t="s">
        <v>78</v>
      </c>
      <c r="C137" s="47">
        <v>0</v>
      </c>
      <c r="D137" s="47">
        <v>0</v>
      </c>
      <c r="E137" s="47">
        <v>0</v>
      </c>
      <c r="F137" s="47">
        <v>0</v>
      </c>
      <c r="G137" s="47">
        <v>0</v>
      </c>
      <c r="H137" s="47">
        <v>0</v>
      </c>
      <c r="I137" s="47">
        <v>0</v>
      </c>
      <c r="J137" s="47">
        <v>0</v>
      </c>
      <c r="K137" s="47">
        <v>0</v>
      </c>
      <c r="L137" s="47">
        <v>0</v>
      </c>
      <c r="M137" s="47">
        <v>0</v>
      </c>
      <c r="N137" s="47">
        <v>3615</v>
      </c>
      <c r="O137" s="47">
        <v>3270</v>
      </c>
      <c r="P137" s="47">
        <v>3599</v>
      </c>
      <c r="Q137" s="85"/>
      <c r="R137" s="85"/>
      <c r="S137" s="85"/>
      <c r="T137" s="85"/>
      <c r="U137" s="85"/>
      <c r="V137" s="85"/>
      <c r="W137" s="85"/>
      <c r="X137" s="85"/>
      <c r="Y137" s="85"/>
      <c r="Z137" s="85"/>
      <c r="AA137" s="85"/>
      <c r="AB137" s="85">
        <v>26.75</v>
      </c>
      <c r="AC137" s="85">
        <v>25.94</v>
      </c>
      <c r="AD137" s="85">
        <v>28.79</v>
      </c>
      <c r="AE137" s="47">
        <v>0</v>
      </c>
      <c r="AF137" s="47">
        <v>0</v>
      </c>
      <c r="AG137" s="47">
        <v>0</v>
      </c>
      <c r="AH137" s="47">
        <v>0</v>
      </c>
      <c r="AI137" s="47">
        <v>0</v>
      </c>
      <c r="AJ137" s="47">
        <v>0</v>
      </c>
      <c r="AK137" s="47">
        <v>0</v>
      </c>
      <c r="AL137" s="47">
        <v>0</v>
      </c>
      <c r="AM137" s="47">
        <v>0</v>
      </c>
      <c r="AN137" s="47">
        <v>0</v>
      </c>
      <c r="AO137" s="47">
        <v>0</v>
      </c>
      <c r="AP137" s="47">
        <v>96700</v>
      </c>
      <c r="AQ137" s="47">
        <v>84840</v>
      </c>
      <c r="AR137" s="47">
        <v>103618</v>
      </c>
      <c r="AS137" s="47"/>
      <c r="AT137" s="47"/>
      <c r="AU137" s="47"/>
      <c r="AV137" s="47"/>
      <c r="AW137" s="47"/>
      <c r="AX137" s="47"/>
      <c r="AY137" s="47"/>
      <c r="AZ137" s="47"/>
      <c r="BA137" s="47"/>
      <c r="BB137" s="47"/>
      <c r="BC137" s="47"/>
      <c r="BD137" s="47"/>
      <c r="BE137" s="47"/>
      <c r="BF137" s="47"/>
    </row>
    <row r="138" spans="1:58" hidden="1">
      <c r="A138" s="46" t="s">
        <v>279</v>
      </c>
      <c r="B138" s="46" t="s">
        <v>79</v>
      </c>
      <c r="C138" s="47">
        <v>0</v>
      </c>
      <c r="D138" s="47">
        <v>203</v>
      </c>
      <c r="E138" s="47">
        <v>407</v>
      </c>
      <c r="F138" s="47">
        <v>610</v>
      </c>
      <c r="G138" s="47">
        <v>812</v>
      </c>
      <c r="H138" s="47">
        <v>1018</v>
      </c>
      <c r="I138" s="47">
        <v>1221</v>
      </c>
      <c r="J138" s="47">
        <v>1423</v>
      </c>
      <c r="K138" s="47">
        <v>1626</v>
      </c>
      <c r="L138" s="47">
        <v>1830</v>
      </c>
      <c r="M138" s="47">
        <v>2033</v>
      </c>
      <c r="N138" s="47">
        <v>1630</v>
      </c>
      <c r="O138" s="47">
        <v>1519</v>
      </c>
      <c r="P138" s="47">
        <v>2298</v>
      </c>
      <c r="Q138" s="85"/>
      <c r="R138" s="85">
        <v>18.3</v>
      </c>
      <c r="S138" s="85">
        <v>16.8</v>
      </c>
      <c r="T138" s="85">
        <v>17.8</v>
      </c>
      <c r="U138" s="85">
        <v>18</v>
      </c>
      <c r="V138" s="85">
        <v>18.100000000000001</v>
      </c>
      <c r="W138" s="85">
        <v>18.5</v>
      </c>
      <c r="X138" s="85">
        <v>16.600000000000001</v>
      </c>
      <c r="Y138" s="85">
        <v>13.2</v>
      </c>
      <c r="Z138" s="85">
        <v>15.4</v>
      </c>
      <c r="AA138" s="85">
        <v>17</v>
      </c>
      <c r="AB138" s="85">
        <v>13.78</v>
      </c>
      <c r="AC138" s="85">
        <v>12.98</v>
      </c>
      <c r="AD138" s="85">
        <v>17.48</v>
      </c>
      <c r="AE138" s="47">
        <v>0</v>
      </c>
      <c r="AF138" s="47">
        <v>3715</v>
      </c>
      <c r="AG138" s="47">
        <v>6837</v>
      </c>
      <c r="AH138" s="47">
        <v>10858</v>
      </c>
      <c r="AI138" s="47">
        <v>14616</v>
      </c>
      <c r="AJ138" s="47">
        <v>18426</v>
      </c>
      <c r="AK138" s="47">
        <v>22588</v>
      </c>
      <c r="AL138" s="47">
        <v>23622</v>
      </c>
      <c r="AM138" s="47">
        <v>21463</v>
      </c>
      <c r="AN138" s="47">
        <v>28182</v>
      </c>
      <c r="AO138" s="47">
        <v>34561</v>
      </c>
      <c r="AP138" s="47">
        <v>22467</v>
      </c>
      <c r="AQ138" s="47">
        <v>19711</v>
      </c>
      <c r="AR138" s="47">
        <v>40165</v>
      </c>
      <c r="AS138" s="47"/>
      <c r="AT138" s="47"/>
      <c r="AU138" s="47"/>
      <c r="AV138" s="47"/>
      <c r="AW138" s="47"/>
      <c r="AX138" s="47"/>
      <c r="AY138" s="47"/>
      <c r="AZ138" s="47"/>
      <c r="BA138" s="47"/>
      <c r="BB138" s="47"/>
      <c r="BC138" s="47"/>
      <c r="BD138" s="47"/>
      <c r="BE138" s="47"/>
      <c r="BF138" s="47"/>
    </row>
    <row r="139" spans="1:58" hidden="1">
      <c r="A139" s="46" t="s">
        <v>279</v>
      </c>
      <c r="B139" s="46" t="s">
        <v>80</v>
      </c>
      <c r="C139" s="47">
        <v>247</v>
      </c>
      <c r="D139" s="47">
        <v>250</v>
      </c>
      <c r="E139" s="47">
        <v>250</v>
      </c>
      <c r="F139" s="47">
        <v>330</v>
      </c>
      <c r="G139" s="47">
        <v>177</v>
      </c>
      <c r="H139" s="47">
        <v>250</v>
      </c>
      <c r="I139" s="47">
        <v>263</v>
      </c>
      <c r="J139" s="47">
        <v>230</v>
      </c>
      <c r="K139" s="47">
        <v>240</v>
      </c>
      <c r="L139" s="47">
        <v>205</v>
      </c>
      <c r="M139" s="47">
        <v>305</v>
      </c>
      <c r="N139" s="47">
        <v>410</v>
      </c>
      <c r="O139" s="47">
        <v>320</v>
      </c>
      <c r="P139" s="47">
        <v>370</v>
      </c>
      <c r="Q139" s="85">
        <v>22.63</v>
      </c>
      <c r="R139" s="85">
        <v>21</v>
      </c>
      <c r="S139" s="85">
        <v>24.62</v>
      </c>
      <c r="T139" s="85">
        <v>23.91</v>
      </c>
      <c r="U139" s="85">
        <v>24.24</v>
      </c>
      <c r="V139" s="85">
        <v>23.8</v>
      </c>
      <c r="W139" s="85">
        <v>19.14</v>
      </c>
      <c r="X139" s="85">
        <v>23.15</v>
      </c>
      <c r="Y139" s="85">
        <v>21.77</v>
      </c>
      <c r="Z139" s="85">
        <v>24.22</v>
      </c>
      <c r="AA139" s="85">
        <v>23.16</v>
      </c>
      <c r="AB139" s="85">
        <v>24.1</v>
      </c>
      <c r="AC139" s="85">
        <v>23.53</v>
      </c>
      <c r="AD139" s="85">
        <v>23.57</v>
      </c>
      <c r="AE139" s="47">
        <v>5590</v>
      </c>
      <c r="AF139" s="47">
        <v>5249</v>
      </c>
      <c r="AG139" s="47">
        <v>6154</v>
      </c>
      <c r="AH139" s="47">
        <v>7890</v>
      </c>
      <c r="AI139" s="47">
        <v>4290</v>
      </c>
      <c r="AJ139" s="47">
        <v>5949</v>
      </c>
      <c r="AK139" s="47">
        <v>5035</v>
      </c>
      <c r="AL139" s="47">
        <v>5324</v>
      </c>
      <c r="AM139" s="47">
        <v>5226</v>
      </c>
      <c r="AN139" s="47">
        <v>4966</v>
      </c>
      <c r="AO139" s="47">
        <v>7065</v>
      </c>
      <c r="AP139" s="47">
        <v>9880</v>
      </c>
      <c r="AQ139" s="47">
        <v>7530</v>
      </c>
      <c r="AR139" s="47">
        <v>8720</v>
      </c>
      <c r="AS139" s="47"/>
      <c r="AT139" s="47"/>
      <c r="AU139" s="47"/>
      <c r="AV139" s="47"/>
      <c r="AW139" s="47"/>
      <c r="AX139" s="47"/>
      <c r="AY139" s="47"/>
      <c r="AZ139" s="47"/>
      <c r="BA139" s="47"/>
      <c r="BB139" s="47"/>
      <c r="BC139" s="47"/>
      <c r="BD139" s="47"/>
      <c r="BE139" s="47"/>
      <c r="BF139" s="47"/>
    </row>
    <row r="140" spans="1:58" hidden="1">
      <c r="A140" s="46" t="s">
        <v>279</v>
      </c>
      <c r="B140" s="46" t="s">
        <v>81</v>
      </c>
      <c r="C140" s="47">
        <v>0</v>
      </c>
      <c r="D140" s="47">
        <v>0</v>
      </c>
      <c r="E140" s="47">
        <v>0</v>
      </c>
      <c r="F140" s="47">
        <v>0</v>
      </c>
      <c r="G140" s="47">
        <v>0</v>
      </c>
      <c r="H140" s="47">
        <v>0</v>
      </c>
      <c r="I140" s="47">
        <v>0</v>
      </c>
      <c r="J140" s="47">
        <v>0</v>
      </c>
      <c r="K140" s="47">
        <v>0</v>
      </c>
      <c r="L140" s="47">
        <v>0</v>
      </c>
      <c r="M140" s="47">
        <v>129</v>
      </c>
      <c r="N140" s="47">
        <v>129</v>
      </c>
      <c r="O140" s="47">
        <v>0</v>
      </c>
      <c r="P140" s="47">
        <v>112</v>
      </c>
      <c r="Q140" s="85"/>
      <c r="R140" s="85"/>
      <c r="S140" s="85"/>
      <c r="T140" s="85"/>
      <c r="U140" s="85"/>
      <c r="V140" s="85"/>
      <c r="W140" s="85"/>
      <c r="X140" s="85"/>
      <c r="Y140" s="85"/>
      <c r="Z140" s="85"/>
      <c r="AA140" s="85"/>
      <c r="AB140" s="85"/>
      <c r="AC140" s="85"/>
      <c r="AD140" s="85"/>
      <c r="AE140" s="47">
        <v>0</v>
      </c>
      <c r="AF140" s="47">
        <v>0</v>
      </c>
      <c r="AG140" s="47">
        <v>0</v>
      </c>
      <c r="AH140" s="47">
        <v>0</v>
      </c>
      <c r="AI140" s="47">
        <v>0</v>
      </c>
      <c r="AJ140" s="47">
        <v>0</v>
      </c>
      <c r="AK140" s="47">
        <v>0</v>
      </c>
      <c r="AL140" s="47">
        <v>0</v>
      </c>
      <c r="AM140" s="47">
        <v>0</v>
      </c>
      <c r="AN140" s="47">
        <v>0</v>
      </c>
      <c r="AO140" s="47">
        <v>2807</v>
      </c>
      <c r="AP140" s="47">
        <v>2807</v>
      </c>
      <c r="AQ140" s="47">
        <v>0</v>
      </c>
      <c r="AR140" s="47">
        <v>2476</v>
      </c>
      <c r="AS140" s="47"/>
      <c r="AT140" s="47"/>
      <c r="AU140" s="47"/>
      <c r="AV140" s="47"/>
      <c r="AW140" s="47"/>
      <c r="AX140" s="47"/>
      <c r="AY140" s="47"/>
      <c r="AZ140" s="47"/>
      <c r="BA140" s="47"/>
      <c r="BB140" s="47"/>
      <c r="BC140" s="47"/>
      <c r="BD140" s="47"/>
      <c r="BE140" s="47"/>
      <c r="BF140" s="47"/>
    </row>
    <row r="141" spans="1:58" hidden="1">
      <c r="A141" s="46" t="s">
        <v>279</v>
      </c>
      <c r="B141" s="46" t="s">
        <v>82</v>
      </c>
      <c r="C141" s="47">
        <v>53235</v>
      </c>
      <c r="D141" s="47">
        <v>43276</v>
      </c>
      <c r="E141" s="47">
        <v>31545</v>
      </c>
      <c r="F141" s="47">
        <v>28419</v>
      </c>
      <c r="G141" s="47">
        <v>33336</v>
      </c>
      <c r="H141" s="47">
        <v>39165</v>
      </c>
      <c r="I141" s="47">
        <v>45267</v>
      </c>
      <c r="J141" s="47">
        <v>55132</v>
      </c>
      <c r="K141" s="47">
        <v>44177</v>
      </c>
      <c r="L141" s="47">
        <v>48711</v>
      </c>
      <c r="M141" s="47">
        <v>55960</v>
      </c>
      <c r="N141" s="47">
        <v>53190</v>
      </c>
      <c r="O141" s="47">
        <v>39690</v>
      </c>
      <c r="P141" s="47">
        <v>46872</v>
      </c>
      <c r="Q141" s="85">
        <v>43.11</v>
      </c>
      <c r="R141" s="85">
        <v>35.200000000000003</v>
      </c>
      <c r="S141" s="85">
        <v>32.840000000000003</v>
      </c>
      <c r="T141" s="85">
        <v>33.369999999999997</v>
      </c>
      <c r="U141" s="85">
        <v>32.51</v>
      </c>
      <c r="V141" s="85">
        <v>30.7</v>
      </c>
      <c r="W141" s="85">
        <v>19.13</v>
      </c>
      <c r="X141" s="85">
        <v>28.53</v>
      </c>
      <c r="Y141" s="85">
        <v>26.95</v>
      </c>
      <c r="Z141" s="85">
        <v>30.75</v>
      </c>
      <c r="AA141" s="85">
        <v>20.61</v>
      </c>
      <c r="AB141" s="85">
        <v>24.67</v>
      </c>
      <c r="AC141" s="85">
        <v>24.41</v>
      </c>
      <c r="AD141" s="85">
        <v>27.44</v>
      </c>
      <c r="AE141" s="47">
        <v>2295029</v>
      </c>
      <c r="AF141" s="47">
        <v>1523232</v>
      </c>
      <c r="AG141" s="47">
        <v>1035978</v>
      </c>
      <c r="AH141" s="47">
        <v>948311</v>
      </c>
      <c r="AI141" s="47">
        <v>1083909</v>
      </c>
      <c r="AJ141" s="47">
        <v>1202504</v>
      </c>
      <c r="AK141" s="47">
        <v>866077</v>
      </c>
      <c r="AL141" s="47">
        <v>1573154</v>
      </c>
      <c r="AM141" s="47">
        <v>1190543</v>
      </c>
      <c r="AN141" s="47">
        <v>1497844</v>
      </c>
      <c r="AO141" s="47">
        <v>1153211</v>
      </c>
      <c r="AP141" s="47">
        <v>1312272</v>
      </c>
      <c r="AQ141" s="47">
        <v>968795</v>
      </c>
      <c r="AR141" s="47">
        <v>1286312</v>
      </c>
      <c r="AS141" s="47"/>
      <c r="AT141" s="47"/>
      <c r="AU141" s="47"/>
      <c r="AV141" s="47"/>
      <c r="AW141" s="47"/>
      <c r="AX141" s="47"/>
      <c r="AY141" s="47"/>
      <c r="AZ141" s="47"/>
      <c r="BA141" s="47"/>
      <c r="BB141" s="47"/>
      <c r="BC141" s="47"/>
      <c r="BD141" s="47"/>
      <c r="BE141" s="47"/>
      <c r="BF141" s="47"/>
    </row>
    <row r="142" spans="1:58" hidden="1">
      <c r="A142" s="46" t="s">
        <v>280</v>
      </c>
      <c r="B142" s="46" t="s">
        <v>251</v>
      </c>
      <c r="C142" s="47">
        <v>389522</v>
      </c>
      <c r="D142" s="47">
        <v>381780</v>
      </c>
      <c r="E142" s="47">
        <v>358470</v>
      </c>
      <c r="F142" s="47">
        <v>383455</v>
      </c>
      <c r="G142" s="47">
        <v>362670</v>
      </c>
      <c r="H142" s="47">
        <v>389055</v>
      </c>
      <c r="I142" s="47">
        <v>397794</v>
      </c>
      <c r="J142" s="47">
        <v>375805</v>
      </c>
      <c r="K142" s="47">
        <v>372200</v>
      </c>
      <c r="L142" s="47">
        <v>383840</v>
      </c>
      <c r="M142" s="47">
        <v>336550</v>
      </c>
      <c r="N142" s="47">
        <v>378530</v>
      </c>
      <c r="O142" s="47">
        <v>357570</v>
      </c>
      <c r="P142" s="47">
        <v>358550</v>
      </c>
      <c r="Q142" s="85">
        <v>66.05</v>
      </c>
      <c r="R142" s="85">
        <v>62.88</v>
      </c>
      <c r="S142" s="85">
        <v>65.34</v>
      </c>
      <c r="T142" s="85">
        <v>64.56</v>
      </c>
      <c r="U142" s="85">
        <v>62.75</v>
      </c>
      <c r="V142" s="85">
        <v>71.25</v>
      </c>
      <c r="W142" s="85">
        <v>41.07</v>
      </c>
      <c r="X142" s="85">
        <v>68.28</v>
      </c>
      <c r="Y142" s="85">
        <v>65.33</v>
      </c>
      <c r="Z142" s="85">
        <v>69.66</v>
      </c>
      <c r="AA142" s="85">
        <v>59.46</v>
      </c>
      <c r="AB142" s="85">
        <v>63.91</v>
      </c>
      <c r="AC142" s="85">
        <v>60.27</v>
      </c>
      <c r="AD142" s="85">
        <v>62.11</v>
      </c>
      <c r="AE142" s="47">
        <v>25728400</v>
      </c>
      <c r="AF142" s="47">
        <v>24005630</v>
      </c>
      <c r="AG142" s="47">
        <v>23422800</v>
      </c>
      <c r="AH142" s="47">
        <v>24757215</v>
      </c>
      <c r="AI142" s="47">
        <v>22757930</v>
      </c>
      <c r="AJ142" s="47">
        <v>27719660</v>
      </c>
      <c r="AK142" s="47">
        <v>16338015</v>
      </c>
      <c r="AL142" s="47">
        <v>25659850</v>
      </c>
      <c r="AM142" s="47">
        <v>24317300</v>
      </c>
      <c r="AN142" s="47">
        <v>26740060</v>
      </c>
      <c r="AO142" s="47">
        <v>20010900</v>
      </c>
      <c r="AP142" s="47">
        <v>24192410</v>
      </c>
      <c r="AQ142" s="47">
        <v>21551260</v>
      </c>
      <c r="AR142" s="47">
        <v>22268760</v>
      </c>
      <c r="AS142" s="47"/>
      <c r="AT142" s="47"/>
      <c r="AU142" s="47"/>
      <c r="AV142" s="47"/>
      <c r="AW142" s="47"/>
      <c r="AX142" s="47"/>
      <c r="AY142" s="47"/>
      <c r="AZ142" s="47"/>
      <c r="BA142" s="47"/>
      <c r="BB142" s="47"/>
      <c r="BC142" s="47"/>
      <c r="BD142" s="47"/>
      <c r="BE142" s="47"/>
      <c r="BF142" s="47"/>
    </row>
    <row r="143" spans="1:58" hidden="1">
      <c r="A143" s="46" t="s">
        <v>280</v>
      </c>
      <c r="B143" s="46" t="s">
        <v>252</v>
      </c>
      <c r="C143" s="47">
        <v>140</v>
      </c>
      <c r="D143" s="47">
        <v>355</v>
      </c>
      <c r="E143" s="47">
        <v>5980</v>
      </c>
      <c r="F143" s="47">
        <v>505</v>
      </c>
      <c r="G143" s="47">
        <v>820</v>
      </c>
      <c r="H143" s="47">
        <v>465</v>
      </c>
      <c r="I143" s="47">
        <v>1735</v>
      </c>
      <c r="J143" s="47">
        <v>2205</v>
      </c>
      <c r="K143" s="47">
        <v>1970</v>
      </c>
      <c r="L143" s="47">
        <v>2940</v>
      </c>
      <c r="M143" s="47">
        <v>5890</v>
      </c>
      <c r="N143" s="47">
        <v>3270</v>
      </c>
      <c r="O143" s="47">
        <v>4170</v>
      </c>
      <c r="P143" s="47">
        <v>3700</v>
      </c>
      <c r="Q143" s="85">
        <v>61.99</v>
      </c>
      <c r="R143" s="85">
        <v>48.59</v>
      </c>
      <c r="S143" s="85">
        <v>64.58</v>
      </c>
      <c r="T143" s="85">
        <v>41.43</v>
      </c>
      <c r="U143" s="85">
        <v>53.27</v>
      </c>
      <c r="V143" s="85">
        <v>53.75</v>
      </c>
      <c r="W143" s="85">
        <v>43.75</v>
      </c>
      <c r="X143" s="85">
        <v>65.989999999999995</v>
      </c>
      <c r="Y143" s="85">
        <v>66.17</v>
      </c>
      <c r="Z143" s="85">
        <v>68.55</v>
      </c>
      <c r="AA143" s="85">
        <v>57.98</v>
      </c>
      <c r="AB143" s="85">
        <v>64.16</v>
      </c>
      <c r="AC143" s="85">
        <v>58.37</v>
      </c>
      <c r="AD143" s="85">
        <v>60.17</v>
      </c>
      <c r="AE143" s="47">
        <v>8679</v>
      </c>
      <c r="AF143" s="47">
        <v>17250</v>
      </c>
      <c r="AG143" s="47">
        <v>386180</v>
      </c>
      <c r="AH143" s="47">
        <v>20920</v>
      </c>
      <c r="AI143" s="47">
        <v>43680</v>
      </c>
      <c r="AJ143" s="47">
        <v>24995</v>
      </c>
      <c r="AK143" s="47">
        <v>75910</v>
      </c>
      <c r="AL143" s="47">
        <v>145515</v>
      </c>
      <c r="AM143" s="47">
        <v>130355</v>
      </c>
      <c r="AN143" s="47">
        <v>201550</v>
      </c>
      <c r="AO143" s="47">
        <v>341480</v>
      </c>
      <c r="AP143" s="47">
        <v>209790</v>
      </c>
      <c r="AQ143" s="47">
        <v>243390</v>
      </c>
      <c r="AR143" s="47">
        <v>222640</v>
      </c>
      <c r="AS143" s="47"/>
      <c r="AT143" s="47"/>
      <c r="AU143" s="47"/>
      <c r="AV143" s="47"/>
      <c r="AW143" s="47"/>
      <c r="AX143" s="47"/>
      <c r="AY143" s="47"/>
      <c r="AZ143" s="47"/>
      <c r="BA143" s="47"/>
      <c r="BB143" s="47"/>
      <c r="BC143" s="47"/>
      <c r="BD143" s="47"/>
      <c r="BE143" s="47"/>
      <c r="BF143" s="47"/>
    </row>
    <row r="144" spans="1:58" hidden="1">
      <c r="A144" s="46" t="s">
        <v>280</v>
      </c>
      <c r="B144" s="46" t="s">
        <v>253</v>
      </c>
      <c r="C144" s="47">
        <v>389662</v>
      </c>
      <c r="D144" s="47">
        <v>382135</v>
      </c>
      <c r="E144" s="47">
        <v>364450</v>
      </c>
      <c r="F144" s="47">
        <v>383960</v>
      </c>
      <c r="G144" s="47">
        <v>363490</v>
      </c>
      <c r="H144" s="47">
        <v>389520</v>
      </c>
      <c r="I144" s="47">
        <v>399529</v>
      </c>
      <c r="J144" s="47">
        <v>378010</v>
      </c>
      <c r="K144" s="47">
        <v>374170</v>
      </c>
      <c r="L144" s="47">
        <v>386780</v>
      </c>
      <c r="M144" s="47">
        <v>342440</v>
      </c>
      <c r="N144" s="47">
        <v>381800</v>
      </c>
      <c r="O144" s="47">
        <v>361740</v>
      </c>
      <c r="P144" s="47">
        <v>362250</v>
      </c>
      <c r="Q144" s="85">
        <v>66.05</v>
      </c>
      <c r="R144" s="85">
        <v>62.86</v>
      </c>
      <c r="S144" s="85">
        <v>65.33</v>
      </c>
      <c r="T144" s="85">
        <v>64.53</v>
      </c>
      <c r="U144" s="85">
        <v>62.73</v>
      </c>
      <c r="V144" s="85">
        <v>71.23</v>
      </c>
      <c r="W144" s="85">
        <v>41.08</v>
      </c>
      <c r="X144" s="85">
        <v>68.27</v>
      </c>
      <c r="Y144" s="85">
        <v>65.34</v>
      </c>
      <c r="Z144" s="85">
        <v>69.66</v>
      </c>
      <c r="AA144" s="85">
        <v>59.43</v>
      </c>
      <c r="AB144" s="85">
        <v>63.91</v>
      </c>
      <c r="AC144" s="85">
        <v>60.25</v>
      </c>
      <c r="AD144" s="85">
        <v>62.09</v>
      </c>
      <c r="AE144" s="47">
        <v>25737079</v>
      </c>
      <c r="AF144" s="47">
        <v>24022880</v>
      </c>
      <c r="AG144" s="47">
        <v>23808980</v>
      </c>
      <c r="AH144" s="47">
        <v>24778135</v>
      </c>
      <c r="AI144" s="47">
        <v>22801610</v>
      </c>
      <c r="AJ144" s="47">
        <v>27744655</v>
      </c>
      <c r="AK144" s="47">
        <v>16413925</v>
      </c>
      <c r="AL144" s="47">
        <v>25805365</v>
      </c>
      <c r="AM144" s="47">
        <v>24447655</v>
      </c>
      <c r="AN144" s="47">
        <v>26941610</v>
      </c>
      <c r="AO144" s="47">
        <v>20352380</v>
      </c>
      <c r="AP144" s="47">
        <v>24402200</v>
      </c>
      <c r="AQ144" s="47">
        <v>21794650</v>
      </c>
      <c r="AR144" s="47">
        <v>22491400</v>
      </c>
      <c r="AS144" s="47"/>
      <c r="AT144" s="47"/>
      <c r="AU144" s="47"/>
      <c r="AV144" s="47"/>
      <c r="AW144" s="47"/>
      <c r="AX144" s="47"/>
      <c r="AY144" s="47"/>
      <c r="AZ144" s="47"/>
      <c r="BA144" s="47"/>
      <c r="BB144" s="47"/>
      <c r="BC144" s="47"/>
      <c r="BD144" s="47"/>
      <c r="BE144" s="47"/>
      <c r="BF144" s="47"/>
    </row>
    <row r="145" spans="1:58" hidden="1">
      <c r="A145" s="46" t="s">
        <v>280</v>
      </c>
      <c r="B145" s="46" t="s">
        <v>254</v>
      </c>
      <c r="C145" s="47">
        <v>1500</v>
      </c>
      <c r="D145" s="47">
        <v>1980</v>
      </c>
      <c r="E145" s="47">
        <v>1510</v>
      </c>
      <c r="F145" s="47">
        <v>1450</v>
      </c>
      <c r="G145" s="47">
        <v>900</v>
      </c>
      <c r="H145" s="47">
        <v>620</v>
      </c>
      <c r="I145" s="47">
        <v>1346</v>
      </c>
      <c r="J145" s="47">
        <v>1410</v>
      </c>
      <c r="K145" s="47">
        <v>985</v>
      </c>
      <c r="L145" s="47">
        <v>865</v>
      </c>
      <c r="M145" s="47">
        <v>1195</v>
      </c>
      <c r="N145" s="47">
        <v>1605</v>
      </c>
      <c r="O145" s="47">
        <v>1070</v>
      </c>
      <c r="P145" s="47">
        <v>1090</v>
      </c>
      <c r="Q145" s="85">
        <v>58</v>
      </c>
      <c r="R145" s="85">
        <v>60</v>
      </c>
      <c r="S145" s="85">
        <v>56</v>
      </c>
      <c r="T145" s="85">
        <v>47</v>
      </c>
      <c r="U145" s="85">
        <v>49</v>
      </c>
      <c r="V145" s="85">
        <v>51</v>
      </c>
      <c r="W145" s="85">
        <v>37.58</v>
      </c>
      <c r="X145" s="85">
        <v>62.14</v>
      </c>
      <c r="Y145" s="85">
        <v>61.16</v>
      </c>
      <c r="Z145" s="85">
        <v>61</v>
      </c>
      <c r="AA145" s="85">
        <v>44.67</v>
      </c>
      <c r="AB145" s="85">
        <v>49.24</v>
      </c>
      <c r="AC145" s="85">
        <v>36.630000000000003</v>
      </c>
      <c r="AD145" s="85">
        <v>53.11</v>
      </c>
      <c r="AE145" s="47">
        <v>87000</v>
      </c>
      <c r="AF145" s="47">
        <v>118800</v>
      </c>
      <c r="AG145" s="47">
        <v>84560</v>
      </c>
      <c r="AH145" s="47">
        <v>68150</v>
      </c>
      <c r="AI145" s="47">
        <v>44100</v>
      </c>
      <c r="AJ145" s="47">
        <v>31620</v>
      </c>
      <c r="AK145" s="47">
        <v>50588</v>
      </c>
      <c r="AL145" s="47">
        <v>87620</v>
      </c>
      <c r="AM145" s="47">
        <v>60245</v>
      </c>
      <c r="AN145" s="47">
        <v>52765</v>
      </c>
      <c r="AO145" s="47">
        <v>53375</v>
      </c>
      <c r="AP145" s="47">
        <v>79025</v>
      </c>
      <c r="AQ145" s="47">
        <v>39190</v>
      </c>
      <c r="AR145" s="47">
        <v>57890</v>
      </c>
      <c r="AS145" s="47"/>
      <c r="AT145" s="47"/>
      <c r="AU145" s="47"/>
      <c r="AV145" s="47"/>
      <c r="AW145" s="47"/>
      <c r="AX145" s="47"/>
      <c r="AY145" s="47"/>
      <c r="AZ145" s="47"/>
      <c r="BA145" s="47"/>
      <c r="BB145" s="47"/>
      <c r="BC145" s="47"/>
      <c r="BD145" s="47"/>
      <c r="BE145" s="47"/>
      <c r="BF145" s="47"/>
    </row>
    <row r="146" spans="1:58" hidden="1">
      <c r="A146" s="46" t="s">
        <v>280</v>
      </c>
      <c r="B146" s="46" t="s">
        <v>255</v>
      </c>
      <c r="C146" s="47">
        <v>0</v>
      </c>
      <c r="D146" s="47">
        <v>0</v>
      </c>
      <c r="E146" s="47">
        <v>400</v>
      </c>
      <c r="F146" s="47">
        <v>250</v>
      </c>
      <c r="G146" s="47">
        <v>150</v>
      </c>
      <c r="H146" s="47">
        <v>0</v>
      </c>
      <c r="I146" s="47">
        <v>25</v>
      </c>
      <c r="J146" s="47">
        <v>30</v>
      </c>
      <c r="K146" s="47">
        <v>45</v>
      </c>
      <c r="L146" s="47">
        <v>0</v>
      </c>
      <c r="M146" s="47">
        <v>410</v>
      </c>
      <c r="N146" s="47">
        <v>110</v>
      </c>
      <c r="O146" s="47">
        <v>0</v>
      </c>
      <c r="P146" s="47">
        <v>0</v>
      </c>
      <c r="Q146" s="85"/>
      <c r="R146" s="85"/>
      <c r="S146" s="85">
        <v>56</v>
      </c>
      <c r="T146" s="85">
        <v>47</v>
      </c>
      <c r="U146" s="85">
        <v>49</v>
      </c>
      <c r="V146" s="85"/>
      <c r="W146" s="85">
        <v>37.6</v>
      </c>
      <c r="X146" s="85">
        <v>59.33</v>
      </c>
      <c r="Y146" s="85">
        <v>61.67</v>
      </c>
      <c r="Z146" s="85"/>
      <c r="AA146" s="85">
        <v>41</v>
      </c>
      <c r="AB146" s="85">
        <v>48.41</v>
      </c>
      <c r="AC146" s="85"/>
      <c r="AD146" s="85"/>
      <c r="AE146" s="47">
        <v>0</v>
      </c>
      <c r="AF146" s="47">
        <v>0</v>
      </c>
      <c r="AG146" s="47">
        <v>22400</v>
      </c>
      <c r="AH146" s="47">
        <v>11750</v>
      </c>
      <c r="AI146" s="47">
        <v>7350</v>
      </c>
      <c r="AJ146" s="47">
        <v>0</v>
      </c>
      <c r="AK146" s="47">
        <v>940</v>
      </c>
      <c r="AL146" s="47">
        <v>1780</v>
      </c>
      <c r="AM146" s="47">
        <v>2775</v>
      </c>
      <c r="AN146" s="47">
        <v>0</v>
      </c>
      <c r="AO146" s="47">
        <v>16810</v>
      </c>
      <c r="AP146" s="47">
        <v>5325</v>
      </c>
      <c r="AQ146" s="47">
        <v>0</v>
      </c>
      <c r="AR146" s="47">
        <v>0</v>
      </c>
      <c r="AS146" s="47"/>
      <c r="AT146" s="47"/>
      <c r="AU146" s="47"/>
      <c r="AV146" s="47"/>
      <c r="AW146" s="47"/>
      <c r="AX146" s="47"/>
      <c r="AY146" s="47"/>
      <c r="AZ146" s="47"/>
      <c r="BA146" s="47"/>
      <c r="BB146" s="47"/>
      <c r="BC146" s="47"/>
      <c r="BD146" s="47"/>
      <c r="BE146" s="47"/>
      <c r="BF146" s="47"/>
    </row>
    <row r="147" spans="1:58" hidden="1">
      <c r="A147" s="46" t="s">
        <v>280</v>
      </c>
      <c r="B147" s="46" t="s">
        <v>256</v>
      </c>
      <c r="C147" s="47">
        <v>1500</v>
      </c>
      <c r="D147" s="47">
        <v>1980</v>
      </c>
      <c r="E147" s="47">
        <v>1910</v>
      </c>
      <c r="F147" s="47">
        <v>1700</v>
      </c>
      <c r="G147" s="47">
        <v>1050</v>
      </c>
      <c r="H147" s="47">
        <v>620</v>
      </c>
      <c r="I147" s="47">
        <v>1371</v>
      </c>
      <c r="J147" s="47">
        <v>1440</v>
      </c>
      <c r="K147" s="47">
        <v>1030</v>
      </c>
      <c r="L147" s="47">
        <v>865</v>
      </c>
      <c r="M147" s="47">
        <v>1605</v>
      </c>
      <c r="N147" s="47">
        <v>1715</v>
      </c>
      <c r="O147" s="47">
        <v>1070</v>
      </c>
      <c r="P147" s="47">
        <v>1090</v>
      </c>
      <c r="Q147" s="85">
        <v>58</v>
      </c>
      <c r="R147" s="85">
        <v>60</v>
      </c>
      <c r="S147" s="85">
        <v>56</v>
      </c>
      <c r="T147" s="85">
        <v>47</v>
      </c>
      <c r="U147" s="85">
        <v>49</v>
      </c>
      <c r="V147" s="85">
        <v>51</v>
      </c>
      <c r="W147" s="85">
        <v>37.58</v>
      </c>
      <c r="X147" s="85">
        <v>62.08</v>
      </c>
      <c r="Y147" s="85">
        <v>61.18</v>
      </c>
      <c r="Z147" s="85">
        <v>61</v>
      </c>
      <c r="AA147" s="85">
        <v>43.73</v>
      </c>
      <c r="AB147" s="85">
        <v>49.18</v>
      </c>
      <c r="AC147" s="85">
        <v>36.630000000000003</v>
      </c>
      <c r="AD147" s="85">
        <v>53.11</v>
      </c>
      <c r="AE147" s="47">
        <v>87000</v>
      </c>
      <c r="AF147" s="47">
        <v>118800</v>
      </c>
      <c r="AG147" s="47">
        <v>106960</v>
      </c>
      <c r="AH147" s="47">
        <v>79900</v>
      </c>
      <c r="AI147" s="47">
        <v>51450</v>
      </c>
      <c r="AJ147" s="47">
        <v>31620</v>
      </c>
      <c r="AK147" s="47">
        <v>51528</v>
      </c>
      <c r="AL147" s="47">
        <v>89400</v>
      </c>
      <c r="AM147" s="47">
        <v>63020</v>
      </c>
      <c r="AN147" s="47">
        <v>52765</v>
      </c>
      <c r="AO147" s="47">
        <v>70185</v>
      </c>
      <c r="AP147" s="47">
        <v>84350</v>
      </c>
      <c r="AQ147" s="47">
        <v>39190</v>
      </c>
      <c r="AR147" s="47">
        <v>57890</v>
      </c>
      <c r="AS147" s="47"/>
      <c r="AT147" s="47"/>
      <c r="AU147" s="47"/>
      <c r="AV147" s="47"/>
      <c r="AW147" s="47"/>
      <c r="AX147" s="47"/>
      <c r="AY147" s="47"/>
      <c r="AZ147" s="47"/>
      <c r="BA147" s="47"/>
      <c r="BB147" s="47"/>
      <c r="BC147" s="47"/>
      <c r="BD147" s="47"/>
      <c r="BE147" s="47"/>
      <c r="BF147" s="47"/>
    </row>
    <row r="148" spans="1:58" hidden="1">
      <c r="A148" s="46" t="s">
        <v>280</v>
      </c>
      <c r="B148" s="46" t="s">
        <v>257</v>
      </c>
      <c r="C148" s="47">
        <v>3521</v>
      </c>
      <c r="D148" s="47">
        <v>3315</v>
      </c>
      <c r="E148" s="47">
        <v>3715</v>
      </c>
      <c r="F148" s="47">
        <v>3610</v>
      </c>
      <c r="G148" s="47">
        <v>2855</v>
      </c>
      <c r="H148" s="47">
        <v>2670</v>
      </c>
      <c r="I148" s="47">
        <v>2375</v>
      </c>
      <c r="J148" s="47">
        <v>2125</v>
      </c>
      <c r="K148" s="47">
        <v>2255</v>
      </c>
      <c r="L148" s="47">
        <v>2675</v>
      </c>
      <c r="M148" s="47">
        <v>3300</v>
      </c>
      <c r="N148" s="47">
        <v>4720</v>
      </c>
      <c r="O148" s="47">
        <v>4130</v>
      </c>
      <c r="P148" s="47">
        <v>4070</v>
      </c>
      <c r="Q148" s="85">
        <v>56.76</v>
      </c>
      <c r="R148" s="85">
        <v>50.49</v>
      </c>
      <c r="S148" s="85">
        <v>52.75</v>
      </c>
      <c r="T148" s="85">
        <v>49.36</v>
      </c>
      <c r="U148" s="85">
        <v>53.95</v>
      </c>
      <c r="V148" s="85">
        <v>48.68</v>
      </c>
      <c r="W148" s="85">
        <v>32.619999999999997</v>
      </c>
      <c r="X148" s="85">
        <v>53.79</v>
      </c>
      <c r="Y148" s="85">
        <v>47.54</v>
      </c>
      <c r="Z148" s="85">
        <v>49.37</v>
      </c>
      <c r="AA148" s="85">
        <v>37.01</v>
      </c>
      <c r="AB148" s="85">
        <v>41.59</v>
      </c>
      <c r="AC148" s="85">
        <v>34.049999999999997</v>
      </c>
      <c r="AD148" s="85">
        <v>31.01</v>
      </c>
      <c r="AE148" s="47">
        <v>199860</v>
      </c>
      <c r="AF148" s="47">
        <v>167375</v>
      </c>
      <c r="AG148" s="47">
        <v>195965</v>
      </c>
      <c r="AH148" s="47">
        <v>178180</v>
      </c>
      <c r="AI148" s="47">
        <v>154025</v>
      </c>
      <c r="AJ148" s="47">
        <v>129970</v>
      </c>
      <c r="AK148" s="47">
        <v>77475</v>
      </c>
      <c r="AL148" s="47">
        <v>114310</v>
      </c>
      <c r="AM148" s="47">
        <v>107195</v>
      </c>
      <c r="AN148" s="47">
        <v>132070</v>
      </c>
      <c r="AO148" s="47">
        <v>122130</v>
      </c>
      <c r="AP148" s="47">
        <v>196320</v>
      </c>
      <c r="AQ148" s="47">
        <v>140620</v>
      </c>
      <c r="AR148" s="47">
        <v>126210</v>
      </c>
      <c r="AS148" s="47"/>
      <c r="AT148" s="47"/>
      <c r="AU148" s="47"/>
      <c r="AV148" s="47"/>
      <c r="AW148" s="47"/>
      <c r="AX148" s="47"/>
      <c r="AY148" s="47"/>
      <c r="AZ148" s="47"/>
      <c r="BA148" s="47"/>
      <c r="BB148" s="47"/>
      <c r="BC148" s="47"/>
      <c r="BD148" s="47"/>
      <c r="BE148" s="47"/>
      <c r="BF148" s="47"/>
    </row>
    <row r="149" spans="1:58" hidden="1">
      <c r="A149" s="46" t="s">
        <v>280</v>
      </c>
      <c r="B149" s="46" t="s">
        <v>258</v>
      </c>
      <c r="C149" s="47">
        <v>173925</v>
      </c>
      <c r="D149" s="47">
        <v>169180</v>
      </c>
      <c r="E149" s="47">
        <v>127940</v>
      </c>
      <c r="F149" s="47">
        <v>171095</v>
      </c>
      <c r="G149" s="47">
        <v>166750</v>
      </c>
      <c r="H149" s="47">
        <v>194750</v>
      </c>
      <c r="I149" s="47">
        <v>200415</v>
      </c>
      <c r="J149" s="47">
        <v>190305</v>
      </c>
      <c r="K149" s="47">
        <v>178545</v>
      </c>
      <c r="L149" s="47">
        <v>165580</v>
      </c>
      <c r="M149" s="47">
        <v>156290</v>
      </c>
      <c r="N149" s="47">
        <v>146550</v>
      </c>
      <c r="O149" s="47">
        <v>152600</v>
      </c>
      <c r="P149" s="47">
        <v>157270</v>
      </c>
      <c r="Q149" s="85">
        <v>62.07</v>
      </c>
      <c r="R149" s="85">
        <v>57.35</v>
      </c>
      <c r="S149" s="85">
        <v>59.93</v>
      </c>
      <c r="T149" s="85">
        <v>57.94</v>
      </c>
      <c r="U149" s="85">
        <v>64.06</v>
      </c>
      <c r="V149" s="85">
        <v>71.08</v>
      </c>
      <c r="W149" s="85">
        <v>51.15</v>
      </c>
      <c r="X149" s="85">
        <v>62.6</v>
      </c>
      <c r="Y149" s="85">
        <v>62.12</v>
      </c>
      <c r="Z149" s="85">
        <v>67.36</v>
      </c>
      <c r="AA149" s="85">
        <v>46.35</v>
      </c>
      <c r="AB149" s="85">
        <v>65.19</v>
      </c>
      <c r="AC149" s="85">
        <v>59.6</v>
      </c>
      <c r="AD149" s="85">
        <v>63.75</v>
      </c>
      <c r="AE149" s="47">
        <v>10795655</v>
      </c>
      <c r="AF149" s="47">
        <v>9702260</v>
      </c>
      <c r="AG149" s="47">
        <v>7667140</v>
      </c>
      <c r="AH149" s="47">
        <v>9913920</v>
      </c>
      <c r="AI149" s="47">
        <v>10681895</v>
      </c>
      <c r="AJ149" s="47">
        <v>13843025</v>
      </c>
      <c r="AK149" s="47">
        <v>10250475</v>
      </c>
      <c r="AL149" s="47">
        <v>11912300</v>
      </c>
      <c r="AM149" s="47">
        <v>11090980</v>
      </c>
      <c r="AN149" s="47">
        <v>11153420</v>
      </c>
      <c r="AO149" s="47">
        <v>7243370</v>
      </c>
      <c r="AP149" s="47">
        <v>9554200</v>
      </c>
      <c r="AQ149" s="47">
        <v>9095400</v>
      </c>
      <c r="AR149" s="47">
        <v>10025890</v>
      </c>
      <c r="AS149" s="47"/>
      <c r="AT149" s="47"/>
      <c r="AU149" s="47"/>
      <c r="AV149" s="47"/>
      <c r="AW149" s="47"/>
      <c r="AX149" s="47"/>
      <c r="AY149" s="47"/>
      <c r="AZ149" s="47"/>
      <c r="BA149" s="47"/>
      <c r="BB149" s="47"/>
      <c r="BC149" s="47"/>
      <c r="BD149" s="47"/>
      <c r="BE149" s="47"/>
      <c r="BF149" s="47"/>
    </row>
    <row r="150" spans="1:58" hidden="1">
      <c r="A150" s="46" t="s">
        <v>280</v>
      </c>
      <c r="B150" s="46" t="s">
        <v>259</v>
      </c>
      <c r="C150" s="47">
        <v>35149</v>
      </c>
      <c r="D150" s="47">
        <v>43130</v>
      </c>
      <c r="E150" s="47">
        <v>97170</v>
      </c>
      <c r="F150" s="47">
        <v>45800</v>
      </c>
      <c r="G150" s="47">
        <v>57375</v>
      </c>
      <c r="H150" s="47">
        <v>38950</v>
      </c>
      <c r="I150" s="47">
        <v>29600</v>
      </c>
      <c r="J150" s="47">
        <v>43005</v>
      </c>
      <c r="K150" s="47">
        <v>41495</v>
      </c>
      <c r="L150" s="47">
        <v>71370</v>
      </c>
      <c r="M150" s="47">
        <v>81355</v>
      </c>
      <c r="N150" s="47">
        <v>56030</v>
      </c>
      <c r="O150" s="47">
        <v>63560</v>
      </c>
      <c r="P150" s="47">
        <v>52210</v>
      </c>
      <c r="Q150" s="85">
        <v>50.31</v>
      </c>
      <c r="R150" s="85">
        <v>44.73</v>
      </c>
      <c r="S150" s="85">
        <v>57.31</v>
      </c>
      <c r="T150" s="85">
        <v>44.03</v>
      </c>
      <c r="U150" s="85">
        <v>46.25</v>
      </c>
      <c r="V150" s="85">
        <v>49.41</v>
      </c>
      <c r="W150" s="85">
        <v>36.35</v>
      </c>
      <c r="X150" s="85">
        <v>54.15</v>
      </c>
      <c r="Y150" s="85">
        <v>51.82</v>
      </c>
      <c r="Z150" s="85">
        <v>59.45</v>
      </c>
      <c r="AA150" s="85">
        <v>36.299999999999997</v>
      </c>
      <c r="AB150" s="85">
        <v>55.08</v>
      </c>
      <c r="AC150" s="85">
        <v>39.39</v>
      </c>
      <c r="AD150" s="85">
        <v>44.91</v>
      </c>
      <c r="AE150" s="47">
        <v>1768448</v>
      </c>
      <c r="AF150" s="47">
        <v>1929170</v>
      </c>
      <c r="AG150" s="47">
        <v>5569110</v>
      </c>
      <c r="AH150" s="47">
        <v>2016500</v>
      </c>
      <c r="AI150" s="47">
        <v>2653845</v>
      </c>
      <c r="AJ150" s="47">
        <v>1924350</v>
      </c>
      <c r="AK150" s="47">
        <v>1075825</v>
      </c>
      <c r="AL150" s="47">
        <v>2328760</v>
      </c>
      <c r="AM150" s="47">
        <v>2150290</v>
      </c>
      <c r="AN150" s="47">
        <v>4242680</v>
      </c>
      <c r="AO150" s="47">
        <v>2952910</v>
      </c>
      <c r="AP150" s="47">
        <v>3085980</v>
      </c>
      <c r="AQ150" s="47">
        <v>2503740</v>
      </c>
      <c r="AR150" s="47">
        <v>2344890</v>
      </c>
      <c r="AS150" s="47"/>
      <c r="AT150" s="47"/>
      <c r="AU150" s="47"/>
      <c r="AV150" s="47"/>
      <c r="AW150" s="47"/>
      <c r="AX150" s="47"/>
      <c r="AY150" s="47"/>
      <c r="AZ150" s="47"/>
      <c r="BA150" s="47"/>
      <c r="BB150" s="47"/>
      <c r="BC150" s="47"/>
      <c r="BD150" s="47"/>
      <c r="BE150" s="47"/>
      <c r="BF150" s="47"/>
    </row>
    <row r="151" spans="1:58" hidden="1">
      <c r="A151" s="46" t="s">
        <v>280</v>
      </c>
      <c r="B151" s="46" t="s">
        <v>260</v>
      </c>
      <c r="C151" s="47">
        <v>209074</v>
      </c>
      <c r="D151" s="47">
        <v>212310</v>
      </c>
      <c r="E151" s="47">
        <v>225110</v>
      </c>
      <c r="F151" s="47">
        <v>216895</v>
      </c>
      <c r="G151" s="47">
        <v>224125</v>
      </c>
      <c r="H151" s="47">
        <v>233700</v>
      </c>
      <c r="I151" s="47">
        <v>230015</v>
      </c>
      <c r="J151" s="47">
        <v>233310</v>
      </c>
      <c r="K151" s="47">
        <v>220040</v>
      </c>
      <c r="L151" s="47">
        <v>236950</v>
      </c>
      <c r="M151" s="47">
        <v>237645</v>
      </c>
      <c r="N151" s="47">
        <v>202580</v>
      </c>
      <c r="O151" s="47">
        <v>216160</v>
      </c>
      <c r="P151" s="47">
        <v>209480</v>
      </c>
      <c r="Q151" s="85">
        <v>60.09</v>
      </c>
      <c r="R151" s="85">
        <v>54.79</v>
      </c>
      <c r="S151" s="85">
        <v>58.8</v>
      </c>
      <c r="T151" s="85">
        <v>55.01</v>
      </c>
      <c r="U151" s="85">
        <v>59.5</v>
      </c>
      <c r="V151" s="85">
        <v>67.47</v>
      </c>
      <c r="W151" s="85">
        <v>49.24</v>
      </c>
      <c r="X151" s="85">
        <v>61.04</v>
      </c>
      <c r="Y151" s="85">
        <v>60.18</v>
      </c>
      <c r="Z151" s="85">
        <v>64.98</v>
      </c>
      <c r="AA151" s="85">
        <v>42.91</v>
      </c>
      <c r="AB151" s="85">
        <v>62.4</v>
      </c>
      <c r="AC151" s="85">
        <v>53.66</v>
      </c>
      <c r="AD151" s="85">
        <v>59.05</v>
      </c>
      <c r="AE151" s="47">
        <v>12564103</v>
      </c>
      <c r="AF151" s="47">
        <v>11631430</v>
      </c>
      <c r="AG151" s="47">
        <v>13236250</v>
      </c>
      <c r="AH151" s="47">
        <v>11930420</v>
      </c>
      <c r="AI151" s="47">
        <v>13335740</v>
      </c>
      <c r="AJ151" s="47">
        <v>15767375</v>
      </c>
      <c r="AK151" s="47">
        <v>11326300</v>
      </c>
      <c r="AL151" s="47">
        <v>14241060</v>
      </c>
      <c r="AM151" s="47">
        <v>13241270</v>
      </c>
      <c r="AN151" s="47">
        <v>15396100</v>
      </c>
      <c r="AO151" s="47">
        <v>10196280</v>
      </c>
      <c r="AP151" s="47">
        <v>12640180</v>
      </c>
      <c r="AQ151" s="47">
        <v>11599140</v>
      </c>
      <c r="AR151" s="47">
        <v>12370780</v>
      </c>
      <c r="AS151" s="47"/>
      <c r="AT151" s="47"/>
      <c r="AU151" s="47"/>
      <c r="AV151" s="47"/>
      <c r="AW151" s="47"/>
      <c r="AX151" s="47"/>
      <c r="AY151" s="47"/>
      <c r="AZ151" s="47"/>
      <c r="BA151" s="47"/>
      <c r="BB151" s="47"/>
      <c r="BC151" s="47"/>
      <c r="BD151" s="47"/>
      <c r="BE151" s="47"/>
      <c r="BF151" s="47"/>
    </row>
    <row r="152" spans="1:58" hidden="1">
      <c r="A152" s="46" t="s">
        <v>280</v>
      </c>
      <c r="B152" s="46" t="s">
        <v>261</v>
      </c>
      <c r="C152" s="47">
        <v>6958</v>
      </c>
      <c r="D152" s="47">
        <v>6685</v>
      </c>
      <c r="E152" s="47">
        <v>300</v>
      </c>
      <c r="F152" s="47">
        <v>4820</v>
      </c>
      <c r="G152" s="47">
        <v>5850</v>
      </c>
      <c r="H152" s="47">
        <v>6955</v>
      </c>
      <c r="I152" s="47">
        <v>8260</v>
      </c>
      <c r="J152" s="47">
        <v>13055</v>
      </c>
      <c r="K152" s="47">
        <v>8570</v>
      </c>
      <c r="L152" s="47">
        <v>6340</v>
      </c>
      <c r="M152" s="47">
        <v>6910</v>
      </c>
      <c r="N152" s="47">
        <v>10960</v>
      </c>
      <c r="O152" s="47">
        <v>10030</v>
      </c>
      <c r="P152" s="47">
        <v>8100</v>
      </c>
      <c r="Q152" s="85">
        <v>40.880000000000003</v>
      </c>
      <c r="R152" s="85">
        <v>36.72</v>
      </c>
      <c r="S152" s="85">
        <v>45</v>
      </c>
      <c r="T152" s="85">
        <v>37.119999999999997</v>
      </c>
      <c r="U152" s="85">
        <v>37.119999999999997</v>
      </c>
      <c r="V152" s="85">
        <v>41.95</v>
      </c>
      <c r="W152" s="85">
        <v>36.85</v>
      </c>
      <c r="X152" s="85">
        <v>40</v>
      </c>
      <c r="Y152" s="85">
        <v>44.68</v>
      </c>
      <c r="Z152" s="85">
        <v>39.94</v>
      </c>
      <c r="AA152" s="85">
        <v>35.71</v>
      </c>
      <c r="AB152" s="85">
        <v>39.94</v>
      </c>
      <c r="AC152" s="85">
        <v>33.92</v>
      </c>
      <c r="AD152" s="85">
        <v>35.590000000000003</v>
      </c>
      <c r="AE152" s="47">
        <v>284457</v>
      </c>
      <c r="AF152" s="47">
        <v>245440</v>
      </c>
      <c r="AG152" s="47">
        <v>13500</v>
      </c>
      <c r="AH152" s="47">
        <v>178920</v>
      </c>
      <c r="AI152" s="47">
        <v>217170</v>
      </c>
      <c r="AJ152" s="47">
        <v>291775</v>
      </c>
      <c r="AK152" s="47">
        <v>304380</v>
      </c>
      <c r="AL152" s="47">
        <v>522235</v>
      </c>
      <c r="AM152" s="47">
        <v>382945</v>
      </c>
      <c r="AN152" s="47">
        <v>253250</v>
      </c>
      <c r="AO152" s="47">
        <v>246790</v>
      </c>
      <c r="AP152" s="47">
        <v>437780</v>
      </c>
      <c r="AQ152" s="47">
        <v>340220</v>
      </c>
      <c r="AR152" s="47">
        <v>288300</v>
      </c>
      <c r="AS152" s="47"/>
      <c r="AT152" s="47"/>
      <c r="AU152" s="47"/>
      <c r="AV152" s="47"/>
      <c r="AW152" s="47"/>
      <c r="AX152" s="47"/>
      <c r="AY152" s="47"/>
      <c r="AZ152" s="47"/>
      <c r="BA152" s="47"/>
      <c r="BB152" s="47"/>
      <c r="BC152" s="47"/>
      <c r="BD152" s="47"/>
      <c r="BE152" s="47"/>
      <c r="BF152" s="47"/>
    </row>
    <row r="153" spans="1:58" hidden="1">
      <c r="A153" s="46" t="s">
        <v>280</v>
      </c>
      <c r="B153" s="46" t="s">
        <v>262</v>
      </c>
      <c r="C153" s="47">
        <v>4856</v>
      </c>
      <c r="D153" s="47">
        <v>4520</v>
      </c>
      <c r="E153" s="47">
        <v>9565</v>
      </c>
      <c r="F153" s="47">
        <v>7830</v>
      </c>
      <c r="G153" s="47">
        <v>9455</v>
      </c>
      <c r="H153" s="47">
        <v>6305</v>
      </c>
      <c r="I153" s="47">
        <v>4590</v>
      </c>
      <c r="J153" s="47">
        <v>7195</v>
      </c>
      <c r="K153" s="47">
        <v>4210</v>
      </c>
      <c r="L153" s="47">
        <v>6720</v>
      </c>
      <c r="M153" s="47">
        <v>8820</v>
      </c>
      <c r="N153" s="47">
        <v>7750</v>
      </c>
      <c r="O153" s="47">
        <v>7370</v>
      </c>
      <c r="P153" s="47">
        <v>5220</v>
      </c>
      <c r="Q153" s="85">
        <v>40.81</v>
      </c>
      <c r="R153" s="85">
        <v>35.76</v>
      </c>
      <c r="S153" s="85">
        <v>40.28</v>
      </c>
      <c r="T153" s="85">
        <v>36.49</v>
      </c>
      <c r="U153" s="85">
        <v>36.53</v>
      </c>
      <c r="V153" s="85">
        <v>41.74</v>
      </c>
      <c r="W153" s="85">
        <v>36.880000000000003</v>
      </c>
      <c r="X153" s="85">
        <v>40.96</v>
      </c>
      <c r="Y153" s="85">
        <v>44.21</v>
      </c>
      <c r="Z153" s="85">
        <v>37.659999999999997</v>
      </c>
      <c r="AA153" s="85">
        <v>34.42</v>
      </c>
      <c r="AB153" s="85">
        <v>38.700000000000003</v>
      </c>
      <c r="AC153" s="85">
        <v>32.51</v>
      </c>
      <c r="AD153" s="85">
        <v>34.69</v>
      </c>
      <c r="AE153" s="47">
        <v>198174</v>
      </c>
      <c r="AF153" s="47">
        <v>161640</v>
      </c>
      <c r="AG153" s="47">
        <v>385300</v>
      </c>
      <c r="AH153" s="47">
        <v>285750</v>
      </c>
      <c r="AI153" s="47">
        <v>345400</v>
      </c>
      <c r="AJ153" s="47">
        <v>263200</v>
      </c>
      <c r="AK153" s="47">
        <v>169270</v>
      </c>
      <c r="AL153" s="47">
        <v>294710</v>
      </c>
      <c r="AM153" s="47">
        <v>186130</v>
      </c>
      <c r="AN153" s="47">
        <v>253100</v>
      </c>
      <c r="AO153" s="47">
        <v>303610</v>
      </c>
      <c r="AP153" s="47">
        <v>299910</v>
      </c>
      <c r="AQ153" s="47">
        <v>239600</v>
      </c>
      <c r="AR153" s="47">
        <v>181080</v>
      </c>
      <c r="AS153" s="47"/>
      <c r="AT153" s="47"/>
      <c r="AU153" s="47"/>
      <c r="AV153" s="47"/>
      <c r="AW153" s="47"/>
      <c r="AX153" s="47"/>
      <c r="AY153" s="47"/>
      <c r="AZ153" s="47"/>
      <c r="BA153" s="47"/>
      <c r="BB153" s="47"/>
      <c r="BC153" s="47"/>
      <c r="BD153" s="47"/>
      <c r="BE153" s="47"/>
      <c r="BF153" s="47"/>
    </row>
    <row r="154" spans="1:58" hidden="1">
      <c r="A154" s="46" t="s">
        <v>280</v>
      </c>
      <c r="B154" s="46" t="s">
        <v>263</v>
      </c>
      <c r="C154" s="47">
        <v>11814</v>
      </c>
      <c r="D154" s="47">
        <v>11205</v>
      </c>
      <c r="E154" s="47">
        <v>9865</v>
      </c>
      <c r="F154" s="47">
        <v>12650</v>
      </c>
      <c r="G154" s="47">
        <v>15305</v>
      </c>
      <c r="H154" s="47">
        <v>13260</v>
      </c>
      <c r="I154" s="47">
        <v>12850</v>
      </c>
      <c r="J154" s="47">
        <v>20250</v>
      </c>
      <c r="K154" s="47">
        <v>12780</v>
      </c>
      <c r="L154" s="47">
        <v>13060</v>
      </c>
      <c r="M154" s="47">
        <v>15730</v>
      </c>
      <c r="N154" s="47">
        <v>18710</v>
      </c>
      <c r="O154" s="47">
        <v>17400</v>
      </c>
      <c r="P154" s="47">
        <v>13320</v>
      </c>
      <c r="Q154" s="85">
        <v>40.85</v>
      </c>
      <c r="R154" s="85">
        <v>36.33</v>
      </c>
      <c r="S154" s="85">
        <v>40.43</v>
      </c>
      <c r="T154" s="85">
        <v>36.729999999999997</v>
      </c>
      <c r="U154" s="85">
        <v>36.76</v>
      </c>
      <c r="V154" s="85">
        <v>41.85</v>
      </c>
      <c r="W154" s="85">
        <v>36.86</v>
      </c>
      <c r="X154" s="85">
        <v>40.340000000000003</v>
      </c>
      <c r="Y154" s="85">
        <v>44.53</v>
      </c>
      <c r="Z154" s="85">
        <v>38.770000000000003</v>
      </c>
      <c r="AA154" s="85">
        <v>34.99</v>
      </c>
      <c r="AB154" s="85">
        <v>39.43</v>
      </c>
      <c r="AC154" s="85">
        <v>33.32</v>
      </c>
      <c r="AD154" s="85">
        <v>35.24</v>
      </c>
      <c r="AE154" s="47">
        <v>482631</v>
      </c>
      <c r="AF154" s="47">
        <v>407080</v>
      </c>
      <c r="AG154" s="47">
        <v>398800</v>
      </c>
      <c r="AH154" s="47">
        <v>464670</v>
      </c>
      <c r="AI154" s="47">
        <v>562570</v>
      </c>
      <c r="AJ154" s="47">
        <v>554975</v>
      </c>
      <c r="AK154" s="47">
        <v>473650</v>
      </c>
      <c r="AL154" s="47">
        <v>816945</v>
      </c>
      <c r="AM154" s="47">
        <v>569075</v>
      </c>
      <c r="AN154" s="47">
        <v>506350</v>
      </c>
      <c r="AO154" s="47">
        <v>550400</v>
      </c>
      <c r="AP154" s="47">
        <v>737690</v>
      </c>
      <c r="AQ154" s="47">
        <v>579820</v>
      </c>
      <c r="AR154" s="47">
        <v>469380</v>
      </c>
      <c r="AS154" s="47"/>
      <c r="AT154" s="47"/>
      <c r="AU154" s="47"/>
      <c r="AV154" s="47"/>
      <c r="AW154" s="47"/>
      <c r="AX154" s="47"/>
      <c r="AY154" s="47"/>
      <c r="AZ154" s="47"/>
      <c r="BA154" s="47"/>
      <c r="BB154" s="47"/>
      <c r="BC154" s="47"/>
      <c r="BD154" s="47"/>
      <c r="BE154" s="47"/>
      <c r="BF154" s="47"/>
    </row>
    <row r="155" spans="1:58" hidden="1">
      <c r="A155" s="46" t="s">
        <v>280</v>
      </c>
      <c r="B155" s="46" t="s">
        <v>264</v>
      </c>
      <c r="C155" s="47">
        <v>7521</v>
      </c>
      <c r="D155" s="47">
        <v>8021</v>
      </c>
      <c r="E155" s="47">
        <v>8021</v>
      </c>
      <c r="F155" s="47">
        <v>8071</v>
      </c>
      <c r="G155" s="47">
        <v>8071</v>
      </c>
      <c r="H155" s="47">
        <v>8260</v>
      </c>
      <c r="I155" s="47">
        <v>6730</v>
      </c>
      <c r="J155" s="47">
        <v>8260</v>
      </c>
      <c r="K155" s="47">
        <v>6730</v>
      </c>
      <c r="L155" s="47">
        <v>8050</v>
      </c>
      <c r="M155" s="47">
        <v>8190</v>
      </c>
      <c r="N155" s="47">
        <v>8210</v>
      </c>
      <c r="O155" s="47">
        <v>8210</v>
      </c>
      <c r="P155" s="47">
        <v>8210</v>
      </c>
      <c r="Q155" s="85">
        <v>101.55</v>
      </c>
      <c r="R155" s="85">
        <v>117.35</v>
      </c>
      <c r="S155" s="85">
        <v>114.44</v>
      </c>
      <c r="T155" s="85">
        <v>98.03</v>
      </c>
      <c r="U155" s="85">
        <v>116.41</v>
      </c>
      <c r="V155" s="85">
        <v>98.31</v>
      </c>
      <c r="W155" s="85">
        <v>93.78</v>
      </c>
      <c r="X155" s="85">
        <v>116.3</v>
      </c>
      <c r="Y155" s="85">
        <v>104.41</v>
      </c>
      <c r="Z155" s="85">
        <v>88.41</v>
      </c>
      <c r="AA155" s="85">
        <v>93.42</v>
      </c>
      <c r="AB155" s="85">
        <v>106.05</v>
      </c>
      <c r="AC155" s="85">
        <v>99.08</v>
      </c>
      <c r="AD155" s="85">
        <v>120.12</v>
      </c>
      <c r="AE155" s="47">
        <v>763732</v>
      </c>
      <c r="AF155" s="47">
        <v>941248</v>
      </c>
      <c r="AG155" s="47">
        <v>917920</v>
      </c>
      <c r="AH155" s="47">
        <v>791195</v>
      </c>
      <c r="AI155" s="47">
        <v>939556</v>
      </c>
      <c r="AJ155" s="47">
        <v>812020</v>
      </c>
      <c r="AK155" s="47">
        <v>631150</v>
      </c>
      <c r="AL155" s="47">
        <v>960660</v>
      </c>
      <c r="AM155" s="47">
        <v>702670</v>
      </c>
      <c r="AN155" s="47">
        <v>711680</v>
      </c>
      <c r="AO155" s="47">
        <v>765130</v>
      </c>
      <c r="AP155" s="47">
        <v>870700</v>
      </c>
      <c r="AQ155" s="47">
        <v>813460</v>
      </c>
      <c r="AR155" s="47">
        <v>986170</v>
      </c>
      <c r="AS155" s="47"/>
      <c r="AT155" s="47"/>
      <c r="AU155" s="47"/>
      <c r="AV155" s="47"/>
      <c r="AW155" s="47"/>
      <c r="AX155" s="47"/>
      <c r="AY155" s="47"/>
      <c r="AZ155" s="47"/>
      <c r="BA155" s="47"/>
      <c r="BB155" s="47"/>
      <c r="BC155" s="47"/>
      <c r="BD155" s="47"/>
      <c r="BE155" s="47"/>
      <c r="BF155" s="47"/>
    </row>
    <row r="156" spans="1:58" hidden="1">
      <c r="A156" s="46" t="s">
        <v>280</v>
      </c>
      <c r="B156" s="46" t="s">
        <v>265</v>
      </c>
      <c r="C156" s="47">
        <v>67194</v>
      </c>
      <c r="D156" s="47">
        <v>69935</v>
      </c>
      <c r="E156" s="47">
        <v>78220</v>
      </c>
      <c r="F156" s="47">
        <v>87860</v>
      </c>
      <c r="G156" s="47">
        <v>87580</v>
      </c>
      <c r="H156" s="47">
        <v>68080</v>
      </c>
      <c r="I156" s="47">
        <v>54543</v>
      </c>
      <c r="J156" s="47">
        <v>63325</v>
      </c>
      <c r="K156" s="47">
        <v>60150</v>
      </c>
      <c r="L156" s="47">
        <v>68075</v>
      </c>
      <c r="M156" s="47">
        <v>69640</v>
      </c>
      <c r="N156" s="47">
        <v>56620</v>
      </c>
      <c r="O156" s="47">
        <v>57060</v>
      </c>
      <c r="P156" s="47">
        <v>50195</v>
      </c>
      <c r="Q156" s="85">
        <v>89.02</v>
      </c>
      <c r="R156" s="85">
        <v>100.78</v>
      </c>
      <c r="S156" s="85">
        <v>92.67</v>
      </c>
      <c r="T156" s="85">
        <v>75.62</v>
      </c>
      <c r="U156" s="85">
        <v>101.97</v>
      </c>
      <c r="V156" s="85">
        <v>60.91</v>
      </c>
      <c r="W156" s="85">
        <v>69.97</v>
      </c>
      <c r="X156" s="85">
        <v>98.4</v>
      </c>
      <c r="Y156" s="85">
        <v>69.39</v>
      </c>
      <c r="Z156" s="85">
        <v>71.87</v>
      </c>
      <c r="AA156" s="85">
        <v>56.41</v>
      </c>
      <c r="AB156" s="85">
        <v>96.12</v>
      </c>
      <c r="AC156" s="85">
        <v>69.08</v>
      </c>
      <c r="AD156" s="85">
        <v>95.64</v>
      </c>
      <c r="AE156" s="47">
        <v>5981480</v>
      </c>
      <c r="AF156" s="47">
        <v>7047705</v>
      </c>
      <c r="AG156" s="47">
        <v>7248660</v>
      </c>
      <c r="AH156" s="47">
        <v>6643580</v>
      </c>
      <c r="AI156" s="47">
        <v>8930900</v>
      </c>
      <c r="AJ156" s="47">
        <v>4146500</v>
      </c>
      <c r="AK156" s="47">
        <v>3816432</v>
      </c>
      <c r="AL156" s="47">
        <v>6231285</v>
      </c>
      <c r="AM156" s="47">
        <v>4173930</v>
      </c>
      <c r="AN156" s="47">
        <v>4892790</v>
      </c>
      <c r="AO156" s="47">
        <v>3928580</v>
      </c>
      <c r="AP156" s="47">
        <v>5442190</v>
      </c>
      <c r="AQ156" s="47">
        <v>3941495</v>
      </c>
      <c r="AR156" s="47">
        <v>4800595</v>
      </c>
      <c r="AS156" s="47"/>
      <c r="AT156" s="47"/>
      <c r="AU156" s="47"/>
      <c r="AV156" s="47"/>
      <c r="AW156" s="47"/>
      <c r="AX156" s="47"/>
      <c r="AY156" s="47"/>
      <c r="AZ156" s="47"/>
      <c r="BA156" s="47"/>
      <c r="BB156" s="47"/>
      <c r="BC156" s="47"/>
      <c r="BD156" s="47"/>
      <c r="BE156" s="47"/>
      <c r="BF156" s="47"/>
    </row>
    <row r="157" spans="1:58" hidden="1">
      <c r="A157" s="46" t="s">
        <v>280</v>
      </c>
      <c r="B157" s="46" t="s">
        <v>266</v>
      </c>
      <c r="C157" s="47">
        <v>0</v>
      </c>
      <c r="D157" s="47">
        <v>0</v>
      </c>
      <c r="E157" s="47">
        <v>0</v>
      </c>
      <c r="F157" s="47">
        <v>320</v>
      </c>
      <c r="G157" s="47">
        <v>720</v>
      </c>
      <c r="H157" s="47">
        <v>695</v>
      </c>
      <c r="I157" s="47">
        <v>530</v>
      </c>
      <c r="J157" s="47">
        <v>897</v>
      </c>
      <c r="K157" s="47">
        <v>1059</v>
      </c>
      <c r="L157" s="47">
        <v>1150</v>
      </c>
      <c r="M157" s="47">
        <v>960</v>
      </c>
      <c r="N157" s="47">
        <v>1170</v>
      </c>
      <c r="O157" s="47">
        <v>1110</v>
      </c>
      <c r="P157" s="47">
        <v>1195</v>
      </c>
      <c r="Q157" s="85"/>
      <c r="R157" s="85"/>
      <c r="S157" s="85"/>
      <c r="T157" s="85">
        <v>66.41</v>
      </c>
      <c r="U157" s="85">
        <v>79.989999999999995</v>
      </c>
      <c r="V157" s="85">
        <v>53.24</v>
      </c>
      <c r="W157" s="85">
        <v>73.91</v>
      </c>
      <c r="X157" s="85">
        <v>98.15</v>
      </c>
      <c r="Y157" s="85">
        <v>72.73</v>
      </c>
      <c r="Z157" s="85">
        <v>85.4</v>
      </c>
      <c r="AA157" s="85">
        <v>79.41</v>
      </c>
      <c r="AB157" s="85">
        <v>100.59</v>
      </c>
      <c r="AC157" s="85">
        <v>87.62</v>
      </c>
      <c r="AD157" s="85">
        <v>98.25</v>
      </c>
      <c r="AE157" s="47">
        <v>0</v>
      </c>
      <c r="AF157" s="47">
        <v>0</v>
      </c>
      <c r="AG157" s="47">
        <v>0</v>
      </c>
      <c r="AH157" s="47">
        <v>21250</v>
      </c>
      <c r="AI157" s="47">
        <v>57590</v>
      </c>
      <c r="AJ157" s="47">
        <v>37000</v>
      </c>
      <c r="AK157" s="47">
        <v>39170</v>
      </c>
      <c r="AL157" s="47">
        <v>88040</v>
      </c>
      <c r="AM157" s="47">
        <v>77021</v>
      </c>
      <c r="AN157" s="47">
        <v>98210</v>
      </c>
      <c r="AO157" s="47">
        <v>76230</v>
      </c>
      <c r="AP157" s="47">
        <v>117690</v>
      </c>
      <c r="AQ157" s="47">
        <v>97260</v>
      </c>
      <c r="AR157" s="47">
        <v>117405</v>
      </c>
      <c r="AS157" s="47"/>
      <c r="AT157" s="47"/>
      <c r="AU157" s="47"/>
      <c r="AV157" s="47"/>
      <c r="AW157" s="47"/>
      <c r="AX157" s="47"/>
      <c r="AY157" s="47"/>
      <c r="AZ157" s="47"/>
      <c r="BA157" s="47"/>
      <c r="BB157" s="47"/>
      <c r="BC157" s="47"/>
      <c r="BD157" s="47"/>
      <c r="BE157" s="47"/>
      <c r="BF157" s="47"/>
    </row>
    <row r="158" spans="1:58" hidden="1">
      <c r="A158" s="46" t="s">
        <v>280</v>
      </c>
      <c r="B158" s="46" t="s">
        <v>267</v>
      </c>
      <c r="C158" s="47">
        <v>74715</v>
      </c>
      <c r="D158" s="47">
        <v>77956</v>
      </c>
      <c r="E158" s="47">
        <v>86241</v>
      </c>
      <c r="F158" s="47">
        <v>96251</v>
      </c>
      <c r="G158" s="47">
        <v>96371</v>
      </c>
      <c r="H158" s="47">
        <v>77035</v>
      </c>
      <c r="I158" s="47">
        <v>61803</v>
      </c>
      <c r="J158" s="47">
        <v>72482</v>
      </c>
      <c r="K158" s="47">
        <v>67939</v>
      </c>
      <c r="L158" s="47">
        <v>77275</v>
      </c>
      <c r="M158" s="47">
        <v>78790</v>
      </c>
      <c r="N158" s="47">
        <v>66000</v>
      </c>
      <c r="O158" s="47">
        <v>66380</v>
      </c>
      <c r="P158" s="47">
        <v>59600</v>
      </c>
      <c r="Q158" s="85">
        <v>90.28</v>
      </c>
      <c r="R158" s="85">
        <v>102.48</v>
      </c>
      <c r="S158" s="85">
        <v>94.69</v>
      </c>
      <c r="T158" s="85">
        <v>77.459999999999994</v>
      </c>
      <c r="U158" s="85">
        <v>103.02</v>
      </c>
      <c r="V158" s="85">
        <v>64.849999999999994</v>
      </c>
      <c r="W158" s="85">
        <v>72.599999999999994</v>
      </c>
      <c r="X158" s="85">
        <v>100.44</v>
      </c>
      <c r="Y158" s="85">
        <v>72.91</v>
      </c>
      <c r="Z158" s="85">
        <v>73.8</v>
      </c>
      <c r="AA158" s="85">
        <v>60.54</v>
      </c>
      <c r="AB158" s="85">
        <v>97.43</v>
      </c>
      <c r="AC158" s="85">
        <v>73.099999999999994</v>
      </c>
      <c r="AD158" s="85">
        <v>99.06</v>
      </c>
      <c r="AE158" s="47">
        <v>6745212</v>
      </c>
      <c r="AF158" s="47">
        <v>7988953</v>
      </c>
      <c r="AG158" s="47">
        <v>8166580</v>
      </c>
      <c r="AH158" s="47">
        <v>7456025</v>
      </c>
      <c r="AI158" s="47">
        <v>9928046</v>
      </c>
      <c r="AJ158" s="47">
        <v>4995520</v>
      </c>
      <c r="AK158" s="47">
        <v>4486752</v>
      </c>
      <c r="AL158" s="47">
        <v>7279985</v>
      </c>
      <c r="AM158" s="47">
        <v>4953621</v>
      </c>
      <c r="AN158" s="47">
        <v>5702680</v>
      </c>
      <c r="AO158" s="47">
        <v>4769940</v>
      </c>
      <c r="AP158" s="47">
        <v>6430580</v>
      </c>
      <c r="AQ158" s="47">
        <v>4852215</v>
      </c>
      <c r="AR158" s="47">
        <v>5904170</v>
      </c>
      <c r="AS158" s="47"/>
      <c r="AT158" s="47"/>
      <c r="AU158" s="47"/>
      <c r="AV158" s="47"/>
      <c r="AW158" s="47"/>
      <c r="AX158" s="47"/>
      <c r="AY158" s="47"/>
      <c r="AZ158" s="47"/>
      <c r="BA158" s="47"/>
      <c r="BB158" s="47"/>
      <c r="BC158" s="47"/>
      <c r="BD158" s="47"/>
      <c r="BE158" s="47"/>
      <c r="BF158" s="47"/>
    </row>
    <row r="159" spans="1:58" hidden="1">
      <c r="A159" s="46" t="s">
        <v>280</v>
      </c>
      <c r="B159" s="46" t="s">
        <v>268</v>
      </c>
      <c r="C159" s="47">
        <v>100</v>
      </c>
      <c r="D159" s="47">
        <v>115</v>
      </c>
      <c r="E159" s="47">
        <v>85</v>
      </c>
      <c r="F159" s="47">
        <v>55</v>
      </c>
      <c r="G159" s="47">
        <v>80</v>
      </c>
      <c r="H159" s="47">
        <v>80</v>
      </c>
      <c r="I159" s="47">
        <v>1135</v>
      </c>
      <c r="J159" s="47">
        <v>1265</v>
      </c>
      <c r="K159" s="47">
        <v>2395</v>
      </c>
      <c r="L159" s="47">
        <v>5030</v>
      </c>
      <c r="M159" s="47">
        <v>4990</v>
      </c>
      <c r="N159" s="47">
        <v>3860</v>
      </c>
      <c r="O159" s="47">
        <v>2875</v>
      </c>
      <c r="P159" s="47">
        <v>1200</v>
      </c>
      <c r="Q159" s="85">
        <v>55</v>
      </c>
      <c r="R159" s="85">
        <v>60</v>
      </c>
      <c r="S159" s="85">
        <v>58</v>
      </c>
      <c r="T159" s="85">
        <v>52</v>
      </c>
      <c r="U159" s="85">
        <v>60</v>
      </c>
      <c r="V159" s="85">
        <v>60</v>
      </c>
      <c r="W159" s="85">
        <v>60</v>
      </c>
      <c r="X159" s="85">
        <v>91.82</v>
      </c>
      <c r="Y159" s="85">
        <v>63.47</v>
      </c>
      <c r="Z159" s="85">
        <v>74.53</v>
      </c>
      <c r="AA159" s="85">
        <v>43</v>
      </c>
      <c r="AB159" s="85">
        <v>39.61</v>
      </c>
      <c r="AC159" s="85">
        <v>34.36</v>
      </c>
      <c r="AD159" s="85">
        <v>58.71</v>
      </c>
      <c r="AE159" s="47">
        <v>5500</v>
      </c>
      <c r="AF159" s="47">
        <v>6900</v>
      </c>
      <c r="AG159" s="47">
        <v>4930</v>
      </c>
      <c r="AH159" s="47">
        <v>2860</v>
      </c>
      <c r="AI159" s="47">
        <v>4800</v>
      </c>
      <c r="AJ159" s="47">
        <v>4800</v>
      </c>
      <c r="AK159" s="47">
        <v>68100</v>
      </c>
      <c r="AL159" s="47">
        <v>116148</v>
      </c>
      <c r="AM159" s="47">
        <v>152015</v>
      </c>
      <c r="AN159" s="47">
        <v>374890</v>
      </c>
      <c r="AO159" s="47">
        <v>214570</v>
      </c>
      <c r="AP159" s="47">
        <v>152910</v>
      </c>
      <c r="AQ159" s="47">
        <v>98790</v>
      </c>
      <c r="AR159" s="47">
        <v>70450</v>
      </c>
      <c r="AS159" s="47"/>
      <c r="AT159" s="47"/>
      <c r="AU159" s="47"/>
      <c r="AV159" s="47"/>
      <c r="AW159" s="47"/>
      <c r="AX159" s="47"/>
      <c r="AY159" s="47"/>
      <c r="AZ159" s="47"/>
      <c r="BA159" s="47"/>
      <c r="BB159" s="47"/>
      <c r="BC159" s="47"/>
      <c r="BD159" s="47"/>
      <c r="BE159" s="47"/>
      <c r="BF159" s="47"/>
    </row>
    <row r="160" spans="1:58" hidden="1">
      <c r="A160" s="46" t="s">
        <v>280</v>
      </c>
      <c r="B160" s="46" t="s">
        <v>269</v>
      </c>
      <c r="C160" s="47">
        <v>35658</v>
      </c>
      <c r="D160" s="47">
        <v>34130</v>
      </c>
      <c r="E160" s="47">
        <v>34355</v>
      </c>
      <c r="F160" s="47">
        <v>33390</v>
      </c>
      <c r="G160" s="47">
        <v>31960</v>
      </c>
      <c r="H160" s="47">
        <v>29270</v>
      </c>
      <c r="I160" s="47">
        <v>30130</v>
      </c>
      <c r="J160" s="47">
        <v>29915</v>
      </c>
      <c r="K160" s="47">
        <v>29220</v>
      </c>
      <c r="L160" s="47">
        <v>32270</v>
      </c>
      <c r="M160" s="47">
        <v>30130</v>
      </c>
      <c r="N160" s="47">
        <v>37880</v>
      </c>
      <c r="O160" s="47">
        <v>36700</v>
      </c>
      <c r="P160" s="47">
        <v>34700</v>
      </c>
      <c r="Q160" s="85">
        <v>49.63</v>
      </c>
      <c r="R160" s="85">
        <v>47.26</v>
      </c>
      <c r="S160" s="85">
        <v>45.29</v>
      </c>
      <c r="T160" s="85">
        <v>47.8</v>
      </c>
      <c r="U160" s="85">
        <v>45.54</v>
      </c>
      <c r="V160" s="85">
        <v>48.68</v>
      </c>
      <c r="W160" s="85">
        <v>36</v>
      </c>
      <c r="X160" s="85">
        <v>52.8</v>
      </c>
      <c r="Y160" s="85">
        <v>49.46</v>
      </c>
      <c r="Z160" s="85">
        <v>51.64</v>
      </c>
      <c r="AA160" s="85">
        <v>41.8</v>
      </c>
      <c r="AB160" s="85">
        <v>48.35</v>
      </c>
      <c r="AC160" s="85">
        <v>46.85</v>
      </c>
      <c r="AD160" s="85">
        <v>45.42</v>
      </c>
      <c r="AE160" s="47">
        <v>1769564</v>
      </c>
      <c r="AF160" s="47">
        <v>1612870</v>
      </c>
      <c r="AG160" s="47">
        <v>1556030</v>
      </c>
      <c r="AH160" s="47">
        <v>1595910</v>
      </c>
      <c r="AI160" s="47">
        <v>1455315</v>
      </c>
      <c r="AJ160" s="47">
        <v>1424900</v>
      </c>
      <c r="AK160" s="47">
        <v>1084635</v>
      </c>
      <c r="AL160" s="47">
        <v>1579590</v>
      </c>
      <c r="AM160" s="47">
        <v>1445180</v>
      </c>
      <c r="AN160" s="47">
        <v>1666440</v>
      </c>
      <c r="AO160" s="47">
        <v>1259310</v>
      </c>
      <c r="AP160" s="47">
        <v>1831640</v>
      </c>
      <c r="AQ160" s="47">
        <v>1719500</v>
      </c>
      <c r="AR160" s="47">
        <v>1576200</v>
      </c>
      <c r="AS160" s="47"/>
      <c r="AT160" s="47"/>
      <c r="AU160" s="47"/>
      <c r="AV160" s="47"/>
      <c r="AW160" s="47"/>
      <c r="AX160" s="47"/>
      <c r="AY160" s="47"/>
      <c r="AZ160" s="47"/>
      <c r="BA160" s="47"/>
      <c r="BB160" s="47"/>
      <c r="BC160" s="47"/>
      <c r="BD160" s="47"/>
      <c r="BE160" s="47"/>
      <c r="BF160" s="47"/>
    </row>
    <row r="161" spans="1:58" hidden="1">
      <c r="A161" s="46" t="s">
        <v>280</v>
      </c>
      <c r="B161" s="46" t="s">
        <v>270</v>
      </c>
      <c r="C161" s="47">
        <v>0</v>
      </c>
      <c r="D161" s="47">
        <v>0</v>
      </c>
      <c r="E161" s="47">
        <v>0</v>
      </c>
      <c r="F161" s="47">
        <v>0</v>
      </c>
      <c r="G161" s="47">
        <v>0</v>
      </c>
      <c r="H161" s="47">
        <v>140</v>
      </c>
      <c r="I161" s="47">
        <v>2770</v>
      </c>
      <c r="J161" s="47">
        <v>4620</v>
      </c>
      <c r="K161" s="47">
        <v>3830</v>
      </c>
      <c r="L161" s="47">
        <v>3765</v>
      </c>
      <c r="M161" s="47">
        <v>4765</v>
      </c>
      <c r="N161" s="47">
        <v>1430</v>
      </c>
      <c r="O161" s="47">
        <v>1765</v>
      </c>
      <c r="P161" s="47">
        <v>6740</v>
      </c>
      <c r="Q161" s="85"/>
      <c r="R161" s="85"/>
      <c r="S161" s="85"/>
      <c r="T161" s="85"/>
      <c r="U161" s="85"/>
      <c r="V161" s="85"/>
      <c r="W161" s="85"/>
      <c r="X161" s="85"/>
      <c r="Y161" s="85"/>
      <c r="Z161" s="85"/>
      <c r="AA161" s="85"/>
      <c r="AB161" s="85"/>
      <c r="AC161" s="85"/>
      <c r="AD161" s="85"/>
      <c r="AE161" s="47">
        <v>0</v>
      </c>
      <c r="AF161" s="47">
        <v>0</v>
      </c>
      <c r="AG161" s="47">
        <v>0</v>
      </c>
      <c r="AH161" s="47">
        <v>0</v>
      </c>
      <c r="AI161" s="47">
        <v>0</v>
      </c>
      <c r="AJ161" s="47">
        <v>6300</v>
      </c>
      <c r="AK161" s="47">
        <v>86115</v>
      </c>
      <c r="AL161" s="47">
        <v>236105</v>
      </c>
      <c r="AM161" s="47">
        <v>169720</v>
      </c>
      <c r="AN161" s="47">
        <v>141445</v>
      </c>
      <c r="AO161" s="47">
        <v>189275</v>
      </c>
      <c r="AP161" s="47">
        <v>56440</v>
      </c>
      <c r="AQ161" s="47">
        <v>62900</v>
      </c>
      <c r="AR161" s="47">
        <v>227740</v>
      </c>
      <c r="AS161" s="47"/>
      <c r="AT161" s="47"/>
      <c r="AU161" s="47"/>
      <c r="AV161" s="47"/>
      <c r="AW161" s="47"/>
      <c r="AX161" s="47"/>
      <c r="AY161" s="47"/>
      <c r="AZ161" s="47"/>
      <c r="BA161" s="47"/>
      <c r="BB161" s="47"/>
      <c r="BC161" s="47"/>
      <c r="BD161" s="47"/>
      <c r="BE161" s="47"/>
      <c r="BF161" s="47"/>
    </row>
    <row r="162" spans="1:58" hidden="1">
      <c r="A162" s="46" t="s">
        <v>280</v>
      </c>
      <c r="B162" s="46" t="s">
        <v>271</v>
      </c>
      <c r="C162" s="47">
        <v>5703</v>
      </c>
      <c r="D162" s="47">
        <v>6260</v>
      </c>
      <c r="E162" s="47">
        <v>6295</v>
      </c>
      <c r="F162" s="47">
        <v>6045</v>
      </c>
      <c r="G162" s="47">
        <v>5265</v>
      </c>
      <c r="H162" s="47">
        <v>5920</v>
      </c>
      <c r="I162" s="47">
        <v>4220</v>
      </c>
      <c r="J162" s="47">
        <v>5000</v>
      </c>
      <c r="K162" s="47">
        <v>6510</v>
      </c>
      <c r="L162" s="47">
        <v>8330</v>
      </c>
      <c r="M162" s="47">
        <v>8180</v>
      </c>
      <c r="N162" s="47">
        <v>10415</v>
      </c>
      <c r="O162" s="47">
        <v>9980</v>
      </c>
      <c r="P162" s="47">
        <v>9430</v>
      </c>
      <c r="Q162" s="85"/>
      <c r="R162" s="85"/>
      <c r="S162" s="85"/>
      <c r="T162" s="85"/>
      <c r="U162" s="85"/>
      <c r="V162" s="85"/>
      <c r="W162" s="85"/>
      <c r="X162" s="85"/>
      <c r="Y162" s="85"/>
      <c r="Z162" s="85"/>
      <c r="AA162" s="85"/>
      <c r="AB162" s="85"/>
      <c r="AC162" s="85"/>
      <c r="AD162" s="85"/>
      <c r="AE162" s="47">
        <v>233735</v>
      </c>
      <c r="AF162" s="47">
        <v>246940</v>
      </c>
      <c r="AG162" s="47">
        <v>272810</v>
      </c>
      <c r="AH162" s="47">
        <v>258570</v>
      </c>
      <c r="AI162" s="47">
        <v>232425</v>
      </c>
      <c r="AJ162" s="47">
        <v>281700</v>
      </c>
      <c r="AK162" s="47">
        <v>135110</v>
      </c>
      <c r="AL162" s="47">
        <v>256580</v>
      </c>
      <c r="AM162" s="47">
        <v>282645</v>
      </c>
      <c r="AN162" s="47">
        <v>322590</v>
      </c>
      <c r="AO162" s="47">
        <v>363500</v>
      </c>
      <c r="AP162" s="47">
        <v>439215</v>
      </c>
      <c r="AQ162" s="47">
        <v>421430</v>
      </c>
      <c r="AR162" s="47">
        <v>401460</v>
      </c>
      <c r="AS162" s="47"/>
      <c r="AT162" s="47"/>
      <c r="AU162" s="47"/>
      <c r="AV162" s="47"/>
      <c r="AW162" s="47"/>
      <c r="AX162" s="47"/>
      <c r="AY162" s="47"/>
      <c r="AZ162" s="47"/>
      <c r="BA162" s="47"/>
      <c r="BB162" s="47"/>
      <c r="BC162" s="47"/>
      <c r="BD162" s="47"/>
      <c r="BE162" s="47"/>
      <c r="BF162" s="47"/>
    </row>
    <row r="163" spans="1:58" hidden="1">
      <c r="A163" s="46" t="s">
        <v>280</v>
      </c>
      <c r="B163" s="46" t="s">
        <v>272</v>
      </c>
      <c r="C163" s="47">
        <v>731747</v>
      </c>
      <c r="D163" s="47">
        <v>729406</v>
      </c>
      <c r="E163" s="47">
        <v>732026</v>
      </c>
      <c r="F163" s="47">
        <v>754556</v>
      </c>
      <c r="G163" s="47">
        <v>740501</v>
      </c>
      <c r="H163" s="47">
        <v>752215</v>
      </c>
      <c r="I163" s="47">
        <v>746198</v>
      </c>
      <c r="J163" s="47">
        <v>748417</v>
      </c>
      <c r="K163" s="47">
        <v>720169</v>
      </c>
      <c r="L163" s="47">
        <v>767000</v>
      </c>
      <c r="M163" s="47">
        <v>727575</v>
      </c>
      <c r="N163" s="47">
        <v>729110</v>
      </c>
      <c r="O163" s="47">
        <v>718200</v>
      </c>
      <c r="P163" s="47">
        <v>701880</v>
      </c>
      <c r="Q163" s="85">
        <v>65.36</v>
      </c>
      <c r="R163" s="85">
        <v>63.34</v>
      </c>
      <c r="S163" s="85">
        <v>65.23</v>
      </c>
      <c r="T163" s="85">
        <v>61.95</v>
      </c>
      <c r="U163" s="85">
        <v>65.53</v>
      </c>
      <c r="V163" s="85">
        <v>67.72</v>
      </c>
      <c r="W163" s="85">
        <v>45.84</v>
      </c>
      <c r="X163" s="85">
        <v>67.52</v>
      </c>
      <c r="Y163" s="85">
        <v>63.08</v>
      </c>
      <c r="Z163" s="85">
        <v>66.8</v>
      </c>
      <c r="AA163" s="85">
        <v>52.35</v>
      </c>
      <c r="AB163" s="85">
        <v>64.42</v>
      </c>
      <c r="AC163" s="85">
        <v>57.52</v>
      </c>
      <c r="AD163" s="85">
        <v>62.26</v>
      </c>
      <c r="AE163" s="47">
        <v>47824684</v>
      </c>
      <c r="AF163" s="47">
        <v>46203228</v>
      </c>
      <c r="AG163" s="47">
        <v>47747305</v>
      </c>
      <c r="AH163" s="47">
        <v>46744670</v>
      </c>
      <c r="AI163" s="47">
        <v>48525981</v>
      </c>
      <c r="AJ163" s="47">
        <v>50941815</v>
      </c>
      <c r="AK163" s="47">
        <v>34203590</v>
      </c>
      <c r="AL163" s="47">
        <v>50535488</v>
      </c>
      <c r="AM163" s="47">
        <v>45431396</v>
      </c>
      <c r="AN163" s="47">
        <v>51236940</v>
      </c>
      <c r="AO163" s="47">
        <v>38087970</v>
      </c>
      <c r="AP163" s="47">
        <v>46971525</v>
      </c>
      <c r="AQ163" s="47">
        <v>41308255</v>
      </c>
      <c r="AR163" s="47">
        <v>43695680</v>
      </c>
      <c r="AS163" s="47"/>
      <c r="AT163" s="47"/>
      <c r="AU163" s="47"/>
      <c r="AV163" s="47"/>
      <c r="AW163" s="47"/>
      <c r="AX163" s="47"/>
      <c r="AY163" s="47"/>
      <c r="AZ163" s="47"/>
      <c r="BA163" s="47"/>
      <c r="BB163" s="47"/>
      <c r="BC163" s="47"/>
      <c r="BD163" s="47"/>
      <c r="BE163" s="47"/>
      <c r="BF163" s="47"/>
    </row>
    <row r="164" spans="1:58" hidden="1">
      <c r="A164" s="46" t="s">
        <v>280</v>
      </c>
      <c r="B164" s="46" t="s">
        <v>273</v>
      </c>
      <c r="C164" s="47">
        <v>0</v>
      </c>
      <c r="D164" s="47">
        <v>0</v>
      </c>
      <c r="E164" s="47">
        <v>0</v>
      </c>
      <c r="F164" s="47">
        <v>0</v>
      </c>
      <c r="G164" s="47">
        <v>0</v>
      </c>
      <c r="H164" s="47">
        <v>0</v>
      </c>
      <c r="I164" s="47">
        <v>0</v>
      </c>
      <c r="J164" s="47">
        <v>0</v>
      </c>
      <c r="K164" s="47">
        <v>0</v>
      </c>
      <c r="L164" s="47">
        <v>0</v>
      </c>
      <c r="M164" s="47">
        <v>0</v>
      </c>
      <c r="N164" s="47">
        <v>0</v>
      </c>
      <c r="O164" s="47">
        <v>0</v>
      </c>
      <c r="P164" s="47">
        <v>0</v>
      </c>
      <c r="Q164" s="85"/>
      <c r="R164" s="85"/>
      <c r="S164" s="85"/>
      <c r="T164" s="85"/>
      <c r="U164" s="85"/>
      <c r="V164" s="85"/>
      <c r="W164" s="85"/>
      <c r="X164" s="85"/>
      <c r="Y164" s="85"/>
      <c r="Z164" s="85"/>
      <c r="AA164" s="85"/>
      <c r="AB164" s="85"/>
      <c r="AC164" s="85"/>
      <c r="AD164" s="85"/>
      <c r="AE164" s="47">
        <v>0</v>
      </c>
      <c r="AF164" s="47">
        <v>0</v>
      </c>
      <c r="AG164" s="47">
        <v>0</v>
      </c>
      <c r="AH164" s="47">
        <v>0</v>
      </c>
      <c r="AI164" s="47">
        <v>0</v>
      </c>
      <c r="AJ164" s="47">
        <v>0</v>
      </c>
      <c r="AK164" s="47">
        <v>0</v>
      </c>
      <c r="AL164" s="47">
        <v>0</v>
      </c>
      <c r="AM164" s="47">
        <v>0</v>
      </c>
      <c r="AN164" s="47">
        <v>0</v>
      </c>
      <c r="AO164" s="47">
        <v>0</v>
      </c>
      <c r="AP164" s="47">
        <v>0</v>
      </c>
      <c r="AQ164" s="47">
        <v>0</v>
      </c>
      <c r="AR164" s="47">
        <v>0</v>
      </c>
      <c r="AS164" s="47"/>
      <c r="AT164" s="47"/>
      <c r="AU164" s="47"/>
      <c r="AV164" s="47"/>
      <c r="AW164" s="47"/>
      <c r="AX164" s="47"/>
      <c r="AY164" s="47"/>
      <c r="AZ164" s="47"/>
      <c r="BA164" s="47"/>
      <c r="BB164" s="47"/>
      <c r="BC164" s="47"/>
      <c r="BD164" s="47"/>
      <c r="BE164" s="47"/>
      <c r="BF164" s="47"/>
    </row>
    <row r="165" spans="1:58" hidden="1">
      <c r="A165" s="46" t="s">
        <v>280</v>
      </c>
      <c r="B165" s="46" t="s">
        <v>274</v>
      </c>
      <c r="C165" s="47">
        <v>0</v>
      </c>
      <c r="D165" s="47">
        <v>0</v>
      </c>
      <c r="E165" s="47">
        <v>0</v>
      </c>
      <c r="F165" s="47">
        <v>0</v>
      </c>
      <c r="G165" s="47">
        <v>0</v>
      </c>
      <c r="H165" s="47">
        <v>0</v>
      </c>
      <c r="I165" s="47">
        <v>0</v>
      </c>
      <c r="J165" s="47">
        <v>0</v>
      </c>
      <c r="K165" s="47">
        <v>0</v>
      </c>
      <c r="L165" s="47">
        <v>0</v>
      </c>
      <c r="M165" s="47">
        <v>0</v>
      </c>
      <c r="N165" s="47">
        <v>0</v>
      </c>
      <c r="O165" s="47">
        <v>0</v>
      </c>
      <c r="P165" s="47">
        <v>0</v>
      </c>
      <c r="Q165" s="85"/>
      <c r="R165" s="85"/>
      <c r="S165" s="85"/>
      <c r="T165" s="85"/>
      <c r="U165" s="85"/>
      <c r="V165" s="85"/>
      <c r="W165" s="85"/>
      <c r="X165" s="85"/>
      <c r="Y165" s="85"/>
      <c r="Z165" s="85"/>
      <c r="AA165" s="85"/>
      <c r="AB165" s="85"/>
      <c r="AC165" s="85"/>
      <c r="AD165" s="85"/>
      <c r="AE165" s="47">
        <v>0</v>
      </c>
      <c r="AF165" s="47">
        <v>0</v>
      </c>
      <c r="AG165" s="47">
        <v>0</v>
      </c>
      <c r="AH165" s="47">
        <v>0</v>
      </c>
      <c r="AI165" s="47">
        <v>0</v>
      </c>
      <c r="AJ165" s="47">
        <v>0</v>
      </c>
      <c r="AK165" s="47">
        <v>0</v>
      </c>
      <c r="AL165" s="47">
        <v>0</v>
      </c>
      <c r="AM165" s="47">
        <v>0</v>
      </c>
      <c r="AN165" s="47">
        <v>0</v>
      </c>
      <c r="AO165" s="47">
        <v>0</v>
      </c>
      <c r="AP165" s="47">
        <v>0</v>
      </c>
      <c r="AQ165" s="47">
        <v>0</v>
      </c>
      <c r="AR165" s="47">
        <v>0</v>
      </c>
      <c r="AS165" s="47"/>
      <c r="AT165" s="47"/>
      <c r="AU165" s="47"/>
      <c r="AV165" s="47"/>
      <c r="AW165" s="47"/>
      <c r="AX165" s="47"/>
      <c r="AY165" s="47"/>
      <c r="AZ165" s="47"/>
      <c r="BA165" s="47"/>
      <c r="BB165" s="47"/>
      <c r="BC165" s="47"/>
      <c r="BD165" s="47"/>
      <c r="BE165" s="47"/>
      <c r="BF165" s="47"/>
    </row>
    <row r="166" spans="1:58" hidden="1">
      <c r="A166" s="46" t="s">
        <v>280</v>
      </c>
      <c r="B166" s="46" t="s">
        <v>275</v>
      </c>
      <c r="C166" s="47">
        <v>0</v>
      </c>
      <c r="D166" s="47">
        <v>0</v>
      </c>
      <c r="E166" s="47">
        <v>0</v>
      </c>
      <c r="F166" s="47">
        <v>0</v>
      </c>
      <c r="G166" s="47">
        <v>0</v>
      </c>
      <c r="H166" s="47">
        <v>0</v>
      </c>
      <c r="I166" s="47">
        <v>0</v>
      </c>
      <c r="J166" s="47">
        <v>0</v>
      </c>
      <c r="K166" s="47">
        <v>0</v>
      </c>
      <c r="L166" s="47">
        <v>0</v>
      </c>
      <c r="M166" s="47">
        <v>0</v>
      </c>
      <c r="N166" s="47">
        <v>0</v>
      </c>
      <c r="O166" s="47">
        <v>0</v>
      </c>
      <c r="P166" s="47">
        <v>0</v>
      </c>
      <c r="Q166" s="85"/>
      <c r="R166" s="85"/>
      <c r="S166" s="85"/>
      <c r="T166" s="85"/>
      <c r="U166" s="85"/>
      <c r="V166" s="85"/>
      <c r="W166" s="85"/>
      <c r="X166" s="85"/>
      <c r="Y166" s="85"/>
      <c r="Z166" s="85"/>
      <c r="AA166" s="85"/>
      <c r="AB166" s="85"/>
      <c r="AC166" s="85"/>
      <c r="AD166" s="85"/>
      <c r="AE166" s="47">
        <v>0</v>
      </c>
      <c r="AF166" s="47">
        <v>0</v>
      </c>
      <c r="AG166" s="47">
        <v>0</v>
      </c>
      <c r="AH166" s="47">
        <v>0</v>
      </c>
      <c r="AI166" s="47">
        <v>0</v>
      </c>
      <c r="AJ166" s="47">
        <v>0</v>
      </c>
      <c r="AK166" s="47">
        <v>0</v>
      </c>
      <c r="AL166" s="47">
        <v>0</v>
      </c>
      <c r="AM166" s="47">
        <v>0</v>
      </c>
      <c r="AN166" s="47">
        <v>0</v>
      </c>
      <c r="AO166" s="47">
        <v>0</v>
      </c>
      <c r="AP166" s="47">
        <v>0</v>
      </c>
      <c r="AQ166" s="47">
        <v>0</v>
      </c>
      <c r="AR166" s="47">
        <v>0</v>
      </c>
      <c r="AS166" s="47"/>
      <c r="AT166" s="47"/>
      <c r="AU166" s="47"/>
      <c r="AV166" s="47"/>
      <c r="AW166" s="47"/>
      <c r="AX166" s="47"/>
      <c r="AY166" s="47"/>
      <c r="AZ166" s="47"/>
      <c r="BA166" s="47"/>
      <c r="BB166" s="47"/>
      <c r="BC166" s="47"/>
      <c r="BD166" s="47"/>
      <c r="BE166" s="47"/>
      <c r="BF166" s="47"/>
    </row>
    <row r="167" spans="1:58" hidden="1">
      <c r="A167" s="46" t="s">
        <v>280</v>
      </c>
      <c r="B167" s="46" t="s">
        <v>276</v>
      </c>
      <c r="C167" s="47">
        <v>731747</v>
      </c>
      <c r="D167" s="47">
        <v>729406</v>
      </c>
      <c r="E167" s="47">
        <v>732026</v>
      </c>
      <c r="F167" s="47">
        <v>754556</v>
      </c>
      <c r="G167" s="47">
        <v>740501</v>
      </c>
      <c r="H167" s="47">
        <v>752215</v>
      </c>
      <c r="I167" s="47">
        <v>746198</v>
      </c>
      <c r="J167" s="47">
        <v>748417</v>
      </c>
      <c r="K167" s="47">
        <v>720169</v>
      </c>
      <c r="L167" s="47">
        <v>767000</v>
      </c>
      <c r="M167" s="47">
        <v>727575</v>
      </c>
      <c r="N167" s="47">
        <v>729110</v>
      </c>
      <c r="O167" s="47">
        <v>718200</v>
      </c>
      <c r="P167" s="47">
        <v>701880</v>
      </c>
      <c r="Q167" s="85">
        <v>65.36</v>
      </c>
      <c r="R167" s="85">
        <v>63.34</v>
      </c>
      <c r="S167" s="85">
        <v>65.23</v>
      </c>
      <c r="T167" s="85">
        <v>61.95</v>
      </c>
      <c r="U167" s="85">
        <v>65.53</v>
      </c>
      <c r="V167" s="85">
        <v>67.72</v>
      </c>
      <c r="W167" s="85">
        <v>45.84</v>
      </c>
      <c r="X167" s="85">
        <v>67.52</v>
      </c>
      <c r="Y167" s="85">
        <v>63.08</v>
      </c>
      <c r="Z167" s="85">
        <v>66.8</v>
      </c>
      <c r="AA167" s="85">
        <v>52.35</v>
      </c>
      <c r="AB167" s="85">
        <v>64.42</v>
      </c>
      <c r="AC167" s="85">
        <v>57.52</v>
      </c>
      <c r="AD167" s="85">
        <v>62.26</v>
      </c>
      <c r="AE167" s="47">
        <v>47824684</v>
      </c>
      <c r="AF167" s="47">
        <v>46203228</v>
      </c>
      <c r="AG167" s="47">
        <v>47747305</v>
      </c>
      <c r="AH167" s="47">
        <v>46744670</v>
      </c>
      <c r="AI167" s="47">
        <v>48525981</v>
      </c>
      <c r="AJ167" s="47">
        <v>50941815</v>
      </c>
      <c r="AK167" s="47">
        <v>34203590</v>
      </c>
      <c r="AL167" s="47">
        <v>50535488</v>
      </c>
      <c r="AM167" s="47">
        <v>45431396</v>
      </c>
      <c r="AN167" s="47">
        <v>51236940</v>
      </c>
      <c r="AO167" s="47">
        <v>38087970</v>
      </c>
      <c r="AP167" s="47">
        <v>46971525</v>
      </c>
      <c r="AQ167" s="47">
        <v>41308255</v>
      </c>
      <c r="AR167" s="47">
        <v>43695680</v>
      </c>
      <c r="AS167" s="47"/>
      <c r="AT167" s="47"/>
      <c r="AU167" s="47"/>
      <c r="AV167" s="47"/>
      <c r="AW167" s="47"/>
      <c r="AX167" s="47"/>
      <c r="AY167" s="47"/>
      <c r="AZ167" s="47"/>
      <c r="BA167" s="47"/>
      <c r="BB167" s="47"/>
      <c r="BC167" s="47"/>
      <c r="BD167" s="47"/>
      <c r="BE167" s="47"/>
      <c r="BF167" s="47"/>
    </row>
    <row r="168" spans="1:58" hidden="1">
      <c r="A168" s="46" t="s">
        <v>280</v>
      </c>
      <c r="B168" s="46" t="s">
        <v>277</v>
      </c>
      <c r="C168" s="47">
        <v>0</v>
      </c>
      <c r="D168" s="47">
        <v>0</v>
      </c>
      <c r="E168" s="47">
        <v>0</v>
      </c>
      <c r="F168" s="47">
        <v>0</v>
      </c>
      <c r="G168" s="47">
        <v>0</v>
      </c>
      <c r="H168" s="47">
        <v>0</v>
      </c>
      <c r="I168" s="47">
        <v>0</v>
      </c>
      <c r="J168" s="47">
        <v>0</v>
      </c>
      <c r="K168" s="47">
        <v>0</v>
      </c>
      <c r="L168" s="47">
        <v>0</v>
      </c>
      <c r="M168" s="47">
        <v>0</v>
      </c>
      <c r="N168" s="47">
        <v>0</v>
      </c>
      <c r="O168" s="47">
        <v>0</v>
      </c>
      <c r="P168" s="47">
        <v>0</v>
      </c>
      <c r="Q168" s="85"/>
      <c r="R168" s="85"/>
      <c r="S168" s="85"/>
      <c r="T168" s="85"/>
      <c r="U168" s="85"/>
      <c r="V168" s="85"/>
      <c r="W168" s="85"/>
      <c r="X168" s="85"/>
      <c r="Y168" s="85"/>
      <c r="Z168" s="85"/>
      <c r="AA168" s="85"/>
      <c r="AB168" s="85"/>
      <c r="AC168" s="85"/>
      <c r="AD168" s="85"/>
      <c r="AE168" s="47">
        <v>3947000</v>
      </c>
      <c r="AF168" s="47">
        <v>2377700</v>
      </c>
      <c r="AG168" s="47">
        <v>3795000</v>
      </c>
      <c r="AH168" s="47">
        <v>3784000</v>
      </c>
      <c r="AI168" s="47">
        <v>3448000</v>
      </c>
      <c r="AJ168" s="47">
        <v>4330000</v>
      </c>
      <c r="AK168" s="47">
        <v>3106000</v>
      </c>
      <c r="AL168" s="47">
        <v>3981000</v>
      </c>
      <c r="AM168" s="47">
        <v>3909683</v>
      </c>
      <c r="AN168" s="47">
        <v>4159000</v>
      </c>
      <c r="AO168" s="47">
        <v>15359135</v>
      </c>
      <c r="AP168" s="47">
        <v>19373000</v>
      </c>
      <c r="AQ168" s="47">
        <v>17420000</v>
      </c>
      <c r="AR168" s="47">
        <v>17974000</v>
      </c>
      <c r="AS168" s="47"/>
      <c r="AT168" s="47"/>
      <c r="AU168" s="47"/>
      <c r="AV168" s="47"/>
      <c r="AW168" s="47"/>
      <c r="AX168" s="47"/>
      <c r="AY168" s="47"/>
      <c r="AZ168" s="47"/>
      <c r="BA168" s="47"/>
      <c r="BB168" s="47"/>
      <c r="BC168" s="47"/>
      <c r="BD168" s="47"/>
      <c r="BE168" s="47"/>
      <c r="BF168" s="47"/>
    </row>
    <row r="169" spans="1:58" hidden="1">
      <c r="A169" s="46" t="s">
        <v>280</v>
      </c>
      <c r="B169" s="46" t="s">
        <v>65</v>
      </c>
      <c r="C169" s="47">
        <v>206103</v>
      </c>
      <c r="D169" s="47">
        <v>210450</v>
      </c>
      <c r="E169" s="47">
        <v>207670</v>
      </c>
      <c r="F169" s="47">
        <v>195180</v>
      </c>
      <c r="G169" s="47">
        <v>200365</v>
      </c>
      <c r="H169" s="47">
        <v>198420</v>
      </c>
      <c r="I169" s="47">
        <v>196748</v>
      </c>
      <c r="J169" s="47">
        <v>176513</v>
      </c>
      <c r="K169" s="47">
        <v>189510</v>
      </c>
      <c r="L169" s="47">
        <v>103950</v>
      </c>
      <c r="M169" s="47">
        <v>91215</v>
      </c>
      <c r="N169" s="47">
        <v>87100</v>
      </c>
      <c r="O169" s="47">
        <v>102600</v>
      </c>
      <c r="P169" s="47">
        <v>121000</v>
      </c>
      <c r="Q169" s="85">
        <v>31.51</v>
      </c>
      <c r="R169" s="85">
        <v>32</v>
      </c>
      <c r="S169" s="85">
        <v>30.84</v>
      </c>
      <c r="T169" s="85">
        <v>26.76</v>
      </c>
      <c r="U169" s="85">
        <v>34.9</v>
      </c>
      <c r="V169" s="85">
        <v>32.93</v>
      </c>
      <c r="W169" s="85">
        <v>28.27</v>
      </c>
      <c r="X169" s="85">
        <v>37.58</v>
      </c>
      <c r="Y169" s="85">
        <v>30.49</v>
      </c>
      <c r="Z169" s="85">
        <v>28.71</v>
      </c>
      <c r="AA169" s="85">
        <v>28.56</v>
      </c>
      <c r="AB169" s="85">
        <v>31.28</v>
      </c>
      <c r="AC169" s="85">
        <v>33.86</v>
      </c>
      <c r="AD169" s="85">
        <v>30.88</v>
      </c>
      <c r="AE169" s="47">
        <v>6493788</v>
      </c>
      <c r="AF169" s="47">
        <v>6734390</v>
      </c>
      <c r="AG169" s="47">
        <v>6404040</v>
      </c>
      <c r="AH169" s="47">
        <v>5222335</v>
      </c>
      <c r="AI169" s="47">
        <v>6993180</v>
      </c>
      <c r="AJ169" s="47">
        <v>6533055</v>
      </c>
      <c r="AK169" s="47">
        <v>5562240</v>
      </c>
      <c r="AL169" s="47">
        <v>6633700</v>
      </c>
      <c r="AM169" s="47">
        <v>5777260</v>
      </c>
      <c r="AN169" s="47">
        <v>2984900</v>
      </c>
      <c r="AO169" s="47">
        <v>2605485</v>
      </c>
      <c r="AP169" s="47">
        <v>2724300</v>
      </c>
      <c r="AQ169" s="47">
        <v>3474100</v>
      </c>
      <c r="AR169" s="47">
        <v>3736800</v>
      </c>
      <c r="AS169" s="47"/>
      <c r="AT169" s="47"/>
      <c r="AU169" s="47"/>
      <c r="AV169" s="47"/>
      <c r="AW169" s="47"/>
      <c r="AX169" s="47"/>
      <c r="AY169" s="47"/>
      <c r="AZ169" s="47"/>
      <c r="BA169" s="47"/>
      <c r="BB169" s="47"/>
      <c r="BC169" s="47"/>
      <c r="BD169" s="47"/>
      <c r="BE169" s="47"/>
      <c r="BF169" s="47"/>
    </row>
    <row r="170" spans="1:58" hidden="1">
      <c r="A170" s="46" t="s">
        <v>280</v>
      </c>
      <c r="B170" s="46" t="s">
        <v>66</v>
      </c>
      <c r="C170" s="47">
        <v>72</v>
      </c>
      <c r="D170" s="47">
        <v>0</v>
      </c>
      <c r="E170" s="47">
        <v>0</v>
      </c>
      <c r="F170" s="47">
        <v>0</v>
      </c>
      <c r="G170" s="47">
        <v>0</v>
      </c>
      <c r="H170" s="47">
        <v>0</v>
      </c>
      <c r="I170" s="47">
        <v>90</v>
      </c>
      <c r="J170" s="47">
        <v>70</v>
      </c>
      <c r="K170" s="47">
        <v>75</v>
      </c>
      <c r="L170" s="47">
        <v>0</v>
      </c>
      <c r="M170" s="47">
        <v>50</v>
      </c>
      <c r="N170" s="47">
        <v>0</v>
      </c>
      <c r="O170" s="47">
        <v>0</v>
      </c>
      <c r="P170" s="47">
        <v>0</v>
      </c>
      <c r="Q170" s="85">
        <v>28</v>
      </c>
      <c r="R170" s="85"/>
      <c r="S170" s="85"/>
      <c r="T170" s="85"/>
      <c r="U170" s="85"/>
      <c r="V170" s="85"/>
      <c r="W170" s="85">
        <v>28.28</v>
      </c>
      <c r="X170" s="85">
        <v>36.5</v>
      </c>
      <c r="Y170" s="85">
        <v>30.53</v>
      </c>
      <c r="Z170" s="85"/>
      <c r="AA170" s="85">
        <v>25</v>
      </c>
      <c r="AB170" s="85"/>
      <c r="AC170" s="85"/>
      <c r="AD170" s="85"/>
      <c r="AE170" s="47">
        <v>2016</v>
      </c>
      <c r="AF170" s="47">
        <v>0</v>
      </c>
      <c r="AG170" s="47">
        <v>0</v>
      </c>
      <c r="AH170" s="47">
        <v>0</v>
      </c>
      <c r="AI170" s="47">
        <v>0</v>
      </c>
      <c r="AJ170" s="47">
        <v>0</v>
      </c>
      <c r="AK170" s="47">
        <v>2545</v>
      </c>
      <c r="AL170" s="47">
        <v>2555</v>
      </c>
      <c r="AM170" s="47">
        <v>2290</v>
      </c>
      <c r="AN170" s="47">
        <v>0</v>
      </c>
      <c r="AO170" s="47">
        <v>1250</v>
      </c>
      <c r="AP170" s="47">
        <v>0</v>
      </c>
      <c r="AQ170" s="47">
        <v>0</v>
      </c>
      <c r="AR170" s="47">
        <v>0</v>
      </c>
      <c r="AS170" s="47"/>
      <c r="AT170" s="47"/>
      <c r="AU170" s="47"/>
      <c r="AV170" s="47"/>
      <c r="AW170" s="47"/>
      <c r="AX170" s="47"/>
      <c r="AY170" s="47"/>
      <c r="AZ170" s="47"/>
      <c r="BA170" s="47"/>
      <c r="BB170" s="47"/>
      <c r="BC170" s="47"/>
      <c r="BD170" s="47"/>
      <c r="BE170" s="47"/>
      <c r="BF170" s="47"/>
    </row>
    <row r="171" spans="1:58" hidden="1">
      <c r="A171" s="46" t="s">
        <v>280</v>
      </c>
      <c r="B171" s="46" t="s">
        <v>67</v>
      </c>
      <c r="C171" s="47">
        <v>206175</v>
      </c>
      <c r="D171" s="47">
        <v>210450</v>
      </c>
      <c r="E171" s="47">
        <v>207670</v>
      </c>
      <c r="F171" s="47">
        <v>195180</v>
      </c>
      <c r="G171" s="47">
        <v>200365</v>
      </c>
      <c r="H171" s="47">
        <v>198420</v>
      </c>
      <c r="I171" s="47">
        <v>196838</v>
      </c>
      <c r="J171" s="47">
        <v>176583</v>
      </c>
      <c r="K171" s="47">
        <v>189585</v>
      </c>
      <c r="L171" s="47">
        <v>103950</v>
      </c>
      <c r="M171" s="47">
        <v>91265</v>
      </c>
      <c r="N171" s="47">
        <v>87100</v>
      </c>
      <c r="O171" s="47">
        <v>102600</v>
      </c>
      <c r="P171" s="47">
        <v>121000</v>
      </c>
      <c r="Q171" s="85">
        <v>31.51</v>
      </c>
      <c r="R171" s="85">
        <v>32</v>
      </c>
      <c r="S171" s="85">
        <v>30.84</v>
      </c>
      <c r="T171" s="85">
        <v>26.76</v>
      </c>
      <c r="U171" s="85">
        <v>34.9</v>
      </c>
      <c r="V171" s="85">
        <v>32.93</v>
      </c>
      <c r="W171" s="85">
        <v>28.27</v>
      </c>
      <c r="X171" s="85">
        <v>37.58</v>
      </c>
      <c r="Y171" s="85">
        <v>30.49</v>
      </c>
      <c r="Z171" s="85">
        <v>28.71</v>
      </c>
      <c r="AA171" s="85">
        <v>28.56</v>
      </c>
      <c r="AB171" s="85">
        <v>31.28</v>
      </c>
      <c r="AC171" s="85">
        <v>33.86</v>
      </c>
      <c r="AD171" s="85">
        <v>30.88</v>
      </c>
      <c r="AE171" s="47">
        <v>6495804</v>
      </c>
      <c r="AF171" s="47">
        <v>6734390</v>
      </c>
      <c r="AG171" s="47">
        <v>6404040</v>
      </c>
      <c r="AH171" s="47">
        <v>5222335</v>
      </c>
      <c r="AI171" s="47">
        <v>6993180</v>
      </c>
      <c r="AJ171" s="47">
        <v>6533055</v>
      </c>
      <c r="AK171" s="47">
        <v>5564785</v>
      </c>
      <c r="AL171" s="47">
        <v>6636255</v>
      </c>
      <c r="AM171" s="47">
        <v>5779550</v>
      </c>
      <c r="AN171" s="47">
        <v>2984900</v>
      </c>
      <c r="AO171" s="47">
        <v>2606735</v>
      </c>
      <c r="AP171" s="47">
        <v>2724300</v>
      </c>
      <c r="AQ171" s="47">
        <v>3474100</v>
      </c>
      <c r="AR171" s="47">
        <v>3736800</v>
      </c>
      <c r="AS171" s="47"/>
      <c r="AT171" s="47"/>
      <c r="AU171" s="47"/>
      <c r="AV171" s="47"/>
      <c r="AW171" s="47"/>
      <c r="AX171" s="47"/>
      <c r="AY171" s="47"/>
      <c r="AZ171" s="47"/>
      <c r="BA171" s="47"/>
      <c r="BB171" s="47"/>
      <c r="BC171" s="47"/>
      <c r="BD171" s="47"/>
      <c r="BE171" s="47"/>
      <c r="BF171" s="47"/>
    </row>
    <row r="172" spans="1:58" hidden="1">
      <c r="A172" s="46" t="s">
        <v>280</v>
      </c>
      <c r="B172" s="46" t="s">
        <v>68</v>
      </c>
      <c r="C172" s="47">
        <v>32777</v>
      </c>
      <c r="D172" s="47">
        <v>31010</v>
      </c>
      <c r="E172" s="47">
        <v>33980</v>
      </c>
      <c r="F172" s="47">
        <v>30100</v>
      </c>
      <c r="G172" s="47">
        <v>24830</v>
      </c>
      <c r="H172" s="47">
        <v>19390</v>
      </c>
      <c r="I172" s="47">
        <v>13980</v>
      </c>
      <c r="J172" s="47">
        <v>16105</v>
      </c>
      <c r="K172" s="47">
        <v>17650</v>
      </c>
      <c r="L172" s="47">
        <v>37450</v>
      </c>
      <c r="M172" s="47">
        <v>55540</v>
      </c>
      <c r="N172" s="47">
        <v>59890</v>
      </c>
      <c r="O172" s="47">
        <v>70565</v>
      </c>
      <c r="P172" s="47">
        <v>72340</v>
      </c>
      <c r="Q172" s="85">
        <v>24.02</v>
      </c>
      <c r="R172" s="85">
        <v>28.32</v>
      </c>
      <c r="S172" s="85">
        <v>26.19</v>
      </c>
      <c r="T172" s="85">
        <v>19.21</v>
      </c>
      <c r="U172" s="85">
        <v>23.91</v>
      </c>
      <c r="V172" s="85">
        <v>17.72</v>
      </c>
      <c r="W172" s="85">
        <v>20.8</v>
      </c>
      <c r="X172" s="85">
        <v>30.29</v>
      </c>
      <c r="Y172" s="85">
        <v>24.4</v>
      </c>
      <c r="Z172" s="85">
        <v>20.11</v>
      </c>
      <c r="AA172" s="85">
        <v>21.05</v>
      </c>
      <c r="AB172" s="85">
        <v>28.45</v>
      </c>
      <c r="AC172" s="85">
        <v>22.67</v>
      </c>
      <c r="AD172" s="85">
        <v>25.14</v>
      </c>
      <c r="AE172" s="47">
        <v>787294</v>
      </c>
      <c r="AF172" s="47">
        <v>878160</v>
      </c>
      <c r="AG172" s="47">
        <v>890050</v>
      </c>
      <c r="AH172" s="47">
        <v>578240</v>
      </c>
      <c r="AI172" s="47">
        <v>593660</v>
      </c>
      <c r="AJ172" s="47">
        <v>343500</v>
      </c>
      <c r="AK172" s="47">
        <v>290805</v>
      </c>
      <c r="AL172" s="47">
        <v>487805</v>
      </c>
      <c r="AM172" s="47">
        <v>430720</v>
      </c>
      <c r="AN172" s="47">
        <v>753110</v>
      </c>
      <c r="AO172" s="47">
        <v>1169160</v>
      </c>
      <c r="AP172" s="47">
        <v>1703920</v>
      </c>
      <c r="AQ172" s="47">
        <v>1600055</v>
      </c>
      <c r="AR172" s="47">
        <v>1818940</v>
      </c>
      <c r="AS172" s="47"/>
      <c r="AT172" s="47"/>
      <c r="AU172" s="47"/>
      <c r="AV172" s="47"/>
      <c r="AW172" s="47"/>
      <c r="AX172" s="47"/>
      <c r="AY172" s="47"/>
      <c r="AZ172" s="47"/>
      <c r="BA172" s="47"/>
      <c r="BB172" s="47"/>
      <c r="BC172" s="47"/>
      <c r="BD172" s="47"/>
      <c r="BE172" s="47"/>
      <c r="BF172" s="47"/>
    </row>
    <row r="173" spans="1:58" hidden="1">
      <c r="A173" s="46" t="s">
        <v>280</v>
      </c>
      <c r="B173" s="46" t="s">
        <v>69</v>
      </c>
      <c r="C173" s="47">
        <v>9800</v>
      </c>
      <c r="D173" s="47">
        <v>10655</v>
      </c>
      <c r="E173" s="47">
        <v>10380</v>
      </c>
      <c r="F173" s="47">
        <v>13935</v>
      </c>
      <c r="G173" s="47">
        <v>24750</v>
      </c>
      <c r="H173" s="47">
        <v>27800</v>
      </c>
      <c r="I173" s="47">
        <v>24870</v>
      </c>
      <c r="J173" s="47">
        <v>31925</v>
      </c>
      <c r="K173" s="47">
        <v>34420</v>
      </c>
      <c r="L173" s="47">
        <v>34370</v>
      </c>
      <c r="M173" s="47">
        <v>38415</v>
      </c>
      <c r="N173" s="47">
        <v>30560</v>
      </c>
      <c r="O173" s="47">
        <v>37770</v>
      </c>
      <c r="P173" s="47">
        <v>32000</v>
      </c>
      <c r="Q173" s="85">
        <v>27.59</v>
      </c>
      <c r="R173" s="85">
        <v>29.81</v>
      </c>
      <c r="S173" s="85">
        <v>29.68</v>
      </c>
      <c r="T173" s="85">
        <v>27.56</v>
      </c>
      <c r="U173" s="85">
        <v>29.76</v>
      </c>
      <c r="V173" s="85">
        <v>20.92</v>
      </c>
      <c r="W173" s="85">
        <v>24.31</v>
      </c>
      <c r="X173" s="85">
        <v>30.2</v>
      </c>
      <c r="Y173" s="85">
        <v>21.35</v>
      </c>
      <c r="Z173" s="85">
        <v>24.88</v>
      </c>
      <c r="AA173" s="85">
        <v>15.87</v>
      </c>
      <c r="AB173" s="85">
        <v>27.5</v>
      </c>
      <c r="AC173" s="85">
        <v>17.59</v>
      </c>
      <c r="AD173" s="85">
        <v>27.99</v>
      </c>
      <c r="AE173" s="47">
        <v>270336</v>
      </c>
      <c r="AF173" s="47">
        <v>317575</v>
      </c>
      <c r="AG173" s="47">
        <v>308060</v>
      </c>
      <c r="AH173" s="47">
        <v>384115</v>
      </c>
      <c r="AI173" s="47">
        <v>736570</v>
      </c>
      <c r="AJ173" s="47">
        <v>581440</v>
      </c>
      <c r="AK173" s="47">
        <v>604580</v>
      </c>
      <c r="AL173" s="47">
        <v>964030</v>
      </c>
      <c r="AM173" s="47">
        <v>734800</v>
      </c>
      <c r="AN173" s="47">
        <v>855140</v>
      </c>
      <c r="AO173" s="47">
        <v>609555</v>
      </c>
      <c r="AP173" s="47">
        <v>840360</v>
      </c>
      <c r="AQ173" s="47">
        <v>664520</v>
      </c>
      <c r="AR173" s="47">
        <v>895800</v>
      </c>
      <c r="AS173" s="47"/>
      <c r="AT173" s="47"/>
      <c r="AU173" s="47"/>
      <c r="AV173" s="47"/>
      <c r="AW173" s="47"/>
      <c r="AX173" s="47"/>
      <c r="AY173" s="47"/>
      <c r="AZ173" s="47"/>
      <c r="BA173" s="47"/>
      <c r="BB173" s="47"/>
      <c r="BC173" s="47"/>
      <c r="BD173" s="47"/>
      <c r="BE173" s="47"/>
      <c r="BF173" s="47"/>
    </row>
    <row r="174" spans="1:58" hidden="1">
      <c r="A174" s="46" t="s">
        <v>280</v>
      </c>
      <c r="B174" s="46" t="s">
        <v>70</v>
      </c>
      <c r="C174" s="47">
        <v>719</v>
      </c>
      <c r="D174" s="47">
        <v>715</v>
      </c>
      <c r="E174" s="47">
        <v>335</v>
      </c>
      <c r="F174" s="47">
        <v>310</v>
      </c>
      <c r="G174" s="47">
        <v>680</v>
      </c>
      <c r="H174" s="47">
        <v>1650</v>
      </c>
      <c r="I174" s="47">
        <v>2180</v>
      </c>
      <c r="J174" s="47">
        <v>2815</v>
      </c>
      <c r="K174" s="47">
        <v>2325</v>
      </c>
      <c r="L174" s="47">
        <v>1865</v>
      </c>
      <c r="M174" s="47">
        <v>2780</v>
      </c>
      <c r="N174" s="47">
        <v>4036</v>
      </c>
      <c r="O174" s="47">
        <v>3350</v>
      </c>
      <c r="P174" s="47">
        <v>2420</v>
      </c>
      <c r="Q174" s="85">
        <v>22.17</v>
      </c>
      <c r="R174" s="85">
        <v>22.03</v>
      </c>
      <c r="S174" s="85">
        <v>23.1</v>
      </c>
      <c r="T174" s="85">
        <v>20.94</v>
      </c>
      <c r="U174" s="85">
        <v>24.63</v>
      </c>
      <c r="V174" s="85">
        <v>23.82</v>
      </c>
      <c r="W174" s="85">
        <v>13.29</v>
      </c>
      <c r="X174" s="85">
        <v>18.91</v>
      </c>
      <c r="Y174" s="85">
        <v>13.8</v>
      </c>
      <c r="Z174" s="85">
        <v>21</v>
      </c>
      <c r="AA174" s="85">
        <v>19.21</v>
      </c>
      <c r="AB174" s="85">
        <v>14.97</v>
      </c>
      <c r="AC174" s="85">
        <v>13.73</v>
      </c>
      <c r="AD174" s="85">
        <v>11.53</v>
      </c>
      <c r="AE174" s="47">
        <v>15942</v>
      </c>
      <c r="AF174" s="47">
        <v>15750</v>
      </c>
      <c r="AG174" s="47">
        <v>7740</v>
      </c>
      <c r="AH174" s="47">
        <v>6490</v>
      </c>
      <c r="AI174" s="47">
        <v>16750</v>
      </c>
      <c r="AJ174" s="47">
        <v>39305</v>
      </c>
      <c r="AK174" s="47">
        <v>28980</v>
      </c>
      <c r="AL174" s="47">
        <v>53245</v>
      </c>
      <c r="AM174" s="47">
        <v>32085</v>
      </c>
      <c r="AN174" s="47">
        <v>39165</v>
      </c>
      <c r="AO174" s="47">
        <v>53400</v>
      </c>
      <c r="AP174" s="47">
        <v>60432</v>
      </c>
      <c r="AQ174" s="47">
        <v>45980</v>
      </c>
      <c r="AR174" s="47">
        <v>27900</v>
      </c>
      <c r="AS174" s="47"/>
      <c r="AT174" s="47"/>
      <c r="AU174" s="47"/>
      <c r="AV174" s="47"/>
      <c r="AW174" s="47"/>
      <c r="AX174" s="47"/>
      <c r="AY174" s="47"/>
      <c r="AZ174" s="47"/>
      <c r="BA174" s="47"/>
      <c r="BB174" s="47"/>
      <c r="BC174" s="47"/>
      <c r="BD174" s="47"/>
      <c r="BE174" s="47"/>
      <c r="BF174" s="47"/>
    </row>
    <row r="175" spans="1:58" hidden="1">
      <c r="A175" s="46" t="s">
        <v>280</v>
      </c>
      <c r="B175" s="46" t="s">
        <v>71</v>
      </c>
      <c r="C175" s="47">
        <v>5771</v>
      </c>
      <c r="D175" s="47">
        <v>5800</v>
      </c>
      <c r="E175" s="47">
        <v>5110</v>
      </c>
      <c r="F175" s="47">
        <v>5010</v>
      </c>
      <c r="G175" s="47">
        <v>5400</v>
      </c>
      <c r="H175" s="47">
        <v>5700</v>
      </c>
      <c r="I175" s="47">
        <v>5255</v>
      </c>
      <c r="J175" s="47">
        <v>6255</v>
      </c>
      <c r="K175" s="47">
        <v>5770</v>
      </c>
      <c r="L175" s="47">
        <v>6000</v>
      </c>
      <c r="M175" s="47">
        <v>4490</v>
      </c>
      <c r="N175" s="47">
        <v>3020</v>
      </c>
      <c r="O175" s="47">
        <v>4350</v>
      </c>
      <c r="P175" s="47">
        <v>12070</v>
      </c>
      <c r="Q175" s="85"/>
      <c r="R175" s="85"/>
      <c r="S175" s="85"/>
      <c r="T175" s="85"/>
      <c r="U175" s="85"/>
      <c r="V175" s="85"/>
      <c r="W175" s="85"/>
      <c r="X175" s="85"/>
      <c r="Y175" s="85"/>
      <c r="Z175" s="85"/>
      <c r="AA175" s="85"/>
      <c r="AB175" s="85"/>
      <c r="AC175" s="85"/>
      <c r="AD175" s="85"/>
      <c r="AE175" s="47">
        <v>88307</v>
      </c>
      <c r="AF175" s="47">
        <v>113810</v>
      </c>
      <c r="AG175" s="47">
        <v>80660</v>
      </c>
      <c r="AH175" s="47">
        <v>66650</v>
      </c>
      <c r="AI175" s="47">
        <v>106120</v>
      </c>
      <c r="AJ175" s="47">
        <v>90800</v>
      </c>
      <c r="AK175" s="47">
        <v>57655</v>
      </c>
      <c r="AL175" s="47">
        <v>117115</v>
      </c>
      <c r="AM175" s="47">
        <v>69390</v>
      </c>
      <c r="AN175" s="47">
        <v>49620</v>
      </c>
      <c r="AO175" s="47">
        <v>44900</v>
      </c>
      <c r="AP175" s="47">
        <v>44530</v>
      </c>
      <c r="AQ175" s="47">
        <v>78300</v>
      </c>
      <c r="AR175" s="47">
        <v>120700</v>
      </c>
      <c r="AS175" s="47"/>
      <c r="AT175" s="47"/>
      <c r="AU175" s="47"/>
      <c r="AV175" s="47"/>
      <c r="AW175" s="47"/>
      <c r="AX175" s="47"/>
      <c r="AY175" s="47"/>
      <c r="AZ175" s="47"/>
      <c r="BA175" s="47"/>
      <c r="BB175" s="47"/>
      <c r="BC175" s="47"/>
      <c r="BD175" s="47"/>
      <c r="BE175" s="47"/>
      <c r="BF175" s="47"/>
    </row>
    <row r="176" spans="1:58" hidden="1">
      <c r="A176" s="46" t="s">
        <v>280</v>
      </c>
      <c r="B176" s="46" t="s">
        <v>72</v>
      </c>
      <c r="C176" s="47">
        <v>255242</v>
      </c>
      <c r="D176" s="47">
        <v>258630</v>
      </c>
      <c r="E176" s="47">
        <v>257475</v>
      </c>
      <c r="F176" s="47">
        <v>244535</v>
      </c>
      <c r="G176" s="47">
        <v>256025</v>
      </c>
      <c r="H176" s="47">
        <v>252960</v>
      </c>
      <c r="I176" s="47">
        <v>243123</v>
      </c>
      <c r="J176" s="47">
        <v>233683</v>
      </c>
      <c r="K176" s="47">
        <v>249750</v>
      </c>
      <c r="L176" s="47">
        <v>183635</v>
      </c>
      <c r="M176" s="47">
        <v>192490</v>
      </c>
      <c r="N176" s="47">
        <v>184606</v>
      </c>
      <c r="O176" s="47">
        <v>218635</v>
      </c>
      <c r="P176" s="47">
        <v>239830</v>
      </c>
      <c r="Q176" s="85">
        <v>30</v>
      </c>
      <c r="R176" s="85">
        <v>31.16</v>
      </c>
      <c r="S176" s="85">
        <v>29.87</v>
      </c>
      <c r="T176" s="85">
        <v>25.59</v>
      </c>
      <c r="U176" s="85">
        <v>32.99</v>
      </c>
      <c r="V176" s="85">
        <v>30</v>
      </c>
      <c r="W176" s="85">
        <v>26.93</v>
      </c>
      <c r="X176" s="85">
        <v>35.340000000000003</v>
      </c>
      <c r="Y176" s="85">
        <v>28.21</v>
      </c>
      <c r="Z176" s="85">
        <v>25.5</v>
      </c>
      <c r="AA176" s="85">
        <v>23.29</v>
      </c>
      <c r="AB176" s="85">
        <v>29.11</v>
      </c>
      <c r="AC176" s="85">
        <v>26.82</v>
      </c>
      <c r="AD176" s="85">
        <v>27.52</v>
      </c>
      <c r="AE176" s="47">
        <v>7657683</v>
      </c>
      <c r="AF176" s="47">
        <v>8059685</v>
      </c>
      <c r="AG176" s="47">
        <v>7690550</v>
      </c>
      <c r="AH176" s="47">
        <v>6257830</v>
      </c>
      <c r="AI176" s="47">
        <v>8446280</v>
      </c>
      <c r="AJ176" s="47">
        <v>7588100</v>
      </c>
      <c r="AK176" s="47">
        <v>6546805</v>
      </c>
      <c r="AL176" s="47">
        <v>8258450</v>
      </c>
      <c r="AM176" s="47">
        <v>7046545</v>
      </c>
      <c r="AN176" s="47">
        <v>4681935</v>
      </c>
      <c r="AO176" s="47">
        <v>4483750</v>
      </c>
      <c r="AP176" s="47">
        <v>5373542</v>
      </c>
      <c r="AQ176" s="47">
        <v>5862955</v>
      </c>
      <c r="AR176" s="47">
        <v>6600140</v>
      </c>
      <c r="AS176" s="47"/>
      <c r="AT176" s="47"/>
      <c r="AU176" s="47"/>
      <c r="AV176" s="47"/>
      <c r="AW176" s="47"/>
      <c r="AX176" s="47"/>
      <c r="AY176" s="47"/>
      <c r="AZ176" s="47"/>
      <c r="BA176" s="47"/>
      <c r="BB176" s="47"/>
      <c r="BC176" s="47"/>
      <c r="BD176" s="47"/>
      <c r="BE176" s="47"/>
      <c r="BF176" s="47"/>
    </row>
    <row r="177" spans="1:58" hidden="1">
      <c r="A177" s="46" t="s">
        <v>280</v>
      </c>
      <c r="B177" s="46" t="s">
        <v>73</v>
      </c>
      <c r="C177" s="47">
        <v>0</v>
      </c>
      <c r="D177" s="47">
        <v>0</v>
      </c>
      <c r="E177" s="47">
        <v>0</v>
      </c>
      <c r="F177" s="47">
        <v>0</v>
      </c>
      <c r="G177" s="47">
        <v>0</v>
      </c>
      <c r="H177" s="47">
        <v>0</v>
      </c>
      <c r="I177" s="47">
        <v>0</v>
      </c>
      <c r="J177" s="47">
        <v>0</v>
      </c>
      <c r="K177" s="47">
        <v>0</v>
      </c>
      <c r="L177" s="47">
        <v>0</v>
      </c>
      <c r="M177" s="47">
        <v>0</v>
      </c>
      <c r="N177" s="47">
        <v>0</v>
      </c>
      <c r="O177" s="47">
        <v>0</v>
      </c>
      <c r="P177" s="47">
        <v>0</v>
      </c>
      <c r="Q177" s="85"/>
      <c r="R177" s="85"/>
      <c r="S177" s="85"/>
      <c r="T177" s="85"/>
      <c r="U177" s="85"/>
      <c r="V177" s="85"/>
      <c r="W177" s="85"/>
      <c r="X177" s="85"/>
      <c r="Y177" s="85"/>
      <c r="Z177" s="85"/>
      <c r="AA177" s="85"/>
      <c r="AB177" s="85"/>
      <c r="AC177" s="85"/>
      <c r="AD177" s="85"/>
      <c r="AE177" s="47">
        <v>0</v>
      </c>
      <c r="AF177" s="47">
        <v>0</v>
      </c>
      <c r="AG177" s="47">
        <v>0</v>
      </c>
      <c r="AH177" s="47">
        <v>0</v>
      </c>
      <c r="AI177" s="47">
        <v>0</v>
      </c>
      <c r="AJ177" s="47">
        <v>0</v>
      </c>
      <c r="AK177" s="47">
        <v>0</v>
      </c>
      <c r="AL177" s="47">
        <v>0</v>
      </c>
      <c r="AM177" s="47">
        <v>0</v>
      </c>
      <c r="AN177" s="47">
        <v>0</v>
      </c>
      <c r="AO177" s="47">
        <v>0</v>
      </c>
      <c r="AP177" s="47">
        <v>0</v>
      </c>
      <c r="AQ177" s="47">
        <v>0</v>
      </c>
      <c r="AR177" s="47">
        <v>0</v>
      </c>
      <c r="AS177" s="47"/>
      <c r="AT177" s="47"/>
      <c r="AU177" s="47"/>
      <c r="AV177" s="47"/>
      <c r="AW177" s="47"/>
      <c r="AX177" s="47"/>
      <c r="AY177" s="47"/>
      <c r="AZ177" s="47"/>
      <c r="BA177" s="47"/>
      <c r="BB177" s="47"/>
      <c r="BC177" s="47"/>
      <c r="BD177" s="47"/>
      <c r="BE177" s="47"/>
      <c r="BF177" s="47"/>
    </row>
    <row r="178" spans="1:58" hidden="1">
      <c r="A178" s="46" t="s">
        <v>280</v>
      </c>
      <c r="B178" s="46" t="s">
        <v>74</v>
      </c>
      <c r="C178" s="47">
        <v>3332</v>
      </c>
      <c r="D178" s="47">
        <v>2890</v>
      </c>
      <c r="E178" s="47">
        <v>1540</v>
      </c>
      <c r="F178" s="47">
        <v>2160</v>
      </c>
      <c r="G178" s="47">
        <v>2970</v>
      </c>
      <c r="H178" s="47">
        <v>2610</v>
      </c>
      <c r="I178" s="47">
        <v>2560</v>
      </c>
      <c r="J178" s="47">
        <v>3140</v>
      </c>
      <c r="K178" s="47">
        <v>2880</v>
      </c>
      <c r="L178" s="47">
        <v>4470</v>
      </c>
      <c r="M178" s="47">
        <v>6545</v>
      </c>
      <c r="N178" s="47">
        <v>5525</v>
      </c>
      <c r="O178" s="47">
        <v>4490</v>
      </c>
      <c r="P178" s="47">
        <v>4110</v>
      </c>
      <c r="Q178" s="85">
        <v>23.29</v>
      </c>
      <c r="R178" s="85">
        <v>25.1</v>
      </c>
      <c r="S178" s="85">
        <v>30</v>
      </c>
      <c r="T178" s="85">
        <v>28</v>
      </c>
      <c r="U178" s="85">
        <v>21.19</v>
      </c>
      <c r="V178" s="85">
        <v>19.97</v>
      </c>
      <c r="W178" s="85">
        <v>7.36</v>
      </c>
      <c r="X178" s="85">
        <v>20.61</v>
      </c>
      <c r="Y178" s="85">
        <v>23.72</v>
      </c>
      <c r="Z178" s="85">
        <v>21.19</v>
      </c>
      <c r="AA178" s="85">
        <v>9.31</v>
      </c>
      <c r="AB178" s="85">
        <v>18.57</v>
      </c>
      <c r="AC178" s="85">
        <v>15.12</v>
      </c>
      <c r="AD178" s="85">
        <v>19</v>
      </c>
      <c r="AE178" s="47">
        <v>77590</v>
      </c>
      <c r="AF178" s="47">
        <v>72530</v>
      </c>
      <c r="AG178" s="47">
        <v>46200</v>
      </c>
      <c r="AH178" s="47">
        <v>60480</v>
      </c>
      <c r="AI178" s="47">
        <v>62940</v>
      </c>
      <c r="AJ178" s="47">
        <v>52110</v>
      </c>
      <c r="AK178" s="47">
        <v>18830</v>
      </c>
      <c r="AL178" s="47">
        <v>64715</v>
      </c>
      <c r="AM178" s="47">
        <v>68320</v>
      </c>
      <c r="AN178" s="47">
        <v>94730</v>
      </c>
      <c r="AO178" s="47">
        <v>60935</v>
      </c>
      <c r="AP178" s="47">
        <v>102575</v>
      </c>
      <c r="AQ178" s="47">
        <v>67870</v>
      </c>
      <c r="AR178" s="47">
        <v>78090</v>
      </c>
      <c r="AS178" s="47"/>
      <c r="AT178" s="47"/>
      <c r="AU178" s="47"/>
      <c r="AV178" s="47"/>
      <c r="AW178" s="47"/>
      <c r="AX178" s="47"/>
      <c r="AY178" s="47"/>
      <c r="AZ178" s="47"/>
      <c r="BA178" s="47"/>
      <c r="BB178" s="47"/>
      <c r="BC178" s="47"/>
      <c r="BD178" s="47"/>
      <c r="BE178" s="47"/>
      <c r="BF178" s="47"/>
    </row>
    <row r="179" spans="1:58" hidden="1">
      <c r="A179" s="46" t="s">
        <v>280</v>
      </c>
      <c r="B179" s="46" t="s">
        <v>75</v>
      </c>
      <c r="C179" s="47">
        <v>11</v>
      </c>
      <c r="D179" s="47">
        <v>11</v>
      </c>
      <c r="E179" s="47">
        <v>12</v>
      </c>
      <c r="F179" s="47">
        <v>14</v>
      </c>
      <c r="G179" s="47">
        <v>14</v>
      </c>
      <c r="H179" s="47">
        <v>14</v>
      </c>
      <c r="I179" s="47">
        <v>12</v>
      </c>
      <c r="J179" s="47">
        <v>15</v>
      </c>
      <c r="K179" s="47">
        <v>16</v>
      </c>
      <c r="L179" s="47">
        <v>16</v>
      </c>
      <c r="M179" s="47">
        <v>40</v>
      </c>
      <c r="N179" s="47">
        <v>39</v>
      </c>
      <c r="O179" s="47">
        <v>27</v>
      </c>
      <c r="P179" s="47">
        <v>32</v>
      </c>
      <c r="Q179" s="85">
        <v>20</v>
      </c>
      <c r="R179" s="85">
        <v>18.18</v>
      </c>
      <c r="S179" s="85">
        <v>18</v>
      </c>
      <c r="T179" s="85">
        <v>15.79</v>
      </c>
      <c r="U179" s="85">
        <v>16.79</v>
      </c>
      <c r="V179" s="85">
        <v>19.64</v>
      </c>
      <c r="W179" s="85">
        <v>19.25</v>
      </c>
      <c r="X179" s="85">
        <v>22.13</v>
      </c>
      <c r="Y179" s="85">
        <v>20.5</v>
      </c>
      <c r="Z179" s="85">
        <v>18.309999999999999</v>
      </c>
      <c r="AA179" s="85">
        <v>18</v>
      </c>
      <c r="AB179" s="85">
        <v>23.9</v>
      </c>
      <c r="AC179" s="85">
        <v>17.48</v>
      </c>
      <c r="AD179" s="85">
        <v>23.5</v>
      </c>
      <c r="AE179" s="47">
        <v>220</v>
      </c>
      <c r="AF179" s="47">
        <v>200</v>
      </c>
      <c r="AG179" s="47">
        <v>216</v>
      </c>
      <c r="AH179" s="47">
        <v>221</v>
      </c>
      <c r="AI179" s="47">
        <v>235</v>
      </c>
      <c r="AJ179" s="47">
        <v>275</v>
      </c>
      <c r="AK179" s="47">
        <v>231</v>
      </c>
      <c r="AL179" s="47">
        <v>332</v>
      </c>
      <c r="AM179" s="47">
        <v>328</v>
      </c>
      <c r="AN179" s="47">
        <v>293</v>
      </c>
      <c r="AO179" s="47">
        <v>720</v>
      </c>
      <c r="AP179" s="47">
        <v>932</v>
      </c>
      <c r="AQ179" s="47">
        <v>472</v>
      </c>
      <c r="AR179" s="47">
        <v>752</v>
      </c>
      <c r="AS179" s="47"/>
      <c r="AT179" s="47"/>
      <c r="AU179" s="47"/>
      <c r="AV179" s="47"/>
      <c r="AW179" s="47"/>
      <c r="AX179" s="47"/>
      <c r="AY179" s="47"/>
      <c r="AZ179" s="47"/>
      <c r="BA179" s="47"/>
      <c r="BB179" s="47"/>
      <c r="BC179" s="47"/>
      <c r="BD179" s="47"/>
      <c r="BE179" s="47"/>
      <c r="BF179" s="47"/>
    </row>
    <row r="180" spans="1:58" hidden="1">
      <c r="A180" s="46" t="s">
        <v>280</v>
      </c>
      <c r="B180" s="46" t="s">
        <v>76</v>
      </c>
      <c r="C180" s="47">
        <v>574</v>
      </c>
      <c r="D180" s="47">
        <v>818</v>
      </c>
      <c r="E180" s="47">
        <v>967</v>
      </c>
      <c r="F180" s="47">
        <v>1141</v>
      </c>
      <c r="G180" s="47">
        <v>1523</v>
      </c>
      <c r="H180" s="47">
        <v>1523</v>
      </c>
      <c r="I180" s="47">
        <v>1701</v>
      </c>
      <c r="J180" s="47">
        <v>3477</v>
      </c>
      <c r="K180" s="47">
        <v>4000</v>
      </c>
      <c r="L180" s="47">
        <v>4526</v>
      </c>
      <c r="M180" s="47">
        <v>5040</v>
      </c>
      <c r="N180" s="47">
        <v>4377</v>
      </c>
      <c r="O180" s="47">
        <v>3592</v>
      </c>
      <c r="P180" s="47">
        <v>3665</v>
      </c>
      <c r="Q180" s="85">
        <v>13.04</v>
      </c>
      <c r="R180" s="85">
        <v>8.1199999999999992</v>
      </c>
      <c r="S180" s="85">
        <v>15.02</v>
      </c>
      <c r="T180" s="85">
        <v>14.02</v>
      </c>
      <c r="U180" s="85">
        <v>12.01</v>
      </c>
      <c r="V180" s="85">
        <v>12.01</v>
      </c>
      <c r="W180" s="85">
        <v>14</v>
      </c>
      <c r="X180" s="85">
        <v>13.96</v>
      </c>
      <c r="Y180" s="85">
        <v>13.09</v>
      </c>
      <c r="Z180" s="85">
        <v>8.01</v>
      </c>
      <c r="AA180" s="85">
        <v>3.5</v>
      </c>
      <c r="AB180" s="85">
        <v>2.86</v>
      </c>
      <c r="AC180" s="85">
        <v>5.97</v>
      </c>
      <c r="AD180" s="85">
        <v>8.93</v>
      </c>
      <c r="AE180" s="47">
        <v>7484</v>
      </c>
      <c r="AF180" s="47">
        <v>6645</v>
      </c>
      <c r="AG180" s="47">
        <v>14526</v>
      </c>
      <c r="AH180" s="47">
        <v>15996</v>
      </c>
      <c r="AI180" s="47">
        <v>18292</v>
      </c>
      <c r="AJ180" s="47">
        <v>18294</v>
      </c>
      <c r="AK180" s="47">
        <v>23806</v>
      </c>
      <c r="AL180" s="47">
        <v>48531</v>
      </c>
      <c r="AM180" s="47">
        <v>52368</v>
      </c>
      <c r="AN180" s="47">
        <v>36259</v>
      </c>
      <c r="AO180" s="47">
        <v>17640</v>
      </c>
      <c r="AP180" s="47">
        <v>12522</v>
      </c>
      <c r="AQ180" s="47">
        <v>21433</v>
      </c>
      <c r="AR180" s="47">
        <v>32745</v>
      </c>
      <c r="AS180" s="47"/>
      <c r="AT180" s="47"/>
      <c r="AU180" s="47"/>
      <c r="AV180" s="47"/>
      <c r="AW180" s="47"/>
      <c r="AX180" s="47"/>
      <c r="AY180" s="47"/>
      <c r="AZ180" s="47"/>
      <c r="BA180" s="47"/>
      <c r="BB180" s="47"/>
      <c r="BC180" s="47"/>
      <c r="BD180" s="47"/>
      <c r="BE180" s="47"/>
      <c r="BF180" s="47"/>
    </row>
    <row r="181" spans="1:58" hidden="1">
      <c r="A181" s="46" t="s">
        <v>280</v>
      </c>
      <c r="B181" s="46" t="s">
        <v>77</v>
      </c>
      <c r="C181" s="47">
        <v>13884</v>
      </c>
      <c r="D181" s="47">
        <v>13298</v>
      </c>
      <c r="E181" s="47">
        <v>10809</v>
      </c>
      <c r="F181" s="47">
        <v>10499</v>
      </c>
      <c r="G181" s="47">
        <v>12739</v>
      </c>
      <c r="H181" s="47">
        <v>15058</v>
      </c>
      <c r="I181" s="47">
        <v>20927</v>
      </c>
      <c r="J181" s="47">
        <v>18708</v>
      </c>
      <c r="K181" s="47">
        <v>16713</v>
      </c>
      <c r="L181" s="47">
        <v>22868</v>
      </c>
      <c r="M181" s="47">
        <v>30170</v>
      </c>
      <c r="N181" s="47">
        <v>25040</v>
      </c>
      <c r="O181" s="47">
        <v>15820</v>
      </c>
      <c r="P181" s="47">
        <v>12710</v>
      </c>
      <c r="Q181" s="85">
        <v>44.75</v>
      </c>
      <c r="R181" s="85">
        <v>33.75</v>
      </c>
      <c r="S181" s="85">
        <v>37.229999999999997</v>
      </c>
      <c r="T181" s="85">
        <v>38.71</v>
      </c>
      <c r="U181" s="85">
        <v>29.05</v>
      </c>
      <c r="V181" s="85">
        <v>31.96</v>
      </c>
      <c r="W181" s="85">
        <v>11.89</v>
      </c>
      <c r="X181" s="85">
        <v>36.39</v>
      </c>
      <c r="Y181" s="85">
        <v>36.35</v>
      </c>
      <c r="Z181" s="85">
        <v>37.25</v>
      </c>
      <c r="AA181" s="85">
        <v>16.63</v>
      </c>
      <c r="AB181" s="85">
        <v>23.75</v>
      </c>
      <c r="AC181" s="85">
        <v>20.16</v>
      </c>
      <c r="AD181" s="85">
        <v>22.64</v>
      </c>
      <c r="AE181" s="47">
        <v>621348</v>
      </c>
      <c r="AF181" s="47">
        <v>448835</v>
      </c>
      <c r="AG181" s="47">
        <v>402441</v>
      </c>
      <c r="AH181" s="47">
        <v>406430</v>
      </c>
      <c r="AI181" s="47">
        <v>370013</v>
      </c>
      <c r="AJ181" s="47">
        <v>481304</v>
      </c>
      <c r="AK181" s="47">
        <v>248847</v>
      </c>
      <c r="AL181" s="47">
        <v>680845</v>
      </c>
      <c r="AM181" s="47">
        <v>607548</v>
      </c>
      <c r="AN181" s="47">
        <v>851826</v>
      </c>
      <c r="AO181" s="47">
        <v>501660</v>
      </c>
      <c r="AP181" s="47">
        <v>594650</v>
      </c>
      <c r="AQ181" s="47">
        <v>318940</v>
      </c>
      <c r="AR181" s="47">
        <v>287780</v>
      </c>
      <c r="AS181" s="47"/>
      <c r="AT181" s="47"/>
      <c r="AU181" s="47"/>
      <c r="AV181" s="47"/>
      <c r="AW181" s="47"/>
      <c r="AX181" s="47"/>
      <c r="AY181" s="47"/>
      <c r="AZ181" s="47"/>
      <c r="BA181" s="47"/>
      <c r="BB181" s="47"/>
      <c r="BC181" s="47"/>
      <c r="BD181" s="47"/>
      <c r="BE181" s="47"/>
      <c r="BF181" s="47"/>
    </row>
    <row r="182" spans="1:58" hidden="1">
      <c r="A182" s="46" t="s">
        <v>280</v>
      </c>
      <c r="B182" s="46" t="s">
        <v>78</v>
      </c>
      <c r="C182" s="47">
        <v>227</v>
      </c>
      <c r="D182" s="47">
        <v>202</v>
      </c>
      <c r="E182" s="47">
        <v>131</v>
      </c>
      <c r="F182" s="47">
        <v>116</v>
      </c>
      <c r="G182" s="47">
        <v>151</v>
      </c>
      <c r="H182" s="47">
        <v>252</v>
      </c>
      <c r="I182" s="47">
        <v>308</v>
      </c>
      <c r="J182" s="47">
        <v>267</v>
      </c>
      <c r="K182" s="47">
        <v>222</v>
      </c>
      <c r="L182" s="47">
        <v>277</v>
      </c>
      <c r="M182" s="47">
        <v>305</v>
      </c>
      <c r="N182" s="47">
        <v>4790</v>
      </c>
      <c r="O182" s="47">
        <v>4290</v>
      </c>
      <c r="P182" s="47">
        <v>4310</v>
      </c>
      <c r="Q182" s="85">
        <v>43.97</v>
      </c>
      <c r="R182" s="85">
        <v>32.950000000000003</v>
      </c>
      <c r="S182" s="85">
        <v>36.020000000000003</v>
      </c>
      <c r="T182" s="85">
        <v>36.979999999999997</v>
      </c>
      <c r="U182" s="85">
        <v>30.05</v>
      </c>
      <c r="V182" s="85">
        <v>32.01</v>
      </c>
      <c r="W182" s="85">
        <v>10.98</v>
      </c>
      <c r="X182" s="85">
        <v>41.03</v>
      </c>
      <c r="Y182" s="85">
        <v>33.97</v>
      </c>
      <c r="Z182" s="85">
        <v>39.04</v>
      </c>
      <c r="AA182" s="85">
        <v>17</v>
      </c>
      <c r="AB182" s="85">
        <v>21.49</v>
      </c>
      <c r="AC182" s="85">
        <v>23.47</v>
      </c>
      <c r="AD182" s="85">
        <v>22.59</v>
      </c>
      <c r="AE182" s="47">
        <v>9982</v>
      </c>
      <c r="AF182" s="47">
        <v>6655</v>
      </c>
      <c r="AG182" s="47">
        <v>4719</v>
      </c>
      <c r="AH182" s="47">
        <v>4290</v>
      </c>
      <c r="AI182" s="47">
        <v>4537</v>
      </c>
      <c r="AJ182" s="47">
        <v>8066</v>
      </c>
      <c r="AK182" s="47">
        <v>3383</v>
      </c>
      <c r="AL182" s="47">
        <v>10955</v>
      </c>
      <c r="AM182" s="47">
        <v>7542</v>
      </c>
      <c r="AN182" s="47">
        <v>10814</v>
      </c>
      <c r="AO182" s="47">
        <v>5185</v>
      </c>
      <c r="AP182" s="47">
        <v>102950</v>
      </c>
      <c r="AQ182" s="47">
        <v>100670</v>
      </c>
      <c r="AR182" s="47">
        <v>97360</v>
      </c>
      <c r="AS182" s="47"/>
      <c r="AT182" s="47"/>
      <c r="AU182" s="47"/>
      <c r="AV182" s="47"/>
      <c r="AW182" s="47"/>
      <c r="AX182" s="47"/>
      <c r="AY182" s="47"/>
      <c r="AZ182" s="47"/>
      <c r="BA182" s="47"/>
      <c r="BB182" s="47"/>
      <c r="BC182" s="47"/>
      <c r="BD182" s="47"/>
      <c r="BE182" s="47"/>
      <c r="BF182" s="47"/>
    </row>
    <row r="183" spans="1:58" hidden="1">
      <c r="A183" s="46" t="s">
        <v>280</v>
      </c>
      <c r="B183" s="46" t="s">
        <v>79</v>
      </c>
      <c r="C183" s="47">
        <v>0</v>
      </c>
      <c r="D183" s="47">
        <v>0</v>
      </c>
      <c r="E183" s="47">
        <v>0</v>
      </c>
      <c r="F183" s="47">
        <v>0</v>
      </c>
      <c r="G183" s="47">
        <v>0</v>
      </c>
      <c r="H183" s="47">
        <v>0</v>
      </c>
      <c r="I183" s="47">
        <v>0</v>
      </c>
      <c r="J183" s="47">
        <v>0</v>
      </c>
      <c r="K183" s="47">
        <v>0</v>
      </c>
      <c r="L183" s="47">
        <v>3089</v>
      </c>
      <c r="M183" s="47">
        <v>1620</v>
      </c>
      <c r="N183" s="47">
        <v>938</v>
      </c>
      <c r="O183" s="47">
        <v>332</v>
      </c>
      <c r="P183" s="47">
        <v>565</v>
      </c>
      <c r="Q183" s="85"/>
      <c r="R183" s="85"/>
      <c r="S183" s="85"/>
      <c r="T183" s="85"/>
      <c r="U183" s="85"/>
      <c r="V183" s="85"/>
      <c r="W183" s="85"/>
      <c r="X183" s="85"/>
      <c r="Y183" s="85"/>
      <c r="Z183" s="85">
        <v>17</v>
      </c>
      <c r="AA183" s="85">
        <v>15</v>
      </c>
      <c r="AB183" s="85">
        <v>2.09</v>
      </c>
      <c r="AC183" s="85">
        <v>19.55</v>
      </c>
      <c r="AD183" s="85">
        <v>11.55</v>
      </c>
      <c r="AE183" s="47">
        <v>0</v>
      </c>
      <c r="AF183" s="47">
        <v>0</v>
      </c>
      <c r="AG183" s="47">
        <v>0</v>
      </c>
      <c r="AH183" s="47">
        <v>0</v>
      </c>
      <c r="AI183" s="47">
        <v>0</v>
      </c>
      <c r="AJ183" s="47">
        <v>0</v>
      </c>
      <c r="AK183" s="47">
        <v>0</v>
      </c>
      <c r="AL183" s="47">
        <v>0</v>
      </c>
      <c r="AM183" s="47">
        <v>0</v>
      </c>
      <c r="AN183" s="47">
        <v>52513</v>
      </c>
      <c r="AO183" s="47">
        <v>24300</v>
      </c>
      <c r="AP183" s="47">
        <v>1958</v>
      </c>
      <c r="AQ183" s="47">
        <v>6491</v>
      </c>
      <c r="AR183" s="47">
        <v>6525</v>
      </c>
      <c r="AS183" s="47"/>
      <c r="AT183" s="47"/>
      <c r="AU183" s="47"/>
      <c r="AV183" s="47"/>
      <c r="AW183" s="47"/>
      <c r="AX183" s="47"/>
      <c r="AY183" s="47"/>
      <c r="AZ183" s="47"/>
      <c r="BA183" s="47"/>
      <c r="BB183" s="47"/>
      <c r="BC183" s="47"/>
      <c r="BD183" s="47"/>
      <c r="BE183" s="47"/>
      <c r="BF183" s="47"/>
    </row>
    <row r="184" spans="1:58" hidden="1">
      <c r="A184" s="46" t="s">
        <v>280</v>
      </c>
      <c r="B184" s="46" t="s">
        <v>80</v>
      </c>
      <c r="C184" s="47">
        <v>42</v>
      </c>
      <c r="D184" s="47">
        <v>30</v>
      </c>
      <c r="E184" s="47">
        <v>20</v>
      </c>
      <c r="F184" s="47">
        <v>15</v>
      </c>
      <c r="G184" s="47">
        <v>20</v>
      </c>
      <c r="H184" s="47">
        <v>20</v>
      </c>
      <c r="I184" s="47">
        <v>70</v>
      </c>
      <c r="J184" s="47">
        <v>100</v>
      </c>
      <c r="K184" s="47">
        <v>110</v>
      </c>
      <c r="L184" s="47">
        <v>50</v>
      </c>
      <c r="M184" s="47">
        <v>80</v>
      </c>
      <c r="N184" s="47">
        <v>130</v>
      </c>
      <c r="O184" s="47">
        <v>150</v>
      </c>
      <c r="P184" s="47">
        <v>130</v>
      </c>
      <c r="Q184" s="85">
        <v>25</v>
      </c>
      <c r="R184" s="85">
        <v>25</v>
      </c>
      <c r="S184" s="85">
        <v>24</v>
      </c>
      <c r="T184" s="85">
        <v>24</v>
      </c>
      <c r="U184" s="85">
        <v>26</v>
      </c>
      <c r="V184" s="85">
        <v>26</v>
      </c>
      <c r="W184" s="85">
        <v>26</v>
      </c>
      <c r="X184" s="85">
        <v>32.53</v>
      </c>
      <c r="Y184" s="85">
        <v>25.23</v>
      </c>
      <c r="Z184" s="85">
        <v>19.899999999999999</v>
      </c>
      <c r="AA184" s="85">
        <v>20</v>
      </c>
      <c r="AB184" s="85">
        <v>22.92</v>
      </c>
      <c r="AC184" s="85">
        <v>22.8</v>
      </c>
      <c r="AD184" s="85">
        <v>21.85</v>
      </c>
      <c r="AE184" s="47">
        <v>1050</v>
      </c>
      <c r="AF184" s="47">
        <v>750</v>
      </c>
      <c r="AG184" s="47">
        <v>480</v>
      </c>
      <c r="AH184" s="47">
        <v>360</v>
      </c>
      <c r="AI184" s="47">
        <v>520</v>
      </c>
      <c r="AJ184" s="47">
        <v>520</v>
      </c>
      <c r="AK184" s="47">
        <v>1820</v>
      </c>
      <c r="AL184" s="47">
        <v>3253</v>
      </c>
      <c r="AM184" s="47">
        <v>2775</v>
      </c>
      <c r="AN184" s="47">
        <v>995</v>
      </c>
      <c r="AO184" s="47">
        <v>1600</v>
      </c>
      <c r="AP184" s="47">
        <v>2980</v>
      </c>
      <c r="AQ184" s="47">
        <v>3420</v>
      </c>
      <c r="AR184" s="47">
        <v>2840</v>
      </c>
      <c r="AS184" s="47"/>
      <c r="AT184" s="47"/>
      <c r="AU184" s="47"/>
      <c r="AV184" s="47"/>
      <c r="AW184" s="47"/>
      <c r="AX184" s="47"/>
      <c r="AY184" s="47"/>
      <c r="AZ184" s="47"/>
      <c r="BA184" s="47"/>
      <c r="BB184" s="47"/>
      <c r="BC184" s="47"/>
      <c r="BD184" s="47"/>
      <c r="BE184" s="47"/>
      <c r="BF184" s="47"/>
    </row>
    <row r="185" spans="1:58" hidden="1">
      <c r="A185" s="46" t="s">
        <v>280</v>
      </c>
      <c r="B185" s="46" t="s">
        <v>81</v>
      </c>
      <c r="C185" s="47">
        <v>0</v>
      </c>
      <c r="D185" s="47">
        <v>0</v>
      </c>
      <c r="E185" s="47">
        <v>0</v>
      </c>
      <c r="F185" s="47">
        <v>0</v>
      </c>
      <c r="G185" s="47">
        <v>0</v>
      </c>
      <c r="H185" s="47">
        <v>0</v>
      </c>
      <c r="I185" s="47">
        <v>0</v>
      </c>
      <c r="J185" s="47">
        <v>0</v>
      </c>
      <c r="K185" s="47">
        <v>0</v>
      </c>
      <c r="L185" s="47">
        <v>0</v>
      </c>
      <c r="M185" s="47">
        <v>80</v>
      </c>
      <c r="N185" s="47">
        <v>140</v>
      </c>
      <c r="O185" s="47">
        <v>100</v>
      </c>
      <c r="P185" s="47">
        <v>115</v>
      </c>
      <c r="Q185" s="85"/>
      <c r="R185" s="85"/>
      <c r="S185" s="85"/>
      <c r="T185" s="85"/>
      <c r="U185" s="85"/>
      <c r="V185" s="85"/>
      <c r="W185" s="85"/>
      <c r="X185" s="85"/>
      <c r="Y185" s="85"/>
      <c r="Z185" s="85"/>
      <c r="AA185" s="85"/>
      <c r="AB185" s="85"/>
      <c r="AC185" s="85"/>
      <c r="AD185" s="85"/>
      <c r="AE185" s="47">
        <v>0</v>
      </c>
      <c r="AF185" s="47">
        <v>0</v>
      </c>
      <c r="AG185" s="47">
        <v>0</v>
      </c>
      <c r="AH185" s="47">
        <v>0</v>
      </c>
      <c r="AI185" s="47">
        <v>0</v>
      </c>
      <c r="AJ185" s="47">
        <v>0</v>
      </c>
      <c r="AK185" s="47">
        <v>0</v>
      </c>
      <c r="AL185" s="47">
        <v>0</v>
      </c>
      <c r="AM185" s="47">
        <v>0</v>
      </c>
      <c r="AN185" s="47">
        <v>0</v>
      </c>
      <c r="AO185" s="47">
        <v>1460</v>
      </c>
      <c r="AP185" s="47">
        <v>2810</v>
      </c>
      <c r="AQ185" s="47">
        <v>2200</v>
      </c>
      <c r="AR185" s="47">
        <v>3045</v>
      </c>
      <c r="AS185" s="47"/>
      <c r="AT185" s="47"/>
      <c r="AU185" s="47"/>
      <c r="AV185" s="47"/>
      <c r="AW185" s="47"/>
      <c r="AX185" s="47"/>
      <c r="AY185" s="47"/>
      <c r="AZ185" s="47"/>
      <c r="BA185" s="47"/>
      <c r="BB185" s="47"/>
      <c r="BC185" s="47"/>
      <c r="BD185" s="47"/>
      <c r="BE185" s="47"/>
      <c r="BF185" s="47"/>
    </row>
    <row r="186" spans="1:58" hidden="1">
      <c r="A186" s="46" t="s">
        <v>280</v>
      </c>
      <c r="B186" s="46" t="s">
        <v>82</v>
      </c>
      <c r="C186" s="47">
        <v>18070</v>
      </c>
      <c r="D186" s="47">
        <v>17249</v>
      </c>
      <c r="E186" s="47">
        <v>13479</v>
      </c>
      <c r="F186" s="47">
        <v>13945</v>
      </c>
      <c r="G186" s="47">
        <v>17417</v>
      </c>
      <c r="H186" s="47">
        <v>19477</v>
      </c>
      <c r="I186" s="47">
        <v>25578</v>
      </c>
      <c r="J186" s="47">
        <v>25707</v>
      </c>
      <c r="K186" s="47">
        <v>23941</v>
      </c>
      <c r="L186" s="47">
        <v>35296</v>
      </c>
      <c r="M186" s="47">
        <v>43880</v>
      </c>
      <c r="N186" s="47">
        <v>40979</v>
      </c>
      <c r="O186" s="47">
        <v>28801</v>
      </c>
      <c r="P186" s="47">
        <v>25637</v>
      </c>
      <c r="Q186" s="85">
        <v>39.72</v>
      </c>
      <c r="R186" s="85">
        <v>31.05</v>
      </c>
      <c r="S186" s="85">
        <v>34.76</v>
      </c>
      <c r="T186" s="85">
        <v>34.979999999999997</v>
      </c>
      <c r="U186" s="85">
        <v>26.21</v>
      </c>
      <c r="V186" s="85">
        <v>28.78</v>
      </c>
      <c r="W186" s="85">
        <v>11.61</v>
      </c>
      <c r="X186" s="85">
        <v>31.46</v>
      </c>
      <c r="Y186" s="85">
        <v>30.86</v>
      </c>
      <c r="Z186" s="85">
        <v>29.68</v>
      </c>
      <c r="AA186" s="85">
        <v>13.98</v>
      </c>
      <c r="AB186" s="85">
        <v>20.04</v>
      </c>
      <c r="AC186" s="85">
        <v>18.11</v>
      </c>
      <c r="AD186" s="85">
        <v>19.86</v>
      </c>
      <c r="AE186" s="47">
        <v>717674</v>
      </c>
      <c r="AF186" s="47">
        <v>535615</v>
      </c>
      <c r="AG186" s="47">
        <v>468582</v>
      </c>
      <c r="AH186" s="47">
        <v>487777</v>
      </c>
      <c r="AI186" s="47">
        <v>456537</v>
      </c>
      <c r="AJ186" s="47">
        <v>560569</v>
      </c>
      <c r="AK186" s="47">
        <v>296917</v>
      </c>
      <c r="AL186" s="47">
        <v>808631</v>
      </c>
      <c r="AM186" s="47">
        <v>738881</v>
      </c>
      <c r="AN186" s="47">
        <v>1047430</v>
      </c>
      <c r="AO186" s="47">
        <v>613500</v>
      </c>
      <c r="AP186" s="47">
        <v>821377</v>
      </c>
      <c r="AQ186" s="47">
        <v>521496</v>
      </c>
      <c r="AR186" s="47">
        <v>509137</v>
      </c>
      <c r="AS186" s="47"/>
      <c r="AT186" s="47"/>
      <c r="AU186" s="47"/>
      <c r="AV186" s="47"/>
      <c r="AW186" s="47"/>
      <c r="AX186" s="47"/>
      <c r="AY186" s="47"/>
      <c r="AZ186" s="47"/>
      <c r="BA186" s="47"/>
      <c r="BB186" s="47"/>
      <c r="BC186" s="47"/>
      <c r="BD186" s="47"/>
      <c r="BE186" s="47"/>
      <c r="BF186" s="47"/>
    </row>
    <row r="187" spans="1:58" hidden="1">
      <c r="A187" s="46" t="s">
        <v>281</v>
      </c>
      <c r="B187" s="46" t="s">
        <v>251</v>
      </c>
      <c r="C187" s="47">
        <v>457759</v>
      </c>
      <c r="D187" s="47">
        <v>480989</v>
      </c>
      <c r="E187" s="47">
        <v>486243</v>
      </c>
      <c r="F187" s="47">
        <v>466200</v>
      </c>
      <c r="G187" s="47">
        <v>490600</v>
      </c>
      <c r="H187" s="47">
        <v>489600</v>
      </c>
      <c r="I187" s="47">
        <v>482460</v>
      </c>
      <c r="J187" s="47">
        <v>468320</v>
      </c>
      <c r="K187" s="47">
        <v>464660</v>
      </c>
      <c r="L187" s="47">
        <v>466260</v>
      </c>
      <c r="M187" s="47">
        <v>419230</v>
      </c>
      <c r="N187" s="47">
        <v>470250</v>
      </c>
      <c r="O187" s="47">
        <v>442060</v>
      </c>
      <c r="P187" s="47">
        <v>441360</v>
      </c>
      <c r="Q187" s="85">
        <v>82.37</v>
      </c>
      <c r="R187" s="85">
        <v>80.209999999999994</v>
      </c>
      <c r="S187" s="85">
        <v>80.930000000000007</v>
      </c>
      <c r="T187" s="85">
        <v>82.74</v>
      </c>
      <c r="U187" s="85">
        <v>80.59</v>
      </c>
      <c r="V187" s="85">
        <v>88.8</v>
      </c>
      <c r="W187" s="85">
        <v>62.96</v>
      </c>
      <c r="X187" s="85">
        <v>84.29</v>
      </c>
      <c r="Y187" s="85">
        <v>77.12</v>
      </c>
      <c r="Z187" s="85">
        <v>89.65</v>
      </c>
      <c r="AA187" s="85">
        <v>76.22</v>
      </c>
      <c r="AB187" s="85">
        <v>77.27</v>
      </c>
      <c r="AC187" s="85">
        <v>87.8</v>
      </c>
      <c r="AD187" s="85">
        <v>84.06</v>
      </c>
      <c r="AE187" s="47">
        <v>37706150</v>
      </c>
      <c r="AF187" s="47">
        <v>38579462</v>
      </c>
      <c r="AG187" s="47">
        <v>39349741</v>
      </c>
      <c r="AH187" s="47">
        <v>38572200</v>
      </c>
      <c r="AI187" s="47">
        <v>39539300</v>
      </c>
      <c r="AJ187" s="47">
        <v>43477860</v>
      </c>
      <c r="AK187" s="47">
        <v>30377720</v>
      </c>
      <c r="AL187" s="47">
        <v>39473900</v>
      </c>
      <c r="AM187" s="47">
        <v>35834560</v>
      </c>
      <c r="AN187" s="47">
        <v>41801180</v>
      </c>
      <c r="AO187" s="47">
        <v>31952630</v>
      </c>
      <c r="AP187" s="47">
        <v>36336330</v>
      </c>
      <c r="AQ187" s="47">
        <v>38812200</v>
      </c>
      <c r="AR187" s="47">
        <v>37099620</v>
      </c>
      <c r="AS187" s="47"/>
      <c r="AT187" s="47"/>
      <c r="AU187" s="47"/>
      <c r="AV187" s="47"/>
      <c r="AW187" s="47"/>
      <c r="AX187" s="47"/>
      <c r="AY187" s="47"/>
      <c r="AZ187" s="47"/>
      <c r="BA187" s="47"/>
      <c r="BB187" s="47"/>
      <c r="BC187" s="47"/>
      <c r="BD187" s="47"/>
      <c r="BE187" s="47"/>
      <c r="BF187" s="47"/>
    </row>
    <row r="188" spans="1:58" hidden="1">
      <c r="A188" s="46" t="s">
        <v>281</v>
      </c>
      <c r="B188" s="46" t="s">
        <v>252</v>
      </c>
      <c r="C188" s="47">
        <v>3510</v>
      </c>
      <c r="D188" s="47">
        <v>2209</v>
      </c>
      <c r="E188" s="47">
        <v>1205</v>
      </c>
      <c r="F188" s="47">
        <v>5080</v>
      </c>
      <c r="G188" s="47">
        <v>2060</v>
      </c>
      <c r="H188" s="47">
        <v>1780</v>
      </c>
      <c r="I188" s="47">
        <v>980</v>
      </c>
      <c r="J188" s="47">
        <v>740</v>
      </c>
      <c r="K188" s="47">
        <v>1180</v>
      </c>
      <c r="L188" s="47">
        <v>955</v>
      </c>
      <c r="M188" s="47">
        <v>4490</v>
      </c>
      <c r="N188" s="47">
        <v>1630</v>
      </c>
      <c r="O188" s="47">
        <v>1560</v>
      </c>
      <c r="P188" s="47">
        <v>1460</v>
      </c>
      <c r="Q188" s="85">
        <v>60.26</v>
      </c>
      <c r="R188" s="85">
        <v>61.47</v>
      </c>
      <c r="S188" s="85">
        <v>64.680000000000007</v>
      </c>
      <c r="T188" s="85">
        <v>63.17</v>
      </c>
      <c r="U188" s="85">
        <v>64.81</v>
      </c>
      <c r="V188" s="85">
        <v>68.48</v>
      </c>
      <c r="W188" s="85">
        <v>52.6</v>
      </c>
      <c r="X188" s="85">
        <v>73.14</v>
      </c>
      <c r="Y188" s="85">
        <v>66.31</v>
      </c>
      <c r="Z188" s="85">
        <v>75</v>
      </c>
      <c r="AA188" s="85">
        <v>69.02</v>
      </c>
      <c r="AB188" s="85">
        <v>68.66</v>
      </c>
      <c r="AC188" s="85">
        <v>73.39</v>
      </c>
      <c r="AD188" s="85">
        <v>72.3</v>
      </c>
      <c r="AE188" s="47">
        <v>211502</v>
      </c>
      <c r="AF188" s="47">
        <v>135791</v>
      </c>
      <c r="AG188" s="47">
        <v>77935</v>
      </c>
      <c r="AH188" s="47">
        <v>320900</v>
      </c>
      <c r="AI188" s="47">
        <v>133500</v>
      </c>
      <c r="AJ188" s="47">
        <v>121900</v>
      </c>
      <c r="AK188" s="47">
        <v>51550</v>
      </c>
      <c r="AL188" s="47">
        <v>54120</v>
      </c>
      <c r="AM188" s="47">
        <v>78250</v>
      </c>
      <c r="AN188" s="47">
        <v>71625</v>
      </c>
      <c r="AO188" s="47">
        <v>309890</v>
      </c>
      <c r="AP188" s="47">
        <v>111910</v>
      </c>
      <c r="AQ188" s="47">
        <v>114490</v>
      </c>
      <c r="AR188" s="47">
        <v>105560</v>
      </c>
      <c r="AS188" s="47"/>
      <c r="AT188" s="47"/>
      <c r="AU188" s="47"/>
      <c r="AV188" s="47"/>
      <c r="AW188" s="47"/>
      <c r="AX188" s="47"/>
      <c r="AY188" s="47"/>
      <c r="AZ188" s="47"/>
      <c r="BA188" s="47"/>
      <c r="BB188" s="47"/>
      <c r="BC188" s="47"/>
      <c r="BD188" s="47"/>
      <c r="BE188" s="47"/>
      <c r="BF188" s="47"/>
    </row>
    <row r="189" spans="1:58" hidden="1">
      <c r="A189" s="46" t="s">
        <v>281</v>
      </c>
      <c r="B189" s="46" t="s">
        <v>253</v>
      </c>
      <c r="C189" s="47">
        <v>461269</v>
      </c>
      <c r="D189" s="47">
        <v>483198</v>
      </c>
      <c r="E189" s="47">
        <v>487448</v>
      </c>
      <c r="F189" s="47">
        <v>471280</v>
      </c>
      <c r="G189" s="47">
        <v>492660</v>
      </c>
      <c r="H189" s="47">
        <v>491380</v>
      </c>
      <c r="I189" s="47">
        <v>483440</v>
      </c>
      <c r="J189" s="47">
        <v>469060</v>
      </c>
      <c r="K189" s="47">
        <v>465840</v>
      </c>
      <c r="L189" s="47">
        <v>467215</v>
      </c>
      <c r="M189" s="47">
        <v>423720</v>
      </c>
      <c r="N189" s="47">
        <v>471880</v>
      </c>
      <c r="O189" s="47">
        <v>443620</v>
      </c>
      <c r="P189" s="47">
        <v>442820</v>
      </c>
      <c r="Q189" s="85">
        <v>82.2</v>
      </c>
      <c r="R189" s="85">
        <v>80.12</v>
      </c>
      <c r="S189" s="85">
        <v>80.89</v>
      </c>
      <c r="T189" s="85">
        <v>82.53</v>
      </c>
      <c r="U189" s="85">
        <v>80.53</v>
      </c>
      <c r="V189" s="85">
        <v>88.73</v>
      </c>
      <c r="W189" s="85">
        <v>62.94</v>
      </c>
      <c r="X189" s="85">
        <v>84.27</v>
      </c>
      <c r="Y189" s="85">
        <v>77.09</v>
      </c>
      <c r="Z189" s="85">
        <v>89.62</v>
      </c>
      <c r="AA189" s="85">
        <v>76.14</v>
      </c>
      <c r="AB189" s="85">
        <v>77.239999999999995</v>
      </c>
      <c r="AC189" s="85">
        <v>87.75</v>
      </c>
      <c r="AD189" s="85">
        <v>84.02</v>
      </c>
      <c r="AE189" s="47">
        <v>37917652</v>
      </c>
      <c r="AF189" s="47">
        <v>38715253</v>
      </c>
      <c r="AG189" s="47">
        <v>39427676</v>
      </c>
      <c r="AH189" s="47">
        <v>38893100</v>
      </c>
      <c r="AI189" s="47">
        <v>39672800</v>
      </c>
      <c r="AJ189" s="47">
        <v>43599760</v>
      </c>
      <c r="AK189" s="47">
        <v>30429270</v>
      </c>
      <c r="AL189" s="47">
        <v>39528020</v>
      </c>
      <c r="AM189" s="47">
        <v>35912810</v>
      </c>
      <c r="AN189" s="47">
        <v>41872805</v>
      </c>
      <c r="AO189" s="47">
        <v>32262520</v>
      </c>
      <c r="AP189" s="47">
        <v>36448240</v>
      </c>
      <c r="AQ189" s="47">
        <v>38926690</v>
      </c>
      <c r="AR189" s="47">
        <v>37205180</v>
      </c>
      <c r="AS189" s="47"/>
      <c r="AT189" s="47"/>
      <c r="AU189" s="47"/>
      <c r="AV189" s="47"/>
      <c r="AW189" s="47"/>
      <c r="AX189" s="47"/>
      <c r="AY189" s="47"/>
      <c r="AZ189" s="47"/>
      <c r="BA189" s="47"/>
      <c r="BB189" s="47"/>
      <c r="BC189" s="47"/>
      <c r="BD189" s="47"/>
      <c r="BE189" s="47"/>
      <c r="BF189" s="47"/>
    </row>
    <row r="190" spans="1:58" hidden="1">
      <c r="A190" s="46" t="s">
        <v>281</v>
      </c>
      <c r="B190" s="46" t="s">
        <v>254</v>
      </c>
      <c r="C190" s="47">
        <v>1478</v>
      </c>
      <c r="D190" s="47">
        <v>851</v>
      </c>
      <c r="E190" s="47">
        <v>1451</v>
      </c>
      <c r="F190" s="47">
        <v>780</v>
      </c>
      <c r="G190" s="47">
        <v>1080</v>
      </c>
      <c r="H190" s="47">
        <v>460</v>
      </c>
      <c r="I190" s="47">
        <v>440</v>
      </c>
      <c r="J190" s="47">
        <v>775</v>
      </c>
      <c r="K190" s="47">
        <v>500</v>
      </c>
      <c r="L190" s="47">
        <v>685</v>
      </c>
      <c r="M190" s="47">
        <v>630</v>
      </c>
      <c r="N190" s="47">
        <v>1650</v>
      </c>
      <c r="O190" s="47">
        <v>895</v>
      </c>
      <c r="P190" s="47">
        <v>860</v>
      </c>
      <c r="Q190" s="85">
        <v>59.75</v>
      </c>
      <c r="R190" s="85">
        <v>54.75</v>
      </c>
      <c r="S190" s="85">
        <v>47.83</v>
      </c>
      <c r="T190" s="85">
        <v>57</v>
      </c>
      <c r="U190" s="85">
        <v>58.67</v>
      </c>
      <c r="V190" s="85">
        <v>58.48</v>
      </c>
      <c r="W190" s="85">
        <v>41.82</v>
      </c>
      <c r="X190" s="85">
        <v>59.13</v>
      </c>
      <c r="Y190" s="85">
        <v>57.1</v>
      </c>
      <c r="Z190" s="85">
        <v>60</v>
      </c>
      <c r="AA190" s="85">
        <v>50</v>
      </c>
      <c r="AB190" s="85">
        <v>51.98</v>
      </c>
      <c r="AC190" s="85">
        <v>57.7</v>
      </c>
      <c r="AD190" s="85">
        <v>55.01</v>
      </c>
      <c r="AE190" s="47">
        <v>88306</v>
      </c>
      <c r="AF190" s="47">
        <v>46591</v>
      </c>
      <c r="AG190" s="47">
        <v>69396</v>
      </c>
      <c r="AH190" s="47">
        <v>44460</v>
      </c>
      <c r="AI190" s="47">
        <v>63360</v>
      </c>
      <c r="AJ190" s="47">
        <v>26900</v>
      </c>
      <c r="AK190" s="47">
        <v>18400</v>
      </c>
      <c r="AL190" s="47">
        <v>45825</v>
      </c>
      <c r="AM190" s="47">
        <v>28550</v>
      </c>
      <c r="AN190" s="47">
        <v>41100</v>
      </c>
      <c r="AO190" s="47">
        <v>31500</v>
      </c>
      <c r="AP190" s="47">
        <v>85770</v>
      </c>
      <c r="AQ190" s="47">
        <v>51640</v>
      </c>
      <c r="AR190" s="47">
        <v>47310</v>
      </c>
      <c r="AS190" s="47"/>
      <c r="AT190" s="47"/>
      <c r="AU190" s="47"/>
      <c r="AV190" s="47"/>
      <c r="AW190" s="47"/>
      <c r="AX190" s="47"/>
      <c r="AY190" s="47"/>
      <c r="AZ190" s="47"/>
      <c r="BA190" s="47"/>
      <c r="BB190" s="47"/>
      <c r="BC190" s="47"/>
      <c r="BD190" s="47"/>
      <c r="BE190" s="47"/>
      <c r="BF190" s="47"/>
    </row>
    <row r="191" spans="1:58" hidden="1">
      <c r="A191" s="46" t="s">
        <v>281</v>
      </c>
      <c r="B191" s="46" t="s">
        <v>255</v>
      </c>
      <c r="C191" s="47">
        <v>75</v>
      </c>
      <c r="D191" s="47">
        <v>211</v>
      </c>
      <c r="E191" s="47">
        <v>61</v>
      </c>
      <c r="F191" s="47">
        <v>200</v>
      </c>
      <c r="G191" s="47">
        <v>71</v>
      </c>
      <c r="H191" s="47">
        <v>45</v>
      </c>
      <c r="I191" s="47">
        <v>70</v>
      </c>
      <c r="J191" s="47">
        <v>55</v>
      </c>
      <c r="K191" s="47">
        <v>20</v>
      </c>
      <c r="L191" s="47">
        <v>0</v>
      </c>
      <c r="M191" s="47">
        <v>360</v>
      </c>
      <c r="N191" s="47">
        <v>70</v>
      </c>
      <c r="O191" s="47">
        <v>40</v>
      </c>
      <c r="P191" s="47">
        <v>40</v>
      </c>
      <c r="Q191" s="85">
        <v>55.67</v>
      </c>
      <c r="R191" s="85">
        <v>50.72</v>
      </c>
      <c r="S191" s="85">
        <v>57.64</v>
      </c>
      <c r="T191" s="85">
        <v>57</v>
      </c>
      <c r="U191" s="85">
        <v>56.37</v>
      </c>
      <c r="V191" s="85">
        <v>60</v>
      </c>
      <c r="W191" s="85">
        <v>50</v>
      </c>
      <c r="X191" s="85">
        <v>55</v>
      </c>
      <c r="Y191" s="85">
        <v>50</v>
      </c>
      <c r="Z191" s="85"/>
      <c r="AA191" s="85">
        <v>40</v>
      </c>
      <c r="AB191" s="85">
        <v>41.43</v>
      </c>
      <c r="AC191" s="85">
        <v>45</v>
      </c>
      <c r="AD191" s="85">
        <v>43</v>
      </c>
      <c r="AE191" s="47">
        <v>4175</v>
      </c>
      <c r="AF191" s="47">
        <v>10701</v>
      </c>
      <c r="AG191" s="47">
        <v>3516</v>
      </c>
      <c r="AH191" s="47">
        <v>11400</v>
      </c>
      <c r="AI191" s="47">
        <v>4002</v>
      </c>
      <c r="AJ191" s="47">
        <v>2700</v>
      </c>
      <c r="AK191" s="47">
        <v>3500</v>
      </c>
      <c r="AL191" s="47">
        <v>3025</v>
      </c>
      <c r="AM191" s="47">
        <v>1000</v>
      </c>
      <c r="AN191" s="47">
        <v>0</v>
      </c>
      <c r="AO191" s="47">
        <v>14400</v>
      </c>
      <c r="AP191" s="47">
        <v>2900</v>
      </c>
      <c r="AQ191" s="47">
        <v>1800</v>
      </c>
      <c r="AR191" s="47">
        <v>1720</v>
      </c>
      <c r="AS191" s="47"/>
      <c r="AT191" s="47"/>
      <c r="AU191" s="47"/>
      <c r="AV191" s="47"/>
      <c r="AW191" s="47"/>
      <c r="AX191" s="47"/>
      <c r="AY191" s="47"/>
      <c r="AZ191" s="47"/>
      <c r="BA191" s="47"/>
      <c r="BB191" s="47"/>
      <c r="BC191" s="47"/>
      <c r="BD191" s="47"/>
      <c r="BE191" s="47"/>
      <c r="BF191" s="47"/>
    </row>
    <row r="192" spans="1:58" hidden="1">
      <c r="A192" s="46" t="s">
        <v>281</v>
      </c>
      <c r="B192" s="46" t="s">
        <v>256</v>
      </c>
      <c r="C192" s="47">
        <v>1553</v>
      </c>
      <c r="D192" s="47">
        <v>1062</v>
      </c>
      <c r="E192" s="47">
        <v>1512</v>
      </c>
      <c r="F192" s="47">
        <v>980</v>
      </c>
      <c r="G192" s="47">
        <v>1151</v>
      </c>
      <c r="H192" s="47">
        <v>505</v>
      </c>
      <c r="I192" s="47">
        <v>510</v>
      </c>
      <c r="J192" s="47">
        <v>830</v>
      </c>
      <c r="K192" s="47">
        <v>520</v>
      </c>
      <c r="L192" s="47">
        <v>685</v>
      </c>
      <c r="M192" s="47">
        <v>990</v>
      </c>
      <c r="N192" s="47">
        <v>1720</v>
      </c>
      <c r="O192" s="47">
        <v>935</v>
      </c>
      <c r="P192" s="47">
        <v>900</v>
      </c>
      <c r="Q192" s="85">
        <v>59.55</v>
      </c>
      <c r="R192" s="85">
        <v>53.95</v>
      </c>
      <c r="S192" s="85">
        <v>48.22</v>
      </c>
      <c r="T192" s="85">
        <v>57</v>
      </c>
      <c r="U192" s="85">
        <v>58.52</v>
      </c>
      <c r="V192" s="85">
        <v>58.61</v>
      </c>
      <c r="W192" s="85">
        <v>42.94</v>
      </c>
      <c r="X192" s="85">
        <v>58.86</v>
      </c>
      <c r="Y192" s="85">
        <v>56.83</v>
      </c>
      <c r="Z192" s="85">
        <v>60</v>
      </c>
      <c r="AA192" s="85">
        <v>46.36</v>
      </c>
      <c r="AB192" s="85">
        <v>51.55</v>
      </c>
      <c r="AC192" s="85">
        <v>57.16</v>
      </c>
      <c r="AD192" s="85">
        <v>54.48</v>
      </c>
      <c r="AE192" s="47">
        <v>92481</v>
      </c>
      <c r="AF192" s="47">
        <v>57292</v>
      </c>
      <c r="AG192" s="47">
        <v>72912</v>
      </c>
      <c r="AH192" s="47">
        <v>55860</v>
      </c>
      <c r="AI192" s="47">
        <v>67362</v>
      </c>
      <c r="AJ192" s="47">
        <v>29600</v>
      </c>
      <c r="AK192" s="47">
        <v>21900</v>
      </c>
      <c r="AL192" s="47">
        <v>48850</v>
      </c>
      <c r="AM192" s="47">
        <v>29550</v>
      </c>
      <c r="AN192" s="47">
        <v>41100</v>
      </c>
      <c r="AO192" s="47">
        <v>45900</v>
      </c>
      <c r="AP192" s="47">
        <v>88670</v>
      </c>
      <c r="AQ192" s="47">
        <v>53440</v>
      </c>
      <c r="AR192" s="47">
        <v>49030</v>
      </c>
      <c r="AS192" s="47"/>
      <c r="AT192" s="47"/>
      <c r="AU192" s="47"/>
      <c r="AV192" s="47"/>
      <c r="AW192" s="47"/>
      <c r="AX192" s="47"/>
      <c r="AY192" s="47"/>
      <c r="AZ192" s="47"/>
      <c r="BA192" s="47"/>
      <c r="BB192" s="47"/>
      <c r="BC192" s="47"/>
      <c r="BD192" s="47"/>
      <c r="BE192" s="47"/>
      <c r="BF192" s="47"/>
    </row>
    <row r="193" spans="1:58" hidden="1">
      <c r="A193" s="46" t="s">
        <v>281</v>
      </c>
      <c r="B193" s="46" t="s">
        <v>257</v>
      </c>
      <c r="C193" s="47">
        <v>465</v>
      </c>
      <c r="D193" s="47">
        <v>489</v>
      </c>
      <c r="E193" s="47">
        <v>490</v>
      </c>
      <c r="F193" s="47">
        <v>400</v>
      </c>
      <c r="G193" s="47">
        <v>327</v>
      </c>
      <c r="H193" s="47">
        <v>370</v>
      </c>
      <c r="I193" s="47">
        <v>260</v>
      </c>
      <c r="J193" s="47">
        <v>330</v>
      </c>
      <c r="K193" s="47">
        <v>330</v>
      </c>
      <c r="L193" s="47">
        <v>330</v>
      </c>
      <c r="M193" s="47">
        <v>590</v>
      </c>
      <c r="N193" s="47">
        <v>805</v>
      </c>
      <c r="O193" s="47">
        <v>760</v>
      </c>
      <c r="P193" s="47">
        <v>580</v>
      </c>
      <c r="Q193" s="85">
        <v>64.11</v>
      </c>
      <c r="R193" s="85">
        <v>55.37</v>
      </c>
      <c r="S193" s="85">
        <v>57.04</v>
      </c>
      <c r="T193" s="85">
        <v>55.12</v>
      </c>
      <c r="U193" s="85">
        <v>59.46</v>
      </c>
      <c r="V193" s="85">
        <v>63.51</v>
      </c>
      <c r="W193" s="85">
        <v>40</v>
      </c>
      <c r="X193" s="85">
        <v>49.24</v>
      </c>
      <c r="Y193" s="85">
        <v>45.85</v>
      </c>
      <c r="Z193" s="85">
        <v>55</v>
      </c>
      <c r="AA193" s="85">
        <v>44</v>
      </c>
      <c r="AB193" s="85">
        <v>34</v>
      </c>
      <c r="AC193" s="85">
        <v>32.71</v>
      </c>
      <c r="AD193" s="85">
        <v>34.26</v>
      </c>
      <c r="AE193" s="47">
        <v>29812</v>
      </c>
      <c r="AF193" s="47">
        <v>27074</v>
      </c>
      <c r="AG193" s="47">
        <v>27950</v>
      </c>
      <c r="AH193" s="47">
        <v>22050</v>
      </c>
      <c r="AI193" s="47">
        <v>19445</v>
      </c>
      <c r="AJ193" s="47">
        <v>23500</v>
      </c>
      <c r="AK193" s="47">
        <v>10400</v>
      </c>
      <c r="AL193" s="47">
        <v>16250</v>
      </c>
      <c r="AM193" s="47">
        <v>15130</v>
      </c>
      <c r="AN193" s="47">
        <v>18150</v>
      </c>
      <c r="AO193" s="47">
        <v>25960</v>
      </c>
      <c r="AP193" s="47">
        <v>27370</v>
      </c>
      <c r="AQ193" s="47">
        <v>24860</v>
      </c>
      <c r="AR193" s="47">
        <v>19870</v>
      </c>
      <c r="AS193" s="47"/>
      <c r="AT193" s="47"/>
      <c r="AU193" s="47"/>
      <c r="AV193" s="47"/>
      <c r="AW193" s="47"/>
      <c r="AX193" s="47"/>
      <c r="AY193" s="47"/>
      <c r="AZ193" s="47"/>
      <c r="BA193" s="47"/>
      <c r="BB193" s="47"/>
      <c r="BC193" s="47"/>
      <c r="BD193" s="47"/>
      <c r="BE193" s="47"/>
      <c r="BF193" s="47"/>
    </row>
    <row r="194" spans="1:58" hidden="1">
      <c r="A194" s="46" t="s">
        <v>281</v>
      </c>
      <c r="B194" s="46" t="s">
        <v>258</v>
      </c>
      <c r="C194" s="47">
        <v>86530</v>
      </c>
      <c r="D194" s="47">
        <v>74563</v>
      </c>
      <c r="E194" s="47">
        <v>81269</v>
      </c>
      <c r="F194" s="47">
        <v>78000</v>
      </c>
      <c r="G194" s="47">
        <v>93825</v>
      </c>
      <c r="H194" s="47">
        <v>102800</v>
      </c>
      <c r="I194" s="47">
        <v>120600</v>
      </c>
      <c r="J194" s="47">
        <v>107700</v>
      </c>
      <c r="K194" s="47">
        <v>101430</v>
      </c>
      <c r="L194" s="47">
        <v>109920</v>
      </c>
      <c r="M194" s="47">
        <v>101960</v>
      </c>
      <c r="N194" s="47">
        <v>105210</v>
      </c>
      <c r="O194" s="47">
        <v>114100</v>
      </c>
      <c r="P194" s="47">
        <v>113510</v>
      </c>
      <c r="Q194" s="85">
        <v>74.27</v>
      </c>
      <c r="R194" s="85">
        <v>71</v>
      </c>
      <c r="S194" s="85">
        <v>78.59</v>
      </c>
      <c r="T194" s="85">
        <v>75.84</v>
      </c>
      <c r="U194" s="85">
        <v>77.459999999999994</v>
      </c>
      <c r="V194" s="85">
        <v>83.68</v>
      </c>
      <c r="W194" s="85">
        <v>61.7</v>
      </c>
      <c r="X194" s="85">
        <v>74.150000000000006</v>
      </c>
      <c r="Y194" s="85">
        <v>69.14</v>
      </c>
      <c r="Z194" s="85">
        <v>78.900000000000006</v>
      </c>
      <c r="AA194" s="85">
        <v>63.94</v>
      </c>
      <c r="AB194" s="85">
        <v>76.45</v>
      </c>
      <c r="AC194" s="85">
        <v>80.069999999999993</v>
      </c>
      <c r="AD194" s="85">
        <v>84.44</v>
      </c>
      <c r="AE194" s="47">
        <v>6426563</v>
      </c>
      <c r="AF194" s="47">
        <v>5294261</v>
      </c>
      <c r="AG194" s="47">
        <v>6387260</v>
      </c>
      <c r="AH194" s="47">
        <v>5915700</v>
      </c>
      <c r="AI194" s="47">
        <v>7267575</v>
      </c>
      <c r="AJ194" s="47">
        <v>8601800</v>
      </c>
      <c r="AK194" s="47">
        <v>7440600</v>
      </c>
      <c r="AL194" s="47">
        <v>7985850</v>
      </c>
      <c r="AM194" s="47">
        <v>7012840</v>
      </c>
      <c r="AN194" s="47">
        <v>8672740</v>
      </c>
      <c r="AO194" s="47">
        <v>6519140</v>
      </c>
      <c r="AP194" s="47">
        <v>8043570</v>
      </c>
      <c r="AQ194" s="47">
        <v>9135930</v>
      </c>
      <c r="AR194" s="47">
        <v>9585294</v>
      </c>
      <c r="AS194" s="47"/>
      <c r="AT194" s="47"/>
      <c r="AU194" s="47"/>
      <c r="AV194" s="47"/>
      <c r="AW194" s="47"/>
      <c r="AX194" s="47"/>
      <c r="AY194" s="47"/>
      <c r="AZ194" s="47"/>
      <c r="BA194" s="47"/>
      <c r="BB194" s="47"/>
      <c r="BC194" s="47"/>
      <c r="BD194" s="47"/>
      <c r="BE194" s="47"/>
      <c r="BF194" s="47"/>
    </row>
    <row r="195" spans="1:58" hidden="1">
      <c r="A195" s="46" t="s">
        <v>281</v>
      </c>
      <c r="B195" s="46" t="s">
        <v>259</v>
      </c>
      <c r="C195" s="47">
        <v>7932</v>
      </c>
      <c r="D195" s="47">
        <v>6570</v>
      </c>
      <c r="E195" s="47">
        <v>4812</v>
      </c>
      <c r="F195" s="47">
        <v>14800</v>
      </c>
      <c r="G195" s="47">
        <v>7510</v>
      </c>
      <c r="H195" s="47">
        <v>8350</v>
      </c>
      <c r="I195" s="47">
        <v>7280</v>
      </c>
      <c r="J195" s="47">
        <v>8200</v>
      </c>
      <c r="K195" s="47">
        <v>11180</v>
      </c>
      <c r="L195" s="47">
        <v>14120</v>
      </c>
      <c r="M195" s="47">
        <v>29710</v>
      </c>
      <c r="N195" s="47">
        <v>14370</v>
      </c>
      <c r="O195" s="47">
        <v>17160</v>
      </c>
      <c r="P195" s="47">
        <v>13070</v>
      </c>
      <c r="Q195" s="85">
        <v>60.74</v>
      </c>
      <c r="R195" s="85">
        <v>43.31</v>
      </c>
      <c r="S195" s="85">
        <v>59.08</v>
      </c>
      <c r="T195" s="85">
        <v>59.3</v>
      </c>
      <c r="U195" s="85">
        <v>61.02</v>
      </c>
      <c r="V195" s="85">
        <v>67.66</v>
      </c>
      <c r="W195" s="85">
        <v>51.39</v>
      </c>
      <c r="X195" s="85">
        <v>60.85</v>
      </c>
      <c r="Y195" s="85">
        <v>57.11</v>
      </c>
      <c r="Z195" s="85">
        <v>66.92</v>
      </c>
      <c r="AA195" s="85">
        <v>48.22</v>
      </c>
      <c r="AB195" s="85">
        <v>57.37</v>
      </c>
      <c r="AC195" s="85">
        <v>56.44</v>
      </c>
      <c r="AD195" s="85">
        <v>56.96</v>
      </c>
      <c r="AE195" s="47">
        <v>481768</v>
      </c>
      <c r="AF195" s="47">
        <v>284570</v>
      </c>
      <c r="AG195" s="47">
        <v>284310</v>
      </c>
      <c r="AH195" s="47">
        <v>877600</v>
      </c>
      <c r="AI195" s="47">
        <v>458270</v>
      </c>
      <c r="AJ195" s="47">
        <v>564950</v>
      </c>
      <c r="AK195" s="47">
        <v>374150</v>
      </c>
      <c r="AL195" s="47">
        <v>498960</v>
      </c>
      <c r="AM195" s="47">
        <v>638520</v>
      </c>
      <c r="AN195" s="47">
        <v>944850</v>
      </c>
      <c r="AO195" s="47">
        <v>1432650</v>
      </c>
      <c r="AP195" s="47">
        <v>824350</v>
      </c>
      <c r="AQ195" s="47">
        <v>968520</v>
      </c>
      <c r="AR195" s="47">
        <v>744490</v>
      </c>
      <c r="AS195" s="47"/>
      <c r="AT195" s="47"/>
      <c r="AU195" s="47"/>
      <c r="AV195" s="47"/>
      <c r="AW195" s="47"/>
      <c r="AX195" s="47"/>
      <c r="AY195" s="47"/>
      <c r="AZ195" s="47"/>
      <c r="BA195" s="47"/>
      <c r="BB195" s="47"/>
      <c r="BC195" s="47"/>
      <c r="BD195" s="47"/>
      <c r="BE195" s="47"/>
      <c r="BF195" s="47"/>
    </row>
    <row r="196" spans="1:58" hidden="1">
      <c r="A196" s="46" t="s">
        <v>281</v>
      </c>
      <c r="B196" s="46" t="s">
        <v>260</v>
      </c>
      <c r="C196" s="47">
        <v>94462</v>
      </c>
      <c r="D196" s="47">
        <v>81133</v>
      </c>
      <c r="E196" s="47">
        <v>86081</v>
      </c>
      <c r="F196" s="47">
        <v>92800</v>
      </c>
      <c r="G196" s="47">
        <v>101335</v>
      </c>
      <c r="H196" s="47">
        <v>111150</v>
      </c>
      <c r="I196" s="47">
        <v>127880</v>
      </c>
      <c r="J196" s="47">
        <v>115900</v>
      </c>
      <c r="K196" s="47">
        <v>112610</v>
      </c>
      <c r="L196" s="47">
        <v>124040</v>
      </c>
      <c r="M196" s="47">
        <v>131670</v>
      </c>
      <c r="N196" s="47">
        <v>119580</v>
      </c>
      <c r="O196" s="47">
        <v>131260</v>
      </c>
      <c r="P196" s="47">
        <v>126580</v>
      </c>
      <c r="Q196" s="85">
        <v>73.13</v>
      </c>
      <c r="R196" s="85">
        <v>68.760000000000005</v>
      </c>
      <c r="S196" s="85">
        <v>77.5</v>
      </c>
      <c r="T196" s="85">
        <v>73.2</v>
      </c>
      <c r="U196" s="85">
        <v>76.239999999999995</v>
      </c>
      <c r="V196" s="85">
        <v>82.47</v>
      </c>
      <c r="W196" s="85">
        <v>61.11</v>
      </c>
      <c r="X196" s="85">
        <v>73.209999999999994</v>
      </c>
      <c r="Y196" s="85">
        <v>67.95</v>
      </c>
      <c r="Z196" s="85">
        <v>77.540000000000006</v>
      </c>
      <c r="AA196" s="85">
        <v>60.39</v>
      </c>
      <c r="AB196" s="85">
        <v>74.16</v>
      </c>
      <c r="AC196" s="85">
        <v>76.98</v>
      </c>
      <c r="AD196" s="85">
        <v>81.61</v>
      </c>
      <c r="AE196" s="47">
        <v>6908331</v>
      </c>
      <c r="AF196" s="47">
        <v>5578831</v>
      </c>
      <c r="AG196" s="47">
        <v>6671570</v>
      </c>
      <c r="AH196" s="47">
        <v>6793300</v>
      </c>
      <c r="AI196" s="47">
        <v>7725845</v>
      </c>
      <c r="AJ196" s="47">
        <v>9166750</v>
      </c>
      <c r="AK196" s="47">
        <v>7814750</v>
      </c>
      <c r="AL196" s="47">
        <v>8484810</v>
      </c>
      <c r="AM196" s="47">
        <v>7651360</v>
      </c>
      <c r="AN196" s="47">
        <v>9617590</v>
      </c>
      <c r="AO196" s="47">
        <v>7951790</v>
      </c>
      <c r="AP196" s="47">
        <v>8867920</v>
      </c>
      <c r="AQ196" s="47">
        <v>10104450</v>
      </c>
      <c r="AR196" s="47">
        <v>10329784</v>
      </c>
      <c r="AS196" s="47"/>
      <c r="AT196" s="47"/>
      <c r="AU196" s="47"/>
      <c r="AV196" s="47"/>
      <c r="AW196" s="47"/>
      <c r="AX196" s="47"/>
      <c r="AY196" s="47"/>
      <c r="AZ196" s="47"/>
      <c r="BA196" s="47"/>
      <c r="BB196" s="47"/>
      <c r="BC196" s="47"/>
      <c r="BD196" s="47"/>
      <c r="BE196" s="47"/>
      <c r="BF196" s="47"/>
    </row>
    <row r="197" spans="1:58" hidden="1">
      <c r="A197" s="46" t="s">
        <v>281</v>
      </c>
      <c r="B197" s="46" t="s">
        <v>261</v>
      </c>
      <c r="C197" s="47">
        <v>5139</v>
      </c>
      <c r="D197" s="47">
        <v>4774</v>
      </c>
      <c r="E197" s="47">
        <v>5884</v>
      </c>
      <c r="F197" s="47">
        <v>7370</v>
      </c>
      <c r="G197" s="47">
        <v>6560</v>
      </c>
      <c r="H197" s="47">
        <v>5080</v>
      </c>
      <c r="I197" s="47">
        <v>5410</v>
      </c>
      <c r="J197" s="47">
        <v>8240</v>
      </c>
      <c r="K197" s="47">
        <v>6550</v>
      </c>
      <c r="L197" s="47">
        <v>5280</v>
      </c>
      <c r="M197" s="47">
        <v>4800</v>
      </c>
      <c r="N197" s="47">
        <v>7360</v>
      </c>
      <c r="O197" s="47">
        <v>5530</v>
      </c>
      <c r="P197" s="47">
        <v>4310</v>
      </c>
      <c r="Q197" s="85">
        <v>59.4</v>
      </c>
      <c r="R197" s="85">
        <v>56.04</v>
      </c>
      <c r="S197" s="85">
        <v>63.92</v>
      </c>
      <c r="T197" s="85">
        <v>57.44</v>
      </c>
      <c r="U197" s="85">
        <v>61.12</v>
      </c>
      <c r="V197" s="85">
        <v>62.04</v>
      </c>
      <c r="W197" s="85">
        <v>54.65</v>
      </c>
      <c r="X197" s="85">
        <v>59.88</v>
      </c>
      <c r="Y197" s="85">
        <v>58.13</v>
      </c>
      <c r="Z197" s="85">
        <v>59.55</v>
      </c>
      <c r="AA197" s="85">
        <v>50.56</v>
      </c>
      <c r="AB197" s="85">
        <v>56.32</v>
      </c>
      <c r="AC197" s="85">
        <v>52.09</v>
      </c>
      <c r="AD197" s="85">
        <v>56.98</v>
      </c>
      <c r="AE197" s="47">
        <v>305236</v>
      </c>
      <c r="AF197" s="47">
        <v>267546</v>
      </c>
      <c r="AG197" s="47">
        <v>376080</v>
      </c>
      <c r="AH197" s="47">
        <v>423330</v>
      </c>
      <c r="AI197" s="47">
        <v>400960</v>
      </c>
      <c r="AJ197" s="47">
        <v>315160</v>
      </c>
      <c r="AK197" s="47">
        <v>295650</v>
      </c>
      <c r="AL197" s="47">
        <v>493370</v>
      </c>
      <c r="AM197" s="47">
        <v>380750</v>
      </c>
      <c r="AN197" s="47">
        <v>314430</v>
      </c>
      <c r="AO197" s="47">
        <v>242680</v>
      </c>
      <c r="AP197" s="47">
        <v>414510</v>
      </c>
      <c r="AQ197" s="47">
        <v>288040</v>
      </c>
      <c r="AR197" s="47">
        <v>245600</v>
      </c>
      <c r="AS197" s="47"/>
      <c r="AT197" s="47"/>
      <c r="AU197" s="47"/>
      <c r="AV197" s="47"/>
      <c r="AW197" s="47"/>
      <c r="AX197" s="47"/>
      <c r="AY197" s="47"/>
      <c r="AZ197" s="47"/>
      <c r="BA197" s="47"/>
      <c r="BB197" s="47"/>
      <c r="BC197" s="47"/>
      <c r="BD197" s="47"/>
      <c r="BE197" s="47"/>
      <c r="BF197" s="47"/>
    </row>
    <row r="198" spans="1:58" hidden="1">
      <c r="A198" s="46" t="s">
        <v>281</v>
      </c>
      <c r="B198" s="46" t="s">
        <v>262</v>
      </c>
      <c r="C198" s="47">
        <v>1331</v>
      </c>
      <c r="D198" s="47">
        <v>1373</v>
      </c>
      <c r="E198" s="47">
        <v>1536</v>
      </c>
      <c r="F198" s="47">
        <v>2680</v>
      </c>
      <c r="G198" s="47">
        <v>2160</v>
      </c>
      <c r="H198" s="47">
        <v>2240</v>
      </c>
      <c r="I198" s="47">
        <v>2270</v>
      </c>
      <c r="J198" s="47">
        <v>2915</v>
      </c>
      <c r="K198" s="47">
        <v>2060</v>
      </c>
      <c r="L198" s="47">
        <v>2025</v>
      </c>
      <c r="M198" s="47">
        <v>4250</v>
      </c>
      <c r="N198" s="47">
        <v>2520</v>
      </c>
      <c r="O198" s="47">
        <v>2640</v>
      </c>
      <c r="P198" s="47">
        <v>1560</v>
      </c>
      <c r="Q198" s="85">
        <v>52.18</v>
      </c>
      <c r="R198" s="85">
        <v>48.77</v>
      </c>
      <c r="S198" s="85">
        <v>59.51</v>
      </c>
      <c r="T198" s="85">
        <v>54.53</v>
      </c>
      <c r="U198" s="85">
        <v>51.07</v>
      </c>
      <c r="V198" s="85">
        <v>56.66</v>
      </c>
      <c r="W198" s="85">
        <v>50.7</v>
      </c>
      <c r="X198" s="85">
        <v>59.95</v>
      </c>
      <c r="Y198" s="85">
        <v>58.18</v>
      </c>
      <c r="Z198" s="85">
        <v>58.16</v>
      </c>
      <c r="AA198" s="85">
        <v>49.45</v>
      </c>
      <c r="AB198" s="85">
        <v>54.06</v>
      </c>
      <c r="AC198" s="85">
        <v>46.55</v>
      </c>
      <c r="AD198" s="85">
        <v>50.53</v>
      </c>
      <c r="AE198" s="47">
        <v>69453</v>
      </c>
      <c r="AF198" s="47">
        <v>66965</v>
      </c>
      <c r="AG198" s="47">
        <v>91406</v>
      </c>
      <c r="AH198" s="47">
        <v>146130</v>
      </c>
      <c r="AI198" s="47">
        <v>110320</v>
      </c>
      <c r="AJ198" s="47">
        <v>126920</v>
      </c>
      <c r="AK198" s="47">
        <v>115090</v>
      </c>
      <c r="AL198" s="47">
        <v>174750</v>
      </c>
      <c r="AM198" s="47">
        <v>119850</v>
      </c>
      <c r="AN198" s="47">
        <v>117770</v>
      </c>
      <c r="AO198" s="47">
        <v>210150</v>
      </c>
      <c r="AP198" s="47">
        <v>136240</v>
      </c>
      <c r="AQ198" s="47">
        <v>122880</v>
      </c>
      <c r="AR198" s="47">
        <v>78830</v>
      </c>
      <c r="AS198" s="47"/>
      <c r="AT198" s="47"/>
      <c r="AU198" s="47"/>
      <c r="AV198" s="47"/>
      <c r="AW198" s="47"/>
      <c r="AX198" s="47"/>
      <c r="AY198" s="47"/>
      <c r="AZ198" s="47"/>
      <c r="BA198" s="47"/>
      <c r="BB198" s="47"/>
      <c r="BC198" s="47"/>
      <c r="BD198" s="47"/>
      <c r="BE198" s="47"/>
      <c r="BF198" s="47"/>
    </row>
    <row r="199" spans="1:58" hidden="1">
      <c r="A199" s="46" t="s">
        <v>281</v>
      </c>
      <c r="B199" s="46" t="s">
        <v>263</v>
      </c>
      <c r="C199" s="47">
        <v>6470</v>
      </c>
      <c r="D199" s="47">
        <v>6147</v>
      </c>
      <c r="E199" s="47">
        <v>7420</v>
      </c>
      <c r="F199" s="47">
        <v>10050</v>
      </c>
      <c r="G199" s="47">
        <v>8720</v>
      </c>
      <c r="H199" s="47">
        <v>7320</v>
      </c>
      <c r="I199" s="47">
        <v>7680</v>
      </c>
      <c r="J199" s="47">
        <v>11155</v>
      </c>
      <c r="K199" s="47">
        <v>8610</v>
      </c>
      <c r="L199" s="47">
        <v>7305</v>
      </c>
      <c r="M199" s="47">
        <v>9050</v>
      </c>
      <c r="N199" s="47">
        <v>9880</v>
      </c>
      <c r="O199" s="47">
        <v>8170</v>
      </c>
      <c r="P199" s="47">
        <v>5870</v>
      </c>
      <c r="Q199" s="85">
        <v>57.91</v>
      </c>
      <c r="R199" s="85">
        <v>54.42</v>
      </c>
      <c r="S199" s="85">
        <v>63</v>
      </c>
      <c r="T199" s="85">
        <v>56.66</v>
      </c>
      <c r="U199" s="85">
        <v>58.63</v>
      </c>
      <c r="V199" s="85">
        <v>60.39</v>
      </c>
      <c r="W199" s="85">
        <v>53.48</v>
      </c>
      <c r="X199" s="85">
        <v>59.89</v>
      </c>
      <c r="Y199" s="85">
        <v>58.14</v>
      </c>
      <c r="Z199" s="85">
        <v>59.16</v>
      </c>
      <c r="AA199" s="85">
        <v>50.04</v>
      </c>
      <c r="AB199" s="85">
        <v>55.74</v>
      </c>
      <c r="AC199" s="85">
        <v>50.3</v>
      </c>
      <c r="AD199" s="85">
        <v>55.27</v>
      </c>
      <c r="AE199" s="47">
        <v>374689</v>
      </c>
      <c r="AF199" s="47">
        <v>334511</v>
      </c>
      <c r="AG199" s="47">
        <v>467486</v>
      </c>
      <c r="AH199" s="47">
        <v>569460</v>
      </c>
      <c r="AI199" s="47">
        <v>511280</v>
      </c>
      <c r="AJ199" s="47">
        <v>442080</v>
      </c>
      <c r="AK199" s="47">
        <v>410740</v>
      </c>
      <c r="AL199" s="47">
        <v>668120</v>
      </c>
      <c r="AM199" s="47">
        <v>500600</v>
      </c>
      <c r="AN199" s="47">
        <v>432200</v>
      </c>
      <c r="AO199" s="47">
        <v>452830</v>
      </c>
      <c r="AP199" s="47">
        <v>550750</v>
      </c>
      <c r="AQ199" s="47">
        <v>410920</v>
      </c>
      <c r="AR199" s="47">
        <v>324430</v>
      </c>
      <c r="AS199" s="47"/>
      <c r="AT199" s="47"/>
      <c r="AU199" s="47"/>
      <c r="AV199" s="47"/>
      <c r="AW199" s="47"/>
      <c r="AX199" s="47"/>
      <c r="AY199" s="47"/>
      <c r="AZ199" s="47"/>
      <c r="BA199" s="47"/>
      <c r="BB199" s="47"/>
      <c r="BC199" s="47"/>
      <c r="BD199" s="47"/>
      <c r="BE199" s="47"/>
      <c r="BF199" s="47"/>
    </row>
    <row r="200" spans="1:58" hidden="1">
      <c r="A200" s="46" t="s">
        <v>281</v>
      </c>
      <c r="B200" s="46" t="s">
        <v>264</v>
      </c>
      <c r="C200" s="47">
        <v>0</v>
      </c>
      <c r="D200" s="47">
        <v>477</v>
      </c>
      <c r="E200" s="47">
        <v>437</v>
      </c>
      <c r="F200" s="47">
        <v>120</v>
      </c>
      <c r="G200" s="47">
        <v>150</v>
      </c>
      <c r="H200" s="47">
        <v>0</v>
      </c>
      <c r="I200" s="47">
        <v>0</v>
      </c>
      <c r="J200" s="47">
        <v>0</v>
      </c>
      <c r="K200" s="47">
        <v>0</v>
      </c>
      <c r="L200" s="47">
        <v>0</v>
      </c>
      <c r="M200" s="47">
        <v>823</v>
      </c>
      <c r="N200" s="47">
        <v>580</v>
      </c>
      <c r="O200" s="47">
        <v>790</v>
      </c>
      <c r="P200" s="47">
        <v>750</v>
      </c>
      <c r="Q200" s="85"/>
      <c r="R200" s="85">
        <v>96.01</v>
      </c>
      <c r="S200" s="85">
        <v>84</v>
      </c>
      <c r="T200" s="85">
        <v>103.5</v>
      </c>
      <c r="U200" s="85">
        <v>86.33</v>
      </c>
      <c r="V200" s="85"/>
      <c r="W200" s="85"/>
      <c r="X200" s="85"/>
      <c r="Y200" s="85"/>
      <c r="Z200" s="85"/>
      <c r="AA200" s="85">
        <v>80.86</v>
      </c>
      <c r="AB200" s="85">
        <v>107.07</v>
      </c>
      <c r="AC200" s="85">
        <v>100</v>
      </c>
      <c r="AD200" s="85">
        <v>99.27</v>
      </c>
      <c r="AE200" s="47">
        <v>0</v>
      </c>
      <c r="AF200" s="47">
        <v>45797</v>
      </c>
      <c r="AG200" s="47">
        <v>36708</v>
      </c>
      <c r="AH200" s="47">
        <v>12420</v>
      </c>
      <c r="AI200" s="47">
        <v>12950</v>
      </c>
      <c r="AJ200" s="47">
        <v>0</v>
      </c>
      <c r="AK200" s="47">
        <v>0</v>
      </c>
      <c r="AL200" s="47">
        <v>0</v>
      </c>
      <c r="AM200" s="47">
        <v>0</v>
      </c>
      <c r="AN200" s="47">
        <v>0</v>
      </c>
      <c r="AO200" s="47">
        <v>66550</v>
      </c>
      <c r="AP200" s="47">
        <v>62100</v>
      </c>
      <c r="AQ200" s="47">
        <v>79000</v>
      </c>
      <c r="AR200" s="47">
        <v>74450</v>
      </c>
      <c r="AS200" s="47"/>
      <c r="AT200" s="47"/>
      <c r="AU200" s="47"/>
      <c r="AV200" s="47"/>
      <c r="AW200" s="47"/>
      <c r="AX200" s="47"/>
      <c r="AY200" s="47"/>
      <c r="AZ200" s="47"/>
      <c r="BA200" s="47"/>
      <c r="BB200" s="47"/>
      <c r="BC200" s="47"/>
      <c r="BD200" s="47"/>
      <c r="BE200" s="47"/>
      <c r="BF200" s="47"/>
    </row>
    <row r="201" spans="1:58" hidden="1">
      <c r="A201" s="46" t="s">
        <v>281</v>
      </c>
      <c r="B201" s="46" t="s">
        <v>265</v>
      </c>
      <c r="C201" s="47">
        <v>28473</v>
      </c>
      <c r="D201" s="47">
        <v>26489</v>
      </c>
      <c r="E201" s="47">
        <v>27425</v>
      </c>
      <c r="F201" s="47">
        <v>37557</v>
      </c>
      <c r="G201" s="47">
        <v>28418</v>
      </c>
      <c r="H201" s="47">
        <v>28100</v>
      </c>
      <c r="I201" s="47">
        <v>25050</v>
      </c>
      <c r="J201" s="47">
        <v>25616</v>
      </c>
      <c r="K201" s="47">
        <v>29296</v>
      </c>
      <c r="L201" s="47">
        <v>34388</v>
      </c>
      <c r="M201" s="47">
        <v>43987</v>
      </c>
      <c r="N201" s="47">
        <v>36265</v>
      </c>
      <c r="O201" s="47">
        <v>39410</v>
      </c>
      <c r="P201" s="47">
        <v>39180</v>
      </c>
      <c r="Q201" s="85">
        <v>86.31</v>
      </c>
      <c r="R201" s="85">
        <v>93.23</v>
      </c>
      <c r="S201" s="85">
        <v>79.77</v>
      </c>
      <c r="T201" s="85">
        <v>85.59</v>
      </c>
      <c r="U201" s="85">
        <v>87.45</v>
      </c>
      <c r="V201" s="85">
        <v>85.88</v>
      </c>
      <c r="W201" s="85">
        <v>76.989999999999995</v>
      </c>
      <c r="X201" s="85">
        <v>93.2</v>
      </c>
      <c r="Y201" s="85">
        <v>90.1</v>
      </c>
      <c r="Z201" s="85">
        <v>81.47</v>
      </c>
      <c r="AA201" s="85">
        <v>79.27</v>
      </c>
      <c r="AB201" s="85">
        <v>92.83</v>
      </c>
      <c r="AC201" s="85">
        <v>69.23</v>
      </c>
      <c r="AD201" s="85">
        <v>96.9</v>
      </c>
      <c r="AE201" s="47">
        <v>2457499</v>
      </c>
      <c r="AF201" s="47">
        <v>2469579</v>
      </c>
      <c r="AG201" s="47">
        <v>2187829</v>
      </c>
      <c r="AH201" s="47">
        <v>3214330</v>
      </c>
      <c r="AI201" s="47">
        <v>2485170</v>
      </c>
      <c r="AJ201" s="47">
        <v>2413240</v>
      </c>
      <c r="AK201" s="47">
        <v>1928500</v>
      </c>
      <c r="AL201" s="47">
        <v>2387392</v>
      </c>
      <c r="AM201" s="47">
        <v>2639452</v>
      </c>
      <c r="AN201" s="47">
        <v>2801630</v>
      </c>
      <c r="AO201" s="47">
        <v>3486839</v>
      </c>
      <c r="AP201" s="47">
        <v>3366320</v>
      </c>
      <c r="AQ201" s="47">
        <v>2728390</v>
      </c>
      <c r="AR201" s="47">
        <v>3796350</v>
      </c>
      <c r="AS201" s="47"/>
      <c r="AT201" s="47"/>
      <c r="AU201" s="47"/>
      <c r="AV201" s="47"/>
      <c r="AW201" s="47"/>
      <c r="AX201" s="47"/>
      <c r="AY201" s="47"/>
      <c r="AZ201" s="47"/>
      <c r="BA201" s="47"/>
      <c r="BB201" s="47"/>
      <c r="BC201" s="47"/>
      <c r="BD201" s="47"/>
      <c r="BE201" s="47"/>
      <c r="BF201" s="47"/>
    </row>
    <row r="202" spans="1:58" hidden="1">
      <c r="A202" s="46" t="s">
        <v>281</v>
      </c>
      <c r="B202" s="46" t="s">
        <v>266</v>
      </c>
      <c r="C202" s="47">
        <v>13</v>
      </c>
      <c r="D202" s="47">
        <v>0</v>
      </c>
      <c r="E202" s="47">
        <v>0</v>
      </c>
      <c r="F202" s="47">
        <v>0</v>
      </c>
      <c r="G202" s="47">
        <v>0</v>
      </c>
      <c r="H202" s="47">
        <v>0</v>
      </c>
      <c r="I202" s="47">
        <v>0</v>
      </c>
      <c r="J202" s="47">
        <v>0</v>
      </c>
      <c r="K202" s="47">
        <v>0</v>
      </c>
      <c r="L202" s="47">
        <v>0</v>
      </c>
      <c r="M202" s="47">
        <v>0</v>
      </c>
      <c r="N202" s="47">
        <v>0</v>
      </c>
      <c r="O202" s="47">
        <v>0</v>
      </c>
      <c r="P202" s="47">
        <v>0</v>
      </c>
      <c r="Q202" s="85">
        <v>36.380000000000003</v>
      </c>
      <c r="R202" s="85"/>
      <c r="S202" s="85"/>
      <c r="T202" s="85"/>
      <c r="U202" s="85"/>
      <c r="V202" s="85"/>
      <c r="W202" s="85"/>
      <c r="X202" s="85"/>
      <c r="Y202" s="85"/>
      <c r="Z202" s="85"/>
      <c r="AA202" s="85"/>
      <c r="AB202" s="85"/>
      <c r="AC202" s="85"/>
      <c r="AD202" s="85"/>
      <c r="AE202" s="47">
        <v>473</v>
      </c>
      <c r="AF202" s="47">
        <v>0</v>
      </c>
      <c r="AG202" s="47">
        <v>0</v>
      </c>
      <c r="AH202" s="47">
        <v>0</v>
      </c>
      <c r="AI202" s="47">
        <v>0</v>
      </c>
      <c r="AJ202" s="47">
        <v>0</v>
      </c>
      <c r="AK202" s="47">
        <v>0</v>
      </c>
      <c r="AL202" s="47">
        <v>0</v>
      </c>
      <c r="AM202" s="47">
        <v>0</v>
      </c>
      <c r="AN202" s="47">
        <v>0</v>
      </c>
      <c r="AO202" s="47">
        <v>0</v>
      </c>
      <c r="AP202" s="47">
        <v>0</v>
      </c>
      <c r="AQ202" s="47">
        <v>0</v>
      </c>
      <c r="AR202" s="47">
        <v>0</v>
      </c>
      <c r="AS202" s="47"/>
      <c r="AT202" s="47"/>
      <c r="AU202" s="47"/>
      <c r="AV202" s="47"/>
      <c r="AW202" s="47"/>
      <c r="AX202" s="47"/>
      <c r="AY202" s="47"/>
      <c r="AZ202" s="47"/>
      <c r="BA202" s="47"/>
      <c r="BB202" s="47"/>
      <c r="BC202" s="47"/>
      <c r="BD202" s="47"/>
      <c r="BE202" s="47"/>
      <c r="BF202" s="47"/>
    </row>
    <row r="203" spans="1:58" hidden="1">
      <c r="A203" s="46" t="s">
        <v>281</v>
      </c>
      <c r="B203" s="46" t="s">
        <v>267</v>
      </c>
      <c r="C203" s="47">
        <v>28486</v>
      </c>
      <c r="D203" s="47">
        <v>26966</v>
      </c>
      <c r="E203" s="47">
        <v>27862</v>
      </c>
      <c r="F203" s="47">
        <v>37677</v>
      </c>
      <c r="G203" s="47">
        <v>28568</v>
      </c>
      <c r="H203" s="47">
        <v>28100</v>
      </c>
      <c r="I203" s="47">
        <v>25050</v>
      </c>
      <c r="J203" s="47">
        <v>25616</v>
      </c>
      <c r="K203" s="47">
        <v>29296</v>
      </c>
      <c r="L203" s="47">
        <v>34388</v>
      </c>
      <c r="M203" s="47">
        <v>44810</v>
      </c>
      <c r="N203" s="47">
        <v>36845</v>
      </c>
      <c r="O203" s="47">
        <v>40200</v>
      </c>
      <c r="P203" s="47">
        <v>39930</v>
      </c>
      <c r="Q203" s="85">
        <v>86.29</v>
      </c>
      <c r="R203" s="85">
        <v>93.28</v>
      </c>
      <c r="S203" s="85">
        <v>79.84</v>
      </c>
      <c r="T203" s="85">
        <v>85.64</v>
      </c>
      <c r="U203" s="85">
        <v>87.44</v>
      </c>
      <c r="V203" s="85">
        <v>85.88</v>
      </c>
      <c r="W203" s="85">
        <v>76.989999999999995</v>
      </c>
      <c r="X203" s="85">
        <v>93.2</v>
      </c>
      <c r="Y203" s="85">
        <v>90.1</v>
      </c>
      <c r="Z203" s="85">
        <v>81.47</v>
      </c>
      <c r="AA203" s="85">
        <v>79.3</v>
      </c>
      <c r="AB203" s="85">
        <v>93.05</v>
      </c>
      <c r="AC203" s="85">
        <v>69.84</v>
      </c>
      <c r="AD203" s="85">
        <v>96.94</v>
      </c>
      <c r="AE203" s="47">
        <v>2457972</v>
      </c>
      <c r="AF203" s="47">
        <v>2515376</v>
      </c>
      <c r="AG203" s="47">
        <v>2224537</v>
      </c>
      <c r="AH203" s="47">
        <v>3226750</v>
      </c>
      <c r="AI203" s="47">
        <v>2498120</v>
      </c>
      <c r="AJ203" s="47">
        <v>2413240</v>
      </c>
      <c r="AK203" s="47">
        <v>1928500</v>
      </c>
      <c r="AL203" s="47">
        <v>2387392</v>
      </c>
      <c r="AM203" s="47">
        <v>2639452</v>
      </c>
      <c r="AN203" s="47">
        <v>2801630</v>
      </c>
      <c r="AO203" s="47">
        <v>3553389</v>
      </c>
      <c r="AP203" s="47">
        <v>3428420</v>
      </c>
      <c r="AQ203" s="47">
        <v>2807390</v>
      </c>
      <c r="AR203" s="47">
        <v>3870800</v>
      </c>
      <c r="AS203" s="47"/>
      <c r="AT203" s="47"/>
      <c r="AU203" s="47"/>
      <c r="AV203" s="47"/>
      <c r="AW203" s="47"/>
      <c r="AX203" s="47"/>
      <c r="AY203" s="47"/>
      <c r="AZ203" s="47"/>
      <c r="BA203" s="47"/>
      <c r="BB203" s="47"/>
      <c r="BC203" s="47"/>
      <c r="BD203" s="47"/>
      <c r="BE203" s="47"/>
      <c r="BF203" s="47"/>
    </row>
    <row r="204" spans="1:58" hidden="1">
      <c r="A204" s="46" t="s">
        <v>281</v>
      </c>
      <c r="B204" s="46" t="s">
        <v>268</v>
      </c>
      <c r="C204" s="47">
        <v>58</v>
      </c>
      <c r="D204" s="47">
        <v>44</v>
      </c>
      <c r="E204" s="47">
        <v>50</v>
      </c>
      <c r="F204" s="47">
        <v>23</v>
      </c>
      <c r="G204" s="47">
        <v>19</v>
      </c>
      <c r="H204" s="47">
        <v>35</v>
      </c>
      <c r="I204" s="47">
        <v>43</v>
      </c>
      <c r="J204" s="47">
        <v>41</v>
      </c>
      <c r="K204" s="47">
        <v>53</v>
      </c>
      <c r="L204" s="47">
        <v>113</v>
      </c>
      <c r="M204" s="47">
        <v>233</v>
      </c>
      <c r="N204" s="47">
        <v>410</v>
      </c>
      <c r="O204" s="47">
        <v>257</v>
      </c>
      <c r="P204" s="47">
        <v>490</v>
      </c>
      <c r="Q204" s="85">
        <v>56.9</v>
      </c>
      <c r="R204" s="85">
        <v>60.41</v>
      </c>
      <c r="S204" s="85">
        <v>60</v>
      </c>
      <c r="T204" s="85">
        <v>60</v>
      </c>
      <c r="U204" s="85">
        <v>60</v>
      </c>
      <c r="V204" s="85">
        <v>60</v>
      </c>
      <c r="W204" s="85">
        <v>53.26</v>
      </c>
      <c r="X204" s="85">
        <v>60</v>
      </c>
      <c r="Y204" s="85">
        <v>60</v>
      </c>
      <c r="Z204" s="85">
        <v>45</v>
      </c>
      <c r="AA204" s="85">
        <v>45</v>
      </c>
      <c r="AB204" s="85">
        <v>52.37</v>
      </c>
      <c r="AC204" s="85">
        <v>40</v>
      </c>
      <c r="AD204" s="85">
        <v>49.1</v>
      </c>
      <c r="AE204" s="47">
        <v>3300</v>
      </c>
      <c r="AF204" s="47">
        <v>2658</v>
      </c>
      <c r="AG204" s="47">
        <v>3000</v>
      </c>
      <c r="AH204" s="47">
        <v>1380</v>
      </c>
      <c r="AI204" s="47">
        <v>1140</v>
      </c>
      <c r="AJ204" s="47">
        <v>2100</v>
      </c>
      <c r="AK204" s="47">
        <v>2290</v>
      </c>
      <c r="AL204" s="47">
        <v>2460</v>
      </c>
      <c r="AM204" s="47">
        <v>3180</v>
      </c>
      <c r="AN204" s="47">
        <v>5085</v>
      </c>
      <c r="AO204" s="47">
        <v>10485</v>
      </c>
      <c r="AP204" s="47">
        <v>21470</v>
      </c>
      <c r="AQ204" s="47">
        <v>10280</v>
      </c>
      <c r="AR204" s="47">
        <v>24060</v>
      </c>
      <c r="AS204" s="47"/>
      <c r="AT204" s="47"/>
      <c r="AU204" s="47"/>
      <c r="AV204" s="47"/>
      <c r="AW204" s="47"/>
      <c r="AX204" s="47"/>
      <c r="AY204" s="47"/>
      <c r="AZ204" s="47"/>
      <c r="BA204" s="47"/>
      <c r="BB204" s="47"/>
      <c r="BC204" s="47"/>
      <c r="BD204" s="47"/>
      <c r="BE204" s="47"/>
      <c r="BF204" s="47"/>
    </row>
    <row r="205" spans="1:58" hidden="1">
      <c r="A205" s="46" t="s">
        <v>281</v>
      </c>
      <c r="B205" s="46" t="s">
        <v>269</v>
      </c>
      <c r="C205" s="47">
        <v>11406</v>
      </c>
      <c r="D205" s="47">
        <v>11135</v>
      </c>
      <c r="E205" s="47">
        <v>11334</v>
      </c>
      <c r="F205" s="47">
        <v>9400</v>
      </c>
      <c r="G205" s="47">
        <v>9670</v>
      </c>
      <c r="H205" s="47">
        <v>8515</v>
      </c>
      <c r="I205" s="47">
        <v>7440</v>
      </c>
      <c r="J205" s="47">
        <v>6880</v>
      </c>
      <c r="K205" s="47">
        <v>6320</v>
      </c>
      <c r="L205" s="47">
        <v>6970</v>
      </c>
      <c r="M205" s="47">
        <v>5830</v>
      </c>
      <c r="N205" s="47">
        <v>8210</v>
      </c>
      <c r="O205" s="47">
        <v>7900</v>
      </c>
      <c r="P205" s="47">
        <v>7755</v>
      </c>
      <c r="Q205" s="85">
        <v>58.88</v>
      </c>
      <c r="R205" s="85">
        <v>58.92</v>
      </c>
      <c r="S205" s="85">
        <v>59.32</v>
      </c>
      <c r="T205" s="85">
        <v>56.84</v>
      </c>
      <c r="U205" s="85">
        <v>58.04</v>
      </c>
      <c r="V205" s="85">
        <v>60.81</v>
      </c>
      <c r="W205" s="85">
        <v>48.9</v>
      </c>
      <c r="X205" s="85">
        <v>58.82</v>
      </c>
      <c r="Y205" s="85">
        <v>47.23</v>
      </c>
      <c r="Z205" s="85">
        <v>60</v>
      </c>
      <c r="AA205" s="85">
        <v>55.1</v>
      </c>
      <c r="AB205" s="85">
        <v>53.03</v>
      </c>
      <c r="AC205" s="85">
        <v>60.72</v>
      </c>
      <c r="AD205" s="85">
        <v>58.48</v>
      </c>
      <c r="AE205" s="47">
        <v>671542</v>
      </c>
      <c r="AF205" s="47">
        <v>656044</v>
      </c>
      <c r="AG205" s="47">
        <v>672278</v>
      </c>
      <c r="AH205" s="47">
        <v>534300</v>
      </c>
      <c r="AI205" s="47">
        <v>561250</v>
      </c>
      <c r="AJ205" s="47">
        <v>517780</v>
      </c>
      <c r="AK205" s="47">
        <v>363800</v>
      </c>
      <c r="AL205" s="47">
        <v>404700</v>
      </c>
      <c r="AM205" s="47">
        <v>298480</v>
      </c>
      <c r="AN205" s="47">
        <v>418200</v>
      </c>
      <c r="AO205" s="47">
        <v>321220</v>
      </c>
      <c r="AP205" s="47">
        <v>435400</v>
      </c>
      <c r="AQ205" s="47">
        <v>479650</v>
      </c>
      <c r="AR205" s="47">
        <v>453475</v>
      </c>
      <c r="AS205" s="47"/>
      <c r="AT205" s="47"/>
      <c r="AU205" s="47"/>
      <c r="AV205" s="47"/>
      <c r="AW205" s="47"/>
      <c r="AX205" s="47"/>
      <c r="AY205" s="47"/>
      <c r="AZ205" s="47"/>
      <c r="BA205" s="47"/>
      <c r="BB205" s="47"/>
      <c r="BC205" s="47"/>
      <c r="BD205" s="47"/>
      <c r="BE205" s="47"/>
      <c r="BF205" s="47"/>
    </row>
    <row r="206" spans="1:58" hidden="1">
      <c r="A206" s="46" t="s">
        <v>281</v>
      </c>
      <c r="B206" s="46" t="s">
        <v>270</v>
      </c>
      <c r="C206" s="47">
        <v>91</v>
      </c>
      <c r="D206" s="47">
        <v>18</v>
      </c>
      <c r="E206" s="47">
        <v>23</v>
      </c>
      <c r="F206" s="47">
        <v>277</v>
      </c>
      <c r="G206" s="47">
        <v>296</v>
      </c>
      <c r="H206" s="47">
        <v>345</v>
      </c>
      <c r="I206" s="47">
        <v>270</v>
      </c>
      <c r="J206" s="47">
        <v>530</v>
      </c>
      <c r="K206" s="47">
        <v>430</v>
      </c>
      <c r="L206" s="47">
        <v>565</v>
      </c>
      <c r="M206" s="47">
        <v>790</v>
      </c>
      <c r="N206" s="47">
        <v>970</v>
      </c>
      <c r="O206" s="47">
        <v>1060</v>
      </c>
      <c r="P206" s="47">
        <v>1070</v>
      </c>
      <c r="Q206" s="85"/>
      <c r="R206" s="85"/>
      <c r="S206" s="85"/>
      <c r="T206" s="85"/>
      <c r="U206" s="85"/>
      <c r="V206" s="85"/>
      <c r="W206" s="85"/>
      <c r="X206" s="85"/>
      <c r="Y206" s="85"/>
      <c r="Z206" s="85"/>
      <c r="AA206" s="85"/>
      <c r="AB206" s="85"/>
      <c r="AC206" s="85"/>
      <c r="AD206" s="85"/>
      <c r="AE206" s="47">
        <v>5115</v>
      </c>
      <c r="AF206" s="47">
        <v>1080</v>
      </c>
      <c r="AG206" s="47">
        <v>1380</v>
      </c>
      <c r="AH206" s="47">
        <v>8035</v>
      </c>
      <c r="AI206" s="47">
        <v>11945</v>
      </c>
      <c r="AJ206" s="47">
        <v>19080</v>
      </c>
      <c r="AK206" s="47">
        <v>12900</v>
      </c>
      <c r="AL206" s="47">
        <v>24400</v>
      </c>
      <c r="AM206" s="47">
        <v>19150</v>
      </c>
      <c r="AN206" s="47">
        <v>22600</v>
      </c>
      <c r="AO206" s="47">
        <v>30020</v>
      </c>
      <c r="AP206" s="47">
        <v>38240</v>
      </c>
      <c r="AQ206" s="47">
        <v>45100</v>
      </c>
      <c r="AR206" s="47">
        <v>44530</v>
      </c>
      <c r="AS206" s="47"/>
      <c r="AT206" s="47"/>
      <c r="AU206" s="47"/>
      <c r="AV206" s="47"/>
      <c r="AW206" s="47"/>
      <c r="AX206" s="47"/>
      <c r="AY206" s="47"/>
      <c r="AZ206" s="47"/>
      <c r="BA206" s="47"/>
      <c r="BB206" s="47"/>
      <c r="BC206" s="47"/>
      <c r="BD206" s="47"/>
      <c r="BE206" s="47"/>
      <c r="BF206" s="47"/>
    </row>
    <row r="207" spans="1:58" hidden="1">
      <c r="A207" s="46" t="s">
        <v>281</v>
      </c>
      <c r="B207" s="46" t="s">
        <v>271</v>
      </c>
      <c r="C207" s="47">
        <v>1891</v>
      </c>
      <c r="D207" s="47">
        <v>2048</v>
      </c>
      <c r="E207" s="47">
        <v>2098</v>
      </c>
      <c r="F207" s="47">
        <v>2020</v>
      </c>
      <c r="G207" s="47">
        <v>1685</v>
      </c>
      <c r="H207" s="47">
        <v>1440</v>
      </c>
      <c r="I207" s="47">
        <v>1760</v>
      </c>
      <c r="J207" s="47">
        <v>2110</v>
      </c>
      <c r="K207" s="47">
        <v>3180</v>
      </c>
      <c r="L207" s="47">
        <v>4245</v>
      </c>
      <c r="M207" s="47">
        <v>4090</v>
      </c>
      <c r="N207" s="47">
        <v>5050</v>
      </c>
      <c r="O207" s="47">
        <v>4490</v>
      </c>
      <c r="P207" s="47">
        <v>4360</v>
      </c>
      <c r="Q207" s="85"/>
      <c r="R207" s="85"/>
      <c r="S207" s="85"/>
      <c r="T207" s="85"/>
      <c r="U207" s="85"/>
      <c r="V207" s="85"/>
      <c r="W207" s="85"/>
      <c r="X207" s="85"/>
      <c r="Y207" s="85"/>
      <c r="Z207" s="85"/>
      <c r="AA207" s="85"/>
      <c r="AB207" s="85"/>
      <c r="AC207" s="85"/>
      <c r="AD207" s="85"/>
      <c r="AE207" s="47">
        <v>86630</v>
      </c>
      <c r="AF207" s="47">
        <v>94415</v>
      </c>
      <c r="AG207" s="47">
        <v>97230</v>
      </c>
      <c r="AH207" s="47">
        <v>136080</v>
      </c>
      <c r="AI207" s="47">
        <v>108950</v>
      </c>
      <c r="AJ207" s="47">
        <v>81240</v>
      </c>
      <c r="AK207" s="47">
        <v>86790</v>
      </c>
      <c r="AL207" s="47">
        <v>106450</v>
      </c>
      <c r="AM207" s="47">
        <v>155350</v>
      </c>
      <c r="AN207" s="47">
        <v>169800</v>
      </c>
      <c r="AO207" s="47">
        <v>155420</v>
      </c>
      <c r="AP207" s="47">
        <v>197830</v>
      </c>
      <c r="AQ207" s="47">
        <v>191650</v>
      </c>
      <c r="AR207" s="47">
        <v>179350</v>
      </c>
      <c r="AS207" s="47"/>
      <c r="AT207" s="47"/>
      <c r="AU207" s="47"/>
      <c r="AV207" s="47"/>
      <c r="AW207" s="47"/>
      <c r="AX207" s="47"/>
      <c r="AY207" s="47"/>
      <c r="AZ207" s="47"/>
      <c r="BA207" s="47"/>
      <c r="BB207" s="47"/>
      <c r="BC207" s="47"/>
      <c r="BD207" s="47"/>
      <c r="BE207" s="47"/>
      <c r="BF207" s="47"/>
    </row>
    <row r="208" spans="1:58" hidden="1">
      <c r="A208" s="46" t="s">
        <v>281</v>
      </c>
      <c r="B208" s="46" t="s">
        <v>272</v>
      </c>
      <c r="C208" s="47">
        <v>606151</v>
      </c>
      <c r="D208" s="47">
        <v>612240</v>
      </c>
      <c r="E208" s="47">
        <v>624318</v>
      </c>
      <c r="F208" s="47">
        <v>624907</v>
      </c>
      <c r="G208" s="47">
        <v>644431</v>
      </c>
      <c r="H208" s="47">
        <v>649160</v>
      </c>
      <c r="I208" s="47">
        <v>654333</v>
      </c>
      <c r="J208" s="47">
        <v>632452</v>
      </c>
      <c r="K208" s="47">
        <v>627189</v>
      </c>
      <c r="L208" s="47">
        <v>645856</v>
      </c>
      <c r="M208" s="47">
        <v>621773</v>
      </c>
      <c r="N208" s="47">
        <v>655350</v>
      </c>
      <c r="O208" s="47">
        <v>638652</v>
      </c>
      <c r="P208" s="47">
        <v>630355</v>
      </c>
      <c r="Q208" s="85">
        <v>80.09</v>
      </c>
      <c r="R208" s="85">
        <v>78.37</v>
      </c>
      <c r="S208" s="85">
        <v>79.55</v>
      </c>
      <c r="T208" s="85">
        <v>80.400000000000006</v>
      </c>
      <c r="U208" s="85">
        <v>79.42</v>
      </c>
      <c r="V208" s="85">
        <v>86.72</v>
      </c>
      <c r="W208" s="85">
        <v>62.78</v>
      </c>
      <c r="X208" s="85">
        <v>81.7</v>
      </c>
      <c r="Y208" s="85">
        <v>75.3</v>
      </c>
      <c r="Z208" s="85">
        <v>85.78</v>
      </c>
      <c r="AA208" s="85">
        <v>72.069999999999993</v>
      </c>
      <c r="AB208" s="85">
        <v>76.45</v>
      </c>
      <c r="AC208" s="85">
        <v>83.07</v>
      </c>
      <c r="AD208" s="85">
        <v>83.29</v>
      </c>
      <c r="AE208" s="47">
        <v>48547524</v>
      </c>
      <c r="AF208" s="47">
        <v>47982534</v>
      </c>
      <c r="AG208" s="47">
        <v>49666019</v>
      </c>
      <c r="AH208" s="47">
        <v>50240315</v>
      </c>
      <c r="AI208" s="47">
        <v>51178137</v>
      </c>
      <c r="AJ208" s="47">
        <v>56295130</v>
      </c>
      <c r="AK208" s="47">
        <v>41081340</v>
      </c>
      <c r="AL208" s="47">
        <v>51671452</v>
      </c>
      <c r="AM208" s="47">
        <v>47225062</v>
      </c>
      <c r="AN208" s="47">
        <v>55399160</v>
      </c>
      <c r="AO208" s="47">
        <v>44809534</v>
      </c>
      <c r="AP208" s="47">
        <v>50104310</v>
      </c>
      <c r="AQ208" s="47">
        <v>53054430</v>
      </c>
      <c r="AR208" s="47">
        <v>52500509</v>
      </c>
      <c r="AS208" s="47"/>
      <c r="AT208" s="47"/>
      <c r="AU208" s="47"/>
      <c r="AV208" s="47"/>
      <c r="AW208" s="47"/>
      <c r="AX208" s="47"/>
      <c r="AY208" s="47"/>
      <c r="AZ208" s="47"/>
      <c r="BA208" s="47"/>
      <c r="BB208" s="47"/>
      <c r="BC208" s="47"/>
      <c r="BD208" s="47"/>
      <c r="BE208" s="47"/>
      <c r="BF208" s="47"/>
    </row>
    <row r="209" spans="1:58" hidden="1">
      <c r="A209" s="46" t="s">
        <v>281</v>
      </c>
      <c r="B209" s="46" t="s">
        <v>273</v>
      </c>
      <c r="C209" s="47">
        <v>0</v>
      </c>
      <c r="D209" s="47">
        <v>0</v>
      </c>
      <c r="E209" s="47">
        <v>0</v>
      </c>
      <c r="F209" s="47">
        <v>0</v>
      </c>
      <c r="G209" s="47">
        <v>0</v>
      </c>
      <c r="H209" s="47">
        <v>0</v>
      </c>
      <c r="I209" s="47">
        <v>0</v>
      </c>
      <c r="J209" s="47">
        <v>0</v>
      </c>
      <c r="K209" s="47">
        <v>0</v>
      </c>
      <c r="L209" s="47">
        <v>0</v>
      </c>
      <c r="M209" s="47">
        <v>0</v>
      </c>
      <c r="N209" s="47">
        <v>0</v>
      </c>
      <c r="O209" s="47">
        <v>0</v>
      </c>
      <c r="P209" s="47">
        <v>0</v>
      </c>
      <c r="Q209" s="85"/>
      <c r="R209" s="85"/>
      <c r="S209" s="85"/>
      <c r="T209" s="85"/>
      <c r="U209" s="85"/>
      <c r="V209" s="85"/>
      <c r="W209" s="85"/>
      <c r="X209" s="85"/>
      <c r="Y209" s="85"/>
      <c r="Z209" s="85"/>
      <c r="AA209" s="85"/>
      <c r="AB209" s="85"/>
      <c r="AC209" s="85"/>
      <c r="AD209" s="85"/>
      <c r="AE209" s="47">
        <v>0</v>
      </c>
      <c r="AF209" s="47">
        <v>0</v>
      </c>
      <c r="AG209" s="47">
        <v>0</v>
      </c>
      <c r="AH209" s="47">
        <v>0</v>
      </c>
      <c r="AI209" s="47">
        <v>0</v>
      </c>
      <c r="AJ209" s="47">
        <v>0</v>
      </c>
      <c r="AK209" s="47">
        <v>0</v>
      </c>
      <c r="AL209" s="47">
        <v>0</v>
      </c>
      <c r="AM209" s="47">
        <v>0</v>
      </c>
      <c r="AN209" s="47">
        <v>0</v>
      </c>
      <c r="AO209" s="47">
        <v>0</v>
      </c>
      <c r="AP209" s="47">
        <v>0</v>
      </c>
      <c r="AQ209" s="47">
        <v>0</v>
      </c>
      <c r="AR209" s="47">
        <v>0</v>
      </c>
      <c r="AS209" s="47"/>
      <c r="AT209" s="47"/>
      <c r="AU209" s="47"/>
      <c r="AV209" s="47"/>
      <c r="AW209" s="47"/>
      <c r="AX209" s="47"/>
      <c r="AY209" s="47"/>
      <c r="AZ209" s="47"/>
      <c r="BA209" s="47"/>
      <c r="BB209" s="47"/>
      <c r="BC209" s="47"/>
      <c r="BD209" s="47"/>
      <c r="BE209" s="47"/>
      <c r="BF209" s="47"/>
    </row>
    <row r="210" spans="1:58" hidden="1">
      <c r="A210" s="46" t="s">
        <v>281</v>
      </c>
      <c r="B210" s="46" t="s">
        <v>274</v>
      </c>
      <c r="C210" s="47">
        <v>0</v>
      </c>
      <c r="D210" s="47">
        <v>0</v>
      </c>
      <c r="E210" s="47">
        <v>0</v>
      </c>
      <c r="F210" s="47">
        <v>0</v>
      </c>
      <c r="G210" s="47">
        <v>0</v>
      </c>
      <c r="H210" s="47">
        <v>0</v>
      </c>
      <c r="I210" s="47">
        <v>0</v>
      </c>
      <c r="J210" s="47">
        <v>0</v>
      </c>
      <c r="K210" s="47">
        <v>0</v>
      </c>
      <c r="L210" s="47">
        <v>0</v>
      </c>
      <c r="M210" s="47">
        <v>0</v>
      </c>
      <c r="N210" s="47">
        <v>0</v>
      </c>
      <c r="O210" s="47">
        <v>0</v>
      </c>
      <c r="P210" s="47">
        <v>0</v>
      </c>
      <c r="Q210" s="85"/>
      <c r="R210" s="85"/>
      <c r="S210" s="85"/>
      <c r="T210" s="85"/>
      <c r="U210" s="85"/>
      <c r="V210" s="85"/>
      <c r="W210" s="85"/>
      <c r="X210" s="85"/>
      <c r="Y210" s="85"/>
      <c r="Z210" s="85"/>
      <c r="AA210" s="85"/>
      <c r="AB210" s="85"/>
      <c r="AC210" s="85"/>
      <c r="AD210" s="85"/>
      <c r="AE210" s="47">
        <v>0</v>
      </c>
      <c r="AF210" s="47">
        <v>0</v>
      </c>
      <c r="AG210" s="47">
        <v>0</v>
      </c>
      <c r="AH210" s="47">
        <v>0</v>
      </c>
      <c r="AI210" s="47">
        <v>0</v>
      </c>
      <c r="AJ210" s="47">
        <v>0</v>
      </c>
      <c r="AK210" s="47">
        <v>0</v>
      </c>
      <c r="AL210" s="47">
        <v>0</v>
      </c>
      <c r="AM210" s="47">
        <v>0</v>
      </c>
      <c r="AN210" s="47">
        <v>0</v>
      </c>
      <c r="AO210" s="47">
        <v>0</v>
      </c>
      <c r="AP210" s="47">
        <v>0</v>
      </c>
      <c r="AQ210" s="47">
        <v>0</v>
      </c>
      <c r="AR210" s="47">
        <v>0</v>
      </c>
      <c r="AS210" s="47"/>
      <c r="AT210" s="47"/>
      <c r="AU210" s="47"/>
      <c r="AV210" s="47"/>
      <c r="AW210" s="47"/>
      <c r="AX210" s="47"/>
      <c r="AY210" s="47"/>
      <c r="AZ210" s="47"/>
      <c r="BA210" s="47"/>
      <c r="BB210" s="47"/>
      <c r="BC210" s="47"/>
      <c r="BD210" s="47"/>
      <c r="BE210" s="47"/>
      <c r="BF210" s="47"/>
    </row>
    <row r="211" spans="1:58" hidden="1">
      <c r="A211" s="46" t="s">
        <v>281</v>
      </c>
      <c r="B211" s="46" t="s">
        <v>275</v>
      </c>
      <c r="C211" s="47">
        <v>0</v>
      </c>
      <c r="D211" s="47">
        <v>0</v>
      </c>
      <c r="E211" s="47">
        <v>0</v>
      </c>
      <c r="F211" s="47">
        <v>0</v>
      </c>
      <c r="G211" s="47">
        <v>0</v>
      </c>
      <c r="H211" s="47">
        <v>0</v>
      </c>
      <c r="I211" s="47">
        <v>0</v>
      </c>
      <c r="J211" s="47">
        <v>0</v>
      </c>
      <c r="K211" s="47">
        <v>0</v>
      </c>
      <c r="L211" s="47">
        <v>0</v>
      </c>
      <c r="M211" s="47">
        <v>0</v>
      </c>
      <c r="N211" s="47">
        <v>0</v>
      </c>
      <c r="O211" s="47">
        <v>0</v>
      </c>
      <c r="P211" s="47">
        <v>0</v>
      </c>
      <c r="Q211" s="85"/>
      <c r="R211" s="85"/>
      <c r="S211" s="85"/>
      <c r="T211" s="85"/>
      <c r="U211" s="85"/>
      <c r="V211" s="85"/>
      <c r="W211" s="85"/>
      <c r="X211" s="85"/>
      <c r="Y211" s="85"/>
      <c r="Z211" s="85"/>
      <c r="AA211" s="85"/>
      <c r="AB211" s="85"/>
      <c r="AC211" s="85"/>
      <c r="AD211" s="85"/>
      <c r="AE211" s="47">
        <v>0</v>
      </c>
      <c r="AF211" s="47">
        <v>0</v>
      </c>
      <c r="AG211" s="47">
        <v>0</v>
      </c>
      <c r="AH211" s="47">
        <v>0</v>
      </c>
      <c r="AI211" s="47">
        <v>0</v>
      </c>
      <c r="AJ211" s="47">
        <v>0</v>
      </c>
      <c r="AK211" s="47">
        <v>0</v>
      </c>
      <c r="AL211" s="47">
        <v>0</v>
      </c>
      <c r="AM211" s="47">
        <v>0</v>
      </c>
      <c r="AN211" s="47">
        <v>0</v>
      </c>
      <c r="AO211" s="47">
        <v>0</v>
      </c>
      <c r="AP211" s="47">
        <v>0</v>
      </c>
      <c r="AQ211" s="47">
        <v>0</v>
      </c>
      <c r="AR211" s="47">
        <v>0</v>
      </c>
      <c r="AS211" s="47"/>
      <c r="AT211" s="47"/>
      <c r="AU211" s="47"/>
      <c r="AV211" s="47"/>
      <c r="AW211" s="47"/>
      <c r="AX211" s="47"/>
      <c r="AY211" s="47"/>
      <c r="AZ211" s="47"/>
      <c r="BA211" s="47"/>
      <c r="BB211" s="47"/>
      <c r="BC211" s="47"/>
      <c r="BD211" s="47"/>
      <c r="BE211" s="47"/>
      <c r="BF211" s="47"/>
    </row>
    <row r="212" spans="1:58" hidden="1">
      <c r="A212" s="46" t="s">
        <v>281</v>
      </c>
      <c r="B212" s="46" t="s">
        <v>276</v>
      </c>
      <c r="C212" s="47">
        <v>606151</v>
      </c>
      <c r="D212" s="47">
        <v>612240</v>
      </c>
      <c r="E212" s="47">
        <v>624318</v>
      </c>
      <c r="F212" s="47">
        <v>624907</v>
      </c>
      <c r="G212" s="47">
        <v>644431</v>
      </c>
      <c r="H212" s="47">
        <v>649160</v>
      </c>
      <c r="I212" s="47">
        <v>654333</v>
      </c>
      <c r="J212" s="47">
        <v>632452</v>
      </c>
      <c r="K212" s="47">
        <v>627189</v>
      </c>
      <c r="L212" s="47">
        <v>645856</v>
      </c>
      <c r="M212" s="47">
        <v>621773</v>
      </c>
      <c r="N212" s="47">
        <v>655350</v>
      </c>
      <c r="O212" s="47">
        <v>638652</v>
      </c>
      <c r="P212" s="47">
        <v>630355</v>
      </c>
      <c r="Q212" s="85">
        <v>80.09</v>
      </c>
      <c r="R212" s="85">
        <v>78.37</v>
      </c>
      <c r="S212" s="85">
        <v>79.55</v>
      </c>
      <c r="T212" s="85">
        <v>80.400000000000006</v>
      </c>
      <c r="U212" s="85">
        <v>79.42</v>
      </c>
      <c r="V212" s="85">
        <v>86.72</v>
      </c>
      <c r="W212" s="85">
        <v>62.78</v>
      </c>
      <c r="X212" s="85">
        <v>81.7</v>
      </c>
      <c r="Y212" s="85">
        <v>75.3</v>
      </c>
      <c r="Z212" s="85">
        <v>85.78</v>
      </c>
      <c r="AA212" s="85">
        <v>72.069999999999993</v>
      </c>
      <c r="AB212" s="85">
        <v>76.45</v>
      </c>
      <c r="AC212" s="85">
        <v>83.07</v>
      </c>
      <c r="AD212" s="85">
        <v>83.29</v>
      </c>
      <c r="AE212" s="47">
        <v>48547524</v>
      </c>
      <c r="AF212" s="47">
        <v>47982534</v>
      </c>
      <c r="AG212" s="47">
        <v>49666019</v>
      </c>
      <c r="AH212" s="47">
        <v>50240315</v>
      </c>
      <c r="AI212" s="47">
        <v>51178137</v>
      </c>
      <c r="AJ212" s="47">
        <v>56295130</v>
      </c>
      <c r="AK212" s="47">
        <v>41081340</v>
      </c>
      <c r="AL212" s="47">
        <v>51671452</v>
      </c>
      <c r="AM212" s="47">
        <v>47225062</v>
      </c>
      <c r="AN212" s="47">
        <v>55399160</v>
      </c>
      <c r="AO212" s="47">
        <v>44809534</v>
      </c>
      <c r="AP212" s="47">
        <v>50104310</v>
      </c>
      <c r="AQ212" s="47">
        <v>53054430</v>
      </c>
      <c r="AR212" s="47">
        <v>52500509</v>
      </c>
      <c r="AS212" s="47"/>
      <c r="AT212" s="47"/>
      <c r="AU212" s="47"/>
      <c r="AV212" s="47"/>
      <c r="AW212" s="47"/>
      <c r="AX212" s="47"/>
      <c r="AY212" s="47"/>
      <c r="AZ212" s="47"/>
      <c r="BA212" s="47"/>
      <c r="BB212" s="47"/>
      <c r="BC212" s="47"/>
      <c r="BD212" s="47"/>
      <c r="BE212" s="47"/>
      <c r="BF212" s="47"/>
    </row>
    <row r="213" spans="1:58" hidden="1">
      <c r="A213" s="46" t="s">
        <v>281</v>
      </c>
      <c r="B213" s="46" t="s">
        <v>277</v>
      </c>
      <c r="C213" s="47">
        <v>0</v>
      </c>
      <c r="D213" s="47">
        <v>0</v>
      </c>
      <c r="E213" s="47">
        <v>0</v>
      </c>
      <c r="F213" s="47">
        <v>0</v>
      </c>
      <c r="G213" s="47">
        <v>0</v>
      </c>
      <c r="H213" s="47">
        <v>0</v>
      </c>
      <c r="I213" s="47">
        <v>0</v>
      </c>
      <c r="J213" s="47">
        <v>0</v>
      </c>
      <c r="K213" s="47">
        <v>0</v>
      </c>
      <c r="L213" s="47">
        <v>0</v>
      </c>
      <c r="M213" s="47">
        <v>0</v>
      </c>
      <c r="N213" s="47">
        <v>0</v>
      </c>
      <c r="O213" s="47">
        <v>0</v>
      </c>
      <c r="P213" s="47">
        <v>0</v>
      </c>
      <c r="Q213" s="85"/>
      <c r="R213" s="85"/>
      <c r="S213" s="85"/>
      <c r="T213" s="85"/>
      <c r="U213" s="85"/>
      <c r="V213" s="85"/>
      <c r="W213" s="85"/>
      <c r="X213" s="85"/>
      <c r="Y213" s="85"/>
      <c r="Z213" s="85"/>
      <c r="AA213" s="85"/>
      <c r="AB213" s="85"/>
      <c r="AC213" s="85"/>
      <c r="AD213" s="85"/>
      <c r="AE213" s="47">
        <v>19981580</v>
      </c>
      <c r="AF213" s="47">
        <v>19210950</v>
      </c>
      <c r="AG213" s="47">
        <v>19337000</v>
      </c>
      <c r="AH213" s="47">
        <v>19720000</v>
      </c>
      <c r="AI213" s="47">
        <v>20786000</v>
      </c>
      <c r="AJ213" s="47">
        <v>21040000</v>
      </c>
      <c r="AK213" s="47">
        <v>20300000</v>
      </c>
      <c r="AL213" s="47">
        <v>19545000</v>
      </c>
      <c r="AM213" s="47">
        <v>20180000</v>
      </c>
      <c r="AN213" s="47">
        <v>20610000</v>
      </c>
      <c r="AO213" s="47">
        <v>19400000</v>
      </c>
      <c r="AP213" s="47">
        <v>20550000</v>
      </c>
      <c r="AQ213" s="47">
        <v>20100000</v>
      </c>
      <c r="AR213" s="47">
        <v>20100000</v>
      </c>
      <c r="AS213" s="47"/>
      <c r="AT213" s="47"/>
      <c r="AU213" s="47"/>
      <c r="AV213" s="47"/>
      <c r="AW213" s="47"/>
      <c r="AX213" s="47"/>
      <c r="AY213" s="47"/>
      <c r="AZ213" s="47"/>
      <c r="BA213" s="47"/>
      <c r="BB213" s="47"/>
      <c r="BC213" s="47"/>
      <c r="BD213" s="47"/>
      <c r="BE213" s="47"/>
      <c r="BF213" s="47"/>
    </row>
    <row r="214" spans="1:58" hidden="1">
      <c r="A214" s="46" t="s">
        <v>281</v>
      </c>
      <c r="B214" s="46" t="s">
        <v>65</v>
      </c>
      <c r="C214" s="47">
        <v>122580</v>
      </c>
      <c r="D214" s="47">
        <v>130914</v>
      </c>
      <c r="E214" s="47">
        <v>139661</v>
      </c>
      <c r="F214" s="47">
        <v>142700</v>
      </c>
      <c r="G214" s="47">
        <v>137910</v>
      </c>
      <c r="H214" s="47">
        <v>132700</v>
      </c>
      <c r="I214" s="47">
        <v>134890</v>
      </c>
      <c r="J214" s="47">
        <v>131960</v>
      </c>
      <c r="K214" s="47">
        <v>135710</v>
      </c>
      <c r="L214" s="47">
        <v>122235</v>
      </c>
      <c r="M214" s="47">
        <v>120240</v>
      </c>
      <c r="N214" s="47">
        <v>120010</v>
      </c>
      <c r="O214" s="47">
        <v>122860</v>
      </c>
      <c r="P214" s="47">
        <v>129840</v>
      </c>
      <c r="Q214" s="85">
        <v>37.729999999999997</v>
      </c>
      <c r="R214" s="85">
        <v>41.64</v>
      </c>
      <c r="S214" s="85">
        <v>38.04</v>
      </c>
      <c r="T214" s="85">
        <v>34.65</v>
      </c>
      <c r="U214" s="85">
        <v>35.68</v>
      </c>
      <c r="V214" s="85">
        <v>40.31</v>
      </c>
      <c r="W214" s="85">
        <v>33.79</v>
      </c>
      <c r="X214" s="85">
        <v>40.65</v>
      </c>
      <c r="Y214" s="85">
        <v>32.78</v>
      </c>
      <c r="Z214" s="85">
        <v>34.86</v>
      </c>
      <c r="AA214" s="85">
        <v>29.43</v>
      </c>
      <c r="AB214" s="85">
        <v>36.11</v>
      </c>
      <c r="AC214" s="85">
        <v>41.88</v>
      </c>
      <c r="AD214" s="85">
        <v>34.78</v>
      </c>
      <c r="AE214" s="47">
        <v>4625094</v>
      </c>
      <c r="AF214" s="47">
        <v>5450963</v>
      </c>
      <c r="AG214" s="47">
        <v>5312118</v>
      </c>
      <c r="AH214" s="47">
        <v>4944400</v>
      </c>
      <c r="AI214" s="47">
        <v>4919990</v>
      </c>
      <c r="AJ214" s="47">
        <v>5348900</v>
      </c>
      <c r="AK214" s="47">
        <v>4557650</v>
      </c>
      <c r="AL214" s="47">
        <v>5364690</v>
      </c>
      <c r="AM214" s="47">
        <v>4447930</v>
      </c>
      <c r="AN214" s="47">
        <v>4261715</v>
      </c>
      <c r="AO214" s="47">
        <v>3539150</v>
      </c>
      <c r="AP214" s="47">
        <v>4333250</v>
      </c>
      <c r="AQ214" s="47">
        <v>5145170</v>
      </c>
      <c r="AR214" s="47">
        <v>4515340</v>
      </c>
      <c r="AS214" s="47"/>
      <c r="AT214" s="47"/>
      <c r="AU214" s="47"/>
      <c r="AV214" s="47"/>
      <c r="AW214" s="47"/>
      <c r="AX214" s="47"/>
      <c r="AY214" s="47"/>
      <c r="AZ214" s="47"/>
      <c r="BA214" s="47"/>
      <c r="BB214" s="47"/>
      <c r="BC214" s="47"/>
      <c r="BD214" s="47"/>
      <c r="BE214" s="47"/>
      <c r="BF214" s="47"/>
    </row>
    <row r="215" spans="1:58" hidden="1">
      <c r="A215" s="46" t="s">
        <v>281</v>
      </c>
      <c r="B215" s="46" t="s">
        <v>66</v>
      </c>
      <c r="C215" s="47">
        <v>637</v>
      </c>
      <c r="D215" s="47">
        <v>235</v>
      </c>
      <c r="E215" s="47">
        <v>175</v>
      </c>
      <c r="F215" s="47">
        <v>710</v>
      </c>
      <c r="G215" s="47">
        <v>270</v>
      </c>
      <c r="H215" s="47">
        <v>70</v>
      </c>
      <c r="I215" s="47">
        <v>20</v>
      </c>
      <c r="J215" s="47">
        <v>190</v>
      </c>
      <c r="K215" s="47">
        <v>80</v>
      </c>
      <c r="L215" s="47">
        <v>55</v>
      </c>
      <c r="M215" s="47">
        <v>60</v>
      </c>
      <c r="N215" s="47">
        <v>0</v>
      </c>
      <c r="O215" s="47">
        <v>0</v>
      </c>
      <c r="P215" s="47">
        <v>0</v>
      </c>
      <c r="Q215" s="85">
        <v>36.229999999999997</v>
      </c>
      <c r="R215" s="85">
        <v>35.74</v>
      </c>
      <c r="S215" s="85">
        <v>37.19</v>
      </c>
      <c r="T215" s="85">
        <v>33.31</v>
      </c>
      <c r="U215" s="85">
        <v>35.590000000000003</v>
      </c>
      <c r="V215" s="85">
        <v>34</v>
      </c>
      <c r="W215" s="85">
        <v>32</v>
      </c>
      <c r="X215" s="85">
        <v>37.630000000000003</v>
      </c>
      <c r="Y215" s="85">
        <v>30</v>
      </c>
      <c r="Z215" s="85">
        <v>35</v>
      </c>
      <c r="AA215" s="85">
        <v>30</v>
      </c>
      <c r="AB215" s="85"/>
      <c r="AC215" s="85"/>
      <c r="AD215" s="85"/>
      <c r="AE215" s="47">
        <v>23079</v>
      </c>
      <c r="AF215" s="47">
        <v>8400</v>
      </c>
      <c r="AG215" s="47">
        <v>6509</v>
      </c>
      <c r="AH215" s="47">
        <v>23650</v>
      </c>
      <c r="AI215" s="47">
        <v>9610</v>
      </c>
      <c r="AJ215" s="47">
        <v>2380</v>
      </c>
      <c r="AK215" s="47">
        <v>640</v>
      </c>
      <c r="AL215" s="47">
        <v>7150</v>
      </c>
      <c r="AM215" s="47">
        <v>2400</v>
      </c>
      <c r="AN215" s="47">
        <v>1925</v>
      </c>
      <c r="AO215" s="47">
        <v>1800</v>
      </c>
      <c r="AP215" s="47">
        <v>0</v>
      </c>
      <c r="AQ215" s="47">
        <v>0</v>
      </c>
      <c r="AR215" s="47">
        <v>0</v>
      </c>
      <c r="AS215" s="47"/>
      <c r="AT215" s="47"/>
      <c r="AU215" s="47"/>
      <c r="AV215" s="47"/>
      <c r="AW215" s="47"/>
      <c r="AX215" s="47"/>
      <c r="AY215" s="47"/>
      <c r="AZ215" s="47"/>
      <c r="BA215" s="47"/>
      <c r="BB215" s="47"/>
      <c r="BC215" s="47"/>
      <c r="BD215" s="47"/>
      <c r="BE215" s="47"/>
      <c r="BF215" s="47"/>
    </row>
    <row r="216" spans="1:58" hidden="1">
      <c r="A216" s="46" t="s">
        <v>281</v>
      </c>
      <c r="B216" s="46" t="s">
        <v>67</v>
      </c>
      <c r="C216" s="47">
        <v>123217</v>
      </c>
      <c r="D216" s="47">
        <v>131149</v>
      </c>
      <c r="E216" s="47">
        <v>139836</v>
      </c>
      <c r="F216" s="47">
        <v>143410</v>
      </c>
      <c r="G216" s="47">
        <v>138180</v>
      </c>
      <c r="H216" s="47">
        <v>132770</v>
      </c>
      <c r="I216" s="47">
        <v>134910</v>
      </c>
      <c r="J216" s="47">
        <v>132150</v>
      </c>
      <c r="K216" s="47">
        <v>135790</v>
      </c>
      <c r="L216" s="47">
        <v>122290</v>
      </c>
      <c r="M216" s="47">
        <v>120300</v>
      </c>
      <c r="N216" s="47">
        <v>120010</v>
      </c>
      <c r="O216" s="47">
        <v>122860</v>
      </c>
      <c r="P216" s="47">
        <v>129840</v>
      </c>
      <c r="Q216" s="85">
        <v>37.72</v>
      </c>
      <c r="R216" s="85">
        <v>41.63</v>
      </c>
      <c r="S216" s="85">
        <v>38.03</v>
      </c>
      <c r="T216" s="85">
        <v>34.64</v>
      </c>
      <c r="U216" s="85">
        <v>35.68</v>
      </c>
      <c r="V216" s="85">
        <v>40.299999999999997</v>
      </c>
      <c r="W216" s="85">
        <v>33.79</v>
      </c>
      <c r="X216" s="85">
        <v>40.65</v>
      </c>
      <c r="Y216" s="85">
        <v>32.770000000000003</v>
      </c>
      <c r="Z216" s="85">
        <v>34.86</v>
      </c>
      <c r="AA216" s="85">
        <v>29.43</v>
      </c>
      <c r="AB216" s="85">
        <v>36.11</v>
      </c>
      <c r="AC216" s="85">
        <v>41.88</v>
      </c>
      <c r="AD216" s="85">
        <v>34.78</v>
      </c>
      <c r="AE216" s="47">
        <v>4648173</v>
      </c>
      <c r="AF216" s="47">
        <v>5459363</v>
      </c>
      <c r="AG216" s="47">
        <v>5318627</v>
      </c>
      <c r="AH216" s="47">
        <v>4968050</v>
      </c>
      <c r="AI216" s="47">
        <v>4929600</v>
      </c>
      <c r="AJ216" s="47">
        <v>5351280</v>
      </c>
      <c r="AK216" s="47">
        <v>4558290</v>
      </c>
      <c r="AL216" s="47">
        <v>5371840</v>
      </c>
      <c r="AM216" s="47">
        <v>4450330</v>
      </c>
      <c r="AN216" s="47">
        <v>4263640</v>
      </c>
      <c r="AO216" s="47">
        <v>3540950</v>
      </c>
      <c r="AP216" s="47">
        <v>4333250</v>
      </c>
      <c r="AQ216" s="47">
        <v>5145170</v>
      </c>
      <c r="AR216" s="47">
        <v>4515340</v>
      </c>
      <c r="AS216" s="47"/>
      <c r="AT216" s="47"/>
      <c r="AU216" s="47"/>
      <c r="AV216" s="47"/>
      <c r="AW216" s="47"/>
      <c r="AX216" s="47"/>
      <c r="AY216" s="47"/>
      <c r="AZ216" s="47"/>
      <c r="BA216" s="47"/>
      <c r="BB216" s="47"/>
      <c r="BC216" s="47"/>
      <c r="BD216" s="47"/>
      <c r="BE216" s="47"/>
      <c r="BF216" s="47"/>
    </row>
    <row r="217" spans="1:58" hidden="1">
      <c r="A217" s="46" t="s">
        <v>281</v>
      </c>
      <c r="B217" s="46" t="s">
        <v>68</v>
      </c>
      <c r="C217" s="47">
        <v>1959</v>
      </c>
      <c r="D217" s="47">
        <v>1976</v>
      </c>
      <c r="E217" s="47">
        <v>1359</v>
      </c>
      <c r="F217" s="47">
        <v>1895</v>
      </c>
      <c r="G217" s="47">
        <v>861</v>
      </c>
      <c r="H217" s="47">
        <v>470</v>
      </c>
      <c r="I217" s="47">
        <v>380</v>
      </c>
      <c r="J217" s="47">
        <v>600</v>
      </c>
      <c r="K217" s="47">
        <v>655</v>
      </c>
      <c r="L217" s="47">
        <v>855</v>
      </c>
      <c r="M217" s="47">
        <v>2120</v>
      </c>
      <c r="N217" s="47">
        <v>3090</v>
      </c>
      <c r="O217" s="47">
        <v>5745</v>
      </c>
      <c r="P217" s="47">
        <v>6470</v>
      </c>
      <c r="Q217" s="85">
        <v>25.41</v>
      </c>
      <c r="R217" s="85">
        <v>30.16</v>
      </c>
      <c r="S217" s="85">
        <v>22.02</v>
      </c>
      <c r="T217" s="85">
        <v>27.26</v>
      </c>
      <c r="U217" s="85">
        <v>25.57</v>
      </c>
      <c r="V217" s="85">
        <v>27.3</v>
      </c>
      <c r="W217" s="85">
        <v>24</v>
      </c>
      <c r="X217" s="85">
        <v>27</v>
      </c>
      <c r="Y217" s="85">
        <v>25</v>
      </c>
      <c r="Z217" s="85">
        <v>25</v>
      </c>
      <c r="AA217" s="85">
        <v>22</v>
      </c>
      <c r="AB217" s="85">
        <v>27</v>
      </c>
      <c r="AC217" s="85">
        <v>30</v>
      </c>
      <c r="AD217" s="85">
        <v>30</v>
      </c>
      <c r="AE217" s="47">
        <v>49779</v>
      </c>
      <c r="AF217" s="47">
        <v>59600</v>
      </c>
      <c r="AG217" s="47">
        <v>29920</v>
      </c>
      <c r="AH217" s="47">
        <v>51650</v>
      </c>
      <c r="AI217" s="47">
        <v>22014</v>
      </c>
      <c r="AJ217" s="47">
        <v>12830</v>
      </c>
      <c r="AK217" s="47">
        <v>9120</v>
      </c>
      <c r="AL217" s="47">
        <v>16200</v>
      </c>
      <c r="AM217" s="47">
        <v>16375</v>
      </c>
      <c r="AN217" s="47">
        <v>21375</v>
      </c>
      <c r="AO217" s="47">
        <v>46640</v>
      </c>
      <c r="AP217" s="47">
        <v>83430</v>
      </c>
      <c r="AQ217" s="47">
        <v>172350</v>
      </c>
      <c r="AR217" s="47">
        <v>194100</v>
      </c>
      <c r="AS217" s="47"/>
      <c r="AT217" s="47"/>
      <c r="AU217" s="47"/>
      <c r="AV217" s="47"/>
      <c r="AW217" s="47"/>
      <c r="AX217" s="47"/>
      <c r="AY217" s="47"/>
      <c r="AZ217" s="47"/>
      <c r="BA217" s="47"/>
      <c r="BB217" s="47"/>
      <c r="BC217" s="47"/>
      <c r="BD217" s="47"/>
      <c r="BE217" s="47"/>
      <c r="BF217" s="47"/>
    </row>
    <row r="218" spans="1:58" hidden="1">
      <c r="A218" s="46" t="s">
        <v>281</v>
      </c>
      <c r="B218" s="46" t="s">
        <v>69</v>
      </c>
      <c r="C218" s="47">
        <v>0</v>
      </c>
      <c r="D218" s="47">
        <v>66</v>
      </c>
      <c r="E218" s="47">
        <v>0</v>
      </c>
      <c r="F218" s="47">
        <v>0</v>
      </c>
      <c r="G218" s="47">
        <v>0</v>
      </c>
      <c r="H218" s="47">
        <v>130</v>
      </c>
      <c r="I218" s="47">
        <v>90</v>
      </c>
      <c r="J218" s="47">
        <v>0</v>
      </c>
      <c r="K218" s="47">
        <v>65</v>
      </c>
      <c r="L218" s="47">
        <v>70</v>
      </c>
      <c r="M218" s="47">
        <v>265</v>
      </c>
      <c r="N218" s="47">
        <v>350</v>
      </c>
      <c r="O218" s="47">
        <v>265</v>
      </c>
      <c r="P218" s="47">
        <v>170</v>
      </c>
      <c r="Q218" s="85"/>
      <c r="R218" s="85">
        <v>30</v>
      </c>
      <c r="S218" s="85"/>
      <c r="T218" s="85"/>
      <c r="U218" s="85"/>
      <c r="V218" s="85">
        <v>25</v>
      </c>
      <c r="W218" s="85">
        <v>24</v>
      </c>
      <c r="X218" s="85"/>
      <c r="Y218" s="85">
        <v>25</v>
      </c>
      <c r="Z218" s="85">
        <v>25</v>
      </c>
      <c r="AA218" s="85">
        <v>22</v>
      </c>
      <c r="AB218" s="85">
        <v>27</v>
      </c>
      <c r="AC218" s="85">
        <v>30</v>
      </c>
      <c r="AD218" s="85">
        <v>25</v>
      </c>
      <c r="AE218" s="47">
        <v>0</v>
      </c>
      <c r="AF218" s="47">
        <v>1980</v>
      </c>
      <c r="AG218" s="47">
        <v>0</v>
      </c>
      <c r="AH218" s="47">
        <v>0</v>
      </c>
      <c r="AI218" s="47">
        <v>0</v>
      </c>
      <c r="AJ218" s="47">
        <v>3250</v>
      </c>
      <c r="AK218" s="47">
        <v>2160</v>
      </c>
      <c r="AL218" s="47">
        <v>0</v>
      </c>
      <c r="AM218" s="47">
        <v>1625</v>
      </c>
      <c r="AN218" s="47">
        <v>1750</v>
      </c>
      <c r="AO218" s="47">
        <v>5830</v>
      </c>
      <c r="AP218" s="47">
        <v>9450</v>
      </c>
      <c r="AQ218" s="47">
        <v>7950</v>
      </c>
      <c r="AR218" s="47">
        <v>4250</v>
      </c>
      <c r="AS218" s="47"/>
      <c r="AT218" s="47"/>
      <c r="AU218" s="47"/>
      <c r="AV218" s="47"/>
      <c r="AW218" s="47"/>
      <c r="AX218" s="47"/>
      <c r="AY218" s="47"/>
      <c r="AZ218" s="47"/>
      <c r="BA218" s="47"/>
      <c r="BB218" s="47"/>
      <c r="BC218" s="47"/>
      <c r="BD218" s="47"/>
      <c r="BE218" s="47"/>
      <c r="BF218" s="47"/>
    </row>
    <row r="219" spans="1:58" hidden="1">
      <c r="A219" s="46" t="s">
        <v>281</v>
      </c>
      <c r="B219" s="46" t="s">
        <v>70</v>
      </c>
      <c r="C219" s="47">
        <v>401</v>
      </c>
      <c r="D219" s="47">
        <v>389</v>
      </c>
      <c r="E219" s="47">
        <v>205</v>
      </c>
      <c r="F219" s="47">
        <v>166</v>
      </c>
      <c r="G219" s="47">
        <v>238</v>
      </c>
      <c r="H219" s="47">
        <v>170</v>
      </c>
      <c r="I219" s="47">
        <v>220</v>
      </c>
      <c r="J219" s="47">
        <v>395</v>
      </c>
      <c r="K219" s="47">
        <v>495</v>
      </c>
      <c r="L219" s="47">
        <v>385</v>
      </c>
      <c r="M219" s="47">
        <v>435</v>
      </c>
      <c r="N219" s="47">
        <v>480</v>
      </c>
      <c r="O219" s="47">
        <v>440</v>
      </c>
      <c r="P219" s="47">
        <v>325</v>
      </c>
      <c r="Q219" s="85">
        <v>27.78</v>
      </c>
      <c r="R219" s="85">
        <v>30</v>
      </c>
      <c r="S219" s="85">
        <v>29.15</v>
      </c>
      <c r="T219" s="85">
        <v>28.43</v>
      </c>
      <c r="U219" s="85">
        <v>27.1</v>
      </c>
      <c r="V219" s="85">
        <v>33.119999999999997</v>
      </c>
      <c r="W219" s="85">
        <v>28</v>
      </c>
      <c r="X219" s="85">
        <v>33.61</v>
      </c>
      <c r="Y219" s="85">
        <v>33.89</v>
      </c>
      <c r="Z219" s="85">
        <v>25</v>
      </c>
      <c r="AA219" s="85">
        <v>22</v>
      </c>
      <c r="AB219" s="85">
        <v>27</v>
      </c>
      <c r="AC219" s="85">
        <v>30</v>
      </c>
      <c r="AD219" s="85">
        <v>25</v>
      </c>
      <c r="AE219" s="47">
        <v>11140</v>
      </c>
      <c r="AF219" s="47">
        <v>11670</v>
      </c>
      <c r="AG219" s="47">
        <v>5975</v>
      </c>
      <c r="AH219" s="47">
        <v>4720</v>
      </c>
      <c r="AI219" s="47">
        <v>6450</v>
      </c>
      <c r="AJ219" s="47">
        <v>5630</v>
      </c>
      <c r="AK219" s="47">
        <v>6160</v>
      </c>
      <c r="AL219" s="47">
        <v>13275</v>
      </c>
      <c r="AM219" s="47">
        <v>16775</v>
      </c>
      <c r="AN219" s="47">
        <v>9625</v>
      </c>
      <c r="AO219" s="47">
        <v>9570</v>
      </c>
      <c r="AP219" s="47">
        <v>12960</v>
      </c>
      <c r="AQ219" s="47">
        <v>13200</v>
      </c>
      <c r="AR219" s="47">
        <v>8125</v>
      </c>
      <c r="AS219" s="47"/>
      <c r="AT219" s="47"/>
      <c r="AU219" s="47"/>
      <c r="AV219" s="47"/>
      <c r="AW219" s="47"/>
      <c r="AX219" s="47"/>
      <c r="AY219" s="47"/>
      <c r="AZ219" s="47"/>
      <c r="BA219" s="47"/>
      <c r="BB219" s="47"/>
      <c r="BC219" s="47"/>
      <c r="BD219" s="47"/>
      <c r="BE219" s="47"/>
      <c r="BF219" s="47"/>
    </row>
    <row r="220" spans="1:58" hidden="1">
      <c r="A220" s="46" t="s">
        <v>281</v>
      </c>
      <c r="B220" s="46" t="s">
        <v>71</v>
      </c>
      <c r="C220" s="47">
        <v>221</v>
      </c>
      <c r="D220" s="47">
        <v>76</v>
      </c>
      <c r="E220" s="47">
        <v>49</v>
      </c>
      <c r="F220" s="47">
        <v>169</v>
      </c>
      <c r="G220" s="47">
        <v>65</v>
      </c>
      <c r="H220" s="47">
        <v>145</v>
      </c>
      <c r="I220" s="47">
        <v>100</v>
      </c>
      <c r="J220" s="47">
        <v>115</v>
      </c>
      <c r="K220" s="47">
        <v>105</v>
      </c>
      <c r="L220" s="47">
        <v>115</v>
      </c>
      <c r="M220" s="47">
        <v>134</v>
      </c>
      <c r="N220" s="47">
        <v>110</v>
      </c>
      <c r="O220" s="47">
        <v>110</v>
      </c>
      <c r="P220" s="47">
        <v>85</v>
      </c>
      <c r="Q220" s="85"/>
      <c r="R220" s="85"/>
      <c r="S220" s="85"/>
      <c r="T220" s="85"/>
      <c r="U220" s="85"/>
      <c r="V220" s="85"/>
      <c r="W220" s="85"/>
      <c r="X220" s="85"/>
      <c r="Y220" s="85"/>
      <c r="Z220" s="85"/>
      <c r="AA220" s="85"/>
      <c r="AB220" s="85"/>
      <c r="AC220" s="85"/>
      <c r="AD220" s="85"/>
      <c r="AE220" s="47">
        <v>5382</v>
      </c>
      <c r="AF220" s="47">
        <v>2280</v>
      </c>
      <c r="AG220" s="47">
        <v>1245</v>
      </c>
      <c r="AH220" s="47">
        <v>4620</v>
      </c>
      <c r="AI220" s="47">
        <v>1800</v>
      </c>
      <c r="AJ220" s="47">
        <v>3965</v>
      </c>
      <c r="AK220" s="47">
        <v>2790</v>
      </c>
      <c r="AL220" s="47">
        <v>3975</v>
      </c>
      <c r="AM220" s="47">
        <v>3675</v>
      </c>
      <c r="AN220" s="47">
        <v>4025</v>
      </c>
      <c r="AO220" s="47">
        <v>4020</v>
      </c>
      <c r="AP220" s="47">
        <v>4070</v>
      </c>
      <c r="AQ220" s="47">
        <v>4620</v>
      </c>
      <c r="AR220" s="47">
        <v>3145</v>
      </c>
      <c r="AS220" s="47"/>
      <c r="AT220" s="47"/>
      <c r="AU220" s="47"/>
      <c r="AV220" s="47"/>
      <c r="AW220" s="47"/>
      <c r="AX220" s="47"/>
      <c r="AY220" s="47"/>
      <c r="AZ220" s="47"/>
      <c r="BA220" s="47"/>
      <c r="BB220" s="47"/>
      <c r="BC220" s="47"/>
      <c r="BD220" s="47"/>
      <c r="BE220" s="47"/>
      <c r="BF220" s="47"/>
    </row>
    <row r="221" spans="1:58" hidden="1">
      <c r="A221" s="46" t="s">
        <v>281</v>
      </c>
      <c r="B221" s="46" t="s">
        <v>72</v>
      </c>
      <c r="C221" s="47">
        <v>125798</v>
      </c>
      <c r="D221" s="47">
        <v>133656</v>
      </c>
      <c r="E221" s="47">
        <v>141449</v>
      </c>
      <c r="F221" s="47">
        <v>145640</v>
      </c>
      <c r="G221" s="47">
        <v>139344</v>
      </c>
      <c r="H221" s="47">
        <v>133685</v>
      </c>
      <c r="I221" s="47">
        <v>135700</v>
      </c>
      <c r="J221" s="47">
        <v>133260</v>
      </c>
      <c r="K221" s="47">
        <v>137110</v>
      </c>
      <c r="L221" s="47">
        <v>123715</v>
      </c>
      <c r="M221" s="47">
        <v>123254</v>
      </c>
      <c r="N221" s="47">
        <v>124040</v>
      </c>
      <c r="O221" s="47">
        <v>129420</v>
      </c>
      <c r="P221" s="47">
        <v>136890</v>
      </c>
      <c r="Q221" s="85">
        <v>37.479999999999997</v>
      </c>
      <c r="R221" s="85">
        <v>41.41</v>
      </c>
      <c r="S221" s="85">
        <v>37.86</v>
      </c>
      <c r="T221" s="85">
        <v>34.53</v>
      </c>
      <c r="U221" s="85">
        <v>35.590000000000003</v>
      </c>
      <c r="V221" s="85">
        <v>40.22</v>
      </c>
      <c r="W221" s="85">
        <v>33.74</v>
      </c>
      <c r="X221" s="85">
        <v>40.56</v>
      </c>
      <c r="Y221" s="85">
        <v>32.74</v>
      </c>
      <c r="Z221" s="85">
        <v>34.76</v>
      </c>
      <c r="AA221" s="85">
        <v>29.26</v>
      </c>
      <c r="AB221" s="85">
        <v>35.82</v>
      </c>
      <c r="AC221" s="85">
        <v>41.29</v>
      </c>
      <c r="AD221" s="85">
        <v>34.520000000000003</v>
      </c>
      <c r="AE221" s="47">
        <v>4714474</v>
      </c>
      <c r="AF221" s="47">
        <v>5534893</v>
      </c>
      <c r="AG221" s="47">
        <v>5355767</v>
      </c>
      <c r="AH221" s="47">
        <v>5029040</v>
      </c>
      <c r="AI221" s="47">
        <v>4959864</v>
      </c>
      <c r="AJ221" s="47">
        <v>5376955</v>
      </c>
      <c r="AK221" s="47">
        <v>4578520</v>
      </c>
      <c r="AL221" s="47">
        <v>5405290</v>
      </c>
      <c r="AM221" s="47">
        <v>4488780</v>
      </c>
      <c r="AN221" s="47">
        <v>4300415</v>
      </c>
      <c r="AO221" s="47">
        <v>3607010</v>
      </c>
      <c r="AP221" s="47">
        <v>4443160</v>
      </c>
      <c r="AQ221" s="47">
        <v>5343290</v>
      </c>
      <c r="AR221" s="47">
        <v>4724960</v>
      </c>
      <c r="AS221" s="47"/>
      <c r="AT221" s="47"/>
      <c r="AU221" s="47"/>
      <c r="AV221" s="47"/>
      <c r="AW221" s="47"/>
      <c r="AX221" s="47"/>
      <c r="AY221" s="47"/>
      <c r="AZ221" s="47"/>
      <c r="BA221" s="47"/>
      <c r="BB221" s="47"/>
      <c r="BC221" s="47"/>
      <c r="BD221" s="47"/>
      <c r="BE221" s="47"/>
      <c r="BF221" s="47"/>
    </row>
    <row r="222" spans="1:58" hidden="1">
      <c r="A222" s="46" t="s">
        <v>281</v>
      </c>
      <c r="B222" s="46" t="s">
        <v>73</v>
      </c>
      <c r="C222" s="47">
        <v>0</v>
      </c>
      <c r="D222" s="47">
        <v>0</v>
      </c>
      <c r="E222" s="47">
        <v>0</v>
      </c>
      <c r="F222" s="47">
        <v>0</v>
      </c>
      <c r="G222" s="47">
        <v>0</v>
      </c>
      <c r="H222" s="47">
        <v>0</v>
      </c>
      <c r="I222" s="47">
        <v>0</v>
      </c>
      <c r="J222" s="47">
        <v>0</v>
      </c>
      <c r="K222" s="47">
        <v>0</v>
      </c>
      <c r="L222" s="47">
        <v>0</v>
      </c>
      <c r="M222" s="47">
        <v>0</v>
      </c>
      <c r="N222" s="47">
        <v>0</v>
      </c>
      <c r="O222" s="47">
        <v>0</v>
      </c>
      <c r="P222" s="47">
        <v>0</v>
      </c>
      <c r="Q222" s="85"/>
      <c r="R222" s="85"/>
      <c r="S222" s="85"/>
      <c r="T222" s="85"/>
      <c r="U222" s="85"/>
      <c r="V222" s="85"/>
      <c r="W222" s="85"/>
      <c r="X222" s="85"/>
      <c r="Y222" s="85"/>
      <c r="Z222" s="85"/>
      <c r="AA222" s="85"/>
      <c r="AB222" s="85"/>
      <c r="AC222" s="85"/>
      <c r="AD222" s="85"/>
      <c r="AE222" s="47">
        <v>0</v>
      </c>
      <c r="AF222" s="47">
        <v>0</v>
      </c>
      <c r="AG222" s="47">
        <v>0</v>
      </c>
      <c r="AH222" s="47">
        <v>0</v>
      </c>
      <c r="AI222" s="47">
        <v>0</v>
      </c>
      <c r="AJ222" s="47">
        <v>0</v>
      </c>
      <c r="AK222" s="47">
        <v>0</v>
      </c>
      <c r="AL222" s="47">
        <v>0</v>
      </c>
      <c r="AM222" s="47">
        <v>0</v>
      </c>
      <c r="AN222" s="47">
        <v>0</v>
      </c>
      <c r="AO222" s="47">
        <v>0</v>
      </c>
      <c r="AP222" s="47">
        <v>0</v>
      </c>
      <c r="AQ222" s="47">
        <v>0</v>
      </c>
      <c r="AR222" s="47">
        <v>0</v>
      </c>
      <c r="AS222" s="47"/>
      <c r="AT222" s="47"/>
      <c r="AU222" s="47"/>
      <c r="AV222" s="47"/>
      <c r="AW222" s="47"/>
      <c r="AX222" s="47"/>
      <c r="AY222" s="47"/>
      <c r="AZ222" s="47"/>
      <c r="BA222" s="47"/>
      <c r="BB222" s="47"/>
      <c r="BC222" s="47"/>
      <c r="BD222" s="47"/>
      <c r="BE222" s="47"/>
      <c r="BF222" s="47"/>
    </row>
    <row r="223" spans="1:58" hidden="1">
      <c r="A223" s="46" t="s">
        <v>281</v>
      </c>
      <c r="B223" s="46" t="s">
        <v>74</v>
      </c>
      <c r="C223" s="47">
        <v>25423</v>
      </c>
      <c r="D223" s="47">
        <v>13635</v>
      </c>
      <c r="E223" s="47">
        <v>8641</v>
      </c>
      <c r="F223" s="47">
        <v>12130</v>
      </c>
      <c r="G223" s="47">
        <v>10802</v>
      </c>
      <c r="H223" s="47">
        <v>14330</v>
      </c>
      <c r="I223" s="47">
        <v>11240</v>
      </c>
      <c r="J223" s="47">
        <v>8195</v>
      </c>
      <c r="K223" s="47">
        <v>4620</v>
      </c>
      <c r="L223" s="47">
        <v>3805</v>
      </c>
      <c r="M223" s="47">
        <v>6490</v>
      </c>
      <c r="N223" s="47">
        <v>5470</v>
      </c>
      <c r="O223" s="47">
        <v>5640</v>
      </c>
      <c r="P223" s="47">
        <v>5950</v>
      </c>
      <c r="Q223" s="85">
        <v>33.03</v>
      </c>
      <c r="R223" s="85">
        <v>43.91</v>
      </c>
      <c r="S223" s="85">
        <v>53.03</v>
      </c>
      <c r="T223" s="85">
        <v>39.15</v>
      </c>
      <c r="U223" s="85">
        <v>50.44</v>
      </c>
      <c r="V223" s="85">
        <v>39.47</v>
      </c>
      <c r="W223" s="85">
        <v>37.979999999999997</v>
      </c>
      <c r="X223" s="85">
        <v>35.43</v>
      </c>
      <c r="Y223" s="85">
        <v>33.24</v>
      </c>
      <c r="Z223" s="85">
        <v>39.65</v>
      </c>
      <c r="AA223" s="85">
        <v>25.51</v>
      </c>
      <c r="AB223" s="85">
        <v>38.299999999999997</v>
      </c>
      <c r="AC223" s="85">
        <v>38.78</v>
      </c>
      <c r="AD223" s="85">
        <v>38.700000000000003</v>
      </c>
      <c r="AE223" s="47">
        <v>839845</v>
      </c>
      <c r="AF223" s="47">
        <v>598698</v>
      </c>
      <c r="AG223" s="47">
        <v>458235</v>
      </c>
      <c r="AH223" s="47">
        <v>474910</v>
      </c>
      <c r="AI223" s="47">
        <v>544856</v>
      </c>
      <c r="AJ223" s="47">
        <v>565650</v>
      </c>
      <c r="AK223" s="47">
        <v>426920</v>
      </c>
      <c r="AL223" s="47">
        <v>290325</v>
      </c>
      <c r="AM223" s="47">
        <v>153550</v>
      </c>
      <c r="AN223" s="47">
        <v>150860</v>
      </c>
      <c r="AO223" s="47">
        <v>165560</v>
      </c>
      <c r="AP223" s="47">
        <v>209510</v>
      </c>
      <c r="AQ223" s="47">
        <v>218700</v>
      </c>
      <c r="AR223" s="47">
        <v>230270</v>
      </c>
      <c r="AS223" s="47"/>
      <c r="AT223" s="47"/>
      <c r="AU223" s="47"/>
      <c r="AV223" s="47"/>
      <c r="AW223" s="47"/>
      <c r="AX223" s="47"/>
      <c r="AY223" s="47"/>
      <c r="AZ223" s="47"/>
      <c r="BA223" s="47"/>
      <c r="BB223" s="47"/>
      <c r="BC223" s="47"/>
      <c r="BD223" s="47"/>
      <c r="BE223" s="47"/>
      <c r="BF223" s="47"/>
    </row>
    <row r="224" spans="1:58" hidden="1">
      <c r="A224" s="46" t="s">
        <v>281</v>
      </c>
      <c r="B224" s="46" t="s">
        <v>75</v>
      </c>
      <c r="C224" s="47">
        <v>45</v>
      </c>
      <c r="D224" s="47">
        <v>44</v>
      </c>
      <c r="E224" s="47">
        <v>48</v>
      </c>
      <c r="F224" s="47">
        <v>55</v>
      </c>
      <c r="G224" s="47">
        <v>57</v>
      </c>
      <c r="H224" s="47">
        <v>59</v>
      </c>
      <c r="I224" s="47">
        <v>49</v>
      </c>
      <c r="J224" s="47">
        <v>60</v>
      </c>
      <c r="K224" s="47">
        <v>64</v>
      </c>
      <c r="L224" s="47">
        <v>64</v>
      </c>
      <c r="M224" s="47">
        <v>77</v>
      </c>
      <c r="N224" s="47">
        <v>74</v>
      </c>
      <c r="O224" s="47">
        <v>52</v>
      </c>
      <c r="P224" s="47">
        <v>61</v>
      </c>
      <c r="Q224" s="85">
        <v>21.91</v>
      </c>
      <c r="R224" s="85">
        <v>20.86</v>
      </c>
      <c r="S224" s="85">
        <v>20.21</v>
      </c>
      <c r="T224" s="85">
        <v>18.05</v>
      </c>
      <c r="U224" s="85">
        <v>18.579999999999998</v>
      </c>
      <c r="V224" s="85">
        <v>21.03</v>
      </c>
      <c r="W224" s="85">
        <v>20.76</v>
      </c>
      <c r="X224" s="85">
        <v>23.52</v>
      </c>
      <c r="Y224" s="85">
        <v>21.5</v>
      </c>
      <c r="Z224" s="85">
        <v>19.170000000000002</v>
      </c>
      <c r="AA224" s="85">
        <v>17.84</v>
      </c>
      <c r="AB224" s="85">
        <v>24.04</v>
      </c>
      <c r="AC224" s="85">
        <v>17.350000000000001</v>
      </c>
      <c r="AD224" s="85">
        <v>23.56</v>
      </c>
      <c r="AE224" s="47">
        <v>986</v>
      </c>
      <c r="AF224" s="47">
        <v>918</v>
      </c>
      <c r="AG224" s="47">
        <v>970</v>
      </c>
      <c r="AH224" s="47">
        <v>993</v>
      </c>
      <c r="AI224" s="47">
        <v>1059</v>
      </c>
      <c r="AJ224" s="47">
        <v>1241</v>
      </c>
      <c r="AK224" s="47">
        <v>1017</v>
      </c>
      <c r="AL224" s="47">
        <v>1411</v>
      </c>
      <c r="AM224" s="47">
        <v>1376</v>
      </c>
      <c r="AN224" s="47">
        <v>1227</v>
      </c>
      <c r="AO224" s="47">
        <v>1374</v>
      </c>
      <c r="AP224" s="47">
        <v>1779</v>
      </c>
      <c r="AQ224" s="47">
        <v>902</v>
      </c>
      <c r="AR224" s="47">
        <v>1437</v>
      </c>
      <c r="AS224" s="47"/>
      <c r="AT224" s="47"/>
      <c r="AU224" s="47"/>
      <c r="AV224" s="47"/>
      <c r="AW224" s="47"/>
      <c r="AX224" s="47"/>
      <c r="AY224" s="47"/>
      <c r="AZ224" s="47"/>
      <c r="BA224" s="47"/>
      <c r="BB224" s="47"/>
      <c r="BC224" s="47"/>
      <c r="BD224" s="47"/>
      <c r="BE224" s="47"/>
      <c r="BF224" s="47"/>
    </row>
    <row r="225" spans="1:58" hidden="1">
      <c r="A225" s="46" t="s">
        <v>281</v>
      </c>
      <c r="B225" s="46" t="s">
        <v>76</v>
      </c>
      <c r="C225" s="47">
        <v>0</v>
      </c>
      <c r="D225" s="47">
        <v>44</v>
      </c>
      <c r="E225" s="47">
        <v>86</v>
      </c>
      <c r="F225" s="47">
        <v>131</v>
      </c>
      <c r="G225" s="47">
        <v>173</v>
      </c>
      <c r="H225" s="47">
        <v>224</v>
      </c>
      <c r="I225" s="47">
        <v>274</v>
      </c>
      <c r="J225" s="47">
        <v>324</v>
      </c>
      <c r="K225" s="47">
        <v>375</v>
      </c>
      <c r="L225" s="47">
        <v>425</v>
      </c>
      <c r="M225" s="47">
        <v>481</v>
      </c>
      <c r="N225" s="47">
        <v>467</v>
      </c>
      <c r="O225" s="47">
        <v>388</v>
      </c>
      <c r="P225" s="47">
        <v>374</v>
      </c>
      <c r="Q225" s="85"/>
      <c r="R225" s="85">
        <v>17</v>
      </c>
      <c r="S225" s="85">
        <v>17</v>
      </c>
      <c r="T225" s="85">
        <v>16</v>
      </c>
      <c r="U225" s="85">
        <v>14</v>
      </c>
      <c r="V225" s="85">
        <v>13.01</v>
      </c>
      <c r="W225" s="85">
        <v>13.98</v>
      </c>
      <c r="X225" s="85">
        <v>13</v>
      </c>
      <c r="Y225" s="85">
        <v>14.02</v>
      </c>
      <c r="Z225" s="85">
        <v>13</v>
      </c>
      <c r="AA225" s="85">
        <v>8</v>
      </c>
      <c r="AB225" s="85">
        <v>6.59</v>
      </c>
      <c r="AC225" s="85">
        <v>9.86</v>
      </c>
      <c r="AD225" s="85">
        <v>11.53</v>
      </c>
      <c r="AE225" s="47">
        <v>0</v>
      </c>
      <c r="AF225" s="47">
        <v>748</v>
      </c>
      <c r="AG225" s="47">
        <v>1462</v>
      </c>
      <c r="AH225" s="47">
        <v>2096</v>
      </c>
      <c r="AI225" s="47">
        <v>2422</v>
      </c>
      <c r="AJ225" s="47">
        <v>2915</v>
      </c>
      <c r="AK225" s="47">
        <v>3830</v>
      </c>
      <c r="AL225" s="47">
        <v>4212</v>
      </c>
      <c r="AM225" s="47">
        <v>5256</v>
      </c>
      <c r="AN225" s="47">
        <v>5525</v>
      </c>
      <c r="AO225" s="47">
        <v>3848</v>
      </c>
      <c r="AP225" s="47">
        <v>3077</v>
      </c>
      <c r="AQ225" s="47">
        <v>3827</v>
      </c>
      <c r="AR225" s="47">
        <v>4314</v>
      </c>
      <c r="AS225" s="47"/>
      <c r="AT225" s="47"/>
      <c r="AU225" s="47"/>
      <c r="AV225" s="47"/>
      <c r="AW225" s="47"/>
      <c r="AX225" s="47"/>
      <c r="AY225" s="47"/>
      <c r="AZ225" s="47"/>
      <c r="BA225" s="47"/>
      <c r="BB225" s="47"/>
      <c r="BC225" s="47"/>
      <c r="BD225" s="47"/>
      <c r="BE225" s="47"/>
      <c r="BF225" s="47"/>
    </row>
    <row r="226" spans="1:58" hidden="1">
      <c r="A226" s="46" t="s">
        <v>281</v>
      </c>
      <c r="B226" s="46" t="s">
        <v>77</v>
      </c>
      <c r="C226" s="47">
        <v>18854</v>
      </c>
      <c r="D226" s="47">
        <v>14194</v>
      </c>
      <c r="E226" s="47">
        <v>10166</v>
      </c>
      <c r="F226" s="47">
        <v>10346</v>
      </c>
      <c r="G226" s="47">
        <v>8789</v>
      </c>
      <c r="H226" s="47">
        <v>11156</v>
      </c>
      <c r="I226" s="47">
        <v>13914</v>
      </c>
      <c r="J226" s="47">
        <v>15240</v>
      </c>
      <c r="K226" s="47">
        <v>11686</v>
      </c>
      <c r="L226" s="47">
        <v>8522</v>
      </c>
      <c r="M226" s="47">
        <v>11110</v>
      </c>
      <c r="N226" s="47">
        <v>10095</v>
      </c>
      <c r="O226" s="47">
        <v>7970</v>
      </c>
      <c r="P226" s="47">
        <v>9930</v>
      </c>
      <c r="Q226" s="85">
        <v>50.25</v>
      </c>
      <c r="R226" s="85">
        <v>48.89</v>
      </c>
      <c r="S226" s="85">
        <v>47.21</v>
      </c>
      <c r="T226" s="85">
        <v>41.83</v>
      </c>
      <c r="U226" s="85">
        <v>43.07</v>
      </c>
      <c r="V226" s="85">
        <v>43.69</v>
      </c>
      <c r="W226" s="85">
        <v>32.880000000000003</v>
      </c>
      <c r="X226" s="85">
        <v>39.18</v>
      </c>
      <c r="Y226" s="85">
        <v>34.17</v>
      </c>
      <c r="Z226" s="85">
        <v>42.08</v>
      </c>
      <c r="AA226" s="85">
        <v>29.75</v>
      </c>
      <c r="AB226" s="85">
        <v>29.32</v>
      </c>
      <c r="AC226" s="85">
        <v>35.57</v>
      </c>
      <c r="AD226" s="85">
        <v>39.04</v>
      </c>
      <c r="AE226" s="47">
        <v>947481</v>
      </c>
      <c r="AF226" s="47">
        <v>693924</v>
      </c>
      <c r="AG226" s="47">
        <v>479939</v>
      </c>
      <c r="AH226" s="47">
        <v>432771</v>
      </c>
      <c r="AI226" s="47">
        <v>378528</v>
      </c>
      <c r="AJ226" s="47">
        <v>487358</v>
      </c>
      <c r="AK226" s="47">
        <v>457477</v>
      </c>
      <c r="AL226" s="47">
        <v>597112</v>
      </c>
      <c r="AM226" s="47">
        <v>399261</v>
      </c>
      <c r="AN226" s="47">
        <v>358607</v>
      </c>
      <c r="AO226" s="47">
        <v>330540</v>
      </c>
      <c r="AP226" s="47">
        <v>295950</v>
      </c>
      <c r="AQ226" s="47">
        <v>283460</v>
      </c>
      <c r="AR226" s="47">
        <v>387630</v>
      </c>
      <c r="AS226" s="47"/>
      <c r="AT226" s="47"/>
      <c r="AU226" s="47"/>
      <c r="AV226" s="47"/>
      <c r="AW226" s="47"/>
      <c r="AX226" s="47"/>
      <c r="AY226" s="47"/>
      <c r="AZ226" s="47"/>
      <c r="BA226" s="47"/>
      <c r="BB226" s="47"/>
      <c r="BC226" s="47"/>
      <c r="BD226" s="47"/>
      <c r="BE226" s="47"/>
      <c r="BF226" s="47"/>
    </row>
    <row r="227" spans="1:58" hidden="1">
      <c r="A227" s="46" t="s">
        <v>281</v>
      </c>
      <c r="B227" s="46" t="s">
        <v>78</v>
      </c>
      <c r="C227" s="47">
        <v>4344</v>
      </c>
      <c r="D227" s="47">
        <v>3498</v>
      </c>
      <c r="E227" s="47">
        <v>2458</v>
      </c>
      <c r="F227" s="47">
        <v>2354</v>
      </c>
      <c r="G227" s="47">
        <v>2227</v>
      </c>
      <c r="H227" s="47">
        <v>3164</v>
      </c>
      <c r="I227" s="47">
        <v>4226</v>
      </c>
      <c r="J227" s="47">
        <v>4900</v>
      </c>
      <c r="K227" s="47">
        <v>3844</v>
      </c>
      <c r="L227" s="47">
        <v>3098</v>
      </c>
      <c r="M227" s="47">
        <v>3740</v>
      </c>
      <c r="N227" s="47">
        <v>4130</v>
      </c>
      <c r="O227" s="47">
        <v>4330</v>
      </c>
      <c r="P227" s="47">
        <v>4200</v>
      </c>
      <c r="Q227" s="85">
        <v>49.95</v>
      </c>
      <c r="R227" s="85">
        <v>48.33</v>
      </c>
      <c r="S227" s="85">
        <v>45.28</v>
      </c>
      <c r="T227" s="85">
        <v>40.369999999999997</v>
      </c>
      <c r="U227" s="85">
        <v>42.95</v>
      </c>
      <c r="V227" s="85">
        <v>42.32</v>
      </c>
      <c r="W227" s="85">
        <v>33.700000000000003</v>
      </c>
      <c r="X227" s="85">
        <v>39.71</v>
      </c>
      <c r="Y227" s="85">
        <v>33.47</v>
      </c>
      <c r="Z227" s="85">
        <v>42.43</v>
      </c>
      <c r="AA227" s="85">
        <v>32.159999999999997</v>
      </c>
      <c r="AB227" s="85">
        <v>30.95</v>
      </c>
      <c r="AC227" s="85">
        <v>36.35</v>
      </c>
      <c r="AD227" s="85">
        <v>39.770000000000003</v>
      </c>
      <c r="AE227" s="47">
        <v>216995</v>
      </c>
      <c r="AF227" s="47">
        <v>169067</v>
      </c>
      <c r="AG227" s="47">
        <v>111303</v>
      </c>
      <c r="AH227" s="47">
        <v>95029</v>
      </c>
      <c r="AI227" s="47">
        <v>95652</v>
      </c>
      <c r="AJ227" s="47">
        <v>133902</v>
      </c>
      <c r="AK227" s="47">
        <v>142403</v>
      </c>
      <c r="AL227" s="47">
        <v>194588</v>
      </c>
      <c r="AM227" s="47">
        <v>128659</v>
      </c>
      <c r="AN227" s="47">
        <v>131433</v>
      </c>
      <c r="AO227" s="47">
        <v>120280</v>
      </c>
      <c r="AP227" s="47">
        <v>127810</v>
      </c>
      <c r="AQ227" s="47">
        <v>157400</v>
      </c>
      <c r="AR227" s="47">
        <v>167050</v>
      </c>
      <c r="AS227" s="47"/>
      <c r="AT227" s="47"/>
      <c r="AU227" s="47"/>
      <c r="AV227" s="47"/>
      <c r="AW227" s="47"/>
      <c r="AX227" s="47"/>
      <c r="AY227" s="47"/>
      <c r="AZ227" s="47"/>
      <c r="BA227" s="47"/>
      <c r="BB227" s="47"/>
      <c r="BC227" s="47"/>
      <c r="BD227" s="47"/>
      <c r="BE227" s="47"/>
      <c r="BF227" s="47"/>
    </row>
    <row r="228" spans="1:58" hidden="1">
      <c r="A228" s="46" t="s">
        <v>281</v>
      </c>
      <c r="B228" s="46" t="s">
        <v>79</v>
      </c>
      <c r="C228" s="47">
        <v>0</v>
      </c>
      <c r="D228" s="47">
        <v>21</v>
      </c>
      <c r="E228" s="47">
        <v>42</v>
      </c>
      <c r="F228" s="47">
        <v>63</v>
      </c>
      <c r="G228" s="47">
        <v>84</v>
      </c>
      <c r="H228" s="47">
        <v>105</v>
      </c>
      <c r="I228" s="47">
        <v>141</v>
      </c>
      <c r="J228" s="47">
        <v>177</v>
      </c>
      <c r="K228" s="47">
        <v>223</v>
      </c>
      <c r="L228" s="47">
        <v>267</v>
      </c>
      <c r="M228" s="47">
        <v>346</v>
      </c>
      <c r="N228" s="47">
        <v>277</v>
      </c>
      <c r="O228" s="47">
        <v>259</v>
      </c>
      <c r="P228" s="47">
        <v>391</v>
      </c>
      <c r="Q228" s="85"/>
      <c r="R228" s="85">
        <v>18</v>
      </c>
      <c r="S228" s="85">
        <v>17</v>
      </c>
      <c r="T228" s="85">
        <v>18</v>
      </c>
      <c r="U228" s="85">
        <v>18</v>
      </c>
      <c r="V228" s="85">
        <v>18</v>
      </c>
      <c r="W228" s="85">
        <v>18.11</v>
      </c>
      <c r="X228" s="85">
        <v>17</v>
      </c>
      <c r="Y228" s="85">
        <v>13.08</v>
      </c>
      <c r="Z228" s="85">
        <v>15.32</v>
      </c>
      <c r="AA228" s="85">
        <v>25.92</v>
      </c>
      <c r="AB228" s="85">
        <v>21.05</v>
      </c>
      <c r="AC228" s="85">
        <v>19.75</v>
      </c>
      <c r="AD228" s="85">
        <v>26.02</v>
      </c>
      <c r="AE228" s="47">
        <v>0</v>
      </c>
      <c r="AF228" s="47">
        <v>378</v>
      </c>
      <c r="AG228" s="47">
        <v>714</v>
      </c>
      <c r="AH228" s="47">
        <v>1134</v>
      </c>
      <c r="AI228" s="47">
        <v>1512</v>
      </c>
      <c r="AJ228" s="47">
        <v>1890</v>
      </c>
      <c r="AK228" s="47">
        <v>2553</v>
      </c>
      <c r="AL228" s="47">
        <v>3009</v>
      </c>
      <c r="AM228" s="47">
        <v>2917</v>
      </c>
      <c r="AN228" s="47">
        <v>4090</v>
      </c>
      <c r="AO228" s="47">
        <v>8970</v>
      </c>
      <c r="AP228" s="47">
        <v>5831</v>
      </c>
      <c r="AQ228" s="47">
        <v>5116</v>
      </c>
      <c r="AR228" s="47">
        <v>10174</v>
      </c>
      <c r="AS228" s="47"/>
      <c r="AT228" s="47"/>
      <c r="AU228" s="47"/>
      <c r="AV228" s="47"/>
      <c r="AW228" s="47"/>
      <c r="AX228" s="47"/>
      <c r="AY228" s="47"/>
      <c r="AZ228" s="47"/>
      <c r="BA228" s="47"/>
      <c r="BB228" s="47"/>
      <c r="BC228" s="47"/>
      <c r="BD228" s="47"/>
      <c r="BE228" s="47"/>
      <c r="BF228" s="47"/>
    </row>
    <row r="229" spans="1:58" hidden="1">
      <c r="A229" s="46" t="s">
        <v>281</v>
      </c>
      <c r="B229" s="46" t="s">
        <v>80</v>
      </c>
      <c r="C229" s="47">
        <v>162</v>
      </c>
      <c r="D229" s="47">
        <v>101</v>
      </c>
      <c r="E229" s="47">
        <v>97</v>
      </c>
      <c r="F229" s="47">
        <v>93</v>
      </c>
      <c r="G229" s="47">
        <v>123</v>
      </c>
      <c r="H229" s="47">
        <v>90</v>
      </c>
      <c r="I229" s="47">
        <v>70</v>
      </c>
      <c r="J229" s="47">
        <v>100</v>
      </c>
      <c r="K229" s="47">
        <v>60</v>
      </c>
      <c r="L229" s="47">
        <v>115</v>
      </c>
      <c r="M229" s="47">
        <v>180</v>
      </c>
      <c r="N229" s="47">
        <v>380</v>
      </c>
      <c r="O229" s="47">
        <v>185</v>
      </c>
      <c r="P229" s="47">
        <v>230</v>
      </c>
      <c r="Q229" s="85">
        <v>30.25</v>
      </c>
      <c r="R229" s="85">
        <v>31.98</v>
      </c>
      <c r="S229" s="85">
        <v>28.66</v>
      </c>
      <c r="T229" s="85">
        <v>27.74</v>
      </c>
      <c r="U229" s="85">
        <v>29.27</v>
      </c>
      <c r="V229" s="85">
        <v>29.33</v>
      </c>
      <c r="W229" s="85">
        <v>27.29</v>
      </c>
      <c r="X229" s="85">
        <v>34.5</v>
      </c>
      <c r="Y229" s="85">
        <v>34.17</v>
      </c>
      <c r="Z229" s="85">
        <v>31.74</v>
      </c>
      <c r="AA229" s="85">
        <v>28.89</v>
      </c>
      <c r="AB229" s="85">
        <v>29.11</v>
      </c>
      <c r="AC229" s="85">
        <v>30.3</v>
      </c>
      <c r="AD229" s="85">
        <v>29.96</v>
      </c>
      <c r="AE229" s="47">
        <v>4900</v>
      </c>
      <c r="AF229" s="47">
        <v>3230</v>
      </c>
      <c r="AG229" s="47">
        <v>2780</v>
      </c>
      <c r="AH229" s="47">
        <v>2580</v>
      </c>
      <c r="AI229" s="47">
        <v>3600</v>
      </c>
      <c r="AJ229" s="47">
        <v>2640</v>
      </c>
      <c r="AK229" s="47">
        <v>1910</v>
      </c>
      <c r="AL229" s="47">
        <v>3450</v>
      </c>
      <c r="AM229" s="47">
        <v>2050</v>
      </c>
      <c r="AN229" s="47">
        <v>3650</v>
      </c>
      <c r="AO229" s="47">
        <v>5200</v>
      </c>
      <c r="AP229" s="47">
        <v>11060</v>
      </c>
      <c r="AQ229" s="47">
        <v>5605</v>
      </c>
      <c r="AR229" s="47">
        <v>6890</v>
      </c>
      <c r="AS229" s="47"/>
      <c r="AT229" s="47"/>
      <c r="AU229" s="47"/>
      <c r="AV229" s="47"/>
      <c r="AW229" s="47"/>
      <c r="AX229" s="47"/>
      <c r="AY229" s="47"/>
      <c r="AZ229" s="47"/>
      <c r="BA229" s="47"/>
      <c r="BB229" s="47"/>
      <c r="BC229" s="47"/>
      <c r="BD229" s="47"/>
      <c r="BE229" s="47"/>
      <c r="BF229" s="47"/>
    </row>
    <row r="230" spans="1:58" hidden="1">
      <c r="A230" s="46" t="s">
        <v>281</v>
      </c>
      <c r="B230" s="46" t="s">
        <v>81</v>
      </c>
      <c r="C230" s="47">
        <v>0</v>
      </c>
      <c r="D230" s="47">
        <v>0</v>
      </c>
      <c r="E230" s="47">
        <v>0</v>
      </c>
      <c r="F230" s="47">
        <v>0</v>
      </c>
      <c r="G230" s="47">
        <v>0</v>
      </c>
      <c r="H230" s="47">
        <v>0</v>
      </c>
      <c r="I230" s="47">
        <v>0</v>
      </c>
      <c r="J230" s="47">
        <v>0</v>
      </c>
      <c r="K230" s="47">
        <v>0</v>
      </c>
      <c r="L230" s="47">
        <v>0</v>
      </c>
      <c r="M230" s="47">
        <v>23</v>
      </c>
      <c r="N230" s="47">
        <v>0</v>
      </c>
      <c r="O230" s="47">
        <v>0</v>
      </c>
      <c r="P230" s="47">
        <v>20</v>
      </c>
      <c r="Q230" s="85"/>
      <c r="R230" s="85"/>
      <c r="S230" s="85"/>
      <c r="T230" s="85"/>
      <c r="U230" s="85"/>
      <c r="V230" s="85"/>
      <c r="W230" s="85"/>
      <c r="X230" s="85"/>
      <c r="Y230" s="85"/>
      <c r="Z230" s="85"/>
      <c r="AA230" s="85"/>
      <c r="AB230" s="85"/>
      <c r="AC230" s="85"/>
      <c r="AD230" s="85"/>
      <c r="AE230" s="47">
        <v>0</v>
      </c>
      <c r="AF230" s="47">
        <v>0</v>
      </c>
      <c r="AG230" s="47">
        <v>0</v>
      </c>
      <c r="AH230" s="47">
        <v>0</v>
      </c>
      <c r="AI230" s="47">
        <v>0</v>
      </c>
      <c r="AJ230" s="47">
        <v>0</v>
      </c>
      <c r="AK230" s="47">
        <v>0</v>
      </c>
      <c r="AL230" s="47">
        <v>0</v>
      </c>
      <c r="AM230" s="47">
        <v>0</v>
      </c>
      <c r="AN230" s="47">
        <v>0</v>
      </c>
      <c r="AO230" s="47">
        <v>720</v>
      </c>
      <c r="AP230" s="47">
        <v>0</v>
      </c>
      <c r="AQ230" s="47">
        <v>0</v>
      </c>
      <c r="AR230" s="47">
        <v>600</v>
      </c>
      <c r="AS230" s="47"/>
      <c r="AT230" s="47"/>
      <c r="AU230" s="47"/>
      <c r="AV230" s="47"/>
      <c r="AW230" s="47"/>
      <c r="AX230" s="47"/>
      <c r="AY230" s="47"/>
      <c r="AZ230" s="47"/>
      <c r="BA230" s="47"/>
      <c r="BB230" s="47"/>
      <c r="BC230" s="47"/>
      <c r="BD230" s="47"/>
      <c r="BE230" s="47"/>
      <c r="BF230" s="47"/>
    </row>
    <row r="231" spans="1:58" hidden="1">
      <c r="A231" s="46" t="s">
        <v>281</v>
      </c>
      <c r="B231" s="46" t="s">
        <v>82</v>
      </c>
      <c r="C231" s="47">
        <v>48828</v>
      </c>
      <c r="D231" s="47">
        <v>31537</v>
      </c>
      <c r="E231" s="47">
        <v>21538</v>
      </c>
      <c r="F231" s="47">
        <v>25172</v>
      </c>
      <c r="G231" s="47">
        <v>22255</v>
      </c>
      <c r="H231" s="47">
        <v>29128</v>
      </c>
      <c r="I231" s="47">
        <v>29914</v>
      </c>
      <c r="J231" s="47">
        <v>28996</v>
      </c>
      <c r="K231" s="47">
        <v>20872</v>
      </c>
      <c r="L231" s="47">
        <v>16296</v>
      </c>
      <c r="M231" s="47">
        <v>22447</v>
      </c>
      <c r="N231" s="47">
        <v>20893</v>
      </c>
      <c r="O231" s="47">
        <v>18824</v>
      </c>
      <c r="P231" s="47">
        <v>21156</v>
      </c>
      <c r="Q231" s="85">
        <v>41.17</v>
      </c>
      <c r="R231" s="85">
        <v>46.52</v>
      </c>
      <c r="S231" s="85">
        <v>49</v>
      </c>
      <c r="T231" s="85">
        <v>40.1</v>
      </c>
      <c r="U231" s="85">
        <v>46.18</v>
      </c>
      <c r="V231" s="85">
        <v>41.05</v>
      </c>
      <c r="W231" s="85">
        <v>34.64</v>
      </c>
      <c r="X231" s="85">
        <v>37.729999999999997</v>
      </c>
      <c r="Y231" s="85">
        <v>33.21</v>
      </c>
      <c r="Z231" s="85">
        <v>40.22</v>
      </c>
      <c r="AA231" s="85">
        <v>28.36</v>
      </c>
      <c r="AB231" s="85">
        <v>31.35</v>
      </c>
      <c r="AC231" s="85">
        <v>35.86</v>
      </c>
      <c r="AD231" s="85">
        <v>38.21</v>
      </c>
      <c r="AE231" s="47">
        <v>2010207</v>
      </c>
      <c r="AF231" s="47">
        <v>1466963</v>
      </c>
      <c r="AG231" s="47">
        <v>1055403</v>
      </c>
      <c r="AH231" s="47">
        <v>1009513</v>
      </c>
      <c r="AI231" s="47">
        <v>1027629</v>
      </c>
      <c r="AJ231" s="47">
        <v>1195596</v>
      </c>
      <c r="AK231" s="47">
        <v>1036110</v>
      </c>
      <c r="AL231" s="47">
        <v>1094107</v>
      </c>
      <c r="AM231" s="47">
        <v>693069</v>
      </c>
      <c r="AN231" s="47">
        <v>655392</v>
      </c>
      <c r="AO231" s="47">
        <v>636492</v>
      </c>
      <c r="AP231" s="47">
        <v>655017</v>
      </c>
      <c r="AQ231" s="47">
        <v>675010</v>
      </c>
      <c r="AR231" s="47">
        <v>808365</v>
      </c>
      <c r="AS231" s="47"/>
      <c r="AT231" s="47"/>
      <c r="AU231" s="47"/>
      <c r="AV231" s="47"/>
      <c r="AW231" s="47"/>
      <c r="AX231" s="47"/>
      <c r="AY231" s="47"/>
      <c r="AZ231" s="47"/>
      <c r="BA231" s="47"/>
      <c r="BB231" s="47"/>
      <c r="BC231" s="47"/>
      <c r="BD231" s="47"/>
      <c r="BE231" s="47"/>
      <c r="BF231" s="47"/>
    </row>
    <row r="232" spans="1:58" hidden="1">
      <c r="A232" s="46" t="s">
        <v>282</v>
      </c>
      <c r="B232" s="46" t="s">
        <v>251</v>
      </c>
      <c r="C232" s="47">
        <v>803341</v>
      </c>
      <c r="D232" s="47">
        <v>842006</v>
      </c>
      <c r="E232" s="47">
        <v>842926</v>
      </c>
      <c r="F232" s="47">
        <v>823520</v>
      </c>
      <c r="G232" s="47">
        <v>845165</v>
      </c>
      <c r="H232" s="47">
        <v>854213</v>
      </c>
      <c r="I232" s="47">
        <v>834800</v>
      </c>
      <c r="J232" s="47">
        <v>813800</v>
      </c>
      <c r="K232" s="47">
        <v>806980</v>
      </c>
      <c r="L232" s="47">
        <v>822220</v>
      </c>
      <c r="M232" s="47">
        <v>763350</v>
      </c>
      <c r="N232" s="47">
        <v>826200</v>
      </c>
      <c r="O232" s="47">
        <v>793972</v>
      </c>
      <c r="P232" s="47">
        <v>794817</v>
      </c>
      <c r="Q232" s="85">
        <v>85.44</v>
      </c>
      <c r="R232" s="85">
        <v>83.53</v>
      </c>
      <c r="S232" s="85">
        <v>81.569999999999993</v>
      </c>
      <c r="T232" s="85">
        <v>90.7</v>
      </c>
      <c r="U232" s="85">
        <v>89.57</v>
      </c>
      <c r="V232" s="85">
        <v>97.11</v>
      </c>
      <c r="W232" s="85">
        <v>58.06</v>
      </c>
      <c r="X232" s="85">
        <v>87.26</v>
      </c>
      <c r="Y232" s="85">
        <v>84.6</v>
      </c>
      <c r="Z232" s="85">
        <v>94.49</v>
      </c>
      <c r="AA232" s="85">
        <v>88.08</v>
      </c>
      <c r="AB232" s="85">
        <v>82.01</v>
      </c>
      <c r="AC232" s="85">
        <v>90.78</v>
      </c>
      <c r="AD232" s="85">
        <v>88.82</v>
      </c>
      <c r="AE232" s="47">
        <v>68634094</v>
      </c>
      <c r="AF232" s="47">
        <v>70333994</v>
      </c>
      <c r="AG232" s="47">
        <v>68757112</v>
      </c>
      <c r="AH232" s="47">
        <v>74690930</v>
      </c>
      <c r="AI232" s="47">
        <v>75703724</v>
      </c>
      <c r="AJ232" s="47">
        <v>82949187</v>
      </c>
      <c r="AK232" s="47">
        <v>48468100</v>
      </c>
      <c r="AL232" s="47">
        <v>71011100</v>
      </c>
      <c r="AM232" s="47">
        <v>68270570</v>
      </c>
      <c r="AN232" s="47">
        <v>77688780</v>
      </c>
      <c r="AO232" s="47">
        <v>67237130</v>
      </c>
      <c r="AP232" s="47">
        <v>67755200</v>
      </c>
      <c r="AQ232" s="47">
        <v>72080064</v>
      </c>
      <c r="AR232" s="47">
        <v>70598136</v>
      </c>
      <c r="AS232" s="47"/>
      <c r="AT232" s="47"/>
      <c r="AU232" s="47"/>
      <c r="AV232" s="47"/>
      <c r="AW232" s="47"/>
      <c r="AX232" s="47"/>
      <c r="AY232" s="47"/>
      <c r="AZ232" s="47"/>
      <c r="BA232" s="47"/>
      <c r="BB232" s="47"/>
      <c r="BC232" s="47"/>
      <c r="BD232" s="47"/>
      <c r="BE232" s="47"/>
      <c r="BF232" s="47"/>
    </row>
    <row r="233" spans="1:58" hidden="1">
      <c r="A233" s="46" t="s">
        <v>282</v>
      </c>
      <c r="B233" s="46" t="s">
        <v>252</v>
      </c>
      <c r="C233" s="47">
        <v>3189</v>
      </c>
      <c r="D233" s="47">
        <v>2592</v>
      </c>
      <c r="E233" s="47">
        <v>1368</v>
      </c>
      <c r="F233" s="47">
        <v>6021</v>
      </c>
      <c r="G233" s="47">
        <v>2626</v>
      </c>
      <c r="H233" s="47">
        <v>1903</v>
      </c>
      <c r="I233" s="47">
        <v>1700</v>
      </c>
      <c r="J233" s="47">
        <v>1470</v>
      </c>
      <c r="K233" s="47">
        <v>2030</v>
      </c>
      <c r="L233" s="47">
        <v>1465</v>
      </c>
      <c r="M233" s="47">
        <v>5699</v>
      </c>
      <c r="N233" s="47">
        <v>2760</v>
      </c>
      <c r="O233" s="47">
        <v>3434</v>
      </c>
      <c r="P233" s="47">
        <v>2250</v>
      </c>
      <c r="Q233" s="85">
        <v>69.040000000000006</v>
      </c>
      <c r="R233" s="85">
        <v>64.989999999999995</v>
      </c>
      <c r="S233" s="85">
        <v>79.67</v>
      </c>
      <c r="T233" s="85">
        <v>76.27</v>
      </c>
      <c r="U233" s="85">
        <v>77.12</v>
      </c>
      <c r="V233" s="85">
        <v>77.19</v>
      </c>
      <c r="W233" s="85">
        <v>59.88</v>
      </c>
      <c r="X233" s="85">
        <v>85.44</v>
      </c>
      <c r="Y233" s="85">
        <v>84.69</v>
      </c>
      <c r="Z233" s="85">
        <v>94.71</v>
      </c>
      <c r="AA233" s="85">
        <v>87.84</v>
      </c>
      <c r="AB233" s="85">
        <v>82.45</v>
      </c>
      <c r="AC233" s="85">
        <v>60.95</v>
      </c>
      <c r="AD233" s="85">
        <v>79.59</v>
      </c>
      <c r="AE233" s="47">
        <v>220155</v>
      </c>
      <c r="AF233" s="47">
        <v>168452</v>
      </c>
      <c r="AG233" s="47">
        <v>108993</v>
      </c>
      <c r="AH233" s="47">
        <v>459216</v>
      </c>
      <c r="AI233" s="47">
        <v>202506</v>
      </c>
      <c r="AJ233" s="47">
        <v>146890</v>
      </c>
      <c r="AK233" s="47">
        <v>101800</v>
      </c>
      <c r="AL233" s="47">
        <v>125590</v>
      </c>
      <c r="AM233" s="47">
        <v>171920</v>
      </c>
      <c r="AN233" s="47">
        <v>138755</v>
      </c>
      <c r="AO233" s="47">
        <v>500595</v>
      </c>
      <c r="AP233" s="47">
        <v>227550</v>
      </c>
      <c r="AQ233" s="47">
        <v>209288</v>
      </c>
      <c r="AR233" s="47">
        <v>179075</v>
      </c>
      <c r="AS233" s="47"/>
      <c r="AT233" s="47"/>
      <c r="AU233" s="47"/>
      <c r="AV233" s="47"/>
      <c r="AW233" s="47"/>
      <c r="AX233" s="47"/>
      <c r="AY233" s="47"/>
      <c r="AZ233" s="47"/>
      <c r="BA233" s="47"/>
      <c r="BB233" s="47"/>
      <c r="BC233" s="47"/>
      <c r="BD233" s="47"/>
      <c r="BE233" s="47"/>
      <c r="BF233" s="47"/>
    </row>
    <row r="234" spans="1:58" hidden="1">
      <c r="A234" s="46" t="s">
        <v>282</v>
      </c>
      <c r="B234" s="46" t="s">
        <v>253</v>
      </c>
      <c r="C234" s="47">
        <v>806530</v>
      </c>
      <c r="D234" s="47">
        <v>844598</v>
      </c>
      <c r="E234" s="47">
        <v>844294</v>
      </c>
      <c r="F234" s="47">
        <v>829541</v>
      </c>
      <c r="G234" s="47">
        <v>847791</v>
      </c>
      <c r="H234" s="47">
        <v>856116</v>
      </c>
      <c r="I234" s="47">
        <v>836500</v>
      </c>
      <c r="J234" s="47">
        <v>815270</v>
      </c>
      <c r="K234" s="47">
        <v>809010</v>
      </c>
      <c r="L234" s="47">
        <v>823685</v>
      </c>
      <c r="M234" s="47">
        <v>769049</v>
      </c>
      <c r="N234" s="47">
        <v>828960</v>
      </c>
      <c r="O234" s="47">
        <v>797406</v>
      </c>
      <c r="P234" s="47">
        <v>797067</v>
      </c>
      <c r="Q234" s="85">
        <v>85.37</v>
      </c>
      <c r="R234" s="85">
        <v>83.47</v>
      </c>
      <c r="S234" s="85">
        <v>81.569999999999993</v>
      </c>
      <c r="T234" s="85">
        <v>90.59</v>
      </c>
      <c r="U234" s="85">
        <v>89.53</v>
      </c>
      <c r="V234" s="85">
        <v>97.06</v>
      </c>
      <c r="W234" s="85">
        <v>58.06</v>
      </c>
      <c r="X234" s="85">
        <v>87.26</v>
      </c>
      <c r="Y234" s="85">
        <v>84.6</v>
      </c>
      <c r="Z234" s="85">
        <v>94.49</v>
      </c>
      <c r="AA234" s="85">
        <v>88.08</v>
      </c>
      <c r="AB234" s="85">
        <v>82.01</v>
      </c>
      <c r="AC234" s="85">
        <v>90.66</v>
      </c>
      <c r="AD234" s="85">
        <v>88.8</v>
      </c>
      <c r="AE234" s="47">
        <v>68854249</v>
      </c>
      <c r="AF234" s="47">
        <v>70502446</v>
      </c>
      <c r="AG234" s="47">
        <v>68866105</v>
      </c>
      <c r="AH234" s="47">
        <v>75150146</v>
      </c>
      <c r="AI234" s="47">
        <v>75906230</v>
      </c>
      <c r="AJ234" s="47">
        <v>83096077</v>
      </c>
      <c r="AK234" s="47">
        <v>48569900</v>
      </c>
      <c r="AL234" s="47">
        <v>71136690</v>
      </c>
      <c r="AM234" s="47">
        <v>68442490</v>
      </c>
      <c r="AN234" s="47">
        <v>77827535</v>
      </c>
      <c r="AO234" s="47">
        <v>67737725</v>
      </c>
      <c r="AP234" s="47">
        <v>67982750</v>
      </c>
      <c r="AQ234" s="47">
        <v>72289352</v>
      </c>
      <c r="AR234" s="47">
        <v>70777211</v>
      </c>
      <c r="AS234" s="47"/>
      <c r="AT234" s="47"/>
      <c r="AU234" s="47"/>
      <c r="AV234" s="47"/>
      <c r="AW234" s="47"/>
      <c r="AX234" s="47"/>
      <c r="AY234" s="47"/>
      <c r="AZ234" s="47"/>
      <c r="BA234" s="47"/>
      <c r="BB234" s="47"/>
      <c r="BC234" s="47"/>
      <c r="BD234" s="47"/>
      <c r="BE234" s="47"/>
      <c r="BF234" s="47"/>
    </row>
    <row r="235" spans="1:58" hidden="1">
      <c r="A235" s="46" t="s">
        <v>282</v>
      </c>
      <c r="B235" s="46" t="s">
        <v>254</v>
      </c>
      <c r="C235" s="47">
        <v>272</v>
      </c>
      <c r="D235" s="47">
        <v>414</v>
      </c>
      <c r="E235" s="47">
        <v>405</v>
      </c>
      <c r="F235" s="47">
        <v>407</v>
      </c>
      <c r="G235" s="47">
        <v>572</v>
      </c>
      <c r="H235" s="47">
        <v>242</v>
      </c>
      <c r="I235" s="47">
        <v>434</v>
      </c>
      <c r="J235" s="47">
        <v>749</v>
      </c>
      <c r="K235" s="47">
        <v>632</v>
      </c>
      <c r="L235" s="47">
        <v>569</v>
      </c>
      <c r="M235" s="47">
        <v>741</v>
      </c>
      <c r="N235" s="47">
        <v>730</v>
      </c>
      <c r="O235" s="47">
        <v>657</v>
      </c>
      <c r="P235" s="47">
        <v>767</v>
      </c>
      <c r="Q235" s="85">
        <v>61.4</v>
      </c>
      <c r="R235" s="85">
        <v>57.41</v>
      </c>
      <c r="S235" s="85">
        <v>60.68</v>
      </c>
      <c r="T235" s="85">
        <v>60.2</v>
      </c>
      <c r="U235" s="85">
        <v>60.09</v>
      </c>
      <c r="V235" s="85">
        <v>60.28</v>
      </c>
      <c r="W235" s="85">
        <v>58.76</v>
      </c>
      <c r="X235" s="85">
        <v>60.64</v>
      </c>
      <c r="Y235" s="85">
        <v>60.82</v>
      </c>
      <c r="Z235" s="85">
        <v>69</v>
      </c>
      <c r="AA235" s="85">
        <v>61.58</v>
      </c>
      <c r="AB235" s="85">
        <v>61.78</v>
      </c>
      <c r="AC235" s="85">
        <v>61.98</v>
      </c>
      <c r="AD235" s="85">
        <v>61.25</v>
      </c>
      <c r="AE235" s="47">
        <v>16700</v>
      </c>
      <c r="AF235" s="47">
        <v>23769</v>
      </c>
      <c r="AG235" s="47">
        <v>24575</v>
      </c>
      <c r="AH235" s="47">
        <v>24500</v>
      </c>
      <c r="AI235" s="47">
        <v>34371</v>
      </c>
      <c r="AJ235" s="47">
        <v>14588</v>
      </c>
      <c r="AK235" s="47">
        <v>25500</v>
      </c>
      <c r="AL235" s="47">
        <v>45417</v>
      </c>
      <c r="AM235" s="47">
        <v>38436</v>
      </c>
      <c r="AN235" s="47">
        <v>39261</v>
      </c>
      <c r="AO235" s="47">
        <v>45632</v>
      </c>
      <c r="AP235" s="47">
        <v>45100</v>
      </c>
      <c r="AQ235" s="47">
        <v>40723</v>
      </c>
      <c r="AR235" s="47">
        <v>46977</v>
      </c>
      <c r="AS235" s="47"/>
      <c r="AT235" s="47"/>
      <c r="AU235" s="47"/>
      <c r="AV235" s="47"/>
      <c r="AW235" s="47"/>
      <c r="AX235" s="47"/>
      <c r="AY235" s="47"/>
      <c r="AZ235" s="47"/>
      <c r="BA235" s="47"/>
      <c r="BB235" s="47"/>
      <c r="BC235" s="47"/>
      <c r="BD235" s="47"/>
      <c r="BE235" s="47"/>
      <c r="BF235" s="47"/>
    </row>
    <row r="236" spans="1:58" hidden="1">
      <c r="A236" s="46" t="s">
        <v>282</v>
      </c>
      <c r="B236" s="46" t="s">
        <v>255</v>
      </c>
      <c r="C236" s="47">
        <v>145</v>
      </c>
      <c r="D236" s="47">
        <v>38</v>
      </c>
      <c r="E236" s="47">
        <v>31</v>
      </c>
      <c r="F236" s="47">
        <v>23</v>
      </c>
      <c r="G236" s="47">
        <v>14</v>
      </c>
      <c r="H236" s="47">
        <v>54</v>
      </c>
      <c r="I236" s="47">
        <v>190</v>
      </c>
      <c r="J236" s="47">
        <v>32</v>
      </c>
      <c r="K236" s="47">
        <v>65</v>
      </c>
      <c r="L236" s="47">
        <v>27</v>
      </c>
      <c r="M236" s="47">
        <v>178</v>
      </c>
      <c r="N236" s="47">
        <v>210</v>
      </c>
      <c r="O236" s="47">
        <v>182</v>
      </c>
      <c r="P236" s="47">
        <v>73</v>
      </c>
      <c r="Q236" s="85">
        <v>65</v>
      </c>
      <c r="R236" s="85">
        <v>60.32</v>
      </c>
      <c r="S236" s="85">
        <v>60.35</v>
      </c>
      <c r="T236" s="85">
        <v>60</v>
      </c>
      <c r="U236" s="85">
        <v>55</v>
      </c>
      <c r="V236" s="85">
        <v>60</v>
      </c>
      <c r="W236" s="85">
        <v>51.58</v>
      </c>
      <c r="X236" s="85">
        <v>63</v>
      </c>
      <c r="Y236" s="85">
        <v>65</v>
      </c>
      <c r="Z236" s="85">
        <v>69</v>
      </c>
      <c r="AA236" s="85">
        <v>59.98</v>
      </c>
      <c r="AB236" s="85">
        <v>58.71</v>
      </c>
      <c r="AC236" s="85">
        <v>60.02</v>
      </c>
      <c r="AD236" s="85">
        <v>58.66</v>
      </c>
      <c r="AE236" s="47">
        <v>9425</v>
      </c>
      <c r="AF236" s="47">
        <v>2292</v>
      </c>
      <c r="AG236" s="47">
        <v>1871</v>
      </c>
      <c r="AH236" s="47">
        <v>1380</v>
      </c>
      <c r="AI236" s="47">
        <v>770</v>
      </c>
      <c r="AJ236" s="47">
        <v>3240</v>
      </c>
      <c r="AK236" s="47">
        <v>9800</v>
      </c>
      <c r="AL236" s="47">
        <v>2016</v>
      </c>
      <c r="AM236" s="47">
        <v>4225</v>
      </c>
      <c r="AN236" s="47">
        <v>1863</v>
      </c>
      <c r="AO236" s="47">
        <v>10676</v>
      </c>
      <c r="AP236" s="47">
        <v>12330</v>
      </c>
      <c r="AQ236" s="47">
        <v>10923</v>
      </c>
      <c r="AR236" s="47">
        <v>4282</v>
      </c>
      <c r="AS236" s="47"/>
      <c r="AT236" s="47"/>
      <c r="AU236" s="47"/>
      <c r="AV236" s="47"/>
      <c r="AW236" s="47"/>
      <c r="AX236" s="47"/>
      <c r="AY236" s="47"/>
      <c r="AZ236" s="47"/>
      <c r="BA236" s="47"/>
      <c r="BB236" s="47"/>
      <c r="BC236" s="47"/>
      <c r="BD236" s="47"/>
      <c r="BE236" s="47"/>
      <c r="BF236" s="47"/>
    </row>
    <row r="237" spans="1:58" hidden="1">
      <c r="A237" s="46" t="s">
        <v>282</v>
      </c>
      <c r="B237" s="46" t="s">
        <v>256</v>
      </c>
      <c r="C237" s="47">
        <v>417</v>
      </c>
      <c r="D237" s="47">
        <v>452</v>
      </c>
      <c r="E237" s="47">
        <v>436</v>
      </c>
      <c r="F237" s="47">
        <v>430</v>
      </c>
      <c r="G237" s="47">
        <v>586</v>
      </c>
      <c r="H237" s="47">
        <v>296</v>
      </c>
      <c r="I237" s="47">
        <v>624</v>
      </c>
      <c r="J237" s="47">
        <v>781</v>
      </c>
      <c r="K237" s="47">
        <v>697</v>
      </c>
      <c r="L237" s="47">
        <v>596</v>
      </c>
      <c r="M237" s="47">
        <v>919</v>
      </c>
      <c r="N237" s="47">
        <v>940</v>
      </c>
      <c r="O237" s="47">
        <v>839</v>
      </c>
      <c r="P237" s="47">
        <v>840</v>
      </c>
      <c r="Q237" s="85">
        <v>62.65</v>
      </c>
      <c r="R237" s="85">
        <v>57.66</v>
      </c>
      <c r="S237" s="85">
        <v>60.66</v>
      </c>
      <c r="T237" s="85">
        <v>60.19</v>
      </c>
      <c r="U237" s="85">
        <v>59.97</v>
      </c>
      <c r="V237" s="85">
        <v>60.23</v>
      </c>
      <c r="W237" s="85">
        <v>56.57</v>
      </c>
      <c r="X237" s="85">
        <v>60.73</v>
      </c>
      <c r="Y237" s="85">
        <v>61.21</v>
      </c>
      <c r="Z237" s="85">
        <v>69</v>
      </c>
      <c r="AA237" s="85">
        <v>61.27</v>
      </c>
      <c r="AB237" s="85">
        <v>61.1</v>
      </c>
      <c r="AC237" s="85">
        <v>61.56</v>
      </c>
      <c r="AD237" s="85">
        <v>61.02</v>
      </c>
      <c r="AE237" s="47">
        <v>26125</v>
      </c>
      <c r="AF237" s="47">
        <v>26061</v>
      </c>
      <c r="AG237" s="47">
        <v>26446</v>
      </c>
      <c r="AH237" s="47">
        <v>25880</v>
      </c>
      <c r="AI237" s="47">
        <v>35141</v>
      </c>
      <c r="AJ237" s="47">
        <v>17828</v>
      </c>
      <c r="AK237" s="47">
        <v>35300</v>
      </c>
      <c r="AL237" s="47">
        <v>47433</v>
      </c>
      <c r="AM237" s="47">
        <v>42661</v>
      </c>
      <c r="AN237" s="47">
        <v>41124</v>
      </c>
      <c r="AO237" s="47">
        <v>56308</v>
      </c>
      <c r="AP237" s="47">
        <v>57430</v>
      </c>
      <c r="AQ237" s="47">
        <v>51646</v>
      </c>
      <c r="AR237" s="47">
        <v>51259</v>
      </c>
      <c r="AS237" s="47"/>
      <c r="AT237" s="47"/>
      <c r="AU237" s="47"/>
      <c r="AV237" s="47"/>
      <c r="AW237" s="47"/>
      <c r="AX237" s="47"/>
      <c r="AY237" s="47"/>
      <c r="AZ237" s="47"/>
      <c r="BA237" s="47"/>
      <c r="BB237" s="47"/>
      <c r="BC237" s="47"/>
      <c r="BD237" s="47"/>
      <c r="BE237" s="47"/>
      <c r="BF237" s="47"/>
    </row>
    <row r="238" spans="1:58" hidden="1">
      <c r="A238" s="46" t="s">
        <v>282</v>
      </c>
      <c r="B238" s="46" t="s">
        <v>257</v>
      </c>
      <c r="C238" s="47">
        <v>860</v>
      </c>
      <c r="D238" s="47">
        <v>682</v>
      </c>
      <c r="E238" s="47">
        <v>926</v>
      </c>
      <c r="F238" s="47">
        <v>669</v>
      </c>
      <c r="G238" s="47">
        <v>788</v>
      </c>
      <c r="H238" s="47">
        <v>728</v>
      </c>
      <c r="I238" s="47">
        <v>635</v>
      </c>
      <c r="J238" s="47">
        <v>790</v>
      </c>
      <c r="K238" s="47">
        <v>930</v>
      </c>
      <c r="L238" s="47">
        <v>1015</v>
      </c>
      <c r="M238" s="47">
        <v>1410</v>
      </c>
      <c r="N238" s="47">
        <v>2080</v>
      </c>
      <c r="O238" s="47">
        <v>1682</v>
      </c>
      <c r="P238" s="47">
        <v>1960</v>
      </c>
      <c r="Q238" s="85">
        <v>60.12</v>
      </c>
      <c r="R238" s="85">
        <v>52.15</v>
      </c>
      <c r="S238" s="85">
        <v>61.55</v>
      </c>
      <c r="T238" s="85">
        <v>67.78</v>
      </c>
      <c r="U238" s="85">
        <v>69.39</v>
      </c>
      <c r="V238" s="85">
        <v>67.680000000000007</v>
      </c>
      <c r="W238" s="85">
        <v>58.92</v>
      </c>
      <c r="X238" s="85">
        <v>63.25</v>
      </c>
      <c r="Y238" s="85">
        <v>63.51</v>
      </c>
      <c r="Z238" s="85">
        <v>69.540000000000006</v>
      </c>
      <c r="AA238" s="85">
        <v>63.58</v>
      </c>
      <c r="AB238" s="85">
        <v>63.55</v>
      </c>
      <c r="AC238" s="85">
        <v>64.23</v>
      </c>
      <c r="AD238" s="85">
        <v>65.290000000000006</v>
      </c>
      <c r="AE238" s="47">
        <v>51705</v>
      </c>
      <c r="AF238" s="47">
        <v>35564</v>
      </c>
      <c r="AG238" s="47">
        <v>56999</v>
      </c>
      <c r="AH238" s="47">
        <v>45346</v>
      </c>
      <c r="AI238" s="47">
        <v>54680</v>
      </c>
      <c r="AJ238" s="47">
        <v>49272</v>
      </c>
      <c r="AK238" s="47">
        <v>37415</v>
      </c>
      <c r="AL238" s="47">
        <v>49970</v>
      </c>
      <c r="AM238" s="47">
        <v>59060</v>
      </c>
      <c r="AN238" s="47">
        <v>70579</v>
      </c>
      <c r="AO238" s="47">
        <v>89654</v>
      </c>
      <c r="AP238" s="47">
        <v>132180</v>
      </c>
      <c r="AQ238" s="47">
        <v>108032</v>
      </c>
      <c r="AR238" s="47">
        <v>127972</v>
      </c>
      <c r="AS238" s="47"/>
      <c r="AT238" s="47"/>
      <c r="AU238" s="47"/>
      <c r="AV238" s="47"/>
      <c r="AW238" s="47"/>
      <c r="AX238" s="47"/>
      <c r="AY238" s="47"/>
      <c r="AZ238" s="47"/>
      <c r="BA238" s="47"/>
      <c r="BB238" s="47"/>
      <c r="BC238" s="47"/>
      <c r="BD238" s="47"/>
      <c r="BE238" s="47"/>
      <c r="BF238" s="47"/>
    </row>
    <row r="239" spans="1:58" hidden="1">
      <c r="A239" s="46" t="s">
        <v>282</v>
      </c>
      <c r="B239" s="46" t="s">
        <v>258</v>
      </c>
      <c r="C239" s="47">
        <v>112400</v>
      </c>
      <c r="D239" s="47">
        <v>92772</v>
      </c>
      <c r="E239" s="47">
        <v>96917</v>
      </c>
      <c r="F239" s="47">
        <v>93340</v>
      </c>
      <c r="G239" s="47">
        <v>106838</v>
      </c>
      <c r="H239" s="47">
        <v>111657</v>
      </c>
      <c r="I239" s="47">
        <v>130800</v>
      </c>
      <c r="J239" s="47">
        <v>118370</v>
      </c>
      <c r="K239" s="47">
        <v>107750</v>
      </c>
      <c r="L239" s="47">
        <v>108195</v>
      </c>
      <c r="M239" s="47">
        <v>103135</v>
      </c>
      <c r="N239" s="47">
        <v>103430</v>
      </c>
      <c r="O239" s="47">
        <v>109399</v>
      </c>
      <c r="P239" s="47">
        <v>118323</v>
      </c>
      <c r="Q239" s="85">
        <v>80.62</v>
      </c>
      <c r="R239" s="85">
        <v>78.08</v>
      </c>
      <c r="S239" s="85">
        <v>80.88</v>
      </c>
      <c r="T239" s="85">
        <v>81.27</v>
      </c>
      <c r="U239" s="85">
        <v>84.72</v>
      </c>
      <c r="V239" s="85">
        <v>96</v>
      </c>
      <c r="W239" s="85">
        <v>61.65</v>
      </c>
      <c r="X239" s="85">
        <v>82.94</v>
      </c>
      <c r="Y239" s="85">
        <v>76.05</v>
      </c>
      <c r="Z239" s="85">
        <v>85.69</v>
      </c>
      <c r="AA239" s="85">
        <v>80.39</v>
      </c>
      <c r="AB239" s="85">
        <v>80.64</v>
      </c>
      <c r="AC239" s="85">
        <v>88.65</v>
      </c>
      <c r="AD239" s="85">
        <v>89.62</v>
      </c>
      <c r="AE239" s="47">
        <v>9061551</v>
      </c>
      <c r="AF239" s="47">
        <v>7243579</v>
      </c>
      <c r="AG239" s="47">
        <v>7839030</v>
      </c>
      <c r="AH239" s="47">
        <v>7586118</v>
      </c>
      <c r="AI239" s="47">
        <v>9051298</v>
      </c>
      <c r="AJ239" s="47">
        <v>10719536</v>
      </c>
      <c r="AK239" s="47">
        <v>8063400</v>
      </c>
      <c r="AL239" s="47">
        <v>9817910</v>
      </c>
      <c r="AM239" s="47">
        <v>8193900</v>
      </c>
      <c r="AN239" s="47">
        <v>9271325</v>
      </c>
      <c r="AO239" s="47">
        <v>8291040</v>
      </c>
      <c r="AP239" s="47">
        <v>8340860</v>
      </c>
      <c r="AQ239" s="47">
        <v>9697765</v>
      </c>
      <c r="AR239" s="47">
        <v>10603985</v>
      </c>
      <c r="AS239" s="47"/>
      <c r="AT239" s="47"/>
      <c r="AU239" s="47"/>
      <c r="AV239" s="47"/>
      <c r="AW239" s="47"/>
      <c r="AX239" s="47"/>
      <c r="AY239" s="47"/>
      <c r="AZ239" s="47"/>
      <c r="BA239" s="47"/>
      <c r="BB239" s="47"/>
      <c r="BC239" s="47"/>
      <c r="BD239" s="47"/>
      <c r="BE239" s="47"/>
      <c r="BF239" s="47"/>
    </row>
    <row r="240" spans="1:58" hidden="1">
      <c r="A240" s="46" t="s">
        <v>282</v>
      </c>
      <c r="B240" s="46" t="s">
        <v>259</v>
      </c>
      <c r="C240" s="47">
        <v>52314</v>
      </c>
      <c r="D240" s="47">
        <v>59220</v>
      </c>
      <c r="E240" s="47">
        <v>51623</v>
      </c>
      <c r="F240" s="47">
        <v>52383</v>
      </c>
      <c r="G240" s="47">
        <v>43423</v>
      </c>
      <c r="H240" s="47">
        <v>51975</v>
      </c>
      <c r="I240" s="47">
        <v>47750</v>
      </c>
      <c r="J240" s="47">
        <v>46190</v>
      </c>
      <c r="K240" s="47">
        <v>52710</v>
      </c>
      <c r="L240" s="47">
        <v>61419</v>
      </c>
      <c r="M240" s="47">
        <v>68340</v>
      </c>
      <c r="N240" s="47">
        <v>46570</v>
      </c>
      <c r="O240" s="47">
        <v>51886</v>
      </c>
      <c r="P240" s="47">
        <v>38784</v>
      </c>
      <c r="Q240" s="85">
        <v>65.03</v>
      </c>
      <c r="R240" s="85">
        <v>58.98</v>
      </c>
      <c r="S240" s="85">
        <v>68.88</v>
      </c>
      <c r="T240" s="85">
        <v>73.19</v>
      </c>
      <c r="U240" s="85">
        <v>72.7</v>
      </c>
      <c r="V240" s="85">
        <v>74.66</v>
      </c>
      <c r="W240" s="85">
        <v>53.19</v>
      </c>
      <c r="X240" s="85">
        <v>67.23</v>
      </c>
      <c r="Y240" s="85">
        <v>72.62</v>
      </c>
      <c r="Z240" s="85">
        <v>78.94</v>
      </c>
      <c r="AA240" s="85">
        <v>52.21</v>
      </c>
      <c r="AB240" s="85">
        <v>65.36</v>
      </c>
      <c r="AC240" s="85">
        <v>58.39</v>
      </c>
      <c r="AD240" s="85">
        <v>69.73</v>
      </c>
      <c r="AE240" s="47">
        <v>3401736</v>
      </c>
      <c r="AF240" s="47">
        <v>3492701</v>
      </c>
      <c r="AG240" s="47">
        <v>3556004</v>
      </c>
      <c r="AH240" s="47">
        <v>3833786</v>
      </c>
      <c r="AI240" s="47">
        <v>3156944</v>
      </c>
      <c r="AJ240" s="47">
        <v>3880285</v>
      </c>
      <c r="AK240" s="47">
        <v>2539950</v>
      </c>
      <c r="AL240" s="47">
        <v>3105360</v>
      </c>
      <c r="AM240" s="47">
        <v>3828040</v>
      </c>
      <c r="AN240" s="47">
        <v>4848389</v>
      </c>
      <c r="AO240" s="47">
        <v>3567720</v>
      </c>
      <c r="AP240" s="47">
        <v>3043720</v>
      </c>
      <c r="AQ240" s="47">
        <v>3029438</v>
      </c>
      <c r="AR240" s="47">
        <v>2704470</v>
      </c>
      <c r="AS240" s="47"/>
      <c r="AT240" s="47"/>
      <c r="AU240" s="47"/>
      <c r="AV240" s="47"/>
      <c r="AW240" s="47"/>
      <c r="AX240" s="47"/>
      <c r="AY240" s="47"/>
      <c r="AZ240" s="47"/>
      <c r="BA240" s="47"/>
      <c r="BB240" s="47"/>
      <c r="BC240" s="47"/>
      <c r="BD240" s="47"/>
      <c r="BE240" s="47"/>
      <c r="BF240" s="47"/>
    </row>
    <row r="241" spans="1:58" hidden="1">
      <c r="A241" s="46" t="s">
        <v>282</v>
      </c>
      <c r="B241" s="46" t="s">
        <v>260</v>
      </c>
      <c r="C241" s="47">
        <v>164714</v>
      </c>
      <c r="D241" s="47">
        <v>151992</v>
      </c>
      <c r="E241" s="47">
        <v>148540</v>
      </c>
      <c r="F241" s="47">
        <v>145723</v>
      </c>
      <c r="G241" s="47">
        <v>150261</v>
      </c>
      <c r="H241" s="47">
        <v>163632</v>
      </c>
      <c r="I241" s="47">
        <v>178550</v>
      </c>
      <c r="J241" s="47">
        <v>164560</v>
      </c>
      <c r="K241" s="47">
        <v>160460</v>
      </c>
      <c r="L241" s="47">
        <v>169614</v>
      </c>
      <c r="M241" s="47">
        <v>171475</v>
      </c>
      <c r="N241" s="47">
        <v>150000</v>
      </c>
      <c r="O241" s="47">
        <v>161285</v>
      </c>
      <c r="P241" s="47">
        <v>157107</v>
      </c>
      <c r="Q241" s="85">
        <v>75.67</v>
      </c>
      <c r="R241" s="85">
        <v>70.64</v>
      </c>
      <c r="S241" s="85">
        <v>76.709999999999994</v>
      </c>
      <c r="T241" s="85">
        <v>78.37</v>
      </c>
      <c r="U241" s="85">
        <v>81.25</v>
      </c>
      <c r="V241" s="85">
        <v>89.22</v>
      </c>
      <c r="W241" s="85">
        <v>59.39</v>
      </c>
      <c r="X241" s="85">
        <v>78.53</v>
      </c>
      <c r="Y241" s="85">
        <v>74.92</v>
      </c>
      <c r="Z241" s="85">
        <v>83.25</v>
      </c>
      <c r="AA241" s="85">
        <v>69.16</v>
      </c>
      <c r="AB241" s="85">
        <v>75.900000000000006</v>
      </c>
      <c r="AC241" s="85">
        <v>78.91</v>
      </c>
      <c r="AD241" s="85">
        <v>84.71</v>
      </c>
      <c r="AE241" s="47">
        <v>12463287</v>
      </c>
      <c r="AF241" s="47">
        <v>10736280</v>
      </c>
      <c r="AG241" s="47">
        <v>11395034</v>
      </c>
      <c r="AH241" s="47">
        <v>11419904</v>
      </c>
      <c r="AI241" s="47">
        <v>12208242</v>
      </c>
      <c r="AJ241" s="47">
        <v>14599821</v>
      </c>
      <c r="AK241" s="47">
        <v>10603350</v>
      </c>
      <c r="AL241" s="47">
        <v>12923270</v>
      </c>
      <c r="AM241" s="47">
        <v>12021940</v>
      </c>
      <c r="AN241" s="47">
        <v>14119714</v>
      </c>
      <c r="AO241" s="47">
        <v>11858760</v>
      </c>
      <c r="AP241" s="47">
        <v>11384580</v>
      </c>
      <c r="AQ241" s="47">
        <v>12727203</v>
      </c>
      <c r="AR241" s="47">
        <v>13308455</v>
      </c>
      <c r="AS241" s="47"/>
      <c r="AT241" s="47"/>
      <c r="AU241" s="47"/>
      <c r="AV241" s="47"/>
      <c r="AW241" s="47"/>
      <c r="AX241" s="47"/>
      <c r="AY241" s="47"/>
      <c r="AZ241" s="47"/>
      <c r="BA241" s="47"/>
      <c r="BB241" s="47"/>
      <c r="BC241" s="47"/>
      <c r="BD241" s="47"/>
      <c r="BE241" s="47"/>
      <c r="BF241" s="47"/>
    </row>
    <row r="242" spans="1:58" hidden="1">
      <c r="A242" s="46" t="s">
        <v>282</v>
      </c>
      <c r="B242" s="46" t="s">
        <v>261</v>
      </c>
      <c r="C242" s="47">
        <v>2291</v>
      </c>
      <c r="D242" s="47">
        <v>1669</v>
      </c>
      <c r="E242" s="47">
        <v>1492</v>
      </c>
      <c r="F242" s="47">
        <v>1667</v>
      </c>
      <c r="G242" s="47">
        <v>2058</v>
      </c>
      <c r="H242" s="47">
        <v>1526</v>
      </c>
      <c r="I242" s="47">
        <v>1550</v>
      </c>
      <c r="J242" s="47">
        <v>1775</v>
      </c>
      <c r="K242" s="47">
        <v>1805</v>
      </c>
      <c r="L242" s="47">
        <v>1599</v>
      </c>
      <c r="M242" s="47">
        <v>1178</v>
      </c>
      <c r="N242" s="47">
        <v>1740</v>
      </c>
      <c r="O242" s="47">
        <v>1328</v>
      </c>
      <c r="P242" s="47">
        <v>1164</v>
      </c>
      <c r="Q242" s="85">
        <v>58</v>
      </c>
      <c r="R242" s="85">
        <v>54.01</v>
      </c>
      <c r="S242" s="85">
        <v>62.36</v>
      </c>
      <c r="T242" s="85">
        <v>64.010000000000005</v>
      </c>
      <c r="U242" s="85">
        <v>61.03</v>
      </c>
      <c r="V242" s="85">
        <v>62.27</v>
      </c>
      <c r="W242" s="85">
        <v>57.29</v>
      </c>
      <c r="X242" s="85">
        <v>58.85</v>
      </c>
      <c r="Y242" s="85">
        <v>61.04</v>
      </c>
      <c r="Z242" s="85">
        <v>67.17</v>
      </c>
      <c r="AA242" s="85">
        <v>60.6</v>
      </c>
      <c r="AB242" s="85">
        <v>60.77</v>
      </c>
      <c r="AC242" s="85">
        <v>61.08</v>
      </c>
      <c r="AD242" s="85">
        <v>61.44</v>
      </c>
      <c r="AE242" s="47">
        <v>132885</v>
      </c>
      <c r="AF242" s="47">
        <v>90139</v>
      </c>
      <c r="AG242" s="47">
        <v>93038</v>
      </c>
      <c r="AH242" s="47">
        <v>106702</v>
      </c>
      <c r="AI242" s="47">
        <v>125590</v>
      </c>
      <c r="AJ242" s="47">
        <v>95027</v>
      </c>
      <c r="AK242" s="47">
        <v>88800</v>
      </c>
      <c r="AL242" s="47">
        <v>104465</v>
      </c>
      <c r="AM242" s="47">
        <v>110180</v>
      </c>
      <c r="AN242" s="47">
        <v>107406</v>
      </c>
      <c r="AO242" s="47">
        <v>71392</v>
      </c>
      <c r="AP242" s="47">
        <v>105740</v>
      </c>
      <c r="AQ242" s="47">
        <v>81111</v>
      </c>
      <c r="AR242" s="47">
        <v>71515</v>
      </c>
      <c r="AS242" s="47"/>
      <c r="AT242" s="47"/>
      <c r="AU242" s="47"/>
      <c r="AV242" s="47"/>
      <c r="AW242" s="47"/>
      <c r="AX242" s="47"/>
      <c r="AY242" s="47"/>
      <c r="AZ242" s="47"/>
      <c r="BA242" s="47"/>
      <c r="BB242" s="47"/>
      <c r="BC242" s="47"/>
      <c r="BD242" s="47"/>
      <c r="BE242" s="47"/>
      <c r="BF242" s="47"/>
    </row>
    <row r="243" spans="1:58" hidden="1">
      <c r="A243" s="46" t="s">
        <v>282</v>
      </c>
      <c r="B243" s="46" t="s">
        <v>262</v>
      </c>
      <c r="C243" s="47">
        <v>4288</v>
      </c>
      <c r="D243" s="47">
        <v>3408</v>
      </c>
      <c r="E243" s="47">
        <v>3833</v>
      </c>
      <c r="F243" s="47">
        <v>5243</v>
      </c>
      <c r="G243" s="47">
        <v>5139</v>
      </c>
      <c r="H243" s="47">
        <v>5317</v>
      </c>
      <c r="I243" s="47">
        <v>5460</v>
      </c>
      <c r="J243" s="47">
        <v>5770</v>
      </c>
      <c r="K243" s="47">
        <v>5410</v>
      </c>
      <c r="L243" s="47">
        <v>5499</v>
      </c>
      <c r="M243" s="47">
        <v>8039</v>
      </c>
      <c r="N243" s="47">
        <v>6190</v>
      </c>
      <c r="O243" s="47">
        <v>5298</v>
      </c>
      <c r="P243" s="47">
        <v>4095</v>
      </c>
      <c r="Q243" s="85">
        <v>59.89</v>
      </c>
      <c r="R243" s="85">
        <v>53.93</v>
      </c>
      <c r="S243" s="85">
        <v>60.96</v>
      </c>
      <c r="T243" s="85">
        <v>64.349999999999994</v>
      </c>
      <c r="U243" s="85">
        <v>57.49</v>
      </c>
      <c r="V243" s="85">
        <v>60.43</v>
      </c>
      <c r="W243" s="85">
        <v>58.76</v>
      </c>
      <c r="X243" s="85">
        <v>59.47</v>
      </c>
      <c r="Y243" s="85">
        <v>60.39</v>
      </c>
      <c r="Z243" s="85">
        <v>66.17</v>
      </c>
      <c r="AA243" s="85">
        <v>59.74</v>
      </c>
      <c r="AB243" s="85">
        <v>60.51</v>
      </c>
      <c r="AC243" s="85">
        <v>61.06</v>
      </c>
      <c r="AD243" s="85">
        <v>61.03</v>
      </c>
      <c r="AE243" s="47">
        <v>256819</v>
      </c>
      <c r="AF243" s="47">
        <v>183777</v>
      </c>
      <c r="AG243" s="47">
        <v>233673</v>
      </c>
      <c r="AH243" s="47">
        <v>337375</v>
      </c>
      <c r="AI243" s="47">
        <v>295441</v>
      </c>
      <c r="AJ243" s="47">
        <v>321303</v>
      </c>
      <c r="AK243" s="47">
        <v>320850</v>
      </c>
      <c r="AL243" s="47">
        <v>343160</v>
      </c>
      <c r="AM243" s="47">
        <v>326690</v>
      </c>
      <c r="AN243" s="47">
        <v>363883</v>
      </c>
      <c r="AO243" s="47">
        <v>480259</v>
      </c>
      <c r="AP243" s="47">
        <v>374560</v>
      </c>
      <c r="AQ243" s="47">
        <v>323489</v>
      </c>
      <c r="AR243" s="47">
        <v>249937</v>
      </c>
      <c r="AS243" s="47"/>
      <c r="AT243" s="47"/>
      <c r="AU243" s="47"/>
      <c r="AV243" s="47"/>
      <c r="AW243" s="47"/>
      <c r="AX243" s="47"/>
      <c r="AY243" s="47"/>
      <c r="AZ243" s="47"/>
      <c r="BA243" s="47"/>
      <c r="BB243" s="47"/>
      <c r="BC243" s="47"/>
      <c r="BD243" s="47"/>
      <c r="BE243" s="47"/>
      <c r="BF243" s="47"/>
    </row>
    <row r="244" spans="1:58" hidden="1">
      <c r="A244" s="46" t="s">
        <v>282</v>
      </c>
      <c r="B244" s="46" t="s">
        <v>263</v>
      </c>
      <c r="C244" s="47">
        <v>6579</v>
      </c>
      <c r="D244" s="47">
        <v>5077</v>
      </c>
      <c r="E244" s="47">
        <v>5325</v>
      </c>
      <c r="F244" s="47">
        <v>6910</v>
      </c>
      <c r="G244" s="47">
        <v>7197</v>
      </c>
      <c r="H244" s="47">
        <v>6843</v>
      </c>
      <c r="I244" s="47">
        <v>7010</v>
      </c>
      <c r="J244" s="47">
        <v>7545</v>
      </c>
      <c r="K244" s="47">
        <v>7215</v>
      </c>
      <c r="L244" s="47">
        <v>7098</v>
      </c>
      <c r="M244" s="47">
        <v>9217</v>
      </c>
      <c r="N244" s="47">
        <v>7930</v>
      </c>
      <c r="O244" s="47">
        <v>6626</v>
      </c>
      <c r="P244" s="47">
        <v>5259</v>
      </c>
      <c r="Q244" s="85">
        <v>59.23</v>
      </c>
      <c r="R244" s="85">
        <v>53.95</v>
      </c>
      <c r="S244" s="85">
        <v>61.35</v>
      </c>
      <c r="T244" s="85">
        <v>64.27</v>
      </c>
      <c r="U244" s="85">
        <v>58.5</v>
      </c>
      <c r="V244" s="85">
        <v>60.84</v>
      </c>
      <c r="W244" s="85">
        <v>58.44</v>
      </c>
      <c r="X244" s="85">
        <v>59.33</v>
      </c>
      <c r="Y244" s="85">
        <v>60.55</v>
      </c>
      <c r="Z244" s="85">
        <v>66.400000000000006</v>
      </c>
      <c r="AA244" s="85">
        <v>59.85</v>
      </c>
      <c r="AB244" s="85">
        <v>60.57</v>
      </c>
      <c r="AC244" s="85">
        <v>61.06</v>
      </c>
      <c r="AD244" s="85">
        <v>61.12</v>
      </c>
      <c r="AE244" s="47">
        <v>389704</v>
      </c>
      <c r="AF244" s="47">
        <v>273916</v>
      </c>
      <c r="AG244" s="47">
        <v>326711</v>
      </c>
      <c r="AH244" s="47">
        <v>444077</v>
      </c>
      <c r="AI244" s="47">
        <v>421031</v>
      </c>
      <c r="AJ244" s="47">
        <v>416330</v>
      </c>
      <c r="AK244" s="47">
        <v>409650</v>
      </c>
      <c r="AL244" s="47">
        <v>447625</v>
      </c>
      <c r="AM244" s="47">
        <v>436870</v>
      </c>
      <c r="AN244" s="47">
        <v>471289</v>
      </c>
      <c r="AO244" s="47">
        <v>551651</v>
      </c>
      <c r="AP244" s="47">
        <v>480300</v>
      </c>
      <c r="AQ244" s="47">
        <v>404600</v>
      </c>
      <c r="AR244" s="47">
        <v>321452</v>
      </c>
      <c r="AS244" s="47"/>
      <c r="AT244" s="47"/>
      <c r="AU244" s="47"/>
      <c r="AV244" s="47"/>
      <c r="AW244" s="47"/>
      <c r="AX244" s="47"/>
      <c r="AY244" s="47"/>
      <c r="AZ244" s="47"/>
      <c r="BA244" s="47"/>
      <c r="BB244" s="47"/>
      <c r="BC244" s="47"/>
      <c r="BD244" s="47"/>
      <c r="BE244" s="47"/>
      <c r="BF244" s="47"/>
    </row>
    <row r="245" spans="1:58" hidden="1">
      <c r="A245" s="46" t="s">
        <v>282</v>
      </c>
      <c r="B245" s="46" t="s">
        <v>264</v>
      </c>
      <c r="C245" s="47">
        <v>1491</v>
      </c>
      <c r="D245" s="47">
        <v>1491</v>
      </c>
      <c r="E245" s="47">
        <v>1491</v>
      </c>
      <c r="F245" s="47">
        <v>1491</v>
      </c>
      <c r="G245" s="47">
        <v>1487</v>
      </c>
      <c r="H245" s="47">
        <v>1480</v>
      </c>
      <c r="I245" s="47">
        <v>1430</v>
      </c>
      <c r="J245" s="47">
        <v>1330</v>
      </c>
      <c r="K245" s="47">
        <v>1340</v>
      </c>
      <c r="L245" s="47">
        <v>1516</v>
      </c>
      <c r="M245" s="47">
        <v>1600</v>
      </c>
      <c r="N245" s="47">
        <v>1380</v>
      </c>
      <c r="O245" s="47">
        <v>1203</v>
      </c>
      <c r="P245" s="47">
        <v>969</v>
      </c>
      <c r="Q245" s="85">
        <v>103.21</v>
      </c>
      <c r="R245" s="85">
        <v>111.76</v>
      </c>
      <c r="S245" s="85">
        <v>102.78</v>
      </c>
      <c r="T245" s="85">
        <v>100.84</v>
      </c>
      <c r="U245" s="85">
        <v>110</v>
      </c>
      <c r="V245" s="85">
        <v>91.66</v>
      </c>
      <c r="W245" s="85">
        <v>74.55</v>
      </c>
      <c r="X245" s="85">
        <v>109.71</v>
      </c>
      <c r="Y245" s="85">
        <v>104.01</v>
      </c>
      <c r="Z245" s="85">
        <v>97.9</v>
      </c>
      <c r="AA245" s="85">
        <v>94.88</v>
      </c>
      <c r="AB245" s="85">
        <v>105</v>
      </c>
      <c r="AC245" s="85">
        <v>100.23</v>
      </c>
      <c r="AD245" s="85">
        <v>99.99</v>
      </c>
      <c r="AE245" s="47">
        <v>153885</v>
      </c>
      <c r="AF245" s="47">
        <v>166636</v>
      </c>
      <c r="AG245" s="47">
        <v>153240</v>
      </c>
      <c r="AH245" s="47">
        <v>150346</v>
      </c>
      <c r="AI245" s="47">
        <v>163570</v>
      </c>
      <c r="AJ245" s="47">
        <v>135650</v>
      </c>
      <c r="AK245" s="47">
        <v>106600</v>
      </c>
      <c r="AL245" s="47">
        <v>145910</v>
      </c>
      <c r="AM245" s="47">
        <v>139380</v>
      </c>
      <c r="AN245" s="47">
        <v>148421</v>
      </c>
      <c r="AO245" s="47">
        <v>151800</v>
      </c>
      <c r="AP245" s="47">
        <v>144900</v>
      </c>
      <c r="AQ245" s="47">
        <v>120574</v>
      </c>
      <c r="AR245" s="47">
        <v>96894</v>
      </c>
      <c r="AS245" s="47"/>
      <c r="AT245" s="47"/>
      <c r="AU245" s="47"/>
      <c r="AV245" s="47"/>
      <c r="AW245" s="47"/>
      <c r="AX245" s="47"/>
      <c r="AY245" s="47"/>
      <c r="AZ245" s="47"/>
      <c r="BA245" s="47"/>
      <c r="BB245" s="47"/>
      <c r="BC245" s="47"/>
      <c r="BD245" s="47"/>
      <c r="BE245" s="47"/>
      <c r="BF245" s="47"/>
    </row>
    <row r="246" spans="1:58" hidden="1">
      <c r="A246" s="46" t="s">
        <v>282</v>
      </c>
      <c r="B246" s="46" t="s">
        <v>265</v>
      </c>
      <c r="C246" s="47">
        <v>69998</v>
      </c>
      <c r="D246" s="47">
        <v>64268</v>
      </c>
      <c r="E246" s="47">
        <v>71299</v>
      </c>
      <c r="F246" s="47">
        <v>78475</v>
      </c>
      <c r="G246" s="47">
        <v>63252</v>
      </c>
      <c r="H246" s="47">
        <v>55256</v>
      </c>
      <c r="I246" s="47">
        <v>45858</v>
      </c>
      <c r="J246" s="47">
        <v>43735</v>
      </c>
      <c r="K246" s="47">
        <v>47550</v>
      </c>
      <c r="L246" s="47">
        <v>53300</v>
      </c>
      <c r="M246" s="47">
        <v>73550</v>
      </c>
      <c r="N246" s="47">
        <v>84180</v>
      </c>
      <c r="O246" s="47">
        <v>74379</v>
      </c>
      <c r="P246" s="47">
        <v>61896</v>
      </c>
      <c r="Q246" s="85">
        <v>94.96</v>
      </c>
      <c r="R246" s="85">
        <v>102.45</v>
      </c>
      <c r="S246" s="85">
        <v>90.46</v>
      </c>
      <c r="T246" s="85">
        <v>90.53</v>
      </c>
      <c r="U246" s="85">
        <v>104.42</v>
      </c>
      <c r="V246" s="85">
        <v>88.04</v>
      </c>
      <c r="W246" s="85">
        <v>65.84</v>
      </c>
      <c r="X246" s="85">
        <v>98.86</v>
      </c>
      <c r="Y246" s="85">
        <v>82.79</v>
      </c>
      <c r="Z246" s="85">
        <v>87.91</v>
      </c>
      <c r="AA246" s="85">
        <v>75.34</v>
      </c>
      <c r="AB246" s="85">
        <v>101.76</v>
      </c>
      <c r="AC246" s="85">
        <v>76.510000000000005</v>
      </c>
      <c r="AD246" s="85">
        <v>103.22</v>
      </c>
      <c r="AE246" s="47">
        <v>6646787</v>
      </c>
      <c r="AF246" s="47">
        <v>6584178</v>
      </c>
      <c r="AG246" s="47">
        <v>6449556</v>
      </c>
      <c r="AH246" s="47">
        <v>7104009</v>
      </c>
      <c r="AI246" s="47">
        <v>6604798</v>
      </c>
      <c r="AJ246" s="47">
        <v>4864575</v>
      </c>
      <c r="AK246" s="47">
        <v>3019500</v>
      </c>
      <c r="AL246" s="47">
        <v>4323710</v>
      </c>
      <c r="AM246" s="47">
        <v>3936700</v>
      </c>
      <c r="AN246" s="47">
        <v>4685348</v>
      </c>
      <c r="AO246" s="47">
        <v>5541570</v>
      </c>
      <c r="AP246" s="47">
        <v>8566520</v>
      </c>
      <c r="AQ246" s="47">
        <v>5690402</v>
      </c>
      <c r="AR246" s="47">
        <v>6388924</v>
      </c>
      <c r="AS246" s="47"/>
      <c r="AT246" s="47"/>
      <c r="AU246" s="47"/>
      <c r="AV246" s="47"/>
      <c r="AW246" s="47"/>
      <c r="AX246" s="47"/>
      <c r="AY246" s="47"/>
      <c r="AZ246" s="47"/>
      <c r="BA246" s="47"/>
      <c r="BB246" s="47"/>
      <c r="BC246" s="47"/>
      <c r="BD246" s="47"/>
      <c r="BE246" s="47"/>
      <c r="BF246" s="47"/>
    </row>
    <row r="247" spans="1:58" hidden="1">
      <c r="A247" s="46" t="s">
        <v>282</v>
      </c>
      <c r="B247" s="46" t="s">
        <v>266</v>
      </c>
      <c r="C247" s="47">
        <v>0</v>
      </c>
      <c r="D247" s="47">
        <v>0</v>
      </c>
      <c r="E247" s="47">
        <v>3</v>
      </c>
      <c r="F247" s="47">
        <v>4</v>
      </c>
      <c r="G247" s="47">
        <v>13</v>
      </c>
      <c r="H247" s="47">
        <v>13</v>
      </c>
      <c r="I247" s="47">
        <v>0</v>
      </c>
      <c r="J247" s="47">
        <v>0</v>
      </c>
      <c r="K247" s="47">
        <v>0</v>
      </c>
      <c r="L247" s="47">
        <v>0</v>
      </c>
      <c r="M247" s="47">
        <v>0</v>
      </c>
      <c r="N247" s="47">
        <v>0</v>
      </c>
      <c r="O247" s="47">
        <v>0</v>
      </c>
      <c r="P247" s="47">
        <v>234</v>
      </c>
      <c r="Q247" s="85"/>
      <c r="R247" s="85"/>
      <c r="S247" s="85">
        <v>93</v>
      </c>
      <c r="T247" s="85">
        <v>91</v>
      </c>
      <c r="U247" s="85">
        <v>112</v>
      </c>
      <c r="V247" s="85">
        <v>90.77</v>
      </c>
      <c r="W247" s="85"/>
      <c r="X247" s="85"/>
      <c r="Y247" s="85"/>
      <c r="Z247" s="85"/>
      <c r="AA247" s="85"/>
      <c r="AB247" s="85"/>
      <c r="AC247" s="85"/>
      <c r="AD247" s="85">
        <v>100</v>
      </c>
      <c r="AE247" s="47">
        <v>0</v>
      </c>
      <c r="AF247" s="47">
        <v>0</v>
      </c>
      <c r="AG247" s="47">
        <v>279</v>
      </c>
      <c r="AH247" s="47">
        <v>364</v>
      </c>
      <c r="AI247" s="47">
        <v>1456</v>
      </c>
      <c r="AJ247" s="47">
        <v>1180</v>
      </c>
      <c r="AK247" s="47">
        <v>0</v>
      </c>
      <c r="AL247" s="47">
        <v>0</v>
      </c>
      <c r="AM247" s="47">
        <v>0</v>
      </c>
      <c r="AN247" s="47">
        <v>0</v>
      </c>
      <c r="AO247" s="47">
        <v>0</v>
      </c>
      <c r="AP247" s="47">
        <v>0</v>
      </c>
      <c r="AQ247" s="47">
        <v>0</v>
      </c>
      <c r="AR247" s="47">
        <v>23400</v>
      </c>
      <c r="AS247" s="47"/>
      <c r="AT247" s="47"/>
      <c r="AU247" s="47"/>
      <c r="AV247" s="47"/>
      <c r="AW247" s="47"/>
      <c r="AX247" s="47"/>
      <c r="AY247" s="47"/>
      <c r="AZ247" s="47"/>
      <c r="BA247" s="47"/>
      <c r="BB247" s="47"/>
      <c r="BC247" s="47"/>
      <c r="BD247" s="47"/>
      <c r="BE247" s="47"/>
      <c r="BF247" s="47"/>
    </row>
    <row r="248" spans="1:58" hidden="1">
      <c r="A248" s="46" t="s">
        <v>282</v>
      </c>
      <c r="B248" s="46" t="s">
        <v>267</v>
      </c>
      <c r="C248" s="47">
        <v>71489</v>
      </c>
      <c r="D248" s="47">
        <v>65759</v>
      </c>
      <c r="E248" s="47">
        <v>72793</v>
      </c>
      <c r="F248" s="47">
        <v>79970</v>
      </c>
      <c r="G248" s="47">
        <v>64752</v>
      </c>
      <c r="H248" s="47">
        <v>56749</v>
      </c>
      <c r="I248" s="47">
        <v>47288</v>
      </c>
      <c r="J248" s="47">
        <v>45065</v>
      </c>
      <c r="K248" s="47">
        <v>48890</v>
      </c>
      <c r="L248" s="47">
        <v>54816</v>
      </c>
      <c r="M248" s="47">
        <v>75150</v>
      </c>
      <c r="N248" s="47">
        <v>85560</v>
      </c>
      <c r="O248" s="47">
        <v>75582</v>
      </c>
      <c r="P248" s="47">
        <v>63099</v>
      </c>
      <c r="Q248" s="85">
        <v>95.13</v>
      </c>
      <c r="R248" s="85">
        <v>102.66</v>
      </c>
      <c r="S248" s="85">
        <v>90.71</v>
      </c>
      <c r="T248" s="85">
        <v>90.72</v>
      </c>
      <c r="U248" s="85">
        <v>104.55</v>
      </c>
      <c r="V248" s="85">
        <v>88.13</v>
      </c>
      <c r="W248" s="85">
        <v>66.11</v>
      </c>
      <c r="X248" s="85">
        <v>99.18</v>
      </c>
      <c r="Y248" s="85">
        <v>83.37</v>
      </c>
      <c r="Z248" s="85">
        <v>88.18</v>
      </c>
      <c r="AA248" s="85">
        <v>75.760000000000005</v>
      </c>
      <c r="AB248" s="85">
        <v>101.82</v>
      </c>
      <c r="AC248" s="85">
        <v>76.88</v>
      </c>
      <c r="AD248" s="85">
        <v>103.16</v>
      </c>
      <c r="AE248" s="47">
        <v>6800672</v>
      </c>
      <c r="AF248" s="47">
        <v>6750814</v>
      </c>
      <c r="AG248" s="47">
        <v>6603075</v>
      </c>
      <c r="AH248" s="47">
        <v>7254719</v>
      </c>
      <c r="AI248" s="47">
        <v>6769824</v>
      </c>
      <c r="AJ248" s="47">
        <v>5001405</v>
      </c>
      <c r="AK248" s="47">
        <v>3126100</v>
      </c>
      <c r="AL248" s="47">
        <v>4469620</v>
      </c>
      <c r="AM248" s="47">
        <v>4076080</v>
      </c>
      <c r="AN248" s="47">
        <v>4833769</v>
      </c>
      <c r="AO248" s="47">
        <v>5693370</v>
      </c>
      <c r="AP248" s="47">
        <v>8711420</v>
      </c>
      <c r="AQ248" s="47">
        <v>5810976</v>
      </c>
      <c r="AR248" s="47">
        <v>6509218</v>
      </c>
      <c r="AS248" s="47"/>
      <c r="AT248" s="47"/>
      <c r="AU248" s="47"/>
      <c r="AV248" s="47"/>
      <c r="AW248" s="47"/>
      <c r="AX248" s="47"/>
      <c r="AY248" s="47"/>
      <c r="AZ248" s="47"/>
      <c r="BA248" s="47"/>
      <c r="BB248" s="47"/>
      <c r="BC248" s="47"/>
      <c r="BD248" s="47"/>
      <c r="BE248" s="47"/>
      <c r="BF248" s="47"/>
    </row>
    <row r="249" spans="1:58" hidden="1">
      <c r="A249" s="46" t="s">
        <v>282</v>
      </c>
      <c r="B249" s="46" t="s">
        <v>268</v>
      </c>
      <c r="C249" s="47">
        <v>54</v>
      </c>
      <c r="D249" s="47">
        <v>66</v>
      </c>
      <c r="E249" s="47">
        <v>28</v>
      </c>
      <c r="F249" s="47">
        <v>26</v>
      </c>
      <c r="G249" s="47">
        <v>17</v>
      </c>
      <c r="H249" s="47">
        <v>84</v>
      </c>
      <c r="I249" s="47">
        <v>70</v>
      </c>
      <c r="J249" s="47">
        <v>63</v>
      </c>
      <c r="K249" s="47">
        <v>66</v>
      </c>
      <c r="L249" s="47">
        <v>120</v>
      </c>
      <c r="M249" s="47">
        <v>192</v>
      </c>
      <c r="N249" s="47">
        <v>1570</v>
      </c>
      <c r="O249" s="47">
        <v>863</v>
      </c>
      <c r="P249" s="47">
        <v>1423</v>
      </c>
      <c r="Q249" s="85">
        <v>55</v>
      </c>
      <c r="R249" s="85">
        <v>60</v>
      </c>
      <c r="S249" s="85">
        <v>55.39</v>
      </c>
      <c r="T249" s="85">
        <v>50</v>
      </c>
      <c r="U249" s="85">
        <v>50</v>
      </c>
      <c r="V249" s="85">
        <v>50</v>
      </c>
      <c r="W249" s="85">
        <v>50</v>
      </c>
      <c r="X249" s="85">
        <v>53.89</v>
      </c>
      <c r="Y249" s="85">
        <v>54.24</v>
      </c>
      <c r="Z249" s="85">
        <v>53.54</v>
      </c>
      <c r="AA249" s="85">
        <v>52.4</v>
      </c>
      <c r="AB249" s="85">
        <v>55</v>
      </c>
      <c r="AC249" s="85">
        <v>54.18</v>
      </c>
      <c r="AD249" s="85">
        <v>54.13</v>
      </c>
      <c r="AE249" s="47">
        <v>2970</v>
      </c>
      <c r="AF249" s="47">
        <v>3960</v>
      </c>
      <c r="AG249" s="47">
        <v>1551</v>
      </c>
      <c r="AH249" s="47">
        <v>1300</v>
      </c>
      <c r="AI249" s="47">
        <v>850</v>
      </c>
      <c r="AJ249" s="47">
        <v>4200</v>
      </c>
      <c r="AK249" s="47">
        <v>3500</v>
      </c>
      <c r="AL249" s="47">
        <v>3395</v>
      </c>
      <c r="AM249" s="47">
        <v>3580</v>
      </c>
      <c r="AN249" s="47">
        <v>6425</v>
      </c>
      <c r="AO249" s="47">
        <v>10061</v>
      </c>
      <c r="AP249" s="47">
        <v>86350</v>
      </c>
      <c r="AQ249" s="47">
        <v>46757</v>
      </c>
      <c r="AR249" s="47">
        <v>77021</v>
      </c>
      <c r="AS249" s="47"/>
      <c r="AT249" s="47"/>
      <c r="AU249" s="47"/>
      <c r="AV249" s="47"/>
      <c r="AW249" s="47"/>
      <c r="AX249" s="47"/>
      <c r="AY249" s="47"/>
      <c r="AZ249" s="47"/>
      <c r="BA249" s="47"/>
      <c r="BB249" s="47"/>
      <c r="BC249" s="47"/>
      <c r="BD249" s="47"/>
      <c r="BE249" s="47"/>
      <c r="BF249" s="47"/>
    </row>
    <row r="250" spans="1:58" hidden="1">
      <c r="A250" s="46" t="s">
        <v>282</v>
      </c>
      <c r="B250" s="46" t="s">
        <v>269</v>
      </c>
      <c r="C250" s="47">
        <v>3832</v>
      </c>
      <c r="D250" s="47">
        <v>3666</v>
      </c>
      <c r="E250" s="47">
        <v>3887</v>
      </c>
      <c r="F250" s="47">
        <v>2824</v>
      </c>
      <c r="G250" s="47">
        <v>2900</v>
      </c>
      <c r="H250" s="47">
        <v>2561</v>
      </c>
      <c r="I250" s="47">
        <v>2690</v>
      </c>
      <c r="J250" s="47">
        <v>2865</v>
      </c>
      <c r="K250" s="47">
        <v>2925</v>
      </c>
      <c r="L250" s="47">
        <v>3247</v>
      </c>
      <c r="M250" s="47">
        <v>3860</v>
      </c>
      <c r="N250" s="47">
        <v>4300</v>
      </c>
      <c r="O250" s="47">
        <v>3882</v>
      </c>
      <c r="P250" s="47">
        <v>3859</v>
      </c>
      <c r="Q250" s="85">
        <v>63.93</v>
      </c>
      <c r="R250" s="85">
        <v>64.37</v>
      </c>
      <c r="S250" s="85">
        <v>66.2</v>
      </c>
      <c r="T250" s="85">
        <v>68.61</v>
      </c>
      <c r="U250" s="85">
        <v>69.66</v>
      </c>
      <c r="V250" s="85">
        <v>64.400000000000006</v>
      </c>
      <c r="W250" s="85">
        <v>38.729999999999997</v>
      </c>
      <c r="X250" s="85">
        <v>66.39</v>
      </c>
      <c r="Y250" s="85">
        <v>65.599999999999994</v>
      </c>
      <c r="Z250" s="85">
        <v>73.58</v>
      </c>
      <c r="AA250" s="85">
        <v>65.67</v>
      </c>
      <c r="AB250" s="85">
        <v>65.650000000000006</v>
      </c>
      <c r="AC250" s="85">
        <v>67.39</v>
      </c>
      <c r="AD250" s="85">
        <v>65.22</v>
      </c>
      <c r="AE250" s="47">
        <v>244983</v>
      </c>
      <c r="AF250" s="47">
        <v>235972</v>
      </c>
      <c r="AG250" s="47">
        <v>257303</v>
      </c>
      <c r="AH250" s="47">
        <v>193759</v>
      </c>
      <c r="AI250" s="47">
        <v>202015</v>
      </c>
      <c r="AJ250" s="47">
        <v>164941</v>
      </c>
      <c r="AK250" s="47">
        <v>104180</v>
      </c>
      <c r="AL250" s="47">
        <v>190215</v>
      </c>
      <c r="AM250" s="47">
        <v>191880</v>
      </c>
      <c r="AN250" s="47">
        <v>238919</v>
      </c>
      <c r="AO250" s="47">
        <v>253495</v>
      </c>
      <c r="AP250" s="47">
        <v>282290</v>
      </c>
      <c r="AQ250" s="47">
        <v>261599</v>
      </c>
      <c r="AR250" s="47">
        <v>251691</v>
      </c>
      <c r="AS250" s="47"/>
      <c r="AT250" s="47"/>
      <c r="AU250" s="47"/>
      <c r="AV250" s="47"/>
      <c r="AW250" s="47"/>
      <c r="AX250" s="47"/>
      <c r="AY250" s="47"/>
      <c r="AZ250" s="47"/>
      <c r="BA250" s="47"/>
      <c r="BB250" s="47"/>
      <c r="BC250" s="47"/>
      <c r="BD250" s="47"/>
      <c r="BE250" s="47"/>
      <c r="BF250" s="47"/>
    </row>
    <row r="251" spans="1:58" hidden="1">
      <c r="A251" s="46" t="s">
        <v>282</v>
      </c>
      <c r="B251" s="46" t="s">
        <v>270</v>
      </c>
      <c r="C251" s="47">
        <v>46</v>
      </c>
      <c r="D251" s="47">
        <v>44</v>
      </c>
      <c r="E251" s="47">
        <v>38</v>
      </c>
      <c r="F251" s="47">
        <v>65</v>
      </c>
      <c r="G251" s="47">
        <v>87</v>
      </c>
      <c r="H251" s="47">
        <v>846</v>
      </c>
      <c r="I251" s="47">
        <v>510</v>
      </c>
      <c r="J251" s="47">
        <v>610</v>
      </c>
      <c r="K251" s="47">
        <v>400</v>
      </c>
      <c r="L251" s="47">
        <v>648</v>
      </c>
      <c r="M251" s="47">
        <v>1083</v>
      </c>
      <c r="N251" s="47">
        <v>180</v>
      </c>
      <c r="O251" s="47">
        <v>3062</v>
      </c>
      <c r="P251" s="47">
        <v>996</v>
      </c>
      <c r="Q251" s="85"/>
      <c r="R251" s="85"/>
      <c r="S251" s="85"/>
      <c r="T251" s="85"/>
      <c r="U251" s="85"/>
      <c r="V251" s="85"/>
      <c r="W251" s="85"/>
      <c r="X251" s="85"/>
      <c r="Y251" s="85"/>
      <c r="Z251" s="85"/>
      <c r="AA251" s="85"/>
      <c r="AB251" s="85"/>
      <c r="AC251" s="85"/>
      <c r="AD251" s="85"/>
      <c r="AE251" s="47">
        <v>2530</v>
      </c>
      <c r="AF251" s="47">
        <v>2765</v>
      </c>
      <c r="AG251" s="47">
        <v>2500</v>
      </c>
      <c r="AH251" s="47">
        <v>4071</v>
      </c>
      <c r="AI251" s="47">
        <v>5332</v>
      </c>
      <c r="AJ251" s="47">
        <v>51135</v>
      </c>
      <c r="AK251" s="47">
        <v>20930</v>
      </c>
      <c r="AL251" s="47">
        <v>37990</v>
      </c>
      <c r="AM251" s="47">
        <v>24420</v>
      </c>
      <c r="AN251" s="47">
        <v>43593</v>
      </c>
      <c r="AO251" s="47">
        <v>65983</v>
      </c>
      <c r="AP251" s="47">
        <v>11150</v>
      </c>
      <c r="AQ251" s="47">
        <v>190221</v>
      </c>
      <c r="AR251" s="47">
        <v>58621</v>
      </c>
      <c r="AS251" s="47"/>
      <c r="AT251" s="47"/>
      <c r="AU251" s="47"/>
      <c r="AV251" s="47"/>
      <c r="AW251" s="47"/>
      <c r="AX251" s="47"/>
      <c r="AY251" s="47"/>
      <c r="AZ251" s="47"/>
      <c r="BA251" s="47"/>
      <c r="BB251" s="47"/>
      <c r="BC251" s="47"/>
      <c r="BD251" s="47"/>
      <c r="BE251" s="47"/>
      <c r="BF251" s="47"/>
    </row>
    <row r="252" spans="1:58" hidden="1">
      <c r="A252" s="46" t="s">
        <v>282</v>
      </c>
      <c r="B252" s="46" t="s">
        <v>271</v>
      </c>
      <c r="C252" s="47">
        <v>289</v>
      </c>
      <c r="D252" s="47">
        <v>293</v>
      </c>
      <c r="E252" s="47">
        <v>720</v>
      </c>
      <c r="F252" s="47">
        <v>517</v>
      </c>
      <c r="G252" s="47">
        <v>640</v>
      </c>
      <c r="H252" s="47">
        <v>237</v>
      </c>
      <c r="I252" s="47">
        <v>230</v>
      </c>
      <c r="J252" s="47">
        <v>495</v>
      </c>
      <c r="K252" s="47">
        <v>800</v>
      </c>
      <c r="L252" s="47">
        <v>1095</v>
      </c>
      <c r="M252" s="47">
        <v>1337</v>
      </c>
      <c r="N252" s="47">
        <v>1540</v>
      </c>
      <c r="O252" s="47">
        <v>1736</v>
      </c>
      <c r="P252" s="47">
        <v>2226</v>
      </c>
      <c r="Q252" s="85"/>
      <c r="R252" s="85"/>
      <c r="S252" s="85"/>
      <c r="T252" s="85"/>
      <c r="U252" s="85"/>
      <c r="V252" s="85"/>
      <c r="W252" s="85"/>
      <c r="X252" s="85"/>
      <c r="Y252" s="85"/>
      <c r="Z252" s="85"/>
      <c r="AA252" s="85"/>
      <c r="AB252" s="85"/>
      <c r="AC252" s="85"/>
      <c r="AD252" s="85"/>
      <c r="AE252" s="47">
        <v>16693</v>
      </c>
      <c r="AF252" s="47">
        <v>18140</v>
      </c>
      <c r="AG252" s="47">
        <v>49500</v>
      </c>
      <c r="AH252" s="47">
        <v>33612</v>
      </c>
      <c r="AI252" s="47">
        <v>40698</v>
      </c>
      <c r="AJ252" s="47">
        <v>14894</v>
      </c>
      <c r="AK252" s="47">
        <v>9760</v>
      </c>
      <c r="AL252" s="47">
        <v>31995</v>
      </c>
      <c r="AM252" s="47">
        <v>50130</v>
      </c>
      <c r="AN252" s="47">
        <v>75380</v>
      </c>
      <c r="AO252" s="47">
        <v>83405</v>
      </c>
      <c r="AP252" s="47">
        <v>96600</v>
      </c>
      <c r="AQ252" s="47">
        <v>111350</v>
      </c>
      <c r="AR252" s="47">
        <v>138255</v>
      </c>
      <c r="AS252" s="47"/>
      <c r="AT252" s="47"/>
      <c r="AU252" s="47"/>
      <c r="AV252" s="47"/>
      <c r="AW252" s="47"/>
      <c r="AX252" s="47"/>
      <c r="AY252" s="47"/>
      <c r="AZ252" s="47"/>
      <c r="BA252" s="47"/>
      <c r="BB252" s="47"/>
      <c r="BC252" s="47"/>
      <c r="BD252" s="47"/>
      <c r="BE252" s="47"/>
      <c r="BF252" s="47"/>
    </row>
    <row r="253" spans="1:58" hidden="1">
      <c r="A253" s="46" t="s">
        <v>282</v>
      </c>
      <c r="B253" s="46" t="s">
        <v>272</v>
      </c>
      <c r="C253" s="47">
        <v>1054810</v>
      </c>
      <c r="D253" s="47">
        <v>1072629</v>
      </c>
      <c r="E253" s="47">
        <v>1076987</v>
      </c>
      <c r="F253" s="47">
        <v>1066675</v>
      </c>
      <c r="G253" s="47">
        <v>1075019</v>
      </c>
      <c r="H253" s="47">
        <v>1088092</v>
      </c>
      <c r="I253" s="47">
        <v>1074107</v>
      </c>
      <c r="J253" s="47">
        <v>1038044</v>
      </c>
      <c r="K253" s="47">
        <v>1031393</v>
      </c>
      <c r="L253" s="47">
        <v>1061934</v>
      </c>
      <c r="M253" s="47">
        <v>1033692</v>
      </c>
      <c r="N253" s="47">
        <v>1083060</v>
      </c>
      <c r="O253" s="47">
        <v>1052963</v>
      </c>
      <c r="P253" s="47">
        <v>1033836</v>
      </c>
      <c r="Q253" s="85">
        <v>84.24</v>
      </c>
      <c r="R253" s="85">
        <v>82.59</v>
      </c>
      <c r="S253" s="85">
        <v>81.319999999999993</v>
      </c>
      <c r="T253" s="85">
        <v>88.66</v>
      </c>
      <c r="U253" s="85">
        <v>88.97</v>
      </c>
      <c r="V253" s="85">
        <v>95.04</v>
      </c>
      <c r="W253" s="85">
        <v>58.58</v>
      </c>
      <c r="X253" s="85">
        <v>86.06</v>
      </c>
      <c r="Y253" s="85">
        <v>82.75</v>
      </c>
      <c r="Z253" s="85">
        <v>92.03</v>
      </c>
      <c r="AA253" s="85">
        <v>83.58</v>
      </c>
      <c r="AB253" s="85">
        <v>82.38</v>
      </c>
      <c r="AC253" s="85">
        <v>87.37</v>
      </c>
      <c r="AD253" s="85">
        <v>88.62</v>
      </c>
      <c r="AE253" s="47">
        <v>88852918</v>
      </c>
      <c r="AF253" s="47">
        <v>88585918</v>
      </c>
      <c r="AG253" s="47">
        <v>87585224</v>
      </c>
      <c r="AH253" s="47">
        <v>94572814</v>
      </c>
      <c r="AI253" s="47">
        <v>95644043</v>
      </c>
      <c r="AJ253" s="47">
        <v>103415903</v>
      </c>
      <c r="AK253" s="47">
        <v>62920085</v>
      </c>
      <c r="AL253" s="47">
        <v>89338203</v>
      </c>
      <c r="AM253" s="47">
        <v>85349111</v>
      </c>
      <c r="AN253" s="47">
        <v>97728327</v>
      </c>
      <c r="AO253" s="47">
        <v>86400412</v>
      </c>
      <c r="AP253" s="47">
        <v>89225050</v>
      </c>
      <c r="AQ253" s="47">
        <v>92001736</v>
      </c>
      <c r="AR253" s="47">
        <v>91621155</v>
      </c>
      <c r="AS253" s="47"/>
      <c r="AT253" s="47"/>
      <c r="AU253" s="47"/>
      <c r="AV253" s="47"/>
      <c r="AW253" s="47"/>
      <c r="AX253" s="47"/>
      <c r="AY253" s="47"/>
      <c r="AZ253" s="47"/>
      <c r="BA253" s="47"/>
      <c r="BB253" s="47"/>
      <c r="BC253" s="47"/>
      <c r="BD253" s="47"/>
      <c r="BE253" s="47"/>
      <c r="BF253" s="47"/>
    </row>
    <row r="254" spans="1:58" hidden="1">
      <c r="A254" s="46" t="s">
        <v>282</v>
      </c>
      <c r="B254" s="46" t="s">
        <v>273</v>
      </c>
      <c r="C254" s="47">
        <v>0</v>
      </c>
      <c r="D254" s="47">
        <v>0</v>
      </c>
      <c r="E254" s="47">
        <v>0</v>
      </c>
      <c r="F254" s="47">
        <v>0</v>
      </c>
      <c r="G254" s="47">
        <v>0</v>
      </c>
      <c r="H254" s="47">
        <v>0</v>
      </c>
      <c r="I254" s="47">
        <v>0</v>
      </c>
      <c r="J254" s="47">
        <v>0</v>
      </c>
      <c r="K254" s="47">
        <v>0</v>
      </c>
      <c r="L254" s="47">
        <v>0</v>
      </c>
      <c r="M254" s="47">
        <v>0</v>
      </c>
      <c r="N254" s="47">
        <v>0</v>
      </c>
      <c r="O254" s="47">
        <v>0</v>
      </c>
      <c r="P254" s="47">
        <v>0</v>
      </c>
      <c r="Q254" s="85"/>
      <c r="R254" s="85"/>
      <c r="S254" s="85"/>
      <c r="T254" s="85"/>
      <c r="U254" s="85"/>
      <c r="V254" s="85"/>
      <c r="W254" s="85"/>
      <c r="X254" s="85"/>
      <c r="Y254" s="85"/>
      <c r="Z254" s="85"/>
      <c r="AA254" s="85"/>
      <c r="AB254" s="85"/>
      <c r="AC254" s="85"/>
      <c r="AD254" s="85"/>
      <c r="AE254" s="47">
        <v>0</v>
      </c>
      <c r="AF254" s="47">
        <v>0</v>
      </c>
      <c r="AG254" s="47">
        <v>0</v>
      </c>
      <c r="AH254" s="47">
        <v>0</v>
      </c>
      <c r="AI254" s="47">
        <v>0</v>
      </c>
      <c r="AJ254" s="47">
        <v>0</v>
      </c>
      <c r="AK254" s="47">
        <v>0</v>
      </c>
      <c r="AL254" s="47">
        <v>0</v>
      </c>
      <c r="AM254" s="47">
        <v>0</v>
      </c>
      <c r="AN254" s="47">
        <v>0</v>
      </c>
      <c r="AO254" s="47">
        <v>0</v>
      </c>
      <c r="AP254" s="47">
        <v>0</v>
      </c>
      <c r="AQ254" s="47">
        <v>0</v>
      </c>
      <c r="AR254" s="47">
        <v>0</v>
      </c>
      <c r="AS254" s="47"/>
      <c r="AT254" s="47"/>
      <c r="AU254" s="47"/>
      <c r="AV254" s="47"/>
      <c r="AW254" s="47"/>
      <c r="AX254" s="47"/>
      <c r="AY254" s="47"/>
      <c r="AZ254" s="47"/>
      <c r="BA254" s="47"/>
      <c r="BB254" s="47"/>
      <c r="BC254" s="47"/>
      <c r="BD254" s="47"/>
      <c r="BE254" s="47"/>
      <c r="BF254" s="47"/>
    </row>
    <row r="255" spans="1:58" hidden="1">
      <c r="A255" s="46" t="s">
        <v>282</v>
      </c>
      <c r="B255" s="46" t="s">
        <v>274</v>
      </c>
      <c r="C255" s="47">
        <v>0</v>
      </c>
      <c r="D255" s="47">
        <v>0</v>
      </c>
      <c r="E255" s="47">
        <v>0</v>
      </c>
      <c r="F255" s="47">
        <v>0</v>
      </c>
      <c r="G255" s="47">
        <v>0</v>
      </c>
      <c r="H255" s="47">
        <v>0</v>
      </c>
      <c r="I255" s="47">
        <v>0</v>
      </c>
      <c r="J255" s="47">
        <v>0</v>
      </c>
      <c r="K255" s="47">
        <v>0</v>
      </c>
      <c r="L255" s="47">
        <v>0</v>
      </c>
      <c r="M255" s="47">
        <v>0</v>
      </c>
      <c r="N255" s="47">
        <v>0</v>
      </c>
      <c r="O255" s="47">
        <v>0</v>
      </c>
      <c r="P255" s="47">
        <v>0</v>
      </c>
      <c r="Q255" s="85"/>
      <c r="R255" s="85"/>
      <c r="S255" s="85"/>
      <c r="T255" s="85"/>
      <c r="U255" s="85"/>
      <c r="V255" s="85"/>
      <c r="W255" s="85"/>
      <c r="X255" s="85"/>
      <c r="Y255" s="85"/>
      <c r="Z255" s="85"/>
      <c r="AA255" s="85"/>
      <c r="AB255" s="85"/>
      <c r="AC255" s="85"/>
      <c r="AD255" s="85"/>
      <c r="AE255" s="47">
        <v>0</v>
      </c>
      <c r="AF255" s="47">
        <v>0</v>
      </c>
      <c r="AG255" s="47">
        <v>0</v>
      </c>
      <c r="AH255" s="47">
        <v>0</v>
      </c>
      <c r="AI255" s="47">
        <v>0</v>
      </c>
      <c r="AJ255" s="47">
        <v>0</v>
      </c>
      <c r="AK255" s="47">
        <v>0</v>
      </c>
      <c r="AL255" s="47">
        <v>0</v>
      </c>
      <c r="AM255" s="47">
        <v>0</v>
      </c>
      <c r="AN255" s="47">
        <v>0</v>
      </c>
      <c r="AO255" s="47">
        <v>0</v>
      </c>
      <c r="AP255" s="47">
        <v>0</v>
      </c>
      <c r="AQ255" s="47">
        <v>0</v>
      </c>
      <c r="AR255" s="47">
        <v>0</v>
      </c>
      <c r="AS255" s="47"/>
      <c r="AT255" s="47"/>
      <c r="AU255" s="47"/>
      <c r="AV255" s="47"/>
      <c r="AW255" s="47"/>
      <c r="AX255" s="47"/>
      <c r="AY255" s="47"/>
      <c r="AZ255" s="47"/>
      <c r="BA255" s="47"/>
      <c r="BB255" s="47"/>
      <c r="BC255" s="47"/>
      <c r="BD255" s="47"/>
      <c r="BE255" s="47"/>
      <c r="BF255" s="47"/>
    </row>
    <row r="256" spans="1:58" hidden="1">
      <c r="A256" s="46" t="s">
        <v>282</v>
      </c>
      <c r="B256" s="46" t="s">
        <v>275</v>
      </c>
      <c r="C256" s="47">
        <v>0</v>
      </c>
      <c r="D256" s="47">
        <v>0</v>
      </c>
      <c r="E256" s="47">
        <v>0</v>
      </c>
      <c r="F256" s="47">
        <v>0</v>
      </c>
      <c r="G256" s="47">
        <v>0</v>
      </c>
      <c r="H256" s="47">
        <v>0</v>
      </c>
      <c r="I256" s="47">
        <v>0</v>
      </c>
      <c r="J256" s="47">
        <v>0</v>
      </c>
      <c r="K256" s="47">
        <v>0</v>
      </c>
      <c r="L256" s="47">
        <v>0</v>
      </c>
      <c r="M256" s="47">
        <v>0</v>
      </c>
      <c r="N256" s="47">
        <v>0</v>
      </c>
      <c r="O256" s="47">
        <v>0</v>
      </c>
      <c r="P256" s="47">
        <v>0</v>
      </c>
      <c r="Q256" s="85"/>
      <c r="R256" s="85"/>
      <c r="S256" s="85"/>
      <c r="T256" s="85"/>
      <c r="U256" s="85"/>
      <c r="V256" s="85"/>
      <c r="W256" s="85"/>
      <c r="X256" s="85"/>
      <c r="Y256" s="85"/>
      <c r="Z256" s="85"/>
      <c r="AA256" s="85"/>
      <c r="AB256" s="85"/>
      <c r="AC256" s="85"/>
      <c r="AD256" s="85"/>
      <c r="AE256" s="47">
        <v>0</v>
      </c>
      <c r="AF256" s="47">
        <v>0</v>
      </c>
      <c r="AG256" s="47">
        <v>0</v>
      </c>
      <c r="AH256" s="47">
        <v>0</v>
      </c>
      <c r="AI256" s="47">
        <v>0</v>
      </c>
      <c r="AJ256" s="47">
        <v>0</v>
      </c>
      <c r="AK256" s="47">
        <v>0</v>
      </c>
      <c r="AL256" s="47">
        <v>0</v>
      </c>
      <c r="AM256" s="47">
        <v>0</v>
      </c>
      <c r="AN256" s="47">
        <v>0</v>
      </c>
      <c r="AO256" s="47">
        <v>0</v>
      </c>
      <c r="AP256" s="47">
        <v>0</v>
      </c>
      <c r="AQ256" s="47">
        <v>0</v>
      </c>
      <c r="AR256" s="47">
        <v>0</v>
      </c>
      <c r="AS256" s="47"/>
      <c r="AT256" s="47"/>
      <c r="AU256" s="47"/>
      <c r="AV256" s="47"/>
      <c r="AW256" s="47"/>
      <c r="AX256" s="47"/>
      <c r="AY256" s="47"/>
      <c r="AZ256" s="47"/>
      <c r="BA256" s="47"/>
      <c r="BB256" s="47"/>
      <c r="BC256" s="47"/>
      <c r="BD256" s="47"/>
      <c r="BE256" s="47"/>
      <c r="BF256" s="47"/>
    </row>
    <row r="257" spans="1:58" hidden="1">
      <c r="A257" s="46" t="s">
        <v>282</v>
      </c>
      <c r="B257" s="46" t="s">
        <v>276</v>
      </c>
      <c r="C257" s="47">
        <v>1054810</v>
      </c>
      <c r="D257" s="47">
        <v>1072629</v>
      </c>
      <c r="E257" s="47">
        <v>1076987</v>
      </c>
      <c r="F257" s="47">
        <v>1066675</v>
      </c>
      <c r="G257" s="47">
        <v>1075019</v>
      </c>
      <c r="H257" s="47">
        <v>1088092</v>
      </c>
      <c r="I257" s="47">
        <v>1074107</v>
      </c>
      <c r="J257" s="47">
        <v>1038044</v>
      </c>
      <c r="K257" s="47">
        <v>1031393</v>
      </c>
      <c r="L257" s="47">
        <v>1061934</v>
      </c>
      <c r="M257" s="47">
        <v>1033692</v>
      </c>
      <c r="N257" s="47">
        <v>1083060</v>
      </c>
      <c r="O257" s="47">
        <v>1052963</v>
      </c>
      <c r="P257" s="47">
        <v>1033836</v>
      </c>
      <c r="Q257" s="85">
        <v>84.24</v>
      </c>
      <c r="R257" s="85">
        <v>82.59</v>
      </c>
      <c r="S257" s="85">
        <v>81.319999999999993</v>
      </c>
      <c r="T257" s="85">
        <v>88.66</v>
      </c>
      <c r="U257" s="85">
        <v>88.97</v>
      </c>
      <c r="V257" s="85">
        <v>95.04</v>
      </c>
      <c r="W257" s="85">
        <v>58.58</v>
      </c>
      <c r="X257" s="85">
        <v>86.06</v>
      </c>
      <c r="Y257" s="85">
        <v>82.75</v>
      </c>
      <c r="Z257" s="85">
        <v>92.03</v>
      </c>
      <c r="AA257" s="85">
        <v>83.58</v>
      </c>
      <c r="AB257" s="85">
        <v>82.38</v>
      </c>
      <c r="AC257" s="85">
        <v>87.37</v>
      </c>
      <c r="AD257" s="85">
        <v>88.62</v>
      </c>
      <c r="AE257" s="47">
        <v>88852918</v>
      </c>
      <c r="AF257" s="47">
        <v>88585918</v>
      </c>
      <c r="AG257" s="47">
        <v>87585224</v>
      </c>
      <c r="AH257" s="47">
        <v>94572814</v>
      </c>
      <c r="AI257" s="47">
        <v>95644043</v>
      </c>
      <c r="AJ257" s="47">
        <v>103415903</v>
      </c>
      <c r="AK257" s="47">
        <v>62920085</v>
      </c>
      <c r="AL257" s="47">
        <v>89338203</v>
      </c>
      <c r="AM257" s="47">
        <v>85349111</v>
      </c>
      <c r="AN257" s="47">
        <v>97728327</v>
      </c>
      <c r="AO257" s="47">
        <v>86400412</v>
      </c>
      <c r="AP257" s="47">
        <v>89225050</v>
      </c>
      <c r="AQ257" s="47">
        <v>92001736</v>
      </c>
      <c r="AR257" s="47">
        <v>91621155</v>
      </c>
      <c r="AS257" s="47"/>
      <c r="AT257" s="47"/>
      <c r="AU257" s="47"/>
      <c r="AV257" s="47"/>
      <c r="AW257" s="47"/>
      <c r="AX257" s="47"/>
      <c r="AY257" s="47"/>
      <c r="AZ257" s="47"/>
      <c r="BA257" s="47"/>
      <c r="BB257" s="47"/>
      <c r="BC257" s="47"/>
      <c r="BD257" s="47"/>
      <c r="BE257" s="47"/>
      <c r="BF257" s="47"/>
    </row>
    <row r="258" spans="1:58" hidden="1">
      <c r="A258" s="46" t="s">
        <v>282</v>
      </c>
      <c r="B258" s="46" t="s">
        <v>277</v>
      </c>
      <c r="C258" s="47">
        <v>0</v>
      </c>
      <c r="D258" s="47">
        <v>0</v>
      </c>
      <c r="E258" s="47">
        <v>0</v>
      </c>
      <c r="F258" s="47">
        <v>0</v>
      </c>
      <c r="G258" s="47">
        <v>0</v>
      </c>
      <c r="H258" s="47">
        <v>0</v>
      </c>
      <c r="I258" s="47">
        <v>0</v>
      </c>
      <c r="J258" s="47">
        <v>0</v>
      </c>
      <c r="K258" s="47">
        <v>0</v>
      </c>
      <c r="L258" s="47">
        <v>0</v>
      </c>
      <c r="M258" s="47">
        <v>0</v>
      </c>
      <c r="N258" s="47">
        <v>0</v>
      </c>
      <c r="O258" s="47">
        <v>0</v>
      </c>
      <c r="P258" s="47">
        <v>0</v>
      </c>
      <c r="Q258" s="85"/>
      <c r="R258" s="85"/>
      <c r="S258" s="85"/>
      <c r="T258" s="85"/>
      <c r="U258" s="85"/>
      <c r="V258" s="85"/>
      <c r="W258" s="85"/>
      <c r="X258" s="85"/>
      <c r="Y258" s="85"/>
      <c r="Z258" s="85"/>
      <c r="AA258" s="85"/>
      <c r="AB258" s="85"/>
      <c r="AC258" s="85"/>
      <c r="AD258" s="85"/>
      <c r="AE258" s="47">
        <v>17749745</v>
      </c>
      <c r="AF258" s="47">
        <v>17979000</v>
      </c>
      <c r="AG258" s="47">
        <v>23207799</v>
      </c>
      <c r="AH258" s="47">
        <v>24124630</v>
      </c>
      <c r="AI258" s="47">
        <v>19532499</v>
      </c>
      <c r="AJ258" s="47">
        <v>18703828</v>
      </c>
      <c r="AK258" s="47">
        <v>18642750</v>
      </c>
      <c r="AL258" s="47">
        <v>18223840</v>
      </c>
      <c r="AM258" s="47">
        <v>17769975</v>
      </c>
      <c r="AN258" s="47">
        <v>18187200</v>
      </c>
      <c r="AO258" s="47">
        <v>17281670</v>
      </c>
      <c r="AP258" s="47">
        <v>17979383</v>
      </c>
      <c r="AQ258" s="47">
        <v>17672820</v>
      </c>
      <c r="AR258" s="47">
        <v>17481416</v>
      </c>
      <c r="AS258" s="47"/>
      <c r="AT258" s="47"/>
      <c r="AU258" s="47"/>
      <c r="AV258" s="47"/>
      <c r="AW258" s="47"/>
      <c r="AX258" s="47"/>
      <c r="AY258" s="47"/>
      <c r="AZ258" s="47"/>
      <c r="BA258" s="47"/>
      <c r="BB258" s="47"/>
      <c r="BC258" s="47"/>
      <c r="BD258" s="47"/>
      <c r="BE258" s="47"/>
      <c r="BF258" s="47"/>
    </row>
    <row r="259" spans="1:58" hidden="1">
      <c r="A259" s="46" t="s">
        <v>282</v>
      </c>
      <c r="B259" s="46" t="s">
        <v>65</v>
      </c>
      <c r="C259" s="47">
        <v>137440</v>
      </c>
      <c r="D259" s="47">
        <v>154233</v>
      </c>
      <c r="E259" s="47">
        <v>175119</v>
      </c>
      <c r="F259" s="47">
        <v>179257</v>
      </c>
      <c r="G259" s="47">
        <v>170115</v>
      </c>
      <c r="H259" s="47">
        <v>156936</v>
      </c>
      <c r="I259" s="47">
        <v>161150</v>
      </c>
      <c r="J259" s="47">
        <v>155070</v>
      </c>
      <c r="K259" s="47">
        <v>162000</v>
      </c>
      <c r="L259" s="47">
        <v>139895</v>
      </c>
      <c r="M259" s="47">
        <v>137735</v>
      </c>
      <c r="N259" s="47">
        <v>115230</v>
      </c>
      <c r="O259" s="47">
        <v>133615</v>
      </c>
      <c r="P259" s="47">
        <v>145090</v>
      </c>
      <c r="Q259" s="85">
        <v>38.25</v>
      </c>
      <c r="R259" s="85">
        <v>43.44</v>
      </c>
      <c r="S259" s="85">
        <v>39.54</v>
      </c>
      <c r="T259" s="85">
        <v>37.47</v>
      </c>
      <c r="U259" s="85">
        <v>39.549999999999997</v>
      </c>
      <c r="V259" s="85">
        <v>41.03</v>
      </c>
      <c r="W259" s="85">
        <v>32.1</v>
      </c>
      <c r="X259" s="85">
        <v>43.24</v>
      </c>
      <c r="Y259" s="85">
        <v>36.18</v>
      </c>
      <c r="Z259" s="85">
        <v>36.799999999999997</v>
      </c>
      <c r="AA259" s="85">
        <v>33.14</v>
      </c>
      <c r="AB259" s="85">
        <v>33.700000000000003</v>
      </c>
      <c r="AC259" s="85">
        <v>44.17</v>
      </c>
      <c r="AD259" s="85">
        <v>36.39</v>
      </c>
      <c r="AE259" s="47">
        <v>5256916</v>
      </c>
      <c r="AF259" s="47">
        <v>6699227</v>
      </c>
      <c r="AG259" s="47">
        <v>6924979</v>
      </c>
      <c r="AH259" s="47">
        <v>6717055</v>
      </c>
      <c r="AI259" s="47">
        <v>6727790</v>
      </c>
      <c r="AJ259" s="47">
        <v>6439620</v>
      </c>
      <c r="AK259" s="47">
        <v>5173250</v>
      </c>
      <c r="AL259" s="47">
        <v>6705295</v>
      </c>
      <c r="AM259" s="47">
        <v>5860900</v>
      </c>
      <c r="AN259" s="47">
        <v>5148300</v>
      </c>
      <c r="AO259" s="47">
        <v>4564920</v>
      </c>
      <c r="AP259" s="47">
        <v>3883810</v>
      </c>
      <c r="AQ259" s="47">
        <v>5902284</v>
      </c>
      <c r="AR259" s="47">
        <v>5279591</v>
      </c>
      <c r="AS259" s="47"/>
      <c r="AT259" s="47"/>
      <c r="AU259" s="47"/>
      <c r="AV259" s="47"/>
      <c r="AW259" s="47"/>
      <c r="AX259" s="47"/>
      <c r="AY259" s="47"/>
      <c r="AZ259" s="47"/>
      <c r="BA259" s="47"/>
      <c r="BB259" s="47"/>
      <c r="BC259" s="47"/>
      <c r="BD259" s="47"/>
      <c r="BE259" s="47"/>
      <c r="BF259" s="47"/>
    </row>
    <row r="260" spans="1:58" hidden="1">
      <c r="A260" s="46" t="s">
        <v>282</v>
      </c>
      <c r="B260" s="46" t="s">
        <v>66</v>
      </c>
      <c r="C260" s="47">
        <v>466</v>
      </c>
      <c r="D260" s="47">
        <v>417</v>
      </c>
      <c r="E260" s="47">
        <v>262</v>
      </c>
      <c r="F260" s="47">
        <v>792</v>
      </c>
      <c r="G260" s="47">
        <v>319</v>
      </c>
      <c r="H260" s="47">
        <v>282</v>
      </c>
      <c r="I260" s="47">
        <v>280</v>
      </c>
      <c r="J260" s="47">
        <v>325</v>
      </c>
      <c r="K260" s="47">
        <v>215</v>
      </c>
      <c r="L260" s="47">
        <v>195</v>
      </c>
      <c r="M260" s="47">
        <v>191</v>
      </c>
      <c r="N260" s="47">
        <v>84</v>
      </c>
      <c r="O260" s="47">
        <v>192</v>
      </c>
      <c r="P260" s="47">
        <v>51</v>
      </c>
      <c r="Q260" s="85">
        <v>38.56</v>
      </c>
      <c r="R260" s="85">
        <v>44.8</v>
      </c>
      <c r="S260" s="85">
        <v>33.9</v>
      </c>
      <c r="T260" s="85">
        <v>34.47</v>
      </c>
      <c r="U260" s="85">
        <v>30.53</v>
      </c>
      <c r="V260" s="85">
        <v>37.07</v>
      </c>
      <c r="W260" s="85">
        <v>32.39</v>
      </c>
      <c r="X260" s="85">
        <v>43.69</v>
      </c>
      <c r="Y260" s="85">
        <v>36.020000000000003</v>
      </c>
      <c r="Z260" s="85">
        <v>39.28</v>
      </c>
      <c r="AA260" s="85">
        <v>33.49</v>
      </c>
      <c r="AB260" s="85">
        <v>34.07</v>
      </c>
      <c r="AC260" s="85">
        <v>38.15</v>
      </c>
      <c r="AD260" s="85">
        <v>34.82</v>
      </c>
      <c r="AE260" s="47">
        <v>17971</v>
      </c>
      <c r="AF260" s="47">
        <v>18682</v>
      </c>
      <c r="AG260" s="47">
        <v>8882</v>
      </c>
      <c r="AH260" s="47">
        <v>27300</v>
      </c>
      <c r="AI260" s="47">
        <v>9740</v>
      </c>
      <c r="AJ260" s="47">
        <v>10455</v>
      </c>
      <c r="AK260" s="47">
        <v>9070</v>
      </c>
      <c r="AL260" s="47">
        <v>14200</v>
      </c>
      <c r="AM260" s="47">
        <v>7745</v>
      </c>
      <c r="AN260" s="47">
        <v>7660</v>
      </c>
      <c r="AO260" s="47">
        <v>6397</v>
      </c>
      <c r="AP260" s="47">
        <v>2862</v>
      </c>
      <c r="AQ260" s="47">
        <v>7325</v>
      </c>
      <c r="AR260" s="47">
        <v>1776</v>
      </c>
      <c r="AS260" s="47"/>
      <c r="AT260" s="47"/>
      <c r="AU260" s="47"/>
      <c r="AV260" s="47"/>
      <c r="AW260" s="47"/>
      <c r="AX260" s="47"/>
      <c r="AY260" s="47"/>
      <c r="AZ260" s="47"/>
      <c r="BA260" s="47"/>
      <c r="BB260" s="47"/>
      <c r="BC260" s="47"/>
      <c r="BD260" s="47"/>
      <c r="BE260" s="47"/>
      <c r="BF260" s="47"/>
    </row>
    <row r="261" spans="1:58" hidden="1">
      <c r="A261" s="46" t="s">
        <v>282</v>
      </c>
      <c r="B261" s="46" t="s">
        <v>67</v>
      </c>
      <c r="C261" s="47">
        <v>137906</v>
      </c>
      <c r="D261" s="47">
        <v>154650</v>
      </c>
      <c r="E261" s="47">
        <v>175381</v>
      </c>
      <c r="F261" s="47">
        <v>180049</v>
      </c>
      <c r="G261" s="47">
        <v>170434</v>
      </c>
      <c r="H261" s="47">
        <v>157218</v>
      </c>
      <c r="I261" s="47">
        <v>161430</v>
      </c>
      <c r="J261" s="47">
        <v>155395</v>
      </c>
      <c r="K261" s="47">
        <v>162215</v>
      </c>
      <c r="L261" s="47">
        <v>140090</v>
      </c>
      <c r="M261" s="47">
        <v>137926</v>
      </c>
      <c r="N261" s="47">
        <v>115314</v>
      </c>
      <c r="O261" s="47">
        <v>133807</v>
      </c>
      <c r="P261" s="47">
        <v>145141</v>
      </c>
      <c r="Q261" s="85">
        <v>38.25</v>
      </c>
      <c r="R261" s="85">
        <v>43.44</v>
      </c>
      <c r="S261" s="85">
        <v>39.54</v>
      </c>
      <c r="T261" s="85">
        <v>37.46</v>
      </c>
      <c r="U261" s="85">
        <v>39.53</v>
      </c>
      <c r="V261" s="85">
        <v>41.03</v>
      </c>
      <c r="W261" s="85">
        <v>32.1</v>
      </c>
      <c r="X261" s="85">
        <v>43.24</v>
      </c>
      <c r="Y261" s="85">
        <v>36.18</v>
      </c>
      <c r="Z261" s="85">
        <v>36.799999999999997</v>
      </c>
      <c r="AA261" s="85">
        <v>33.14</v>
      </c>
      <c r="AB261" s="85">
        <v>33.71</v>
      </c>
      <c r="AC261" s="85">
        <v>44.17</v>
      </c>
      <c r="AD261" s="85">
        <v>36.39</v>
      </c>
      <c r="AE261" s="47">
        <v>5274887</v>
      </c>
      <c r="AF261" s="47">
        <v>6717909</v>
      </c>
      <c r="AG261" s="47">
        <v>6933861</v>
      </c>
      <c r="AH261" s="47">
        <v>6744355</v>
      </c>
      <c r="AI261" s="47">
        <v>6737530</v>
      </c>
      <c r="AJ261" s="47">
        <v>6450075</v>
      </c>
      <c r="AK261" s="47">
        <v>5182320</v>
      </c>
      <c r="AL261" s="47">
        <v>6719495</v>
      </c>
      <c r="AM261" s="47">
        <v>5868645</v>
      </c>
      <c r="AN261" s="47">
        <v>5155960</v>
      </c>
      <c r="AO261" s="47">
        <v>4571317</v>
      </c>
      <c r="AP261" s="47">
        <v>3886672</v>
      </c>
      <c r="AQ261" s="47">
        <v>5909609</v>
      </c>
      <c r="AR261" s="47">
        <v>5281367</v>
      </c>
      <c r="AS261" s="47"/>
      <c r="AT261" s="47"/>
      <c r="AU261" s="47"/>
      <c r="AV261" s="47"/>
      <c r="AW261" s="47"/>
      <c r="AX261" s="47"/>
      <c r="AY261" s="47"/>
      <c r="AZ261" s="47"/>
      <c r="BA261" s="47"/>
      <c r="BB261" s="47"/>
      <c r="BC261" s="47"/>
      <c r="BD261" s="47"/>
      <c r="BE261" s="47"/>
      <c r="BF261" s="47"/>
    </row>
    <row r="262" spans="1:58" hidden="1">
      <c r="A262" s="46" t="s">
        <v>282</v>
      </c>
      <c r="B262" s="46" t="s">
        <v>68</v>
      </c>
      <c r="C262" s="47">
        <v>1679</v>
      </c>
      <c r="D262" s="47">
        <v>1116</v>
      </c>
      <c r="E262" s="47">
        <v>1175</v>
      </c>
      <c r="F262" s="47">
        <v>922</v>
      </c>
      <c r="G262" s="47">
        <v>571</v>
      </c>
      <c r="H262" s="47">
        <v>472</v>
      </c>
      <c r="I262" s="47">
        <v>292</v>
      </c>
      <c r="J262" s="47">
        <v>680</v>
      </c>
      <c r="K262" s="47">
        <v>580</v>
      </c>
      <c r="L262" s="47">
        <v>1130</v>
      </c>
      <c r="M262" s="47">
        <v>2734</v>
      </c>
      <c r="N262" s="47">
        <v>6058</v>
      </c>
      <c r="O262" s="47">
        <v>10200</v>
      </c>
      <c r="P262" s="47">
        <v>10619</v>
      </c>
      <c r="Q262" s="85">
        <v>25.23</v>
      </c>
      <c r="R262" s="85">
        <v>29</v>
      </c>
      <c r="S262" s="85">
        <v>22</v>
      </c>
      <c r="T262" s="85">
        <v>22</v>
      </c>
      <c r="U262" s="85">
        <v>22</v>
      </c>
      <c r="V262" s="85">
        <v>22</v>
      </c>
      <c r="W262" s="85">
        <v>23.77</v>
      </c>
      <c r="X262" s="85">
        <v>28.35</v>
      </c>
      <c r="Y262" s="85">
        <v>23.01</v>
      </c>
      <c r="Z262" s="85">
        <v>29.57</v>
      </c>
      <c r="AA262" s="85">
        <v>32.47</v>
      </c>
      <c r="AB262" s="85">
        <v>29.98</v>
      </c>
      <c r="AC262" s="85">
        <v>31.49</v>
      </c>
      <c r="AD262" s="85">
        <v>31.06</v>
      </c>
      <c r="AE262" s="47">
        <v>42355</v>
      </c>
      <c r="AF262" s="47">
        <v>32364</v>
      </c>
      <c r="AG262" s="47">
        <v>25853</v>
      </c>
      <c r="AH262" s="47">
        <v>20286</v>
      </c>
      <c r="AI262" s="47">
        <v>12564</v>
      </c>
      <c r="AJ262" s="47">
        <v>10384</v>
      </c>
      <c r="AK262" s="47">
        <v>6942</v>
      </c>
      <c r="AL262" s="47">
        <v>19280</v>
      </c>
      <c r="AM262" s="47">
        <v>13345</v>
      </c>
      <c r="AN262" s="47">
        <v>33410</v>
      </c>
      <c r="AO262" s="47">
        <v>88761</v>
      </c>
      <c r="AP262" s="47">
        <v>181614</v>
      </c>
      <c r="AQ262" s="47">
        <v>321244</v>
      </c>
      <c r="AR262" s="47">
        <v>329851</v>
      </c>
      <c r="AS262" s="47"/>
      <c r="AT262" s="47"/>
      <c r="AU262" s="47"/>
      <c r="AV262" s="47"/>
      <c r="AW262" s="47"/>
      <c r="AX262" s="47"/>
      <c r="AY262" s="47"/>
      <c r="AZ262" s="47"/>
      <c r="BA262" s="47"/>
      <c r="BB262" s="47"/>
      <c r="BC262" s="47"/>
      <c r="BD262" s="47"/>
      <c r="BE262" s="47"/>
      <c r="BF262" s="47"/>
    </row>
    <row r="263" spans="1:58" hidden="1">
      <c r="A263" s="46" t="s">
        <v>282</v>
      </c>
      <c r="B263" s="46" t="s">
        <v>69</v>
      </c>
      <c r="C263" s="47">
        <v>16</v>
      </c>
      <c r="D263" s="47">
        <v>0</v>
      </c>
      <c r="E263" s="47">
        <v>0</v>
      </c>
      <c r="F263" s="47">
        <v>0</v>
      </c>
      <c r="G263" s="47">
        <v>0</v>
      </c>
      <c r="H263" s="47">
        <v>191</v>
      </c>
      <c r="I263" s="47">
        <v>80</v>
      </c>
      <c r="J263" s="47">
        <v>75</v>
      </c>
      <c r="K263" s="47">
        <v>200</v>
      </c>
      <c r="L263" s="47">
        <v>214</v>
      </c>
      <c r="M263" s="47">
        <v>279</v>
      </c>
      <c r="N263" s="47">
        <v>349</v>
      </c>
      <c r="O263" s="47">
        <v>485</v>
      </c>
      <c r="P263" s="47">
        <v>414</v>
      </c>
      <c r="Q263" s="85">
        <v>29</v>
      </c>
      <c r="R263" s="85"/>
      <c r="S263" s="85"/>
      <c r="T263" s="85"/>
      <c r="U263" s="85"/>
      <c r="V263" s="85">
        <v>40</v>
      </c>
      <c r="W263" s="85">
        <v>40</v>
      </c>
      <c r="X263" s="85">
        <v>40</v>
      </c>
      <c r="Y263" s="85">
        <v>30</v>
      </c>
      <c r="Z263" s="85">
        <v>30</v>
      </c>
      <c r="AA263" s="85">
        <v>30.05</v>
      </c>
      <c r="AB263" s="85">
        <v>30</v>
      </c>
      <c r="AC263" s="85">
        <v>26.38</v>
      </c>
      <c r="AD263" s="85">
        <v>33.39</v>
      </c>
      <c r="AE263" s="47">
        <v>464</v>
      </c>
      <c r="AF263" s="47">
        <v>0</v>
      </c>
      <c r="AG263" s="47">
        <v>0</v>
      </c>
      <c r="AH263" s="47">
        <v>0</v>
      </c>
      <c r="AI263" s="47">
        <v>0</v>
      </c>
      <c r="AJ263" s="47">
        <v>7640</v>
      </c>
      <c r="AK263" s="47">
        <v>3200</v>
      </c>
      <c r="AL263" s="47">
        <v>3000</v>
      </c>
      <c r="AM263" s="47">
        <v>6000</v>
      </c>
      <c r="AN263" s="47">
        <v>6420</v>
      </c>
      <c r="AO263" s="47">
        <v>8385</v>
      </c>
      <c r="AP263" s="47">
        <v>10470</v>
      </c>
      <c r="AQ263" s="47">
        <v>12794</v>
      </c>
      <c r="AR263" s="47">
        <v>13824</v>
      </c>
      <c r="AS263" s="47"/>
      <c r="AT263" s="47"/>
      <c r="AU263" s="47"/>
      <c r="AV263" s="47"/>
      <c r="AW263" s="47"/>
      <c r="AX263" s="47"/>
      <c r="AY263" s="47"/>
      <c r="AZ263" s="47"/>
      <c r="BA263" s="47"/>
      <c r="BB263" s="47"/>
      <c r="BC263" s="47"/>
      <c r="BD263" s="47"/>
      <c r="BE263" s="47"/>
      <c r="BF263" s="47"/>
    </row>
    <row r="264" spans="1:58" hidden="1">
      <c r="A264" s="46" t="s">
        <v>282</v>
      </c>
      <c r="B264" s="46" t="s">
        <v>70</v>
      </c>
      <c r="C264" s="47">
        <v>2316</v>
      </c>
      <c r="D264" s="47">
        <v>1847</v>
      </c>
      <c r="E264" s="47">
        <v>485</v>
      </c>
      <c r="F264" s="47">
        <v>340</v>
      </c>
      <c r="G264" s="47">
        <v>371</v>
      </c>
      <c r="H264" s="47">
        <v>802</v>
      </c>
      <c r="I264" s="47">
        <v>1283</v>
      </c>
      <c r="J264" s="47">
        <v>1153</v>
      </c>
      <c r="K264" s="47">
        <v>705</v>
      </c>
      <c r="L264" s="47">
        <v>634</v>
      </c>
      <c r="M264" s="47">
        <v>735</v>
      </c>
      <c r="N264" s="47">
        <v>673</v>
      </c>
      <c r="O264" s="47">
        <v>481</v>
      </c>
      <c r="P264" s="47">
        <v>589</v>
      </c>
      <c r="Q264" s="85">
        <v>22.15</v>
      </c>
      <c r="R264" s="85">
        <v>20.010000000000002</v>
      </c>
      <c r="S264" s="85">
        <v>21.87</v>
      </c>
      <c r="T264" s="85">
        <v>21.85</v>
      </c>
      <c r="U264" s="85">
        <v>20.170000000000002</v>
      </c>
      <c r="V264" s="85">
        <v>22.4</v>
      </c>
      <c r="W264" s="85">
        <v>18</v>
      </c>
      <c r="X264" s="85">
        <v>22.91</v>
      </c>
      <c r="Y264" s="85">
        <v>20.8</v>
      </c>
      <c r="Z264" s="85">
        <v>21.01</v>
      </c>
      <c r="AA264" s="85">
        <v>21.3</v>
      </c>
      <c r="AB264" s="85">
        <v>20</v>
      </c>
      <c r="AC264" s="85">
        <v>21.51</v>
      </c>
      <c r="AD264" s="85">
        <v>20.43</v>
      </c>
      <c r="AE264" s="47">
        <v>51300</v>
      </c>
      <c r="AF264" s="47">
        <v>36954</v>
      </c>
      <c r="AG264" s="47">
        <v>10609</v>
      </c>
      <c r="AH264" s="47">
        <v>7430</v>
      </c>
      <c r="AI264" s="47">
        <v>7482</v>
      </c>
      <c r="AJ264" s="47">
        <v>17966</v>
      </c>
      <c r="AK264" s="47">
        <v>23094</v>
      </c>
      <c r="AL264" s="47">
        <v>26420</v>
      </c>
      <c r="AM264" s="47">
        <v>14665</v>
      </c>
      <c r="AN264" s="47">
        <v>13320</v>
      </c>
      <c r="AO264" s="47">
        <v>15653</v>
      </c>
      <c r="AP264" s="47">
        <v>13460</v>
      </c>
      <c r="AQ264" s="47">
        <v>10348</v>
      </c>
      <c r="AR264" s="47">
        <v>12036</v>
      </c>
      <c r="AS264" s="47"/>
      <c r="AT264" s="47"/>
      <c r="AU264" s="47"/>
      <c r="AV264" s="47"/>
      <c r="AW264" s="47"/>
      <c r="AX264" s="47"/>
      <c r="AY264" s="47"/>
      <c r="AZ264" s="47"/>
      <c r="BA264" s="47"/>
      <c r="BB264" s="47"/>
      <c r="BC264" s="47"/>
      <c r="BD264" s="47"/>
      <c r="BE264" s="47"/>
      <c r="BF264" s="47"/>
    </row>
    <row r="265" spans="1:58" hidden="1">
      <c r="A265" s="46" t="s">
        <v>282</v>
      </c>
      <c r="B265" s="46" t="s">
        <v>71</v>
      </c>
      <c r="C265" s="47">
        <v>819</v>
      </c>
      <c r="D265" s="47">
        <v>409</v>
      </c>
      <c r="E265" s="47">
        <v>345</v>
      </c>
      <c r="F265" s="47">
        <v>378</v>
      </c>
      <c r="G265" s="47">
        <v>382</v>
      </c>
      <c r="H265" s="47">
        <v>541</v>
      </c>
      <c r="I265" s="47">
        <v>370</v>
      </c>
      <c r="J265" s="47">
        <v>380</v>
      </c>
      <c r="K265" s="47">
        <v>425</v>
      </c>
      <c r="L265" s="47">
        <v>500</v>
      </c>
      <c r="M265" s="47">
        <v>612</v>
      </c>
      <c r="N265" s="47">
        <v>550</v>
      </c>
      <c r="O265" s="47">
        <v>519</v>
      </c>
      <c r="P265" s="47">
        <v>363</v>
      </c>
      <c r="Q265" s="85"/>
      <c r="R265" s="85"/>
      <c r="S265" s="85"/>
      <c r="T265" s="85"/>
      <c r="U265" s="85"/>
      <c r="V265" s="85"/>
      <c r="W265" s="85"/>
      <c r="X265" s="85"/>
      <c r="Y265" s="85"/>
      <c r="Z265" s="85"/>
      <c r="AA265" s="85"/>
      <c r="AB265" s="85"/>
      <c r="AC265" s="85"/>
      <c r="AD265" s="85"/>
      <c r="AE265" s="47">
        <v>21240</v>
      </c>
      <c r="AF265" s="47">
        <v>8179</v>
      </c>
      <c r="AG265" s="47">
        <v>7090</v>
      </c>
      <c r="AH265" s="47">
        <v>7765</v>
      </c>
      <c r="AI265" s="47">
        <v>7640</v>
      </c>
      <c r="AJ265" s="47">
        <v>11067</v>
      </c>
      <c r="AK265" s="47">
        <v>7545</v>
      </c>
      <c r="AL265" s="47">
        <v>8265</v>
      </c>
      <c r="AM265" s="47">
        <v>8675</v>
      </c>
      <c r="AN265" s="47">
        <v>11095</v>
      </c>
      <c r="AO265" s="47">
        <v>12761</v>
      </c>
      <c r="AP265" s="47">
        <v>11000</v>
      </c>
      <c r="AQ265" s="47">
        <v>10951</v>
      </c>
      <c r="AR265" s="47">
        <v>7551</v>
      </c>
      <c r="AS265" s="47"/>
      <c r="AT265" s="47"/>
      <c r="AU265" s="47"/>
      <c r="AV265" s="47"/>
      <c r="AW265" s="47"/>
      <c r="AX265" s="47"/>
      <c r="AY265" s="47"/>
      <c r="AZ265" s="47"/>
      <c r="BA265" s="47"/>
      <c r="BB265" s="47"/>
      <c r="BC265" s="47"/>
      <c r="BD265" s="47"/>
      <c r="BE265" s="47"/>
      <c r="BF265" s="47"/>
    </row>
    <row r="266" spans="1:58" hidden="1">
      <c r="A266" s="46" t="s">
        <v>282</v>
      </c>
      <c r="B266" s="46" t="s">
        <v>72</v>
      </c>
      <c r="C266" s="47">
        <v>142736</v>
      </c>
      <c r="D266" s="47">
        <v>158022</v>
      </c>
      <c r="E266" s="47">
        <v>177386</v>
      </c>
      <c r="F266" s="47">
        <v>181689</v>
      </c>
      <c r="G266" s="47">
        <v>171758</v>
      </c>
      <c r="H266" s="47">
        <v>159224</v>
      </c>
      <c r="I266" s="47">
        <v>163455</v>
      </c>
      <c r="J266" s="47">
        <v>157683</v>
      </c>
      <c r="K266" s="47">
        <v>164125</v>
      </c>
      <c r="L266" s="47">
        <v>142568</v>
      </c>
      <c r="M266" s="47">
        <v>142286</v>
      </c>
      <c r="N266" s="47">
        <v>122944</v>
      </c>
      <c r="O266" s="47">
        <v>145492</v>
      </c>
      <c r="P266" s="47">
        <v>157126</v>
      </c>
      <c r="Q266" s="85">
        <v>37.76</v>
      </c>
      <c r="R266" s="85">
        <v>43</v>
      </c>
      <c r="S266" s="85">
        <v>39.33</v>
      </c>
      <c r="T266" s="85">
        <v>37.32</v>
      </c>
      <c r="U266" s="85">
        <v>39.39</v>
      </c>
      <c r="V266" s="85">
        <v>40.799999999999997</v>
      </c>
      <c r="W266" s="85">
        <v>31.95</v>
      </c>
      <c r="X266" s="85">
        <v>42.98</v>
      </c>
      <c r="Y266" s="85">
        <v>36.020000000000003</v>
      </c>
      <c r="Z266" s="85">
        <v>36.619999999999997</v>
      </c>
      <c r="AA266" s="85">
        <v>33.01</v>
      </c>
      <c r="AB266" s="85">
        <v>33.369999999999997</v>
      </c>
      <c r="AC266" s="85">
        <v>43.06</v>
      </c>
      <c r="AD266" s="85">
        <v>35.92</v>
      </c>
      <c r="AE266" s="47">
        <v>5390246</v>
      </c>
      <c r="AF266" s="47">
        <v>6795406</v>
      </c>
      <c r="AG266" s="47">
        <v>6977413</v>
      </c>
      <c r="AH266" s="47">
        <v>6779836</v>
      </c>
      <c r="AI266" s="47">
        <v>6765216</v>
      </c>
      <c r="AJ266" s="47">
        <v>6497132</v>
      </c>
      <c r="AK266" s="47">
        <v>5223101</v>
      </c>
      <c r="AL266" s="47">
        <v>6776460</v>
      </c>
      <c r="AM266" s="47">
        <v>5911330</v>
      </c>
      <c r="AN266" s="47">
        <v>5220205</v>
      </c>
      <c r="AO266" s="47">
        <v>4696877</v>
      </c>
      <c r="AP266" s="47">
        <v>4103216</v>
      </c>
      <c r="AQ266" s="47">
        <v>6264946</v>
      </c>
      <c r="AR266" s="47">
        <v>5644629</v>
      </c>
      <c r="AS266" s="47"/>
      <c r="AT266" s="47"/>
      <c r="AU266" s="47"/>
      <c r="AV266" s="47"/>
      <c r="AW266" s="47"/>
      <c r="AX266" s="47"/>
      <c r="AY266" s="47"/>
      <c r="AZ266" s="47"/>
      <c r="BA266" s="47"/>
      <c r="BB266" s="47"/>
      <c r="BC266" s="47"/>
      <c r="BD266" s="47"/>
      <c r="BE266" s="47"/>
      <c r="BF266" s="47"/>
    </row>
    <row r="267" spans="1:58" hidden="1">
      <c r="A267" s="46" t="s">
        <v>282</v>
      </c>
      <c r="B267" s="46" t="s">
        <v>73</v>
      </c>
      <c r="C267" s="47">
        <v>0</v>
      </c>
      <c r="D267" s="47">
        <v>0</v>
      </c>
      <c r="E267" s="47">
        <v>0</v>
      </c>
      <c r="F267" s="47">
        <v>0</v>
      </c>
      <c r="G267" s="47">
        <v>0</v>
      </c>
      <c r="H267" s="47">
        <v>0</v>
      </c>
      <c r="I267" s="47">
        <v>0</v>
      </c>
      <c r="J267" s="47">
        <v>0</v>
      </c>
      <c r="K267" s="47">
        <v>0</v>
      </c>
      <c r="L267" s="47">
        <v>0</v>
      </c>
      <c r="M267" s="47">
        <v>0</v>
      </c>
      <c r="N267" s="47">
        <v>0</v>
      </c>
      <c r="O267" s="47">
        <v>0</v>
      </c>
      <c r="P267" s="47">
        <v>0</v>
      </c>
      <c r="Q267" s="85"/>
      <c r="R267" s="85"/>
      <c r="S267" s="85"/>
      <c r="T267" s="85"/>
      <c r="U267" s="85"/>
      <c r="V267" s="85"/>
      <c r="W267" s="85"/>
      <c r="X267" s="85"/>
      <c r="Y267" s="85"/>
      <c r="Z267" s="85"/>
      <c r="AA267" s="85"/>
      <c r="AB267" s="85"/>
      <c r="AC267" s="85"/>
      <c r="AD267" s="85"/>
      <c r="AE267" s="47">
        <v>0</v>
      </c>
      <c r="AF267" s="47">
        <v>0</v>
      </c>
      <c r="AG267" s="47">
        <v>0</v>
      </c>
      <c r="AH267" s="47">
        <v>0</v>
      </c>
      <c r="AI267" s="47">
        <v>0</v>
      </c>
      <c r="AJ267" s="47">
        <v>0</v>
      </c>
      <c r="AK267" s="47">
        <v>0</v>
      </c>
      <c r="AL267" s="47">
        <v>0</v>
      </c>
      <c r="AM267" s="47">
        <v>0</v>
      </c>
      <c r="AN267" s="47">
        <v>0</v>
      </c>
      <c r="AO267" s="47">
        <v>0</v>
      </c>
      <c r="AP267" s="47">
        <v>0</v>
      </c>
      <c r="AQ267" s="47">
        <v>0</v>
      </c>
      <c r="AR267" s="47">
        <v>0</v>
      </c>
      <c r="AS267" s="47"/>
      <c r="AT267" s="47"/>
      <c r="AU267" s="47"/>
      <c r="AV267" s="47"/>
      <c r="AW267" s="47"/>
      <c r="AX267" s="47"/>
      <c r="AY267" s="47"/>
      <c r="AZ267" s="47"/>
      <c r="BA267" s="47"/>
      <c r="BB267" s="47"/>
      <c r="BC267" s="47"/>
      <c r="BD267" s="47"/>
      <c r="BE267" s="47"/>
      <c r="BF267" s="47"/>
    </row>
    <row r="268" spans="1:58" hidden="1">
      <c r="A268" s="46" t="s">
        <v>282</v>
      </c>
      <c r="B268" s="46" t="s">
        <v>74</v>
      </c>
      <c r="C268" s="47">
        <v>51556</v>
      </c>
      <c r="D268" s="47">
        <v>27092</v>
      </c>
      <c r="E268" s="47">
        <v>17865</v>
      </c>
      <c r="F268" s="47">
        <v>20824</v>
      </c>
      <c r="G268" s="47">
        <v>19600</v>
      </c>
      <c r="H268" s="47">
        <v>22145</v>
      </c>
      <c r="I268" s="47">
        <v>12070</v>
      </c>
      <c r="J268" s="47">
        <v>7470</v>
      </c>
      <c r="K268" s="47">
        <v>3390</v>
      </c>
      <c r="L268" s="47">
        <v>3510</v>
      </c>
      <c r="M268" s="47">
        <v>5570</v>
      </c>
      <c r="N268" s="47">
        <v>4340</v>
      </c>
      <c r="O268" s="47">
        <v>4911</v>
      </c>
      <c r="P268" s="47">
        <v>6906</v>
      </c>
      <c r="Q268" s="85">
        <v>35.03</v>
      </c>
      <c r="R268" s="85">
        <v>44.15</v>
      </c>
      <c r="S268" s="85">
        <v>54.23</v>
      </c>
      <c r="T268" s="85">
        <v>40.61</v>
      </c>
      <c r="U268" s="85">
        <v>42.68</v>
      </c>
      <c r="V268" s="85">
        <v>31.89</v>
      </c>
      <c r="W268" s="85">
        <v>34.49</v>
      </c>
      <c r="X268" s="85">
        <v>26.59</v>
      </c>
      <c r="Y268" s="85">
        <v>37.6</v>
      </c>
      <c r="Z268" s="85">
        <v>37.17</v>
      </c>
      <c r="AA268" s="85">
        <v>36.86</v>
      </c>
      <c r="AB268" s="85">
        <v>39</v>
      </c>
      <c r="AC268" s="85">
        <v>37</v>
      </c>
      <c r="AD268" s="85">
        <v>40.770000000000003</v>
      </c>
      <c r="AE268" s="47">
        <v>1805756</v>
      </c>
      <c r="AF268" s="47">
        <v>1196116</v>
      </c>
      <c r="AG268" s="47">
        <v>968800</v>
      </c>
      <c r="AH268" s="47">
        <v>845758</v>
      </c>
      <c r="AI268" s="47">
        <v>836568</v>
      </c>
      <c r="AJ268" s="47">
        <v>706117</v>
      </c>
      <c r="AK268" s="47">
        <v>416350</v>
      </c>
      <c r="AL268" s="47">
        <v>198600</v>
      </c>
      <c r="AM268" s="47">
        <v>127450</v>
      </c>
      <c r="AN268" s="47">
        <v>130475</v>
      </c>
      <c r="AO268" s="47">
        <v>205292</v>
      </c>
      <c r="AP268" s="47">
        <v>169260</v>
      </c>
      <c r="AQ268" s="47">
        <v>181725</v>
      </c>
      <c r="AR268" s="47">
        <v>281560</v>
      </c>
      <c r="AS268" s="47"/>
      <c r="AT268" s="47"/>
      <c r="AU268" s="47"/>
      <c r="AV268" s="47"/>
      <c r="AW268" s="47"/>
      <c r="AX268" s="47"/>
      <c r="AY268" s="47"/>
      <c r="AZ268" s="47"/>
      <c r="BA268" s="47"/>
      <c r="BB268" s="47"/>
      <c r="BC268" s="47"/>
      <c r="BD268" s="47"/>
      <c r="BE268" s="47"/>
      <c r="BF268" s="47"/>
    </row>
    <row r="269" spans="1:58" hidden="1">
      <c r="A269" s="46" t="s">
        <v>282</v>
      </c>
      <c r="B269" s="46" t="s">
        <v>75</v>
      </c>
      <c r="C269" s="47">
        <v>387</v>
      </c>
      <c r="D269" s="47">
        <v>384</v>
      </c>
      <c r="E269" s="47">
        <v>388</v>
      </c>
      <c r="F269" s="47">
        <v>537</v>
      </c>
      <c r="G269" s="47">
        <v>532</v>
      </c>
      <c r="H269" s="47">
        <v>529</v>
      </c>
      <c r="I269" s="47">
        <v>555</v>
      </c>
      <c r="J269" s="47">
        <v>592</v>
      </c>
      <c r="K269" s="47">
        <v>620</v>
      </c>
      <c r="L269" s="47">
        <v>637</v>
      </c>
      <c r="M269" s="47">
        <v>656</v>
      </c>
      <c r="N269" s="47">
        <v>642</v>
      </c>
      <c r="O269" s="47">
        <v>566</v>
      </c>
      <c r="P269" s="47">
        <v>431</v>
      </c>
      <c r="Q269" s="85">
        <v>36.03</v>
      </c>
      <c r="R269" s="85">
        <v>35.229999999999997</v>
      </c>
      <c r="S269" s="85">
        <v>34.549999999999997</v>
      </c>
      <c r="T269" s="85">
        <v>35.479999999999997</v>
      </c>
      <c r="U269" s="85">
        <v>35.39</v>
      </c>
      <c r="V269" s="85">
        <v>35.68</v>
      </c>
      <c r="W269" s="85">
        <v>34.29</v>
      </c>
      <c r="X269" s="85">
        <v>33.28</v>
      </c>
      <c r="Y269" s="85">
        <v>32.159999999999997</v>
      </c>
      <c r="Z269" s="85">
        <v>52.87</v>
      </c>
      <c r="AA269" s="85">
        <v>29.66</v>
      </c>
      <c r="AB269" s="85">
        <v>32.54</v>
      </c>
      <c r="AC269" s="85">
        <v>31.42</v>
      </c>
      <c r="AD269" s="85">
        <v>30.15</v>
      </c>
      <c r="AE269" s="47">
        <v>13943</v>
      </c>
      <c r="AF269" s="47">
        <v>13527</v>
      </c>
      <c r="AG269" s="47">
        <v>13407</v>
      </c>
      <c r="AH269" s="47">
        <v>19055</v>
      </c>
      <c r="AI269" s="47">
        <v>18829</v>
      </c>
      <c r="AJ269" s="47">
        <v>18876</v>
      </c>
      <c r="AK269" s="47">
        <v>19032</v>
      </c>
      <c r="AL269" s="47">
        <v>19704</v>
      </c>
      <c r="AM269" s="47">
        <v>19940</v>
      </c>
      <c r="AN269" s="47">
        <v>33676</v>
      </c>
      <c r="AO269" s="47">
        <v>19454</v>
      </c>
      <c r="AP269" s="47">
        <v>20888</v>
      </c>
      <c r="AQ269" s="47">
        <v>17785</v>
      </c>
      <c r="AR269" s="47">
        <v>12993</v>
      </c>
      <c r="AS269" s="47"/>
      <c r="AT269" s="47"/>
      <c r="AU269" s="47"/>
      <c r="AV269" s="47"/>
      <c r="AW269" s="47"/>
      <c r="AX269" s="47"/>
      <c r="AY269" s="47"/>
      <c r="AZ269" s="47"/>
      <c r="BA269" s="47"/>
      <c r="BB269" s="47"/>
      <c r="BC269" s="47"/>
      <c r="BD269" s="47"/>
      <c r="BE269" s="47"/>
      <c r="BF269" s="47"/>
    </row>
    <row r="270" spans="1:58" hidden="1">
      <c r="A270" s="46" t="s">
        <v>282</v>
      </c>
      <c r="B270" s="46" t="s">
        <v>76</v>
      </c>
      <c r="C270" s="47">
        <v>35</v>
      </c>
      <c r="D270" s="47">
        <v>51</v>
      </c>
      <c r="E270" s="47">
        <v>64</v>
      </c>
      <c r="F270" s="47">
        <v>91</v>
      </c>
      <c r="G270" s="47">
        <v>127</v>
      </c>
      <c r="H270" s="47">
        <v>172</v>
      </c>
      <c r="I270" s="47">
        <v>188</v>
      </c>
      <c r="J270" s="47">
        <v>431</v>
      </c>
      <c r="K270" s="47">
        <v>536</v>
      </c>
      <c r="L270" s="47">
        <v>598</v>
      </c>
      <c r="M270" s="47">
        <v>714</v>
      </c>
      <c r="N270" s="47">
        <v>691</v>
      </c>
      <c r="O270" s="47">
        <v>574</v>
      </c>
      <c r="P270" s="47">
        <v>551</v>
      </c>
      <c r="Q270" s="85">
        <v>15</v>
      </c>
      <c r="R270" s="85">
        <v>16.45</v>
      </c>
      <c r="S270" s="85">
        <v>16.329999999999998</v>
      </c>
      <c r="T270" s="85">
        <v>16.57</v>
      </c>
      <c r="U270" s="85">
        <v>14.11</v>
      </c>
      <c r="V270" s="85">
        <v>13.93</v>
      </c>
      <c r="W270" s="85">
        <v>14.26</v>
      </c>
      <c r="X270" s="85">
        <v>10.47</v>
      </c>
      <c r="Y270" s="85">
        <v>11.63</v>
      </c>
      <c r="Z270" s="85">
        <v>10.59</v>
      </c>
      <c r="AA270" s="85">
        <v>6.65</v>
      </c>
      <c r="AB270" s="85">
        <v>5.49</v>
      </c>
      <c r="AC270" s="85">
        <v>8.2200000000000006</v>
      </c>
      <c r="AD270" s="85">
        <v>9.66</v>
      </c>
      <c r="AE270" s="47">
        <v>525</v>
      </c>
      <c r="AF270" s="47">
        <v>839</v>
      </c>
      <c r="AG270" s="47">
        <v>1045</v>
      </c>
      <c r="AH270" s="47">
        <v>1508</v>
      </c>
      <c r="AI270" s="47">
        <v>1792</v>
      </c>
      <c r="AJ270" s="47">
        <v>2396</v>
      </c>
      <c r="AK270" s="47">
        <v>2680</v>
      </c>
      <c r="AL270" s="47">
        <v>4512</v>
      </c>
      <c r="AM270" s="47">
        <v>6236</v>
      </c>
      <c r="AN270" s="47">
        <v>6334</v>
      </c>
      <c r="AO270" s="47">
        <v>4747</v>
      </c>
      <c r="AP270" s="47">
        <v>3796</v>
      </c>
      <c r="AQ270" s="47">
        <v>4721</v>
      </c>
      <c r="AR270" s="47">
        <v>5322</v>
      </c>
      <c r="AS270" s="47"/>
      <c r="AT270" s="47"/>
      <c r="AU270" s="47"/>
      <c r="AV270" s="47"/>
      <c r="AW270" s="47"/>
      <c r="AX270" s="47"/>
      <c r="AY270" s="47"/>
      <c r="AZ270" s="47"/>
      <c r="BA270" s="47"/>
      <c r="BB270" s="47"/>
      <c r="BC270" s="47"/>
      <c r="BD270" s="47"/>
      <c r="BE270" s="47"/>
      <c r="BF270" s="47"/>
    </row>
    <row r="271" spans="1:58" hidden="1">
      <c r="A271" s="46" t="s">
        <v>282</v>
      </c>
      <c r="B271" s="46" t="s">
        <v>77</v>
      </c>
      <c r="C271" s="47">
        <v>39931</v>
      </c>
      <c r="D271" s="47">
        <v>28743</v>
      </c>
      <c r="E271" s="47">
        <v>20459</v>
      </c>
      <c r="F271" s="47">
        <v>16753</v>
      </c>
      <c r="G271" s="47">
        <v>18020</v>
      </c>
      <c r="H271" s="47">
        <v>22472</v>
      </c>
      <c r="I271" s="47">
        <v>26540</v>
      </c>
      <c r="J271" s="47">
        <v>21410</v>
      </c>
      <c r="K271" s="47">
        <v>18925</v>
      </c>
      <c r="L271" s="47">
        <v>18605</v>
      </c>
      <c r="M271" s="47">
        <v>25235</v>
      </c>
      <c r="N271" s="47">
        <v>24140</v>
      </c>
      <c r="O271" s="47">
        <v>17108</v>
      </c>
      <c r="P271" s="47">
        <v>21260</v>
      </c>
      <c r="Q271" s="85">
        <v>38.590000000000003</v>
      </c>
      <c r="R271" s="85">
        <v>33.42</v>
      </c>
      <c r="S271" s="85">
        <v>35.590000000000003</v>
      </c>
      <c r="T271" s="85">
        <v>35.56</v>
      </c>
      <c r="U271" s="85">
        <v>31.96</v>
      </c>
      <c r="V271" s="85">
        <v>32.35</v>
      </c>
      <c r="W271" s="85">
        <v>23.21</v>
      </c>
      <c r="X271" s="85">
        <v>28.53</v>
      </c>
      <c r="Y271" s="85">
        <v>27.89</v>
      </c>
      <c r="Z271" s="85">
        <v>32.14</v>
      </c>
      <c r="AA271" s="85">
        <v>34.29</v>
      </c>
      <c r="AB271" s="85">
        <v>30.97</v>
      </c>
      <c r="AC271" s="85">
        <v>40.61</v>
      </c>
      <c r="AD271" s="85">
        <v>38.42</v>
      </c>
      <c r="AE271" s="47">
        <v>1541123</v>
      </c>
      <c r="AF271" s="47">
        <v>960668</v>
      </c>
      <c r="AG271" s="47">
        <v>728156</v>
      </c>
      <c r="AH271" s="47">
        <v>595806</v>
      </c>
      <c r="AI271" s="47">
        <v>575868</v>
      </c>
      <c r="AJ271" s="47">
        <v>726953</v>
      </c>
      <c r="AK271" s="47">
        <v>615890</v>
      </c>
      <c r="AL271" s="47">
        <v>610838</v>
      </c>
      <c r="AM271" s="47">
        <v>527856</v>
      </c>
      <c r="AN271" s="47">
        <v>598023</v>
      </c>
      <c r="AO271" s="47">
        <v>865239</v>
      </c>
      <c r="AP271" s="47">
        <v>747520</v>
      </c>
      <c r="AQ271" s="47">
        <v>694712</v>
      </c>
      <c r="AR271" s="47">
        <v>816856</v>
      </c>
      <c r="AS271" s="47"/>
      <c r="AT271" s="47"/>
      <c r="AU271" s="47"/>
      <c r="AV271" s="47"/>
      <c r="AW271" s="47"/>
      <c r="AX271" s="47"/>
      <c r="AY271" s="47"/>
      <c r="AZ271" s="47"/>
      <c r="BA271" s="47"/>
      <c r="BB271" s="47"/>
      <c r="BC271" s="47"/>
      <c r="BD271" s="47"/>
      <c r="BE271" s="47"/>
      <c r="BF271" s="47"/>
    </row>
    <row r="272" spans="1:58" hidden="1">
      <c r="A272" s="46" t="s">
        <v>282</v>
      </c>
      <c r="B272" s="46" t="s">
        <v>78</v>
      </c>
      <c r="C272" s="47">
        <v>0</v>
      </c>
      <c r="D272" s="47">
        <v>0</v>
      </c>
      <c r="E272" s="47">
        <v>0</v>
      </c>
      <c r="F272" s="47">
        <v>0</v>
      </c>
      <c r="G272" s="47">
        <v>0</v>
      </c>
      <c r="H272" s="47">
        <v>0</v>
      </c>
      <c r="I272" s="47">
        <v>0</v>
      </c>
      <c r="J272" s="47">
        <v>0</v>
      </c>
      <c r="K272" s="47">
        <v>0</v>
      </c>
      <c r="L272" s="47">
        <v>0</v>
      </c>
      <c r="M272" s="47">
        <v>0</v>
      </c>
      <c r="N272" s="47">
        <v>780</v>
      </c>
      <c r="O272" s="47">
        <v>877</v>
      </c>
      <c r="P272" s="47">
        <v>1166</v>
      </c>
      <c r="Q272" s="85"/>
      <c r="R272" s="85"/>
      <c r="S272" s="85"/>
      <c r="T272" s="85"/>
      <c r="U272" s="85"/>
      <c r="V272" s="85"/>
      <c r="W272" s="85"/>
      <c r="X272" s="85"/>
      <c r="Y272" s="85"/>
      <c r="Z272" s="85"/>
      <c r="AA272" s="85"/>
      <c r="AB272" s="85">
        <v>47.53</v>
      </c>
      <c r="AC272" s="85">
        <v>47.24</v>
      </c>
      <c r="AD272" s="85">
        <v>38.770000000000003</v>
      </c>
      <c r="AE272" s="47">
        <v>0</v>
      </c>
      <c r="AF272" s="47">
        <v>0</v>
      </c>
      <c r="AG272" s="47">
        <v>0</v>
      </c>
      <c r="AH272" s="47">
        <v>0</v>
      </c>
      <c r="AI272" s="47">
        <v>0</v>
      </c>
      <c r="AJ272" s="47">
        <v>0</v>
      </c>
      <c r="AK272" s="47">
        <v>0</v>
      </c>
      <c r="AL272" s="47">
        <v>0</v>
      </c>
      <c r="AM272" s="47">
        <v>0</v>
      </c>
      <c r="AN272" s="47">
        <v>0</v>
      </c>
      <c r="AO272" s="47">
        <v>0</v>
      </c>
      <c r="AP272" s="47">
        <v>37070</v>
      </c>
      <c r="AQ272" s="47">
        <v>41430</v>
      </c>
      <c r="AR272" s="47">
        <v>45205</v>
      </c>
      <c r="AS272" s="47"/>
      <c r="AT272" s="47"/>
      <c r="AU272" s="47"/>
      <c r="AV272" s="47"/>
      <c r="AW272" s="47"/>
      <c r="AX272" s="47"/>
      <c r="AY272" s="47"/>
      <c r="AZ272" s="47"/>
      <c r="BA272" s="47"/>
      <c r="BB272" s="47"/>
      <c r="BC272" s="47"/>
      <c r="BD272" s="47"/>
      <c r="BE272" s="47"/>
      <c r="BF272" s="47"/>
    </row>
    <row r="273" spans="1:58" hidden="1">
      <c r="A273" s="46" t="s">
        <v>282</v>
      </c>
      <c r="B273" s="46" t="s">
        <v>79</v>
      </c>
      <c r="C273" s="47">
        <v>76</v>
      </c>
      <c r="D273" s="47">
        <v>125</v>
      </c>
      <c r="E273" s="47">
        <v>185</v>
      </c>
      <c r="F273" s="47">
        <v>215</v>
      </c>
      <c r="G273" s="47">
        <v>212</v>
      </c>
      <c r="H273" s="47">
        <v>228</v>
      </c>
      <c r="I273" s="47">
        <v>285</v>
      </c>
      <c r="J273" s="47">
        <v>297</v>
      </c>
      <c r="K273" s="47">
        <v>314</v>
      </c>
      <c r="L273" s="47">
        <v>352</v>
      </c>
      <c r="M273" s="47">
        <v>262</v>
      </c>
      <c r="N273" s="47">
        <v>210</v>
      </c>
      <c r="O273" s="47">
        <v>197</v>
      </c>
      <c r="P273" s="47">
        <v>297</v>
      </c>
      <c r="Q273" s="85">
        <v>35</v>
      </c>
      <c r="R273" s="85">
        <v>36.99</v>
      </c>
      <c r="S273" s="85">
        <v>34.090000000000003</v>
      </c>
      <c r="T273" s="85">
        <v>36.270000000000003</v>
      </c>
      <c r="U273" s="85">
        <v>36.58</v>
      </c>
      <c r="V273" s="85">
        <v>36.99</v>
      </c>
      <c r="W273" s="85">
        <v>28.03</v>
      </c>
      <c r="X273" s="85">
        <v>15.46</v>
      </c>
      <c r="Y273" s="85">
        <v>15.22</v>
      </c>
      <c r="Z273" s="85">
        <v>16.91</v>
      </c>
      <c r="AA273" s="85">
        <v>16.260000000000002</v>
      </c>
      <c r="AB273" s="85">
        <v>13.19</v>
      </c>
      <c r="AC273" s="85">
        <v>12.33</v>
      </c>
      <c r="AD273" s="85">
        <v>16.260000000000002</v>
      </c>
      <c r="AE273" s="47">
        <v>2660</v>
      </c>
      <c r="AF273" s="47">
        <v>4624</v>
      </c>
      <c r="AG273" s="47">
        <v>6307</v>
      </c>
      <c r="AH273" s="47">
        <v>7797</v>
      </c>
      <c r="AI273" s="47">
        <v>7756</v>
      </c>
      <c r="AJ273" s="47">
        <v>8434</v>
      </c>
      <c r="AK273" s="47">
        <v>7989</v>
      </c>
      <c r="AL273" s="47">
        <v>4593</v>
      </c>
      <c r="AM273" s="47">
        <v>4779</v>
      </c>
      <c r="AN273" s="47">
        <v>5951</v>
      </c>
      <c r="AO273" s="47">
        <v>4260</v>
      </c>
      <c r="AP273" s="47">
        <v>2769</v>
      </c>
      <c r="AQ273" s="47">
        <v>2429</v>
      </c>
      <c r="AR273" s="47">
        <v>4830</v>
      </c>
      <c r="AS273" s="47"/>
      <c r="AT273" s="47"/>
      <c r="AU273" s="47"/>
      <c r="AV273" s="47"/>
      <c r="AW273" s="47"/>
      <c r="AX273" s="47"/>
      <c r="AY273" s="47"/>
      <c r="AZ273" s="47"/>
      <c r="BA273" s="47"/>
      <c r="BB273" s="47"/>
      <c r="BC273" s="47"/>
      <c r="BD273" s="47"/>
      <c r="BE273" s="47"/>
      <c r="BF273" s="47"/>
    </row>
    <row r="274" spans="1:58" hidden="1">
      <c r="A274" s="46" t="s">
        <v>282</v>
      </c>
      <c r="B274" s="46" t="s">
        <v>80</v>
      </c>
      <c r="C274" s="47">
        <v>27</v>
      </c>
      <c r="D274" s="47">
        <v>19</v>
      </c>
      <c r="E274" s="47">
        <v>18</v>
      </c>
      <c r="F274" s="47">
        <v>15</v>
      </c>
      <c r="G274" s="47">
        <v>22</v>
      </c>
      <c r="H274" s="47">
        <v>0</v>
      </c>
      <c r="I274" s="47">
        <v>0</v>
      </c>
      <c r="J274" s="47">
        <v>0</v>
      </c>
      <c r="K274" s="47">
        <v>0</v>
      </c>
      <c r="L274" s="47">
        <v>0</v>
      </c>
      <c r="M274" s="47">
        <v>83</v>
      </c>
      <c r="N274" s="47">
        <v>90</v>
      </c>
      <c r="O274" s="47">
        <v>48</v>
      </c>
      <c r="P274" s="47">
        <v>10</v>
      </c>
      <c r="Q274" s="85">
        <v>25.22</v>
      </c>
      <c r="R274" s="85">
        <v>23.74</v>
      </c>
      <c r="S274" s="85">
        <v>21.06</v>
      </c>
      <c r="T274" s="85">
        <v>30.13</v>
      </c>
      <c r="U274" s="85">
        <v>25.55</v>
      </c>
      <c r="V274" s="85"/>
      <c r="W274" s="85"/>
      <c r="X274" s="85"/>
      <c r="Y274" s="85"/>
      <c r="Z274" s="85"/>
      <c r="AA274" s="85">
        <v>29.81</v>
      </c>
      <c r="AB274" s="85">
        <v>30</v>
      </c>
      <c r="AC274" s="85">
        <v>29.38</v>
      </c>
      <c r="AD274" s="85">
        <v>28</v>
      </c>
      <c r="AE274" s="47">
        <v>681</v>
      </c>
      <c r="AF274" s="47">
        <v>451</v>
      </c>
      <c r="AG274" s="47">
        <v>379</v>
      </c>
      <c r="AH274" s="47">
        <v>452</v>
      </c>
      <c r="AI274" s="47">
        <v>562</v>
      </c>
      <c r="AJ274" s="47">
        <v>0</v>
      </c>
      <c r="AK274" s="47">
        <v>0</v>
      </c>
      <c r="AL274" s="47">
        <v>0</v>
      </c>
      <c r="AM274" s="47">
        <v>0</v>
      </c>
      <c r="AN274" s="47">
        <v>0</v>
      </c>
      <c r="AO274" s="47">
        <v>2474</v>
      </c>
      <c r="AP274" s="47">
        <v>2700</v>
      </c>
      <c r="AQ274" s="47">
        <v>1410</v>
      </c>
      <c r="AR274" s="47">
        <v>280</v>
      </c>
      <c r="AS274" s="47"/>
      <c r="AT274" s="47"/>
      <c r="AU274" s="47"/>
      <c r="AV274" s="47"/>
      <c r="AW274" s="47"/>
      <c r="AX274" s="47"/>
      <c r="AY274" s="47"/>
      <c r="AZ274" s="47"/>
      <c r="BA274" s="47"/>
      <c r="BB274" s="47"/>
      <c r="BC274" s="47"/>
      <c r="BD274" s="47"/>
      <c r="BE274" s="47"/>
      <c r="BF274" s="47"/>
    </row>
    <row r="275" spans="1:58" hidden="1">
      <c r="A275" s="46" t="s">
        <v>282</v>
      </c>
      <c r="B275" s="46" t="s">
        <v>81</v>
      </c>
      <c r="C275" s="47">
        <v>0</v>
      </c>
      <c r="D275" s="47">
        <v>0</v>
      </c>
      <c r="E275" s="47">
        <v>0</v>
      </c>
      <c r="F275" s="47">
        <v>0</v>
      </c>
      <c r="G275" s="47">
        <v>0</v>
      </c>
      <c r="H275" s="47">
        <v>0</v>
      </c>
      <c r="I275" s="47">
        <v>0</v>
      </c>
      <c r="J275" s="47">
        <v>0</v>
      </c>
      <c r="K275" s="47">
        <v>0</v>
      </c>
      <c r="L275" s="47">
        <v>0</v>
      </c>
      <c r="M275" s="47">
        <v>0</v>
      </c>
      <c r="N275" s="47">
        <v>0</v>
      </c>
      <c r="O275" s="47">
        <v>0</v>
      </c>
      <c r="P275" s="47">
        <v>38</v>
      </c>
      <c r="Q275" s="85"/>
      <c r="R275" s="85"/>
      <c r="S275" s="85"/>
      <c r="T275" s="85"/>
      <c r="U275" s="85"/>
      <c r="V275" s="85"/>
      <c r="W275" s="85"/>
      <c r="X275" s="85"/>
      <c r="Y275" s="85"/>
      <c r="Z275" s="85"/>
      <c r="AA275" s="85"/>
      <c r="AB275" s="85"/>
      <c r="AC275" s="85"/>
      <c r="AD275" s="85"/>
      <c r="AE275" s="47">
        <v>0</v>
      </c>
      <c r="AF275" s="47">
        <v>0</v>
      </c>
      <c r="AG275" s="47">
        <v>0</v>
      </c>
      <c r="AH275" s="47">
        <v>0</v>
      </c>
      <c r="AI275" s="47">
        <v>0</v>
      </c>
      <c r="AJ275" s="47">
        <v>0</v>
      </c>
      <c r="AK275" s="47">
        <v>0</v>
      </c>
      <c r="AL275" s="47">
        <v>0</v>
      </c>
      <c r="AM275" s="47">
        <v>0</v>
      </c>
      <c r="AN275" s="47">
        <v>0</v>
      </c>
      <c r="AO275" s="47">
        <v>0</v>
      </c>
      <c r="AP275" s="47">
        <v>0</v>
      </c>
      <c r="AQ275" s="47">
        <v>0</v>
      </c>
      <c r="AR275" s="47">
        <v>1180</v>
      </c>
      <c r="AS275" s="47"/>
      <c r="AT275" s="47"/>
      <c r="AU275" s="47"/>
      <c r="AV275" s="47"/>
      <c r="AW275" s="47"/>
      <c r="AX275" s="47"/>
      <c r="AY275" s="47"/>
      <c r="AZ275" s="47"/>
      <c r="BA275" s="47"/>
      <c r="BB275" s="47"/>
      <c r="BC275" s="47"/>
      <c r="BD275" s="47"/>
      <c r="BE275" s="47"/>
      <c r="BF275" s="47"/>
    </row>
    <row r="276" spans="1:58" hidden="1">
      <c r="A276" s="46" t="s">
        <v>282</v>
      </c>
      <c r="B276" s="46" t="s">
        <v>82</v>
      </c>
      <c r="C276" s="47">
        <v>92012</v>
      </c>
      <c r="D276" s="47">
        <v>56414</v>
      </c>
      <c r="E276" s="47">
        <v>38979</v>
      </c>
      <c r="F276" s="47">
        <v>38435</v>
      </c>
      <c r="G276" s="47">
        <v>38513</v>
      </c>
      <c r="H276" s="47">
        <v>45546</v>
      </c>
      <c r="I276" s="47">
        <v>39638</v>
      </c>
      <c r="J276" s="47">
        <v>30200</v>
      </c>
      <c r="K276" s="47">
        <v>23785</v>
      </c>
      <c r="L276" s="47">
        <v>23702</v>
      </c>
      <c r="M276" s="47">
        <v>32520</v>
      </c>
      <c r="N276" s="47">
        <v>30893</v>
      </c>
      <c r="O276" s="47">
        <v>24281</v>
      </c>
      <c r="P276" s="47">
        <v>30659</v>
      </c>
      <c r="Q276" s="85">
        <v>36.57</v>
      </c>
      <c r="R276" s="85">
        <v>38.58</v>
      </c>
      <c r="S276" s="85">
        <v>44.08</v>
      </c>
      <c r="T276" s="85">
        <v>38.26</v>
      </c>
      <c r="U276" s="85">
        <v>37.43</v>
      </c>
      <c r="V276" s="85">
        <v>32.119999999999997</v>
      </c>
      <c r="W276" s="85">
        <v>26.79</v>
      </c>
      <c r="X276" s="85">
        <v>27.76</v>
      </c>
      <c r="Y276" s="85">
        <v>28.85</v>
      </c>
      <c r="Z276" s="85">
        <v>32.67</v>
      </c>
      <c r="AA276" s="85">
        <v>33.869999999999997</v>
      </c>
      <c r="AB276" s="85">
        <v>31.85</v>
      </c>
      <c r="AC276" s="85">
        <v>38.89</v>
      </c>
      <c r="AD276" s="85">
        <v>38.1</v>
      </c>
      <c r="AE276" s="47">
        <v>3364688</v>
      </c>
      <c r="AF276" s="47">
        <v>2176225</v>
      </c>
      <c r="AG276" s="47">
        <v>1718094</v>
      </c>
      <c r="AH276" s="47">
        <v>1470376</v>
      </c>
      <c r="AI276" s="47">
        <v>1441375</v>
      </c>
      <c r="AJ276" s="47">
        <v>1462776</v>
      </c>
      <c r="AK276" s="47">
        <v>1061941</v>
      </c>
      <c r="AL276" s="47">
        <v>838247</v>
      </c>
      <c r="AM276" s="47">
        <v>686261</v>
      </c>
      <c r="AN276" s="47">
        <v>774459</v>
      </c>
      <c r="AO276" s="47">
        <v>1101466</v>
      </c>
      <c r="AP276" s="47">
        <v>984003</v>
      </c>
      <c r="AQ276" s="47">
        <v>944212</v>
      </c>
      <c r="AR276" s="47">
        <v>1168226</v>
      </c>
      <c r="AS276" s="47"/>
      <c r="AT276" s="47"/>
      <c r="AU276" s="47"/>
      <c r="AV276" s="47"/>
      <c r="AW276" s="47"/>
      <c r="AX276" s="47"/>
      <c r="AY276" s="47"/>
      <c r="AZ276" s="47"/>
      <c r="BA276" s="47"/>
      <c r="BB276" s="47"/>
      <c r="BC276" s="47"/>
      <c r="BD276" s="47"/>
      <c r="BE276" s="47"/>
      <c r="BF276" s="47"/>
    </row>
    <row r="277" spans="1:58" hidden="1">
      <c r="A277" s="46" t="s">
        <v>283</v>
      </c>
      <c r="B277" s="46" t="s">
        <v>251</v>
      </c>
      <c r="C277" s="47">
        <v>705253</v>
      </c>
      <c r="D277" s="47">
        <v>696300</v>
      </c>
      <c r="E277" s="47">
        <v>518990</v>
      </c>
      <c r="F277" s="47">
        <v>712450</v>
      </c>
      <c r="G277" s="47">
        <v>635085</v>
      </c>
      <c r="H277" s="47">
        <v>708970</v>
      </c>
      <c r="I277" s="47">
        <v>718503</v>
      </c>
      <c r="J277" s="47">
        <v>707750</v>
      </c>
      <c r="K277" s="47">
        <v>681300</v>
      </c>
      <c r="L277" s="47">
        <v>708350</v>
      </c>
      <c r="M277" s="47">
        <v>645720</v>
      </c>
      <c r="N277" s="47">
        <v>740405</v>
      </c>
      <c r="O277" s="47">
        <v>669227</v>
      </c>
      <c r="P277" s="47">
        <v>684202</v>
      </c>
      <c r="Q277" s="85">
        <v>75.489999999999995</v>
      </c>
      <c r="R277" s="85">
        <v>72.760000000000005</v>
      </c>
      <c r="S277" s="85">
        <v>69.59</v>
      </c>
      <c r="T277" s="85">
        <v>76.22</v>
      </c>
      <c r="U277" s="85">
        <v>79.12</v>
      </c>
      <c r="V277" s="85">
        <v>84.46</v>
      </c>
      <c r="W277" s="85">
        <v>49.68</v>
      </c>
      <c r="X277" s="85">
        <v>70.44</v>
      </c>
      <c r="Y277" s="85">
        <v>73.48</v>
      </c>
      <c r="Z277" s="85">
        <v>77.5</v>
      </c>
      <c r="AA277" s="85">
        <v>78.739999999999995</v>
      </c>
      <c r="AB277" s="85">
        <v>73.44</v>
      </c>
      <c r="AC277" s="85">
        <v>74.17</v>
      </c>
      <c r="AD277" s="85">
        <v>73.66</v>
      </c>
      <c r="AE277" s="47">
        <v>53237645</v>
      </c>
      <c r="AF277" s="47">
        <v>50665082</v>
      </c>
      <c r="AG277" s="47">
        <v>36118777</v>
      </c>
      <c r="AH277" s="47">
        <v>54305175</v>
      </c>
      <c r="AI277" s="47">
        <v>50249391</v>
      </c>
      <c r="AJ277" s="47">
        <v>59881197</v>
      </c>
      <c r="AK277" s="47">
        <v>35694860</v>
      </c>
      <c r="AL277" s="47">
        <v>49853450</v>
      </c>
      <c r="AM277" s="47">
        <v>50063875</v>
      </c>
      <c r="AN277" s="47">
        <v>54894000</v>
      </c>
      <c r="AO277" s="47">
        <v>50841540</v>
      </c>
      <c r="AP277" s="47">
        <v>54378930</v>
      </c>
      <c r="AQ277" s="47">
        <v>49634946</v>
      </c>
      <c r="AR277" s="47">
        <v>50396367</v>
      </c>
      <c r="AS277" s="47"/>
      <c r="AT277" s="47"/>
      <c r="AU277" s="47"/>
      <c r="AV277" s="47"/>
      <c r="AW277" s="47"/>
      <c r="AX277" s="47"/>
      <c r="AY277" s="47"/>
      <c r="AZ277" s="47"/>
      <c r="BA277" s="47"/>
      <c r="BB277" s="47"/>
      <c r="BC277" s="47"/>
      <c r="BD277" s="47"/>
      <c r="BE277" s="47"/>
      <c r="BF277" s="47"/>
    </row>
    <row r="278" spans="1:58" hidden="1">
      <c r="A278" s="46" t="s">
        <v>283</v>
      </c>
      <c r="B278" s="46" t="s">
        <v>252</v>
      </c>
      <c r="C278" s="47">
        <v>1823</v>
      </c>
      <c r="D278" s="47">
        <v>1825</v>
      </c>
      <c r="E278" s="47">
        <v>26590</v>
      </c>
      <c r="F278" s="47">
        <v>5160</v>
      </c>
      <c r="G278" s="47">
        <v>11962</v>
      </c>
      <c r="H278" s="47">
        <v>5040</v>
      </c>
      <c r="I278" s="47">
        <v>4253</v>
      </c>
      <c r="J278" s="47">
        <v>4180</v>
      </c>
      <c r="K278" s="47">
        <v>3356</v>
      </c>
      <c r="L278" s="47">
        <v>3618</v>
      </c>
      <c r="M278" s="47">
        <v>6234</v>
      </c>
      <c r="N278" s="47">
        <v>5015</v>
      </c>
      <c r="O278" s="47">
        <v>6457</v>
      </c>
      <c r="P278" s="47">
        <v>4195</v>
      </c>
      <c r="Q278" s="85">
        <v>74.52</v>
      </c>
      <c r="R278" s="85">
        <v>69.64</v>
      </c>
      <c r="S278" s="85">
        <v>60.64</v>
      </c>
      <c r="T278" s="85">
        <v>55.2</v>
      </c>
      <c r="U278" s="85">
        <v>64.62</v>
      </c>
      <c r="V278" s="85">
        <v>70.59</v>
      </c>
      <c r="W278" s="85">
        <v>47.47</v>
      </c>
      <c r="X278" s="85">
        <v>65.97</v>
      </c>
      <c r="Y278" s="85">
        <v>70.84</v>
      </c>
      <c r="Z278" s="85">
        <v>75.86</v>
      </c>
      <c r="AA278" s="85">
        <v>77.88</v>
      </c>
      <c r="AB278" s="85">
        <v>73</v>
      </c>
      <c r="AC278" s="85">
        <v>73.650000000000006</v>
      </c>
      <c r="AD278" s="85">
        <v>72.72</v>
      </c>
      <c r="AE278" s="47">
        <v>135855</v>
      </c>
      <c r="AF278" s="47">
        <v>127096</v>
      </c>
      <c r="AG278" s="47">
        <v>1612344</v>
      </c>
      <c r="AH278" s="47">
        <v>284815</v>
      </c>
      <c r="AI278" s="47">
        <v>772941</v>
      </c>
      <c r="AJ278" s="47">
        <v>355757</v>
      </c>
      <c r="AK278" s="47">
        <v>201900</v>
      </c>
      <c r="AL278" s="47">
        <v>275750</v>
      </c>
      <c r="AM278" s="47">
        <v>237747</v>
      </c>
      <c r="AN278" s="47">
        <v>274478</v>
      </c>
      <c r="AO278" s="47">
        <v>485491</v>
      </c>
      <c r="AP278" s="47">
        <v>366085</v>
      </c>
      <c r="AQ278" s="47">
        <v>475554</v>
      </c>
      <c r="AR278" s="47">
        <v>305060</v>
      </c>
      <c r="AS278" s="47"/>
      <c r="AT278" s="47"/>
      <c r="AU278" s="47"/>
      <c r="AV278" s="47"/>
      <c r="AW278" s="47"/>
      <c r="AX278" s="47"/>
      <c r="AY278" s="47"/>
      <c r="AZ278" s="47"/>
      <c r="BA278" s="47"/>
      <c r="BB278" s="47"/>
      <c r="BC278" s="47"/>
      <c r="BD278" s="47"/>
      <c r="BE278" s="47"/>
      <c r="BF278" s="47"/>
    </row>
    <row r="279" spans="1:58" hidden="1">
      <c r="A279" s="46" t="s">
        <v>283</v>
      </c>
      <c r="B279" s="46" t="s">
        <v>253</v>
      </c>
      <c r="C279" s="47">
        <v>707076</v>
      </c>
      <c r="D279" s="47">
        <v>698125</v>
      </c>
      <c r="E279" s="47">
        <v>545580</v>
      </c>
      <c r="F279" s="47">
        <v>717610</v>
      </c>
      <c r="G279" s="47">
        <v>647047</v>
      </c>
      <c r="H279" s="47">
        <v>714010</v>
      </c>
      <c r="I279" s="47">
        <v>722756</v>
      </c>
      <c r="J279" s="47">
        <v>711930</v>
      </c>
      <c r="K279" s="47">
        <v>684656</v>
      </c>
      <c r="L279" s="47">
        <v>711968</v>
      </c>
      <c r="M279" s="47">
        <v>651954</v>
      </c>
      <c r="N279" s="47">
        <v>745420</v>
      </c>
      <c r="O279" s="47">
        <v>675684</v>
      </c>
      <c r="P279" s="47">
        <v>688397</v>
      </c>
      <c r="Q279" s="85">
        <v>75.48</v>
      </c>
      <c r="R279" s="85">
        <v>72.760000000000005</v>
      </c>
      <c r="S279" s="85">
        <v>69.16</v>
      </c>
      <c r="T279" s="85">
        <v>76.069999999999993</v>
      </c>
      <c r="U279" s="85">
        <v>78.849999999999994</v>
      </c>
      <c r="V279" s="85">
        <v>84.36</v>
      </c>
      <c r="W279" s="85">
        <v>49.67</v>
      </c>
      <c r="X279" s="85">
        <v>70.41</v>
      </c>
      <c r="Y279" s="85">
        <v>73.47</v>
      </c>
      <c r="Z279" s="85">
        <v>77.489999999999995</v>
      </c>
      <c r="AA279" s="85">
        <v>78.73</v>
      </c>
      <c r="AB279" s="85">
        <v>73.44</v>
      </c>
      <c r="AC279" s="85">
        <v>74.16</v>
      </c>
      <c r="AD279" s="85">
        <v>73.650000000000006</v>
      </c>
      <c r="AE279" s="47">
        <v>53373500</v>
      </c>
      <c r="AF279" s="47">
        <v>50792178</v>
      </c>
      <c r="AG279" s="47">
        <v>37731121</v>
      </c>
      <c r="AH279" s="47">
        <v>54589990</v>
      </c>
      <c r="AI279" s="47">
        <v>51022332</v>
      </c>
      <c r="AJ279" s="47">
        <v>60236954</v>
      </c>
      <c r="AK279" s="47">
        <v>35896760</v>
      </c>
      <c r="AL279" s="47">
        <v>50129200</v>
      </c>
      <c r="AM279" s="47">
        <v>50301622</v>
      </c>
      <c r="AN279" s="47">
        <v>55168478</v>
      </c>
      <c r="AO279" s="47">
        <v>51327031</v>
      </c>
      <c r="AP279" s="47">
        <v>54745015</v>
      </c>
      <c r="AQ279" s="47">
        <v>50110500</v>
      </c>
      <c r="AR279" s="47">
        <v>50701427</v>
      </c>
      <c r="AS279" s="47"/>
      <c r="AT279" s="47"/>
      <c r="AU279" s="47"/>
      <c r="AV279" s="47"/>
      <c r="AW279" s="47"/>
      <c r="AX279" s="47"/>
      <c r="AY279" s="47"/>
      <c r="AZ279" s="47"/>
      <c r="BA279" s="47"/>
      <c r="BB279" s="47"/>
      <c r="BC279" s="47"/>
      <c r="BD279" s="47"/>
      <c r="BE279" s="47"/>
      <c r="BF279" s="47"/>
    </row>
    <row r="280" spans="1:58" hidden="1">
      <c r="A280" s="46" t="s">
        <v>283</v>
      </c>
      <c r="B280" s="46" t="s">
        <v>254</v>
      </c>
      <c r="C280" s="47">
        <v>442</v>
      </c>
      <c r="D280" s="47">
        <v>485</v>
      </c>
      <c r="E280" s="47">
        <v>1205</v>
      </c>
      <c r="F280" s="47">
        <v>900</v>
      </c>
      <c r="G280" s="47">
        <v>1220</v>
      </c>
      <c r="H280" s="47">
        <v>170</v>
      </c>
      <c r="I280" s="47">
        <v>240</v>
      </c>
      <c r="J280" s="47">
        <v>420</v>
      </c>
      <c r="K280" s="47">
        <v>335</v>
      </c>
      <c r="L280" s="47">
        <v>230</v>
      </c>
      <c r="M280" s="47">
        <v>540</v>
      </c>
      <c r="N280" s="47">
        <v>1329</v>
      </c>
      <c r="O280" s="47">
        <v>954</v>
      </c>
      <c r="P280" s="47">
        <v>985</v>
      </c>
      <c r="Q280" s="85">
        <v>48.81</v>
      </c>
      <c r="R280" s="85">
        <v>49.69</v>
      </c>
      <c r="S280" s="85">
        <v>50.62</v>
      </c>
      <c r="T280" s="85">
        <v>54.71</v>
      </c>
      <c r="U280" s="85">
        <v>53.44</v>
      </c>
      <c r="V280" s="85">
        <v>52.41</v>
      </c>
      <c r="W280" s="85">
        <v>41.25</v>
      </c>
      <c r="X280" s="85">
        <v>59.52</v>
      </c>
      <c r="Y280" s="85">
        <v>52.84</v>
      </c>
      <c r="Z280" s="85">
        <v>58.67</v>
      </c>
      <c r="AA280" s="85">
        <v>58.91</v>
      </c>
      <c r="AB280" s="85">
        <v>47.78</v>
      </c>
      <c r="AC280" s="85">
        <v>49.85</v>
      </c>
      <c r="AD280" s="85">
        <v>60.61</v>
      </c>
      <c r="AE280" s="47">
        <v>21575</v>
      </c>
      <c r="AF280" s="47">
        <v>24100</v>
      </c>
      <c r="AG280" s="47">
        <v>61000</v>
      </c>
      <c r="AH280" s="47">
        <v>49239</v>
      </c>
      <c r="AI280" s="47">
        <v>65200</v>
      </c>
      <c r="AJ280" s="47">
        <v>8910</v>
      </c>
      <c r="AK280" s="47">
        <v>9900</v>
      </c>
      <c r="AL280" s="47">
        <v>25000</v>
      </c>
      <c r="AM280" s="47">
        <v>17700</v>
      </c>
      <c r="AN280" s="47">
        <v>13495</v>
      </c>
      <c r="AO280" s="47">
        <v>31810</v>
      </c>
      <c r="AP280" s="47">
        <v>63495</v>
      </c>
      <c r="AQ280" s="47">
        <v>47560</v>
      </c>
      <c r="AR280" s="47">
        <v>59700</v>
      </c>
      <c r="AS280" s="47"/>
      <c r="AT280" s="47"/>
      <c r="AU280" s="47"/>
      <c r="AV280" s="47"/>
      <c r="AW280" s="47"/>
      <c r="AX280" s="47"/>
      <c r="AY280" s="47"/>
      <c r="AZ280" s="47"/>
      <c r="BA280" s="47"/>
      <c r="BB280" s="47"/>
      <c r="BC280" s="47"/>
      <c r="BD280" s="47"/>
      <c r="BE280" s="47"/>
      <c r="BF280" s="47"/>
    </row>
    <row r="281" spans="1:58" hidden="1">
      <c r="A281" s="46" t="s">
        <v>283</v>
      </c>
      <c r="B281" s="46" t="s">
        <v>255</v>
      </c>
      <c r="C281" s="47">
        <v>296</v>
      </c>
      <c r="D281" s="47">
        <v>245</v>
      </c>
      <c r="E281" s="47">
        <v>325</v>
      </c>
      <c r="F281" s="47">
        <v>80</v>
      </c>
      <c r="G281" s="47">
        <v>120</v>
      </c>
      <c r="H281" s="47">
        <v>50</v>
      </c>
      <c r="I281" s="47">
        <v>30</v>
      </c>
      <c r="J281" s="47">
        <v>25</v>
      </c>
      <c r="K281" s="47">
        <v>47</v>
      </c>
      <c r="L281" s="47">
        <v>30</v>
      </c>
      <c r="M281" s="47">
        <v>325</v>
      </c>
      <c r="N281" s="47">
        <v>430</v>
      </c>
      <c r="O281" s="47">
        <v>285</v>
      </c>
      <c r="P281" s="47">
        <v>332</v>
      </c>
      <c r="Q281" s="85">
        <v>49.86</v>
      </c>
      <c r="R281" s="85">
        <v>49.59</v>
      </c>
      <c r="S281" s="85">
        <v>50.74</v>
      </c>
      <c r="T281" s="85">
        <v>58.75</v>
      </c>
      <c r="U281" s="85">
        <v>50.33</v>
      </c>
      <c r="V281" s="85">
        <v>56.1</v>
      </c>
      <c r="W281" s="85">
        <v>40</v>
      </c>
      <c r="X281" s="85">
        <v>60</v>
      </c>
      <c r="Y281" s="85">
        <v>52.66</v>
      </c>
      <c r="Z281" s="85">
        <v>53.5</v>
      </c>
      <c r="AA281" s="85">
        <v>49.8</v>
      </c>
      <c r="AB281" s="85">
        <v>40.700000000000003</v>
      </c>
      <c r="AC281" s="85">
        <v>47.32</v>
      </c>
      <c r="AD281" s="85">
        <v>53.61</v>
      </c>
      <c r="AE281" s="47">
        <v>14760</v>
      </c>
      <c r="AF281" s="47">
        <v>12150</v>
      </c>
      <c r="AG281" s="47">
        <v>16490</v>
      </c>
      <c r="AH281" s="47">
        <v>4700</v>
      </c>
      <c r="AI281" s="47">
        <v>6040</v>
      </c>
      <c r="AJ281" s="47">
        <v>2805</v>
      </c>
      <c r="AK281" s="47">
        <v>1200</v>
      </c>
      <c r="AL281" s="47">
        <v>1500</v>
      </c>
      <c r="AM281" s="47">
        <v>2475</v>
      </c>
      <c r="AN281" s="47">
        <v>1605</v>
      </c>
      <c r="AO281" s="47">
        <v>16185</v>
      </c>
      <c r="AP281" s="47">
        <v>17500</v>
      </c>
      <c r="AQ281" s="47">
        <v>13485</v>
      </c>
      <c r="AR281" s="47">
        <v>17800</v>
      </c>
      <c r="AS281" s="47"/>
      <c r="AT281" s="47"/>
      <c r="AU281" s="47"/>
      <c r="AV281" s="47"/>
      <c r="AW281" s="47"/>
      <c r="AX281" s="47"/>
      <c r="AY281" s="47"/>
      <c r="AZ281" s="47"/>
      <c r="BA281" s="47"/>
      <c r="BB281" s="47"/>
      <c r="BC281" s="47"/>
      <c r="BD281" s="47"/>
      <c r="BE281" s="47"/>
      <c r="BF281" s="47"/>
    </row>
    <row r="282" spans="1:58" hidden="1">
      <c r="A282" s="46" t="s">
        <v>283</v>
      </c>
      <c r="B282" s="46" t="s">
        <v>256</v>
      </c>
      <c r="C282" s="47">
        <v>738</v>
      </c>
      <c r="D282" s="47">
        <v>730</v>
      </c>
      <c r="E282" s="47">
        <v>1530</v>
      </c>
      <c r="F282" s="47">
        <v>980</v>
      </c>
      <c r="G282" s="47">
        <v>1340</v>
      </c>
      <c r="H282" s="47">
        <v>220</v>
      </c>
      <c r="I282" s="47">
        <v>270</v>
      </c>
      <c r="J282" s="47">
        <v>445</v>
      </c>
      <c r="K282" s="47">
        <v>382</v>
      </c>
      <c r="L282" s="47">
        <v>260</v>
      </c>
      <c r="M282" s="47">
        <v>865</v>
      </c>
      <c r="N282" s="47">
        <v>1759</v>
      </c>
      <c r="O282" s="47">
        <v>1239</v>
      </c>
      <c r="P282" s="47">
        <v>1317</v>
      </c>
      <c r="Q282" s="85">
        <v>49.23</v>
      </c>
      <c r="R282" s="85">
        <v>49.66</v>
      </c>
      <c r="S282" s="85">
        <v>50.65</v>
      </c>
      <c r="T282" s="85">
        <v>55.04</v>
      </c>
      <c r="U282" s="85">
        <v>53.16</v>
      </c>
      <c r="V282" s="85">
        <v>53.25</v>
      </c>
      <c r="W282" s="85">
        <v>41.11</v>
      </c>
      <c r="X282" s="85">
        <v>59.55</v>
      </c>
      <c r="Y282" s="85">
        <v>52.81</v>
      </c>
      <c r="Z282" s="85">
        <v>58.08</v>
      </c>
      <c r="AA282" s="85">
        <v>55.49</v>
      </c>
      <c r="AB282" s="85">
        <v>46.05</v>
      </c>
      <c r="AC282" s="85">
        <v>49.27</v>
      </c>
      <c r="AD282" s="85">
        <v>58.85</v>
      </c>
      <c r="AE282" s="47">
        <v>36335</v>
      </c>
      <c r="AF282" s="47">
        <v>36250</v>
      </c>
      <c r="AG282" s="47">
        <v>77490</v>
      </c>
      <c r="AH282" s="47">
        <v>53939</v>
      </c>
      <c r="AI282" s="47">
        <v>71240</v>
      </c>
      <c r="AJ282" s="47">
        <v>11715</v>
      </c>
      <c r="AK282" s="47">
        <v>11100</v>
      </c>
      <c r="AL282" s="47">
        <v>26500</v>
      </c>
      <c r="AM282" s="47">
        <v>20175</v>
      </c>
      <c r="AN282" s="47">
        <v>15100</v>
      </c>
      <c r="AO282" s="47">
        <v>47995</v>
      </c>
      <c r="AP282" s="47">
        <v>80995</v>
      </c>
      <c r="AQ282" s="47">
        <v>61045</v>
      </c>
      <c r="AR282" s="47">
        <v>77500</v>
      </c>
      <c r="AS282" s="47"/>
      <c r="AT282" s="47"/>
      <c r="AU282" s="47"/>
      <c r="AV282" s="47"/>
      <c r="AW282" s="47"/>
      <c r="AX282" s="47"/>
      <c r="AY282" s="47"/>
      <c r="AZ282" s="47"/>
      <c r="BA282" s="47"/>
      <c r="BB282" s="47"/>
      <c r="BC282" s="47"/>
      <c r="BD282" s="47"/>
      <c r="BE282" s="47"/>
      <c r="BF282" s="47"/>
    </row>
    <row r="283" spans="1:58" hidden="1">
      <c r="A283" s="46" t="s">
        <v>283</v>
      </c>
      <c r="B283" s="46" t="s">
        <v>257</v>
      </c>
      <c r="C283" s="47">
        <v>1082</v>
      </c>
      <c r="D283" s="47">
        <v>1165</v>
      </c>
      <c r="E283" s="47">
        <v>1385</v>
      </c>
      <c r="F283" s="47">
        <v>1335</v>
      </c>
      <c r="G283" s="47">
        <v>1049</v>
      </c>
      <c r="H283" s="47">
        <v>920</v>
      </c>
      <c r="I283" s="47">
        <v>1120</v>
      </c>
      <c r="J283" s="47">
        <v>1245</v>
      </c>
      <c r="K283" s="47">
        <v>1567</v>
      </c>
      <c r="L283" s="47">
        <v>1855</v>
      </c>
      <c r="M283" s="47">
        <v>3170</v>
      </c>
      <c r="N283" s="47">
        <v>4545</v>
      </c>
      <c r="O283" s="47">
        <v>3813</v>
      </c>
      <c r="P283" s="47">
        <v>2615</v>
      </c>
      <c r="Q283" s="85">
        <v>51.35</v>
      </c>
      <c r="R283" s="85">
        <v>47.62</v>
      </c>
      <c r="S283" s="85">
        <v>45.63</v>
      </c>
      <c r="T283" s="85">
        <v>48.18</v>
      </c>
      <c r="U283" s="85">
        <v>46.27</v>
      </c>
      <c r="V283" s="85">
        <v>46.99</v>
      </c>
      <c r="W283" s="85">
        <v>35.450000000000003</v>
      </c>
      <c r="X283" s="85">
        <v>41.15</v>
      </c>
      <c r="Y283" s="85">
        <v>43.22</v>
      </c>
      <c r="Z283" s="85">
        <v>46.5</v>
      </c>
      <c r="AA283" s="85">
        <v>43.97</v>
      </c>
      <c r="AB283" s="85">
        <v>41.24</v>
      </c>
      <c r="AC283" s="85">
        <v>43.26</v>
      </c>
      <c r="AD283" s="85">
        <v>43.11</v>
      </c>
      <c r="AE283" s="47">
        <v>55565</v>
      </c>
      <c r="AF283" s="47">
        <v>55481</v>
      </c>
      <c r="AG283" s="47">
        <v>63200</v>
      </c>
      <c r="AH283" s="47">
        <v>64325</v>
      </c>
      <c r="AI283" s="47">
        <v>48538</v>
      </c>
      <c r="AJ283" s="47">
        <v>43230</v>
      </c>
      <c r="AK283" s="47">
        <v>39700</v>
      </c>
      <c r="AL283" s="47">
        <v>51230</v>
      </c>
      <c r="AM283" s="47">
        <v>67718</v>
      </c>
      <c r="AN283" s="47">
        <v>86260</v>
      </c>
      <c r="AO283" s="47">
        <v>139375</v>
      </c>
      <c r="AP283" s="47">
        <v>187415</v>
      </c>
      <c r="AQ283" s="47">
        <v>164953</v>
      </c>
      <c r="AR283" s="47">
        <v>112735</v>
      </c>
      <c r="AS283" s="47"/>
      <c r="AT283" s="47"/>
      <c r="AU283" s="47"/>
      <c r="AV283" s="47"/>
      <c r="AW283" s="47"/>
      <c r="AX283" s="47"/>
      <c r="AY283" s="47"/>
      <c r="AZ283" s="47"/>
      <c r="BA283" s="47"/>
      <c r="BB283" s="47"/>
      <c r="BC283" s="47"/>
      <c r="BD283" s="47"/>
      <c r="BE283" s="47"/>
      <c r="BF283" s="47"/>
    </row>
    <row r="284" spans="1:58" hidden="1">
      <c r="A284" s="46" t="s">
        <v>283</v>
      </c>
      <c r="B284" s="46" t="s">
        <v>258</v>
      </c>
      <c r="C284" s="47">
        <v>219157</v>
      </c>
      <c r="D284" s="47">
        <v>203450</v>
      </c>
      <c r="E284" s="47">
        <v>134710</v>
      </c>
      <c r="F284" s="47">
        <v>210790</v>
      </c>
      <c r="G284" s="47">
        <v>217040</v>
      </c>
      <c r="H284" s="47">
        <v>239000</v>
      </c>
      <c r="I284" s="47">
        <v>248090</v>
      </c>
      <c r="J284" s="47">
        <v>236930</v>
      </c>
      <c r="K284" s="47">
        <v>218670</v>
      </c>
      <c r="L284" s="47">
        <v>209990</v>
      </c>
      <c r="M284" s="47">
        <v>201890</v>
      </c>
      <c r="N284" s="47">
        <v>203110</v>
      </c>
      <c r="O284" s="47">
        <v>214280</v>
      </c>
      <c r="P284" s="47">
        <v>240420</v>
      </c>
      <c r="Q284" s="85">
        <v>68.69</v>
      </c>
      <c r="R284" s="85">
        <v>62.63</v>
      </c>
      <c r="S284" s="85">
        <v>65.63</v>
      </c>
      <c r="T284" s="85">
        <v>63.95</v>
      </c>
      <c r="U284" s="85">
        <v>70.430000000000007</v>
      </c>
      <c r="V284" s="85">
        <v>77.95</v>
      </c>
      <c r="W284" s="85">
        <v>56.09</v>
      </c>
      <c r="X284" s="85">
        <v>62.75</v>
      </c>
      <c r="Y284" s="85">
        <v>67.87</v>
      </c>
      <c r="Z284" s="85">
        <v>72.84</v>
      </c>
      <c r="AA284" s="85">
        <v>60.72</v>
      </c>
      <c r="AB284" s="85">
        <v>70.510000000000005</v>
      </c>
      <c r="AC284" s="85">
        <v>71.12</v>
      </c>
      <c r="AD284" s="85">
        <v>70.209999999999994</v>
      </c>
      <c r="AE284" s="47">
        <v>15053970</v>
      </c>
      <c r="AF284" s="47">
        <v>12742763</v>
      </c>
      <c r="AG284" s="47">
        <v>8841186</v>
      </c>
      <c r="AH284" s="47">
        <v>13480218</v>
      </c>
      <c r="AI284" s="47">
        <v>15286972</v>
      </c>
      <c r="AJ284" s="47">
        <v>18630641</v>
      </c>
      <c r="AK284" s="47">
        <v>13915885</v>
      </c>
      <c r="AL284" s="47">
        <v>14866530</v>
      </c>
      <c r="AM284" s="47">
        <v>14841480</v>
      </c>
      <c r="AN284" s="47">
        <v>15295230</v>
      </c>
      <c r="AO284" s="47">
        <v>12259390</v>
      </c>
      <c r="AP284" s="47">
        <v>14322110</v>
      </c>
      <c r="AQ284" s="47">
        <v>15239841</v>
      </c>
      <c r="AR284" s="47">
        <v>16879400</v>
      </c>
      <c r="AS284" s="47"/>
      <c r="AT284" s="47"/>
      <c r="AU284" s="47"/>
      <c r="AV284" s="47"/>
      <c r="AW284" s="47"/>
      <c r="AX284" s="47"/>
      <c r="AY284" s="47"/>
      <c r="AZ284" s="47"/>
      <c r="BA284" s="47"/>
      <c r="BB284" s="47"/>
      <c r="BC284" s="47"/>
      <c r="BD284" s="47"/>
      <c r="BE284" s="47"/>
      <c r="BF284" s="47"/>
    </row>
    <row r="285" spans="1:58" hidden="1">
      <c r="A285" s="46" t="s">
        <v>283</v>
      </c>
      <c r="B285" s="46" t="s">
        <v>259</v>
      </c>
      <c r="C285" s="47">
        <v>175279</v>
      </c>
      <c r="D285" s="47">
        <v>212315</v>
      </c>
      <c r="E285" s="47">
        <v>385435</v>
      </c>
      <c r="F285" s="47">
        <v>212900</v>
      </c>
      <c r="G285" s="47">
        <v>242295</v>
      </c>
      <c r="H285" s="47">
        <v>204870</v>
      </c>
      <c r="I285" s="47">
        <v>190790</v>
      </c>
      <c r="J285" s="47">
        <v>230635</v>
      </c>
      <c r="K285" s="47">
        <v>207170</v>
      </c>
      <c r="L285" s="47">
        <v>246995</v>
      </c>
      <c r="M285" s="47">
        <v>252730</v>
      </c>
      <c r="N285" s="47">
        <v>221395</v>
      </c>
      <c r="O285" s="47">
        <v>243055</v>
      </c>
      <c r="P285" s="47">
        <v>171710</v>
      </c>
      <c r="Q285" s="85">
        <v>66.45</v>
      </c>
      <c r="R285" s="85">
        <v>49.96</v>
      </c>
      <c r="S285" s="85">
        <v>68.27</v>
      </c>
      <c r="T285" s="85">
        <v>61.28</v>
      </c>
      <c r="U285" s="85">
        <v>62.6</v>
      </c>
      <c r="V285" s="85">
        <v>68.540000000000006</v>
      </c>
      <c r="W285" s="85">
        <v>50.94</v>
      </c>
      <c r="X285" s="85">
        <v>56.43</v>
      </c>
      <c r="Y285" s="85">
        <v>64.77</v>
      </c>
      <c r="Z285" s="85">
        <v>70.17</v>
      </c>
      <c r="AA285" s="85">
        <v>52.63</v>
      </c>
      <c r="AB285" s="85">
        <v>63.27</v>
      </c>
      <c r="AC285" s="85">
        <v>51.75</v>
      </c>
      <c r="AD285" s="85">
        <v>58.99</v>
      </c>
      <c r="AE285" s="47">
        <v>11646669</v>
      </c>
      <c r="AF285" s="47">
        <v>10607344</v>
      </c>
      <c r="AG285" s="47">
        <v>26314966</v>
      </c>
      <c r="AH285" s="47">
        <v>13045684</v>
      </c>
      <c r="AI285" s="47">
        <v>15166666</v>
      </c>
      <c r="AJ285" s="47">
        <v>14042232</v>
      </c>
      <c r="AK285" s="47">
        <v>9719342</v>
      </c>
      <c r="AL285" s="47">
        <v>13015220</v>
      </c>
      <c r="AM285" s="47">
        <v>13418550</v>
      </c>
      <c r="AN285" s="47">
        <v>17332550</v>
      </c>
      <c r="AO285" s="47">
        <v>13301910</v>
      </c>
      <c r="AP285" s="47">
        <v>14006890</v>
      </c>
      <c r="AQ285" s="47">
        <v>12578145</v>
      </c>
      <c r="AR285" s="47">
        <v>10128650</v>
      </c>
      <c r="AS285" s="47"/>
      <c r="AT285" s="47"/>
      <c r="AU285" s="47"/>
      <c r="AV285" s="47"/>
      <c r="AW285" s="47"/>
      <c r="AX285" s="47"/>
      <c r="AY285" s="47"/>
      <c r="AZ285" s="47"/>
      <c r="BA285" s="47"/>
      <c r="BB285" s="47"/>
      <c r="BC285" s="47"/>
      <c r="BD285" s="47"/>
      <c r="BE285" s="47"/>
      <c r="BF285" s="47"/>
    </row>
    <row r="286" spans="1:58" hidden="1">
      <c r="A286" s="46" t="s">
        <v>283</v>
      </c>
      <c r="B286" s="46" t="s">
        <v>260</v>
      </c>
      <c r="C286" s="47">
        <v>394436</v>
      </c>
      <c r="D286" s="47">
        <v>415765</v>
      </c>
      <c r="E286" s="47">
        <v>520145</v>
      </c>
      <c r="F286" s="47">
        <v>423690</v>
      </c>
      <c r="G286" s="47">
        <v>459335</v>
      </c>
      <c r="H286" s="47">
        <v>443870</v>
      </c>
      <c r="I286" s="47">
        <v>438880</v>
      </c>
      <c r="J286" s="47">
        <v>467565</v>
      </c>
      <c r="K286" s="47">
        <v>425840</v>
      </c>
      <c r="L286" s="47">
        <v>456985</v>
      </c>
      <c r="M286" s="47">
        <v>454620</v>
      </c>
      <c r="N286" s="47">
        <v>424505</v>
      </c>
      <c r="O286" s="47">
        <v>457335</v>
      </c>
      <c r="P286" s="47">
        <v>412130</v>
      </c>
      <c r="Q286" s="85">
        <v>67.69</v>
      </c>
      <c r="R286" s="85">
        <v>56.16</v>
      </c>
      <c r="S286" s="85">
        <v>67.59</v>
      </c>
      <c r="T286" s="85">
        <v>62.61</v>
      </c>
      <c r="U286" s="85">
        <v>66.3</v>
      </c>
      <c r="V286" s="85">
        <v>73.61</v>
      </c>
      <c r="W286" s="85">
        <v>53.85</v>
      </c>
      <c r="X286" s="85">
        <v>59.63</v>
      </c>
      <c r="Y286" s="85">
        <v>66.36</v>
      </c>
      <c r="Z286" s="85">
        <v>71.400000000000006</v>
      </c>
      <c r="AA286" s="85">
        <v>56.23</v>
      </c>
      <c r="AB286" s="85">
        <v>66.73</v>
      </c>
      <c r="AC286" s="85">
        <v>60.83</v>
      </c>
      <c r="AD286" s="85">
        <v>65.53</v>
      </c>
      <c r="AE286" s="47">
        <v>26700639</v>
      </c>
      <c r="AF286" s="47">
        <v>23350107</v>
      </c>
      <c r="AG286" s="47">
        <v>35156152</v>
      </c>
      <c r="AH286" s="47">
        <v>26525902</v>
      </c>
      <c r="AI286" s="47">
        <v>30453638</v>
      </c>
      <c r="AJ286" s="47">
        <v>32672873</v>
      </c>
      <c r="AK286" s="47">
        <v>23635227</v>
      </c>
      <c r="AL286" s="47">
        <v>27881750</v>
      </c>
      <c r="AM286" s="47">
        <v>28260030</v>
      </c>
      <c r="AN286" s="47">
        <v>32627780</v>
      </c>
      <c r="AO286" s="47">
        <v>25561300</v>
      </c>
      <c r="AP286" s="47">
        <v>28329000</v>
      </c>
      <c r="AQ286" s="47">
        <v>27817986</v>
      </c>
      <c r="AR286" s="47">
        <v>27008050</v>
      </c>
      <c r="AS286" s="47"/>
      <c r="AT286" s="47"/>
      <c r="AU286" s="47"/>
      <c r="AV286" s="47"/>
      <c r="AW286" s="47"/>
      <c r="AX286" s="47"/>
      <c r="AY286" s="47"/>
      <c r="AZ286" s="47"/>
      <c r="BA286" s="47"/>
      <c r="BB286" s="47"/>
      <c r="BC286" s="47"/>
      <c r="BD286" s="47"/>
      <c r="BE286" s="47"/>
      <c r="BF286" s="47"/>
    </row>
    <row r="287" spans="1:58" hidden="1">
      <c r="A287" s="46" t="s">
        <v>283</v>
      </c>
      <c r="B287" s="46" t="s">
        <v>261</v>
      </c>
      <c r="C287" s="47">
        <v>1605</v>
      </c>
      <c r="D287" s="47">
        <v>1585</v>
      </c>
      <c r="E287" s="47">
        <v>539</v>
      </c>
      <c r="F287" s="47">
        <v>1310</v>
      </c>
      <c r="G287" s="47">
        <v>1279</v>
      </c>
      <c r="H287" s="47">
        <v>1550</v>
      </c>
      <c r="I287" s="47">
        <v>1799</v>
      </c>
      <c r="J287" s="47">
        <v>2565</v>
      </c>
      <c r="K287" s="47">
        <v>2124</v>
      </c>
      <c r="L287" s="47">
        <v>1988</v>
      </c>
      <c r="M287" s="47">
        <v>1981</v>
      </c>
      <c r="N287" s="47">
        <v>3869</v>
      </c>
      <c r="O287" s="47">
        <v>3018</v>
      </c>
      <c r="P287" s="47">
        <v>3057</v>
      </c>
      <c r="Q287" s="85">
        <v>44.94</v>
      </c>
      <c r="R287" s="85">
        <v>42.06</v>
      </c>
      <c r="S287" s="85">
        <v>48.07</v>
      </c>
      <c r="T287" s="85">
        <v>48.38</v>
      </c>
      <c r="U287" s="85">
        <v>53.38</v>
      </c>
      <c r="V287" s="85">
        <v>47.88</v>
      </c>
      <c r="W287" s="85">
        <v>42.74</v>
      </c>
      <c r="X287" s="85">
        <v>49.18</v>
      </c>
      <c r="Y287" s="85">
        <v>48.91</v>
      </c>
      <c r="Z287" s="85">
        <v>47.02</v>
      </c>
      <c r="AA287" s="85">
        <v>40.700000000000003</v>
      </c>
      <c r="AB287" s="85">
        <v>44.84</v>
      </c>
      <c r="AC287" s="85">
        <v>38.119999999999997</v>
      </c>
      <c r="AD287" s="85">
        <v>46.27</v>
      </c>
      <c r="AE287" s="47">
        <v>72126</v>
      </c>
      <c r="AF287" s="47">
        <v>66660</v>
      </c>
      <c r="AG287" s="47">
        <v>25910</v>
      </c>
      <c r="AH287" s="47">
        <v>63383</v>
      </c>
      <c r="AI287" s="47">
        <v>68276</v>
      </c>
      <c r="AJ287" s="47">
        <v>74210</v>
      </c>
      <c r="AK287" s="47">
        <v>76892</v>
      </c>
      <c r="AL287" s="47">
        <v>126145</v>
      </c>
      <c r="AM287" s="47">
        <v>103886</v>
      </c>
      <c r="AN287" s="47">
        <v>93484</v>
      </c>
      <c r="AO287" s="47">
        <v>80635</v>
      </c>
      <c r="AP287" s="47">
        <v>173480</v>
      </c>
      <c r="AQ287" s="47">
        <v>115043</v>
      </c>
      <c r="AR287" s="47">
        <v>141443</v>
      </c>
      <c r="AS287" s="47"/>
      <c r="AT287" s="47"/>
      <c r="AU287" s="47"/>
      <c r="AV287" s="47"/>
      <c r="AW287" s="47"/>
      <c r="AX287" s="47"/>
      <c r="AY287" s="47"/>
      <c r="AZ287" s="47"/>
      <c r="BA287" s="47"/>
      <c r="BB287" s="47"/>
      <c r="BC287" s="47"/>
      <c r="BD287" s="47"/>
      <c r="BE287" s="47"/>
      <c r="BF287" s="47"/>
    </row>
    <row r="288" spans="1:58" hidden="1">
      <c r="A288" s="46" t="s">
        <v>283</v>
      </c>
      <c r="B288" s="46" t="s">
        <v>262</v>
      </c>
      <c r="C288" s="47">
        <v>5596</v>
      </c>
      <c r="D288" s="47">
        <v>5470</v>
      </c>
      <c r="E288" s="47">
        <v>9137</v>
      </c>
      <c r="F288" s="47">
        <v>9915</v>
      </c>
      <c r="G288" s="47">
        <v>10520</v>
      </c>
      <c r="H288" s="47">
        <v>7830</v>
      </c>
      <c r="I288" s="47">
        <v>7417</v>
      </c>
      <c r="J288" s="47">
        <v>9980</v>
      </c>
      <c r="K288" s="47">
        <v>7591</v>
      </c>
      <c r="L288" s="47">
        <v>8435</v>
      </c>
      <c r="M288" s="47">
        <v>11240</v>
      </c>
      <c r="N288" s="47">
        <v>13287</v>
      </c>
      <c r="O288" s="47">
        <v>11087</v>
      </c>
      <c r="P288" s="47">
        <v>9005</v>
      </c>
      <c r="Q288" s="85">
        <v>43.41</v>
      </c>
      <c r="R288" s="85">
        <v>40.14</v>
      </c>
      <c r="S288" s="85">
        <v>49.31</v>
      </c>
      <c r="T288" s="85">
        <v>42.1</v>
      </c>
      <c r="U288" s="85">
        <v>41.41</v>
      </c>
      <c r="V288" s="85">
        <v>41.29</v>
      </c>
      <c r="W288" s="85">
        <v>38.04</v>
      </c>
      <c r="X288" s="85">
        <v>43.46</v>
      </c>
      <c r="Y288" s="85">
        <v>47.91</v>
      </c>
      <c r="Z288" s="85">
        <v>46.49</v>
      </c>
      <c r="AA288" s="85">
        <v>40.53</v>
      </c>
      <c r="AB288" s="85">
        <v>43.89</v>
      </c>
      <c r="AC288" s="85">
        <v>38.15</v>
      </c>
      <c r="AD288" s="85">
        <v>44.37</v>
      </c>
      <c r="AE288" s="47">
        <v>242929</v>
      </c>
      <c r="AF288" s="47">
        <v>219561</v>
      </c>
      <c r="AG288" s="47">
        <v>450547</v>
      </c>
      <c r="AH288" s="47">
        <v>417401</v>
      </c>
      <c r="AI288" s="47">
        <v>435658</v>
      </c>
      <c r="AJ288" s="47">
        <v>323277</v>
      </c>
      <c r="AK288" s="47">
        <v>282117</v>
      </c>
      <c r="AL288" s="47">
        <v>433740</v>
      </c>
      <c r="AM288" s="47">
        <v>363653</v>
      </c>
      <c r="AN288" s="47">
        <v>392125</v>
      </c>
      <c r="AO288" s="47">
        <v>455600</v>
      </c>
      <c r="AP288" s="47">
        <v>583153</v>
      </c>
      <c r="AQ288" s="47">
        <v>422946</v>
      </c>
      <c r="AR288" s="47">
        <v>399585</v>
      </c>
      <c r="AS288" s="47"/>
      <c r="AT288" s="47"/>
      <c r="AU288" s="47"/>
      <c r="AV288" s="47"/>
      <c r="AW288" s="47"/>
      <c r="AX288" s="47"/>
      <c r="AY288" s="47"/>
      <c r="AZ288" s="47"/>
      <c r="BA288" s="47"/>
      <c r="BB288" s="47"/>
      <c r="BC288" s="47"/>
      <c r="BD288" s="47"/>
      <c r="BE288" s="47"/>
      <c r="BF288" s="47"/>
    </row>
    <row r="289" spans="1:58" hidden="1">
      <c r="A289" s="46" t="s">
        <v>283</v>
      </c>
      <c r="B289" s="46" t="s">
        <v>263</v>
      </c>
      <c r="C289" s="47">
        <v>7201</v>
      </c>
      <c r="D289" s="47">
        <v>7055</v>
      </c>
      <c r="E289" s="47">
        <v>9676</v>
      </c>
      <c r="F289" s="47">
        <v>11225</v>
      </c>
      <c r="G289" s="47">
        <v>11799</v>
      </c>
      <c r="H289" s="47">
        <v>9380</v>
      </c>
      <c r="I289" s="47">
        <v>9216</v>
      </c>
      <c r="J289" s="47">
        <v>12545</v>
      </c>
      <c r="K289" s="47">
        <v>9715</v>
      </c>
      <c r="L289" s="47">
        <v>10423</v>
      </c>
      <c r="M289" s="47">
        <v>13221</v>
      </c>
      <c r="N289" s="47">
        <v>17156</v>
      </c>
      <c r="O289" s="47">
        <v>14105</v>
      </c>
      <c r="P289" s="47">
        <v>12062</v>
      </c>
      <c r="Q289" s="85">
        <v>43.75</v>
      </c>
      <c r="R289" s="85">
        <v>40.57</v>
      </c>
      <c r="S289" s="85">
        <v>49.24</v>
      </c>
      <c r="T289" s="85">
        <v>42.83</v>
      </c>
      <c r="U289" s="85">
        <v>42.71</v>
      </c>
      <c r="V289" s="85">
        <v>42.38</v>
      </c>
      <c r="W289" s="85">
        <v>38.950000000000003</v>
      </c>
      <c r="X289" s="85">
        <v>44.63</v>
      </c>
      <c r="Y289" s="85">
        <v>48.13</v>
      </c>
      <c r="Z289" s="85">
        <v>46.59</v>
      </c>
      <c r="AA289" s="85">
        <v>40.56</v>
      </c>
      <c r="AB289" s="85">
        <v>44.1</v>
      </c>
      <c r="AC289" s="85">
        <v>38.14</v>
      </c>
      <c r="AD289" s="85">
        <v>44.85</v>
      </c>
      <c r="AE289" s="47">
        <v>315055</v>
      </c>
      <c r="AF289" s="47">
        <v>286221</v>
      </c>
      <c r="AG289" s="47">
        <v>476457</v>
      </c>
      <c r="AH289" s="47">
        <v>480784</v>
      </c>
      <c r="AI289" s="47">
        <v>503934</v>
      </c>
      <c r="AJ289" s="47">
        <v>397487</v>
      </c>
      <c r="AK289" s="47">
        <v>359009</v>
      </c>
      <c r="AL289" s="47">
        <v>559885</v>
      </c>
      <c r="AM289" s="47">
        <v>467539</v>
      </c>
      <c r="AN289" s="47">
        <v>485609</v>
      </c>
      <c r="AO289" s="47">
        <v>536235</v>
      </c>
      <c r="AP289" s="47">
        <v>756633</v>
      </c>
      <c r="AQ289" s="47">
        <v>537989</v>
      </c>
      <c r="AR289" s="47">
        <v>541028</v>
      </c>
      <c r="AS289" s="47"/>
      <c r="AT289" s="47"/>
      <c r="AU289" s="47"/>
      <c r="AV289" s="47"/>
      <c r="AW289" s="47"/>
      <c r="AX289" s="47"/>
      <c r="AY289" s="47"/>
      <c r="AZ289" s="47"/>
      <c r="BA289" s="47"/>
      <c r="BB289" s="47"/>
      <c r="BC289" s="47"/>
      <c r="BD289" s="47"/>
      <c r="BE289" s="47"/>
      <c r="BF289" s="47"/>
    </row>
    <row r="290" spans="1:58" hidden="1">
      <c r="A290" s="46" t="s">
        <v>283</v>
      </c>
      <c r="B290" s="46" t="s">
        <v>264</v>
      </c>
      <c r="C290" s="47">
        <v>49762</v>
      </c>
      <c r="D290" s="47">
        <v>48453</v>
      </c>
      <c r="E290" s="47">
        <v>51031</v>
      </c>
      <c r="F290" s="47">
        <v>50621</v>
      </c>
      <c r="G290" s="47">
        <v>50699</v>
      </c>
      <c r="H290" s="47">
        <v>50776</v>
      </c>
      <c r="I290" s="47">
        <v>46189</v>
      </c>
      <c r="J290" s="47">
        <v>45389</v>
      </c>
      <c r="K290" s="47">
        <v>48238</v>
      </c>
      <c r="L290" s="47">
        <v>48324</v>
      </c>
      <c r="M290" s="47">
        <v>48345</v>
      </c>
      <c r="N290" s="47">
        <v>48345</v>
      </c>
      <c r="O290" s="47">
        <v>48972</v>
      </c>
      <c r="P290" s="47">
        <v>48715</v>
      </c>
      <c r="Q290" s="85">
        <v>109.71</v>
      </c>
      <c r="R290" s="85">
        <v>129.41999999999999</v>
      </c>
      <c r="S290" s="85">
        <v>131.78</v>
      </c>
      <c r="T290" s="85">
        <v>114.84</v>
      </c>
      <c r="U290" s="85">
        <v>126.29</v>
      </c>
      <c r="V290" s="85">
        <v>126.59</v>
      </c>
      <c r="W290" s="85">
        <v>119.31</v>
      </c>
      <c r="X290" s="85">
        <v>131.6</v>
      </c>
      <c r="Y290" s="85">
        <v>134.22</v>
      </c>
      <c r="Z290" s="85">
        <v>128.08000000000001</v>
      </c>
      <c r="AA290" s="85">
        <v>127.18</v>
      </c>
      <c r="AB290" s="85">
        <v>127.02</v>
      </c>
      <c r="AC290" s="85">
        <v>129.24</v>
      </c>
      <c r="AD290" s="85">
        <v>132.54</v>
      </c>
      <c r="AE290" s="47">
        <v>5459480</v>
      </c>
      <c r="AF290" s="47">
        <v>6270820</v>
      </c>
      <c r="AG290" s="47">
        <v>6724786</v>
      </c>
      <c r="AH290" s="47">
        <v>5813393</v>
      </c>
      <c r="AI290" s="47">
        <v>6402546</v>
      </c>
      <c r="AJ290" s="47">
        <v>6427522</v>
      </c>
      <c r="AK290" s="47">
        <v>5510986</v>
      </c>
      <c r="AL290" s="47">
        <v>5973196</v>
      </c>
      <c r="AM290" s="47">
        <v>6474428</v>
      </c>
      <c r="AN290" s="47">
        <v>6189477</v>
      </c>
      <c r="AO290" s="47">
        <v>6148450</v>
      </c>
      <c r="AP290" s="47">
        <v>6140680</v>
      </c>
      <c r="AQ290" s="47">
        <v>6329030</v>
      </c>
      <c r="AR290" s="47">
        <v>6456470</v>
      </c>
      <c r="AS290" s="47"/>
      <c r="AT290" s="47"/>
      <c r="AU290" s="47"/>
      <c r="AV290" s="47"/>
      <c r="AW290" s="47"/>
      <c r="AX290" s="47"/>
      <c r="AY290" s="47"/>
      <c r="AZ290" s="47"/>
      <c r="BA290" s="47"/>
      <c r="BB290" s="47"/>
      <c r="BC290" s="47"/>
      <c r="BD290" s="47"/>
      <c r="BE290" s="47"/>
      <c r="BF290" s="47"/>
    </row>
    <row r="291" spans="1:58" hidden="1">
      <c r="A291" s="46" t="s">
        <v>283</v>
      </c>
      <c r="B291" s="46" t="s">
        <v>265</v>
      </c>
      <c r="C291" s="47">
        <v>148479</v>
      </c>
      <c r="D291" s="47">
        <v>142370</v>
      </c>
      <c r="E291" s="47">
        <v>188037</v>
      </c>
      <c r="F291" s="47">
        <v>150443</v>
      </c>
      <c r="G291" s="47">
        <v>157932</v>
      </c>
      <c r="H291" s="47">
        <v>136780</v>
      </c>
      <c r="I291" s="47">
        <v>129040</v>
      </c>
      <c r="J291" s="47">
        <v>139510</v>
      </c>
      <c r="K291" s="47">
        <v>142572</v>
      </c>
      <c r="L291" s="47">
        <v>126585</v>
      </c>
      <c r="M291" s="47">
        <v>120580</v>
      </c>
      <c r="N291" s="47">
        <v>126457</v>
      </c>
      <c r="O291" s="47">
        <v>116285</v>
      </c>
      <c r="P291" s="47">
        <v>108618</v>
      </c>
      <c r="Q291" s="85">
        <v>91.16</v>
      </c>
      <c r="R291" s="85">
        <v>108.74</v>
      </c>
      <c r="S291" s="85">
        <v>99.43</v>
      </c>
      <c r="T291" s="85">
        <v>81.67</v>
      </c>
      <c r="U291" s="85">
        <v>104.66</v>
      </c>
      <c r="V291" s="85">
        <v>75.92</v>
      </c>
      <c r="W291" s="85">
        <v>86.09</v>
      </c>
      <c r="X291" s="85">
        <v>107.6</v>
      </c>
      <c r="Y291" s="85">
        <v>81.39</v>
      </c>
      <c r="Z291" s="85">
        <v>84.1</v>
      </c>
      <c r="AA291" s="85">
        <v>78.97</v>
      </c>
      <c r="AB291" s="85">
        <v>102.77</v>
      </c>
      <c r="AC291" s="85">
        <v>80.09</v>
      </c>
      <c r="AD291" s="85">
        <v>90.85</v>
      </c>
      <c r="AE291" s="47">
        <v>13535471</v>
      </c>
      <c r="AF291" s="47">
        <v>15481702</v>
      </c>
      <c r="AG291" s="47">
        <v>18696074</v>
      </c>
      <c r="AH291" s="47">
        <v>12286264</v>
      </c>
      <c r="AI291" s="47">
        <v>16528929</v>
      </c>
      <c r="AJ291" s="47">
        <v>10383855</v>
      </c>
      <c r="AK291" s="47">
        <v>11108802</v>
      </c>
      <c r="AL291" s="47">
        <v>15011745</v>
      </c>
      <c r="AM291" s="47">
        <v>11604012</v>
      </c>
      <c r="AN291" s="47">
        <v>10645755</v>
      </c>
      <c r="AO291" s="47">
        <v>9521650</v>
      </c>
      <c r="AP291" s="47">
        <v>12996544</v>
      </c>
      <c r="AQ291" s="47">
        <v>9313233</v>
      </c>
      <c r="AR291" s="47">
        <v>9867490</v>
      </c>
      <c r="AS291" s="47"/>
      <c r="AT291" s="47"/>
      <c r="AU291" s="47"/>
      <c r="AV291" s="47"/>
      <c r="AW291" s="47"/>
      <c r="AX291" s="47"/>
      <c r="AY291" s="47"/>
      <c r="AZ291" s="47"/>
      <c r="BA291" s="47"/>
      <c r="BB291" s="47"/>
      <c r="BC291" s="47"/>
      <c r="BD291" s="47"/>
      <c r="BE291" s="47"/>
      <c r="BF291" s="47"/>
    </row>
    <row r="292" spans="1:58" hidden="1">
      <c r="A292" s="46" t="s">
        <v>283</v>
      </c>
      <c r="B292" s="46" t="s">
        <v>266</v>
      </c>
      <c r="C292" s="47">
        <v>35</v>
      </c>
      <c r="D292" s="47">
        <v>35</v>
      </c>
      <c r="E292" s="47">
        <v>0</v>
      </c>
      <c r="F292" s="47">
        <v>77</v>
      </c>
      <c r="G292" s="47">
        <v>425</v>
      </c>
      <c r="H292" s="47">
        <v>955</v>
      </c>
      <c r="I292" s="47">
        <v>1295</v>
      </c>
      <c r="J292" s="47">
        <v>1010</v>
      </c>
      <c r="K292" s="47">
        <v>850</v>
      </c>
      <c r="L292" s="47">
        <v>920</v>
      </c>
      <c r="M292" s="47">
        <v>920</v>
      </c>
      <c r="N292" s="47">
        <v>1008</v>
      </c>
      <c r="O292" s="47">
        <v>647</v>
      </c>
      <c r="P292" s="47">
        <v>647</v>
      </c>
      <c r="Q292" s="85">
        <v>40</v>
      </c>
      <c r="R292" s="85">
        <v>40</v>
      </c>
      <c r="S292" s="85"/>
      <c r="T292" s="85">
        <v>20.96</v>
      </c>
      <c r="U292" s="85">
        <v>37.18</v>
      </c>
      <c r="V292" s="85">
        <v>20.37</v>
      </c>
      <c r="W292" s="85">
        <v>20</v>
      </c>
      <c r="X292" s="85">
        <v>18.100000000000001</v>
      </c>
      <c r="Y292" s="85">
        <v>24.65</v>
      </c>
      <c r="Z292" s="85">
        <v>25</v>
      </c>
      <c r="AA292" s="85">
        <v>25</v>
      </c>
      <c r="AB292" s="85">
        <v>26</v>
      </c>
      <c r="AC292" s="85">
        <v>36</v>
      </c>
      <c r="AD292" s="85">
        <v>36</v>
      </c>
      <c r="AE292" s="47">
        <v>1400</v>
      </c>
      <c r="AF292" s="47">
        <v>1400</v>
      </c>
      <c r="AG292" s="47">
        <v>0</v>
      </c>
      <c r="AH292" s="47">
        <v>1614</v>
      </c>
      <c r="AI292" s="47">
        <v>15800</v>
      </c>
      <c r="AJ292" s="47">
        <v>19450</v>
      </c>
      <c r="AK292" s="47">
        <v>25900</v>
      </c>
      <c r="AL292" s="47">
        <v>18280</v>
      </c>
      <c r="AM292" s="47">
        <v>20950</v>
      </c>
      <c r="AN292" s="47">
        <v>23000</v>
      </c>
      <c r="AO292" s="47">
        <v>23000</v>
      </c>
      <c r="AP292" s="47">
        <v>26208</v>
      </c>
      <c r="AQ292" s="47">
        <v>23292</v>
      </c>
      <c r="AR292" s="47">
        <v>23292</v>
      </c>
      <c r="AS292" s="47"/>
      <c r="AT292" s="47"/>
      <c r="AU292" s="47"/>
      <c r="AV292" s="47"/>
      <c r="AW292" s="47"/>
      <c r="AX292" s="47"/>
      <c r="AY292" s="47"/>
      <c r="AZ292" s="47"/>
      <c r="BA292" s="47"/>
      <c r="BB292" s="47"/>
      <c r="BC292" s="47"/>
      <c r="BD292" s="47"/>
      <c r="BE292" s="47"/>
      <c r="BF292" s="47"/>
    </row>
    <row r="293" spans="1:58" hidden="1">
      <c r="A293" s="46" t="s">
        <v>283</v>
      </c>
      <c r="B293" s="46" t="s">
        <v>267</v>
      </c>
      <c r="C293" s="47">
        <v>198276</v>
      </c>
      <c r="D293" s="47">
        <v>190858</v>
      </c>
      <c r="E293" s="47">
        <v>239068</v>
      </c>
      <c r="F293" s="47">
        <v>201141</v>
      </c>
      <c r="G293" s="47">
        <v>209056</v>
      </c>
      <c r="H293" s="47">
        <v>188511</v>
      </c>
      <c r="I293" s="47">
        <v>176524</v>
      </c>
      <c r="J293" s="47">
        <v>185909</v>
      </c>
      <c r="K293" s="47">
        <v>191660</v>
      </c>
      <c r="L293" s="47">
        <v>175829</v>
      </c>
      <c r="M293" s="47">
        <v>169845</v>
      </c>
      <c r="N293" s="47">
        <v>175810</v>
      </c>
      <c r="O293" s="47">
        <v>165904</v>
      </c>
      <c r="P293" s="47">
        <v>157980</v>
      </c>
      <c r="Q293" s="85">
        <v>95.81</v>
      </c>
      <c r="R293" s="85">
        <v>113.98</v>
      </c>
      <c r="S293" s="85">
        <v>106.33</v>
      </c>
      <c r="T293" s="85">
        <v>89.99</v>
      </c>
      <c r="U293" s="85">
        <v>109.77</v>
      </c>
      <c r="V293" s="85">
        <v>89.28</v>
      </c>
      <c r="W293" s="85">
        <v>94.3</v>
      </c>
      <c r="X293" s="85">
        <v>112.98</v>
      </c>
      <c r="Y293" s="85">
        <v>94.43</v>
      </c>
      <c r="Z293" s="85">
        <v>95.88</v>
      </c>
      <c r="AA293" s="85">
        <v>92.4</v>
      </c>
      <c r="AB293" s="85">
        <v>109</v>
      </c>
      <c r="AC293" s="85">
        <v>94.43</v>
      </c>
      <c r="AD293" s="85">
        <v>103.48</v>
      </c>
      <c r="AE293" s="47">
        <v>18996351</v>
      </c>
      <c r="AF293" s="47">
        <v>21753922</v>
      </c>
      <c r="AG293" s="47">
        <v>25420860</v>
      </c>
      <c r="AH293" s="47">
        <v>18101271</v>
      </c>
      <c r="AI293" s="47">
        <v>22947275</v>
      </c>
      <c r="AJ293" s="47">
        <v>16830827</v>
      </c>
      <c r="AK293" s="47">
        <v>16645688</v>
      </c>
      <c r="AL293" s="47">
        <v>21003221</v>
      </c>
      <c r="AM293" s="47">
        <v>18099390</v>
      </c>
      <c r="AN293" s="47">
        <v>16858232</v>
      </c>
      <c r="AO293" s="47">
        <v>15693100</v>
      </c>
      <c r="AP293" s="47">
        <v>19163432</v>
      </c>
      <c r="AQ293" s="47">
        <v>15665555</v>
      </c>
      <c r="AR293" s="47">
        <v>16347252</v>
      </c>
      <c r="AS293" s="47"/>
      <c r="AT293" s="47"/>
      <c r="AU293" s="47"/>
      <c r="AV293" s="47"/>
      <c r="AW293" s="47"/>
      <c r="AX293" s="47"/>
      <c r="AY293" s="47"/>
      <c r="AZ293" s="47"/>
      <c r="BA293" s="47"/>
      <c r="BB293" s="47"/>
      <c r="BC293" s="47"/>
      <c r="BD293" s="47"/>
      <c r="BE293" s="47"/>
      <c r="BF293" s="47"/>
    </row>
    <row r="294" spans="1:58" hidden="1">
      <c r="A294" s="46" t="s">
        <v>283</v>
      </c>
      <c r="B294" s="46" t="s">
        <v>268</v>
      </c>
      <c r="C294" s="47">
        <v>862</v>
      </c>
      <c r="D294" s="47">
        <v>1805</v>
      </c>
      <c r="E294" s="47">
        <v>1900</v>
      </c>
      <c r="F294" s="47">
        <v>1715</v>
      </c>
      <c r="G294" s="47">
        <v>1060</v>
      </c>
      <c r="H294" s="47">
        <v>935</v>
      </c>
      <c r="I294" s="47">
        <v>900</v>
      </c>
      <c r="J294" s="47">
        <v>785</v>
      </c>
      <c r="K294" s="47">
        <v>965</v>
      </c>
      <c r="L294" s="47">
        <v>925</v>
      </c>
      <c r="M294" s="47">
        <v>1283</v>
      </c>
      <c r="N294" s="47">
        <v>1565</v>
      </c>
      <c r="O294" s="47">
        <v>1045</v>
      </c>
      <c r="P294" s="47">
        <v>654</v>
      </c>
      <c r="Q294" s="85">
        <v>73.819999999999993</v>
      </c>
      <c r="R294" s="85">
        <v>71.27</v>
      </c>
      <c r="S294" s="85">
        <v>65.55</v>
      </c>
      <c r="T294" s="85">
        <v>68.45</v>
      </c>
      <c r="U294" s="85">
        <v>58</v>
      </c>
      <c r="V294" s="85">
        <v>61.54</v>
      </c>
      <c r="W294" s="85">
        <v>62.11</v>
      </c>
      <c r="X294" s="85">
        <v>61.71</v>
      </c>
      <c r="Y294" s="85">
        <v>55.5</v>
      </c>
      <c r="Z294" s="85">
        <v>54.32</v>
      </c>
      <c r="AA294" s="85">
        <v>61.54</v>
      </c>
      <c r="AB294" s="85">
        <v>42.5</v>
      </c>
      <c r="AC294" s="85">
        <v>46.47</v>
      </c>
      <c r="AD294" s="85">
        <v>68.89</v>
      </c>
      <c r="AE294" s="47">
        <v>63629</v>
      </c>
      <c r="AF294" s="47">
        <v>128650</v>
      </c>
      <c r="AG294" s="47">
        <v>124550</v>
      </c>
      <c r="AH294" s="47">
        <v>117400</v>
      </c>
      <c r="AI294" s="47">
        <v>61485</v>
      </c>
      <c r="AJ294" s="47">
        <v>57540</v>
      </c>
      <c r="AK294" s="47">
        <v>55896</v>
      </c>
      <c r="AL294" s="47">
        <v>48445</v>
      </c>
      <c r="AM294" s="47">
        <v>53560</v>
      </c>
      <c r="AN294" s="47">
        <v>50250</v>
      </c>
      <c r="AO294" s="47">
        <v>78960</v>
      </c>
      <c r="AP294" s="47">
        <v>66510</v>
      </c>
      <c r="AQ294" s="47">
        <v>48560</v>
      </c>
      <c r="AR294" s="47">
        <v>45053</v>
      </c>
      <c r="AS294" s="47"/>
      <c r="AT294" s="47"/>
      <c r="AU294" s="47"/>
      <c r="AV294" s="47"/>
      <c r="AW294" s="47"/>
      <c r="AX294" s="47"/>
      <c r="AY294" s="47"/>
      <c r="AZ294" s="47"/>
      <c r="BA294" s="47"/>
      <c r="BB294" s="47"/>
      <c r="BC294" s="47"/>
      <c r="BD294" s="47"/>
      <c r="BE294" s="47"/>
      <c r="BF294" s="47"/>
    </row>
    <row r="295" spans="1:58" hidden="1">
      <c r="A295" s="46" t="s">
        <v>283</v>
      </c>
      <c r="B295" s="46" t="s">
        <v>269</v>
      </c>
      <c r="C295" s="47">
        <v>19893</v>
      </c>
      <c r="D295" s="47">
        <v>21340</v>
      </c>
      <c r="E295" s="47">
        <v>18470</v>
      </c>
      <c r="F295" s="47">
        <v>20680</v>
      </c>
      <c r="G295" s="47">
        <v>18746</v>
      </c>
      <c r="H295" s="47">
        <v>16910</v>
      </c>
      <c r="I295" s="47">
        <v>17510</v>
      </c>
      <c r="J295" s="47">
        <v>17455</v>
      </c>
      <c r="K295" s="47">
        <v>17285</v>
      </c>
      <c r="L295" s="47">
        <v>20095</v>
      </c>
      <c r="M295" s="47">
        <v>18495</v>
      </c>
      <c r="N295" s="47">
        <v>24663</v>
      </c>
      <c r="O295" s="47">
        <v>21183</v>
      </c>
      <c r="P295" s="47">
        <v>17775</v>
      </c>
      <c r="Q295" s="85">
        <v>58.23</v>
      </c>
      <c r="R295" s="85">
        <v>57.59</v>
      </c>
      <c r="S295" s="85">
        <v>51.45</v>
      </c>
      <c r="T295" s="85">
        <v>55.83</v>
      </c>
      <c r="U295" s="85">
        <v>56.87</v>
      </c>
      <c r="V295" s="85">
        <v>62.1</v>
      </c>
      <c r="W295" s="85">
        <v>38.97</v>
      </c>
      <c r="X295" s="85">
        <v>53.54</v>
      </c>
      <c r="Y295" s="85">
        <v>60.28</v>
      </c>
      <c r="Z295" s="85">
        <v>62.42</v>
      </c>
      <c r="AA295" s="85">
        <v>59.63</v>
      </c>
      <c r="AB295" s="85">
        <v>57.02</v>
      </c>
      <c r="AC295" s="85">
        <v>55.42</v>
      </c>
      <c r="AD295" s="85">
        <v>56.42</v>
      </c>
      <c r="AE295" s="47">
        <v>1158374</v>
      </c>
      <c r="AF295" s="47">
        <v>1228928</v>
      </c>
      <c r="AG295" s="47">
        <v>950268</v>
      </c>
      <c r="AH295" s="47">
        <v>1154547</v>
      </c>
      <c r="AI295" s="47">
        <v>1066055</v>
      </c>
      <c r="AJ295" s="47">
        <v>1050156</v>
      </c>
      <c r="AK295" s="47">
        <v>682391</v>
      </c>
      <c r="AL295" s="47">
        <v>934590</v>
      </c>
      <c r="AM295" s="47">
        <v>1042000</v>
      </c>
      <c r="AN295" s="47">
        <v>1254240</v>
      </c>
      <c r="AO295" s="47">
        <v>1102805</v>
      </c>
      <c r="AP295" s="47">
        <v>1406210</v>
      </c>
      <c r="AQ295" s="47">
        <v>1173908</v>
      </c>
      <c r="AR295" s="47">
        <v>1002875</v>
      </c>
      <c r="AS295" s="47"/>
      <c r="AT295" s="47"/>
      <c r="AU295" s="47"/>
      <c r="AV295" s="47"/>
      <c r="AW295" s="47"/>
      <c r="AX295" s="47"/>
      <c r="AY295" s="47"/>
      <c r="AZ295" s="47"/>
      <c r="BA295" s="47"/>
      <c r="BB295" s="47"/>
      <c r="BC295" s="47"/>
      <c r="BD295" s="47"/>
      <c r="BE295" s="47"/>
      <c r="BF295" s="47"/>
    </row>
    <row r="296" spans="1:58" hidden="1">
      <c r="A296" s="46" t="s">
        <v>283</v>
      </c>
      <c r="B296" s="46" t="s">
        <v>270</v>
      </c>
      <c r="C296" s="47">
        <v>1130</v>
      </c>
      <c r="D296" s="47">
        <v>320</v>
      </c>
      <c r="E296" s="47">
        <v>510</v>
      </c>
      <c r="F296" s="47">
        <v>670</v>
      </c>
      <c r="G296" s="47">
        <v>427</v>
      </c>
      <c r="H296" s="47">
        <v>760</v>
      </c>
      <c r="I296" s="47">
        <v>994</v>
      </c>
      <c r="J296" s="47">
        <v>1390</v>
      </c>
      <c r="K296" s="47">
        <v>1144</v>
      </c>
      <c r="L296" s="47">
        <v>1040</v>
      </c>
      <c r="M296" s="47">
        <v>1860</v>
      </c>
      <c r="N296" s="47">
        <v>2000</v>
      </c>
      <c r="O296" s="47">
        <v>2920</v>
      </c>
      <c r="P296" s="47">
        <v>2797</v>
      </c>
      <c r="Q296" s="85"/>
      <c r="R296" s="85"/>
      <c r="S296" s="85"/>
      <c r="T296" s="85"/>
      <c r="U296" s="85"/>
      <c r="V296" s="85"/>
      <c r="W296" s="85"/>
      <c r="X296" s="85"/>
      <c r="Y296" s="85"/>
      <c r="Z296" s="85"/>
      <c r="AA296" s="85"/>
      <c r="AB296" s="85"/>
      <c r="AC296" s="85"/>
      <c r="AD296" s="85"/>
      <c r="AE296" s="47">
        <v>48950</v>
      </c>
      <c r="AF296" s="47">
        <v>13100</v>
      </c>
      <c r="AG296" s="47">
        <v>21090</v>
      </c>
      <c r="AH296" s="47">
        <v>26100</v>
      </c>
      <c r="AI296" s="47">
        <v>18780</v>
      </c>
      <c r="AJ296" s="47">
        <v>33170</v>
      </c>
      <c r="AK296" s="47">
        <v>37706</v>
      </c>
      <c r="AL296" s="47">
        <v>58180</v>
      </c>
      <c r="AM296" s="47">
        <v>47122</v>
      </c>
      <c r="AN296" s="47">
        <v>42710</v>
      </c>
      <c r="AO296" s="47">
        <v>79765</v>
      </c>
      <c r="AP296" s="47">
        <v>82567</v>
      </c>
      <c r="AQ296" s="47">
        <v>122400</v>
      </c>
      <c r="AR296" s="47">
        <v>119595</v>
      </c>
      <c r="AS296" s="47"/>
      <c r="AT296" s="47"/>
      <c r="AU296" s="47"/>
      <c r="AV296" s="47"/>
      <c r="AW296" s="47"/>
      <c r="AX296" s="47"/>
      <c r="AY296" s="47"/>
      <c r="AZ296" s="47"/>
      <c r="BA296" s="47"/>
      <c r="BB296" s="47"/>
      <c r="BC296" s="47"/>
      <c r="BD296" s="47"/>
      <c r="BE296" s="47"/>
      <c r="BF296" s="47"/>
    </row>
    <row r="297" spans="1:58" hidden="1">
      <c r="A297" s="46" t="s">
        <v>283</v>
      </c>
      <c r="B297" s="46" t="s">
        <v>271</v>
      </c>
      <c r="C297" s="47">
        <v>560</v>
      </c>
      <c r="D297" s="47">
        <v>990</v>
      </c>
      <c r="E297" s="47">
        <v>2585</v>
      </c>
      <c r="F297" s="47">
        <v>1425</v>
      </c>
      <c r="G297" s="47">
        <v>972</v>
      </c>
      <c r="H297" s="47">
        <v>350</v>
      </c>
      <c r="I297" s="47">
        <v>550</v>
      </c>
      <c r="J297" s="47">
        <v>1940</v>
      </c>
      <c r="K297" s="47">
        <v>3249</v>
      </c>
      <c r="L297" s="47">
        <v>4750</v>
      </c>
      <c r="M297" s="47">
        <v>6520</v>
      </c>
      <c r="N297" s="47">
        <v>8533</v>
      </c>
      <c r="O297" s="47">
        <v>7747</v>
      </c>
      <c r="P297" s="47">
        <v>6734</v>
      </c>
      <c r="Q297" s="85"/>
      <c r="R297" s="85"/>
      <c r="S297" s="85"/>
      <c r="T297" s="85"/>
      <c r="U297" s="85"/>
      <c r="V297" s="85"/>
      <c r="W297" s="85"/>
      <c r="X297" s="85"/>
      <c r="Y297" s="85"/>
      <c r="Z297" s="85"/>
      <c r="AA297" s="85"/>
      <c r="AB297" s="85"/>
      <c r="AC297" s="85"/>
      <c r="AD297" s="85"/>
      <c r="AE297" s="47">
        <v>28400</v>
      </c>
      <c r="AF297" s="47">
        <v>46050</v>
      </c>
      <c r="AG297" s="47">
        <v>124110</v>
      </c>
      <c r="AH297" s="47">
        <v>67375</v>
      </c>
      <c r="AI297" s="47">
        <v>47065</v>
      </c>
      <c r="AJ297" s="47">
        <v>14600</v>
      </c>
      <c r="AK297" s="47">
        <v>16050</v>
      </c>
      <c r="AL297" s="47">
        <v>71980</v>
      </c>
      <c r="AM297" s="47">
        <v>146367</v>
      </c>
      <c r="AN297" s="47">
        <v>211000</v>
      </c>
      <c r="AO297" s="47">
        <v>291165</v>
      </c>
      <c r="AP297" s="47">
        <v>374011</v>
      </c>
      <c r="AQ297" s="47">
        <v>334542</v>
      </c>
      <c r="AR297" s="47">
        <v>289819</v>
      </c>
      <c r="AS297" s="47"/>
      <c r="AT297" s="47"/>
      <c r="AU297" s="47"/>
      <c r="AV297" s="47"/>
      <c r="AW297" s="47"/>
      <c r="AX297" s="47"/>
      <c r="AY297" s="47"/>
      <c r="AZ297" s="47"/>
      <c r="BA297" s="47"/>
      <c r="BB297" s="47"/>
      <c r="BC297" s="47"/>
      <c r="BD297" s="47"/>
      <c r="BE297" s="47"/>
      <c r="BF297" s="47"/>
    </row>
    <row r="298" spans="1:58" hidden="1">
      <c r="A298" s="46" t="s">
        <v>283</v>
      </c>
      <c r="B298" s="46" t="s">
        <v>272</v>
      </c>
      <c r="C298" s="47">
        <v>1331254</v>
      </c>
      <c r="D298" s="47">
        <v>1338153</v>
      </c>
      <c r="E298" s="47">
        <v>1340849</v>
      </c>
      <c r="F298" s="47">
        <v>1380471</v>
      </c>
      <c r="G298" s="47">
        <v>1350831</v>
      </c>
      <c r="H298" s="47">
        <v>1375866</v>
      </c>
      <c r="I298" s="47">
        <v>1368720</v>
      </c>
      <c r="J298" s="47">
        <v>1401209</v>
      </c>
      <c r="K298" s="47">
        <v>1336463</v>
      </c>
      <c r="L298" s="47">
        <v>1384130</v>
      </c>
      <c r="M298" s="47">
        <v>1321833</v>
      </c>
      <c r="N298" s="47">
        <v>1405956</v>
      </c>
      <c r="O298" s="47">
        <v>1350975</v>
      </c>
      <c r="P298" s="47">
        <v>1302461</v>
      </c>
      <c r="Q298" s="85">
        <v>75.7</v>
      </c>
      <c r="R298" s="85">
        <v>73</v>
      </c>
      <c r="S298" s="85">
        <v>74.69</v>
      </c>
      <c r="T298" s="85">
        <v>73.3</v>
      </c>
      <c r="U298" s="85">
        <v>78.650000000000006</v>
      </c>
      <c r="V298" s="85">
        <v>80.930000000000007</v>
      </c>
      <c r="W298" s="85">
        <v>56.53</v>
      </c>
      <c r="X298" s="85">
        <v>71.91</v>
      </c>
      <c r="Y298" s="85">
        <v>73.709999999999994</v>
      </c>
      <c r="Z298" s="85">
        <v>77.16</v>
      </c>
      <c r="AA298" s="85">
        <v>71.760000000000005</v>
      </c>
      <c r="AB298" s="85">
        <v>74.819999999999993</v>
      </c>
      <c r="AC298" s="85">
        <v>71.09</v>
      </c>
      <c r="AD298" s="85">
        <v>73.89</v>
      </c>
      <c r="AE298" s="47">
        <v>100776798</v>
      </c>
      <c r="AF298" s="47">
        <v>97690887</v>
      </c>
      <c r="AG298" s="47">
        <v>100145298</v>
      </c>
      <c r="AH298" s="47">
        <v>101181633</v>
      </c>
      <c r="AI298" s="47">
        <v>106240342</v>
      </c>
      <c r="AJ298" s="47">
        <v>111348552</v>
      </c>
      <c r="AK298" s="47">
        <v>77379527</v>
      </c>
      <c r="AL298" s="47">
        <v>100764981</v>
      </c>
      <c r="AM298" s="47">
        <v>98505523</v>
      </c>
      <c r="AN298" s="47">
        <v>106799659</v>
      </c>
      <c r="AO298" s="47">
        <v>94857731</v>
      </c>
      <c r="AP298" s="47">
        <v>105191788</v>
      </c>
      <c r="AQ298" s="47">
        <v>96037438</v>
      </c>
      <c r="AR298" s="47">
        <v>96245334</v>
      </c>
      <c r="AS298" s="47"/>
      <c r="AT298" s="47"/>
      <c r="AU298" s="47"/>
      <c r="AV298" s="47"/>
      <c r="AW298" s="47"/>
      <c r="AX298" s="47"/>
      <c r="AY298" s="47"/>
      <c r="AZ298" s="47"/>
      <c r="BA298" s="47"/>
      <c r="BB298" s="47"/>
      <c r="BC298" s="47"/>
      <c r="BD298" s="47"/>
      <c r="BE298" s="47"/>
      <c r="BF298" s="47"/>
    </row>
    <row r="299" spans="1:58" hidden="1">
      <c r="A299" s="46" t="s">
        <v>283</v>
      </c>
      <c r="B299" s="46" t="s">
        <v>273</v>
      </c>
      <c r="C299" s="47">
        <v>0</v>
      </c>
      <c r="D299" s="47">
        <v>0</v>
      </c>
      <c r="E299" s="47">
        <v>0</v>
      </c>
      <c r="F299" s="47">
        <v>0</v>
      </c>
      <c r="G299" s="47">
        <v>0</v>
      </c>
      <c r="H299" s="47">
        <v>0</v>
      </c>
      <c r="I299" s="47">
        <v>0</v>
      </c>
      <c r="J299" s="47">
        <v>0</v>
      </c>
      <c r="K299" s="47">
        <v>0</v>
      </c>
      <c r="L299" s="47">
        <v>0</v>
      </c>
      <c r="M299" s="47">
        <v>0</v>
      </c>
      <c r="N299" s="47">
        <v>0</v>
      </c>
      <c r="O299" s="47">
        <v>0</v>
      </c>
      <c r="P299" s="47">
        <v>0</v>
      </c>
      <c r="Q299" s="85"/>
      <c r="R299" s="85"/>
      <c r="S299" s="85"/>
      <c r="T299" s="85"/>
      <c r="U299" s="85"/>
      <c r="V299" s="85"/>
      <c r="W299" s="85"/>
      <c r="X299" s="85"/>
      <c r="Y299" s="85"/>
      <c r="Z299" s="85"/>
      <c r="AA299" s="85"/>
      <c r="AB299" s="85"/>
      <c r="AC299" s="85"/>
      <c r="AD299" s="85"/>
      <c r="AE299" s="47">
        <v>0</v>
      </c>
      <c r="AF299" s="47">
        <v>0</v>
      </c>
      <c r="AG299" s="47">
        <v>0</v>
      </c>
      <c r="AH299" s="47">
        <v>0</v>
      </c>
      <c r="AI299" s="47">
        <v>0</v>
      </c>
      <c r="AJ299" s="47">
        <v>0</v>
      </c>
      <c r="AK299" s="47">
        <v>0</v>
      </c>
      <c r="AL299" s="47">
        <v>0</v>
      </c>
      <c r="AM299" s="47">
        <v>0</v>
      </c>
      <c r="AN299" s="47">
        <v>0</v>
      </c>
      <c r="AO299" s="47">
        <v>0</v>
      </c>
      <c r="AP299" s="47">
        <v>0</v>
      </c>
      <c r="AQ299" s="47">
        <v>0</v>
      </c>
      <c r="AR299" s="47">
        <v>0</v>
      </c>
      <c r="AS299" s="47"/>
      <c r="AT299" s="47"/>
      <c r="AU299" s="47"/>
      <c r="AV299" s="47"/>
      <c r="AW299" s="47"/>
      <c r="AX299" s="47"/>
      <c r="AY299" s="47"/>
      <c r="AZ299" s="47"/>
      <c r="BA299" s="47"/>
      <c r="BB299" s="47"/>
      <c r="BC299" s="47"/>
      <c r="BD299" s="47"/>
      <c r="BE299" s="47"/>
      <c r="BF299" s="47"/>
    </row>
    <row r="300" spans="1:58" hidden="1">
      <c r="A300" s="46" t="s">
        <v>283</v>
      </c>
      <c r="B300" s="46" t="s">
        <v>274</v>
      </c>
      <c r="C300" s="47">
        <v>0</v>
      </c>
      <c r="D300" s="47">
        <v>0</v>
      </c>
      <c r="E300" s="47">
        <v>0</v>
      </c>
      <c r="F300" s="47">
        <v>0</v>
      </c>
      <c r="G300" s="47">
        <v>0</v>
      </c>
      <c r="H300" s="47">
        <v>0</v>
      </c>
      <c r="I300" s="47">
        <v>0</v>
      </c>
      <c r="J300" s="47">
        <v>0</v>
      </c>
      <c r="K300" s="47">
        <v>0</v>
      </c>
      <c r="L300" s="47">
        <v>0</v>
      </c>
      <c r="M300" s="47">
        <v>0</v>
      </c>
      <c r="N300" s="47">
        <v>0</v>
      </c>
      <c r="O300" s="47">
        <v>0</v>
      </c>
      <c r="P300" s="47">
        <v>0</v>
      </c>
      <c r="Q300" s="85"/>
      <c r="R300" s="85"/>
      <c r="S300" s="85"/>
      <c r="T300" s="85"/>
      <c r="U300" s="85"/>
      <c r="V300" s="85"/>
      <c r="W300" s="85"/>
      <c r="X300" s="85"/>
      <c r="Y300" s="85"/>
      <c r="Z300" s="85"/>
      <c r="AA300" s="85"/>
      <c r="AB300" s="85"/>
      <c r="AC300" s="85"/>
      <c r="AD300" s="85"/>
      <c r="AE300" s="47">
        <v>0</v>
      </c>
      <c r="AF300" s="47">
        <v>0</v>
      </c>
      <c r="AG300" s="47">
        <v>0</v>
      </c>
      <c r="AH300" s="47">
        <v>0</v>
      </c>
      <c r="AI300" s="47">
        <v>0</v>
      </c>
      <c r="AJ300" s="47">
        <v>0</v>
      </c>
      <c r="AK300" s="47">
        <v>0</v>
      </c>
      <c r="AL300" s="47">
        <v>0</v>
      </c>
      <c r="AM300" s="47">
        <v>0</v>
      </c>
      <c r="AN300" s="47">
        <v>0</v>
      </c>
      <c r="AO300" s="47">
        <v>0</v>
      </c>
      <c r="AP300" s="47">
        <v>0</v>
      </c>
      <c r="AQ300" s="47">
        <v>0</v>
      </c>
      <c r="AR300" s="47">
        <v>0</v>
      </c>
      <c r="AS300" s="47"/>
      <c r="AT300" s="47"/>
      <c r="AU300" s="47"/>
      <c r="AV300" s="47"/>
      <c r="AW300" s="47"/>
      <c r="AX300" s="47"/>
      <c r="AY300" s="47"/>
      <c r="AZ300" s="47"/>
      <c r="BA300" s="47"/>
      <c r="BB300" s="47"/>
      <c r="BC300" s="47"/>
      <c r="BD300" s="47"/>
      <c r="BE300" s="47"/>
      <c r="BF300" s="47"/>
    </row>
    <row r="301" spans="1:58" hidden="1">
      <c r="A301" s="46" t="s">
        <v>283</v>
      </c>
      <c r="B301" s="46" t="s">
        <v>275</v>
      </c>
      <c r="C301" s="47">
        <v>0</v>
      </c>
      <c r="D301" s="47">
        <v>0</v>
      </c>
      <c r="E301" s="47">
        <v>0</v>
      </c>
      <c r="F301" s="47">
        <v>0</v>
      </c>
      <c r="G301" s="47">
        <v>0</v>
      </c>
      <c r="H301" s="47">
        <v>0</v>
      </c>
      <c r="I301" s="47">
        <v>0</v>
      </c>
      <c r="J301" s="47">
        <v>0</v>
      </c>
      <c r="K301" s="47">
        <v>0</v>
      </c>
      <c r="L301" s="47">
        <v>0</v>
      </c>
      <c r="M301" s="47">
        <v>0</v>
      </c>
      <c r="N301" s="47">
        <v>0</v>
      </c>
      <c r="O301" s="47">
        <v>0</v>
      </c>
      <c r="P301" s="47">
        <v>0</v>
      </c>
      <c r="Q301" s="85"/>
      <c r="R301" s="85"/>
      <c r="S301" s="85"/>
      <c r="T301" s="85"/>
      <c r="U301" s="85"/>
      <c r="V301" s="85"/>
      <c r="W301" s="85"/>
      <c r="X301" s="85"/>
      <c r="Y301" s="85"/>
      <c r="Z301" s="85"/>
      <c r="AA301" s="85"/>
      <c r="AB301" s="85"/>
      <c r="AC301" s="85"/>
      <c r="AD301" s="85"/>
      <c r="AE301" s="47">
        <v>0</v>
      </c>
      <c r="AF301" s="47">
        <v>0</v>
      </c>
      <c r="AG301" s="47">
        <v>0</v>
      </c>
      <c r="AH301" s="47">
        <v>0</v>
      </c>
      <c r="AI301" s="47">
        <v>0</v>
      </c>
      <c r="AJ301" s="47">
        <v>0</v>
      </c>
      <c r="AK301" s="47">
        <v>0</v>
      </c>
      <c r="AL301" s="47">
        <v>0</v>
      </c>
      <c r="AM301" s="47">
        <v>0</v>
      </c>
      <c r="AN301" s="47">
        <v>0</v>
      </c>
      <c r="AO301" s="47">
        <v>0</v>
      </c>
      <c r="AP301" s="47">
        <v>0</v>
      </c>
      <c r="AQ301" s="47">
        <v>0</v>
      </c>
      <c r="AR301" s="47">
        <v>0</v>
      </c>
      <c r="AS301" s="47"/>
      <c r="AT301" s="47"/>
      <c r="AU301" s="47"/>
      <c r="AV301" s="47"/>
      <c r="AW301" s="47"/>
      <c r="AX301" s="47"/>
      <c r="AY301" s="47"/>
      <c r="AZ301" s="47"/>
      <c r="BA301" s="47"/>
      <c r="BB301" s="47"/>
      <c r="BC301" s="47"/>
      <c r="BD301" s="47"/>
      <c r="BE301" s="47"/>
      <c r="BF301" s="47"/>
    </row>
    <row r="302" spans="1:58" hidden="1">
      <c r="A302" s="46" t="s">
        <v>283</v>
      </c>
      <c r="B302" s="46" t="s">
        <v>276</v>
      </c>
      <c r="C302" s="47">
        <v>1331254</v>
      </c>
      <c r="D302" s="47">
        <v>1338153</v>
      </c>
      <c r="E302" s="47">
        <v>1340849</v>
      </c>
      <c r="F302" s="47">
        <v>1380471</v>
      </c>
      <c r="G302" s="47">
        <v>1350831</v>
      </c>
      <c r="H302" s="47">
        <v>1375866</v>
      </c>
      <c r="I302" s="47">
        <v>1368720</v>
      </c>
      <c r="J302" s="47">
        <v>1401209</v>
      </c>
      <c r="K302" s="47">
        <v>1336463</v>
      </c>
      <c r="L302" s="47">
        <v>1384130</v>
      </c>
      <c r="M302" s="47">
        <v>1321833</v>
      </c>
      <c r="N302" s="47">
        <v>1405956</v>
      </c>
      <c r="O302" s="47">
        <v>1350975</v>
      </c>
      <c r="P302" s="47">
        <v>1302461</v>
      </c>
      <c r="Q302" s="85">
        <v>75.7</v>
      </c>
      <c r="R302" s="85">
        <v>73</v>
      </c>
      <c r="S302" s="85">
        <v>74.69</v>
      </c>
      <c r="T302" s="85">
        <v>73.3</v>
      </c>
      <c r="U302" s="85">
        <v>78.650000000000006</v>
      </c>
      <c r="V302" s="85">
        <v>80.930000000000007</v>
      </c>
      <c r="W302" s="85">
        <v>56.53</v>
      </c>
      <c r="X302" s="85">
        <v>71.91</v>
      </c>
      <c r="Y302" s="85">
        <v>73.709999999999994</v>
      </c>
      <c r="Z302" s="85">
        <v>77.16</v>
      </c>
      <c r="AA302" s="85">
        <v>71.760000000000005</v>
      </c>
      <c r="AB302" s="85">
        <v>74.819999999999993</v>
      </c>
      <c r="AC302" s="85">
        <v>71.09</v>
      </c>
      <c r="AD302" s="85">
        <v>73.89</v>
      </c>
      <c r="AE302" s="47">
        <v>100776798</v>
      </c>
      <c r="AF302" s="47">
        <v>97690887</v>
      </c>
      <c r="AG302" s="47">
        <v>100145298</v>
      </c>
      <c r="AH302" s="47">
        <v>101181633</v>
      </c>
      <c r="AI302" s="47">
        <v>106240342</v>
      </c>
      <c r="AJ302" s="47">
        <v>111348552</v>
      </c>
      <c r="AK302" s="47">
        <v>77379527</v>
      </c>
      <c r="AL302" s="47">
        <v>100764981</v>
      </c>
      <c r="AM302" s="47">
        <v>98505523</v>
      </c>
      <c r="AN302" s="47">
        <v>106799659</v>
      </c>
      <c r="AO302" s="47">
        <v>94857731</v>
      </c>
      <c r="AP302" s="47">
        <v>105191788</v>
      </c>
      <c r="AQ302" s="47">
        <v>96037438</v>
      </c>
      <c r="AR302" s="47">
        <v>96245334</v>
      </c>
      <c r="AS302" s="47"/>
      <c r="AT302" s="47"/>
      <c r="AU302" s="47"/>
      <c r="AV302" s="47"/>
      <c r="AW302" s="47"/>
      <c r="AX302" s="47"/>
      <c r="AY302" s="47"/>
      <c r="AZ302" s="47"/>
      <c r="BA302" s="47"/>
      <c r="BB302" s="47"/>
      <c r="BC302" s="47"/>
      <c r="BD302" s="47"/>
      <c r="BE302" s="47"/>
      <c r="BF302" s="47"/>
    </row>
    <row r="303" spans="1:58" hidden="1">
      <c r="A303" s="46" t="s">
        <v>283</v>
      </c>
      <c r="B303" s="46" t="s">
        <v>277</v>
      </c>
      <c r="C303" s="47">
        <v>0</v>
      </c>
      <c r="D303" s="47">
        <v>0</v>
      </c>
      <c r="E303" s="47">
        <v>0</v>
      </c>
      <c r="F303" s="47">
        <v>0</v>
      </c>
      <c r="G303" s="47">
        <v>0</v>
      </c>
      <c r="H303" s="47">
        <v>0</v>
      </c>
      <c r="I303" s="47">
        <v>0</v>
      </c>
      <c r="J303" s="47">
        <v>0</v>
      </c>
      <c r="K303" s="47">
        <v>0</v>
      </c>
      <c r="L303" s="47">
        <v>0</v>
      </c>
      <c r="M303" s="47">
        <v>0</v>
      </c>
      <c r="N303" s="47">
        <v>0</v>
      </c>
      <c r="O303" s="47">
        <v>0</v>
      </c>
      <c r="P303" s="47">
        <v>0</v>
      </c>
      <c r="Q303" s="85"/>
      <c r="R303" s="85"/>
      <c r="S303" s="85"/>
      <c r="T303" s="85"/>
      <c r="U303" s="85"/>
      <c r="V303" s="85"/>
      <c r="W303" s="85"/>
      <c r="X303" s="85"/>
      <c r="Y303" s="85"/>
      <c r="Z303" s="85"/>
      <c r="AA303" s="85"/>
      <c r="AB303" s="85"/>
      <c r="AC303" s="85"/>
      <c r="AD303" s="85"/>
      <c r="AE303" s="47">
        <v>19994686</v>
      </c>
      <c r="AF303" s="47">
        <v>18565024</v>
      </c>
      <c r="AG303" s="47">
        <v>17948346</v>
      </c>
      <c r="AH303" s="47">
        <v>20767395</v>
      </c>
      <c r="AI303" s="47">
        <v>20027559</v>
      </c>
      <c r="AJ303" s="47">
        <v>22994851</v>
      </c>
      <c r="AK303" s="47">
        <v>15314098</v>
      </c>
      <c r="AL303" s="47">
        <v>19787159</v>
      </c>
      <c r="AM303" s="47">
        <v>19893484</v>
      </c>
      <c r="AN303" s="47">
        <v>22198196</v>
      </c>
      <c r="AO303" s="47">
        <v>19524678</v>
      </c>
      <c r="AP303" s="47">
        <v>21474471</v>
      </c>
      <c r="AQ303" s="47">
        <v>19737201</v>
      </c>
      <c r="AR303" s="47">
        <v>28407751</v>
      </c>
      <c r="AS303" s="47"/>
      <c r="AT303" s="47"/>
      <c r="AU303" s="47"/>
      <c r="AV303" s="47"/>
      <c r="AW303" s="47"/>
      <c r="AX303" s="47"/>
      <c r="AY303" s="47"/>
      <c r="AZ303" s="47"/>
      <c r="BA303" s="47"/>
      <c r="BB303" s="47"/>
      <c r="BC303" s="47"/>
      <c r="BD303" s="47"/>
      <c r="BE303" s="47"/>
      <c r="BF303" s="47"/>
    </row>
    <row r="304" spans="1:58" hidden="1">
      <c r="A304" s="46" t="s">
        <v>283</v>
      </c>
      <c r="B304" s="46" t="s">
        <v>65</v>
      </c>
      <c r="C304" s="47">
        <v>332061</v>
      </c>
      <c r="D304" s="47">
        <v>342800</v>
      </c>
      <c r="E304" s="47">
        <v>338850</v>
      </c>
      <c r="F304" s="47">
        <v>282820</v>
      </c>
      <c r="G304" s="47">
        <v>320138</v>
      </c>
      <c r="H304" s="47">
        <v>325870</v>
      </c>
      <c r="I304" s="47">
        <v>322925</v>
      </c>
      <c r="J304" s="47">
        <v>253125</v>
      </c>
      <c r="K304" s="47">
        <v>319595</v>
      </c>
      <c r="L304" s="47">
        <v>246400</v>
      </c>
      <c r="M304" s="47">
        <v>227800</v>
      </c>
      <c r="N304" s="47">
        <v>110834</v>
      </c>
      <c r="O304" s="47">
        <v>184202</v>
      </c>
      <c r="P304" s="47">
        <v>223530</v>
      </c>
      <c r="Q304" s="85">
        <v>33.869999999999997</v>
      </c>
      <c r="R304" s="85">
        <v>35.799999999999997</v>
      </c>
      <c r="S304" s="85">
        <v>29.54</v>
      </c>
      <c r="T304" s="85">
        <v>29.56</v>
      </c>
      <c r="U304" s="85">
        <v>38.89</v>
      </c>
      <c r="V304" s="85">
        <v>37.04</v>
      </c>
      <c r="W304" s="85">
        <v>29.24</v>
      </c>
      <c r="X304" s="85">
        <v>37.51</v>
      </c>
      <c r="Y304" s="85">
        <v>31.65</v>
      </c>
      <c r="Z304" s="85">
        <v>29.87</v>
      </c>
      <c r="AA304" s="85">
        <v>28.88</v>
      </c>
      <c r="AB304" s="85">
        <v>28.51</v>
      </c>
      <c r="AC304" s="85">
        <v>38.64</v>
      </c>
      <c r="AD304" s="85">
        <v>30.79</v>
      </c>
      <c r="AE304" s="47">
        <v>11246414</v>
      </c>
      <c r="AF304" s="47">
        <v>12272892</v>
      </c>
      <c r="AG304" s="47">
        <v>10010376</v>
      </c>
      <c r="AH304" s="47">
        <v>8359174</v>
      </c>
      <c r="AI304" s="47">
        <v>12450254</v>
      </c>
      <c r="AJ304" s="47">
        <v>12068839</v>
      </c>
      <c r="AK304" s="47">
        <v>9441844</v>
      </c>
      <c r="AL304" s="47">
        <v>9493723</v>
      </c>
      <c r="AM304" s="47">
        <v>10114355</v>
      </c>
      <c r="AN304" s="47">
        <v>7360300</v>
      </c>
      <c r="AO304" s="47">
        <v>6579858</v>
      </c>
      <c r="AP304" s="47">
        <v>3159871</v>
      </c>
      <c r="AQ304" s="47">
        <v>7118371</v>
      </c>
      <c r="AR304" s="47">
        <v>6881970</v>
      </c>
      <c r="AS304" s="47"/>
      <c r="AT304" s="47"/>
      <c r="AU304" s="47"/>
      <c r="AV304" s="47"/>
      <c r="AW304" s="47"/>
      <c r="AX304" s="47"/>
      <c r="AY304" s="47"/>
      <c r="AZ304" s="47"/>
      <c r="BA304" s="47"/>
      <c r="BB304" s="47"/>
      <c r="BC304" s="47"/>
      <c r="BD304" s="47"/>
      <c r="BE304" s="47"/>
      <c r="BF304" s="47"/>
    </row>
    <row r="305" spans="1:58" hidden="1">
      <c r="A305" s="46" t="s">
        <v>283</v>
      </c>
      <c r="B305" s="46" t="s">
        <v>66</v>
      </c>
      <c r="C305" s="47">
        <v>598</v>
      </c>
      <c r="D305" s="47">
        <v>940</v>
      </c>
      <c r="E305" s="47">
        <v>800</v>
      </c>
      <c r="F305" s="47">
        <v>4050</v>
      </c>
      <c r="G305" s="47">
        <v>304</v>
      </c>
      <c r="H305" s="47">
        <v>200</v>
      </c>
      <c r="I305" s="47">
        <v>60</v>
      </c>
      <c r="J305" s="47">
        <v>180</v>
      </c>
      <c r="K305" s="47">
        <v>150</v>
      </c>
      <c r="L305" s="47">
        <v>170</v>
      </c>
      <c r="M305" s="47">
        <v>225</v>
      </c>
      <c r="N305" s="47">
        <v>397</v>
      </c>
      <c r="O305" s="47">
        <v>70</v>
      </c>
      <c r="P305" s="47">
        <v>130</v>
      </c>
      <c r="Q305" s="85">
        <v>34.58</v>
      </c>
      <c r="R305" s="85">
        <v>37.369999999999997</v>
      </c>
      <c r="S305" s="85">
        <v>30.03</v>
      </c>
      <c r="T305" s="85">
        <v>21.26</v>
      </c>
      <c r="U305" s="85">
        <v>35.79</v>
      </c>
      <c r="V305" s="85">
        <v>35.97</v>
      </c>
      <c r="W305" s="85">
        <v>30.67</v>
      </c>
      <c r="X305" s="85">
        <v>35.5</v>
      </c>
      <c r="Y305" s="85">
        <v>32.590000000000003</v>
      </c>
      <c r="Z305" s="85">
        <v>29.86</v>
      </c>
      <c r="AA305" s="85">
        <v>26.2</v>
      </c>
      <c r="AB305" s="85">
        <v>26.9</v>
      </c>
      <c r="AC305" s="85">
        <v>37.26</v>
      </c>
      <c r="AD305" s="85">
        <v>31.96</v>
      </c>
      <c r="AE305" s="47">
        <v>20677</v>
      </c>
      <c r="AF305" s="47">
        <v>35131</v>
      </c>
      <c r="AG305" s="47">
        <v>24024</v>
      </c>
      <c r="AH305" s="47">
        <v>86114</v>
      </c>
      <c r="AI305" s="47">
        <v>10881</v>
      </c>
      <c r="AJ305" s="47">
        <v>7193</v>
      </c>
      <c r="AK305" s="47">
        <v>1840</v>
      </c>
      <c r="AL305" s="47">
        <v>6390</v>
      </c>
      <c r="AM305" s="47">
        <v>4888</v>
      </c>
      <c r="AN305" s="47">
        <v>5077</v>
      </c>
      <c r="AO305" s="47">
        <v>5895</v>
      </c>
      <c r="AP305" s="47">
        <v>10680</v>
      </c>
      <c r="AQ305" s="47">
        <v>2608</v>
      </c>
      <c r="AR305" s="47">
        <v>4155</v>
      </c>
      <c r="AS305" s="47"/>
      <c r="AT305" s="47"/>
      <c r="AU305" s="47"/>
      <c r="AV305" s="47"/>
      <c r="AW305" s="47"/>
      <c r="AX305" s="47"/>
      <c r="AY305" s="47"/>
      <c r="AZ305" s="47"/>
      <c r="BA305" s="47"/>
      <c r="BB305" s="47"/>
      <c r="BC305" s="47"/>
      <c r="BD305" s="47"/>
      <c r="BE305" s="47"/>
      <c r="BF305" s="47"/>
    </row>
    <row r="306" spans="1:58" hidden="1">
      <c r="A306" s="46" t="s">
        <v>283</v>
      </c>
      <c r="B306" s="46" t="s">
        <v>67</v>
      </c>
      <c r="C306" s="47">
        <v>332659</v>
      </c>
      <c r="D306" s="47">
        <v>343740</v>
      </c>
      <c r="E306" s="47">
        <v>339650</v>
      </c>
      <c r="F306" s="47">
        <v>286870</v>
      </c>
      <c r="G306" s="47">
        <v>320442</v>
      </c>
      <c r="H306" s="47">
        <v>326070</v>
      </c>
      <c r="I306" s="47">
        <v>322985</v>
      </c>
      <c r="J306" s="47">
        <v>253305</v>
      </c>
      <c r="K306" s="47">
        <v>319745</v>
      </c>
      <c r="L306" s="47">
        <v>246570</v>
      </c>
      <c r="M306" s="47">
        <v>228025</v>
      </c>
      <c r="N306" s="47">
        <v>111231</v>
      </c>
      <c r="O306" s="47">
        <v>184272</v>
      </c>
      <c r="P306" s="47">
        <v>223660</v>
      </c>
      <c r="Q306" s="85">
        <v>33.869999999999997</v>
      </c>
      <c r="R306" s="85">
        <v>35.81</v>
      </c>
      <c r="S306" s="85">
        <v>29.54</v>
      </c>
      <c r="T306" s="85">
        <v>29.44</v>
      </c>
      <c r="U306" s="85">
        <v>38.89</v>
      </c>
      <c r="V306" s="85">
        <v>37.04</v>
      </c>
      <c r="W306" s="85">
        <v>29.24</v>
      </c>
      <c r="X306" s="85">
        <v>37.5</v>
      </c>
      <c r="Y306" s="85">
        <v>31.65</v>
      </c>
      <c r="Z306" s="85">
        <v>29.87</v>
      </c>
      <c r="AA306" s="85">
        <v>28.88</v>
      </c>
      <c r="AB306" s="85">
        <v>28.5</v>
      </c>
      <c r="AC306" s="85">
        <v>38.64</v>
      </c>
      <c r="AD306" s="85">
        <v>30.79</v>
      </c>
      <c r="AE306" s="47">
        <v>11267091</v>
      </c>
      <c r="AF306" s="47">
        <v>12308023</v>
      </c>
      <c r="AG306" s="47">
        <v>10034400</v>
      </c>
      <c r="AH306" s="47">
        <v>8445288</v>
      </c>
      <c r="AI306" s="47">
        <v>12461135</v>
      </c>
      <c r="AJ306" s="47">
        <v>12076032</v>
      </c>
      <c r="AK306" s="47">
        <v>9443684</v>
      </c>
      <c r="AL306" s="47">
        <v>9500113</v>
      </c>
      <c r="AM306" s="47">
        <v>10119243</v>
      </c>
      <c r="AN306" s="47">
        <v>7365377</v>
      </c>
      <c r="AO306" s="47">
        <v>6585753</v>
      </c>
      <c r="AP306" s="47">
        <v>3170551</v>
      </c>
      <c r="AQ306" s="47">
        <v>7120979</v>
      </c>
      <c r="AR306" s="47">
        <v>6886125</v>
      </c>
      <c r="AS306" s="47"/>
      <c r="AT306" s="47"/>
      <c r="AU306" s="47"/>
      <c r="AV306" s="47"/>
      <c r="AW306" s="47"/>
      <c r="AX306" s="47"/>
      <c r="AY306" s="47"/>
      <c r="AZ306" s="47"/>
      <c r="BA306" s="47"/>
      <c r="BB306" s="47"/>
      <c r="BC306" s="47"/>
      <c r="BD306" s="47"/>
      <c r="BE306" s="47"/>
      <c r="BF306" s="47"/>
    </row>
    <row r="307" spans="1:58" hidden="1">
      <c r="A307" s="46" t="s">
        <v>283</v>
      </c>
      <c r="B307" s="46" t="s">
        <v>68</v>
      </c>
      <c r="C307" s="47">
        <v>20238</v>
      </c>
      <c r="D307" s="47">
        <v>16000</v>
      </c>
      <c r="E307" s="47">
        <v>30960</v>
      </c>
      <c r="F307" s="47">
        <v>35335</v>
      </c>
      <c r="G307" s="47">
        <v>24842</v>
      </c>
      <c r="H307" s="47">
        <v>18410</v>
      </c>
      <c r="I307" s="47">
        <v>15755</v>
      </c>
      <c r="J307" s="47">
        <v>22730</v>
      </c>
      <c r="K307" s="47">
        <v>25065</v>
      </c>
      <c r="L307" s="47">
        <v>30575</v>
      </c>
      <c r="M307" s="47">
        <v>46250</v>
      </c>
      <c r="N307" s="47">
        <v>70255</v>
      </c>
      <c r="O307" s="47">
        <v>85332</v>
      </c>
      <c r="P307" s="47">
        <v>84640</v>
      </c>
      <c r="Q307" s="85">
        <v>26.4</v>
      </c>
      <c r="R307" s="85">
        <v>30.34</v>
      </c>
      <c r="S307" s="85">
        <v>29.14</v>
      </c>
      <c r="T307" s="85">
        <v>22.08</v>
      </c>
      <c r="U307" s="85">
        <v>23.98</v>
      </c>
      <c r="V307" s="85">
        <v>20.66</v>
      </c>
      <c r="W307" s="85">
        <v>21.78</v>
      </c>
      <c r="X307" s="85">
        <v>31.28</v>
      </c>
      <c r="Y307" s="85">
        <v>25.24</v>
      </c>
      <c r="Z307" s="85">
        <v>22.48</v>
      </c>
      <c r="AA307" s="85">
        <v>23.07</v>
      </c>
      <c r="AB307" s="85">
        <v>29.82</v>
      </c>
      <c r="AC307" s="85">
        <v>23.1</v>
      </c>
      <c r="AD307" s="85">
        <v>24.16</v>
      </c>
      <c r="AE307" s="47">
        <v>534362</v>
      </c>
      <c r="AF307" s="47">
        <v>485493</v>
      </c>
      <c r="AG307" s="47">
        <v>902087</v>
      </c>
      <c r="AH307" s="47">
        <v>780043</v>
      </c>
      <c r="AI307" s="47">
        <v>595750</v>
      </c>
      <c r="AJ307" s="47">
        <v>380342</v>
      </c>
      <c r="AK307" s="47">
        <v>343149</v>
      </c>
      <c r="AL307" s="47">
        <v>710950</v>
      </c>
      <c r="AM307" s="47">
        <v>632575</v>
      </c>
      <c r="AN307" s="47">
        <v>687200</v>
      </c>
      <c r="AO307" s="47">
        <v>1067200</v>
      </c>
      <c r="AP307" s="47">
        <v>2095285</v>
      </c>
      <c r="AQ307" s="47">
        <v>1971134</v>
      </c>
      <c r="AR307" s="47">
        <v>2044560</v>
      </c>
      <c r="AS307" s="47"/>
      <c r="AT307" s="47"/>
      <c r="AU307" s="47"/>
      <c r="AV307" s="47"/>
      <c r="AW307" s="47"/>
      <c r="AX307" s="47"/>
      <c r="AY307" s="47"/>
      <c r="AZ307" s="47"/>
      <c r="BA307" s="47"/>
      <c r="BB307" s="47"/>
      <c r="BC307" s="47"/>
      <c r="BD307" s="47"/>
      <c r="BE307" s="47"/>
      <c r="BF307" s="47"/>
    </row>
    <row r="308" spans="1:58" hidden="1">
      <c r="A308" s="46" t="s">
        <v>283</v>
      </c>
      <c r="B308" s="46" t="s">
        <v>69</v>
      </c>
      <c r="C308" s="47">
        <v>1702</v>
      </c>
      <c r="D308" s="47">
        <v>1935</v>
      </c>
      <c r="E308" s="47">
        <v>1644</v>
      </c>
      <c r="F308" s="47">
        <v>1600</v>
      </c>
      <c r="G308" s="47">
        <v>2236</v>
      </c>
      <c r="H308" s="47">
        <v>6120</v>
      </c>
      <c r="I308" s="47">
        <v>5970</v>
      </c>
      <c r="J308" s="47">
        <v>8480</v>
      </c>
      <c r="K308" s="47">
        <v>11820</v>
      </c>
      <c r="L308" s="47">
        <v>13030</v>
      </c>
      <c r="M308" s="47">
        <v>12765</v>
      </c>
      <c r="N308" s="47">
        <v>9333</v>
      </c>
      <c r="O308" s="47">
        <v>12361</v>
      </c>
      <c r="P308" s="47">
        <v>12490</v>
      </c>
      <c r="Q308" s="85">
        <v>32.06</v>
      </c>
      <c r="R308" s="85">
        <v>30.89</v>
      </c>
      <c r="S308" s="85">
        <v>35.54</v>
      </c>
      <c r="T308" s="85">
        <v>30.95</v>
      </c>
      <c r="U308" s="85">
        <v>30.67</v>
      </c>
      <c r="V308" s="85">
        <v>32.31</v>
      </c>
      <c r="W308" s="85">
        <v>29.95</v>
      </c>
      <c r="X308" s="85">
        <v>32.85</v>
      </c>
      <c r="Y308" s="85">
        <v>27.87</v>
      </c>
      <c r="Z308" s="85">
        <v>25.32</v>
      </c>
      <c r="AA308" s="85">
        <v>21.9</v>
      </c>
      <c r="AB308" s="85">
        <v>29.45</v>
      </c>
      <c r="AC308" s="85">
        <v>24.26</v>
      </c>
      <c r="AD308" s="85">
        <v>29.43</v>
      </c>
      <c r="AE308" s="47">
        <v>54562</v>
      </c>
      <c r="AF308" s="47">
        <v>59765</v>
      </c>
      <c r="AG308" s="47">
        <v>58424</v>
      </c>
      <c r="AH308" s="47">
        <v>49520</v>
      </c>
      <c r="AI308" s="47">
        <v>68571</v>
      </c>
      <c r="AJ308" s="47">
        <v>197755</v>
      </c>
      <c r="AK308" s="47">
        <v>178777</v>
      </c>
      <c r="AL308" s="47">
        <v>278600</v>
      </c>
      <c r="AM308" s="47">
        <v>329375</v>
      </c>
      <c r="AN308" s="47">
        <v>329880</v>
      </c>
      <c r="AO308" s="47">
        <v>279615</v>
      </c>
      <c r="AP308" s="47">
        <v>274830</v>
      </c>
      <c r="AQ308" s="47">
        <v>299910</v>
      </c>
      <c r="AR308" s="47">
        <v>367550</v>
      </c>
      <c r="AS308" s="47"/>
      <c r="AT308" s="47"/>
      <c r="AU308" s="47"/>
      <c r="AV308" s="47"/>
      <c r="AW308" s="47"/>
      <c r="AX308" s="47"/>
      <c r="AY308" s="47"/>
      <c r="AZ308" s="47"/>
      <c r="BA308" s="47"/>
      <c r="BB308" s="47"/>
      <c r="BC308" s="47"/>
      <c r="BD308" s="47"/>
      <c r="BE308" s="47"/>
      <c r="BF308" s="47"/>
    </row>
    <row r="309" spans="1:58" hidden="1">
      <c r="A309" s="46" t="s">
        <v>283</v>
      </c>
      <c r="B309" s="46" t="s">
        <v>70</v>
      </c>
      <c r="C309" s="47">
        <v>646</v>
      </c>
      <c r="D309" s="47">
        <v>420</v>
      </c>
      <c r="E309" s="47">
        <v>475</v>
      </c>
      <c r="F309" s="47">
        <v>610</v>
      </c>
      <c r="G309" s="47">
        <v>1440</v>
      </c>
      <c r="H309" s="47">
        <v>1600</v>
      </c>
      <c r="I309" s="47">
        <v>1610</v>
      </c>
      <c r="J309" s="47">
        <v>1815</v>
      </c>
      <c r="K309" s="47">
        <v>1200</v>
      </c>
      <c r="L309" s="47">
        <v>1050</v>
      </c>
      <c r="M309" s="47">
        <v>1390</v>
      </c>
      <c r="N309" s="47">
        <v>2957</v>
      </c>
      <c r="O309" s="47">
        <v>2595</v>
      </c>
      <c r="P309" s="47">
        <v>1737</v>
      </c>
      <c r="Q309" s="85">
        <v>23.1</v>
      </c>
      <c r="R309" s="85">
        <v>25.48</v>
      </c>
      <c r="S309" s="85">
        <v>27.05</v>
      </c>
      <c r="T309" s="85">
        <v>23.28</v>
      </c>
      <c r="U309" s="85">
        <v>23.28</v>
      </c>
      <c r="V309" s="85">
        <v>27.81</v>
      </c>
      <c r="W309" s="85">
        <v>15.24</v>
      </c>
      <c r="X309" s="85">
        <v>15</v>
      </c>
      <c r="Y309" s="85">
        <v>19.84</v>
      </c>
      <c r="Z309" s="85">
        <v>17.78</v>
      </c>
      <c r="AA309" s="85">
        <v>16.899999999999999</v>
      </c>
      <c r="AB309" s="85">
        <v>17.420000000000002</v>
      </c>
      <c r="AC309" s="85">
        <v>17.04</v>
      </c>
      <c r="AD309" s="85">
        <v>17.670000000000002</v>
      </c>
      <c r="AE309" s="47">
        <v>14920</v>
      </c>
      <c r="AF309" s="47">
        <v>10700</v>
      </c>
      <c r="AG309" s="47">
        <v>12850</v>
      </c>
      <c r="AH309" s="47">
        <v>14200</v>
      </c>
      <c r="AI309" s="47">
        <v>33520</v>
      </c>
      <c r="AJ309" s="47">
        <v>44500</v>
      </c>
      <c r="AK309" s="47">
        <v>24530</v>
      </c>
      <c r="AL309" s="47">
        <v>27225</v>
      </c>
      <c r="AM309" s="47">
        <v>23805</v>
      </c>
      <c r="AN309" s="47">
        <v>18670</v>
      </c>
      <c r="AO309" s="47">
        <v>23485</v>
      </c>
      <c r="AP309" s="47">
        <v>51509</v>
      </c>
      <c r="AQ309" s="47">
        <v>44220</v>
      </c>
      <c r="AR309" s="47">
        <v>30700</v>
      </c>
      <c r="AS309" s="47"/>
      <c r="AT309" s="47"/>
      <c r="AU309" s="47"/>
      <c r="AV309" s="47"/>
      <c r="AW309" s="47"/>
      <c r="AX309" s="47"/>
      <c r="AY309" s="47"/>
      <c r="AZ309" s="47"/>
      <c r="BA309" s="47"/>
      <c r="BB309" s="47"/>
      <c r="BC309" s="47"/>
      <c r="BD309" s="47"/>
      <c r="BE309" s="47"/>
      <c r="BF309" s="47"/>
    </row>
    <row r="310" spans="1:58" hidden="1">
      <c r="A310" s="46" t="s">
        <v>283</v>
      </c>
      <c r="B310" s="46" t="s">
        <v>71</v>
      </c>
      <c r="C310" s="47">
        <v>754</v>
      </c>
      <c r="D310" s="47">
        <v>645</v>
      </c>
      <c r="E310" s="47">
        <v>735</v>
      </c>
      <c r="F310" s="47">
        <v>956</v>
      </c>
      <c r="G310" s="47">
        <v>558</v>
      </c>
      <c r="H310" s="47">
        <v>510</v>
      </c>
      <c r="I310" s="47">
        <v>632</v>
      </c>
      <c r="J310" s="47">
        <v>660</v>
      </c>
      <c r="K310" s="47">
        <v>1068</v>
      </c>
      <c r="L310" s="47">
        <v>650</v>
      </c>
      <c r="M310" s="47">
        <v>875</v>
      </c>
      <c r="N310" s="47">
        <v>1150</v>
      </c>
      <c r="O310" s="47">
        <v>1235</v>
      </c>
      <c r="P310" s="47">
        <v>1288</v>
      </c>
      <c r="Q310" s="85"/>
      <c r="R310" s="85"/>
      <c r="S310" s="85"/>
      <c r="T310" s="85"/>
      <c r="U310" s="85"/>
      <c r="V310" s="85"/>
      <c r="W310" s="85"/>
      <c r="X310" s="85"/>
      <c r="Y310" s="85"/>
      <c r="Z310" s="85"/>
      <c r="AA310" s="85"/>
      <c r="AB310" s="85"/>
      <c r="AC310" s="85"/>
      <c r="AD310" s="85"/>
      <c r="AE310" s="47">
        <v>14840</v>
      </c>
      <c r="AF310" s="47">
        <v>13400</v>
      </c>
      <c r="AG310" s="47">
        <v>14770</v>
      </c>
      <c r="AH310" s="47">
        <v>19764</v>
      </c>
      <c r="AI310" s="47">
        <v>10924</v>
      </c>
      <c r="AJ310" s="47">
        <v>9880</v>
      </c>
      <c r="AK310" s="47">
        <v>11980</v>
      </c>
      <c r="AL310" s="47">
        <v>12929</v>
      </c>
      <c r="AM310" s="47">
        <v>19370</v>
      </c>
      <c r="AN310" s="47">
        <v>11905</v>
      </c>
      <c r="AO310" s="47">
        <v>16100</v>
      </c>
      <c r="AP310" s="47">
        <v>22340</v>
      </c>
      <c r="AQ310" s="47">
        <v>24120</v>
      </c>
      <c r="AR310" s="47">
        <v>24875</v>
      </c>
      <c r="AS310" s="47"/>
      <c r="AT310" s="47"/>
      <c r="AU310" s="47"/>
      <c r="AV310" s="47"/>
      <c r="AW310" s="47"/>
      <c r="AX310" s="47"/>
      <c r="AY310" s="47"/>
      <c r="AZ310" s="47"/>
      <c r="BA310" s="47"/>
      <c r="BB310" s="47"/>
      <c r="BC310" s="47"/>
      <c r="BD310" s="47"/>
      <c r="BE310" s="47"/>
      <c r="BF310" s="47"/>
    </row>
    <row r="311" spans="1:58" hidden="1">
      <c r="A311" s="46" t="s">
        <v>283</v>
      </c>
      <c r="B311" s="46" t="s">
        <v>72</v>
      </c>
      <c r="C311" s="47">
        <v>355999</v>
      </c>
      <c r="D311" s="47">
        <v>362740</v>
      </c>
      <c r="E311" s="47">
        <v>373464</v>
      </c>
      <c r="F311" s="47">
        <v>325371</v>
      </c>
      <c r="G311" s="47">
        <v>349518</v>
      </c>
      <c r="H311" s="47">
        <v>352710</v>
      </c>
      <c r="I311" s="47">
        <v>346952</v>
      </c>
      <c r="J311" s="47">
        <v>286990</v>
      </c>
      <c r="K311" s="47">
        <v>358898</v>
      </c>
      <c r="L311" s="47">
        <v>291875</v>
      </c>
      <c r="M311" s="47">
        <v>289305</v>
      </c>
      <c r="N311" s="47">
        <v>194926</v>
      </c>
      <c r="O311" s="47">
        <v>285795</v>
      </c>
      <c r="P311" s="47">
        <v>323815</v>
      </c>
      <c r="Q311" s="85">
        <v>33.39</v>
      </c>
      <c r="R311" s="85">
        <v>35.5</v>
      </c>
      <c r="S311" s="85">
        <v>29.51</v>
      </c>
      <c r="T311" s="85">
        <v>28.61</v>
      </c>
      <c r="U311" s="85">
        <v>37.68</v>
      </c>
      <c r="V311" s="85">
        <v>36.03</v>
      </c>
      <c r="W311" s="85">
        <v>28.83</v>
      </c>
      <c r="X311" s="85">
        <v>36.69</v>
      </c>
      <c r="Y311" s="85">
        <v>31</v>
      </c>
      <c r="Z311" s="85">
        <v>28.82</v>
      </c>
      <c r="AA311" s="85">
        <v>27.56</v>
      </c>
      <c r="AB311" s="85">
        <v>28.8</v>
      </c>
      <c r="AC311" s="85">
        <v>33.1</v>
      </c>
      <c r="AD311" s="85">
        <v>28.89</v>
      </c>
      <c r="AE311" s="47">
        <v>11885775</v>
      </c>
      <c r="AF311" s="47">
        <v>12877381</v>
      </c>
      <c r="AG311" s="47">
        <v>11022531</v>
      </c>
      <c r="AH311" s="47">
        <v>9308815</v>
      </c>
      <c r="AI311" s="47">
        <v>13169900</v>
      </c>
      <c r="AJ311" s="47">
        <v>12708509</v>
      </c>
      <c r="AK311" s="47">
        <v>10002120</v>
      </c>
      <c r="AL311" s="47">
        <v>10529817</v>
      </c>
      <c r="AM311" s="47">
        <v>11124368</v>
      </c>
      <c r="AN311" s="47">
        <v>8413032</v>
      </c>
      <c r="AO311" s="47">
        <v>7972153</v>
      </c>
      <c r="AP311" s="47">
        <v>5614515</v>
      </c>
      <c r="AQ311" s="47">
        <v>9460363</v>
      </c>
      <c r="AR311" s="47">
        <v>9353810</v>
      </c>
      <c r="AS311" s="47"/>
      <c r="AT311" s="47"/>
      <c r="AU311" s="47"/>
      <c r="AV311" s="47"/>
      <c r="AW311" s="47"/>
      <c r="AX311" s="47"/>
      <c r="AY311" s="47"/>
      <c r="AZ311" s="47"/>
      <c r="BA311" s="47"/>
      <c r="BB311" s="47"/>
      <c r="BC311" s="47"/>
      <c r="BD311" s="47"/>
      <c r="BE311" s="47"/>
      <c r="BF311" s="47"/>
    </row>
    <row r="312" spans="1:58" hidden="1">
      <c r="A312" s="46" t="s">
        <v>283</v>
      </c>
      <c r="B312" s="46" t="s">
        <v>73</v>
      </c>
      <c r="C312" s="47">
        <v>0</v>
      </c>
      <c r="D312" s="47">
        <v>0</v>
      </c>
      <c r="E312" s="47">
        <v>0</v>
      </c>
      <c r="F312" s="47">
        <v>0</v>
      </c>
      <c r="G312" s="47">
        <v>0</v>
      </c>
      <c r="H312" s="47">
        <v>0</v>
      </c>
      <c r="I312" s="47">
        <v>0</v>
      </c>
      <c r="J312" s="47">
        <v>0</v>
      </c>
      <c r="K312" s="47">
        <v>0</v>
      </c>
      <c r="L312" s="47">
        <v>0</v>
      </c>
      <c r="M312" s="47">
        <v>0</v>
      </c>
      <c r="N312" s="47">
        <v>0</v>
      </c>
      <c r="O312" s="47">
        <v>0</v>
      </c>
      <c r="P312" s="47">
        <v>0</v>
      </c>
      <c r="Q312" s="85"/>
      <c r="R312" s="85"/>
      <c r="S312" s="85"/>
      <c r="T312" s="85"/>
      <c r="U312" s="85"/>
      <c r="V312" s="85"/>
      <c r="W312" s="85"/>
      <c r="X312" s="85"/>
      <c r="Y312" s="85"/>
      <c r="Z312" s="85"/>
      <c r="AA312" s="85"/>
      <c r="AB312" s="85"/>
      <c r="AC312" s="85"/>
      <c r="AD312" s="85"/>
      <c r="AE312" s="47">
        <v>0</v>
      </c>
      <c r="AF312" s="47">
        <v>0</v>
      </c>
      <c r="AG312" s="47">
        <v>0</v>
      </c>
      <c r="AH312" s="47">
        <v>0</v>
      </c>
      <c r="AI312" s="47">
        <v>0</v>
      </c>
      <c r="AJ312" s="47">
        <v>0</v>
      </c>
      <c r="AK312" s="47">
        <v>0</v>
      </c>
      <c r="AL312" s="47">
        <v>0</v>
      </c>
      <c r="AM312" s="47">
        <v>0</v>
      </c>
      <c r="AN312" s="47">
        <v>0</v>
      </c>
      <c r="AO312" s="47">
        <v>0</v>
      </c>
      <c r="AP312" s="47">
        <v>0</v>
      </c>
      <c r="AQ312" s="47">
        <v>0</v>
      </c>
      <c r="AR312" s="47">
        <v>0</v>
      </c>
      <c r="AS312" s="47"/>
      <c r="AT312" s="47"/>
      <c r="AU312" s="47"/>
      <c r="AV312" s="47"/>
      <c r="AW312" s="47"/>
      <c r="AX312" s="47"/>
      <c r="AY312" s="47"/>
      <c r="AZ312" s="47"/>
      <c r="BA312" s="47"/>
      <c r="BB312" s="47"/>
      <c r="BC312" s="47"/>
      <c r="BD312" s="47"/>
      <c r="BE312" s="47"/>
      <c r="BF312" s="47"/>
    </row>
    <row r="313" spans="1:58" hidden="1">
      <c r="A313" s="46" t="s">
        <v>283</v>
      </c>
      <c r="B313" s="46" t="s">
        <v>74</v>
      </c>
      <c r="C313" s="47">
        <v>13820</v>
      </c>
      <c r="D313" s="47">
        <v>7965</v>
      </c>
      <c r="E313" s="47">
        <v>4916</v>
      </c>
      <c r="F313" s="47">
        <v>6010</v>
      </c>
      <c r="G313" s="47">
        <v>8059</v>
      </c>
      <c r="H313" s="47">
        <v>6195</v>
      </c>
      <c r="I313" s="47">
        <v>5171</v>
      </c>
      <c r="J313" s="47">
        <v>5502</v>
      </c>
      <c r="K313" s="47">
        <v>2935</v>
      </c>
      <c r="L313" s="47">
        <v>3116</v>
      </c>
      <c r="M313" s="47">
        <v>3745</v>
      </c>
      <c r="N313" s="47">
        <v>2900</v>
      </c>
      <c r="O313" s="47">
        <v>3610</v>
      </c>
      <c r="P313" s="47">
        <v>2985</v>
      </c>
      <c r="Q313" s="85">
        <v>33.450000000000003</v>
      </c>
      <c r="R313" s="85">
        <v>39.56</v>
      </c>
      <c r="S313" s="85">
        <v>45.25</v>
      </c>
      <c r="T313" s="85">
        <v>34.770000000000003</v>
      </c>
      <c r="U313" s="85">
        <v>29.95</v>
      </c>
      <c r="V313" s="85">
        <v>28.6</v>
      </c>
      <c r="W313" s="85">
        <v>24.55</v>
      </c>
      <c r="X313" s="85">
        <v>25.66</v>
      </c>
      <c r="Y313" s="85">
        <v>31.91</v>
      </c>
      <c r="Z313" s="85">
        <v>28.58</v>
      </c>
      <c r="AA313" s="85">
        <v>24.23</v>
      </c>
      <c r="AB313" s="85">
        <v>26.78</v>
      </c>
      <c r="AC313" s="85">
        <v>20.23</v>
      </c>
      <c r="AD313" s="85">
        <v>23.05</v>
      </c>
      <c r="AE313" s="47">
        <v>462313</v>
      </c>
      <c r="AF313" s="47">
        <v>315134</v>
      </c>
      <c r="AG313" s="47">
        <v>222446</v>
      </c>
      <c r="AH313" s="47">
        <v>208988</v>
      </c>
      <c r="AI313" s="47">
        <v>241380</v>
      </c>
      <c r="AJ313" s="47">
        <v>177190</v>
      </c>
      <c r="AK313" s="47">
        <v>126923</v>
      </c>
      <c r="AL313" s="47">
        <v>141182</v>
      </c>
      <c r="AM313" s="47">
        <v>93660</v>
      </c>
      <c r="AN313" s="47">
        <v>89055</v>
      </c>
      <c r="AO313" s="47">
        <v>90750</v>
      </c>
      <c r="AP313" s="47">
        <v>77668</v>
      </c>
      <c r="AQ313" s="47">
        <v>73045</v>
      </c>
      <c r="AR313" s="47">
        <v>68810</v>
      </c>
      <c r="AS313" s="47"/>
      <c r="AT313" s="47"/>
      <c r="AU313" s="47"/>
      <c r="AV313" s="47"/>
      <c r="AW313" s="47"/>
      <c r="AX313" s="47"/>
      <c r="AY313" s="47"/>
      <c r="AZ313" s="47"/>
      <c r="BA313" s="47"/>
      <c r="BB313" s="47"/>
      <c r="BC313" s="47"/>
      <c r="BD313" s="47"/>
      <c r="BE313" s="47"/>
      <c r="BF313" s="47"/>
    </row>
    <row r="314" spans="1:58" hidden="1">
      <c r="A314" s="46" t="s">
        <v>283</v>
      </c>
      <c r="B314" s="46" t="s">
        <v>75</v>
      </c>
      <c r="C314" s="47">
        <v>10</v>
      </c>
      <c r="D314" s="47">
        <v>21</v>
      </c>
      <c r="E314" s="47">
        <v>35</v>
      </c>
      <c r="F314" s="47">
        <v>47</v>
      </c>
      <c r="G314" s="47">
        <v>59</v>
      </c>
      <c r="H314" s="47">
        <v>71</v>
      </c>
      <c r="I314" s="47">
        <v>80</v>
      </c>
      <c r="J314" s="47">
        <v>94</v>
      </c>
      <c r="K314" s="47">
        <v>106</v>
      </c>
      <c r="L314" s="47">
        <v>119</v>
      </c>
      <c r="M314" s="47">
        <v>139</v>
      </c>
      <c r="N314" s="47">
        <v>132</v>
      </c>
      <c r="O314" s="47">
        <v>92</v>
      </c>
      <c r="P314" s="47">
        <v>110</v>
      </c>
      <c r="Q314" s="85">
        <v>38.6</v>
      </c>
      <c r="R314" s="85">
        <v>33.71</v>
      </c>
      <c r="S314" s="85">
        <v>31.74</v>
      </c>
      <c r="T314" s="85">
        <v>29.4</v>
      </c>
      <c r="U314" s="85">
        <v>30.85</v>
      </c>
      <c r="V314" s="85">
        <v>35.68</v>
      </c>
      <c r="W314" s="85">
        <v>36.08</v>
      </c>
      <c r="X314" s="85">
        <v>42.37</v>
      </c>
      <c r="Y314" s="85">
        <v>38.520000000000003</v>
      </c>
      <c r="Z314" s="85">
        <v>34.49</v>
      </c>
      <c r="AA314" s="85">
        <v>17.350000000000001</v>
      </c>
      <c r="AB314" s="85">
        <v>23.66</v>
      </c>
      <c r="AC314" s="85">
        <v>17.23</v>
      </c>
      <c r="AD314" s="85">
        <v>22.95</v>
      </c>
      <c r="AE314" s="47">
        <v>386</v>
      </c>
      <c r="AF314" s="47">
        <v>708</v>
      </c>
      <c r="AG314" s="47">
        <v>1111</v>
      </c>
      <c r="AH314" s="47">
        <v>1382</v>
      </c>
      <c r="AI314" s="47">
        <v>1820</v>
      </c>
      <c r="AJ314" s="47">
        <v>2533</v>
      </c>
      <c r="AK314" s="47">
        <v>2886</v>
      </c>
      <c r="AL314" s="47">
        <v>3983</v>
      </c>
      <c r="AM314" s="47">
        <v>4083</v>
      </c>
      <c r="AN314" s="47">
        <v>4104</v>
      </c>
      <c r="AO314" s="47">
        <v>2412</v>
      </c>
      <c r="AP314" s="47">
        <v>3123</v>
      </c>
      <c r="AQ314" s="47">
        <v>1585</v>
      </c>
      <c r="AR314" s="47">
        <v>2524</v>
      </c>
      <c r="AS314" s="47"/>
      <c r="AT314" s="47"/>
      <c r="AU314" s="47"/>
      <c r="AV314" s="47"/>
      <c r="AW314" s="47"/>
      <c r="AX314" s="47"/>
      <c r="AY314" s="47"/>
      <c r="AZ314" s="47"/>
      <c r="BA314" s="47"/>
      <c r="BB314" s="47"/>
      <c r="BC314" s="47"/>
      <c r="BD314" s="47"/>
      <c r="BE314" s="47"/>
      <c r="BF314" s="47"/>
    </row>
    <row r="315" spans="1:58" hidden="1">
      <c r="A315" s="46" t="s">
        <v>283</v>
      </c>
      <c r="B315" s="46" t="s">
        <v>76</v>
      </c>
      <c r="C315" s="47">
        <v>1663</v>
      </c>
      <c r="D315" s="47">
        <v>2167</v>
      </c>
      <c r="E315" s="47">
        <v>2584</v>
      </c>
      <c r="F315" s="47">
        <v>1817</v>
      </c>
      <c r="G315" s="47">
        <v>1751</v>
      </c>
      <c r="H315" s="47">
        <v>2147</v>
      </c>
      <c r="I315" s="47">
        <v>2195</v>
      </c>
      <c r="J315" s="47">
        <v>4675</v>
      </c>
      <c r="K315" s="47">
        <v>6122</v>
      </c>
      <c r="L315" s="47">
        <v>6065</v>
      </c>
      <c r="M315" s="47">
        <v>6620</v>
      </c>
      <c r="N315" s="47">
        <v>7847</v>
      </c>
      <c r="O315" s="47">
        <v>6870</v>
      </c>
      <c r="P315" s="47">
        <v>7001</v>
      </c>
      <c r="Q315" s="85">
        <v>21.08</v>
      </c>
      <c r="R315" s="85">
        <v>25.05</v>
      </c>
      <c r="S315" s="85">
        <v>22.97</v>
      </c>
      <c r="T315" s="85">
        <v>23.01</v>
      </c>
      <c r="U315" s="85">
        <v>24.39</v>
      </c>
      <c r="V315" s="85">
        <v>24.38</v>
      </c>
      <c r="W315" s="85">
        <v>24.35</v>
      </c>
      <c r="X315" s="85">
        <v>23.82</v>
      </c>
      <c r="Y315" s="85">
        <v>25.89</v>
      </c>
      <c r="Z315" s="85">
        <v>19.559999999999999</v>
      </c>
      <c r="AA315" s="85">
        <v>15.34</v>
      </c>
      <c r="AB315" s="85">
        <v>8.4</v>
      </c>
      <c r="AC315" s="85">
        <v>16.239999999999998</v>
      </c>
      <c r="AD315" s="85">
        <v>15.52</v>
      </c>
      <c r="AE315" s="47">
        <v>35057</v>
      </c>
      <c r="AF315" s="47">
        <v>54289</v>
      </c>
      <c r="AG315" s="47">
        <v>59360</v>
      </c>
      <c r="AH315" s="47">
        <v>41808</v>
      </c>
      <c r="AI315" s="47">
        <v>42714</v>
      </c>
      <c r="AJ315" s="47">
        <v>52334</v>
      </c>
      <c r="AK315" s="47">
        <v>53443</v>
      </c>
      <c r="AL315" s="47">
        <v>111377</v>
      </c>
      <c r="AM315" s="47">
        <v>158516</v>
      </c>
      <c r="AN315" s="47">
        <v>118652</v>
      </c>
      <c r="AO315" s="47">
        <v>101571</v>
      </c>
      <c r="AP315" s="47">
        <v>65916</v>
      </c>
      <c r="AQ315" s="47">
        <v>111547</v>
      </c>
      <c r="AR315" s="47">
        <v>108690</v>
      </c>
      <c r="AS315" s="47"/>
      <c r="AT315" s="47"/>
      <c r="AU315" s="47"/>
      <c r="AV315" s="47"/>
      <c r="AW315" s="47"/>
      <c r="AX315" s="47"/>
      <c r="AY315" s="47"/>
      <c r="AZ315" s="47"/>
      <c r="BA315" s="47"/>
      <c r="BB315" s="47"/>
      <c r="BC315" s="47"/>
      <c r="BD315" s="47"/>
      <c r="BE315" s="47"/>
      <c r="BF315" s="47"/>
    </row>
    <row r="316" spans="1:58" hidden="1">
      <c r="A316" s="46" t="s">
        <v>283</v>
      </c>
      <c r="B316" s="46" t="s">
        <v>77</v>
      </c>
      <c r="C316" s="47">
        <v>36049</v>
      </c>
      <c r="D316" s="47">
        <v>26320</v>
      </c>
      <c r="E316" s="47">
        <v>22055</v>
      </c>
      <c r="F316" s="47">
        <v>22749</v>
      </c>
      <c r="G316" s="47">
        <v>30462</v>
      </c>
      <c r="H316" s="47">
        <v>37887</v>
      </c>
      <c r="I316" s="47">
        <v>46142</v>
      </c>
      <c r="J316" s="47">
        <v>42595</v>
      </c>
      <c r="K316" s="47">
        <v>27632</v>
      </c>
      <c r="L316" s="47">
        <v>27945</v>
      </c>
      <c r="M316" s="47">
        <v>40875</v>
      </c>
      <c r="N316" s="47">
        <v>50538</v>
      </c>
      <c r="O316" s="47">
        <v>32496</v>
      </c>
      <c r="P316" s="47">
        <v>32616</v>
      </c>
      <c r="Q316" s="85">
        <v>47.07</v>
      </c>
      <c r="R316" s="85">
        <v>34.65</v>
      </c>
      <c r="S316" s="85">
        <v>44.21</v>
      </c>
      <c r="T316" s="85">
        <v>40.93</v>
      </c>
      <c r="U316" s="85">
        <v>38.99</v>
      </c>
      <c r="V316" s="85">
        <v>39.89</v>
      </c>
      <c r="W316" s="85">
        <v>21.13</v>
      </c>
      <c r="X316" s="85">
        <v>32.1</v>
      </c>
      <c r="Y316" s="85">
        <v>40.479999999999997</v>
      </c>
      <c r="Z316" s="85">
        <v>40.21</v>
      </c>
      <c r="AA316" s="85">
        <v>29.4</v>
      </c>
      <c r="AB316" s="85">
        <v>29.36</v>
      </c>
      <c r="AC316" s="85">
        <v>30.12</v>
      </c>
      <c r="AD316" s="85">
        <v>29.54</v>
      </c>
      <c r="AE316" s="47">
        <v>1696963</v>
      </c>
      <c r="AF316" s="47">
        <v>911858</v>
      </c>
      <c r="AG316" s="47">
        <v>975070</v>
      </c>
      <c r="AH316" s="47">
        <v>931172</v>
      </c>
      <c r="AI316" s="47">
        <v>1187713</v>
      </c>
      <c r="AJ316" s="47">
        <v>1511422</v>
      </c>
      <c r="AK316" s="47">
        <v>975210</v>
      </c>
      <c r="AL316" s="47">
        <v>1367486</v>
      </c>
      <c r="AM316" s="47">
        <v>1118453</v>
      </c>
      <c r="AN316" s="47">
        <v>1123572</v>
      </c>
      <c r="AO316" s="47">
        <v>1201590</v>
      </c>
      <c r="AP316" s="47">
        <v>1483840</v>
      </c>
      <c r="AQ316" s="47">
        <v>978644</v>
      </c>
      <c r="AR316" s="47">
        <v>963480</v>
      </c>
      <c r="AS316" s="47"/>
      <c r="AT316" s="47"/>
      <c r="AU316" s="47"/>
      <c r="AV316" s="47"/>
      <c r="AW316" s="47"/>
      <c r="AX316" s="47"/>
      <c r="AY316" s="47"/>
      <c r="AZ316" s="47"/>
      <c r="BA316" s="47"/>
      <c r="BB316" s="47"/>
      <c r="BC316" s="47"/>
      <c r="BD316" s="47"/>
      <c r="BE316" s="47"/>
      <c r="BF316" s="47"/>
    </row>
    <row r="317" spans="1:58" hidden="1">
      <c r="A317" s="46" t="s">
        <v>283</v>
      </c>
      <c r="B317" s="46" t="s">
        <v>78</v>
      </c>
      <c r="C317" s="47">
        <v>93</v>
      </c>
      <c r="D317" s="47">
        <v>75</v>
      </c>
      <c r="E317" s="47">
        <v>75</v>
      </c>
      <c r="F317" s="47">
        <v>77</v>
      </c>
      <c r="G317" s="47">
        <v>108</v>
      </c>
      <c r="H317" s="47">
        <v>138</v>
      </c>
      <c r="I317" s="47">
        <v>168</v>
      </c>
      <c r="J317" s="47">
        <v>165</v>
      </c>
      <c r="K317" s="47">
        <v>98</v>
      </c>
      <c r="L317" s="47">
        <v>92</v>
      </c>
      <c r="M317" s="47">
        <v>130</v>
      </c>
      <c r="N317" s="47">
        <v>172</v>
      </c>
      <c r="O317" s="47">
        <v>70</v>
      </c>
      <c r="P317" s="47">
        <v>5018</v>
      </c>
      <c r="Q317" s="85">
        <v>45.72</v>
      </c>
      <c r="R317" s="85">
        <v>34.729999999999997</v>
      </c>
      <c r="S317" s="85">
        <v>42.36</v>
      </c>
      <c r="T317" s="85">
        <v>40.6</v>
      </c>
      <c r="U317" s="85">
        <v>37.619999999999997</v>
      </c>
      <c r="V317" s="85">
        <v>38.54</v>
      </c>
      <c r="W317" s="85">
        <v>21.65</v>
      </c>
      <c r="X317" s="85">
        <v>31.24</v>
      </c>
      <c r="Y317" s="85">
        <v>39.659999999999997</v>
      </c>
      <c r="Z317" s="85">
        <v>38.08</v>
      </c>
      <c r="AA317" s="85">
        <v>29.15</v>
      </c>
      <c r="AB317" s="85">
        <v>24.87</v>
      </c>
      <c r="AC317" s="85">
        <v>35.43</v>
      </c>
      <c r="AD317" s="85">
        <v>27.08</v>
      </c>
      <c r="AE317" s="47">
        <v>4252</v>
      </c>
      <c r="AF317" s="47">
        <v>2605</v>
      </c>
      <c r="AG317" s="47">
        <v>3177</v>
      </c>
      <c r="AH317" s="47">
        <v>3126</v>
      </c>
      <c r="AI317" s="47">
        <v>4063</v>
      </c>
      <c r="AJ317" s="47">
        <v>5319</v>
      </c>
      <c r="AK317" s="47">
        <v>3637</v>
      </c>
      <c r="AL317" s="47">
        <v>5154</v>
      </c>
      <c r="AM317" s="47">
        <v>3887</v>
      </c>
      <c r="AN317" s="47">
        <v>3503</v>
      </c>
      <c r="AO317" s="47">
        <v>3790</v>
      </c>
      <c r="AP317" s="47">
        <v>4277</v>
      </c>
      <c r="AQ317" s="47">
        <v>2480</v>
      </c>
      <c r="AR317" s="47">
        <v>135880</v>
      </c>
      <c r="AS317" s="47"/>
      <c r="AT317" s="47"/>
      <c r="AU317" s="47"/>
      <c r="AV317" s="47"/>
      <c r="AW317" s="47"/>
      <c r="AX317" s="47"/>
      <c r="AY317" s="47"/>
      <c r="AZ317" s="47"/>
      <c r="BA317" s="47"/>
      <c r="BB317" s="47"/>
      <c r="BC317" s="47"/>
      <c r="BD317" s="47"/>
      <c r="BE317" s="47"/>
      <c r="BF317" s="47"/>
    </row>
    <row r="318" spans="1:58" hidden="1">
      <c r="A318" s="46" t="s">
        <v>283</v>
      </c>
      <c r="B318" s="46" t="s">
        <v>79</v>
      </c>
      <c r="C318" s="47">
        <v>0</v>
      </c>
      <c r="D318" s="47">
        <v>0</v>
      </c>
      <c r="E318" s="47">
        <v>0</v>
      </c>
      <c r="F318" s="47">
        <v>0</v>
      </c>
      <c r="G318" s="47">
        <v>0</v>
      </c>
      <c r="H318" s="47">
        <v>0</v>
      </c>
      <c r="I318" s="47">
        <v>0</v>
      </c>
      <c r="J318" s="47">
        <v>0</v>
      </c>
      <c r="K318" s="47">
        <v>0</v>
      </c>
      <c r="L318" s="47">
        <v>0</v>
      </c>
      <c r="M318" s="47">
        <v>585</v>
      </c>
      <c r="N318" s="47">
        <v>468</v>
      </c>
      <c r="O318" s="47">
        <v>435</v>
      </c>
      <c r="P318" s="47">
        <v>658</v>
      </c>
      <c r="Q318" s="85"/>
      <c r="R318" s="85"/>
      <c r="S318" s="85"/>
      <c r="T318" s="85"/>
      <c r="U318" s="85"/>
      <c r="V318" s="85"/>
      <c r="W318" s="85"/>
      <c r="X318" s="85"/>
      <c r="Y318" s="85"/>
      <c r="Z318" s="85"/>
      <c r="AA318" s="85">
        <v>16.600000000000001</v>
      </c>
      <c r="AB318" s="85">
        <v>13.49</v>
      </c>
      <c r="AC318" s="85">
        <v>12.74</v>
      </c>
      <c r="AD318" s="85">
        <v>16.739999999999998</v>
      </c>
      <c r="AE318" s="47">
        <v>0</v>
      </c>
      <c r="AF318" s="47">
        <v>0</v>
      </c>
      <c r="AG318" s="47">
        <v>0</v>
      </c>
      <c r="AH318" s="47">
        <v>0</v>
      </c>
      <c r="AI318" s="47">
        <v>0</v>
      </c>
      <c r="AJ318" s="47">
        <v>0</v>
      </c>
      <c r="AK318" s="47">
        <v>0</v>
      </c>
      <c r="AL318" s="47">
        <v>0</v>
      </c>
      <c r="AM318" s="47">
        <v>0</v>
      </c>
      <c r="AN318" s="47">
        <v>0</v>
      </c>
      <c r="AO318" s="47">
        <v>9711</v>
      </c>
      <c r="AP318" s="47">
        <v>6314</v>
      </c>
      <c r="AQ318" s="47">
        <v>5540</v>
      </c>
      <c r="AR318" s="47">
        <v>11016</v>
      </c>
      <c r="AS318" s="47"/>
      <c r="AT318" s="47"/>
      <c r="AU318" s="47"/>
      <c r="AV318" s="47"/>
      <c r="AW318" s="47"/>
      <c r="AX318" s="47"/>
      <c r="AY318" s="47"/>
      <c r="AZ318" s="47"/>
      <c r="BA318" s="47"/>
      <c r="BB318" s="47"/>
      <c r="BC318" s="47"/>
      <c r="BD318" s="47"/>
      <c r="BE318" s="47"/>
      <c r="BF318" s="47"/>
    </row>
    <row r="319" spans="1:58" hidden="1">
      <c r="A319" s="46" t="s">
        <v>283</v>
      </c>
      <c r="B319" s="46" t="s">
        <v>80</v>
      </c>
      <c r="C319" s="47">
        <v>63</v>
      </c>
      <c r="D319" s="47">
        <v>25</v>
      </c>
      <c r="E319" s="47">
        <v>15</v>
      </c>
      <c r="F319" s="47">
        <v>24</v>
      </c>
      <c r="G319" s="47">
        <v>75</v>
      </c>
      <c r="H319" s="47">
        <v>60</v>
      </c>
      <c r="I319" s="47">
        <v>40</v>
      </c>
      <c r="J319" s="47">
        <v>50</v>
      </c>
      <c r="K319" s="47">
        <v>88</v>
      </c>
      <c r="L319" s="47">
        <v>35</v>
      </c>
      <c r="M319" s="47">
        <v>35</v>
      </c>
      <c r="N319" s="47">
        <v>34</v>
      </c>
      <c r="O319" s="47">
        <v>40</v>
      </c>
      <c r="P319" s="47">
        <v>40</v>
      </c>
      <c r="Q319" s="85">
        <v>25.24</v>
      </c>
      <c r="R319" s="85">
        <v>19.600000000000001</v>
      </c>
      <c r="S319" s="85">
        <v>22.93</v>
      </c>
      <c r="T319" s="85">
        <v>27.67</v>
      </c>
      <c r="U319" s="85">
        <v>28.33</v>
      </c>
      <c r="V319" s="85">
        <v>27.5</v>
      </c>
      <c r="W319" s="85">
        <v>20</v>
      </c>
      <c r="X319" s="85">
        <v>23.42</v>
      </c>
      <c r="Y319" s="85">
        <v>25</v>
      </c>
      <c r="Z319" s="85">
        <v>20</v>
      </c>
      <c r="AA319" s="85">
        <v>20</v>
      </c>
      <c r="AB319" s="85">
        <v>25</v>
      </c>
      <c r="AC319" s="85">
        <v>25</v>
      </c>
      <c r="AD319" s="85">
        <v>23.5</v>
      </c>
      <c r="AE319" s="47">
        <v>1590</v>
      </c>
      <c r="AF319" s="47">
        <v>490</v>
      </c>
      <c r="AG319" s="47">
        <v>344</v>
      </c>
      <c r="AH319" s="47">
        <v>664</v>
      </c>
      <c r="AI319" s="47">
        <v>2125</v>
      </c>
      <c r="AJ319" s="47">
        <v>1650</v>
      </c>
      <c r="AK319" s="47">
        <v>800</v>
      </c>
      <c r="AL319" s="47">
        <v>1171</v>
      </c>
      <c r="AM319" s="47">
        <v>2200</v>
      </c>
      <c r="AN319" s="47">
        <v>700</v>
      </c>
      <c r="AO319" s="47">
        <v>700</v>
      </c>
      <c r="AP319" s="47">
        <v>850</v>
      </c>
      <c r="AQ319" s="47">
        <v>1000</v>
      </c>
      <c r="AR319" s="47">
        <v>940</v>
      </c>
      <c r="AS319" s="47"/>
      <c r="AT319" s="47"/>
      <c r="AU319" s="47"/>
      <c r="AV319" s="47"/>
      <c r="AW319" s="47"/>
      <c r="AX319" s="47"/>
      <c r="AY319" s="47"/>
      <c r="AZ319" s="47"/>
      <c r="BA319" s="47"/>
      <c r="BB319" s="47"/>
      <c r="BC319" s="47"/>
      <c r="BD319" s="47"/>
      <c r="BE319" s="47"/>
      <c r="BF319" s="47"/>
    </row>
    <row r="320" spans="1:58" hidden="1">
      <c r="A320" s="46" t="s">
        <v>283</v>
      </c>
      <c r="B320" s="46" t="s">
        <v>81</v>
      </c>
      <c r="C320" s="47">
        <v>0</v>
      </c>
      <c r="D320" s="47">
        <v>0</v>
      </c>
      <c r="E320" s="47">
        <v>0</v>
      </c>
      <c r="F320" s="47">
        <v>0</v>
      </c>
      <c r="G320" s="47">
        <v>0</v>
      </c>
      <c r="H320" s="47">
        <v>0</v>
      </c>
      <c r="I320" s="47">
        <v>0</v>
      </c>
      <c r="J320" s="47">
        <v>0</v>
      </c>
      <c r="K320" s="47">
        <v>0</v>
      </c>
      <c r="L320" s="47">
        <v>0</v>
      </c>
      <c r="M320" s="47">
        <v>10</v>
      </c>
      <c r="N320" s="47">
        <v>5</v>
      </c>
      <c r="O320" s="47">
        <v>0</v>
      </c>
      <c r="P320" s="47">
        <v>0</v>
      </c>
      <c r="Q320" s="85"/>
      <c r="R320" s="85"/>
      <c r="S320" s="85"/>
      <c r="T320" s="85"/>
      <c r="U320" s="85"/>
      <c r="V320" s="85"/>
      <c r="W320" s="85"/>
      <c r="X320" s="85"/>
      <c r="Y320" s="85"/>
      <c r="Z320" s="85"/>
      <c r="AA320" s="85"/>
      <c r="AB320" s="85"/>
      <c r="AC320" s="85"/>
      <c r="AD320" s="85"/>
      <c r="AE320" s="47">
        <v>0</v>
      </c>
      <c r="AF320" s="47">
        <v>0</v>
      </c>
      <c r="AG320" s="47">
        <v>0</v>
      </c>
      <c r="AH320" s="47">
        <v>0</v>
      </c>
      <c r="AI320" s="47">
        <v>0</v>
      </c>
      <c r="AJ320" s="47">
        <v>0</v>
      </c>
      <c r="AK320" s="47">
        <v>0</v>
      </c>
      <c r="AL320" s="47">
        <v>0</v>
      </c>
      <c r="AM320" s="47">
        <v>0</v>
      </c>
      <c r="AN320" s="47">
        <v>0</v>
      </c>
      <c r="AO320" s="47">
        <v>340</v>
      </c>
      <c r="AP320" s="47">
        <v>175</v>
      </c>
      <c r="AQ320" s="47">
        <v>0</v>
      </c>
      <c r="AR320" s="47">
        <v>0</v>
      </c>
      <c r="AS320" s="47"/>
      <c r="AT320" s="47"/>
      <c r="AU320" s="47"/>
      <c r="AV320" s="47"/>
      <c r="AW320" s="47"/>
      <c r="AX320" s="47"/>
      <c r="AY320" s="47"/>
      <c r="AZ320" s="47"/>
      <c r="BA320" s="47"/>
      <c r="BB320" s="47"/>
      <c r="BC320" s="47"/>
      <c r="BD320" s="47"/>
      <c r="BE320" s="47"/>
      <c r="BF320" s="47"/>
    </row>
    <row r="321" spans="1:58" hidden="1">
      <c r="A321" s="46" t="s">
        <v>283</v>
      </c>
      <c r="B321" s="46" t="s">
        <v>82</v>
      </c>
      <c r="C321" s="47">
        <v>51698</v>
      </c>
      <c r="D321" s="47">
        <v>36573</v>
      </c>
      <c r="E321" s="47">
        <v>29680</v>
      </c>
      <c r="F321" s="47">
        <v>30724</v>
      </c>
      <c r="G321" s="47">
        <v>40514</v>
      </c>
      <c r="H321" s="47">
        <v>46498</v>
      </c>
      <c r="I321" s="47">
        <v>53796</v>
      </c>
      <c r="J321" s="47">
        <v>53081</v>
      </c>
      <c r="K321" s="47">
        <v>36981</v>
      </c>
      <c r="L321" s="47">
        <v>37372</v>
      </c>
      <c r="M321" s="47">
        <v>52139</v>
      </c>
      <c r="N321" s="47">
        <v>62096</v>
      </c>
      <c r="O321" s="47">
        <v>43613</v>
      </c>
      <c r="P321" s="47">
        <v>48428</v>
      </c>
      <c r="Q321" s="85">
        <v>42.57</v>
      </c>
      <c r="R321" s="85">
        <v>35.14</v>
      </c>
      <c r="S321" s="85">
        <v>42.5</v>
      </c>
      <c r="T321" s="85">
        <v>38.64</v>
      </c>
      <c r="U321" s="85">
        <v>36.53</v>
      </c>
      <c r="V321" s="85">
        <v>37.65</v>
      </c>
      <c r="W321" s="85">
        <v>21.62</v>
      </c>
      <c r="X321" s="85">
        <v>30.71</v>
      </c>
      <c r="Y321" s="85">
        <v>37.340000000000003</v>
      </c>
      <c r="Z321" s="85">
        <v>35.840000000000003</v>
      </c>
      <c r="AA321" s="85">
        <v>27.06</v>
      </c>
      <c r="AB321" s="85">
        <v>26.45</v>
      </c>
      <c r="AC321" s="85">
        <v>26.91</v>
      </c>
      <c r="AD321" s="85">
        <v>26.67</v>
      </c>
      <c r="AE321" s="47">
        <v>2200561</v>
      </c>
      <c r="AF321" s="47">
        <v>1285084</v>
      </c>
      <c r="AG321" s="47">
        <v>1261508</v>
      </c>
      <c r="AH321" s="47">
        <v>1187140</v>
      </c>
      <c r="AI321" s="47">
        <v>1479815</v>
      </c>
      <c r="AJ321" s="47">
        <v>1750448</v>
      </c>
      <c r="AK321" s="47">
        <v>1162899</v>
      </c>
      <c r="AL321" s="47">
        <v>1630353</v>
      </c>
      <c r="AM321" s="47">
        <v>1380799</v>
      </c>
      <c r="AN321" s="47">
        <v>1339586</v>
      </c>
      <c r="AO321" s="47">
        <v>1410864</v>
      </c>
      <c r="AP321" s="47">
        <v>1642163</v>
      </c>
      <c r="AQ321" s="47">
        <v>1173841</v>
      </c>
      <c r="AR321" s="47">
        <v>1291340</v>
      </c>
      <c r="AS321" s="47"/>
      <c r="AT321" s="47"/>
      <c r="AU321" s="47"/>
      <c r="AV321" s="47"/>
      <c r="AW321" s="47"/>
      <c r="AX321" s="47"/>
      <c r="AY321" s="47"/>
      <c r="AZ321" s="47"/>
      <c r="BA321" s="47"/>
      <c r="BB321" s="47"/>
      <c r="BC321" s="47"/>
      <c r="BD321" s="47"/>
      <c r="BE321" s="47"/>
      <c r="BF321" s="47"/>
    </row>
    <row r="322" spans="1:58" hidden="1">
      <c r="A322" s="46" t="s">
        <v>284</v>
      </c>
      <c r="B322" s="46" t="s">
        <v>251</v>
      </c>
      <c r="C322" s="47">
        <v>366686</v>
      </c>
      <c r="D322" s="47">
        <v>372100</v>
      </c>
      <c r="E322" s="47">
        <v>374433</v>
      </c>
      <c r="F322" s="47">
        <v>337395</v>
      </c>
      <c r="G322" s="47">
        <v>393676</v>
      </c>
      <c r="H322" s="47">
        <v>402455</v>
      </c>
      <c r="I322" s="47">
        <v>404911</v>
      </c>
      <c r="J322" s="47">
        <v>389931</v>
      </c>
      <c r="K322" s="47">
        <v>387344</v>
      </c>
      <c r="L322" s="47">
        <v>387560</v>
      </c>
      <c r="M322" s="47">
        <v>301605</v>
      </c>
      <c r="N322" s="47">
        <v>379107</v>
      </c>
      <c r="O322" s="47">
        <v>367876</v>
      </c>
      <c r="P322" s="47">
        <v>374649</v>
      </c>
      <c r="Q322" s="85">
        <v>67.12</v>
      </c>
      <c r="R322" s="85">
        <v>62.99</v>
      </c>
      <c r="S322" s="85">
        <v>74.09</v>
      </c>
      <c r="T322" s="85">
        <v>67.83</v>
      </c>
      <c r="U322" s="85">
        <v>72.739999999999995</v>
      </c>
      <c r="V322" s="85">
        <v>76.22</v>
      </c>
      <c r="W322" s="85">
        <v>58.25</v>
      </c>
      <c r="X322" s="85">
        <v>72.47</v>
      </c>
      <c r="Y322" s="85">
        <v>62.13</v>
      </c>
      <c r="Z322" s="85">
        <v>77.98</v>
      </c>
      <c r="AA322" s="85">
        <v>55.66</v>
      </c>
      <c r="AB322" s="85">
        <v>70.760000000000005</v>
      </c>
      <c r="AC322" s="85">
        <v>70.02</v>
      </c>
      <c r="AD322" s="85">
        <v>74.319999999999993</v>
      </c>
      <c r="AE322" s="47">
        <v>24611873</v>
      </c>
      <c r="AF322" s="47">
        <v>23438420</v>
      </c>
      <c r="AG322" s="47">
        <v>27743256</v>
      </c>
      <c r="AH322" s="47">
        <v>22886375</v>
      </c>
      <c r="AI322" s="47">
        <v>28634706</v>
      </c>
      <c r="AJ322" s="47">
        <v>30675554</v>
      </c>
      <c r="AK322" s="47">
        <v>23586355</v>
      </c>
      <c r="AL322" s="47">
        <v>28259479</v>
      </c>
      <c r="AM322" s="47">
        <v>24065051</v>
      </c>
      <c r="AN322" s="47">
        <v>30223158</v>
      </c>
      <c r="AO322" s="47">
        <v>16788776</v>
      </c>
      <c r="AP322" s="47">
        <v>26827332</v>
      </c>
      <c r="AQ322" s="47">
        <v>25757044</v>
      </c>
      <c r="AR322" s="47">
        <v>27842396</v>
      </c>
      <c r="AS322" s="47"/>
      <c r="AT322" s="47"/>
      <c r="AU322" s="47"/>
      <c r="AV322" s="47"/>
      <c r="AW322" s="47"/>
      <c r="AX322" s="47"/>
      <c r="AY322" s="47"/>
      <c r="AZ322" s="47"/>
      <c r="BA322" s="47"/>
      <c r="BB322" s="47"/>
      <c r="BC322" s="47"/>
      <c r="BD322" s="47"/>
      <c r="BE322" s="47"/>
      <c r="BF322" s="47"/>
    </row>
    <row r="323" spans="1:58" hidden="1">
      <c r="A323" s="46" t="s">
        <v>284</v>
      </c>
      <c r="B323" s="46" t="s">
        <v>252</v>
      </c>
      <c r="C323" s="47">
        <v>901</v>
      </c>
      <c r="D323" s="47">
        <v>700</v>
      </c>
      <c r="E323" s="47">
        <v>417</v>
      </c>
      <c r="F323" s="47">
        <v>1145</v>
      </c>
      <c r="G323" s="47">
        <v>1016</v>
      </c>
      <c r="H323" s="47">
        <v>544</v>
      </c>
      <c r="I323" s="47">
        <v>556</v>
      </c>
      <c r="J323" s="47">
        <v>394</v>
      </c>
      <c r="K323" s="47">
        <v>423</v>
      </c>
      <c r="L323" s="47">
        <v>413</v>
      </c>
      <c r="M323" s="47">
        <v>2232</v>
      </c>
      <c r="N323" s="47">
        <v>803</v>
      </c>
      <c r="O323" s="47">
        <v>777</v>
      </c>
      <c r="P323" s="47">
        <v>570</v>
      </c>
      <c r="Q323" s="85">
        <v>53.2</v>
      </c>
      <c r="R323" s="85">
        <v>51.2</v>
      </c>
      <c r="S323" s="85">
        <v>60.32</v>
      </c>
      <c r="T323" s="85">
        <v>56.48</v>
      </c>
      <c r="U323" s="85">
        <v>59.07</v>
      </c>
      <c r="V323" s="85">
        <v>58.26</v>
      </c>
      <c r="W323" s="85">
        <v>50.3</v>
      </c>
      <c r="X323" s="85">
        <v>57.43</v>
      </c>
      <c r="Y323" s="85">
        <v>53.82</v>
      </c>
      <c r="Z323" s="85">
        <v>57.5</v>
      </c>
      <c r="AA323" s="85">
        <v>44.21</v>
      </c>
      <c r="AB323" s="85">
        <v>56.13</v>
      </c>
      <c r="AC323" s="85">
        <v>52.79</v>
      </c>
      <c r="AD323" s="85">
        <v>55.96</v>
      </c>
      <c r="AE323" s="47">
        <v>47933</v>
      </c>
      <c r="AF323" s="47">
        <v>35840</v>
      </c>
      <c r="AG323" s="47">
        <v>25153</v>
      </c>
      <c r="AH323" s="47">
        <v>64670</v>
      </c>
      <c r="AI323" s="47">
        <v>60011</v>
      </c>
      <c r="AJ323" s="47">
        <v>31693</v>
      </c>
      <c r="AK323" s="47">
        <v>27967</v>
      </c>
      <c r="AL323" s="47">
        <v>22628</v>
      </c>
      <c r="AM323" s="47">
        <v>22767</v>
      </c>
      <c r="AN323" s="47">
        <v>23748</v>
      </c>
      <c r="AO323" s="47">
        <v>98668</v>
      </c>
      <c r="AP323" s="47">
        <v>45069</v>
      </c>
      <c r="AQ323" s="47">
        <v>41019</v>
      </c>
      <c r="AR323" s="47">
        <v>31900</v>
      </c>
      <c r="AS323" s="47"/>
      <c r="AT323" s="47"/>
      <c r="AU323" s="47"/>
      <c r="AV323" s="47"/>
      <c r="AW323" s="47"/>
      <c r="AX323" s="47"/>
      <c r="AY323" s="47"/>
      <c r="AZ323" s="47"/>
      <c r="BA323" s="47"/>
      <c r="BB323" s="47"/>
      <c r="BC323" s="47"/>
      <c r="BD323" s="47"/>
      <c r="BE323" s="47"/>
      <c r="BF323" s="47"/>
    </row>
    <row r="324" spans="1:58" hidden="1">
      <c r="A324" s="46" t="s">
        <v>284</v>
      </c>
      <c r="B324" s="46" t="s">
        <v>253</v>
      </c>
      <c r="C324" s="47">
        <v>367587</v>
      </c>
      <c r="D324" s="47">
        <v>372800</v>
      </c>
      <c r="E324" s="47">
        <v>374850</v>
      </c>
      <c r="F324" s="47">
        <v>338540</v>
      </c>
      <c r="G324" s="47">
        <v>394692</v>
      </c>
      <c r="H324" s="47">
        <v>402999</v>
      </c>
      <c r="I324" s="47">
        <v>405467</v>
      </c>
      <c r="J324" s="47">
        <v>390325</v>
      </c>
      <c r="K324" s="47">
        <v>387767</v>
      </c>
      <c r="L324" s="47">
        <v>387973</v>
      </c>
      <c r="M324" s="47">
        <v>303837</v>
      </c>
      <c r="N324" s="47">
        <v>379910</v>
      </c>
      <c r="O324" s="47">
        <v>368653</v>
      </c>
      <c r="P324" s="47">
        <v>375219</v>
      </c>
      <c r="Q324" s="85">
        <v>67.09</v>
      </c>
      <c r="R324" s="85">
        <v>62.97</v>
      </c>
      <c r="S324" s="85">
        <v>74.08</v>
      </c>
      <c r="T324" s="85">
        <v>67.790000000000006</v>
      </c>
      <c r="U324" s="85">
        <v>72.7</v>
      </c>
      <c r="V324" s="85">
        <v>76.2</v>
      </c>
      <c r="W324" s="85">
        <v>58.24</v>
      </c>
      <c r="X324" s="85">
        <v>72.459999999999994</v>
      </c>
      <c r="Y324" s="85">
        <v>62.12</v>
      </c>
      <c r="Z324" s="85">
        <v>77.959999999999994</v>
      </c>
      <c r="AA324" s="85">
        <v>55.58</v>
      </c>
      <c r="AB324" s="85">
        <v>70.73</v>
      </c>
      <c r="AC324" s="85">
        <v>69.98</v>
      </c>
      <c r="AD324" s="85">
        <v>74.290000000000006</v>
      </c>
      <c r="AE324" s="47">
        <v>24659806</v>
      </c>
      <c r="AF324" s="47">
        <v>23474260</v>
      </c>
      <c r="AG324" s="47">
        <v>27768409</v>
      </c>
      <c r="AH324" s="47">
        <v>22951045</v>
      </c>
      <c r="AI324" s="47">
        <v>28694717</v>
      </c>
      <c r="AJ324" s="47">
        <v>30707247</v>
      </c>
      <c r="AK324" s="47">
        <v>23614322</v>
      </c>
      <c r="AL324" s="47">
        <v>28282107</v>
      </c>
      <c r="AM324" s="47">
        <v>24087818</v>
      </c>
      <c r="AN324" s="47">
        <v>30246906</v>
      </c>
      <c r="AO324" s="47">
        <v>16887444</v>
      </c>
      <c r="AP324" s="47">
        <v>26872401</v>
      </c>
      <c r="AQ324" s="47">
        <v>25798063</v>
      </c>
      <c r="AR324" s="47">
        <v>27874296</v>
      </c>
      <c r="AS324" s="47"/>
      <c r="AT324" s="47"/>
      <c r="AU324" s="47"/>
      <c r="AV324" s="47"/>
      <c r="AW324" s="47"/>
      <c r="AX324" s="47"/>
      <c r="AY324" s="47"/>
      <c r="AZ324" s="47"/>
      <c r="BA324" s="47"/>
      <c r="BB324" s="47"/>
      <c r="BC324" s="47"/>
      <c r="BD324" s="47"/>
      <c r="BE324" s="47"/>
      <c r="BF324" s="47"/>
    </row>
    <row r="325" spans="1:58" hidden="1">
      <c r="A325" s="46" t="s">
        <v>284</v>
      </c>
      <c r="B325" s="46" t="s">
        <v>254</v>
      </c>
      <c r="C325" s="47">
        <v>34151</v>
      </c>
      <c r="D325" s="47">
        <v>27800</v>
      </c>
      <c r="E325" s="47">
        <v>31201</v>
      </c>
      <c r="F325" s="47">
        <v>22120</v>
      </c>
      <c r="G325" s="47">
        <v>24217</v>
      </c>
      <c r="H325" s="47">
        <v>26775</v>
      </c>
      <c r="I325" s="47">
        <v>34705</v>
      </c>
      <c r="J325" s="47">
        <v>31703</v>
      </c>
      <c r="K325" s="47">
        <v>29582</v>
      </c>
      <c r="L325" s="47">
        <v>21370</v>
      </c>
      <c r="M325" s="47">
        <v>10474</v>
      </c>
      <c r="N325" s="47">
        <v>24484</v>
      </c>
      <c r="O325" s="47">
        <v>21944</v>
      </c>
      <c r="P325" s="47">
        <v>20173</v>
      </c>
      <c r="Q325" s="85">
        <v>50.92</v>
      </c>
      <c r="R325" s="85">
        <v>63.92</v>
      </c>
      <c r="S325" s="85">
        <v>71.09</v>
      </c>
      <c r="T325" s="85">
        <v>64.959999999999994</v>
      </c>
      <c r="U325" s="85">
        <v>66.94</v>
      </c>
      <c r="V325" s="85">
        <v>71.400000000000006</v>
      </c>
      <c r="W325" s="85">
        <v>50.19</v>
      </c>
      <c r="X325" s="85">
        <v>65.84</v>
      </c>
      <c r="Y325" s="85">
        <v>64.319999999999993</v>
      </c>
      <c r="Z325" s="85">
        <v>76.2</v>
      </c>
      <c r="AA325" s="85">
        <v>53.79</v>
      </c>
      <c r="AB325" s="85">
        <v>63.11</v>
      </c>
      <c r="AC325" s="85">
        <v>65.680000000000007</v>
      </c>
      <c r="AD325" s="85">
        <v>72.489999999999995</v>
      </c>
      <c r="AE325" s="47">
        <v>1738869</v>
      </c>
      <c r="AF325" s="47">
        <v>1776880</v>
      </c>
      <c r="AG325" s="47">
        <v>2217993</v>
      </c>
      <c r="AH325" s="47">
        <v>1436850</v>
      </c>
      <c r="AI325" s="47">
        <v>1621005</v>
      </c>
      <c r="AJ325" s="47">
        <v>1911796</v>
      </c>
      <c r="AK325" s="47">
        <v>1742014</v>
      </c>
      <c r="AL325" s="47">
        <v>2087371</v>
      </c>
      <c r="AM325" s="47">
        <v>1902680</v>
      </c>
      <c r="AN325" s="47">
        <v>1628390</v>
      </c>
      <c r="AO325" s="47">
        <v>563346</v>
      </c>
      <c r="AP325" s="47">
        <v>1545293</v>
      </c>
      <c r="AQ325" s="47">
        <v>1441301</v>
      </c>
      <c r="AR325" s="47">
        <v>1462342</v>
      </c>
      <c r="AS325" s="47"/>
      <c r="AT325" s="47"/>
      <c r="AU325" s="47"/>
      <c r="AV325" s="47"/>
      <c r="AW325" s="47"/>
      <c r="AX325" s="47"/>
      <c r="AY325" s="47"/>
      <c r="AZ325" s="47"/>
      <c r="BA325" s="47"/>
      <c r="BB325" s="47"/>
      <c r="BC325" s="47"/>
      <c r="BD325" s="47"/>
      <c r="BE325" s="47"/>
      <c r="BF325" s="47"/>
    </row>
    <row r="326" spans="1:58" hidden="1">
      <c r="A326" s="46" t="s">
        <v>284</v>
      </c>
      <c r="B326" s="46" t="s">
        <v>255</v>
      </c>
      <c r="C326" s="47">
        <v>2763</v>
      </c>
      <c r="D326" s="47">
        <v>940</v>
      </c>
      <c r="E326" s="47">
        <v>832</v>
      </c>
      <c r="F326" s="47">
        <v>1925</v>
      </c>
      <c r="G326" s="47">
        <v>626</v>
      </c>
      <c r="H326" s="47">
        <v>2910</v>
      </c>
      <c r="I326" s="47">
        <v>2007</v>
      </c>
      <c r="J326" s="47">
        <v>1244</v>
      </c>
      <c r="K326" s="47">
        <v>1528</v>
      </c>
      <c r="L326" s="47">
        <v>1478</v>
      </c>
      <c r="M326" s="47">
        <v>9286</v>
      </c>
      <c r="N326" s="47">
        <v>1308</v>
      </c>
      <c r="O326" s="47">
        <v>1400</v>
      </c>
      <c r="P326" s="47">
        <v>1154</v>
      </c>
      <c r="Q326" s="85">
        <v>11.64</v>
      </c>
      <c r="R326" s="85">
        <v>54.54</v>
      </c>
      <c r="S326" s="85">
        <v>61.88</v>
      </c>
      <c r="T326" s="85">
        <v>58.67</v>
      </c>
      <c r="U326" s="85">
        <v>54.84</v>
      </c>
      <c r="V326" s="85">
        <v>50.97</v>
      </c>
      <c r="W326" s="85">
        <v>48.67</v>
      </c>
      <c r="X326" s="85">
        <v>53.69</v>
      </c>
      <c r="Y326" s="85">
        <v>55.65</v>
      </c>
      <c r="Z326" s="85">
        <v>56.96</v>
      </c>
      <c r="AA326" s="85">
        <v>49.03</v>
      </c>
      <c r="AB326" s="85">
        <v>52.82</v>
      </c>
      <c r="AC326" s="85">
        <v>52.8</v>
      </c>
      <c r="AD326" s="85">
        <v>61.79</v>
      </c>
      <c r="AE326" s="47">
        <v>32154</v>
      </c>
      <c r="AF326" s="47">
        <v>51270</v>
      </c>
      <c r="AG326" s="47">
        <v>51488</v>
      </c>
      <c r="AH326" s="47">
        <v>112945</v>
      </c>
      <c r="AI326" s="47">
        <v>34329</v>
      </c>
      <c r="AJ326" s="47">
        <v>148316</v>
      </c>
      <c r="AK326" s="47">
        <v>97672</v>
      </c>
      <c r="AL326" s="47">
        <v>66786</v>
      </c>
      <c r="AM326" s="47">
        <v>85032</v>
      </c>
      <c r="AN326" s="47">
        <v>84184</v>
      </c>
      <c r="AO326" s="47">
        <v>455319</v>
      </c>
      <c r="AP326" s="47">
        <v>69087</v>
      </c>
      <c r="AQ326" s="47">
        <v>73913</v>
      </c>
      <c r="AR326" s="47">
        <v>71304</v>
      </c>
      <c r="AS326" s="47"/>
      <c r="AT326" s="47"/>
      <c r="AU326" s="47"/>
      <c r="AV326" s="47"/>
      <c r="AW326" s="47"/>
      <c r="AX326" s="47"/>
      <c r="AY326" s="47"/>
      <c r="AZ326" s="47"/>
      <c r="BA326" s="47"/>
      <c r="BB326" s="47"/>
      <c r="BC326" s="47"/>
      <c r="BD326" s="47"/>
      <c r="BE326" s="47"/>
      <c r="BF326" s="47"/>
    </row>
    <row r="327" spans="1:58" hidden="1">
      <c r="A327" s="46" t="s">
        <v>284</v>
      </c>
      <c r="B327" s="46" t="s">
        <v>256</v>
      </c>
      <c r="C327" s="47">
        <v>36914</v>
      </c>
      <c r="D327" s="47">
        <v>28740</v>
      </c>
      <c r="E327" s="47">
        <v>32033</v>
      </c>
      <c r="F327" s="47">
        <v>24045</v>
      </c>
      <c r="G327" s="47">
        <v>24843</v>
      </c>
      <c r="H327" s="47">
        <v>29685</v>
      </c>
      <c r="I327" s="47">
        <v>36712</v>
      </c>
      <c r="J327" s="47">
        <v>32947</v>
      </c>
      <c r="K327" s="47">
        <v>31110</v>
      </c>
      <c r="L327" s="47">
        <v>22848</v>
      </c>
      <c r="M327" s="47">
        <v>19760</v>
      </c>
      <c r="N327" s="47">
        <v>25792</v>
      </c>
      <c r="O327" s="47">
        <v>23344</v>
      </c>
      <c r="P327" s="47">
        <v>21327</v>
      </c>
      <c r="Q327" s="85">
        <v>47.98</v>
      </c>
      <c r="R327" s="85">
        <v>63.61</v>
      </c>
      <c r="S327" s="85">
        <v>70.849999999999994</v>
      </c>
      <c r="T327" s="85">
        <v>64.45</v>
      </c>
      <c r="U327" s="85">
        <v>66.63</v>
      </c>
      <c r="V327" s="85">
        <v>69.400000000000006</v>
      </c>
      <c r="W327" s="85">
        <v>50.11</v>
      </c>
      <c r="X327" s="85">
        <v>65.38</v>
      </c>
      <c r="Y327" s="85">
        <v>63.89</v>
      </c>
      <c r="Z327" s="85">
        <v>74.959999999999994</v>
      </c>
      <c r="AA327" s="85">
        <v>51.55</v>
      </c>
      <c r="AB327" s="85">
        <v>62.59</v>
      </c>
      <c r="AC327" s="85">
        <v>64.91</v>
      </c>
      <c r="AD327" s="85">
        <v>71.91</v>
      </c>
      <c r="AE327" s="47">
        <v>1771023</v>
      </c>
      <c r="AF327" s="47">
        <v>1828150</v>
      </c>
      <c r="AG327" s="47">
        <v>2269481</v>
      </c>
      <c r="AH327" s="47">
        <v>1549795</v>
      </c>
      <c r="AI327" s="47">
        <v>1655334</v>
      </c>
      <c r="AJ327" s="47">
        <v>2060112</v>
      </c>
      <c r="AK327" s="47">
        <v>1839686</v>
      </c>
      <c r="AL327" s="47">
        <v>2154157</v>
      </c>
      <c r="AM327" s="47">
        <v>1987712</v>
      </c>
      <c r="AN327" s="47">
        <v>1712574</v>
      </c>
      <c r="AO327" s="47">
        <v>1018665</v>
      </c>
      <c r="AP327" s="47">
        <v>1614380</v>
      </c>
      <c r="AQ327" s="47">
        <v>1515214</v>
      </c>
      <c r="AR327" s="47">
        <v>1533646</v>
      </c>
      <c r="AS327" s="47"/>
      <c r="AT327" s="47"/>
      <c r="AU327" s="47"/>
      <c r="AV327" s="47"/>
      <c r="AW327" s="47"/>
      <c r="AX327" s="47"/>
      <c r="AY327" s="47"/>
      <c r="AZ327" s="47"/>
      <c r="BA327" s="47"/>
      <c r="BB327" s="47"/>
      <c r="BC327" s="47"/>
      <c r="BD327" s="47"/>
      <c r="BE327" s="47"/>
      <c r="BF327" s="47"/>
    </row>
    <row r="328" spans="1:58" hidden="1">
      <c r="A328" s="46" t="s">
        <v>284</v>
      </c>
      <c r="B328" s="46" t="s">
        <v>257</v>
      </c>
      <c r="C328" s="47">
        <v>1623</v>
      </c>
      <c r="D328" s="47">
        <v>1500</v>
      </c>
      <c r="E328" s="47">
        <v>1664</v>
      </c>
      <c r="F328" s="47">
        <v>765</v>
      </c>
      <c r="G328" s="47">
        <v>1173</v>
      </c>
      <c r="H328" s="47">
        <v>1252</v>
      </c>
      <c r="I328" s="47">
        <v>1057</v>
      </c>
      <c r="J328" s="47">
        <v>1154</v>
      </c>
      <c r="K328" s="47">
        <v>1197</v>
      </c>
      <c r="L328" s="47">
        <v>1421</v>
      </c>
      <c r="M328" s="47">
        <v>1780</v>
      </c>
      <c r="N328" s="47">
        <v>2947</v>
      </c>
      <c r="O328" s="47">
        <v>3417</v>
      </c>
      <c r="P328" s="47">
        <v>2699</v>
      </c>
      <c r="Q328" s="85">
        <v>53.52</v>
      </c>
      <c r="R328" s="85">
        <v>46.92</v>
      </c>
      <c r="S328" s="85">
        <v>61.09</v>
      </c>
      <c r="T328" s="85">
        <v>54.23</v>
      </c>
      <c r="U328" s="85">
        <v>55.33</v>
      </c>
      <c r="V328" s="85">
        <v>61.52</v>
      </c>
      <c r="W328" s="85">
        <v>44.09</v>
      </c>
      <c r="X328" s="85">
        <v>55.97</v>
      </c>
      <c r="Y328" s="85">
        <v>52.94</v>
      </c>
      <c r="Z328" s="85">
        <v>61.64</v>
      </c>
      <c r="AA328" s="85">
        <v>40.04</v>
      </c>
      <c r="AB328" s="85">
        <v>55.12</v>
      </c>
      <c r="AC328" s="85">
        <v>53.69</v>
      </c>
      <c r="AD328" s="85">
        <v>63.72</v>
      </c>
      <c r="AE328" s="47">
        <v>86855</v>
      </c>
      <c r="AF328" s="47">
        <v>70380</v>
      </c>
      <c r="AG328" s="47">
        <v>101650</v>
      </c>
      <c r="AH328" s="47">
        <v>41485</v>
      </c>
      <c r="AI328" s="47">
        <v>64897</v>
      </c>
      <c r="AJ328" s="47">
        <v>77026</v>
      </c>
      <c r="AK328" s="47">
        <v>46605</v>
      </c>
      <c r="AL328" s="47">
        <v>64591</v>
      </c>
      <c r="AM328" s="47">
        <v>63370</v>
      </c>
      <c r="AN328" s="47">
        <v>87594</v>
      </c>
      <c r="AO328" s="47">
        <v>71270</v>
      </c>
      <c r="AP328" s="47">
        <v>162437</v>
      </c>
      <c r="AQ328" s="47">
        <v>183451</v>
      </c>
      <c r="AR328" s="47">
        <v>171970</v>
      </c>
      <c r="AS328" s="47"/>
      <c r="AT328" s="47"/>
      <c r="AU328" s="47"/>
      <c r="AV328" s="47"/>
      <c r="AW328" s="47"/>
      <c r="AX328" s="47"/>
      <c r="AY328" s="47"/>
      <c r="AZ328" s="47"/>
      <c r="BA328" s="47"/>
      <c r="BB328" s="47"/>
      <c r="BC328" s="47"/>
      <c r="BD328" s="47"/>
      <c r="BE328" s="47"/>
      <c r="BF328" s="47"/>
    </row>
    <row r="329" spans="1:58" hidden="1">
      <c r="A329" s="46" t="s">
        <v>284</v>
      </c>
      <c r="B329" s="46" t="s">
        <v>258</v>
      </c>
      <c r="C329" s="47">
        <v>45626</v>
      </c>
      <c r="D329" s="47">
        <v>39180</v>
      </c>
      <c r="E329" s="47">
        <v>42591</v>
      </c>
      <c r="F329" s="47">
        <v>41490</v>
      </c>
      <c r="G329" s="47">
        <v>58376</v>
      </c>
      <c r="H329" s="47">
        <v>67422</v>
      </c>
      <c r="I329" s="47">
        <v>82136</v>
      </c>
      <c r="J329" s="47">
        <v>70866</v>
      </c>
      <c r="K329" s="47">
        <v>63041</v>
      </c>
      <c r="L329" s="47">
        <v>73871</v>
      </c>
      <c r="M329" s="47">
        <v>60185</v>
      </c>
      <c r="N329" s="47">
        <v>63372</v>
      </c>
      <c r="O329" s="47">
        <v>75601</v>
      </c>
      <c r="P329" s="47">
        <v>75824</v>
      </c>
      <c r="Q329" s="85">
        <v>61.34</v>
      </c>
      <c r="R329" s="85">
        <v>57.12</v>
      </c>
      <c r="S329" s="85">
        <v>70.069999999999993</v>
      </c>
      <c r="T329" s="85">
        <v>62.89</v>
      </c>
      <c r="U329" s="85">
        <v>69.61</v>
      </c>
      <c r="V329" s="85">
        <v>71.540000000000006</v>
      </c>
      <c r="W329" s="85">
        <v>55.6</v>
      </c>
      <c r="X329" s="85">
        <v>67.099999999999994</v>
      </c>
      <c r="Y329" s="85">
        <v>59.99</v>
      </c>
      <c r="Z329" s="85">
        <v>72.040000000000006</v>
      </c>
      <c r="AA329" s="85">
        <v>48.46</v>
      </c>
      <c r="AB329" s="85">
        <v>69.709999999999994</v>
      </c>
      <c r="AC329" s="85">
        <v>63.98</v>
      </c>
      <c r="AD329" s="85">
        <v>70.92</v>
      </c>
      <c r="AE329" s="47">
        <v>2798728</v>
      </c>
      <c r="AF329" s="47">
        <v>2238000</v>
      </c>
      <c r="AG329" s="47">
        <v>2984496</v>
      </c>
      <c r="AH329" s="47">
        <v>2609415</v>
      </c>
      <c r="AI329" s="47">
        <v>4063825</v>
      </c>
      <c r="AJ329" s="47">
        <v>4823254</v>
      </c>
      <c r="AK329" s="47">
        <v>4566954</v>
      </c>
      <c r="AL329" s="47">
        <v>4755414</v>
      </c>
      <c r="AM329" s="47">
        <v>3781579</v>
      </c>
      <c r="AN329" s="47">
        <v>5321789</v>
      </c>
      <c r="AO329" s="47">
        <v>2916555</v>
      </c>
      <c r="AP329" s="47">
        <v>4417346</v>
      </c>
      <c r="AQ329" s="47">
        <v>4836837</v>
      </c>
      <c r="AR329" s="47">
        <v>5377584</v>
      </c>
      <c r="AS329" s="47"/>
      <c r="AT329" s="47"/>
      <c r="AU329" s="47"/>
      <c r="AV329" s="47"/>
      <c r="AW329" s="47"/>
      <c r="AX329" s="47"/>
      <c r="AY329" s="47"/>
      <c r="AZ329" s="47"/>
      <c r="BA329" s="47"/>
      <c r="BB329" s="47"/>
      <c r="BC329" s="47"/>
      <c r="BD329" s="47"/>
      <c r="BE329" s="47"/>
      <c r="BF329" s="47"/>
    </row>
    <row r="330" spans="1:58" hidden="1">
      <c r="A330" s="46" t="s">
        <v>284</v>
      </c>
      <c r="B330" s="46" t="s">
        <v>259</v>
      </c>
      <c r="C330" s="47">
        <v>5557</v>
      </c>
      <c r="D330" s="47">
        <v>4470</v>
      </c>
      <c r="E330" s="47">
        <v>2676</v>
      </c>
      <c r="F330" s="47">
        <v>8870</v>
      </c>
      <c r="G330" s="47">
        <v>6114</v>
      </c>
      <c r="H330" s="47">
        <v>5357</v>
      </c>
      <c r="I330" s="47">
        <v>3942</v>
      </c>
      <c r="J330" s="47">
        <v>5766</v>
      </c>
      <c r="K330" s="47">
        <v>3789</v>
      </c>
      <c r="L330" s="47">
        <v>5900</v>
      </c>
      <c r="M330" s="47">
        <v>25539</v>
      </c>
      <c r="N330" s="47">
        <v>7204</v>
      </c>
      <c r="O330" s="47">
        <v>5575</v>
      </c>
      <c r="P330" s="47">
        <v>5049</v>
      </c>
      <c r="Q330" s="85">
        <v>37.33</v>
      </c>
      <c r="R330" s="85">
        <v>41.95</v>
      </c>
      <c r="S330" s="85">
        <v>58.89</v>
      </c>
      <c r="T330" s="85">
        <v>53.1</v>
      </c>
      <c r="U330" s="85">
        <v>57.72</v>
      </c>
      <c r="V330" s="85">
        <v>53.29</v>
      </c>
      <c r="W330" s="85">
        <v>45.99</v>
      </c>
      <c r="X330" s="85">
        <v>49.71</v>
      </c>
      <c r="Y330" s="85">
        <v>48.89</v>
      </c>
      <c r="Z330" s="85">
        <v>64.92</v>
      </c>
      <c r="AA330" s="85">
        <v>42.36</v>
      </c>
      <c r="AB330" s="85">
        <v>59.31</v>
      </c>
      <c r="AC330" s="85">
        <v>51.04</v>
      </c>
      <c r="AD330" s="85">
        <v>55.35</v>
      </c>
      <c r="AE330" s="47">
        <v>207460</v>
      </c>
      <c r="AF330" s="47">
        <v>187510</v>
      </c>
      <c r="AG330" s="47">
        <v>157578</v>
      </c>
      <c r="AH330" s="47">
        <v>470960</v>
      </c>
      <c r="AI330" s="47">
        <v>352904</v>
      </c>
      <c r="AJ330" s="47">
        <v>285498</v>
      </c>
      <c r="AK330" s="47">
        <v>181273</v>
      </c>
      <c r="AL330" s="47">
        <v>286611</v>
      </c>
      <c r="AM330" s="47">
        <v>185227</v>
      </c>
      <c r="AN330" s="47">
        <v>383012</v>
      </c>
      <c r="AO330" s="47">
        <v>1081752</v>
      </c>
      <c r="AP330" s="47">
        <v>427279</v>
      </c>
      <c r="AQ330" s="47">
        <v>284572</v>
      </c>
      <c r="AR330" s="47">
        <v>279447</v>
      </c>
      <c r="AS330" s="47"/>
      <c r="AT330" s="47"/>
      <c r="AU330" s="47"/>
      <c r="AV330" s="47"/>
      <c r="AW330" s="47"/>
      <c r="AX330" s="47"/>
      <c r="AY330" s="47"/>
      <c r="AZ330" s="47"/>
      <c r="BA330" s="47"/>
      <c r="BB330" s="47"/>
      <c r="BC330" s="47"/>
      <c r="BD330" s="47"/>
      <c r="BE330" s="47"/>
      <c r="BF330" s="47"/>
    </row>
    <row r="331" spans="1:58" hidden="1">
      <c r="A331" s="46" t="s">
        <v>284</v>
      </c>
      <c r="B331" s="46" t="s">
        <v>260</v>
      </c>
      <c r="C331" s="47">
        <v>51183</v>
      </c>
      <c r="D331" s="47">
        <v>43650</v>
      </c>
      <c r="E331" s="47">
        <v>45267</v>
      </c>
      <c r="F331" s="47">
        <v>50360</v>
      </c>
      <c r="G331" s="47">
        <v>64490</v>
      </c>
      <c r="H331" s="47">
        <v>72779</v>
      </c>
      <c r="I331" s="47">
        <v>86078</v>
      </c>
      <c r="J331" s="47">
        <v>76632</v>
      </c>
      <c r="K331" s="47">
        <v>66830</v>
      </c>
      <c r="L331" s="47">
        <v>79771</v>
      </c>
      <c r="M331" s="47">
        <v>85724</v>
      </c>
      <c r="N331" s="47">
        <v>70576</v>
      </c>
      <c r="O331" s="47">
        <v>81176</v>
      </c>
      <c r="P331" s="47">
        <v>80873</v>
      </c>
      <c r="Q331" s="85">
        <v>58.73</v>
      </c>
      <c r="R331" s="85">
        <v>55.57</v>
      </c>
      <c r="S331" s="85">
        <v>69.41</v>
      </c>
      <c r="T331" s="85">
        <v>61.17</v>
      </c>
      <c r="U331" s="85">
        <v>68.489999999999995</v>
      </c>
      <c r="V331" s="85">
        <v>70.2</v>
      </c>
      <c r="W331" s="85">
        <v>55.16</v>
      </c>
      <c r="X331" s="85">
        <v>65.8</v>
      </c>
      <c r="Y331" s="85">
        <v>59.36</v>
      </c>
      <c r="Z331" s="85">
        <v>71.510000000000005</v>
      </c>
      <c r="AA331" s="85">
        <v>46.64</v>
      </c>
      <c r="AB331" s="85">
        <v>68.64</v>
      </c>
      <c r="AC331" s="85">
        <v>63.09</v>
      </c>
      <c r="AD331" s="85">
        <v>69.95</v>
      </c>
      <c r="AE331" s="47">
        <v>3006188</v>
      </c>
      <c r="AF331" s="47">
        <v>2425510</v>
      </c>
      <c r="AG331" s="47">
        <v>3142074</v>
      </c>
      <c r="AH331" s="47">
        <v>3080375</v>
      </c>
      <c r="AI331" s="47">
        <v>4416729</v>
      </c>
      <c r="AJ331" s="47">
        <v>5108752</v>
      </c>
      <c r="AK331" s="47">
        <v>4748227</v>
      </c>
      <c r="AL331" s="47">
        <v>5042025</v>
      </c>
      <c r="AM331" s="47">
        <v>3966806</v>
      </c>
      <c r="AN331" s="47">
        <v>5704801</v>
      </c>
      <c r="AO331" s="47">
        <v>3998307</v>
      </c>
      <c r="AP331" s="47">
        <v>4844625</v>
      </c>
      <c r="AQ331" s="47">
        <v>5121409</v>
      </c>
      <c r="AR331" s="47">
        <v>5657031</v>
      </c>
      <c r="AS331" s="47"/>
      <c r="AT331" s="47"/>
      <c r="AU331" s="47"/>
      <c r="AV331" s="47"/>
      <c r="AW331" s="47"/>
      <c r="AX331" s="47"/>
      <c r="AY331" s="47"/>
      <c r="AZ331" s="47"/>
      <c r="BA331" s="47"/>
      <c r="BB331" s="47"/>
      <c r="BC331" s="47"/>
      <c r="BD331" s="47"/>
      <c r="BE331" s="47"/>
      <c r="BF331" s="47"/>
    </row>
    <row r="332" spans="1:58" hidden="1">
      <c r="A332" s="46" t="s">
        <v>284</v>
      </c>
      <c r="B332" s="46" t="s">
        <v>261</v>
      </c>
      <c r="C332" s="47">
        <v>4037</v>
      </c>
      <c r="D332" s="47">
        <v>3145</v>
      </c>
      <c r="E332" s="47">
        <v>4745</v>
      </c>
      <c r="F332" s="47">
        <v>3805</v>
      </c>
      <c r="G332" s="47">
        <v>4292</v>
      </c>
      <c r="H332" s="47">
        <v>3705</v>
      </c>
      <c r="I332" s="47">
        <v>3826</v>
      </c>
      <c r="J332" s="47">
        <v>5801</v>
      </c>
      <c r="K332" s="47">
        <v>5226</v>
      </c>
      <c r="L332" s="47">
        <v>3983</v>
      </c>
      <c r="M332" s="47">
        <v>3057</v>
      </c>
      <c r="N332" s="47">
        <v>4896</v>
      </c>
      <c r="O332" s="47">
        <v>4300</v>
      </c>
      <c r="P332" s="47">
        <v>3419</v>
      </c>
      <c r="Q332" s="85">
        <v>46.9</v>
      </c>
      <c r="R332" s="85">
        <v>46.03</v>
      </c>
      <c r="S332" s="85">
        <v>56.52</v>
      </c>
      <c r="T332" s="85">
        <v>52.7</v>
      </c>
      <c r="U332" s="85">
        <v>56.09</v>
      </c>
      <c r="V332" s="85">
        <v>66.099999999999994</v>
      </c>
      <c r="W332" s="85">
        <v>48.21</v>
      </c>
      <c r="X332" s="85">
        <v>63.26</v>
      </c>
      <c r="Y332" s="85">
        <v>51.25</v>
      </c>
      <c r="Z332" s="85">
        <v>61.04</v>
      </c>
      <c r="AA332" s="85">
        <v>38.46</v>
      </c>
      <c r="AB332" s="85">
        <v>62.23</v>
      </c>
      <c r="AC332" s="85">
        <v>54.43</v>
      </c>
      <c r="AD332" s="85">
        <v>61.79</v>
      </c>
      <c r="AE332" s="47">
        <v>189355</v>
      </c>
      <c r="AF332" s="47">
        <v>144765</v>
      </c>
      <c r="AG332" s="47">
        <v>268199</v>
      </c>
      <c r="AH332" s="47">
        <v>200540</v>
      </c>
      <c r="AI332" s="47">
        <v>240722</v>
      </c>
      <c r="AJ332" s="47">
        <v>244885</v>
      </c>
      <c r="AK332" s="47">
        <v>184441</v>
      </c>
      <c r="AL332" s="47">
        <v>366998</v>
      </c>
      <c r="AM332" s="47">
        <v>267857</v>
      </c>
      <c r="AN332" s="47">
        <v>243123</v>
      </c>
      <c r="AO332" s="47">
        <v>117564</v>
      </c>
      <c r="AP332" s="47">
        <v>304700</v>
      </c>
      <c r="AQ332" s="47">
        <v>234064</v>
      </c>
      <c r="AR332" s="47">
        <v>211245</v>
      </c>
      <c r="AS332" s="47"/>
      <c r="AT332" s="47"/>
      <c r="AU332" s="47"/>
      <c r="AV332" s="47"/>
      <c r="AW332" s="47"/>
      <c r="AX332" s="47"/>
      <c r="AY332" s="47"/>
      <c r="AZ332" s="47"/>
      <c r="BA332" s="47"/>
      <c r="BB332" s="47"/>
      <c r="BC332" s="47"/>
      <c r="BD332" s="47"/>
      <c r="BE332" s="47"/>
      <c r="BF332" s="47"/>
    </row>
    <row r="333" spans="1:58" hidden="1">
      <c r="A333" s="46" t="s">
        <v>284</v>
      </c>
      <c r="B333" s="46" t="s">
        <v>262</v>
      </c>
      <c r="C333" s="47">
        <v>598</v>
      </c>
      <c r="D333" s="47">
        <v>515</v>
      </c>
      <c r="E333" s="47">
        <v>624</v>
      </c>
      <c r="F333" s="47">
        <v>1515</v>
      </c>
      <c r="G333" s="47">
        <v>945</v>
      </c>
      <c r="H333" s="47">
        <v>896</v>
      </c>
      <c r="I333" s="47">
        <v>843</v>
      </c>
      <c r="J333" s="47">
        <v>917</v>
      </c>
      <c r="K333" s="47">
        <v>584</v>
      </c>
      <c r="L333" s="47">
        <v>647</v>
      </c>
      <c r="M333" s="47">
        <v>2002</v>
      </c>
      <c r="N333" s="47">
        <v>849</v>
      </c>
      <c r="O333" s="47">
        <v>736</v>
      </c>
      <c r="P333" s="47">
        <v>527</v>
      </c>
      <c r="Q333" s="85">
        <v>42.22</v>
      </c>
      <c r="R333" s="85">
        <v>40.119999999999997</v>
      </c>
      <c r="S333" s="85">
        <v>50.25</v>
      </c>
      <c r="T333" s="85">
        <v>46.49</v>
      </c>
      <c r="U333" s="85">
        <v>47.96</v>
      </c>
      <c r="V333" s="85">
        <v>51.77</v>
      </c>
      <c r="W333" s="85">
        <v>41.96</v>
      </c>
      <c r="X333" s="85">
        <v>54.51</v>
      </c>
      <c r="Y333" s="85">
        <v>42.73</v>
      </c>
      <c r="Z333" s="85">
        <v>53.56</v>
      </c>
      <c r="AA333" s="85">
        <v>36.19</v>
      </c>
      <c r="AB333" s="85">
        <v>53.58</v>
      </c>
      <c r="AC333" s="85">
        <v>48.28</v>
      </c>
      <c r="AD333" s="85">
        <v>50.66</v>
      </c>
      <c r="AE333" s="47">
        <v>25248</v>
      </c>
      <c r="AF333" s="47">
        <v>20660</v>
      </c>
      <c r="AG333" s="47">
        <v>31354</v>
      </c>
      <c r="AH333" s="47">
        <v>70425</v>
      </c>
      <c r="AI333" s="47">
        <v>45319</v>
      </c>
      <c r="AJ333" s="47">
        <v>46386</v>
      </c>
      <c r="AK333" s="47">
        <v>35371</v>
      </c>
      <c r="AL333" s="47">
        <v>49990</v>
      </c>
      <c r="AM333" s="47">
        <v>24954</v>
      </c>
      <c r="AN333" s="47">
        <v>34653</v>
      </c>
      <c r="AO333" s="47">
        <v>72454</v>
      </c>
      <c r="AP333" s="47">
        <v>45486</v>
      </c>
      <c r="AQ333" s="47">
        <v>35531</v>
      </c>
      <c r="AR333" s="47">
        <v>26696</v>
      </c>
      <c r="AS333" s="47"/>
      <c r="AT333" s="47"/>
      <c r="AU333" s="47"/>
      <c r="AV333" s="47"/>
      <c r="AW333" s="47"/>
      <c r="AX333" s="47"/>
      <c r="AY333" s="47"/>
      <c r="AZ333" s="47"/>
      <c r="BA333" s="47"/>
      <c r="BB333" s="47"/>
      <c r="BC333" s="47"/>
      <c r="BD333" s="47"/>
      <c r="BE333" s="47"/>
      <c r="BF333" s="47"/>
    </row>
    <row r="334" spans="1:58" hidden="1">
      <c r="A334" s="46" t="s">
        <v>284</v>
      </c>
      <c r="B334" s="46" t="s">
        <v>263</v>
      </c>
      <c r="C334" s="47">
        <v>4635</v>
      </c>
      <c r="D334" s="47">
        <v>3660</v>
      </c>
      <c r="E334" s="47">
        <v>5369</v>
      </c>
      <c r="F334" s="47">
        <v>5320</v>
      </c>
      <c r="G334" s="47">
        <v>5237</v>
      </c>
      <c r="H334" s="47">
        <v>4601</v>
      </c>
      <c r="I334" s="47">
        <v>4669</v>
      </c>
      <c r="J334" s="47">
        <v>6718</v>
      </c>
      <c r="K334" s="47">
        <v>5810</v>
      </c>
      <c r="L334" s="47">
        <v>4630</v>
      </c>
      <c r="M334" s="47">
        <v>5059</v>
      </c>
      <c r="N334" s="47">
        <v>5745</v>
      </c>
      <c r="O334" s="47">
        <v>5036</v>
      </c>
      <c r="P334" s="47">
        <v>3946</v>
      </c>
      <c r="Q334" s="85">
        <v>46.3</v>
      </c>
      <c r="R334" s="85">
        <v>45.2</v>
      </c>
      <c r="S334" s="85">
        <v>55.79</v>
      </c>
      <c r="T334" s="85">
        <v>50.93</v>
      </c>
      <c r="U334" s="85">
        <v>54.62</v>
      </c>
      <c r="V334" s="85">
        <v>63.31</v>
      </c>
      <c r="W334" s="85">
        <v>47.08</v>
      </c>
      <c r="X334" s="85">
        <v>62.07</v>
      </c>
      <c r="Y334" s="85">
        <v>50.4</v>
      </c>
      <c r="Z334" s="85">
        <v>59.99</v>
      </c>
      <c r="AA334" s="85">
        <v>37.56</v>
      </c>
      <c r="AB334" s="85">
        <v>60.95</v>
      </c>
      <c r="AC334" s="85">
        <v>53.53</v>
      </c>
      <c r="AD334" s="85">
        <v>60.3</v>
      </c>
      <c r="AE334" s="47">
        <v>214603</v>
      </c>
      <c r="AF334" s="47">
        <v>165425</v>
      </c>
      <c r="AG334" s="47">
        <v>299553</v>
      </c>
      <c r="AH334" s="47">
        <v>270965</v>
      </c>
      <c r="AI334" s="47">
        <v>286041</v>
      </c>
      <c r="AJ334" s="47">
        <v>291271</v>
      </c>
      <c r="AK334" s="47">
        <v>219812</v>
      </c>
      <c r="AL334" s="47">
        <v>416988</v>
      </c>
      <c r="AM334" s="47">
        <v>292811</v>
      </c>
      <c r="AN334" s="47">
        <v>277776</v>
      </c>
      <c r="AO334" s="47">
        <v>190018</v>
      </c>
      <c r="AP334" s="47">
        <v>350186</v>
      </c>
      <c r="AQ334" s="47">
        <v>269595</v>
      </c>
      <c r="AR334" s="47">
        <v>237941</v>
      </c>
      <c r="AS334" s="47"/>
      <c r="AT334" s="47"/>
      <c r="AU334" s="47"/>
      <c r="AV334" s="47"/>
      <c r="AW334" s="47"/>
      <c r="AX334" s="47"/>
      <c r="AY334" s="47"/>
      <c r="AZ334" s="47"/>
      <c r="BA334" s="47"/>
      <c r="BB334" s="47"/>
      <c r="BC334" s="47"/>
      <c r="BD334" s="47"/>
      <c r="BE334" s="47"/>
      <c r="BF334" s="47"/>
    </row>
    <row r="335" spans="1:58" hidden="1">
      <c r="A335" s="46" t="s">
        <v>284</v>
      </c>
      <c r="B335" s="46" t="s">
        <v>264</v>
      </c>
      <c r="C335" s="47">
        <v>53318</v>
      </c>
      <c r="D335" s="47">
        <v>55378</v>
      </c>
      <c r="E335" s="47">
        <v>56226</v>
      </c>
      <c r="F335" s="47">
        <v>55479</v>
      </c>
      <c r="G335" s="47">
        <v>44354</v>
      </c>
      <c r="H335" s="47">
        <v>50212</v>
      </c>
      <c r="I335" s="47">
        <v>40261</v>
      </c>
      <c r="J335" s="47">
        <v>49073</v>
      </c>
      <c r="K335" s="47">
        <v>47640</v>
      </c>
      <c r="L335" s="47">
        <v>49011</v>
      </c>
      <c r="M335" s="47">
        <v>58832</v>
      </c>
      <c r="N335" s="47">
        <v>52800</v>
      </c>
      <c r="O335" s="47">
        <v>35275</v>
      </c>
      <c r="P335" s="47">
        <v>33462</v>
      </c>
      <c r="Q335" s="85">
        <v>95.32</v>
      </c>
      <c r="R335" s="85">
        <v>103.5</v>
      </c>
      <c r="S335" s="85">
        <v>95.22</v>
      </c>
      <c r="T335" s="85">
        <v>93.65</v>
      </c>
      <c r="U335" s="85">
        <v>111.18</v>
      </c>
      <c r="V335" s="85">
        <v>100.18</v>
      </c>
      <c r="W335" s="85">
        <v>93.95</v>
      </c>
      <c r="X335" s="85">
        <v>102.71</v>
      </c>
      <c r="Y335" s="85">
        <v>111.75</v>
      </c>
      <c r="Z335" s="85">
        <v>93.16</v>
      </c>
      <c r="AA335" s="85">
        <v>96.56</v>
      </c>
      <c r="AB335" s="85">
        <v>106.78</v>
      </c>
      <c r="AC335" s="85">
        <v>82.62</v>
      </c>
      <c r="AD335" s="85">
        <v>111.05</v>
      </c>
      <c r="AE335" s="47">
        <v>5082300</v>
      </c>
      <c r="AF335" s="47">
        <v>5731417</v>
      </c>
      <c r="AG335" s="47">
        <v>5353665</v>
      </c>
      <c r="AH335" s="47">
        <v>5195637</v>
      </c>
      <c r="AI335" s="47">
        <v>4931215</v>
      </c>
      <c r="AJ335" s="47">
        <v>5030079</v>
      </c>
      <c r="AK335" s="47">
        <v>3782454</v>
      </c>
      <c r="AL335" s="47">
        <v>5040364</v>
      </c>
      <c r="AM335" s="47">
        <v>5323686</v>
      </c>
      <c r="AN335" s="47">
        <v>4565964</v>
      </c>
      <c r="AO335" s="47">
        <v>5680777</v>
      </c>
      <c r="AP335" s="47">
        <v>5638080</v>
      </c>
      <c r="AQ335" s="47">
        <v>2914575</v>
      </c>
      <c r="AR335" s="47">
        <v>3716060</v>
      </c>
      <c r="AS335" s="47"/>
      <c r="AT335" s="47"/>
      <c r="AU335" s="47"/>
      <c r="AV335" s="47"/>
      <c r="AW335" s="47"/>
      <c r="AX335" s="47"/>
      <c r="AY335" s="47"/>
      <c r="AZ335" s="47"/>
      <c r="BA335" s="47"/>
      <c r="BB335" s="47"/>
      <c r="BC335" s="47"/>
      <c r="BD335" s="47"/>
      <c r="BE335" s="47"/>
      <c r="BF335" s="47"/>
    </row>
    <row r="336" spans="1:58" hidden="1">
      <c r="A336" s="46" t="s">
        <v>284</v>
      </c>
      <c r="B336" s="46" t="s">
        <v>265</v>
      </c>
      <c r="C336" s="47">
        <v>58805</v>
      </c>
      <c r="D336" s="47">
        <v>63768</v>
      </c>
      <c r="E336" s="47">
        <v>85016</v>
      </c>
      <c r="F336" s="47">
        <v>122568</v>
      </c>
      <c r="G336" s="47">
        <v>110596</v>
      </c>
      <c r="H336" s="47">
        <v>85529</v>
      </c>
      <c r="I336" s="47">
        <v>68576</v>
      </c>
      <c r="J336" s="47">
        <v>70172</v>
      </c>
      <c r="K336" s="47">
        <v>72441</v>
      </c>
      <c r="L336" s="47">
        <v>60954</v>
      </c>
      <c r="M336" s="47">
        <v>100513</v>
      </c>
      <c r="N336" s="47">
        <v>93060</v>
      </c>
      <c r="O336" s="47">
        <v>84405</v>
      </c>
      <c r="P336" s="47">
        <v>67047</v>
      </c>
      <c r="Q336" s="85">
        <v>72.790000000000006</v>
      </c>
      <c r="R336" s="85">
        <v>90.56</v>
      </c>
      <c r="S336" s="85">
        <v>80.62</v>
      </c>
      <c r="T336" s="85">
        <v>73.069999999999993</v>
      </c>
      <c r="U336" s="85">
        <v>97.83</v>
      </c>
      <c r="V336" s="85">
        <v>73.37</v>
      </c>
      <c r="W336" s="85">
        <v>63.3</v>
      </c>
      <c r="X336" s="85">
        <v>88.34</v>
      </c>
      <c r="Y336" s="85">
        <v>77.92</v>
      </c>
      <c r="Z336" s="85">
        <v>71.84</v>
      </c>
      <c r="AA336" s="85">
        <v>68.98</v>
      </c>
      <c r="AB336" s="85">
        <v>96.25</v>
      </c>
      <c r="AC336" s="85">
        <v>59.94</v>
      </c>
      <c r="AD336" s="85">
        <v>94.75</v>
      </c>
      <c r="AE336" s="47">
        <v>4280183</v>
      </c>
      <c r="AF336" s="47">
        <v>5774726</v>
      </c>
      <c r="AG336" s="47">
        <v>6854292</v>
      </c>
      <c r="AH336" s="47">
        <v>8956237</v>
      </c>
      <c r="AI336" s="47">
        <v>10819268</v>
      </c>
      <c r="AJ336" s="47">
        <v>6274915</v>
      </c>
      <c r="AK336" s="47">
        <v>4340960</v>
      </c>
      <c r="AL336" s="47">
        <v>6198721</v>
      </c>
      <c r="AM336" s="47">
        <v>5644480</v>
      </c>
      <c r="AN336" s="47">
        <v>4379113</v>
      </c>
      <c r="AO336" s="47">
        <v>6933374</v>
      </c>
      <c r="AP336" s="47">
        <v>8957451</v>
      </c>
      <c r="AQ336" s="47">
        <v>5059003</v>
      </c>
      <c r="AR336" s="47">
        <v>6352654</v>
      </c>
      <c r="AS336" s="47"/>
      <c r="AT336" s="47"/>
      <c r="AU336" s="47"/>
      <c r="AV336" s="47"/>
      <c r="AW336" s="47"/>
      <c r="AX336" s="47"/>
      <c r="AY336" s="47"/>
      <c r="AZ336" s="47"/>
      <c r="BA336" s="47"/>
      <c r="BB336" s="47"/>
      <c r="BC336" s="47"/>
      <c r="BD336" s="47"/>
      <c r="BE336" s="47"/>
      <c r="BF336" s="47"/>
    </row>
    <row r="337" spans="1:58" hidden="1">
      <c r="A337" s="46" t="s">
        <v>284</v>
      </c>
      <c r="B337" s="46" t="s">
        <v>266</v>
      </c>
      <c r="C337" s="47">
        <v>5967</v>
      </c>
      <c r="D337" s="47">
        <v>6760</v>
      </c>
      <c r="E337" s="47">
        <v>8554</v>
      </c>
      <c r="F337" s="47">
        <v>9656</v>
      </c>
      <c r="G337" s="47">
        <v>10741</v>
      </c>
      <c r="H337" s="47">
        <v>7800</v>
      </c>
      <c r="I337" s="47">
        <v>7700</v>
      </c>
      <c r="J337" s="47">
        <v>6795</v>
      </c>
      <c r="K337" s="47">
        <v>6478</v>
      </c>
      <c r="L337" s="47">
        <v>8178</v>
      </c>
      <c r="M337" s="47">
        <v>9830</v>
      </c>
      <c r="N337" s="47">
        <v>10155</v>
      </c>
      <c r="O337" s="47">
        <v>9930</v>
      </c>
      <c r="P337" s="47">
        <v>9331</v>
      </c>
      <c r="Q337" s="85">
        <v>37.08</v>
      </c>
      <c r="R337" s="85">
        <v>33.11</v>
      </c>
      <c r="S337" s="85">
        <v>34.68</v>
      </c>
      <c r="T337" s="85">
        <v>33.86</v>
      </c>
      <c r="U337" s="85">
        <v>37.49</v>
      </c>
      <c r="V337" s="85">
        <v>36.57</v>
      </c>
      <c r="W337" s="85">
        <v>35.369999999999997</v>
      </c>
      <c r="X337" s="85">
        <v>36.25</v>
      </c>
      <c r="Y337" s="85">
        <v>38.56</v>
      </c>
      <c r="Z337" s="85">
        <v>28.44</v>
      </c>
      <c r="AA337" s="85">
        <v>30.63</v>
      </c>
      <c r="AB337" s="85">
        <v>36.75</v>
      </c>
      <c r="AC337" s="85">
        <v>18.11</v>
      </c>
      <c r="AD337" s="85">
        <v>37.11</v>
      </c>
      <c r="AE337" s="47">
        <v>221274</v>
      </c>
      <c r="AF337" s="47">
        <v>223830</v>
      </c>
      <c r="AG337" s="47">
        <v>296612</v>
      </c>
      <c r="AH337" s="47">
        <v>326941</v>
      </c>
      <c r="AI337" s="47">
        <v>402727</v>
      </c>
      <c r="AJ337" s="47">
        <v>285260</v>
      </c>
      <c r="AK337" s="47">
        <v>272330</v>
      </c>
      <c r="AL337" s="47">
        <v>246333</v>
      </c>
      <c r="AM337" s="47">
        <v>249760</v>
      </c>
      <c r="AN337" s="47">
        <v>232572</v>
      </c>
      <c r="AO337" s="47">
        <v>301087</v>
      </c>
      <c r="AP337" s="47">
        <v>373165</v>
      </c>
      <c r="AQ337" s="47">
        <v>179874</v>
      </c>
      <c r="AR337" s="47">
        <v>346317</v>
      </c>
      <c r="AS337" s="47"/>
      <c r="AT337" s="47"/>
      <c r="AU337" s="47"/>
      <c r="AV337" s="47"/>
      <c r="AW337" s="47"/>
      <c r="AX337" s="47"/>
      <c r="AY337" s="47"/>
      <c r="AZ337" s="47"/>
      <c r="BA337" s="47"/>
      <c r="BB337" s="47"/>
      <c r="BC337" s="47"/>
      <c r="BD337" s="47"/>
      <c r="BE337" s="47"/>
      <c r="BF337" s="47"/>
    </row>
    <row r="338" spans="1:58" hidden="1">
      <c r="A338" s="46" t="s">
        <v>284</v>
      </c>
      <c r="B338" s="46" t="s">
        <v>267</v>
      </c>
      <c r="C338" s="47">
        <v>118090</v>
      </c>
      <c r="D338" s="47">
        <v>125906</v>
      </c>
      <c r="E338" s="47">
        <v>149796</v>
      </c>
      <c r="F338" s="47">
        <v>187703</v>
      </c>
      <c r="G338" s="47">
        <v>165691</v>
      </c>
      <c r="H338" s="47">
        <v>143541</v>
      </c>
      <c r="I338" s="47">
        <v>116537</v>
      </c>
      <c r="J338" s="47">
        <v>126040</v>
      </c>
      <c r="K338" s="47">
        <v>126559</v>
      </c>
      <c r="L338" s="47">
        <v>118143</v>
      </c>
      <c r="M338" s="47">
        <v>169175</v>
      </c>
      <c r="N338" s="47">
        <v>156015</v>
      </c>
      <c r="O338" s="47">
        <v>129610</v>
      </c>
      <c r="P338" s="47">
        <v>109840</v>
      </c>
      <c r="Q338" s="85">
        <v>81.16</v>
      </c>
      <c r="R338" s="85">
        <v>93.16</v>
      </c>
      <c r="S338" s="85">
        <v>83.48</v>
      </c>
      <c r="T338" s="85">
        <v>77.14</v>
      </c>
      <c r="U338" s="85">
        <v>97.49</v>
      </c>
      <c r="V338" s="85">
        <v>80.75</v>
      </c>
      <c r="W338" s="85">
        <v>72.040000000000006</v>
      </c>
      <c r="X338" s="85">
        <v>91.13</v>
      </c>
      <c r="Y338" s="85">
        <v>88.64</v>
      </c>
      <c r="Z338" s="85">
        <v>77.680000000000007</v>
      </c>
      <c r="AA338" s="85">
        <v>76.34</v>
      </c>
      <c r="AB338" s="85">
        <v>95.94</v>
      </c>
      <c r="AC338" s="85">
        <v>62.91</v>
      </c>
      <c r="AD338" s="85">
        <v>94.82</v>
      </c>
      <c r="AE338" s="47">
        <v>9583757</v>
      </c>
      <c r="AF338" s="47">
        <v>11729973</v>
      </c>
      <c r="AG338" s="47">
        <v>12504569</v>
      </c>
      <c r="AH338" s="47">
        <v>14478815</v>
      </c>
      <c r="AI338" s="47">
        <v>16153210</v>
      </c>
      <c r="AJ338" s="47">
        <v>11590254</v>
      </c>
      <c r="AK338" s="47">
        <v>8395744</v>
      </c>
      <c r="AL338" s="47">
        <v>11485418</v>
      </c>
      <c r="AM338" s="47">
        <v>11217926</v>
      </c>
      <c r="AN338" s="47">
        <v>9177649</v>
      </c>
      <c r="AO338" s="47">
        <v>12915238</v>
      </c>
      <c r="AP338" s="47">
        <v>14968696</v>
      </c>
      <c r="AQ338" s="47">
        <v>8153452</v>
      </c>
      <c r="AR338" s="47">
        <v>10415031</v>
      </c>
      <c r="AS338" s="47"/>
      <c r="AT338" s="47"/>
      <c r="AU338" s="47"/>
      <c r="AV338" s="47"/>
      <c r="AW338" s="47"/>
      <c r="AX338" s="47"/>
      <c r="AY338" s="47"/>
      <c r="AZ338" s="47"/>
      <c r="BA338" s="47"/>
      <c r="BB338" s="47"/>
      <c r="BC338" s="47"/>
      <c r="BD338" s="47"/>
      <c r="BE338" s="47"/>
      <c r="BF338" s="47"/>
    </row>
    <row r="339" spans="1:58" hidden="1">
      <c r="A339" s="46" t="s">
        <v>284</v>
      </c>
      <c r="B339" s="46" t="s">
        <v>268</v>
      </c>
      <c r="C339" s="47">
        <v>2020</v>
      </c>
      <c r="D339" s="47">
        <v>2040</v>
      </c>
      <c r="E339" s="47">
        <v>2196</v>
      </c>
      <c r="F339" s="47">
        <v>2120</v>
      </c>
      <c r="G339" s="47">
        <v>1636</v>
      </c>
      <c r="H339" s="47">
        <v>2090</v>
      </c>
      <c r="I339" s="47">
        <v>2449</v>
      </c>
      <c r="J339" s="47">
        <v>2414</v>
      </c>
      <c r="K339" s="47">
        <v>2522</v>
      </c>
      <c r="L339" s="47">
        <v>2778</v>
      </c>
      <c r="M339" s="47">
        <v>2684</v>
      </c>
      <c r="N339" s="47">
        <v>2245</v>
      </c>
      <c r="O339" s="47">
        <v>1711</v>
      </c>
      <c r="P339" s="47">
        <v>1101</v>
      </c>
      <c r="Q339" s="85">
        <v>53.47</v>
      </c>
      <c r="R339" s="85">
        <v>58.89</v>
      </c>
      <c r="S339" s="85">
        <v>54.15</v>
      </c>
      <c r="T339" s="85">
        <v>59.37</v>
      </c>
      <c r="U339" s="85">
        <v>61.91</v>
      </c>
      <c r="V339" s="85">
        <v>55.78</v>
      </c>
      <c r="W339" s="85">
        <v>49.12</v>
      </c>
      <c r="X339" s="85">
        <v>65.34</v>
      </c>
      <c r="Y339" s="85">
        <v>60.3</v>
      </c>
      <c r="Z339" s="85">
        <v>56.37</v>
      </c>
      <c r="AA339" s="85">
        <v>54.07</v>
      </c>
      <c r="AB339" s="85">
        <v>64.95</v>
      </c>
      <c r="AC339" s="85">
        <v>43.74</v>
      </c>
      <c r="AD339" s="85">
        <v>71.45</v>
      </c>
      <c r="AE339" s="47">
        <v>108008</v>
      </c>
      <c r="AF339" s="47">
        <v>120140</v>
      </c>
      <c r="AG339" s="47">
        <v>118903</v>
      </c>
      <c r="AH339" s="47">
        <v>125860</v>
      </c>
      <c r="AI339" s="47">
        <v>101284</v>
      </c>
      <c r="AJ339" s="47">
        <v>116578</v>
      </c>
      <c r="AK339" s="47">
        <v>120297</v>
      </c>
      <c r="AL339" s="47">
        <v>157728</v>
      </c>
      <c r="AM339" s="47">
        <v>152066</v>
      </c>
      <c r="AN339" s="47">
        <v>156600</v>
      </c>
      <c r="AO339" s="47">
        <v>145137</v>
      </c>
      <c r="AP339" s="47">
        <v>145815</v>
      </c>
      <c r="AQ339" s="47">
        <v>74837</v>
      </c>
      <c r="AR339" s="47">
        <v>78671</v>
      </c>
      <c r="AS339" s="47"/>
      <c r="AT339" s="47"/>
      <c r="AU339" s="47"/>
      <c r="AV339" s="47"/>
      <c r="AW339" s="47"/>
      <c r="AX339" s="47"/>
      <c r="AY339" s="47"/>
      <c r="AZ339" s="47"/>
      <c r="BA339" s="47"/>
      <c r="BB339" s="47"/>
      <c r="BC339" s="47"/>
      <c r="BD339" s="47"/>
      <c r="BE339" s="47"/>
      <c r="BF339" s="47"/>
    </row>
    <row r="340" spans="1:58" hidden="1">
      <c r="A340" s="46" t="s">
        <v>284</v>
      </c>
      <c r="B340" s="46" t="s">
        <v>269</v>
      </c>
      <c r="C340" s="47">
        <v>54334</v>
      </c>
      <c r="D340" s="47">
        <v>57310</v>
      </c>
      <c r="E340" s="47">
        <v>63589</v>
      </c>
      <c r="F340" s="47">
        <v>44735</v>
      </c>
      <c r="G340" s="47">
        <v>55783</v>
      </c>
      <c r="H340" s="47">
        <v>47157</v>
      </c>
      <c r="I340" s="47">
        <v>39494</v>
      </c>
      <c r="J340" s="47">
        <v>34677</v>
      </c>
      <c r="K340" s="47">
        <v>32362</v>
      </c>
      <c r="L340" s="47">
        <v>33768</v>
      </c>
      <c r="M340" s="47">
        <v>24874</v>
      </c>
      <c r="N340" s="47">
        <v>36775</v>
      </c>
      <c r="O340" s="47">
        <v>37986</v>
      </c>
      <c r="P340" s="47">
        <v>33347</v>
      </c>
      <c r="Q340" s="85">
        <v>56.88</v>
      </c>
      <c r="R340" s="85">
        <v>54.84</v>
      </c>
      <c r="S340" s="85">
        <v>62.54</v>
      </c>
      <c r="T340" s="85">
        <v>57.84</v>
      </c>
      <c r="U340" s="85">
        <v>56.92</v>
      </c>
      <c r="V340" s="85">
        <v>63.97</v>
      </c>
      <c r="W340" s="85">
        <v>48.19</v>
      </c>
      <c r="X340" s="85">
        <v>61.33</v>
      </c>
      <c r="Y340" s="85">
        <v>51.41</v>
      </c>
      <c r="Z340" s="85">
        <v>63.95</v>
      </c>
      <c r="AA340" s="85">
        <v>45.36</v>
      </c>
      <c r="AB340" s="85">
        <v>60.44</v>
      </c>
      <c r="AC340" s="85">
        <v>57.14</v>
      </c>
      <c r="AD340" s="85">
        <v>58.69</v>
      </c>
      <c r="AE340" s="47">
        <v>3090515</v>
      </c>
      <c r="AF340" s="47">
        <v>3142680</v>
      </c>
      <c r="AG340" s="47">
        <v>3976952</v>
      </c>
      <c r="AH340" s="47">
        <v>2587375</v>
      </c>
      <c r="AI340" s="47">
        <v>3175032</v>
      </c>
      <c r="AJ340" s="47">
        <v>3016670</v>
      </c>
      <c r="AK340" s="47">
        <v>1903164</v>
      </c>
      <c r="AL340" s="47">
        <v>2126597</v>
      </c>
      <c r="AM340" s="47">
        <v>1663576</v>
      </c>
      <c r="AN340" s="47">
        <v>2159533</v>
      </c>
      <c r="AO340" s="47">
        <v>1128398</v>
      </c>
      <c r="AP340" s="47">
        <v>2222616</v>
      </c>
      <c r="AQ340" s="47">
        <v>2170406</v>
      </c>
      <c r="AR340" s="47">
        <v>1957239</v>
      </c>
      <c r="AS340" s="47"/>
      <c r="AT340" s="47"/>
      <c r="AU340" s="47"/>
      <c r="AV340" s="47"/>
      <c r="AW340" s="47"/>
      <c r="AX340" s="47"/>
      <c r="AY340" s="47"/>
      <c r="AZ340" s="47"/>
      <c r="BA340" s="47"/>
      <c r="BB340" s="47"/>
      <c r="BC340" s="47"/>
      <c r="BD340" s="47"/>
      <c r="BE340" s="47"/>
      <c r="BF340" s="47"/>
    </row>
    <row r="341" spans="1:58" hidden="1">
      <c r="A341" s="46" t="s">
        <v>284</v>
      </c>
      <c r="B341" s="46" t="s">
        <v>270</v>
      </c>
      <c r="C341" s="47">
        <v>2917</v>
      </c>
      <c r="D341" s="47">
        <v>2420</v>
      </c>
      <c r="E341" s="47">
        <v>2724</v>
      </c>
      <c r="F341" s="47">
        <v>3993</v>
      </c>
      <c r="G341" s="47">
        <v>3425</v>
      </c>
      <c r="H341" s="47">
        <v>7172</v>
      </c>
      <c r="I341" s="47">
        <v>5257</v>
      </c>
      <c r="J341" s="47">
        <v>6741</v>
      </c>
      <c r="K341" s="47">
        <v>5138</v>
      </c>
      <c r="L341" s="47">
        <v>6125</v>
      </c>
      <c r="M341" s="47">
        <v>9730</v>
      </c>
      <c r="N341" s="47">
        <v>7488</v>
      </c>
      <c r="O341" s="47">
        <v>7714</v>
      </c>
      <c r="P341" s="47">
        <v>6475</v>
      </c>
      <c r="Q341" s="85"/>
      <c r="R341" s="85"/>
      <c r="S341" s="85"/>
      <c r="T341" s="85"/>
      <c r="U341" s="85"/>
      <c r="V341" s="85"/>
      <c r="W341" s="85"/>
      <c r="X341" s="85"/>
      <c r="Y341" s="85"/>
      <c r="Z341" s="85"/>
      <c r="AA341" s="85"/>
      <c r="AB341" s="85"/>
      <c r="AC341" s="85"/>
      <c r="AD341" s="85"/>
      <c r="AE341" s="47">
        <v>114152</v>
      </c>
      <c r="AF341" s="47">
        <v>88620</v>
      </c>
      <c r="AG341" s="47">
        <v>115558</v>
      </c>
      <c r="AH341" s="47">
        <v>227897</v>
      </c>
      <c r="AI341" s="47">
        <v>206597</v>
      </c>
      <c r="AJ341" s="47">
        <v>473675</v>
      </c>
      <c r="AK341" s="47">
        <v>266374</v>
      </c>
      <c r="AL341" s="47">
        <v>420256</v>
      </c>
      <c r="AM341" s="47">
        <v>283330</v>
      </c>
      <c r="AN341" s="47">
        <v>416304</v>
      </c>
      <c r="AO341" s="47">
        <v>473677</v>
      </c>
      <c r="AP341" s="47">
        <v>536854</v>
      </c>
      <c r="AQ341" s="47">
        <v>491260</v>
      </c>
      <c r="AR341" s="47">
        <v>462008</v>
      </c>
      <c r="AS341" s="47"/>
      <c r="AT341" s="47"/>
      <c r="AU341" s="47"/>
      <c r="AV341" s="47"/>
      <c r="AW341" s="47"/>
      <c r="AX341" s="47"/>
      <c r="AY341" s="47"/>
      <c r="AZ341" s="47"/>
      <c r="BA341" s="47"/>
      <c r="BB341" s="47"/>
      <c r="BC341" s="47"/>
      <c r="BD341" s="47"/>
      <c r="BE341" s="47"/>
      <c r="BF341" s="47"/>
    </row>
    <row r="342" spans="1:58" hidden="1">
      <c r="A342" s="46" t="s">
        <v>284</v>
      </c>
      <c r="B342" s="46" t="s">
        <v>271</v>
      </c>
      <c r="C342" s="47">
        <v>7042</v>
      </c>
      <c r="D342" s="47">
        <v>11270</v>
      </c>
      <c r="E342" s="47">
        <v>11960</v>
      </c>
      <c r="F342" s="47">
        <v>8448</v>
      </c>
      <c r="G342" s="47">
        <v>8990</v>
      </c>
      <c r="H342" s="47">
        <v>7340</v>
      </c>
      <c r="I342" s="47">
        <v>10320</v>
      </c>
      <c r="J342" s="47">
        <v>12163</v>
      </c>
      <c r="K342" s="47">
        <v>15166</v>
      </c>
      <c r="L342" s="47">
        <v>18396</v>
      </c>
      <c r="M342" s="47">
        <v>16094</v>
      </c>
      <c r="N342" s="47">
        <v>21271</v>
      </c>
      <c r="O342" s="47">
        <v>21246</v>
      </c>
      <c r="P342" s="47">
        <v>20303</v>
      </c>
      <c r="Q342" s="85"/>
      <c r="R342" s="85"/>
      <c r="S342" s="85"/>
      <c r="T342" s="85"/>
      <c r="U342" s="85"/>
      <c r="V342" s="85"/>
      <c r="W342" s="85"/>
      <c r="X342" s="85"/>
      <c r="Y342" s="85"/>
      <c r="Z342" s="85"/>
      <c r="AA342" s="85"/>
      <c r="AB342" s="85"/>
      <c r="AC342" s="85"/>
      <c r="AD342" s="85"/>
      <c r="AE342" s="47">
        <v>291703</v>
      </c>
      <c r="AF342" s="47">
        <v>437360</v>
      </c>
      <c r="AG342" s="47">
        <v>515692</v>
      </c>
      <c r="AH342" s="47">
        <v>484269</v>
      </c>
      <c r="AI342" s="47">
        <v>552618</v>
      </c>
      <c r="AJ342" s="47">
        <v>479056</v>
      </c>
      <c r="AK342" s="47">
        <v>528602</v>
      </c>
      <c r="AL342" s="47">
        <v>752344</v>
      </c>
      <c r="AM342" s="47">
        <v>818262</v>
      </c>
      <c r="AN342" s="47">
        <v>1221992</v>
      </c>
      <c r="AO342" s="47">
        <v>759249</v>
      </c>
      <c r="AP342" s="47">
        <v>1495399</v>
      </c>
      <c r="AQ342" s="47">
        <v>1356399</v>
      </c>
      <c r="AR342" s="47">
        <v>1429092</v>
      </c>
      <c r="AS342" s="47"/>
      <c r="AT342" s="47"/>
      <c r="AU342" s="47"/>
      <c r="AV342" s="47"/>
      <c r="AW342" s="47"/>
      <c r="AX342" s="47"/>
      <c r="AY342" s="47"/>
      <c r="AZ342" s="47"/>
      <c r="BA342" s="47"/>
      <c r="BB342" s="47"/>
      <c r="BC342" s="47"/>
      <c r="BD342" s="47"/>
      <c r="BE342" s="47"/>
      <c r="BF342" s="47"/>
    </row>
    <row r="343" spans="1:58" hidden="1">
      <c r="A343" s="46" t="s">
        <v>284</v>
      </c>
      <c r="B343" s="46" t="s">
        <v>272</v>
      </c>
      <c r="C343" s="47">
        <v>646345</v>
      </c>
      <c r="D343" s="47">
        <v>649296</v>
      </c>
      <c r="E343" s="47">
        <v>689448</v>
      </c>
      <c r="F343" s="47">
        <v>666029</v>
      </c>
      <c r="G343" s="47">
        <v>725960</v>
      </c>
      <c r="H343" s="47">
        <v>718616</v>
      </c>
      <c r="I343" s="47">
        <v>708040</v>
      </c>
      <c r="J343" s="47">
        <v>689811</v>
      </c>
      <c r="K343" s="47">
        <v>674461</v>
      </c>
      <c r="L343" s="47">
        <v>675853</v>
      </c>
      <c r="M343" s="47">
        <v>638717</v>
      </c>
      <c r="N343" s="47">
        <v>708764</v>
      </c>
      <c r="O343" s="47">
        <v>679893</v>
      </c>
      <c r="P343" s="47">
        <v>655130</v>
      </c>
      <c r="Q343" s="85">
        <v>66.41</v>
      </c>
      <c r="R343" s="85">
        <v>66.97</v>
      </c>
      <c r="S343" s="85">
        <v>73.7</v>
      </c>
      <c r="T343" s="85">
        <v>68.760000000000005</v>
      </c>
      <c r="U343" s="85">
        <v>76.180000000000007</v>
      </c>
      <c r="V343" s="85">
        <v>75.03</v>
      </c>
      <c r="W343" s="85">
        <v>58.87</v>
      </c>
      <c r="X343" s="85">
        <v>73.790000000000006</v>
      </c>
      <c r="Y343" s="85">
        <v>66.03</v>
      </c>
      <c r="Z343" s="85">
        <v>75.7</v>
      </c>
      <c r="AA343" s="85">
        <v>58.85</v>
      </c>
      <c r="AB343" s="85">
        <v>75.08</v>
      </c>
      <c r="AC343" s="85">
        <v>66.38</v>
      </c>
      <c r="AD343" s="85">
        <v>76.040000000000006</v>
      </c>
      <c r="AE343" s="47">
        <v>42926610</v>
      </c>
      <c r="AF343" s="47">
        <v>43482498</v>
      </c>
      <c r="AG343" s="47">
        <v>50812841</v>
      </c>
      <c r="AH343" s="47">
        <v>45797881</v>
      </c>
      <c r="AI343" s="47">
        <v>55306459</v>
      </c>
      <c r="AJ343" s="47">
        <v>53920641</v>
      </c>
      <c r="AK343" s="47">
        <v>41682833</v>
      </c>
      <c r="AL343" s="47">
        <v>50902211</v>
      </c>
      <c r="AM343" s="47">
        <v>44533677</v>
      </c>
      <c r="AN343" s="47">
        <v>51161729</v>
      </c>
      <c r="AO343" s="47">
        <v>37587403</v>
      </c>
      <c r="AP343" s="47">
        <v>53213409</v>
      </c>
      <c r="AQ343" s="47">
        <v>45134086</v>
      </c>
      <c r="AR343" s="47">
        <v>49816925</v>
      </c>
      <c r="AS343" s="47"/>
      <c r="AT343" s="47"/>
      <c r="AU343" s="47"/>
      <c r="AV343" s="47"/>
      <c r="AW343" s="47"/>
      <c r="AX343" s="47"/>
      <c r="AY343" s="47"/>
      <c r="AZ343" s="47"/>
      <c r="BA343" s="47"/>
      <c r="BB343" s="47"/>
      <c r="BC343" s="47"/>
      <c r="BD343" s="47"/>
      <c r="BE343" s="47"/>
      <c r="BF343" s="47"/>
    </row>
    <row r="344" spans="1:58" hidden="1">
      <c r="A344" s="46" t="s">
        <v>284</v>
      </c>
      <c r="B344" s="46" t="s">
        <v>273</v>
      </c>
      <c r="C344" s="47">
        <v>0</v>
      </c>
      <c r="D344" s="47">
        <v>0</v>
      </c>
      <c r="E344" s="47">
        <v>0</v>
      </c>
      <c r="F344" s="47">
        <v>0</v>
      </c>
      <c r="G344" s="47">
        <v>0</v>
      </c>
      <c r="H344" s="47">
        <v>0</v>
      </c>
      <c r="I344" s="47">
        <v>0</v>
      </c>
      <c r="J344" s="47">
        <v>0</v>
      </c>
      <c r="K344" s="47">
        <v>0</v>
      </c>
      <c r="L344" s="47">
        <v>0</v>
      </c>
      <c r="M344" s="47">
        <v>0</v>
      </c>
      <c r="N344" s="47">
        <v>0</v>
      </c>
      <c r="O344" s="47">
        <v>0</v>
      </c>
      <c r="P344" s="47">
        <v>0</v>
      </c>
      <c r="Q344" s="85"/>
      <c r="R344" s="85"/>
      <c r="S344" s="85"/>
      <c r="T344" s="85"/>
      <c r="U344" s="85"/>
      <c r="V344" s="85"/>
      <c r="W344" s="85"/>
      <c r="X344" s="85"/>
      <c r="Y344" s="85"/>
      <c r="Z344" s="85"/>
      <c r="AA344" s="85"/>
      <c r="AB344" s="85"/>
      <c r="AC344" s="85"/>
      <c r="AD344" s="85"/>
      <c r="AE344" s="47">
        <v>0</v>
      </c>
      <c r="AF344" s="47">
        <v>0</v>
      </c>
      <c r="AG344" s="47">
        <v>0</v>
      </c>
      <c r="AH344" s="47">
        <v>0</v>
      </c>
      <c r="AI344" s="47">
        <v>0</v>
      </c>
      <c r="AJ344" s="47">
        <v>0</v>
      </c>
      <c r="AK344" s="47">
        <v>0</v>
      </c>
      <c r="AL344" s="47">
        <v>0</v>
      </c>
      <c r="AM344" s="47">
        <v>0</v>
      </c>
      <c r="AN344" s="47">
        <v>0</v>
      </c>
      <c r="AO344" s="47">
        <v>0</v>
      </c>
      <c r="AP344" s="47">
        <v>0</v>
      </c>
      <c r="AQ344" s="47">
        <v>0</v>
      </c>
      <c r="AR344" s="47">
        <v>0</v>
      </c>
      <c r="AS344" s="47"/>
      <c r="AT344" s="47"/>
      <c r="AU344" s="47"/>
      <c r="AV344" s="47"/>
      <c r="AW344" s="47"/>
      <c r="AX344" s="47"/>
      <c r="AY344" s="47"/>
      <c r="AZ344" s="47"/>
      <c r="BA344" s="47"/>
      <c r="BB344" s="47"/>
      <c r="BC344" s="47"/>
      <c r="BD344" s="47"/>
      <c r="BE344" s="47"/>
      <c r="BF344" s="47"/>
    </row>
    <row r="345" spans="1:58" hidden="1">
      <c r="A345" s="46" t="s">
        <v>284</v>
      </c>
      <c r="B345" s="46" t="s">
        <v>274</v>
      </c>
      <c r="C345" s="47">
        <v>0</v>
      </c>
      <c r="D345" s="47">
        <v>0</v>
      </c>
      <c r="E345" s="47">
        <v>0</v>
      </c>
      <c r="F345" s="47">
        <v>0</v>
      </c>
      <c r="G345" s="47">
        <v>0</v>
      </c>
      <c r="H345" s="47">
        <v>0</v>
      </c>
      <c r="I345" s="47">
        <v>0</v>
      </c>
      <c r="J345" s="47">
        <v>0</v>
      </c>
      <c r="K345" s="47">
        <v>0</v>
      </c>
      <c r="L345" s="47">
        <v>0</v>
      </c>
      <c r="M345" s="47">
        <v>0</v>
      </c>
      <c r="N345" s="47">
        <v>0</v>
      </c>
      <c r="O345" s="47">
        <v>0</v>
      </c>
      <c r="P345" s="47">
        <v>0</v>
      </c>
      <c r="Q345" s="85"/>
      <c r="R345" s="85"/>
      <c r="S345" s="85"/>
      <c r="T345" s="85"/>
      <c r="U345" s="85"/>
      <c r="V345" s="85"/>
      <c r="W345" s="85"/>
      <c r="X345" s="85"/>
      <c r="Y345" s="85"/>
      <c r="Z345" s="85"/>
      <c r="AA345" s="85"/>
      <c r="AB345" s="85"/>
      <c r="AC345" s="85"/>
      <c r="AD345" s="85"/>
      <c r="AE345" s="47">
        <v>0</v>
      </c>
      <c r="AF345" s="47">
        <v>0</v>
      </c>
      <c r="AG345" s="47">
        <v>0</v>
      </c>
      <c r="AH345" s="47">
        <v>0</v>
      </c>
      <c r="AI345" s="47">
        <v>0</v>
      </c>
      <c r="AJ345" s="47">
        <v>0</v>
      </c>
      <c r="AK345" s="47">
        <v>0</v>
      </c>
      <c r="AL345" s="47">
        <v>0</v>
      </c>
      <c r="AM345" s="47">
        <v>0</v>
      </c>
      <c r="AN345" s="47">
        <v>0</v>
      </c>
      <c r="AO345" s="47">
        <v>0</v>
      </c>
      <c r="AP345" s="47">
        <v>0</v>
      </c>
      <c r="AQ345" s="47">
        <v>0</v>
      </c>
      <c r="AR345" s="47">
        <v>0</v>
      </c>
      <c r="AS345" s="47"/>
      <c r="AT345" s="47"/>
      <c r="AU345" s="47"/>
      <c r="AV345" s="47"/>
      <c r="AW345" s="47"/>
      <c r="AX345" s="47"/>
      <c r="AY345" s="47"/>
      <c r="AZ345" s="47"/>
      <c r="BA345" s="47"/>
      <c r="BB345" s="47"/>
      <c r="BC345" s="47"/>
      <c r="BD345" s="47"/>
      <c r="BE345" s="47"/>
      <c r="BF345" s="47"/>
    </row>
    <row r="346" spans="1:58" hidden="1">
      <c r="A346" s="46" t="s">
        <v>284</v>
      </c>
      <c r="B346" s="46" t="s">
        <v>275</v>
      </c>
      <c r="C346" s="47">
        <v>0</v>
      </c>
      <c r="D346" s="47">
        <v>0</v>
      </c>
      <c r="E346" s="47">
        <v>0</v>
      </c>
      <c r="F346" s="47">
        <v>0</v>
      </c>
      <c r="G346" s="47">
        <v>0</v>
      </c>
      <c r="H346" s="47">
        <v>0</v>
      </c>
      <c r="I346" s="47">
        <v>0</v>
      </c>
      <c r="J346" s="47">
        <v>0</v>
      </c>
      <c r="K346" s="47">
        <v>0</v>
      </c>
      <c r="L346" s="47">
        <v>0</v>
      </c>
      <c r="M346" s="47">
        <v>0</v>
      </c>
      <c r="N346" s="47">
        <v>0</v>
      </c>
      <c r="O346" s="47">
        <v>0</v>
      </c>
      <c r="P346" s="47">
        <v>0</v>
      </c>
      <c r="Q346" s="85"/>
      <c r="R346" s="85"/>
      <c r="S346" s="85"/>
      <c r="T346" s="85"/>
      <c r="U346" s="85"/>
      <c r="V346" s="85"/>
      <c r="W346" s="85"/>
      <c r="X346" s="85"/>
      <c r="Y346" s="85"/>
      <c r="Z346" s="85"/>
      <c r="AA346" s="85"/>
      <c r="AB346" s="85"/>
      <c r="AC346" s="85"/>
      <c r="AD346" s="85"/>
      <c r="AE346" s="47">
        <v>0</v>
      </c>
      <c r="AF346" s="47">
        <v>0</v>
      </c>
      <c r="AG346" s="47">
        <v>0</v>
      </c>
      <c r="AH346" s="47">
        <v>0</v>
      </c>
      <c r="AI346" s="47">
        <v>0</v>
      </c>
      <c r="AJ346" s="47">
        <v>0</v>
      </c>
      <c r="AK346" s="47">
        <v>0</v>
      </c>
      <c r="AL346" s="47">
        <v>0</v>
      </c>
      <c r="AM346" s="47">
        <v>0</v>
      </c>
      <c r="AN346" s="47">
        <v>0</v>
      </c>
      <c r="AO346" s="47">
        <v>0</v>
      </c>
      <c r="AP346" s="47">
        <v>0</v>
      </c>
      <c r="AQ346" s="47">
        <v>0</v>
      </c>
      <c r="AR346" s="47">
        <v>0</v>
      </c>
      <c r="AS346" s="47"/>
      <c r="AT346" s="47"/>
      <c r="AU346" s="47"/>
      <c r="AV346" s="47"/>
      <c r="AW346" s="47"/>
      <c r="AX346" s="47"/>
      <c r="AY346" s="47"/>
      <c r="AZ346" s="47"/>
      <c r="BA346" s="47"/>
      <c r="BB346" s="47"/>
      <c r="BC346" s="47"/>
      <c r="BD346" s="47"/>
      <c r="BE346" s="47"/>
      <c r="BF346" s="47"/>
    </row>
    <row r="347" spans="1:58" hidden="1">
      <c r="A347" s="46" t="s">
        <v>284</v>
      </c>
      <c r="B347" s="46" t="s">
        <v>276</v>
      </c>
      <c r="C347" s="47">
        <v>646345</v>
      </c>
      <c r="D347" s="47">
        <v>649296</v>
      </c>
      <c r="E347" s="47">
        <v>689448</v>
      </c>
      <c r="F347" s="47">
        <v>666029</v>
      </c>
      <c r="G347" s="47">
        <v>725960</v>
      </c>
      <c r="H347" s="47">
        <v>718616</v>
      </c>
      <c r="I347" s="47">
        <v>708040</v>
      </c>
      <c r="J347" s="47">
        <v>689811</v>
      </c>
      <c r="K347" s="47">
        <v>674461</v>
      </c>
      <c r="L347" s="47">
        <v>675853</v>
      </c>
      <c r="M347" s="47">
        <v>638717</v>
      </c>
      <c r="N347" s="47">
        <v>708764</v>
      </c>
      <c r="O347" s="47">
        <v>679893</v>
      </c>
      <c r="P347" s="47">
        <v>655130</v>
      </c>
      <c r="Q347" s="85">
        <v>66.41</v>
      </c>
      <c r="R347" s="85">
        <v>66.97</v>
      </c>
      <c r="S347" s="85">
        <v>73.7</v>
      </c>
      <c r="T347" s="85">
        <v>68.760000000000005</v>
      </c>
      <c r="U347" s="85">
        <v>76.180000000000007</v>
      </c>
      <c r="V347" s="85">
        <v>75.03</v>
      </c>
      <c r="W347" s="85">
        <v>58.87</v>
      </c>
      <c r="X347" s="85">
        <v>73.790000000000006</v>
      </c>
      <c r="Y347" s="85">
        <v>66.03</v>
      </c>
      <c r="Z347" s="85">
        <v>75.7</v>
      </c>
      <c r="AA347" s="85">
        <v>58.85</v>
      </c>
      <c r="AB347" s="85">
        <v>75.08</v>
      </c>
      <c r="AC347" s="85">
        <v>66.38</v>
      </c>
      <c r="AD347" s="85">
        <v>76.040000000000006</v>
      </c>
      <c r="AE347" s="47">
        <v>42926610</v>
      </c>
      <c r="AF347" s="47">
        <v>43482498</v>
      </c>
      <c r="AG347" s="47">
        <v>50812841</v>
      </c>
      <c r="AH347" s="47">
        <v>45797881</v>
      </c>
      <c r="AI347" s="47">
        <v>55306459</v>
      </c>
      <c r="AJ347" s="47">
        <v>53920641</v>
      </c>
      <c r="AK347" s="47">
        <v>41682833</v>
      </c>
      <c r="AL347" s="47">
        <v>50902211</v>
      </c>
      <c r="AM347" s="47">
        <v>44533677</v>
      </c>
      <c r="AN347" s="47">
        <v>51161729</v>
      </c>
      <c r="AO347" s="47">
        <v>37587403</v>
      </c>
      <c r="AP347" s="47">
        <v>53213409</v>
      </c>
      <c r="AQ347" s="47">
        <v>45134086</v>
      </c>
      <c r="AR347" s="47">
        <v>49816925</v>
      </c>
      <c r="AS347" s="47"/>
      <c r="AT347" s="47"/>
      <c r="AU347" s="47"/>
      <c r="AV347" s="47"/>
      <c r="AW347" s="47"/>
      <c r="AX347" s="47"/>
      <c r="AY347" s="47"/>
      <c r="AZ347" s="47"/>
      <c r="BA347" s="47"/>
      <c r="BB347" s="47"/>
      <c r="BC347" s="47"/>
      <c r="BD347" s="47"/>
      <c r="BE347" s="47"/>
      <c r="BF347" s="47"/>
    </row>
    <row r="348" spans="1:58" hidden="1">
      <c r="A348" s="46" t="s">
        <v>284</v>
      </c>
      <c r="B348" s="46" t="s">
        <v>277</v>
      </c>
      <c r="C348" s="47"/>
      <c r="D348" s="47"/>
      <c r="E348" s="47"/>
      <c r="F348" s="47"/>
      <c r="G348" s="47"/>
      <c r="H348" s="47"/>
      <c r="I348" s="47"/>
      <c r="J348" s="47"/>
      <c r="K348" s="47"/>
      <c r="L348" s="47"/>
      <c r="M348" s="47"/>
      <c r="N348" s="47"/>
      <c r="O348" s="47"/>
      <c r="P348" s="47"/>
      <c r="Q348" s="85"/>
      <c r="R348" s="85"/>
      <c r="S348" s="85"/>
      <c r="T348" s="85"/>
      <c r="U348" s="85"/>
      <c r="V348" s="85"/>
      <c r="W348" s="85"/>
      <c r="X348" s="85"/>
      <c r="Y348" s="85"/>
      <c r="Z348" s="85"/>
      <c r="AA348" s="85"/>
      <c r="AB348" s="85"/>
      <c r="AC348" s="85"/>
      <c r="AD348" s="85"/>
      <c r="AE348" s="47">
        <v>13181305.396981999</v>
      </c>
      <c r="AF348" s="47">
        <v>12911436.277349999</v>
      </c>
      <c r="AG348" s="47">
        <v>14023907.208768001</v>
      </c>
      <c r="AH348" s="47">
        <v>12837880.885803999</v>
      </c>
      <c r="AI348" s="47">
        <v>14167294.735805999</v>
      </c>
      <c r="AJ348" s="47">
        <v>14706435.991578</v>
      </c>
      <c r="AK348" s="47">
        <v>13171842.580766</v>
      </c>
      <c r="AL348" s="47">
        <v>14212016.571342001</v>
      </c>
      <c r="AM348" s="47">
        <v>13176706.350194</v>
      </c>
      <c r="AN348" s="47">
        <v>14647669.77152</v>
      </c>
      <c r="AO348" s="47">
        <v>11768690.780086299</v>
      </c>
      <c r="AP348" s="47">
        <v>14074531.994543601</v>
      </c>
      <c r="AQ348" s="47">
        <v>13841495.409677999</v>
      </c>
      <c r="AR348" s="47">
        <v>14255209</v>
      </c>
      <c r="AS348" s="47"/>
      <c r="AT348" s="47"/>
      <c r="AU348" s="47"/>
      <c r="AV348" s="47"/>
      <c r="AW348" s="47"/>
      <c r="AX348" s="47"/>
      <c r="AY348" s="47"/>
      <c r="AZ348" s="47"/>
      <c r="BA348" s="47"/>
      <c r="BB348" s="47"/>
      <c r="BC348" s="47"/>
      <c r="BD348" s="47"/>
      <c r="BE348" s="47"/>
      <c r="BF348" s="47"/>
    </row>
    <row r="349" spans="1:58" hidden="1">
      <c r="A349" s="46" t="s">
        <v>284</v>
      </c>
      <c r="B349" s="46" t="s">
        <v>65</v>
      </c>
      <c r="C349" s="47">
        <v>52050</v>
      </c>
      <c r="D349" s="47">
        <v>60810</v>
      </c>
      <c r="E349" s="47">
        <v>67891</v>
      </c>
      <c r="F349" s="47">
        <v>64302</v>
      </c>
      <c r="G349" s="47">
        <v>60527</v>
      </c>
      <c r="H349" s="47">
        <v>68426</v>
      </c>
      <c r="I349" s="47">
        <v>74626</v>
      </c>
      <c r="J349" s="47">
        <v>79952</v>
      </c>
      <c r="K349" s="47">
        <v>92578</v>
      </c>
      <c r="L349" s="47">
        <v>67196</v>
      </c>
      <c r="M349" s="47">
        <v>71370</v>
      </c>
      <c r="N349" s="47">
        <v>66610</v>
      </c>
      <c r="O349" s="47">
        <v>85153</v>
      </c>
      <c r="P349" s="47">
        <v>98219</v>
      </c>
      <c r="Q349" s="85">
        <v>29.06</v>
      </c>
      <c r="R349" s="85">
        <v>32.69</v>
      </c>
      <c r="S349" s="85">
        <v>36.11</v>
      </c>
      <c r="T349" s="85">
        <v>29.15</v>
      </c>
      <c r="U349" s="85">
        <v>36.26</v>
      </c>
      <c r="V349" s="85">
        <v>31.65</v>
      </c>
      <c r="W349" s="85">
        <v>33.479999999999997</v>
      </c>
      <c r="X349" s="85">
        <v>39.22</v>
      </c>
      <c r="Y349" s="85">
        <v>25.95</v>
      </c>
      <c r="Z349" s="85">
        <v>32.659999999999997</v>
      </c>
      <c r="AA349" s="85">
        <v>27.13</v>
      </c>
      <c r="AB349" s="85">
        <v>35.58</v>
      </c>
      <c r="AC349" s="85">
        <v>34.04</v>
      </c>
      <c r="AD349" s="85">
        <v>29.38</v>
      </c>
      <c r="AE349" s="47">
        <v>1512365</v>
      </c>
      <c r="AF349" s="47">
        <v>1987710</v>
      </c>
      <c r="AG349" s="47">
        <v>2451519</v>
      </c>
      <c r="AH349" s="47">
        <v>1874285</v>
      </c>
      <c r="AI349" s="47">
        <v>2194798</v>
      </c>
      <c r="AJ349" s="47">
        <v>2165424</v>
      </c>
      <c r="AK349" s="47">
        <v>2498199</v>
      </c>
      <c r="AL349" s="47">
        <v>3135669</v>
      </c>
      <c r="AM349" s="47">
        <v>2402769</v>
      </c>
      <c r="AN349" s="47">
        <v>2194877</v>
      </c>
      <c r="AO349" s="47">
        <v>1936362</v>
      </c>
      <c r="AP349" s="47">
        <v>2370208</v>
      </c>
      <c r="AQ349" s="47">
        <v>2898479</v>
      </c>
      <c r="AR349" s="47">
        <v>2885610</v>
      </c>
      <c r="AS349" s="47"/>
      <c r="AT349" s="47"/>
      <c r="AU349" s="47"/>
      <c r="AV349" s="47"/>
      <c r="AW349" s="47"/>
      <c r="AX349" s="47"/>
      <c r="AY349" s="47"/>
      <c r="AZ349" s="47"/>
      <c r="BA349" s="47"/>
      <c r="BB349" s="47"/>
      <c r="BC349" s="47"/>
      <c r="BD349" s="47"/>
      <c r="BE349" s="47"/>
      <c r="BF349" s="47"/>
    </row>
    <row r="350" spans="1:58" hidden="1">
      <c r="A350" s="46" t="s">
        <v>284</v>
      </c>
      <c r="B350" s="46" t="s">
        <v>66</v>
      </c>
      <c r="C350" s="47">
        <v>528</v>
      </c>
      <c r="D350" s="47">
        <v>340</v>
      </c>
      <c r="E350" s="47">
        <v>274</v>
      </c>
      <c r="F350" s="47">
        <v>605</v>
      </c>
      <c r="G350" s="47">
        <v>186</v>
      </c>
      <c r="H350" s="47">
        <v>125</v>
      </c>
      <c r="I350" s="47">
        <v>108</v>
      </c>
      <c r="J350" s="47">
        <v>129</v>
      </c>
      <c r="K350" s="47">
        <v>168</v>
      </c>
      <c r="L350" s="47">
        <v>217</v>
      </c>
      <c r="M350" s="47">
        <v>268</v>
      </c>
      <c r="N350" s="47">
        <v>155</v>
      </c>
      <c r="O350" s="47">
        <v>162</v>
      </c>
      <c r="P350" s="47">
        <v>23</v>
      </c>
      <c r="Q350" s="85">
        <v>18.23</v>
      </c>
      <c r="R350" s="85">
        <v>21.88</v>
      </c>
      <c r="S350" s="85">
        <v>25.45</v>
      </c>
      <c r="T350" s="85">
        <v>18.57</v>
      </c>
      <c r="U350" s="85">
        <v>26.47</v>
      </c>
      <c r="V350" s="85">
        <v>20.98</v>
      </c>
      <c r="W350" s="85">
        <v>23.45</v>
      </c>
      <c r="X350" s="85">
        <v>27.94</v>
      </c>
      <c r="Y350" s="85">
        <v>17</v>
      </c>
      <c r="Z350" s="85">
        <v>20.53</v>
      </c>
      <c r="AA350" s="85">
        <v>16.82</v>
      </c>
      <c r="AB350" s="85">
        <v>25.38</v>
      </c>
      <c r="AC350" s="85">
        <v>24.62</v>
      </c>
      <c r="AD350" s="85">
        <v>18.7</v>
      </c>
      <c r="AE350" s="47">
        <v>9623</v>
      </c>
      <c r="AF350" s="47">
        <v>7440</v>
      </c>
      <c r="AG350" s="47">
        <v>6974</v>
      </c>
      <c r="AH350" s="47">
        <v>11235</v>
      </c>
      <c r="AI350" s="47">
        <v>4924</v>
      </c>
      <c r="AJ350" s="47">
        <v>2623</v>
      </c>
      <c r="AK350" s="47">
        <v>2533</v>
      </c>
      <c r="AL350" s="47">
        <v>3604</v>
      </c>
      <c r="AM350" s="47">
        <v>2856</v>
      </c>
      <c r="AN350" s="47">
        <v>4456</v>
      </c>
      <c r="AO350" s="47">
        <v>4507</v>
      </c>
      <c r="AP350" s="47">
        <v>3934</v>
      </c>
      <c r="AQ350" s="47">
        <v>3989</v>
      </c>
      <c r="AR350" s="47">
        <v>430</v>
      </c>
      <c r="AS350" s="47"/>
      <c r="AT350" s="47"/>
      <c r="AU350" s="47"/>
      <c r="AV350" s="47"/>
      <c r="AW350" s="47"/>
      <c r="AX350" s="47"/>
      <c r="AY350" s="47"/>
      <c r="AZ350" s="47"/>
      <c r="BA350" s="47"/>
      <c r="BB350" s="47"/>
      <c r="BC350" s="47"/>
      <c r="BD350" s="47"/>
      <c r="BE350" s="47"/>
      <c r="BF350" s="47"/>
    </row>
    <row r="351" spans="1:58" hidden="1">
      <c r="A351" s="46" t="s">
        <v>284</v>
      </c>
      <c r="B351" s="46" t="s">
        <v>67</v>
      </c>
      <c r="C351" s="47">
        <v>52578</v>
      </c>
      <c r="D351" s="47">
        <v>61150</v>
      </c>
      <c r="E351" s="47">
        <v>68165</v>
      </c>
      <c r="F351" s="47">
        <v>64907</v>
      </c>
      <c r="G351" s="47">
        <v>60713</v>
      </c>
      <c r="H351" s="47">
        <v>68551</v>
      </c>
      <c r="I351" s="47">
        <v>74734</v>
      </c>
      <c r="J351" s="47">
        <v>80081</v>
      </c>
      <c r="K351" s="47">
        <v>92746</v>
      </c>
      <c r="L351" s="47">
        <v>67413</v>
      </c>
      <c r="M351" s="47">
        <v>71638</v>
      </c>
      <c r="N351" s="47">
        <v>66765</v>
      </c>
      <c r="O351" s="47">
        <v>85315</v>
      </c>
      <c r="P351" s="47">
        <v>98242</v>
      </c>
      <c r="Q351" s="85">
        <v>28.95</v>
      </c>
      <c r="R351" s="85">
        <v>32.630000000000003</v>
      </c>
      <c r="S351" s="85">
        <v>36.07</v>
      </c>
      <c r="T351" s="85">
        <v>29.05</v>
      </c>
      <c r="U351" s="85">
        <v>36.229999999999997</v>
      </c>
      <c r="V351" s="85">
        <v>31.63</v>
      </c>
      <c r="W351" s="85">
        <v>33.46</v>
      </c>
      <c r="X351" s="85">
        <v>39.200000000000003</v>
      </c>
      <c r="Y351" s="85">
        <v>25.94</v>
      </c>
      <c r="Z351" s="85">
        <v>32.619999999999997</v>
      </c>
      <c r="AA351" s="85">
        <v>27.09</v>
      </c>
      <c r="AB351" s="85">
        <v>35.56</v>
      </c>
      <c r="AC351" s="85">
        <v>34.020000000000003</v>
      </c>
      <c r="AD351" s="85">
        <v>29.38</v>
      </c>
      <c r="AE351" s="47">
        <v>1521988</v>
      </c>
      <c r="AF351" s="47">
        <v>1995150</v>
      </c>
      <c r="AG351" s="47">
        <v>2458493</v>
      </c>
      <c r="AH351" s="47">
        <v>1885520</v>
      </c>
      <c r="AI351" s="47">
        <v>2199722</v>
      </c>
      <c r="AJ351" s="47">
        <v>2168047</v>
      </c>
      <c r="AK351" s="47">
        <v>2500732</v>
      </c>
      <c r="AL351" s="47">
        <v>3139273</v>
      </c>
      <c r="AM351" s="47">
        <v>2405625</v>
      </c>
      <c r="AN351" s="47">
        <v>2199333</v>
      </c>
      <c r="AO351" s="47">
        <v>1940869</v>
      </c>
      <c r="AP351" s="47">
        <v>2374142</v>
      </c>
      <c r="AQ351" s="47">
        <v>2902468</v>
      </c>
      <c r="AR351" s="47">
        <v>2886040</v>
      </c>
      <c r="AS351" s="47"/>
      <c r="AT351" s="47"/>
      <c r="AU351" s="47"/>
      <c r="AV351" s="47"/>
      <c r="AW351" s="47"/>
      <c r="AX351" s="47"/>
      <c r="AY351" s="47"/>
      <c r="AZ351" s="47"/>
      <c r="BA351" s="47"/>
      <c r="BB351" s="47"/>
      <c r="BC351" s="47"/>
      <c r="BD351" s="47"/>
      <c r="BE351" s="47"/>
      <c r="BF351" s="47"/>
    </row>
    <row r="352" spans="1:58" hidden="1">
      <c r="A352" s="46" t="s">
        <v>284</v>
      </c>
      <c r="B352" s="46" t="s">
        <v>68</v>
      </c>
      <c r="C352" s="47">
        <v>45437</v>
      </c>
      <c r="D352" s="47">
        <v>40890</v>
      </c>
      <c r="E352" s="47">
        <v>30968</v>
      </c>
      <c r="F352" s="47">
        <v>40872</v>
      </c>
      <c r="G352" s="47">
        <v>27895</v>
      </c>
      <c r="H352" s="47">
        <v>27111</v>
      </c>
      <c r="I352" s="47">
        <v>25214</v>
      </c>
      <c r="J352" s="47">
        <v>29122</v>
      </c>
      <c r="K352" s="47">
        <v>29766</v>
      </c>
      <c r="L352" s="47">
        <v>32770</v>
      </c>
      <c r="M352" s="47">
        <v>51346</v>
      </c>
      <c r="N352" s="47">
        <v>40724</v>
      </c>
      <c r="O352" s="47">
        <v>60659</v>
      </c>
      <c r="P352" s="47">
        <v>55608</v>
      </c>
      <c r="Q352" s="85">
        <v>23.59</v>
      </c>
      <c r="R352" s="85">
        <v>28.84</v>
      </c>
      <c r="S352" s="85">
        <v>24.36</v>
      </c>
      <c r="T352" s="85">
        <v>22.95</v>
      </c>
      <c r="U352" s="85">
        <v>27.65</v>
      </c>
      <c r="V352" s="85">
        <v>21.74</v>
      </c>
      <c r="W352" s="85">
        <v>25.57</v>
      </c>
      <c r="X352" s="85">
        <v>31.05</v>
      </c>
      <c r="Y352" s="85">
        <v>26.45</v>
      </c>
      <c r="Z352" s="85">
        <v>23.04</v>
      </c>
      <c r="AA352" s="85">
        <v>24.21</v>
      </c>
      <c r="AB352" s="85">
        <v>30.2</v>
      </c>
      <c r="AC352" s="85">
        <v>20.29</v>
      </c>
      <c r="AD352" s="85">
        <v>28.85</v>
      </c>
      <c r="AE352" s="47">
        <v>1071935</v>
      </c>
      <c r="AF352" s="47">
        <v>1179280</v>
      </c>
      <c r="AG352" s="47">
        <v>754500</v>
      </c>
      <c r="AH352" s="47">
        <v>937950</v>
      </c>
      <c r="AI352" s="47">
        <v>771308</v>
      </c>
      <c r="AJ352" s="47">
        <v>589355</v>
      </c>
      <c r="AK352" s="47">
        <v>644779</v>
      </c>
      <c r="AL352" s="47">
        <v>904242</v>
      </c>
      <c r="AM352" s="47">
        <v>787198</v>
      </c>
      <c r="AN352" s="47">
        <v>755125</v>
      </c>
      <c r="AO352" s="47">
        <v>1243090</v>
      </c>
      <c r="AP352" s="47">
        <v>1229759</v>
      </c>
      <c r="AQ352" s="47">
        <v>1230716</v>
      </c>
      <c r="AR352" s="47">
        <v>1604559</v>
      </c>
      <c r="AS352" s="47"/>
      <c r="AT352" s="47"/>
      <c r="AU352" s="47"/>
      <c r="AV352" s="47"/>
      <c r="AW352" s="47"/>
      <c r="AX352" s="47"/>
      <c r="AY352" s="47"/>
      <c r="AZ352" s="47"/>
      <c r="BA352" s="47"/>
      <c r="BB352" s="47"/>
      <c r="BC352" s="47"/>
      <c r="BD352" s="47"/>
      <c r="BE352" s="47"/>
      <c r="BF352" s="47"/>
    </row>
    <row r="353" spans="1:58" hidden="1">
      <c r="A353" s="46" t="s">
        <v>284</v>
      </c>
      <c r="B353" s="46" t="s">
        <v>69</v>
      </c>
      <c r="C353" s="47">
        <v>131</v>
      </c>
      <c r="D353" s="47">
        <v>50</v>
      </c>
      <c r="E353" s="47">
        <v>69</v>
      </c>
      <c r="F353" s="47">
        <v>95</v>
      </c>
      <c r="G353" s="47">
        <v>147</v>
      </c>
      <c r="H353" s="47">
        <v>573</v>
      </c>
      <c r="I353" s="47">
        <v>926</v>
      </c>
      <c r="J353" s="47">
        <v>506</v>
      </c>
      <c r="K353" s="47">
        <v>554</v>
      </c>
      <c r="L353" s="47">
        <v>608</v>
      </c>
      <c r="M353" s="47">
        <v>1065</v>
      </c>
      <c r="N353" s="47">
        <v>881</v>
      </c>
      <c r="O353" s="47">
        <v>1289</v>
      </c>
      <c r="P353" s="47">
        <v>1234</v>
      </c>
      <c r="Q353" s="85">
        <v>19.2</v>
      </c>
      <c r="R353" s="85">
        <v>17.399999999999999</v>
      </c>
      <c r="S353" s="85">
        <v>17.43</v>
      </c>
      <c r="T353" s="85">
        <v>17.89</v>
      </c>
      <c r="U353" s="85">
        <v>23.82</v>
      </c>
      <c r="V353" s="85">
        <v>19.510000000000002</v>
      </c>
      <c r="W353" s="85">
        <v>23.06</v>
      </c>
      <c r="X353" s="85">
        <v>28.08</v>
      </c>
      <c r="Y353" s="85">
        <v>21.65</v>
      </c>
      <c r="Z353" s="85">
        <v>22.43</v>
      </c>
      <c r="AA353" s="85">
        <v>22.54</v>
      </c>
      <c r="AB353" s="85">
        <v>25.24</v>
      </c>
      <c r="AC353" s="85">
        <v>19.899999999999999</v>
      </c>
      <c r="AD353" s="85">
        <v>22.21</v>
      </c>
      <c r="AE353" s="47">
        <v>2515</v>
      </c>
      <c r="AF353" s="47">
        <v>870</v>
      </c>
      <c r="AG353" s="47">
        <v>1203</v>
      </c>
      <c r="AH353" s="47">
        <v>1700</v>
      </c>
      <c r="AI353" s="47">
        <v>3501</v>
      </c>
      <c r="AJ353" s="47">
        <v>11182</v>
      </c>
      <c r="AK353" s="47">
        <v>21352</v>
      </c>
      <c r="AL353" s="47">
        <v>14210</v>
      </c>
      <c r="AM353" s="47">
        <v>11994</v>
      </c>
      <c r="AN353" s="47">
        <v>13636</v>
      </c>
      <c r="AO353" s="47">
        <v>24010</v>
      </c>
      <c r="AP353" s="47">
        <v>22238</v>
      </c>
      <c r="AQ353" s="47">
        <v>25656</v>
      </c>
      <c r="AR353" s="47">
        <v>27405</v>
      </c>
      <c r="AS353" s="47"/>
      <c r="AT353" s="47"/>
      <c r="AU353" s="47"/>
      <c r="AV353" s="47"/>
      <c r="AW353" s="47"/>
      <c r="AX353" s="47"/>
      <c r="AY353" s="47"/>
      <c r="AZ353" s="47"/>
      <c r="BA353" s="47"/>
      <c r="BB353" s="47"/>
      <c r="BC353" s="47"/>
      <c r="BD353" s="47"/>
      <c r="BE353" s="47"/>
      <c r="BF353" s="47"/>
    </row>
    <row r="354" spans="1:58" hidden="1">
      <c r="A354" s="46" t="s">
        <v>284</v>
      </c>
      <c r="B354" s="46" t="s">
        <v>70</v>
      </c>
      <c r="C354" s="47">
        <v>2755</v>
      </c>
      <c r="D354" s="47">
        <v>2225</v>
      </c>
      <c r="E354" s="47">
        <v>2222</v>
      </c>
      <c r="F354" s="47">
        <v>1248</v>
      </c>
      <c r="G354" s="47">
        <v>1400</v>
      </c>
      <c r="H354" s="47">
        <v>3377</v>
      </c>
      <c r="I354" s="47">
        <v>3688</v>
      </c>
      <c r="J354" s="47">
        <v>3957</v>
      </c>
      <c r="K354" s="47">
        <v>2846</v>
      </c>
      <c r="L354" s="47">
        <v>2145</v>
      </c>
      <c r="M354" s="47">
        <v>2945</v>
      </c>
      <c r="N354" s="47">
        <v>2978</v>
      </c>
      <c r="O354" s="47">
        <v>2511</v>
      </c>
      <c r="P354" s="47">
        <v>3450</v>
      </c>
      <c r="Q354" s="85">
        <v>13.89</v>
      </c>
      <c r="R354" s="85">
        <v>16.350000000000001</v>
      </c>
      <c r="S354" s="85">
        <v>17.329999999999998</v>
      </c>
      <c r="T354" s="85">
        <v>19.61</v>
      </c>
      <c r="U354" s="85">
        <v>20.18</v>
      </c>
      <c r="V354" s="85">
        <v>17.059999999999999</v>
      </c>
      <c r="W354" s="85">
        <v>16</v>
      </c>
      <c r="X354" s="85">
        <v>18.440000000000001</v>
      </c>
      <c r="Y354" s="85">
        <v>16.27</v>
      </c>
      <c r="Z354" s="85">
        <v>19.48</v>
      </c>
      <c r="AA354" s="85">
        <v>16.37</v>
      </c>
      <c r="AB354" s="85">
        <v>18.829999999999998</v>
      </c>
      <c r="AC354" s="85">
        <v>17.22</v>
      </c>
      <c r="AD354" s="85">
        <v>22.59</v>
      </c>
      <c r="AE354" s="47">
        <v>38277</v>
      </c>
      <c r="AF354" s="47">
        <v>36381</v>
      </c>
      <c r="AG354" s="47">
        <v>38509</v>
      </c>
      <c r="AH354" s="47">
        <v>24472</v>
      </c>
      <c r="AI354" s="47">
        <v>28258</v>
      </c>
      <c r="AJ354" s="47">
        <v>57619</v>
      </c>
      <c r="AK354" s="47">
        <v>58990</v>
      </c>
      <c r="AL354" s="47">
        <v>72983</v>
      </c>
      <c r="AM354" s="47">
        <v>46315</v>
      </c>
      <c r="AN354" s="47">
        <v>41775</v>
      </c>
      <c r="AO354" s="47">
        <v>48200</v>
      </c>
      <c r="AP354" s="47">
        <v>56078</v>
      </c>
      <c r="AQ354" s="47">
        <v>43243</v>
      </c>
      <c r="AR354" s="47">
        <v>77926</v>
      </c>
      <c r="AS354" s="47"/>
      <c r="AT354" s="47"/>
      <c r="AU354" s="47"/>
      <c r="AV354" s="47"/>
      <c r="AW354" s="47"/>
      <c r="AX354" s="47"/>
      <c r="AY354" s="47"/>
      <c r="AZ354" s="47"/>
      <c r="BA354" s="47"/>
      <c r="BB354" s="47"/>
      <c r="BC354" s="47"/>
      <c r="BD354" s="47"/>
      <c r="BE354" s="47"/>
      <c r="BF354" s="47"/>
    </row>
    <row r="355" spans="1:58" hidden="1">
      <c r="A355" s="46" t="s">
        <v>284</v>
      </c>
      <c r="B355" s="46" t="s">
        <v>71</v>
      </c>
      <c r="C355" s="47">
        <v>141</v>
      </c>
      <c r="D355" s="47">
        <v>195</v>
      </c>
      <c r="E355" s="47">
        <v>542</v>
      </c>
      <c r="F355" s="47">
        <v>443</v>
      </c>
      <c r="G355" s="47">
        <v>558</v>
      </c>
      <c r="H355" s="47">
        <v>189</v>
      </c>
      <c r="I355" s="47">
        <v>210</v>
      </c>
      <c r="J355" s="47">
        <v>284</v>
      </c>
      <c r="K355" s="47">
        <v>157</v>
      </c>
      <c r="L355" s="47">
        <v>466</v>
      </c>
      <c r="M355" s="47">
        <v>356</v>
      </c>
      <c r="N355" s="47">
        <v>266</v>
      </c>
      <c r="O355" s="47">
        <v>199</v>
      </c>
      <c r="P355" s="47">
        <v>170</v>
      </c>
      <c r="Q355" s="85"/>
      <c r="R355" s="85"/>
      <c r="S355" s="85"/>
      <c r="T355" s="85"/>
      <c r="U355" s="85"/>
      <c r="V355" s="85"/>
      <c r="W355" s="85"/>
      <c r="X355" s="85"/>
      <c r="Y355" s="85"/>
      <c r="Z355" s="85"/>
      <c r="AA355" s="85"/>
      <c r="AB355" s="85"/>
      <c r="AC355" s="85"/>
      <c r="AD355" s="85"/>
      <c r="AE355" s="47">
        <v>1988</v>
      </c>
      <c r="AF355" s="47">
        <v>3297</v>
      </c>
      <c r="AG355" s="47">
        <v>7465</v>
      </c>
      <c r="AH355" s="47">
        <v>8851</v>
      </c>
      <c r="AI355" s="47">
        <v>10080</v>
      </c>
      <c r="AJ355" s="47">
        <v>3502</v>
      </c>
      <c r="AK355" s="47">
        <v>3523</v>
      </c>
      <c r="AL355" s="47">
        <v>5489</v>
      </c>
      <c r="AM355" s="47">
        <v>2727</v>
      </c>
      <c r="AN355" s="47">
        <v>8797</v>
      </c>
      <c r="AO355" s="47">
        <v>6290</v>
      </c>
      <c r="AP355" s="47">
        <v>5104</v>
      </c>
      <c r="AQ355" s="47">
        <v>3997</v>
      </c>
      <c r="AR355" s="47">
        <v>4012</v>
      </c>
      <c r="AS355" s="47"/>
      <c r="AT355" s="47"/>
      <c r="AU355" s="47"/>
      <c r="AV355" s="47"/>
      <c r="AW355" s="47"/>
      <c r="AX355" s="47"/>
      <c r="AY355" s="47"/>
      <c r="AZ355" s="47"/>
      <c r="BA355" s="47"/>
      <c r="BB355" s="47"/>
      <c r="BC355" s="47"/>
      <c r="BD355" s="47"/>
      <c r="BE355" s="47"/>
      <c r="BF355" s="47"/>
    </row>
    <row r="356" spans="1:58" hidden="1">
      <c r="A356" s="46" t="s">
        <v>284</v>
      </c>
      <c r="B356" s="46" t="s">
        <v>72</v>
      </c>
      <c r="C356" s="47">
        <v>101042</v>
      </c>
      <c r="D356" s="47">
        <v>104510</v>
      </c>
      <c r="E356" s="47">
        <v>101966</v>
      </c>
      <c r="F356" s="47">
        <v>107565</v>
      </c>
      <c r="G356" s="47">
        <v>90713</v>
      </c>
      <c r="H356" s="47">
        <v>99801</v>
      </c>
      <c r="I356" s="47">
        <v>104772</v>
      </c>
      <c r="J356" s="47">
        <v>113950</v>
      </c>
      <c r="K356" s="47">
        <v>126069</v>
      </c>
      <c r="L356" s="47">
        <v>103402</v>
      </c>
      <c r="M356" s="47">
        <v>127350</v>
      </c>
      <c r="N356" s="47">
        <v>111614</v>
      </c>
      <c r="O356" s="47">
        <v>149973</v>
      </c>
      <c r="P356" s="47">
        <v>158704</v>
      </c>
      <c r="Q356" s="85">
        <v>26.1</v>
      </c>
      <c r="R356" s="85">
        <v>30.76</v>
      </c>
      <c r="S356" s="85">
        <v>31.97</v>
      </c>
      <c r="T356" s="85">
        <v>26.57</v>
      </c>
      <c r="U356" s="85">
        <v>33.21</v>
      </c>
      <c r="V356" s="85">
        <v>28.35</v>
      </c>
      <c r="W356" s="85">
        <v>30.82</v>
      </c>
      <c r="X356" s="85">
        <v>36.299999999999997</v>
      </c>
      <c r="Y356" s="85">
        <v>25.81</v>
      </c>
      <c r="Z356" s="85">
        <v>29.19</v>
      </c>
      <c r="AA356" s="85">
        <v>25.62</v>
      </c>
      <c r="AB356" s="85">
        <v>33.04</v>
      </c>
      <c r="AC356" s="85">
        <v>28.05</v>
      </c>
      <c r="AD356" s="85">
        <v>28.98</v>
      </c>
      <c r="AE356" s="47">
        <v>2636703</v>
      </c>
      <c r="AF356" s="47">
        <v>3214978</v>
      </c>
      <c r="AG356" s="47">
        <v>3260170</v>
      </c>
      <c r="AH356" s="47">
        <v>2858493</v>
      </c>
      <c r="AI356" s="47">
        <v>3012869</v>
      </c>
      <c r="AJ356" s="47">
        <v>2829705</v>
      </c>
      <c r="AK356" s="47">
        <v>3229376</v>
      </c>
      <c r="AL356" s="47">
        <v>4136197</v>
      </c>
      <c r="AM356" s="47">
        <v>3253859</v>
      </c>
      <c r="AN356" s="47">
        <v>3018666</v>
      </c>
      <c r="AO356" s="47">
        <v>3262459</v>
      </c>
      <c r="AP356" s="47">
        <v>3687321</v>
      </c>
      <c r="AQ356" s="47">
        <v>4206080</v>
      </c>
      <c r="AR356" s="47">
        <v>4599942</v>
      </c>
      <c r="AS356" s="47"/>
      <c r="AT356" s="47"/>
      <c r="AU356" s="47"/>
      <c r="AV356" s="47"/>
      <c r="AW356" s="47"/>
      <c r="AX356" s="47"/>
      <c r="AY356" s="47"/>
      <c r="AZ356" s="47"/>
      <c r="BA356" s="47"/>
      <c r="BB356" s="47"/>
      <c r="BC356" s="47"/>
      <c r="BD356" s="47"/>
      <c r="BE356" s="47"/>
      <c r="BF356" s="47"/>
    </row>
    <row r="357" spans="1:58" hidden="1">
      <c r="A357" s="46" t="s">
        <v>284</v>
      </c>
      <c r="B357" s="46" t="s">
        <v>73</v>
      </c>
      <c r="C357" s="47">
        <v>0</v>
      </c>
      <c r="D357" s="47">
        <v>0</v>
      </c>
      <c r="E357" s="47">
        <v>0</v>
      </c>
      <c r="F357" s="47">
        <v>0</v>
      </c>
      <c r="G357" s="47">
        <v>0</v>
      </c>
      <c r="H357" s="47">
        <v>0</v>
      </c>
      <c r="I357" s="47">
        <v>0</v>
      </c>
      <c r="J357" s="47">
        <v>0</v>
      </c>
      <c r="K357" s="47">
        <v>0</v>
      </c>
      <c r="L357" s="47">
        <v>0</v>
      </c>
      <c r="M357" s="47">
        <v>0</v>
      </c>
      <c r="N357" s="47">
        <v>0</v>
      </c>
      <c r="O357" s="47">
        <v>0</v>
      </c>
      <c r="P357" s="47">
        <v>0</v>
      </c>
      <c r="Q357" s="85"/>
      <c r="R357" s="85"/>
      <c r="S357" s="85"/>
      <c r="T357" s="85"/>
      <c r="U357" s="85"/>
      <c r="V357" s="85"/>
      <c r="W357" s="85"/>
      <c r="X357" s="85"/>
      <c r="Y357" s="85"/>
      <c r="Z357" s="85"/>
      <c r="AA357" s="85"/>
      <c r="AB357" s="85"/>
      <c r="AC357" s="85"/>
      <c r="AD357" s="85"/>
      <c r="AE357" s="47">
        <v>0</v>
      </c>
      <c r="AF357" s="47">
        <v>0</v>
      </c>
      <c r="AG357" s="47">
        <v>0</v>
      </c>
      <c r="AH357" s="47">
        <v>0</v>
      </c>
      <c r="AI357" s="47">
        <v>0</v>
      </c>
      <c r="AJ357" s="47">
        <v>0</v>
      </c>
      <c r="AK357" s="47">
        <v>0</v>
      </c>
      <c r="AL357" s="47">
        <v>0</v>
      </c>
      <c r="AM357" s="47">
        <v>0</v>
      </c>
      <c r="AN357" s="47">
        <v>0</v>
      </c>
      <c r="AO357" s="47">
        <v>0</v>
      </c>
      <c r="AP357" s="47">
        <v>0</v>
      </c>
      <c r="AQ357" s="47">
        <v>0</v>
      </c>
      <c r="AR357" s="47">
        <v>0</v>
      </c>
      <c r="AS357" s="47"/>
      <c r="AT357" s="47"/>
      <c r="AU357" s="47"/>
      <c r="AV357" s="47"/>
      <c r="AW357" s="47"/>
      <c r="AX357" s="47"/>
      <c r="AY357" s="47"/>
      <c r="AZ357" s="47"/>
      <c r="BA357" s="47"/>
      <c r="BB357" s="47"/>
      <c r="BC357" s="47"/>
      <c r="BD357" s="47"/>
      <c r="BE357" s="47"/>
      <c r="BF357" s="47"/>
    </row>
    <row r="358" spans="1:58" hidden="1">
      <c r="A358" s="46" t="s">
        <v>284</v>
      </c>
      <c r="B358" s="46" t="s">
        <v>74</v>
      </c>
      <c r="C358" s="47">
        <v>6816</v>
      </c>
      <c r="D358" s="47">
        <v>4910</v>
      </c>
      <c r="E358" s="47">
        <v>3260</v>
      </c>
      <c r="F358" s="47">
        <v>2480</v>
      </c>
      <c r="G358" s="47">
        <v>4342</v>
      </c>
      <c r="H358" s="47">
        <v>4132</v>
      </c>
      <c r="I358" s="47">
        <v>5007</v>
      </c>
      <c r="J358" s="47">
        <v>6645</v>
      </c>
      <c r="K358" s="47">
        <v>6377</v>
      </c>
      <c r="L358" s="47">
        <v>5643</v>
      </c>
      <c r="M358" s="47">
        <v>5162</v>
      </c>
      <c r="N358" s="47">
        <v>6675</v>
      </c>
      <c r="O358" s="47">
        <v>6570</v>
      </c>
      <c r="P358" s="47">
        <v>9184</v>
      </c>
      <c r="Q358" s="85">
        <v>26.05</v>
      </c>
      <c r="R358" s="85">
        <v>24.09</v>
      </c>
      <c r="S358" s="85">
        <v>26.07</v>
      </c>
      <c r="T358" s="85">
        <v>21.4</v>
      </c>
      <c r="U358" s="85">
        <v>24.84</v>
      </c>
      <c r="V358" s="85">
        <v>21.06</v>
      </c>
      <c r="W358" s="85">
        <v>19.809999999999999</v>
      </c>
      <c r="X358" s="85">
        <v>28.22</v>
      </c>
      <c r="Y358" s="85">
        <v>26.25</v>
      </c>
      <c r="Z358" s="85">
        <v>28.68</v>
      </c>
      <c r="AA358" s="85">
        <v>16.29</v>
      </c>
      <c r="AB358" s="85">
        <v>23.74</v>
      </c>
      <c r="AC358" s="85">
        <v>25.07</v>
      </c>
      <c r="AD358" s="85">
        <v>28.1</v>
      </c>
      <c r="AE358" s="47">
        <v>177562</v>
      </c>
      <c r="AF358" s="47">
        <v>118280</v>
      </c>
      <c r="AG358" s="47">
        <v>84982</v>
      </c>
      <c r="AH358" s="47">
        <v>53084</v>
      </c>
      <c r="AI358" s="47">
        <v>107866</v>
      </c>
      <c r="AJ358" s="47">
        <v>87030</v>
      </c>
      <c r="AK358" s="47">
        <v>99186</v>
      </c>
      <c r="AL358" s="47">
        <v>187539</v>
      </c>
      <c r="AM358" s="47">
        <v>167416</v>
      </c>
      <c r="AN358" s="47">
        <v>161853</v>
      </c>
      <c r="AO358" s="47">
        <v>84094</v>
      </c>
      <c r="AP358" s="47">
        <v>158438</v>
      </c>
      <c r="AQ358" s="47">
        <v>164713</v>
      </c>
      <c r="AR358" s="47">
        <v>258028</v>
      </c>
      <c r="AS358" s="47"/>
      <c r="AT358" s="47"/>
      <c r="AU358" s="47"/>
      <c r="AV358" s="47"/>
      <c r="AW358" s="47"/>
      <c r="AX358" s="47"/>
      <c r="AY358" s="47"/>
      <c r="AZ358" s="47"/>
      <c r="BA358" s="47"/>
      <c r="BB358" s="47"/>
      <c r="BC358" s="47"/>
      <c r="BD358" s="47"/>
      <c r="BE358" s="47"/>
      <c r="BF358" s="47"/>
    </row>
    <row r="359" spans="1:58" hidden="1">
      <c r="A359" s="46" t="s">
        <v>284</v>
      </c>
      <c r="B359" s="46" t="s">
        <v>75</v>
      </c>
      <c r="C359" s="47">
        <v>1482</v>
      </c>
      <c r="D359" s="47">
        <v>1452</v>
      </c>
      <c r="E359" s="47">
        <v>1719</v>
      </c>
      <c r="F359" s="47">
        <v>1989</v>
      </c>
      <c r="G359" s="47">
        <v>2138</v>
      </c>
      <c r="H359" s="47">
        <v>2254</v>
      </c>
      <c r="I359" s="47">
        <v>2015</v>
      </c>
      <c r="J359" s="47">
        <v>2334</v>
      </c>
      <c r="K359" s="47">
        <v>2491</v>
      </c>
      <c r="L359" s="47">
        <v>2448</v>
      </c>
      <c r="M359" s="47">
        <v>2861</v>
      </c>
      <c r="N359" s="47">
        <v>2819</v>
      </c>
      <c r="O359" s="47">
        <v>1745</v>
      </c>
      <c r="P359" s="47">
        <v>1825</v>
      </c>
      <c r="Q359" s="85">
        <v>21.82</v>
      </c>
      <c r="R359" s="85">
        <v>19.84</v>
      </c>
      <c r="S359" s="85">
        <v>18.809999999999999</v>
      </c>
      <c r="T359" s="85">
        <v>14.47</v>
      </c>
      <c r="U359" s="85">
        <v>15.58</v>
      </c>
      <c r="V359" s="85">
        <v>19.63</v>
      </c>
      <c r="W359" s="85">
        <v>18.100000000000001</v>
      </c>
      <c r="X359" s="85">
        <v>25</v>
      </c>
      <c r="Y359" s="85">
        <v>23</v>
      </c>
      <c r="Z359" s="85">
        <v>17</v>
      </c>
      <c r="AA359" s="85">
        <v>16</v>
      </c>
      <c r="AB359" s="85">
        <v>27.7</v>
      </c>
      <c r="AC359" s="85">
        <v>14.37</v>
      </c>
      <c r="AD359" s="85">
        <v>30.88</v>
      </c>
      <c r="AE359" s="47">
        <v>32335</v>
      </c>
      <c r="AF359" s="47">
        <v>28807</v>
      </c>
      <c r="AG359" s="47">
        <v>32340</v>
      </c>
      <c r="AH359" s="47">
        <v>28785</v>
      </c>
      <c r="AI359" s="47">
        <v>33307</v>
      </c>
      <c r="AJ359" s="47">
        <v>44244</v>
      </c>
      <c r="AK359" s="47">
        <v>36480</v>
      </c>
      <c r="AL359" s="47">
        <v>58350</v>
      </c>
      <c r="AM359" s="47">
        <v>57293</v>
      </c>
      <c r="AN359" s="47">
        <v>41616</v>
      </c>
      <c r="AO359" s="47">
        <v>45776</v>
      </c>
      <c r="AP359" s="47">
        <v>78087</v>
      </c>
      <c r="AQ359" s="47">
        <v>25075</v>
      </c>
      <c r="AR359" s="47">
        <v>56357</v>
      </c>
      <c r="AS359" s="47"/>
      <c r="AT359" s="47"/>
      <c r="AU359" s="47"/>
      <c r="AV359" s="47"/>
      <c r="AW359" s="47"/>
      <c r="AX359" s="47"/>
      <c r="AY359" s="47"/>
      <c r="AZ359" s="47"/>
      <c r="BA359" s="47"/>
      <c r="BB359" s="47"/>
      <c r="BC359" s="47"/>
      <c r="BD359" s="47"/>
      <c r="BE359" s="47"/>
      <c r="BF359" s="47"/>
    </row>
    <row r="360" spans="1:58" hidden="1">
      <c r="A360" s="46" t="s">
        <v>284</v>
      </c>
      <c r="B360" s="46" t="s">
        <v>76</v>
      </c>
      <c r="C360" s="47">
        <v>226</v>
      </c>
      <c r="D360" s="47">
        <v>242</v>
      </c>
      <c r="E360" s="47">
        <v>250</v>
      </c>
      <c r="F360" s="47">
        <v>226</v>
      </c>
      <c r="G360" s="47">
        <v>256</v>
      </c>
      <c r="H360" s="47">
        <v>294</v>
      </c>
      <c r="I360" s="47">
        <v>314</v>
      </c>
      <c r="J360" s="47">
        <v>747</v>
      </c>
      <c r="K360" s="47">
        <v>1939</v>
      </c>
      <c r="L360" s="47">
        <v>1781</v>
      </c>
      <c r="M360" s="47">
        <v>1727</v>
      </c>
      <c r="N360" s="47">
        <v>2238</v>
      </c>
      <c r="O360" s="47">
        <v>1515</v>
      </c>
      <c r="P360" s="47">
        <v>1655</v>
      </c>
      <c r="Q360" s="85">
        <v>21.91</v>
      </c>
      <c r="R360" s="85">
        <v>24.43</v>
      </c>
      <c r="S360" s="85">
        <v>24.17</v>
      </c>
      <c r="T360" s="85">
        <v>23.35</v>
      </c>
      <c r="U360" s="85">
        <v>18</v>
      </c>
      <c r="V360" s="85">
        <v>16</v>
      </c>
      <c r="W360" s="85">
        <v>16.16</v>
      </c>
      <c r="X360" s="85">
        <v>11.37</v>
      </c>
      <c r="Y360" s="85">
        <v>14.17</v>
      </c>
      <c r="Z360" s="85">
        <v>18.399999999999999</v>
      </c>
      <c r="AA360" s="85">
        <v>15</v>
      </c>
      <c r="AB360" s="85">
        <v>6.1</v>
      </c>
      <c r="AC360" s="85">
        <v>14.43</v>
      </c>
      <c r="AD360" s="85">
        <v>11.4</v>
      </c>
      <c r="AE360" s="47">
        <v>4952</v>
      </c>
      <c r="AF360" s="47">
        <v>5913</v>
      </c>
      <c r="AG360" s="47">
        <v>6042</v>
      </c>
      <c r="AH360" s="47">
        <v>5277</v>
      </c>
      <c r="AI360" s="47">
        <v>4608</v>
      </c>
      <c r="AJ360" s="47">
        <v>4704</v>
      </c>
      <c r="AK360" s="47">
        <v>5074</v>
      </c>
      <c r="AL360" s="47">
        <v>8493</v>
      </c>
      <c r="AM360" s="47">
        <v>27479</v>
      </c>
      <c r="AN360" s="47">
        <v>32770</v>
      </c>
      <c r="AO360" s="47">
        <v>25905</v>
      </c>
      <c r="AP360" s="47">
        <v>13653</v>
      </c>
      <c r="AQ360" s="47">
        <v>21863</v>
      </c>
      <c r="AR360" s="47">
        <v>18870</v>
      </c>
      <c r="AS360" s="47"/>
      <c r="AT360" s="47"/>
      <c r="AU360" s="47"/>
      <c r="AV360" s="47"/>
      <c r="AW360" s="47"/>
      <c r="AX360" s="47"/>
      <c r="AY360" s="47"/>
      <c r="AZ360" s="47"/>
      <c r="BA360" s="47"/>
      <c r="BB360" s="47"/>
      <c r="BC360" s="47"/>
      <c r="BD360" s="47"/>
      <c r="BE360" s="47"/>
      <c r="BF360" s="47"/>
    </row>
    <row r="361" spans="1:58" hidden="1">
      <c r="A361" s="46" t="s">
        <v>284</v>
      </c>
      <c r="B361" s="46" t="s">
        <v>77</v>
      </c>
      <c r="C361" s="47">
        <v>8427</v>
      </c>
      <c r="D361" s="47">
        <v>6847</v>
      </c>
      <c r="E361" s="47">
        <v>4751</v>
      </c>
      <c r="F361" s="47">
        <v>3580</v>
      </c>
      <c r="G361" s="47">
        <v>4232</v>
      </c>
      <c r="H361" s="47">
        <v>4891</v>
      </c>
      <c r="I361" s="47">
        <v>6214</v>
      </c>
      <c r="J361" s="47">
        <v>6723</v>
      </c>
      <c r="K361" s="47">
        <v>5217</v>
      </c>
      <c r="L361" s="47">
        <v>5528</v>
      </c>
      <c r="M361" s="47">
        <v>6800</v>
      </c>
      <c r="N361" s="47">
        <v>4965</v>
      </c>
      <c r="O361" s="47">
        <v>3589</v>
      </c>
      <c r="P361" s="47">
        <v>5140</v>
      </c>
      <c r="Q361" s="85">
        <v>41.15</v>
      </c>
      <c r="R361" s="85">
        <v>31.67</v>
      </c>
      <c r="S361" s="85">
        <v>37.79</v>
      </c>
      <c r="T361" s="85">
        <v>44.09</v>
      </c>
      <c r="U361" s="85">
        <v>39.08</v>
      </c>
      <c r="V361" s="85">
        <v>41.8</v>
      </c>
      <c r="W361" s="85">
        <v>32.380000000000003</v>
      </c>
      <c r="X361" s="85">
        <v>38.51</v>
      </c>
      <c r="Y361" s="85">
        <v>37.729999999999997</v>
      </c>
      <c r="Z361" s="85">
        <v>42.77</v>
      </c>
      <c r="AA361" s="85">
        <v>27.85</v>
      </c>
      <c r="AB361" s="85">
        <v>33.54</v>
      </c>
      <c r="AC361" s="85">
        <v>34.549999999999997</v>
      </c>
      <c r="AD361" s="85">
        <v>32.69</v>
      </c>
      <c r="AE361" s="47">
        <v>346782</v>
      </c>
      <c r="AF361" s="47">
        <v>216831</v>
      </c>
      <c r="AG361" s="47">
        <v>179519</v>
      </c>
      <c r="AH361" s="47">
        <v>157845</v>
      </c>
      <c r="AI361" s="47">
        <v>165389</v>
      </c>
      <c r="AJ361" s="47">
        <v>204463</v>
      </c>
      <c r="AK361" s="47">
        <v>201191</v>
      </c>
      <c r="AL361" s="47">
        <v>258914</v>
      </c>
      <c r="AM361" s="47">
        <v>196822</v>
      </c>
      <c r="AN361" s="47">
        <v>236426</v>
      </c>
      <c r="AO361" s="47">
        <v>189352</v>
      </c>
      <c r="AP361" s="47">
        <v>166539</v>
      </c>
      <c r="AQ361" s="47">
        <v>124004</v>
      </c>
      <c r="AR361" s="47">
        <v>168048</v>
      </c>
      <c r="AS361" s="47"/>
      <c r="AT361" s="47"/>
      <c r="AU361" s="47"/>
      <c r="AV361" s="47"/>
      <c r="AW361" s="47"/>
      <c r="AX361" s="47"/>
      <c r="AY361" s="47"/>
      <c r="AZ361" s="47"/>
      <c r="BA361" s="47"/>
      <c r="BB361" s="47"/>
      <c r="BC361" s="47"/>
      <c r="BD361" s="47"/>
      <c r="BE361" s="47"/>
      <c r="BF361" s="47"/>
    </row>
    <row r="362" spans="1:58" hidden="1">
      <c r="A362" s="46" t="s">
        <v>284</v>
      </c>
      <c r="B362" s="46" t="s">
        <v>78</v>
      </c>
      <c r="C362" s="47">
        <v>6564</v>
      </c>
      <c r="D362" s="47">
        <v>5363</v>
      </c>
      <c r="E362" s="47">
        <v>3718</v>
      </c>
      <c r="F362" s="47">
        <v>2765</v>
      </c>
      <c r="G362" s="47">
        <v>3453</v>
      </c>
      <c r="H362" s="47">
        <v>4295</v>
      </c>
      <c r="I362" s="47">
        <v>5310</v>
      </c>
      <c r="J362" s="47">
        <v>5778</v>
      </c>
      <c r="K362" s="47">
        <v>4711</v>
      </c>
      <c r="L362" s="47">
        <v>4881</v>
      </c>
      <c r="M362" s="47">
        <v>5825</v>
      </c>
      <c r="N362" s="47">
        <v>6726</v>
      </c>
      <c r="O362" s="47">
        <v>6926</v>
      </c>
      <c r="P362" s="47">
        <v>7593</v>
      </c>
      <c r="Q362" s="85">
        <v>38.42</v>
      </c>
      <c r="R362" s="85">
        <v>31.93</v>
      </c>
      <c r="S362" s="85">
        <v>37.54</v>
      </c>
      <c r="T362" s="85">
        <v>41.68</v>
      </c>
      <c r="U362" s="85">
        <v>38.51</v>
      </c>
      <c r="V362" s="85">
        <v>43.13</v>
      </c>
      <c r="W362" s="85">
        <v>31.72</v>
      </c>
      <c r="X362" s="85">
        <v>38.159999999999997</v>
      </c>
      <c r="Y362" s="85">
        <v>38.83</v>
      </c>
      <c r="Z362" s="85">
        <v>41.4</v>
      </c>
      <c r="AA362" s="85">
        <v>29.83</v>
      </c>
      <c r="AB362" s="85">
        <v>43.41</v>
      </c>
      <c r="AC362" s="85">
        <v>38.47</v>
      </c>
      <c r="AD362" s="85">
        <v>39.89</v>
      </c>
      <c r="AE362" s="47">
        <v>252162</v>
      </c>
      <c r="AF362" s="47">
        <v>171219</v>
      </c>
      <c r="AG362" s="47">
        <v>139566</v>
      </c>
      <c r="AH362" s="47">
        <v>115245</v>
      </c>
      <c r="AI362" s="47">
        <v>132992</v>
      </c>
      <c r="AJ362" s="47">
        <v>185252</v>
      </c>
      <c r="AK362" s="47">
        <v>168438</v>
      </c>
      <c r="AL362" s="47">
        <v>220507</v>
      </c>
      <c r="AM362" s="47">
        <v>182951</v>
      </c>
      <c r="AN362" s="47">
        <v>202070</v>
      </c>
      <c r="AO362" s="47">
        <v>173754</v>
      </c>
      <c r="AP362" s="47">
        <v>291949</v>
      </c>
      <c r="AQ362" s="47">
        <v>266448</v>
      </c>
      <c r="AR362" s="47">
        <v>302879</v>
      </c>
      <c r="AS362" s="47"/>
      <c r="AT362" s="47"/>
      <c r="AU362" s="47"/>
      <c r="AV362" s="47"/>
      <c r="AW362" s="47"/>
      <c r="AX362" s="47"/>
      <c r="AY362" s="47"/>
      <c r="AZ362" s="47"/>
      <c r="BA362" s="47"/>
      <c r="BB362" s="47"/>
      <c r="BC362" s="47"/>
      <c r="BD362" s="47"/>
      <c r="BE362" s="47"/>
      <c r="BF362" s="47"/>
    </row>
    <row r="363" spans="1:58" hidden="1">
      <c r="A363" s="46" t="s">
        <v>284</v>
      </c>
      <c r="B363" s="46" t="s">
        <v>79</v>
      </c>
      <c r="C363" s="47">
        <v>0</v>
      </c>
      <c r="D363" s="47">
        <v>0</v>
      </c>
      <c r="E363" s="47">
        <v>0</v>
      </c>
      <c r="F363" s="47">
        <v>0</v>
      </c>
      <c r="G363" s="47">
        <v>0</v>
      </c>
      <c r="H363" s="47">
        <v>0</v>
      </c>
      <c r="I363" s="47">
        <v>0</v>
      </c>
      <c r="J363" s="47">
        <v>195</v>
      </c>
      <c r="K363" s="47">
        <v>389</v>
      </c>
      <c r="L363" s="47">
        <v>681</v>
      </c>
      <c r="M363" s="47">
        <v>370</v>
      </c>
      <c r="N363" s="47">
        <v>519</v>
      </c>
      <c r="O363" s="47">
        <v>463</v>
      </c>
      <c r="P363" s="47">
        <v>1500</v>
      </c>
      <c r="Q363" s="85"/>
      <c r="R363" s="85"/>
      <c r="S363" s="85"/>
      <c r="T363" s="85"/>
      <c r="U363" s="85"/>
      <c r="V363" s="85"/>
      <c r="W363" s="85"/>
      <c r="X363" s="85">
        <v>27.28</v>
      </c>
      <c r="Y363" s="85">
        <v>32.58</v>
      </c>
      <c r="Z363" s="85">
        <v>34</v>
      </c>
      <c r="AA363" s="85">
        <v>25</v>
      </c>
      <c r="AB363" s="85">
        <v>11.5</v>
      </c>
      <c r="AC363" s="85">
        <v>23.73</v>
      </c>
      <c r="AD363" s="85">
        <v>33.69</v>
      </c>
      <c r="AE363" s="47">
        <v>0</v>
      </c>
      <c r="AF363" s="47">
        <v>0</v>
      </c>
      <c r="AG363" s="47">
        <v>0</v>
      </c>
      <c r="AH363" s="47">
        <v>0</v>
      </c>
      <c r="AI363" s="47">
        <v>0</v>
      </c>
      <c r="AJ363" s="47">
        <v>0</v>
      </c>
      <c r="AK363" s="47">
        <v>0</v>
      </c>
      <c r="AL363" s="47">
        <v>5320</v>
      </c>
      <c r="AM363" s="47">
        <v>12673</v>
      </c>
      <c r="AN363" s="47">
        <v>23154</v>
      </c>
      <c r="AO363" s="47">
        <v>9250</v>
      </c>
      <c r="AP363" s="47">
        <v>5970</v>
      </c>
      <c r="AQ363" s="47">
        <v>10986</v>
      </c>
      <c r="AR363" s="47">
        <v>50537</v>
      </c>
      <c r="AS363" s="47"/>
      <c r="AT363" s="47"/>
      <c r="AU363" s="47"/>
      <c r="AV363" s="47"/>
      <c r="AW363" s="47"/>
      <c r="AX363" s="47"/>
      <c r="AY363" s="47"/>
      <c r="AZ363" s="47"/>
      <c r="BA363" s="47"/>
      <c r="BB363" s="47"/>
      <c r="BC363" s="47"/>
      <c r="BD363" s="47"/>
      <c r="BE363" s="47"/>
      <c r="BF363" s="47"/>
    </row>
    <row r="364" spans="1:58" hidden="1">
      <c r="A364" s="46" t="s">
        <v>284</v>
      </c>
      <c r="B364" s="46" t="s">
        <v>80</v>
      </c>
      <c r="C364" s="47">
        <v>1409</v>
      </c>
      <c r="D364" s="47">
        <v>685</v>
      </c>
      <c r="E364" s="47">
        <v>647</v>
      </c>
      <c r="F364" s="47">
        <v>905</v>
      </c>
      <c r="G364" s="47">
        <v>1086</v>
      </c>
      <c r="H364" s="47">
        <v>1803</v>
      </c>
      <c r="I364" s="47">
        <v>1958</v>
      </c>
      <c r="J364" s="47">
        <v>1200</v>
      </c>
      <c r="K364" s="47">
        <v>496</v>
      </c>
      <c r="L364" s="47">
        <v>576</v>
      </c>
      <c r="M364" s="47">
        <v>1355</v>
      </c>
      <c r="N364" s="47">
        <v>1867</v>
      </c>
      <c r="O364" s="47">
        <v>1220</v>
      </c>
      <c r="P364" s="47">
        <v>1135</v>
      </c>
      <c r="Q364" s="85">
        <v>21.55</v>
      </c>
      <c r="R364" s="85">
        <v>20</v>
      </c>
      <c r="S364" s="85">
        <v>20.53</v>
      </c>
      <c r="T364" s="85">
        <v>21.87</v>
      </c>
      <c r="U364" s="85">
        <v>24.81</v>
      </c>
      <c r="V364" s="85">
        <v>21.81</v>
      </c>
      <c r="W364" s="85">
        <v>20.77</v>
      </c>
      <c r="X364" s="85">
        <v>21.69</v>
      </c>
      <c r="Y364" s="85">
        <v>22.28</v>
      </c>
      <c r="Z364" s="85">
        <v>22.81</v>
      </c>
      <c r="AA364" s="85">
        <v>22.42</v>
      </c>
      <c r="AB364" s="85">
        <v>22.86</v>
      </c>
      <c r="AC364" s="85">
        <v>22.31</v>
      </c>
      <c r="AD364" s="85">
        <v>22.26</v>
      </c>
      <c r="AE364" s="47">
        <v>30370</v>
      </c>
      <c r="AF364" s="47">
        <v>13700</v>
      </c>
      <c r="AG364" s="47">
        <v>13283</v>
      </c>
      <c r="AH364" s="47">
        <v>19790</v>
      </c>
      <c r="AI364" s="47">
        <v>26942</v>
      </c>
      <c r="AJ364" s="47">
        <v>39332</v>
      </c>
      <c r="AK364" s="47">
        <v>40671</v>
      </c>
      <c r="AL364" s="47">
        <v>26029</v>
      </c>
      <c r="AM364" s="47">
        <v>11051</v>
      </c>
      <c r="AN364" s="47">
        <v>13137</v>
      </c>
      <c r="AO364" s="47">
        <v>30376</v>
      </c>
      <c r="AP364" s="47">
        <v>42675</v>
      </c>
      <c r="AQ364" s="47">
        <v>27213</v>
      </c>
      <c r="AR364" s="47">
        <v>25263</v>
      </c>
      <c r="AS364" s="47"/>
      <c r="AT364" s="47"/>
      <c r="AU364" s="47"/>
      <c r="AV364" s="47"/>
      <c r="AW364" s="47"/>
      <c r="AX364" s="47"/>
      <c r="AY364" s="47"/>
      <c r="AZ364" s="47"/>
      <c r="BA364" s="47"/>
      <c r="BB364" s="47"/>
      <c r="BC364" s="47"/>
      <c r="BD364" s="47"/>
      <c r="BE364" s="47"/>
      <c r="BF364" s="47"/>
    </row>
    <row r="365" spans="1:58" hidden="1">
      <c r="A365" s="46" t="s">
        <v>284</v>
      </c>
      <c r="B365" s="46" t="s">
        <v>81</v>
      </c>
      <c r="C365" s="47">
        <v>0</v>
      </c>
      <c r="D365" s="47">
        <v>0</v>
      </c>
      <c r="E365" s="47">
        <v>0</v>
      </c>
      <c r="F365" s="47">
        <v>0</v>
      </c>
      <c r="G365" s="47">
        <v>0</v>
      </c>
      <c r="H365" s="47">
        <v>0</v>
      </c>
      <c r="I365" s="47">
        <v>0</v>
      </c>
      <c r="J365" s="47">
        <v>0</v>
      </c>
      <c r="K365" s="47">
        <v>0</v>
      </c>
      <c r="L365" s="47">
        <v>0</v>
      </c>
      <c r="M365" s="47">
        <v>52</v>
      </c>
      <c r="N365" s="47">
        <v>58</v>
      </c>
      <c r="O365" s="47">
        <v>53</v>
      </c>
      <c r="P365" s="47">
        <v>48</v>
      </c>
      <c r="Q365" s="85"/>
      <c r="R365" s="85"/>
      <c r="S365" s="85"/>
      <c r="T365" s="85"/>
      <c r="U365" s="85"/>
      <c r="V365" s="85"/>
      <c r="W365" s="85"/>
      <c r="X365" s="85"/>
      <c r="Y365" s="85"/>
      <c r="Z365" s="85"/>
      <c r="AA365" s="85"/>
      <c r="AB365" s="85"/>
      <c r="AC365" s="85"/>
      <c r="AD365" s="85"/>
      <c r="AE365" s="47">
        <v>0</v>
      </c>
      <c r="AF365" s="47">
        <v>0</v>
      </c>
      <c r="AG365" s="47">
        <v>0</v>
      </c>
      <c r="AH365" s="47">
        <v>0</v>
      </c>
      <c r="AI365" s="47">
        <v>0</v>
      </c>
      <c r="AJ365" s="47">
        <v>0</v>
      </c>
      <c r="AK365" s="47">
        <v>0</v>
      </c>
      <c r="AL365" s="47">
        <v>0</v>
      </c>
      <c r="AM365" s="47">
        <v>0</v>
      </c>
      <c r="AN365" s="47">
        <v>0</v>
      </c>
      <c r="AO365" s="47">
        <v>1344</v>
      </c>
      <c r="AP365" s="47">
        <v>1565</v>
      </c>
      <c r="AQ365" s="47">
        <v>1359</v>
      </c>
      <c r="AR365" s="47">
        <v>1217</v>
      </c>
      <c r="AS365" s="47"/>
      <c r="AT365" s="47"/>
      <c r="AU365" s="47"/>
      <c r="AV365" s="47"/>
      <c r="AW365" s="47"/>
      <c r="AX365" s="47"/>
      <c r="AY365" s="47"/>
      <c r="AZ365" s="47"/>
      <c r="BA365" s="47"/>
      <c r="BB365" s="47"/>
      <c r="BC365" s="47"/>
      <c r="BD365" s="47"/>
      <c r="BE365" s="47"/>
      <c r="BF365" s="47"/>
    </row>
    <row r="366" spans="1:58" hidden="1">
      <c r="A366" s="46" t="s">
        <v>284</v>
      </c>
      <c r="B366" s="46" t="s">
        <v>82</v>
      </c>
      <c r="C366" s="47">
        <v>24924</v>
      </c>
      <c r="D366" s="47">
        <v>19499</v>
      </c>
      <c r="E366" s="47">
        <v>14345</v>
      </c>
      <c r="F366" s="47">
        <v>11945</v>
      </c>
      <c r="G366" s="47">
        <v>15507</v>
      </c>
      <c r="H366" s="47">
        <v>17669</v>
      </c>
      <c r="I366" s="47">
        <v>20818</v>
      </c>
      <c r="J366" s="47">
        <v>23622</v>
      </c>
      <c r="K366" s="47">
        <v>21620</v>
      </c>
      <c r="L366" s="47">
        <v>21538</v>
      </c>
      <c r="M366" s="47">
        <v>24152</v>
      </c>
      <c r="N366" s="47">
        <v>25867</v>
      </c>
      <c r="O366" s="47">
        <v>22081</v>
      </c>
      <c r="P366" s="47">
        <v>28080</v>
      </c>
      <c r="Q366" s="85">
        <v>33.869999999999997</v>
      </c>
      <c r="R366" s="85">
        <v>28.45</v>
      </c>
      <c r="S366" s="85">
        <v>31.77</v>
      </c>
      <c r="T366" s="85">
        <v>31.81</v>
      </c>
      <c r="U366" s="85">
        <v>30.38</v>
      </c>
      <c r="V366" s="85">
        <v>31.98</v>
      </c>
      <c r="W366" s="85">
        <v>26.47</v>
      </c>
      <c r="X366" s="85">
        <v>32.39</v>
      </c>
      <c r="Y366" s="85">
        <v>30.33</v>
      </c>
      <c r="Z366" s="85">
        <v>33.01</v>
      </c>
      <c r="AA366" s="85">
        <v>23.18</v>
      </c>
      <c r="AB366" s="85">
        <v>29.34</v>
      </c>
      <c r="AC366" s="85">
        <v>29.06</v>
      </c>
      <c r="AD366" s="85">
        <v>31.38</v>
      </c>
      <c r="AE366" s="47">
        <v>844163</v>
      </c>
      <c r="AF366" s="47">
        <v>554750</v>
      </c>
      <c r="AG366" s="47">
        <v>455732</v>
      </c>
      <c r="AH366" s="47">
        <v>380026</v>
      </c>
      <c r="AI366" s="47">
        <v>471104</v>
      </c>
      <c r="AJ366" s="47">
        <v>565025</v>
      </c>
      <c r="AK366" s="47">
        <v>551040</v>
      </c>
      <c r="AL366" s="47">
        <v>765152</v>
      </c>
      <c r="AM366" s="47">
        <v>655685</v>
      </c>
      <c r="AN366" s="47">
        <v>711026</v>
      </c>
      <c r="AO366" s="47">
        <v>559851</v>
      </c>
      <c r="AP366" s="47">
        <v>758876</v>
      </c>
      <c r="AQ366" s="47">
        <v>641661</v>
      </c>
      <c r="AR366" s="47">
        <v>881199</v>
      </c>
      <c r="AS366" s="47"/>
      <c r="AT366" s="47"/>
      <c r="AU366" s="47"/>
      <c r="AV366" s="47"/>
      <c r="AW366" s="47"/>
      <c r="AX366" s="47"/>
      <c r="AY366" s="47"/>
      <c r="AZ366" s="47"/>
      <c r="BA366" s="47"/>
      <c r="BB366" s="47"/>
      <c r="BC366" s="47"/>
      <c r="BD366" s="47"/>
      <c r="BE366" s="47"/>
      <c r="BF366" s="47"/>
    </row>
    <row r="367" spans="1:58" hidden="1">
      <c r="A367" s="46" t="s">
        <v>285</v>
      </c>
      <c r="B367" s="46" t="s">
        <v>251</v>
      </c>
      <c r="C367" s="47">
        <v>290350</v>
      </c>
      <c r="D367" s="47">
        <v>296500</v>
      </c>
      <c r="E367" s="47">
        <v>299500</v>
      </c>
      <c r="F367" s="47">
        <v>291680</v>
      </c>
      <c r="G367" s="47">
        <v>300089</v>
      </c>
      <c r="H367" s="47">
        <v>299600</v>
      </c>
      <c r="I367" s="47">
        <v>302700</v>
      </c>
      <c r="J367" s="47">
        <v>296900</v>
      </c>
      <c r="K367" s="47">
        <v>296250</v>
      </c>
      <c r="L367" s="47">
        <v>300905</v>
      </c>
      <c r="M367" s="47">
        <v>235005</v>
      </c>
      <c r="N367" s="47">
        <v>294765</v>
      </c>
      <c r="O367" s="47">
        <v>293184</v>
      </c>
      <c r="P367" s="47">
        <v>294627</v>
      </c>
      <c r="Q367" s="85">
        <v>71.239999999999995</v>
      </c>
      <c r="R367" s="85">
        <v>71.73</v>
      </c>
      <c r="S367" s="85">
        <v>68.75</v>
      </c>
      <c r="T367" s="85">
        <v>75.17</v>
      </c>
      <c r="U367" s="85">
        <v>75.349999999999994</v>
      </c>
      <c r="V367" s="85">
        <v>78.180000000000007</v>
      </c>
      <c r="W367" s="85">
        <v>69.08</v>
      </c>
      <c r="X367" s="85">
        <v>78.959999999999994</v>
      </c>
      <c r="Y367" s="85">
        <v>68.150000000000006</v>
      </c>
      <c r="Z367" s="85">
        <v>79.86</v>
      </c>
      <c r="AA367" s="85">
        <v>67.77</v>
      </c>
      <c r="AB367" s="85">
        <v>72.5</v>
      </c>
      <c r="AC367" s="85">
        <v>75.540000000000006</v>
      </c>
      <c r="AD367" s="85">
        <v>73.849999999999994</v>
      </c>
      <c r="AE367" s="47">
        <v>20685337</v>
      </c>
      <c r="AF367" s="47">
        <v>21267390</v>
      </c>
      <c r="AG367" s="47">
        <v>20591190</v>
      </c>
      <c r="AH367" s="47">
        <v>21926420</v>
      </c>
      <c r="AI367" s="47">
        <v>22612454</v>
      </c>
      <c r="AJ367" s="47">
        <v>23421600</v>
      </c>
      <c r="AK367" s="47">
        <v>20909100</v>
      </c>
      <c r="AL367" s="47">
        <v>23442470</v>
      </c>
      <c r="AM367" s="47">
        <v>20189005</v>
      </c>
      <c r="AN367" s="47">
        <v>24029150</v>
      </c>
      <c r="AO367" s="47">
        <v>15927200</v>
      </c>
      <c r="AP367" s="47">
        <v>21369770</v>
      </c>
      <c r="AQ367" s="47">
        <v>22148297</v>
      </c>
      <c r="AR367" s="47">
        <v>21759412</v>
      </c>
      <c r="AS367" s="47"/>
      <c r="AT367" s="47"/>
      <c r="AU367" s="47"/>
      <c r="AV367" s="47"/>
      <c r="AW367" s="47"/>
      <c r="AX367" s="47"/>
      <c r="AY367" s="47"/>
      <c r="AZ367" s="47"/>
      <c r="BA367" s="47"/>
      <c r="BB367" s="47"/>
      <c r="BC367" s="47"/>
      <c r="BD367" s="47"/>
      <c r="BE367" s="47"/>
      <c r="BF367" s="47"/>
    </row>
    <row r="368" spans="1:58" hidden="1">
      <c r="A368" s="46" t="s">
        <v>285</v>
      </c>
      <c r="B368" s="46" t="s">
        <v>252</v>
      </c>
      <c r="C368" s="47">
        <v>1714</v>
      </c>
      <c r="D368" s="47">
        <v>1078</v>
      </c>
      <c r="E368" s="47">
        <v>750</v>
      </c>
      <c r="F368" s="47">
        <v>1050</v>
      </c>
      <c r="G368" s="47">
        <v>717</v>
      </c>
      <c r="H368" s="47">
        <v>860</v>
      </c>
      <c r="I368" s="47">
        <v>790</v>
      </c>
      <c r="J368" s="47">
        <v>760</v>
      </c>
      <c r="K368" s="47">
        <v>900</v>
      </c>
      <c r="L368" s="47">
        <v>685</v>
      </c>
      <c r="M368" s="47">
        <v>2655</v>
      </c>
      <c r="N368" s="47">
        <v>1550</v>
      </c>
      <c r="O368" s="47">
        <v>1417</v>
      </c>
      <c r="P368" s="47">
        <v>1006</v>
      </c>
      <c r="Q368" s="85">
        <v>67.22</v>
      </c>
      <c r="R368" s="85">
        <v>69.349999999999994</v>
      </c>
      <c r="S368" s="85">
        <v>66.67</v>
      </c>
      <c r="T368" s="85">
        <v>69.459999999999994</v>
      </c>
      <c r="U368" s="85">
        <v>69.39</v>
      </c>
      <c r="V368" s="85">
        <v>70.05</v>
      </c>
      <c r="W368" s="85">
        <v>64.33</v>
      </c>
      <c r="X368" s="85">
        <v>71.45</v>
      </c>
      <c r="Y368" s="85">
        <v>64.44</v>
      </c>
      <c r="Z368" s="85">
        <v>71.819999999999993</v>
      </c>
      <c r="AA368" s="85">
        <v>63.88</v>
      </c>
      <c r="AB368" s="85">
        <v>70.540000000000006</v>
      </c>
      <c r="AC368" s="85">
        <v>75.11</v>
      </c>
      <c r="AD368" s="85">
        <v>72.38</v>
      </c>
      <c r="AE368" s="47">
        <v>115214</v>
      </c>
      <c r="AF368" s="47">
        <v>74760</v>
      </c>
      <c r="AG368" s="47">
        <v>50000</v>
      </c>
      <c r="AH368" s="47">
        <v>72930</v>
      </c>
      <c r="AI368" s="47">
        <v>49755</v>
      </c>
      <c r="AJ368" s="47">
        <v>60240</v>
      </c>
      <c r="AK368" s="47">
        <v>50818</v>
      </c>
      <c r="AL368" s="47">
        <v>54300</v>
      </c>
      <c r="AM368" s="47">
        <v>58000</v>
      </c>
      <c r="AN368" s="47">
        <v>49200</v>
      </c>
      <c r="AO368" s="47">
        <v>169600</v>
      </c>
      <c r="AP368" s="47">
        <v>109340</v>
      </c>
      <c r="AQ368" s="47">
        <v>106433</v>
      </c>
      <c r="AR368" s="47">
        <v>72816</v>
      </c>
      <c r="AS368" s="47"/>
      <c r="AT368" s="47"/>
      <c r="AU368" s="47"/>
      <c r="AV368" s="47"/>
      <c r="AW368" s="47"/>
      <c r="AX368" s="47"/>
      <c r="AY368" s="47"/>
      <c r="AZ368" s="47"/>
      <c r="BA368" s="47"/>
      <c r="BB368" s="47"/>
      <c r="BC368" s="47"/>
      <c r="BD368" s="47"/>
      <c r="BE368" s="47"/>
      <c r="BF368" s="47"/>
    </row>
    <row r="369" spans="1:58" hidden="1">
      <c r="A369" s="46" t="s">
        <v>285</v>
      </c>
      <c r="B369" s="46" t="s">
        <v>253</v>
      </c>
      <c r="C369" s="47">
        <v>292064</v>
      </c>
      <c r="D369" s="47">
        <v>297578</v>
      </c>
      <c r="E369" s="47">
        <v>300250</v>
      </c>
      <c r="F369" s="47">
        <v>292730</v>
      </c>
      <c r="G369" s="47">
        <v>300806</v>
      </c>
      <c r="H369" s="47">
        <v>300460</v>
      </c>
      <c r="I369" s="47">
        <v>303490</v>
      </c>
      <c r="J369" s="47">
        <v>297660</v>
      </c>
      <c r="K369" s="47">
        <v>297150</v>
      </c>
      <c r="L369" s="47">
        <v>301590</v>
      </c>
      <c r="M369" s="47">
        <v>237660</v>
      </c>
      <c r="N369" s="47">
        <v>296315</v>
      </c>
      <c r="O369" s="47">
        <v>294601</v>
      </c>
      <c r="P369" s="47">
        <v>295633</v>
      </c>
      <c r="Q369" s="85">
        <v>71.22</v>
      </c>
      <c r="R369" s="85">
        <v>71.72</v>
      </c>
      <c r="S369" s="85">
        <v>68.75</v>
      </c>
      <c r="T369" s="85">
        <v>75.150000000000006</v>
      </c>
      <c r="U369" s="85">
        <v>75.34</v>
      </c>
      <c r="V369" s="85">
        <v>78.150000000000006</v>
      </c>
      <c r="W369" s="85">
        <v>69.06</v>
      </c>
      <c r="X369" s="85">
        <v>78.94</v>
      </c>
      <c r="Y369" s="85">
        <v>68.14</v>
      </c>
      <c r="Z369" s="85">
        <v>79.84</v>
      </c>
      <c r="AA369" s="85">
        <v>67.73</v>
      </c>
      <c r="AB369" s="85">
        <v>72.489999999999995</v>
      </c>
      <c r="AC369" s="85">
        <v>75.540000000000006</v>
      </c>
      <c r="AD369" s="85">
        <v>73.849999999999994</v>
      </c>
      <c r="AE369" s="47">
        <v>20800551</v>
      </c>
      <c r="AF369" s="47">
        <v>21342150</v>
      </c>
      <c r="AG369" s="47">
        <v>20641190</v>
      </c>
      <c r="AH369" s="47">
        <v>21999350</v>
      </c>
      <c r="AI369" s="47">
        <v>22662209</v>
      </c>
      <c r="AJ369" s="47">
        <v>23481840</v>
      </c>
      <c r="AK369" s="47">
        <v>20959918</v>
      </c>
      <c r="AL369" s="47">
        <v>23496770</v>
      </c>
      <c r="AM369" s="47">
        <v>20247005</v>
      </c>
      <c r="AN369" s="47">
        <v>24078350</v>
      </c>
      <c r="AO369" s="47">
        <v>16096800</v>
      </c>
      <c r="AP369" s="47">
        <v>21479110</v>
      </c>
      <c r="AQ369" s="47">
        <v>22254730</v>
      </c>
      <c r="AR369" s="47">
        <v>21832228</v>
      </c>
      <c r="AS369" s="47"/>
      <c r="AT369" s="47"/>
      <c r="AU369" s="47"/>
      <c r="AV369" s="47"/>
      <c r="AW369" s="47"/>
      <c r="AX369" s="47"/>
      <c r="AY369" s="47"/>
      <c r="AZ369" s="47"/>
      <c r="BA369" s="47"/>
      <c r="BB369" s="47"/>
      <c r="BC369" s="47"/>
      <c r="BD369" s="47"/>
      <c r="BE369" s="47"/>
      <c r="BF369" s="47"/>
    </row>
    <row r="370" spans="1:58" hidden="1">
      <c r="A370" s="46" t="s">
        <v>285</v>
      </c>
      <c r="B370" s="46" t="s">
        <v>254</v>
      </c>
      <c r="C370" s="47">
        <v>0</v>
      </c>
      <c r="D370" s="47">
        <v>0</v>
      </c>
      <c r="E370" s="47">
        <v>0</v>
      </c>
      <c r="F370" s="47">
        <v>0</v>
      </c>
      <c r="G370" s="47">
        <v>0</v>
      </c>
      <c r="H370" s="47">
        <v>0</v>
      </c>
      <c r="I370" s="47">
        <v>0</v>
      </c>
      <c r="J370" s="47">
        <v>0</v>
      </c>
      <c r="K370" s="47">
        <v>0</v>
      </c>
      <c r="L370" s="47">
        <v>635</v>
      </c>
      <c r="M370" s="47">
        <v>417</v>
      </c>
      <c r="N370" s="47">
        <v>605</v>
      </c>
      <c r="O370" s="47">
        <v>347</v>
      </c>
      <c r="P370" s="47">
        <v>702</v>
      </c>
      <c r="Q370" s="85"/>
      <c r="R370" s="85"/>
      <c r="S370" s="85"/>
      <c r="T370" s="85"/>
      <c r="U370" s="85"/>
      <c r="V370" s="85"/>
      <c r="W370" s="85"/>
      <c r="X370" s="85"/>
      <c r="Y370" s="85"/>
      <c r="Z370" s="85">
        <v>51</v>
      </c>
      <c r="AA370" s="85">
        <v>46.43</v>
      </c>
      <c r="AB370" s="85">
        <v>39.619999999999997</v>
      </c>
      <c r="AC370" s="85">
        <v>45.41</v>
      </c>
      <c r="AD370" s="85">
        <v>43.6</v>
      </c>
      <c r="AE370" s="47">
        <v>0</v>
      </c>
      <c r="AF370" s="47">
        <v>0</v>
      </c>
      <c r="AG370" s="47">
        <v>0</v>
      </c>
      <c r="AH370" s="47">
        <v>0</v>
      </c>
      <c r="AI370" s="47">
        <v>0</v>
      </c>
      <c r="AJ370" s="47">
        <v>0</v>
      </c>
      <c r="AK370" s="47">
        <v>0</v>
      </c>
      <c r="AL370" s="47">
        <v>0</v>
      </c>
      <c r="AM370" s="47">
        <v>0</v>
      </c>
      <c r="AN370" s="47">
        <v>32385</v>
      </c>
      <c r="AO370" s="47">
        <v>19360</v>
      </c>
      <c r="AP370" s="47">
        <v>23970</v>
      </c>
      <c r="AQ370" s="47">
        <v>15757</v>
      </c>
      <c r="AR370" s="47">
        <v>30606</v>
      </c>
      <c r="AS370" s="47"/>
      <c r="AT370" s="47"/>
      <c r="AU370" s="47"/>
      <c r="AV370" s="47"/>
      <c r="AW370" s="47"/>
      <c r="AX370" s="47"/>
      <c r="AY370" s="47"/>
      <c r="AZ370" s="47"/>
      <c r="BA370" s="47"/>
      <c r="BB370" s="47"/>
      <c r="BC370" s="47"/>
      <c r="BD370" s="47"/>
      <c r="BE370" s="47"/>
      <c r="BF370" s="47"/>
    </row>
    <row r="371" spans="1:58" hidden="1">
      <c r="A371" s="46" t="s">
        <v>285</v>
      </c>
      <c r="B371" s="46" t="s">
        <v>255</v>
      </c>
      <c r="C371" s="47">
        <v>0</v>
      </c>
      <c r="D371" s="47">
        <v>0</v>
      </c>
      <c r="E371" s="47">
        <v>0</v>
      </c>
      <c r="F371" s="47">
        <v>0</v>
      </c>
      <c r="G371" s="47">
        <v>0</v>
      </c>
      <c r="H371" s="47">
        <v>0</v>
      </c>
      <c r="I371" s="47">
        <v>0</v>
      </c>
      <c r="J371" s="47">
        <v>0</v>
      </c>
      <c r="K371" s="47">
        <v>0</v>
      </c>
      <c r="L371" s="47">
        <v>33</v>
      </c>
      <c r="M371" s="47">
        <v>99</v>
      </c>
      <c r="N371" s="47">
        <v>65</v>
      </c>
      <c r="O371" s="47">
        <v>90</v>
      </c>
      <c r="P371" s="47">
        <v>25</v>
      </c>
      <c r="Q371" s="85"/>
      <c r="R371" s="85"/>
      <c r="S371" s="85"/>
      <c r="T371" s="85"/>
      <c r="U371" s="85"/>
      <c r="V371" s="85"/>
      <c r="W371" s="85"/>
      <c r="X371" s="85"/>
      <c r="Y371" s="85"/>
      <c r="Z371" s="85">
        <v>51</v>
      </c>
      <c r="AA371" s="85">
        <v>47.98</v>
      </c>
      <c r="AB371" s="85">
        <v>38</v>
      </c>
      <c r="AC371" s="85">
        <v>40.49</v>
      </c>
      <c r="AD371" s="85">
        <v>41.04</v>
      </c>
      <c r="AE371" s="47">
        <v>0</v>
      </c>
      <c r="AF371" s="47">
        <v>0</v>
      </c>
      <c r="AG371" s="47">
        <v>0</v>
      </c>
      <c r="AH371" s="47">
        <v>0</v>
      </c>
      <c r="AI371" s="47">
        <v>0</v>
      </c>
      <c r="AJ371" s="47">
        <v>0</v>
      </c>
      <c r="AK371" s="47">
        <v>0</v>
      </c>
      <c r="AL371" s="47">
        <v>0</v>
      </c>
      <c r="AM371" s="47">
        <v>0</v>
      </c>
      <c r="AN371" s="47">
        <v>1683</v>
      </c>
      <c r="AO371" s="47">
        <v>4750</v>
      </c>
      <c r="AP371" s="47">
        <v>2470</v>
      </c>
      <c r="AQ371" s="47">
        <v>3644</v>
      </c>
      <c r="AR371" s="47">
        <v>1026</v>
      </c>
      <c r="AS371" s="47"/>
      <c r="AT371" s="47"/>
      <c r="AU371" s="47"/>
      <c r="AV371" s="47"/>
      <c r="AW371" s="47"/>
      <c r="AX371" s="47"/>
      <c r="AY371" s="47"/>
      <c r="AZ371" s="47"/>
      <c r="BA371" s="47"/>
      <c r="BB371" s="47"/>
      <c r="BC371" s="47"/>
      <c r="BD371" s="47"/>
      <c r="BE371" s="47"/>
      <c r="BF371" s="47"/>
    </row>
    <row r="372" spans="1:58" hidden="1">
      <c r="A372" s="46" t="s">
        <v>285</v>
      </c>
      <c r="B372" s="46" t="s">
        <v>256</v>
      </c>
      <c r="C372" s="47">
        <v>0</v>
      </c>
      <c r="D372" s="47">
        <v>0</v>
      </c>
      <c r="E372" s="47">
        <v>0</v>
      </c>
      <c r="F372" s="47">
        <v>0</v>
      </c>
      <c r="G372" s="47">
        <v>0</v>
      </c>
      <c r="H372" s="47">
        <v>0</v>
      </c>
      <c r="I372" s="47">
        <v>0</v>
      </c>
      <c r="J372" s="47">
        <v>0</v>
      </c>
      <c r="K372" s="47">
        <v>0</v>
      </c>
      <c r="L372" s="47">
        <v>668</v>
      </c>
      <c r="M372" s="47">
        <v>516</v>
      </c>
      <c r="N372" s="47">
        <v>670</v>
      </c>
      <c r="O372" s="47">
        <v>437</v>
      </c>
      <c r="P372" s="47">
        <v>727</v>
      </c>
      <c r="Q372" s="85"/>
      <c r="R372" s="85"/>
      <c r="S372" s="85"/>
      <c r="T372" s="85"/>
      <c r="U372" s="85"/>
      <c r="V372" s="85"/>
      <c r="W372" s="85"/>
      <c r="X372" s="85"/>
      <c r="Y372" s="85"/>
      <c r="Z372" s="85">
        <v>51</v>
      </c>
      <c r="AA372" s="85">
        <v>46.72</v>
      </c>
      <c r="AB372" s="85">
        <v>39.46</v>
      </c>
      <c r="AC372" s="85">
        <v>44.4</v>
      </c>
      <c r="AD372" s="85">
        <v>43.51</v>
      </c>
      <c r="AE372" s="47">
        <v>0</v>
      </c>
      <c r="AF372" s="47">
        <v>0</v>
      </c>
      <c r="AG372" s="47">
        <v>0</v>
      </c>
      <c r="AH372" s="47">
        <v>0</v>
      </c>
      <c r="AI372" s="47">
        <v>0</v>
      </c>
      <c r="AJ372" s="47">
        <v>0</v>
      </c>
      <c r="AK372" s="47">
        <v>0</v>
      </c>
      <c r="AL372" s="47">
        <v>0</v>
      </c>
      <c r="AM372" s="47">
        <v>0</v>
      </c>
      <c r="AN372" s="47">
        <v>34068</v>
      </c>
      <c r="AO372" s="47">
        <v>24110</v>
      </c>
      <c r="AP372" s="47">
        <v>26440</v>
      </c>
      <c r="AQ372" s="47">
        <v>19401</v>
      </c>
      <c r="AR372" s="47">
        <v>31632</v>
      </c>
      <c r="AS372" s="47"/>
      <c r="AT372" s="47"/>
      <c r="AU372" s="47"/>
      <c r="AV372" s="47"/>
      <c r="AW372" s="47"/>
      <c r="AX372" s="47"/>
      <c r="AY372" s="47"/>
      <c r="AZ372" s="47"/>
      <c r="BA372" s="47"/>
      <c r="BB372" s="47"/>
      <c r="BC372" s="47"/>
      <c r="BD372" s="47"/>
      <c r="BE372" s="47"/>
      <c r="BF372" s="47"/>
    </row>
    <row r="373" spans="1:58" hidden="1">
      <c r="A373" s="46" t="s">
        <v>285</v>
      </c>
      <c r="B373" s="46" t="s">
        <v>257</v>
      </c>
      <c r="C373" s="47">
        <v>471</v>
      </c>
      <c r="D373" s="47">
        <v>438</v>
      </c>
      <c r="E373" s="47">
        <v>450</v>
      </c>
      <c r="F373" s="47">
        <v>247</v>
      </c>
      <c r="G373" s="47">
        <v>347</v>
      </c>
      <c r="H373" s="47">
        <v>378</v>
      </c>
      <c r="I373" s="47">
        <v>365</v>
      </c>
      <c r="J373" s="47">
        <v>430</v>
      </c>
      <c r="K373" s="47">
        <v>486</v>
      </c>
      <c r="L373" s="47">
        <v>709</v>
      </c>
      <c r="M373" s="47">
        <v>737</v>
      </c>
      <c r="N373" s="47">
        <v>1142</v>
      </c>
      <c r="O373" s="47">
        <v>1210</v>
      </c>
      <c r="P373" s="47">
        <v>1319</v>
      </c>
      <c r="Q373" s="85">
        <v>40</v>
      </c>
      <c r="R373" s="85">
        <v>43.34</v>
      </c>
      <c r="S373" s="85">
        <v>41.33</v>
      </c>
      <c r="T373" s="85">
        <v>46.73</v>
      </c>
      <c r="U373" s="85">
        <v>48.05</v>
      </c>
      <c r="V373" s="85">
        <v>50.05</v>
      </c>
      <c r="W373" s="85">
        <v>45.25</v>
      </c>
      <c r="X373" s="85">
        <v>45.7</v>
      </c>
      <c r="Y373" s="85">
        <v>39.36</v>
      </c>
      <c r="Z373" s="85">
        <v>45.75</v>
      </c>
      <c r="AA373" s="85">
        <v>37.96</v>
      </c>
      <c r="AB373" s="85">
        <v>30.81</v>
      </c>
      <c r="AC373" s="85">
        <v>36.049999999999997</v>
      </c>
      <c r="AD373" s="85">
        <v>37.61</v>
      </c>
      <c r="AE373" s="47">
        <v>18840</v>
      </c>
      <c r="AF373" s="47">
        <v>18984</v>
      </c>
      <c r="AG373" s="47">
        <v>18600</v>
      </c>
      <c r="AH373" s="47">
        <v>11543</v>
      </c>
      <c r="AI373" s="47">
        <v>16673</v>
      </c>
      <c r="AJ373" s="47">
        <v>18918</v>
      </c>
      <c r="AK373" s="47">
        <v>16515</v>
      </c>
      <c r="AL373" s="47">
        <v>19650</v>
      </c>
      <c r="AM373" s="47">
        <v>19129</v>
      </c>
      <c r="AN373" s="47">
        <v>32440</v>
      </c>
      <c r="AO373" s="47">
        <v>27975</v>
      </c>
      <c r="AP373" s="47">
        <v>35180</v>
      </c>
      <c r="AQ373" s="47">
        <v>43623</v>
      </c>
      <c r="AR373" s="47">
        <v>49613</v>
      </c>
      <c r="AS373" s="47"/>
      <c r="AT373" s="47"/>
      <c r="AU373" s="47"/>
      <c r="AV373" s="47"/>
      <c r="AW373" s="47"/>
      <c r="AX373" s="47"/>
      <c r="AY373" s="47"/>
      <c r="AZ373" s="47"/>
      <c r="BA373" s="47"/>
      <c r="BB373" s="47"/>
      <c r="BC373" s="47"/>
      <c r="BD373" s="47"/>
      <c r="BE373" s="47"/>
      <c r="BF373" s="47"/>
    </row>
    <row r="374" spans="1:58" hidden="1">
      <c r="A374" s="46" t="s">
        <v>285</v>
      </c>
      <c r="B374" s="46" t="s">
        <v>258</v>
      </c>
      <c r="C374" s="47">
        <v>68717</v>
      </c>
      <c r="D374" s="47">
        <v>64404</v>
      </c>
      <c r="E374" s="47">
        <v>62820</v>
      </c>
      <c r="F374" s="47">
        <v>64935</v>
      </c>
      <c r="G374" s="47">
        <v>71428</v>
      </c>
      <c r="H374" s="47">
        <v>91750</v>
      </c>
      <c r="I374" s="47">
        <v>109200</v>
      </c>
      <c r="J374" s="47">
        <v>99700</v>
      </c>
      <c r="K374" s="47">
        <v>87552</v>
      </c>
      <c r="L374" s="47">
        <v>87170</v>
      </c>
      <c r="M374" s="47">
        <v>71220</v>
      </c>
      <c r="N374" s="47">
        <v>76085</v>
      </c>
      <c r="O374" s="47">
        <v>80828</v>
      </c>
      <c r="P374" s="47">
        <v>77291</v>
      </c>
      <c r="Q374" s="85">
        <v>64.8</v>
      </c>
      <c r="R374" s="85">
        <v>64.64</v>
      </c>
      <c r="S374" s="85">
        <v>66.55</v>
      </c>
      <c r="T374" s="85">
        <v>72.290000000000006</v>
      </c>
      <c r="U374" s="85">
        <v>74.08</v>
      </c>
      <c r="V374" s="85">
        <v>76.64</v>
      </c>
      <c r="W374" s="85">
        <v>65.8</v>
      </c>
      <c r="X374" s="85">
        <v>69.58</v>
      </c>
      <c r="Y374" s="85">
        <v>66.25</v>
      </c>
      <c r="Z374" s="85">
        <v>72.959999999999994</v>
      </c>
      <c r="AA374" s="85">
        <v>62.3</v>
      </c>
      <c r="AB374" s="85">
        <v>69</v>
      </c>
      <c r="AC374" s="85">
        <v>69.63</v>
      </c>
      <c r="AD374" s="85">
        <v>71.86</v>
      </c>
      <c r="AE374" s="47">
        <v>4452865</v>
      </c>
      <c r="AF374" s="47">
        <v>4162853</v>
      </c>
      <c r="AG374" s="47">
        <v>4180780</v>
      </c>
      <c r="AH374" s="47">
        <v>4694005</v>
      </c>
      <c r="AI374" s="47">
        <v>5291315</v>
      </c>
      <c r="AJ374" s="47">
        <v>7031700</v>
      </c>
      <c r="AK374" s="47">
        <v>7185500</v>
      </c>
      <c r="AL374" s="47">
        <v>6937190</v>
      </c>
      <c r="AM374" s="47">
        <v>5800475</v>
      </c>
      <c r="AN374" s="47">
        <v>6360100</v>
      </c>
      <c r="AO374" s="47">
        <v>4436700</v>
      </c>
      <c r="AP374" s="47">
        <v>5249680</v>
      </c>
      <c r="AQ374" s="47">
        <v>5628157</v>
      </c>
      <c r="AR374" s="47">
        <v>5553772</v>
      </c>
      <c r="AS374" s="47"/>
      <c r="AT374" s="47"/>
      <c r="AU374" s="47"/>
      <c r="AV374" s="47"/>
      <c r="AW374" s="47"/>
      <c r="AX374" s="47"/>
      <c r="AY374" s="47"/>
      <c r="AZ374" s="47"/>
      <c r="BA374" s="47"/>
      <c r="BB374" s="47"/>
      <c r="BC374" s="47"/>
      <c r="BD374" s="47"/>
      <c r="BE374" s="47"/>
      <c r="BF374" s="47"/>
    </row>
    <row r="375" spans="1:58" hidden="1">
      <c r="A375" s="46" t="s">
        <v>285</v>
      </c>
      <c r="B375" s="46" t="s">
        <v>259</v>
      </c>
      <c r="C375" s="47">
        <v>7192</v>
      </c>
      <c r="D375" s="47">
        <v>5090</v>
      </c>
      <c r="E375" s="47">
        <v>3170</v>
      </c>
      <c r="F375" s="47">
        <v>7810</v>
      </c>
      <c r="G375" s="47">
        <v>6107</v>
      </c>
      <c r="H375" s="47">
        <v>9715</v>
      </c>
      <c r="I375" s="47">
        <v>9795</v>
      </c>
      <c r="J375" s="47">
        <v>9020</v>
      </c>
      <c r="K375" s="47">
        <v>8849</v>
      </c>
      <c r="L375" s="47">
        <v>8640</v>
      </c>
      <c r="M375" s="47">
        <v>36197</v>
      </c>
      <c r="N375" s="47">
        <v>18275</v>
      </c>
      <c r="O375" s="47">
        <v>14837</v>
      </c>
      <c r="P375" s="47">
        <v>9609</v>
      </c>
      <c r="Q375" s="85">
        <v>62.81</v>
      </c>
      <c r="R375" s="85">
        <v>61.08</v>
      </c>
      <c r="S375" s="85">
        <v>66.89</v>
      </c>
      <c r="T375" s="85">
        <v>66.22</v>
      </c>
      <c r="U375" s="85">
        <v>66.34</v>
      </c>
      <c r="V375" s="85">
        <v>66.8</v>
      </c>
      <c r="W375" s="85">
        <v>54.18</v>
      </c>
      <c r="X375" s="85">
        <v>55.82</v>
      </c>
      <c r="Y375" s="85">
        <v>52.85</v>
      </c>
      <c r="Z375" s="85">
        <v>53.87</v>
      </c>
      <c r="AA375" s="85">
        <v>59.54</v>
      </c>
      <c r="AB375" s="85">
        <v>52.85</v>
      </c>
      <c r="AC375" s="85">
        <v>46.98</v>
      </c>
      <c r="AD375" s="85">
        <v>42.45</v>
      </c>
      <c r="AE375" s="47">
        <v>451738</v>
      </c>
      <c r="AF375" s="47">
        <v>310920</v>
      </c>
      <c r="AG375" s="47">
        <v>212040</v>
      </c>
      <c r="AH375" s="47">
        <v>517140</v>
      </c>
      <c r="AI375" s="47">
        <v>405157</v>
      </c>
      <c r="AJ375" s="47">
        <v>648950</v>
      </c>
      <c r="AK375" s="47">
        <v>530670</v>
      </c>
      <c r="AL375" s="47">
        <v>503500</v>
      </c>
      <c r="AM375" s="47">
        <v>467708</v>
      </c>
      <c r="AN375" s="47">
        <v>465450</v>
      </c>
      <c r="AO375" s="47">
        <v>2155200</v>
      </c>
      <c r="AP375" s="47">
        <v>965800</v>
      </c>
      <c r="AQ375" s="47">
        <v>697085</v>
      </c>
      <c r="AR375" s="47">
        <v>407931</v>
      </c>
      <c r="AS375" s="47"/>
      <c r="AT375" s="47"/>
      <c r="AU375" s="47"/>
      <c r="AV375" s="47"/>
      <c r="AW375" s="47"/>
      <c r="AX375" s="47"/>
      <c r="AY375" s="47"/>
      <c r="AZ375" s="47"/>
      <c r="BA375" s="47"/>
      <c r="BB375" s="47"/>
      <c r="BC375" s="47"/>
      <c r="BD375" s="47"/>
      <c r="BE375" s="47"/>
      <c r="BF375" s="47"/>
    </row>
    <row r="376" spans="1:58" hidden="1">
      <c r="A376" s="46" t="s">
        <v>285</v>
      </c>
      <c r="B376" s="46" t="s">
        <v>260</v>
      </c>
      <c r="C376" s="47">
        <v>75909</v>
      </c>
      <c r="D376" s="47">
        <v>69494</v>
      </c>
      <c r="E376" s="47">
        <v>65990</v>
      </c>
      <c r="F376" s="47">
        <v>72745</v>
      </c>
      <c r="G376" s="47">
        <v>77535</v>
      </c>
      <c r="H376" s="47">
        <v>101465</v>
      </c>
      <c r="I376" s="47">
        <v>118995</v>
      </c>
      <c r="J376" s="47">
        <v>108720</v>
      </c>
      <c r="K376" s="47">
        <v>96401</v>
      </c>
      <c r="L376" s="47">
        <v>95810</v>
      </c>
      <c r="M376" s="47">
        <v>107417</v>
      </c>
      <c r="N376" s="47">
        <v>94360</v>
      </c>
      <c r="O376" s="47">
        <v>95665</v>
      </c>
      <c r="P376" s="47">
        <v>86900</v>
      </c>
      <c r="Q376" s="85">
        <v>64.61</v>
      </c>
      <c r="R376" s="85">
        <v>64.38</v>
      </c>
      <c r="S376" s="85">
        <v>66.569999999999993</v>
      </c>
      <c r="T376" s="85">
        <v>71.64</v>
      </c>
      <c r="U376" s="85">
        <v>73.47</v>
      </c>
      <c r="V376" s="85">
        <v>75.7</v>
      </c>
      <c r="W376" s="85">
        <v>64.84</v>
      </c>
      <c r="X376" s="85">
        <v>68.44</v>
      </c>
      <c r="Y376" s="85">
        <v>65.02</v>
      </c>
      <c r="Z376" s="85">
        <v>71.239999999999995</v>
      </c>
      <c r="AA376" s="85">
        <v>61.37</v>
      </c>
      <c r="AB376" s="85">
        <v>65.87</v>
      </c>
      <c r="AC376" s="85">
        <v>66.12</v>
      </c>
      <c r="AD376" s="85">
        <v>68.599999999999994</v>
      </c>
      <c r="AE376" s="47">
        <v>4904603</v>
      </c>
      <c r="AF376" s="47">
        <v>4473773</v>
      </c>
      <c r="AG376" s="47">
        <v>4392820</v>
      </c>
      <c r="AH376" s="47">
        <v>5211145</v>
      </c>
      <c r="AI376" s="47">
        <v>5696472</v>
      </c>
      <c r="AJ376" s="47">
        <v>7680650</v>
      </c>
      <c r="AK376" s="47">
        <v>7716170</v>
      </c>
      <c r="AL376" s="47">
        <v>7440690</v>
      </c>
      <c r="AM376" s="47">
        <v>6268183</v>
      </c>
      <c r="AN376" s="47">
        <v>6825550</v>
      </c>
      <c r="AO376" s="47">
        <v>6591900</v>
      </c>
      <c r="AP376" s="47">
        <v>6215480</v>
      </c>
      <c r="AQ376" s="47">
        <v>6325242</v>
      </c>
      <c r="AR376" s="47">
        <v>5961703</v>
      </c>
      <c r="AS376" s="47"/>
      <c r="AT376" s="47"/>
      <c r="AU376" s="47"/>
      <c r="AV376" s="47"/>
      <c r="AW376" s="47"/>
      <c r="AX376" s="47"/>
      <c r="AY376" s="47"/>
      <c r="AZ376" s="47"/>
      <c r="BA376" s="47"/>
      <c r="BB376" s="47"/>
      <c r="BC376" s="47"/>
      <c r="BD376" s="47"/>
      <c r="BE376" s="47"/>
      <c r="BF376" s="47"/>
    </row>
    <row r="377" spans="1:58" hidden="1">
      <c r="A377" s="46" t="s">
        <v>285</v>
      </c>
      <c r="B377" s="46" t="s">
        <v>261</v>
      </c>
      <c r="C377" s="47">
        <v>10616</v>
      </c>
      <c r="D377" s="47">
        <v>9176</v>
      </c>
      <c r="E377" s="47">
        <v>9500</v>
      </c>
      <c r="F377" s="47">
        <v>9820</v>
      </c>
      <c r="G377" s="47">
        <v>10309</v>
      </c>
      <c r="H377" s="47">
        <v>7345</v>
      </c>
      <c r="I377" s="47">
        <v>7335</v>
      </c>
      <c r="J377" s="47">
        <v>9000</v>
      </c>
      <c r="K377" s="47">
        <v>8023</v>
      </c>
      <c r="L377" s="47">
        <v>7140</v>
      </c>
      <c r="M377" s="47">
        <v>4600</v>
      </c>
      <c r="N377" s="47">
        <v>6165</v>
      </c>
      <c r="O377" s="47">
        <v>6363</v>
      </c>
      <c r="P377" s="47">
        <v>5136</v>
      </c>
      <c r="Q377" s="85">
        <v>50.7</v>
      </c>
      <c r="R377" s="85">
        <v>51.55</v>
      </c>
      <c r="S377" s="85">
        <v>52.9</v>
      </c>
      <c r="T377" s="85">
        <v>55.69</v>
      </c>
      <c r="U377" s="85">
        <v>50.24</v>
      </c>
      <c r="V377" s="85">
        <v>54.73</v>
      </c>
      <c r="W377" s="85">
        <v>44.58</v>
      </c>
      <c r="X377" s="85">
        <v>57.42</v>
      </c>
      <c r="Y377" s="85">
        <v>51.8</v>
      </c>
      <c r="Z377" s="85">
        <v>53.1</v>
      </c>
      <c r="AA377" s="85">
        <v>50.2</v>
      </c>
      <c r="AB377" s="85">
        <v>53.56</v>
      </c>
      <c r="AC377" s="85">
        <v>51.47</v>
      </c>
      <c r="AD377" s="85">
        <v>50.34</v>
      </c>
      <c r="AE377" s="47">
        <v>538245</v>
      </c>
      <c r="AF377" s="47">
        <v>473000</v>
      </c>
      <c r="AG377" s="47">
        <v>502550</v>
      </c>
      <c r="AH377" s="47">
        <v>546890</v>
      </c>
      <c r="AI377" s="47">
        <v>517965</v>
      </c>
      <c r="AJ377" s="47">
        <v>401980</v>
      </c>
      <c r="AK377" s="47">
        <v>327015</v>
      </c>
      <c r="AL377" s="47">
        <v>516800</v>
      </c>
      <c r="AM377" s="47">
        <v>415601</v>
      </c>
      <c r="AN377" s="47">
        <v>379120</v>
      </c>
      <c r="AO377" s="47">
        <v>230900</v>
      </c>
      <c r="AP377" s="47">
        <v>330170</v>
      </c>
      <c r="AQ377" s="47">
        <v>327478</v>
      </c>
      <c r="AR377" s="47">
        <v>258566</v>
      </c>
      <c r="AS377" s="47"/>
      <c r="AT377" s="47"/>
      <c r="AU377" s="47"/>
      <c r="AV377" s="47"/>
      <c r="AW377" s="47"/>
      <c r="AX377" s="47"/>
      <c r="AY377" s="47"/>
      <c r="AZ377" s="47"/>
      <c r="BA377" s="47"/>
      <c r="BB377" s="47"/>
      <c r="BC377" s="47"/>
      <c r="BD377" s="47"/>
      <c r="BE377" s="47"/>
      <c r="BF377" s="47"/>
    </row>
    <row r="378" spans="1:58" hidden="1">
      <c r="A378" s="46" t="s">
        <v>285</v>
      </c>
      <c r="B378" s="46" t="s">
        <v>262</v>
      </c>
      <c r="C378" s="47">
        <v>1357</v>
      </c>
      <c r="D378" s="47">
        <v>1280</v>
      </c>
      <c r="E378" s="47">
        <v>835</v>
      </c>
      <c r="F378" s="47">
        <v>880</v>
      </c>
      <c r="G378" s="47">
        <v>1131</v>
      </c>
      <c r="H378" s="47">
        <v>1230</v>
      </c>
      <c r="I378" s="47">
        <v>1330</v>
      </c>
      <c r="J378" s="47">
        <v>1360</v>
      </c>
      <c r="K378" s="47">
        <v>1041</v>
      </c>
      <c r="L378" s="47">
        <v>935</v>
      </c>
      <c r="M378" s="47">
        <v>2026</v>
      </c>
      <c r="N378" s="47">
        <v>1280</v>
      </c>
      <c r="O378" s="47">
        <v>1233</v>
      </c>
      <c r="P378" s="47">
        <v>864</v>
      </c>
      <c r="Q378" s="85">
        <v>47.21</v>
      </c>
      <c r="R378" s="85">
        <v>49.98</v>
      </c>
      <c r="S378" s="85">
        <v>53.02</v>
      </c>
      <c r="T378" s="85">
        <v>52.57</v>
      </c>
      <c r="U378" s="85">
        <v>52.61</v>
      </c>
      <c r="V378" s="85">
        <v>53.12</v>
      </c>
      <c r="W378" s="85">
        <v>40.840000000000003</v>
      </c>
      <c r="X378" s="85">
        <v>49.26</v>
      </c>
      <c r="Y378" s="85">
        <v>45.4</v>
      </c>
      <c r="Z378" s="85">
        <v>47.97</v>
      </c>
      <c r="AA378" s="85">
        <v>44.88</v>
      </c>
      <c r="AB378" s="85">
        <v>53.2</v>
      </c>
      <c r="AC378" s="85">
        <v>50.01</v>
      </c>
      <c r="AD378" s="85">
        <v>49.12</v>
      </c>
      <c r="AE378" s="47">
        <v>64064</v>
      </c>
      <c r="AF378" s="47">
        <v>63975</v>
      </c>
      <c r="AG378" s="47">
        <v>44275</v>
      </c>
      <c r="AH378" s="47">
        <v>46260</v>
      </c>
      <c r="AI378" s="47">
        <v>59502</v>
      </c>
      <c r="AJ378" s="47">
        <v>65340</v>
      </c>
      <c r="AK378" s="47">
        <v>54315</v>
      </c>
      <c r="AL378" s="47">
        <v>67000</v>
      </c>
      <c r="AM378" s="47">
        <v>47261</v>
      </c>
      <c r="AN378" s="47">
        <v>44850</v>
      </c>
      <c r="AO378" s="47">
        <v>90920</v>
      </c>
      <c r="AP378" s="47">
        <v>68100</v>
      </c>
      <c r="AQ378" s="47">
        <v>61668</v>
      </c>
      <c r="AR378" s="47">
        <v>42437</v>
      </c>
      <c r="AS378" s="47"/>
      <c r="AT378" s="47"/>
      <c r="AU378" s="47"/>
      <c r="AV378" s="47"/>
      <c r="AW378" s="47"/>
      <c r="AX378" s="47"/>
      <c r="AY378" s="47"/>
      <c r="AZ378" s="47"/>
      <c r="BA378" s="47"/>
      <c r="BB378" s="47"/>
      <c r="BC378" s="47"/>
      <c r="BD378" s="47"/>
      <c r="BE378" s="47"/>
      <c r="BF378" s="47"/>
    </row>
    <row r="379" spans="1:58" hidden="1">
      <c r="A379" s="46" t="s">
        <v>285</v>
      </c>
      <c r="B379" s="46" t="s">
        <v>263</v>
      </c>
      <c r="C379" s="47">
        <v>11973</v>
      </c>
      <c r="D379" s="47">
        <v>10456</v>
      </c>
      <c r="E379" s="47">
        <v>10335</v>
      </c>
      <c r="F379" s="47">
        <v>10700</v>
      </c>
      <c r="G379" s="47">
        <v>11440</v>
      </c>
      <c r="H379" s="47">
        <v>8575</v>
      </c>
      <c r="I379" s="47">
        <v>8665</v>
      </c>
      <c r="J379" s="47">
        <v>10360</v>
      </c>
      <c r="K379" s="47">
        <v>9064</v>
      </c>
      <c r="L379" s="47">
        <v>8075</v>
      </c>
      <c r="M379" s="47">
        <v>6626</v>
      </c>
      <c r="N379" s="47">
        <v>7445</v>
      </c>
      <c r="O379" s="47">
        <v>7596</v>
      </c>
      <c r="P379" s="47">
        <v>6000</v>
      </c>
      <c r="Q379" s="85">
        <v>50.31</v>
      </c>
      <c r="R379" s="85">
        <v>51.36</v>
      </c>
      <c r="S379" s="85">
        <v>52.91</v>
      </c>
      <c r="T379" s="85">
        <v>55.43</v>
      </c>
      <c r="U379" s="85">
        <v>50.48</v>
      </c>
      <c r="V379" s="85">
        <v>54.5</v>
      </c>
      <c r="W379" s="85">
        <v>44.01</v>
      </c>
      <c r="X379" s="85">
        <v>56.35</v>
      </c>
      <c r="Y379" s="85">
        <v>51.07</v>
      </c>
      <c r="Z379" s="85">
        <v>52.5</v>
      </c>
      <c r="AA379" s="85">
        <v>48.57</v>
      </c>
      <c r="AB379" s="85">
        <v>53.49</v>
      </c>
      <c r="AC379" s="85">
        <v>51.23</v>
      </c>
      <c r="AD379" s="85">
        <v>50.17</v>
      </c>
      <c r="AE379" s="47">
        <v>602309</v>
      </c>
      <c r="AF379" s="47">
        <v>536975</v>
      </c>
      <c r="AG379" s="47">
        <v>546825</v>
      </c>
      <c r="AH379" s="47">
        <v>593150</v>
      </c>
      <c r="AI379" s="47">
        <v>577467</v>
      </c>
      <c r="AJ379" s="47">
        <v>467320</v>
      </c>
      <c r="AK379" s="47">
        <v>381330</v>
      </c>
      <c r="AL379" s="47">
        <v>583800</v>
      </c>
      <c r="AM379" s="47">
        <v>462862</v>
      </c>
      <c r="AN379" s="47">
        <v>423970</v>
      </c>
      <c r="AO379" s="47">
        <v>321820</v>
      </c>
      <c r="AP379" s="47">
        <v>398270</v>
      </c>
      <c r="AQ379" s="47">
        <v>389146</v>
      </c>
      <c r="AR379" s="47">
        <v>301003</v>
      </c>
      <c r="AS379" s="47"/>
      <c r="AT379" s="47"/>
      <c r="AU379" s="47"/>
      <c r="AV379" s="47"/>
      <c r="AW379" s="47"/>
      <c r="AX379" s="47"/>
      <c r="AY379" s="47"/>
      <c r="AZ379" s="47"/>
      <c r="BA379" s="47"/>
      <c r="BB379" s="47"/>
      <c r="BC379" s="47"/>
      <c r="BD379" s="47"/>
      <c r="BE379" s="47"/>
      <c r="BF379" s="47"/>
    </row>
    <row r="380" spans="1:58" hidden="1">
      <c r="A380" s="46" t="s">
        <v>285</v>
      </c>
      <c r="B380" s="46" t="s">
        <v>264</v>
      </c>
      <c r="C380" s="47">
        <v>1038</v>
      </c>
      <c r="D380" s="47">
        <v>1125</v>
      </c>
      <c r="E380" s="47">
        <v>1233</v>
      </c>
      <c r="F380" s="47">
        <v>1598</v>
      </c>
      <c r="G380" s="47">
        <v>1336</v>
      </c>
      <c r="H380" s="47">
        <v>1350</v>
      </c>
      <c r="I380" s="47">
        <v>1465</v>
      </c>
      <c r="J380" s="47">
        <v>1564</v>
      </c>
      <c r="K380" s="47">
        <v>1693</v>
      </c>
      <c r="L380" s="47">
        <v>1802</v>
      </c>
      <c r="M380" s="47">
        <v>2001</v>
      </c>
      <c r="N380" s="47">
        <v>955</v>
      </c>
      <c r="O380" s="47">
        <v>965</v>
      </c>
      <c r="P380" s="47">
        <v>1045</v>
      </c>
      <c r="Q380" s="85">
        <v>87.96</v>
      </c>
      <c r="R380" s="85">
        <v>93.19</v>
      </c>
      <c r="S380" s="85">
        <v>91.89</v>
      </c>
      <c r="T380" s="85">
        <v>87.97</v>
      </c>
      <c r="U380" s="85">
        <v>100.23</v>
      </c>
      <c r="V380" s="85">
        <v>94.36</v>
      </c>
      <c r="W380" s="85">
        <v>89.03</v>
      </c>
      <c r="X380" s="85">
        <v>102.28</v>
      </c>
      <c r="Y380" s="85">
        <v>100</v>
      </c>
      <c r="Z380" s="85">
        <v>91.65</v>
      </c>
      <c r="AA380" s="85">
        <v>92.55</v>
      </c>
      <c r="AB380" s="85">
        <v>96.36</v>
      </c>
      <c r="AC380" s="85">
        <v>76.52</v>
      </c>
      <c r="AD380" s="85">
        <v>98.61</v>
      </c>
      <c r="AE380" s="47">
        <v>91300</v>
      </c>
      <c r="AF380" s="47">
        <v>104837</v>
      </c>
      <c r="AG380" s="47">
        <v>113297</v>
      </c>
      <c r="AH380" s="47">
        <v>140571</v>
      </c>
      <c r="AI380" s="47">
        <v>133908</v>
      </c>
      <c r="AJ380" s="47">
        <v>127388</v>
      </c>
      <c r="AK380" s="47">
        <v>130432</v>
      </c>
      <c r="AL380" s="47">
        <v>159966</v>
      </c>
      <c r="AM380" s="47">
        <v>169300</v>
      </c>
      <c r="AN380" s="47">
        <v>165148</v>
      </c>
      <c r="AO380" s="47">
        <v>185200</v>
      </c>
      <c r="AP380" s="47">
        <v>92020</v>
      </c>
      <c r="AQ380" s="47">
        <v>73840</v>
      </c>
      <c r="AR380" s="47">
        <v>103050</v>
      </c>
      <c r="AS380" s="47"/>
      <c r="AT380" s="47"/>
      <c r="AU380" s="47"/>
      <c r="AV380" s="47"/>
      <c r="AW380" s="47"/>
      <c r="AX380" s="47"/>
      <c r="AY380" s="47"/>
      <c r="AZ380" s="47"/>
      <c r="BA380" s="47"/>
      <c r="BB380" s="47"/>
      <c r="BC380" s="47"/>
      <c r="BD380" s="47"/>
      <c r="BE380" s="47"/>
      <c r="BF380" s="47"/>
    </row>
    <row r="381" spans="1:58" hidden="1">
      <c r="A381" s="46" t="s">
        <v>285</v>
      </c>
      <c r="B381" s="46" t="s">
        <v>265</v>
      </c>
      <c r="C381" s="47">
        <v>132109</v>
      </c>
      <c r="D381" s="47">
        <v>128676</v>
      </c>
      <c r="E381" s="47">
        <v>120167</v>
      </c>
      <c r="F381" s="47">
        <v>132803</v>
      </c>
      <c r="G381" s="47">
        <v>137647</v>
      </c>
      <c r="H381" s="47">
        <v>131245</v>
      </c>
      <c r="I381" s="47">
        <v>117285</v>
      </c>
      <c r="J381" s="47">
        <v>118457</v>
      </c>
      <c r="K381" s="47">
        <v>120831</v>
      </c>
      <c r="L381" s="47">
        <v>135267</v>
      </c>
      <c r="M381" s="47">
        <v>187009</v>
      </c>
      <c r="N381" s="47">
        <v>154185</v>
      </c>
      <c r="O381" s="47">
        <v>139269</v>
      </c>
      <c r="P381" s="47">
        <v>130046</v>
      </c>
      <c r="Q381" s="85">
        <v>79.33</v>
      </c>
      <c r="R381" s="85">
        <v>92.68</v>
      </c>
      <c r="S381" s="85">
        <v>85.03</v>
      </c>
      <c r="T381" s="85">
        <v>78.430000000000007</v>
      </c>
      <c r="U381" s="85">
        <v>94.98</v>
      </c>
      <c r="V381" s="85">
        <v>86.56</v>
      </c>
      <c r="W381" s="85">
        <v>82.2</v>
      </c>
      <c r="X381" s="85">
        <v>93.95</v>
      </c>
      <c r="Y381" s="85">
        <v>92.99</v>
      </c>
      <c r="Z381" s="85">
        <v>88.55</v>
      </c>
      <c r="AA381" s="85">
        <v>90.56</v>
      </c>
      <c r="AB381" s="85">
        <v>94.21</v>
      </c>
      <c r="AC381" s="85">
        <v>77.430000000000007</v>
      </c>
      <c r="AD381" s="85">
        <v>97.09</v>
      </c>
      <c r="AE381" s="47">
        <v>10479816</v>
      </c>
      <c r="AF381" s="47">
        <v>11925156</v>
      </c>
      <c r="AG381" s="47">
        <v>10218299</v>
      </c>
      <c r="AH381" s="47">
        <v>10415919</v>
      </c>
      <c r="AI381" s="47">
        <v>13073212</v>
      </c>
      <c r="AJ381" s="47">
        <v>11360443</v>
      </c>
      <c r="AK381" s="47">
        <v>9641095</v>
      </c>
      <c r="AL381" s="47">
        <v>11129421</v>
      </c>
      <c r="AM381" s="47">
        <v>11235770</v>
      </c>
      <c r="AN381" s="47">
        <v>11978393</v>
      </c>
      <c r="AO381" s="47">
        <v>16935000</v>
      </c>
      <c r="AP381" s="47">
        <v>14525210</v>
      </c>
      <c r="AQ381" s="47">
        <v>10783320</v>
      </c>
      <c r="AR381" s="47">
        <v>12625630</v>
      </c>
      <c r="AS381" s="47"/>
      <c r="AT381" s="47"/>
      <c r="AU381" s="47"/>
      <c r="AV381" s="47"/>
      <c r="AW381" s="47"/>
      <c r="AX381" s="47"/>
      <c r="AY381" s="47"/>
      <c r="AZ381" s="47"/>
      <c r="BA381" s="47"/>
      <c r="BB381" s="47"/>
      <c r="BC381" s="47"/>
      <c r="BD381" s="47"/>
      <c r="BE381" s="47"/>
      <c r="BF381" s="47"/>
    </row>
    <row r="382" spans="1:58" hidden="1">
      <c r="A382" s="46" t="s">
        <v>285</v>
      </c>
      <c r="B382" s="46" t="s">
        <v>266</v>
      </c>
      <c r="C382" s="47">
        <v>0</v>
      </c>
      <c r="D382" s="47">
        <v>17</v>
      </c>
      <c r="E382" s="47">
        <v>83</v>
      </c>
      <c r="F382" s="47">
        <v>39</v>
      </c>
      <c r="G382" s="47">
        <v>49</v>
      </c>
      <c r="H382" s="47">
        <v>42</v>
      </c>
      <c r="I382" s="47">
        <v>42</v>
      </c>
      <c r="J382" s="47">
        <v>37</v>
      </c>
      <c r="K382" s="47">
        <v>39</v>
      </c>
      <c r="L382" s="47">
        <v>0</v>
      </c>
      <c r="M382" s="47">
        <v>0</v>
      </c>
      <c r="N382" s="47">
        <v>0</v>
      </c>
      <c r="O382" s="47">
        <v>0</v>
      </c>
      <c r="P382" s="47">
        <v>0</v>
      </c>
      <c r="Q382" s="85"/>
      <c r="R382" s="85">
        <v>36.71</v>
      </c>
      <c r="S382" s="85">
        <v>36</v>
      </c>
      <c r="T382" s="85">
        <v>35</v>
      </c>
      <c r="U382" s="85">
        <v>21.22</v>
      </c>
      <c r="V382" s="85">
        <v>32.57</v>
      </c>
      <c r="W382" s="85">
        <v>30</v>
      </c>
      <c r="X382" s="85">
        <v>31.76</v>
      </c>
      <c r="Y382" s="85">
        <v>30.26</v>
      </c>
      <c r="Z382" s="85"/>
      <c r="AA382" s="85"/>
      <c r="AB382" s="85"/>
      <c r="AC382" s="85"/>
      <c r="AD382" s="85"/>
      <c r="AE382" s="47">
        <v>0</v>
      </c>
      <c r="AF382" s="47">
        <v>624</v>
      </c>
      <c r="AG382" s="47">
        <v>2988</v>
      </c>
      <c r="AH382" s="47">
        <v>1365</v>
      </c>
      <c r="AI382" s="47">
        <v>1040</v>
      </c>
      <c r="AJ382" s="47">
        <v>1368</v>
      </c>
      <c r="AK382" s="47">
        <v>1260</v>
      </c>
      <c r="AL382" s="47">
        <v>1175</v>
      </c>
      <c r="AM382" s="47">
        <v>1180</v>
      </c>
      <c r="AN382" s="47">
        <v>0</v>
      </c>
      <c r="AO382" s="47">
        <v>0</v>
      </c>
      <c r="AP382" s="47">
        <v>0</v>
      </c>
      <c r="AQ382" s="47">
        <v>0</v>
      </c>
      <c r="AR382" s="47">
        <v>0</v>
      </c>
      <c r="AS382" s="47"/>
      <c r="AT382" s="47"/>
      <c r="AU382" s="47"/>
      <c r="AV382" s="47"/>
      <c r="AW382" s="47"/>
      <c r="AX382" s="47"/>
      <c r="AY382" s="47"/>
      <c r="AZ382" s="47"/>
      <c r="BA382" s="47"/>
      <c r="BB382" s="47"/>
      <c r="BC382" s="47"/>
      <c r="BD382" s="47"/>
      <c r="BE382" s="47"/>
      <c r="BF382" s="47"/>
    </row>
    <row r="383" spans="1:58" hidden="1">
      <c r="A383" s="46" t="s">
        <v>285</v>
      </c>
      <c r="B383" s="46" t="s">
        <v>267</v>
      </c>
      <c r="C383" s="47">
        <v>133147</v>
      </c>
      <c r="D383" s="47">
        <v>129818</v>
      </c>
      <c r="E383" s="47">
        <v>121483</v>
      </c>
      <c r="F383" s="47">
        <v>134440</v>
      </c>
      <c r="G383" s="47">
        <v>139032</v>
      </c>
      <c r="H383" s="47">
        <v>132637</v>
      </c>
      <c r="I383" s="47">
        <v>118792</v>
      </c>
      <c r="J383" s="47">
        <v>120058</v>
      </c>
      <c r="K383" s="47">
        <v>122563</v>
      </c>
      <c r="L383" s="47">
        <v>137069</v>
      </c>
      <c r="M383" s="47">
        <v>189010</v>
      </c>
      <c r="N383" s="47">
        <v>155140</v>
      </c>
      <c r="O383" s="47">
        <v>140234</v>
      </c>
      <c r="P383" s="47">
        <v>131091</v>
      </c>
      <c r="Q383" s="85">
        <v>79.39</v>
      </c>
      <c r="R383" s="85">
        <v>92.67</v>
      </c>
      <c r="S383" s="85">
        <v>85.07</v>
      </c>
      <c r="T383" s="85">
        <v>78.53</v>
      </c>
      <c r="U383" s="85">
        <v>95</v>
      </c>
      <c r="V383" s="85">
        <v>86.62</v>
      </c>
      <c r="W383" s="85">
        <v>82.27</v>
      </c>
      <c r="X383" s="85">
        <v>94.04</v>
      </c>
      <c r="Y383" s="85">
        <v>93.06</v>
      </c>
      <c r="Z383" s="85">
        <v>88.59</v>
      </c>
      <c r="AA383" s="85">
        <v>90.58</v>
      </c>
      <c r="AB383" s="85">
        <v>94.22</v>
      </c>
      <c r="AC383" s="85">
        <v>77.42</v>
      </c>
      <c r="AD383" s="85">
        <v>97.1</v>
      </c>
      <c r="AE383" s="47">
        <v>10571116</v>
      </c>
      <c r="AF383" s="47">
        <v>12030617</v>
      </c>
      <c r="AG383" s="47">
        <v>10334584</v>
      </c>
      <c r="AH383" s="47">
        <v>10557855</v>
      </c>
      <c r="AI383" s="47">
        <v>13208160</v>
      </c>
      <c r="AJ383" s="47">
        <v>11489199</v>
      </c>
      <c r="AK383" s="47">
        <v>9772787</v>
      </c>
      <c r="AL383" s="47">
        <v>11290562</v>
      </c>
      <c r="AM383" s="47">
        <v>11406250</v>
      </c>
      <c r="AN383" s="47">
        <v>12143541</v>
      </c>
      <c r="AO383" s="47">
        <v>17120200</v>
      </c>
      <c r="AP383" s="47">
        <v>14617230</v>
      </c>
      <c r="AQ383" s="47">
        <v>10857160</v>
      </c>
      <c r="AR383" s="47">
        <v>12728680</v>
      </c>
      <c r="AS383" s="47"/>
      <c r="AT383" s="47"/>
      <c r="AU383" s="47"/>
      <c r="AV383" s="47"/>
      <c r="AW383" s="47"/>
      <c r="AX383" s="47"/>
      <c r="AY383" s="47"/>
      <c r="AZ383" s="47"/>
      <c r="BA383" s="47"/>
      <c r="BB383" s="47"/>
      <c r="BC383" s="47"/>
      <c r="BD383" s="47"/>
      <c r="BE383" s="47"/>
      <c r="BF383" s="47"/>
    </row>
    <row r="384" spans="1:58" hidden="1">
      <c r="A384" s="46" t="s">
        <v>285</v>
      </c>
      <c r="B384" s="46" t="s">
        <v>268</v>
      </c>
      <c r="C384" s="47">
        <v>27</v>
      </c>
      <c r="D384" s="47">
        <v>48</v>
      </c>
      <c r="E384" s="47">
        <v>31</v>
      </c>
      <c r="F384" s="47">
        <v>23</v>
      </c>
      <c r="G384" s="47">
        <v>19</v>
      </c>
      <c r="H384" s="47">
        <v>28</v>
      </c>
      <c r="I384" s="47">
        <v>24</v>
      </c>
      <c r="J384" s="47">
        <v>32</v>
      </c>
      <c r="K384" s="47">
        <v>26</v>
      </c>
      <c r="L384" s="47">
        <v>50</v>
      </c>
      <c r="M384" s="47">
        <v>91</v>
      </c>
      <c r="N384" s="47">
        <v>75</v>
      </c>
      <c r="O384" s="47">
        <v>68</v>
      </c>
      <c r="P384" s="47">
        <v>125</v>
      </c>
      <c r="Q384" s="85">
        <v>58</v>
      </c>
      <c r="R384" s="85">
        <v>64</v>
      </c>
      <c r="S384" s="85">
        <v>57</v>
      </c>
      <c r="T384" s="85">
        <v>60</v>
      </c>
      <c r="U384" s="85">
        <v>60</v>
      </c>
      <c r="V384" s="85">
        <v>69.819999999999993</v>
      </c>
      <c r="W384" s="85">
        <v>51</v>
      </c>
      <c r="X384" s="85">
        <v>62.84</v>
      </c>
      <c r="Y384" s="85">
        <v>60.08</v>
      </c>
      <c r="Z384" s="85">
        <v>50.84</v>
      </c>
      <c r="AA384" s="85">
        <v>48.9</v>
      </c>
      <c r="AB384" s="85">
        <v>60.28</v>
      </c>
      <c r="AC384" s="85">
        <v>56.24</v>
      </c>
      <c r="AD384" s="85">
        <v>53.02</v>
      </c>
      <c r="AE384" s="47">
        <v>1566</v>
      </c>
      <c r="AF384" s="47">
        <v>3072</v>
      </c>
      <c r="AG384" s="47">
        <v>1767</v>
      </c>
      <c r="AH384" s="47">
        <v>1380</v>
      </c>
      <c r="AI384" s="47">
        <v>1140</v>
      </c>
      <c r="AJ384" s="47">
        <v>1955</v>
      </c>
      <c r="AK384" s="47">
        <v>1224</v>
      </c>
      <c r="AL384" s="47">
        <v>2011</v>
      </c>
      <c r="AM384" s="47">
        <v>1562</v>
      </c>
      <c r="AN384" s="47">
        <v>2542</v>
      </c>
      <c r="AO384" s="47">
        <v>4450</v>
      </c>
      <c r="AP384" s="47">
        <v>4521</v>
      </c>
      <c r="AQ384" s="47">
        <v>3824</v>
      </c>
      <c r="AR384" s="47">
        <v>6628</v>
      </c>
      <c r="AS384" s="47"/>
      <c r="AT384" s="47"/>
      <c r="AU384" s="47"/>
      <c r="AV384" s="47"/>
      <c r="AW384" s="47"/>
      <c r="AX384" s="47"/>
      <c r="AY384" s="47"/>
      <c r="AZ384" s="47"/>
      <c r="BA384" s="47"/>
      <c r="BB384" s="47"/>
      <c r="BC384" s="47"/>
      <c r="BD384" s="47"/>
      <c r="BE384" s="47"/>
      <c r="BF384" s="47"/>
    </row>
    <row r="385" spans="1:58" hidden="1">
      <c r="A385" s="46" t="s">
        <v>285</v>
      </c>
      <c r="B385" s="46" t="s">
        <v>269</v>
      </c>
      <c r="C385" s="47">
        <v>48962</v>
      </c>
      <c r="D385" s="47">
        <v>52254</v>
      </c>
      <c r="E385" s="47">
        <v>58295</v>
      </c>
      <c r="F385" s="47">
        <v>54600</v>
      </c>
      <c r="G385" s="47">
        <v>45700</v>
      </c>
      <c r="H385" s="47">
        <v>35090</v>
      </c>
      <c r="I385" s="47">
        <v>28670</v>
      </c>
      <c r="J385" s="47">
        <v>26200</v>
      </c>
      <c r="K385" s="47">
        <v>26038</v>
      </c>
      <c r="L385" s="47">
        <v>28680</v>
      </c>
      <c r="M385" s="47">
        <v>22850</v>
      </c>
      <c r="N385" s="47">
        <v>33440</v>
      </c>
      <c r="O385" s="47">
        <v>34366</v>
      </c>
      <c r="P385" s="47">
        <v>33373</v>
      </c>
      <c r="Q385" s="85">
        <v>63</v>
      </c>
      <c r="R385" s="85">
        <v>66.59</v>
      </c>
      <c r="S385" s="85">
        <v>64.67</v>
      </c>
      <c r="T385" s="85">
        <v>64.12</v>
      </c>
      <c r="U385" s="85">
        <v>65.14</v>
      </c>
      <c r="V385" s="85">
        <v>66.67</v>
      </c>
      <c r="W385" s="85">
        <v>55.71</v>
      </c>
      <c r="X385" s="85">
        <v>62.75</v>
      </c>
      <c r="Y385" s="85">
        <v>54.1</v>
      </c>
      <c r="Z385" s="85">
        <v>61.53</v>
      </c>
      <c r="AA385" s="85">
        <v>58.64</v>
      </c>
      <c r="AB385" s="85">
        <v>60.01</v>
      </c>
      <c r="AC385" s="85">
        <v>63.23</v>
      </c>
      <c r="AD385" s="85">
        <v>58.41</v>
      </c>
      <c r="AE385" s="47">
        <v>3084606</v>
      </c>
      <c r="AF385" s="47">
        <v>3479465</v>
      </c>
      <c r="AG385" s="47">
        <v>3770205</v>
      </c>
      <c r="AH385" s="47">
        <v>3501000</v>
      </c>
      <c r="AI385" s="47">
        <v>2976670</v>
      </c>
      <c r="AJ385" s="47">
        <v>2339465</v>
      </c>
      <c r="AK385" s="47">
        <v>1597310</v>
      </c>
      <c r="AL385" s="47">
        <v>1643975</v>
      </c>
      <c r="AM385" s="47">
        <v>1408585</v>
      </c>
      <c r="AN385" s="47">
        <v>1764540</v>
      </c>
      <c r="AO385" s="47">
        <v>1340000</v>
      </c>
      <c r="AP385" s="47">
        <v>2006890</v>
      </c>
      <c r="AQ385" s="47">
        <v>2173110</v>
      </c>
      <c r="AR385" s="47">
        <v>1949333</v>
      </c>
      <c r="AS385" s="47"/>
      <c r="AT385" s="47"/>
      <c r="AU385" s="47"/>
      <c r="AV385" s="47"/>
      <c r="AW385" s="47"/>
      <c r="AX385" s="47"/>
      <c r="AY385" s="47"/>
      <c r="AZ385" s="47"/>
      <c r="BA385" s="47"/>
      <c r="BB385" s="47"/>
      <c r="BC385" s="47"/>
      <c r="BD385" s="47"/>
      <c r="BE385" s="47"/>
      <c r="BF385" s="47"/>
    </row>
    <row r="386" spans="1:58" hidden="1">
      <c r="A386" s="46" t="s">
        <v>285</v>
      </c>
      <c r="B386" s="46" t="s">
        <v>270</v>
      </c>
      <c r="C386" s="47">
        <v>6400</v>
      </c>
      <c r="D386" s="47">
        <v>4770</v>
      </c>
      <c r="E386" s="47">
        <v>4337</v>
      </c>
      <c r="F386" s="47">
        <v>3605</v>
      </c>
      <c r="G386" s="47">
        <v>3004</v>
      </c>
      <c r="H386" s="47">
        <v>4875</v>
      </c>
      <c r="I386" s="47">
        <v>5035</v>
      </c>
      <c r="J386" s="47">
        <v>5130</v>
      </c>
      <c r="K386" s="47">
        <v>3770</v>
      </c>
      <c r="L386" s="47">
        <v>4680</v>
      </c>
      <c r="M386" s="47">
        <v>6255</v>
      </c>
      <c r="N386" s="47">
        <v>5810</v>
      </c>
      <c r="O386" s="47">
        <v>8156</v>
      </c>
      <c r="P386" s="47">
        <v>8687</v>
      </c>
      <c r="Q386" s="85"/>
      <c r="R386" s="85"/>
      <c r="S386" s="85"/>
      <c r="T386" s="85"/>
      <c r="U386" s="85"/>
      <c r="V386" s="85"/>
      <c r="W386" s="85"/>
      <c r="X386" s="85"/>
      <c r="Y386" s="85"/>
      <c r="Z386" s="85"/>
      <c r="AA386" s="85"/>
      <c r="AB386" s="85"/>
      <c r="AC386" s="85"/>
      <c r="AD386" s="85"/>
      <c r="AE386" s="47">
        <v>115200</v>
      </c>
      <c r="AF386" s="47">
        <v>95400</v>
      </c>
      <c r="AG386" s="47">
        <v>130110</v>
      </c>
      <c r="AH386" s="47">
        <v>100200</v>
      </c>
      <c r="AI386" s="47">
        <v>89895</v>
      </c>
      <c r="AJ386" s="47">
        <v>145770</v>
      </c>
      <c r="AK386" s="47">
        <v>146690</v>
      </c>
      <c r="AL386" s="47">
        <v>162700</v>
      </c>
      <c r="AM386" s="47">
        <v>133767</v>
      </c>
      <c r="AN386" s="47">
        <v>175000</v>
      </c>
      <c r="AO386" s="47">
        <v>218800</v>
      </c>
      <c r="AP386" s="47">
        <v>192650</v>
      </c>
      <c r="AQ386" s="47">
        <v>283949</v>
      </c>
      <c r="AR386" s="47">
        <v>298193</v>
      </c>
      <c r="AS386" s="47"/>
      <c r="AT386" s="47"/>
      <c r="AU386" s="47"/>
      <c r="AV386" s="47"/>
      <c r="AW386" s="47"/>
      <c r="AX386" s="47"/>
      <c r="AY386" s="47"/>
      <c r="AZ386" s="47"/>
      <c r="BA386" s="47"/>
      <c r="BB386" s="47"/>
      <c r="BC386" s="47"/>
      <c r="BD386" s="47"/>
      <c r="BE386" s="47"/>
      <c r="BF386" s="47"/>
    </row>
    <row r="387" spans="1:58" hidden="1">
      <c r="A387" s="46" t="s">
        <v>285</v>
      </c>
      <c r="B387" s="46" t="s">
        <v>271</v>
      </c>
      <c r="C387" s="47">
        <v>5050</v>
      </c>
      <c r="D387" s="47">
        <v>7455</v>
      </c>
      <c r="E387" s="47">
        <v>8160</v>
      </c>
      <c r="F387" s="47">
        <v>6895</v>
      </c>
      <c r="G387" s="47">
        <v>6866</v>
      </c>
      <c r="H387" s="47">
        <v>3625</v>
      </c>
      <c r="I387" s="47">
        <v>4045</v>
      </c>
      <c r="J387" s="47">
        <v>5060</v>
      </c>
      <c r="K387" s="47">
        <v>5774</v>
      </c>
      <c r="L387" s="47">
        <v>6610</v>
      </c>
      <c r="M387" s="47">
        <v>5660</v>
      </c>
      <c r="N387" s="47">
        <v>6695</v>
      </c>
      <c r="O387" s="47">
        <v>6413</v>
      </c>
      <c r="P387" s="47">
        <v>6973</v>
      </c>
      <c r="Q387" s="85"/>
      <c r="R387" s="85"/>
      <c r="S387" s="85"/>
      <c r="T387" s="85"/>
      <c r="U387" s="85"/>
      <c r="V387" s="85"/>
      <c r="W387" s="85"/>
      <c r="X387" s="85"/>
      <c r="Y387" s="85"/>
      <c r="Z387" s="85"/>
      <c r="AA387" s="85"/>
      <c r="AB387" s="85"/>
      <c r="AC387" s="85"/>
      <c r="AD387" s="85"/>
      <c r="AE387" s="47">
        <v>151500</v>
      </c>
      <c r="AF387" s="47">
        <v>246015</v>
      </c>
      <c r="AG387" s="47">
        <v>285600</v>
      </c>
      <c r="AH387" s="47">
        <v>199870</v>
      </c>
      <c r="AI387" s="47">
        <v>216761</v>
      </c>
      <c r="AJ387" s="47">
        <v>114950</v>
      </c>
      <c r="AK387" s="47">
        <v>119150</v>
      </c>
      <c r="AL387" s="47">
        <v>188900</v>
      </c>
      <c r="AM387" s="47">
        <v>220145</v>
      </c>
      <c r="AN387" s="47">
        <v>247000</v>
      </c>
      <c r="AO387" s="47">
        <v>196500</v>
      </c>
      <c r="AP387" s="47">
        <v>229470</v>
      </c>
      <c r="AQ387" s="47">
        <v>233065</v>
      </c>
      <c r="AR387" s="47">
        <v>248583</v>
      </c>
      <c r="AS387" s="47"/>
      <c r="AT387" s="47"/>
      <c r="AU387" s="47"/>
      <c r="AV387" s="47"/>
      <c r="AW387" s="47"/>
      <c r="AX387" s="47"/>
      <c r="AY387" s="47"/>
      <c r="AZ387" s="47"/>
      <c r="BA387" s="47"/>
      <c r="BB387" s="47"/>
      <c r="BC387" s="47"/>
      <c r="BD387" s="47"/>
      <c r="BE387" s="47"/>
      <c r="BF387" s="47"/>
    </row>
    <row r="388" spans="1:58" hidden="1">
      <c r="A388" s="46" t="s">
        <v>285</v>
      </c>
      <c r="B388" s="46" t="s">
        <v>272</v>
      </c>
      <c r="C388" s="47">
        <v>574003</v>
      </c>
      <c r="D388" s="47">
        <v>572311</v>
      </c>
      <c r="E388" s="47">
        <v>569331</v>
      </c>
      <c r="F388" s="47">
        <v>575985</v>
      </c>
      <c r="G388" s="47">
        <v>584749</v>
      </c>
      <c r="H388" s="47">
        <v>587133</v>
      </c>
      <c r="I388" s="47">
        <v>588081</v>
      </c>
      <c r="J388" s="47">
        <v>573650</v>
      </c>
      <c r="K388" s="47">
        <v>561272</v>
      </c>
      <c r="L388" s="47">
        <v>583941</v>
      </c>
      <c r="M388" s="47">
        <v>576822</v>
      </c>
      <c r="N388" s="47">
        <v>601092</v>
      </c>
      <c r="O388" s="47">
        <v>588746</v>
      </c>
      <c r="P388" s="47">
        <v>570828</v>
      </c>
      <c r="Q388" s="85">
        <v>70.12</v>
      </c>
      <c r="R388" s="85">
        <v>73.78</v>
      </c>
      <c r="S388" s="85">
        <v>70.47</v>
      </c>
      <c r="T388" s="85">
        <v>73.22</v>
      </c>
      <c r="U388" s="85">
        <v>77.72</v>
      </c>
      <c r="V388" s="85">
        <v>77.900000000000006</v>
      </c>
      <c r="W388" s="85">
        <v>69.23</v>
      </c>
      <c r="X388" s="85">
        <v>78.150000000000006</v>
      </c>
      <c r="Y388" s="85">
        <v>71.569999999999993</v>
      </c>
      <c r="Z388" s="85">
        <v>78.31</v>
      </c>
      <c r="AA388" s="85">
        <v>72.709999999999994</v>
      </c>
      <c r="AB388" s="85">
        <v>75.209999999999994</v>
      </c>
      <c r="AC388" s="85">
        <v>72.33</v>
      </c>
      <c r="AD388" s="85">
        <v>76.040000000000006</v>
      </c>
      <c r="AE388" s="47">
        <v>40250291</v>
      </c>
      <c r="AF388" s="47">
        <v>42226451</v>
      </c>
      <c r="AG388" s="47">
        <v>40121701</v>
      </c>
      <c r="AH388" s="47">
        <v>42175493</v>
      </c>
      <c r="AI388" s="47">
        <v>45445447</v>
      </c>
      <c r="AJ388" s="47">
        <v>45740067</v>
      </c>
      <c r="AK388" s="47">
        <v>40711094</v>
      </c>
      <c r="AL388" s="47">
        <v>44829058</v>
      </c>
      <c r="AM388" s="47">
        <v>40167488</v>
      </c>
      <c r="AN388" s="47">
        <v>45727001</v>
      </c>
      <c r="AO388" s="47">
        <v>41942555</v>
      </c>
      <c r="AP388" s="47">
        <v>45205241</v>
      </c>
      <c r="AQ388" s="47">
        <v>42583250</v>
      </c>
      <c r="AR388" s="47">
        <v>43407596</v>
      </c>
      <c r="AS388" s="47"/>
      <c r="AT388" s="47"/>
      <c r="AU388" s="47"/>
      <c r="AV388" s="47"/>
      <c r="AW388" s="47"/>
      <c r="AX388" s="47"/>
      <c r="AY388" s="47"/>
      <c r="AZ388" s="47"/>
      <c r="BA388" s="47"/>
      <c r="BB388" s="47"/>
      <c r="BC388" s="47"/>
      <c r="BD388" s="47"/>
      <c r="BE388" s="47"/>
      <c r="BF388" s="47"/>
    </row>
    <row r="389" spans="1:58" hidden="1">
      <c r="A389" s="46" t="s">
        <v>285</v>
      </c>
      <c r="B389" s="46" t="s">
        <v>273</v>
      </c>
      <c r="C389" s="47">
        <v>0</v>
      </c>
      <c r="D389" s="47">
        <v>0</v>
      </c>
      <c r="E389" s="47">
        <v>0</v>
      </c>
      <c r="F389" s="47">
        <v>0</v>
      </c>
      <c r="G389" s="47">
        <v>0</v>
      </c>
      <c r="H389" s="47">
        <v>0</v>
      </c>
      <c r="I389" s="47">
        <v>0</v>
      </c>
      <c r="J389" s="47">
        <v>0</v>
      </c>
      <c r="K389" s="47">
        <v>0</v>
      </c>
      <c r="L389" s="47">
        <v>0</v>
      </c>
      <c r="M389" s="47">
        <v>0</v>
      </c>
      <c r="N389" s="47">
        <v>0</v>
      </c>
      <c r="O389" s="47">
        <v>0</v>
      </c>
      <c r="P389" s="47">
        <v>0</v>
      </c>
      <c r="Q389" s="85"/>
      <c r="R389" s="85"/>
      <c r="S389" s="85"/>
      <c r="T389" s="85"/>
      <c r="U389" s="85"/>
      <c r="V389" s="85"/>
      <c r="W389" s="85"/>
      <c r="X389" s="85"/>
      <c r="Y389" s="85"/>
      <c r="Z389" s="85"/>
      <c r="AA389" s="85"/>
      <c r="AB389" s="85"/>
      <c r="AC389" s="85"/>
      <c r="AD389" s="85"/>
      <c r="AE389" s="47">
        <v>0</v>
      </c>
      <c r="AF389" s="47">
        <v>0</v>
      </c>
      <c r="AG389" s="47">
        <v>0</v>
      </c>
      <c r="AH389" s="47">
        <v>0</v>
      </c>
      <c r="AI389" s="47">
        <v>0</v>
      </c>
      <c r="AJ389" s="47">
        <v>0</v>
      </c>
      <c r="AK389" s="47">
        <v>0</v>
      </c>
      <c r="AL389" s="47">
        <v>0</v>
      </c>
      <c r="AM389" s="47">
        <v>0</v>
      </c>
      <c r="AN389" s="47">
        <v>0</v>
      </c>
      <c r="AO389" s="47">
        <v>0</v>
      </c>
      <c r="AP389" s="47">
        <v>0</v>
      </c>
      <c r="AQ389" s="47">
        <v>0</v>
      </c>
      <c r="AR389" s="47">
        <v>0</v>
      </c>
      <c r="AS389" s="47"/>
      <c r="AT389" s="47"/>
      <c r="AU389" s="47"/>
      <c r="AV389" s="47"/>
      <c r="AW389" s="47"/>
      <c r="AX389" s="47"/>
      <c r="AY389" s="47"/>
      <c r="AZ389" s="47"/>
      <c r="BA389" s="47"/>
      <c r="BB389" s="47"/>
      <c r="BC389" s="47"/>
      <c r="BD389" s="47"/>
      <c r="BE389" s="47"/>
      <c r="BF389" s="47"/>
    </row>
    <row r="390" spans="1:58" hidden="1">
      <c r="A390" s="46" t="s">
        <v>285</v>
      </c>
      <c r="B390" s="46" t="s">
        <v>274</v>
      </c>
      <c r="C390" s="47">
        <v>0</v>
      </c>
      <c r="D390" s="47">
        <v>0</v>
      </c>
      <c r="E390" s="47">
        <v>0</v>
      </c>
      <c r="F390" s="47">
        <v>0</v>
      </c>
      <c r="G390" s="47">
        <v>0</v>
      </c>
      <c r="H390" s="47">
        <v>0</v>
      </c>
      <c r="I390" s="47">
        <v>0</v>
      </c>
      <c r="J390" s="47">
        <v>0</v>
      </c>
      <c r="K390" s="47">
        <v>0</v>
      </c>
      <c r="L390" s="47">
        <v>0</v>
      </c>
      <c r="M390" s="47">
        <v>0</v>
      </c>
      <c r="N390" s="47">
        <v>0</v>
      </c>
      <c r="O390" s="47">
        <v>0</v>
      </c>
      <c r="P390" s="47">
        <v>0</v>
      </c>
      <c r="Q390" s="85"/>
      <c r="R390" s="85"/>
      <c r="S390" s="85"/>
      <c r="T390" s="85"/>
      <c r="U390" s="85"/>
      <c r="V390" s="85"/>
      <c r="W390" s="85"/>
      <c r="X390" s="85"/>
      <c r="Y390" s="85"/>
      <c r="Z390" s="85"/>
      <c r="AA390" s="85"/>
      <c r="AB390" s="85"/>
      <c r="AC390" s="85"/>
      <c r="AD390" s="85"/>
      <c r="AE390" s="47">
        <v>0</v>
      </c>
      <c r="AF390" s="47">
        <v>0</v>
      </c>
      <c r="AG390" s="47">
        <v>0</v>
      </c>
      <c r="AH390" s="47">
        <v>0</v>
      </c>
      <c r="AI390" s="47">
        <v>0</v>
      </c>
      <c r="AJ390" s="47">
        <v>0</v>
      </c>
      <c r="AK390" s="47">
        <v>0</v>
      </c>
      <c r="AL390" s="47">
        <v>0</v>
      </c>
      <c r="AM390" s="47">
        <v>0</v>
      </c>
      <c r="AN390" s="47">
        <v>0</v>
      </c>
      <c r="AO390" s="47">
        <v>0</v>
      </c>
      <c r="AP390" s="47">
        <v>0</v>
      </c>
      <c r="AQ390" s="47">
        <v>0</v>
      </c>
      <c r="AR390" s="47">
        <v>0</v>
      </c>
      <c r="AS390" s="47"/>
      <c r="AT390" s="47"/>
      <c r="AU390" s="47"/>
      <c r="AV390" s="47"/>
      <c r="AW390" s="47"/>
      <c r="AX390" s="47"/>
      <c r="AY390" s="47"/>
      <c r="AZ390" s="47"/>
      <c r="BA390" s="47"/>
      <c r="BB390" s="47"/>
      <c r="BC390" s="47"/>
      <c r="BD390" s="47"/>
      <c r="BE390" s="47"/>
      <c r="BF390" s="47"/>
    </row>
    <row r="391" spans="1:58" hidden="1">
      <c r="A391" s="46" t="s">
        <v>285</v>
      </c>
      <c r="B391" s="46" t="s">
        <v>275</v>
      </c>
      <c r="C391" s="47">
        <v>0</v>
      </c>
      <c r="D391" s="47">
        <v>0</v>
      </c>
      <c r="E391" s="47">
        <v>0</v>
      </c>
      <c r="F391" s="47">
        <v>0</v>
      </c>
      <c r="G391" s="47">
        <v>0</v>
      </c>
      <c r="H391" s="47">
        <v>0</v>
      </c>
      <c r="I391" s="47">
        <v>0</v>
      </c>
      <c r="J391" s="47">
        <v>0</v>
      </c>
      <c r="K391" s="47">
        <v>0</v>
      </c>
      <c r="L391" s="47">
        <v>0</v>
      </c>
      <c r="M391" s="47">
        <v>0</v>
      </c>
      <c r="N391" s="47">
        <v>0</v>
      </c>
      <c r="O391" s="47">
        <v>0</v>
      </c>
      <c r="P391" s="47">
        <v>0</v>
      </c>
      <c r="Q391" s="85"/>
      <c r="R391" s="85"/>
      <c r="S391" s="85"/>
      <c r="T391" s="85"/>
      <c r="U391" s="85"/>
      <c r="V391" s="85"/>
      <c r="W391" s="85"/>
      <c r="X391" s="85"/>
      <c r="Y391" s="85"/>
      <c r="Z391" s="85"/>
      <c r="AA391" s="85"/>
      <c r="AB391" s="85"/>
      <c r="AC391" s="85"/>
      <c r="AD391" s="85"/>
      <c r="AE391" s="47">
        <v>0</v>
      </c>
      <c r="AF391" s="47">
        <v>0</v>
      </c>
      <c r="AG391" s="47">
        <v>0</v>
      </c>
      <c r="AH391" s="47">
        <v>0</v>
      </c>
      <c r="AI391" s="47">
        <v>0</v>
      </c>
      <c r="AJ391" s="47">
        <v>0</v>
      </c>
      <c r="AK391" s="47">
        <v>0</v>
      </c>
      <c r="AL391" s="47">
        <v>0</v>
      </c>
      <c r="AM391" s="47">
        <v>0</v>
      </c>
      <c r="AN391" s="47">
        <v>0</v>
      </c>
      <c r="AO391" s="47">
        <v>0</v>
      </c>
      <c r="AP391" s="47">
        <v>0</v>
      </c>
      <c r="AQ391" s="47">
        <v>0</v>
      </c>
      <c r="AR391" s="47">
        <v>0</v>
      </c>
      <c r="AS391" s="47"/>
      <c r="AT391" s="47"/>
      <c r="AU391" s="47"/>
      <c r="AV391" s="47"/>
      <c r="AW391" s="47"/>
      <c r="AX391" s="47"/>
      <c r="AY391" s="47"/>
      <c r="AZ391" s="47"/>
      <c r="BA391" s="47"/>
      <c r="BB391" s="47"/>
      <c r="BC391" s="47"/>
      <c r="BD391" s="47"/>
      <c r="BE391" s="47"/>
      <c r="BF391" s="47"/>
    </row>
    <row r="392" spans="1:58" hidden="1">
      <c r="A392" s="46" t="s">
        <v>285</v>
      </c>
      <c r="B392" s="46" t="s">
        <v>276</v>
      </c>
      <c r="C392" s="47">
        <v>574003</v>
      </c>
      <c r="D392" s="47">
        <v>572311</v>
      </c>
      <c r="E392" s="47">
        <v>569331</v>
      </c>
      <c r="F392" s="47">
        <v>575985</v>
      </c>
      <c r="G392" s="47">
        <v>584749</v>
      </c>
      <c r="H392" s="47">
        <v>587133</v>
      </c>
      <c r="I392" s="47">
        <v>588081</v>
      </c>
      <c r="J392" s="47">
        <v>573650</v>
      </c>
      <c r="K392" s="47">
        <v>561272</v>
      </c>
      <c r="L392" s="47">
        <v>583941</v>
      </c>
      <c r="M392" s="47">
        <v>576822</v>
      </c>
      <c r="N392" s="47">
        <v>601092</v>
      </c>
      <c r="O392" s="47">
        <v>588746</v>
      </c>
      <c r="P392" s="47">
        <v>570828</v>
      </c>
      <c r="Q392" s="85">
        <v>70.12</v>
      </c>
      <c r="R392" s="85">
        <v>73.78</v>
      </c>
      <c r="S392" s="85">
        <v>70.47</v>
      </c>
      <c r="T392" s="85">
        <v>73.22</v>
      </c>
      <c r="U392" s="85">
        <v>77.72</v>
      </c>
      <c r="V392" s="85">
        <v>77.900000000000006</v>
      </c>
      <c r="W392" s="85">
        <v>69.23</v>
      </c>
      <c r="X392" s="85">
        <v>78.150000000000006</v>
      </c>
      <c r="Y392" s="85">
        <v>71.569999999999993</v>
      </c>
      <c r="Z392" s="85">
        <v>78.31</v>
      </c>
      <c r="AA392" s="85">
        <v>72.709999999999994</v>
      </c>
      <c r="AB392" s="85">
        <v>75.209999999999994</v>
      </c>
      <c r="AC392" s="85">
        <v>72.33</v>
      </c>
      <c r="AD392" s="85">
        <v>76.040000000000006</v>
      </c>
      <c r="AE392" s="47">
        <v>40250291</v>
      </c>
      <c r="AF392" s="47">
        <v>42226451</v>
      </c>
      <c r="AG392" s="47">
        <v>40121701</v>
      </c>
      <c r="AH392" s="47">
        <v>42175493</v>
      </c>
      <c r="AI392" s="47">
        <v>45445447</v>
      </c>
      <c r="AJ392" s="47">
        <v>45740067</v>
      </c>
      <c r="AK392" s="47">
        <v>40711094</v>
      </c>
      <c r="AL392" s="47">
        <v>44829058</v>
      </c>
      <c r="AM392" s="47">
        <v>40167488</v>
      </c>
      <c r="AN392" s="47">
        <v>45727001</v>
      </c>
      <c r="AO392" s="47">
        <v>41942555</v>
      </c>
      <c r="AP392" s="47">
        <v>45205241</v>
      </c>
      <c r="AQ392" s="47">
        <v>42583250</v>
      </c>
      <c r="AR392" s="47">
        <v>43407596</v>
      </c>
      <c r="AS392" s="47"/>
      <c r="AT392" s="47"/>
      <c r="AU392" s="47"/>
      <c r="AV392" s="47"/>
      <c r="AW392" s="47"/>
      <c r="AX392" s="47"/>
      <c r="AY392" s="47"/>
      <c r="AZ392" s="47"/>
      <c r="BA392" s="47"/>
      <c r="BB392" s="47"/>
      <c r="BC392" s="47"/>
      <c r="BD392" s="47"/>
      <c r="BE392" s="47"/>
      <c r="BF392" s="47"/>
    </row>
    <row r="393" spans="1:58" hidden="1">
      <c r="A393" s="46" t="s">
        <v>285</v>
      </c>
      <c r="B393" s="46" t="s">
        <v>277</v>
      </c>
      <c r="C393" s="47"/>
      <c r="D393" s="47"/>
      <c r="E393" s="47"/>
      <c r="F393" s="47"/>
      <c r="G393" s="47"/>
      <c r="H393" s="47"/>
      <c r="I393" s="47"/>
      <c r="J393" s="47"/>
      <c r="K393" s="47"/>
      <c r="L393" s="47"/>
      <c r="M393" s="47"/>
      <c r="N393" s="47"/>
      <c r="O393" s="47"/>
      <c r="P393" s="47"/>
      <c r="Q393" s="85"/>
      <c r="R393" s="85"/>
      <c r="S393" s="85"/>
      <c r="T393" s="85"/>
      <c r="U393" s="85"/>
      <c r="V393" s="85"/>
      <c r="W393" s="85"/>
      <c r="X393" s="85"/>
      <c r="Y393" s="85"/>
      <c r="Z393" s="85"/>
      <c r="AA393" s="85"/>
      <c r="AB393" s="85"/>
      <c r="AC393" s="85"/>
      <c r="AD393" s="85"/>
      <c r="AE393" s="47">
        <v>10700000</v>
      </c>
      <c r="AF393" s="47">
        <v>10870000</v>
      </c>
      <c r="AG393" s="47">
        <v>10720000</v>
      </c>
      <c r="AH393" s="47">
        <v>11390000</v>
      </c>
      <c r="AI393" s="47">
        <v>11610000</v>
      </c>
      <c r="AJ393" s="47">
        <v>12330000</v>
      </c>
      <c r="AK393" s="47">
        <v>11150000</v>
      </c>
      <c r="AL393" s="47">
        <v>12080000</v>
      </c>
      <c r="AM393" s="47">
        <v>10360000</v>
      </c>
      <c r="AN393" s="47">
        <v>12100000</v>
      </c>
      <c r="AO393" s="47">
        <v>8940000</v>
      </c>
      <c r="AP393" s="47">
        <v>11010000</v>
      </c>
      <c r="AQ393" s="47">
        <v>11430000</v>
      </c>
      <c r="AR393" s="47">
        <v>11050000</v>
      </c>
      <c r="AS393" s="47"/>
      <c r="AT393" s="47"/>
      <c r="AU393" s="47"/>
      <c r="AV393" s="47"/>
      <c r="AW393" s="47"/>
      <c r="AX393" s="47"/>
      <c r="AY393" s="47"/>
      <c r="AZ393" s="47"/>
      <c r="BA393" s="47"/>
      <c r="BB393" s="47"/>
      <c r="BC393" s="47"/>
      <c r="BD393" s="47"/>
      <c r="BE393" s="47"/>
      <c r="BF393" s="47"/>
    </row>
    <row r="394" spans="1:58" hidden="1">
      <c r="A394" s="46" t="s">
        <v>285</v>
      </c>
      <c r="B394" s="46" t="s">
        <v>65</v>
      </c>
      <c r="C394" s="47">
        <v>34060</v>
      </c>
      <c r="D394" s="47">
        <v>38265</v>
      </c>
      <c r="E394" s="47">
        <v>40851</v>
      </c>
      <c r="F394" s="47">
        <v>43100</v>
      </c>
      <c r="G394" s="47">
        <v>39202</v>
      </c>
      <c r="H394" s="47">
        <v>38085</v>
      </c>
      <c r="I394" s="47">
        <v>41920</v>
      </c>
      <c r="J394" s="47">
        <v>49250</v>
      </c>
      <c r="K394" s="47">
        <v>53060</v>
      </c>
      <c r="L394" s="47">
        <v>50670</v>
      </c>
      <c r="M394" s="47">
        <v>52205</v>
      </c>
      <c r="N394" s="47">
        <v>50320</v>
      </c>
      <c r="O394" s="47">
        <v>59184</v>
      </c>
      <c r="P394" s="47">
        <v>71612</v>
      </c>
      <c r="Q394" s="85">
        <v>34.11</v>
      </c>
      <c r="R394" s="85">
        <v>36.86</v>
      </c>
      <c r="S394" s="85">
        <v>33.74</v>
      </c>
      <c r="T394" s="85">
        <v>33.93</v>
      </c>
      <c r="U394" s="85">
        <v>33.94</v>
      </c>
      <c r="V394" s="85">
        <v>34.51</v>
      </c>
      <c r="W394" s="85">
        <v>34.44</v>
      </c>
      <c r="X394" s="85">
        <v>39.770000000000003</v>
      </c>
      <c r="Y394" s="85">
        <v>34</v>
      </c>
      <c r="Z394" s="85">
        <v>36.28</v>
      </c>
      <c r="AA394" s="85">
        <v>27.47</v>
      </c>
      <c r="AB394" s="85">
        <v>35.07</v>
      </c>
      <c r="AC394" s="85">
        <v>39.68</v>
      </c>
      <c r="AD394" s="85">
        <v>31.4</v>
      </c>
      <c r="AE394" s="47">
        <v>1161650</v>
      </c>
      <c r="AF394" s="47">
        <v>1410385</v>
      </c>
      <c r="AG394" s="47">
        <v>1378195</v>
      </c>
      <c r="AH394" s="47">
        <v>1462280</v>
      </c>
      <c r="AI394" s="47">
        <v>1330527</v>
      </c>
      <c r="AJ394" s="47">
        <v>1314320</v>
      </c>
      <c r="AK394" s="47">
        <v>1443655</v>
      </c>
      <c r="AL394" s="47">
        <v>1958700</v>
      </c>
      <c r="AM394" s="47">
        <v>1803922</v>
      </c>
      <c r="AN394" s="47">
        <v>1838400</v>
      </c>
      <c r="AO394" s="47">
        <v>1434200</v>
      </c>
      <c r="AP394" s="47">
        <v>1764600</v>
      </c>
      <c r="AQ394" s="47">
        <v>2348229</v>
      </c>
      <c r="AR394" s="47">
        <v>2248805</v>
      </c>
      <c r="AS394" s="47"/>
      <c r="AT394" s="47"/>
      <c r="AU394" s="47"/>
      <c r="AV394" s="47"/>
      <c r="AW394" s="47"/>
      <c r="AX394" s="47"/>
      <c r="AY394" s="47"/>
      <c r="AZ394" s="47"/>
      <c r="BA394" s="47"/>
      <c r="BB394" s="47"/>
      <c r="BC394" s="47"/>
      <c r="BD394" s="47"/>
      <c r="BE394" s="47"/>
      <c r="BF394" s="47"/>
    </row>
    <row r="395" spans="1:58" hidden="1">
      <c r="A395" s="46" t="s">
        <v>285</v>
      </c>
      <c r="B395" s="46" t="s">
        <v>66</v>
      </c>
      <c r="C395" s="47">
        <v>517</v>
      </c>
      <c r="D395" s="47">
        <v>109</v>
      </c>
      <c r="E395" s="47">
        <v>99</v>
      </c>
      <c r="F395" s="47">
        <v>204</v>
      </c>
      <c r="G395" s="47">
        <v>168</v>
      </c>
      <c r="H395" s="47">
        <v>320</v>
      </c>
      <c r="I395" s="47">
        <v>321</v>
      </c>
      <c r="J395" s="47">
        <v>385</v>
      </c>
      <c r="K395" s="47">
        <v>540</v>
      </c>
      <c r="L395" s="47">
        <v>735</v>
      </c>
      <c r="M395" s="47">
        <v>761</v>
      </c>
      <c r="N395" s="47">
        <v>320</v>
      </c>
      <c r="O395" s="47">
        <v>451</v>
      </c>
      <c r="P395" s="47">
        <v>857</v>
      </c>
      <c r="Q395" s="85">
        <v>32.729999999999997</v>
      </c>
      <c r="R395" s="85">
        <v>35.549999999999997</v>
      </c>
      <c r="S395" s="85">
        <v>33.43</v>
      </c>
      <c r="T395" s="85">
        <v>29.69</v>
      </c>
      <c r="U395" s="85">
        <v>29.98</v>
      </c>
      <c r="V395" s="85">
        <v>29.2</v>
      </c>
      <c r="W395" s="85">
        <v>31.56</v>
      </c>
      <c r="X395" s="85">
        <v>37.69</v>
      </c>
      <c r="Y395" s="85">
        <v>30.42</v>
      </c>
      <c r="Z395" s="85">
        <v>30.84</v>
      </c>
      <c r="AA395" s="85">
        <v>25.23</v>
      </c>
      <c r="AB395" s="85">
        <v>34.94</v>
      </c>
      <c r="AC395" s="85">
        <v>38.78</v>
      </c>
      <c r="AD395" s="85">
        <v>30.7</v>
      </c>
      <c r="AE395" s="47">
        <v>16919</v>
      </c>
      <c r="AF395" s="47">
        <v>3875</v>
      </c>
      <c r="AG395" s="47">
        <v>3310</v>
      </c>
      <c r="AH395" s="47">
        <v>6057</v>
      </c>
      <c r="AI395" s="47">
        <v>5037</v>
      </c>
      <c r="AJ395" s="47">
        <v>9345</v>
      </c>
      <c r="AK395" s="47">
        <v>10130</v>
      </c>
      <c r="AL395" s="47">
        <v>14510</v>
      </c>
      <c r="AM395" s="47">
        <v>16429</v>
      </c>
      <c r="AN395" s="47">
        <v>22667</v>
      </c>
      <c r="AO395" s="47">
        <v>19200</v>
      </c>
      <c r="AP395" s="47">
        <v>11180</v>
      </c>
      <c r="AQ395" s="47">
        <v>17488</v>
      </c>
      <c r="AR395" s="47">
        <v>26309</v>
      </c>
      <c r="AS395" s="47"/>
      <c r="AT395" s="47"/>
      <c r="AU395" s="47"/>
      <c r="AV395" s="47"/>
      <c r="AW395" s="47"/>
      <c r="AX395" s="47"/>
      <c r="AY395" s="47"/>
      <c r="AZ395" s="47"/>
      <c r="BA395" s="47"/>
      <c r="BB395" s="47"/>
      <c r="BC395" s="47"/>
      <c r="BD395" s="47"/>
      <c r="BE395" s="47"/>
      <c r="BF395" s="47"/>
    </row>
    <row r="396" spans="1:58" hidden="1">
      <c r="A396" s="46" t="s">
        <v>285</v>
      </c>
      <c r="B396" s="46" t="s">
        <v>67</v>
      </c>
      <c r="C396" s="47">
        <v>34577</v>
      </c>
      <c r="D396" s="47">
        <v>38374</v>
      </c>
      <c r="E396" s="47">
        <v>40950</v>
      </c>
      <c r="F396" s="47">
        <v>43304</v>
      </c>
      <c r="G396" s="47">
        <v>39370</v>
      </c>
      <c r="H396" s="47">
        <v>38405</v>
      </c>
      <c r="I396" s="47">
        <v>42241</v>
      </c>
      <c r="J396" s="47">
        <v>49635</v>
      </c>
      <c r="K396" s="47">
        <v>53600</v>
      </c>
      <c r="L396" s="47">
        <v>51405</v>
      </c>
      <c r="M396" s="47">
        <v>52966</v>
      </c>
      <c r="N396" s="47">
        <v>50640</v>
      </c>
      <c r="O396" s="47">
        <v>59635</v>
      </c>
      <c r="P396" s="47">
        <v>72469</v>
      </c>
      <c r="Q396" s="85">
        <v>34.090000000000003</v>
      </c>
      <c r="R396" s="85">
        <v>36.85</v>
      </c>
      <c r="S396" s="85">
        <v>33.74</v>
      </c>
      <c r="T396" s="85">
        <v>33.909999999999997</v>
      </c>
      <c r="U396" s="85">
        <v>33.92</v>
      </c>
      <c r="V396" s="85">
        <v>34.47</v>
      </c>
      <c r="W396" s="85">
        <v>34.42</v>
      </c>
      <c r="X396" s="85">
        <v>39.75</v>
      </c>
      <c r="Y396" s="85">
        <v>33.96</v>
      </c>
      <c r="Z396" s="85">
        <v>36.200000000000003</v>
      </c>
      <c r="AA396" s="85">
        <v>27.44</v>
      </c>
      <c r="AB396" s="85">
        <v>35.07</v>
      </c>
      <c r="AC396" s="85">
        <v>39.67</v>
      </c>
      <c r="AD396" s="85">
        <v>31.39</v>
      </c>
      <c r="AE396" s="47">
        <v>1178569</v>
      </c>
      <c r="AF396" s="47">
        <v>1414260</v>
      </c>
      <c r="AG396" s="47">
        <v>1381505</v>
      </c>
      <c r="AH396" s="47">
        <v>1468337</v>
      </c>
      <c r="AI396" s="47">
        <v>1335564</v>
      </c>
      <c r="AJ396" s="47">
        <v>1323665</v>
      </c>
      <c r="AK396" s="47">
        <v>1453785</v>
      </c>
      <c r="AL396" s="47">
        <v>1973210</v>
      </c>
      <c r="AM396" s="47">
        <v>1820351</v>
      </c>
      <c r="AN396" s="47">
        <v>1861067</v>
      </c>
      <c r="AO396" s="47">
        <v>1453400</v>
      </c>
      <c r="AP396" s="47">
        <v>1775780</v>
      </c>
      <c r="AQ396" s="47">
        <v>2365717</v>
      </c>
      <c r="AR396" s="47">
        <v>2275114</v>
      </c>
      <c r="AS396" s="47"/>
      <c r="AT396" s="47"/>
      <c r="AU396" s="47"/>
      <c r="AV396" s="47"/>
      <c r="AW396" s="47"/>
      <c r="AX396" s="47"/>
      <c r="AY396" s="47"/>
      <c r="AZ396" s="47"/>
      <c r="BA396" s="47"/>
      <c r="BB396" s="47"/>
      <c r="BC396" s="47"/>
      <c r="BD396" s="47"/>
      <c r="BE396" s="47"/>
      <c r="BF396" s="47"/>
    </row>
    <row r="397" spans="1:58" hidden="1">
      <c r="A397" s="46" t="s">
        <v>285</v>
      </c>
      <c r="B397" s="46" t="s">
        <v>68</v>
      </c>
      <c r="C397" s="47">
        <v>262</v>
      </c>
      <c r="D397" s="47">
        <v>201</v>
      </c>
      <c r="E397" s="47">
        <v>61</v>
      </c>
      <c r="F397" s="47">
        <v>176</v>
      </c>
      <c r="G397" s="47">
        <v>77</v>
      </c>
      <c r="H397" s="47">
        <v>83</v>
      </c>
      <c r="I397" s="47">
        <v>47</v>
      </c>
      <c r="J397" s="47">
        <v>75</v>
      </c>
      <c r="K397" s="47">
        <v>225</v>
      </c>
      <c r="L397" s="47">
        <v>267</v>
      </c>
      <c r="M397" s="47">
        <v>700</v>
      </c>
      <c r="N397" s="47">
        <v>1010</v>
      </c>
      <c r="O397" s="47">
        <v>2393</v>
      </c>
      <c r="P397" s="47">
        <v>2729</v>
      </c>
      <c r="Q397" s="85">
        <v>20</v>
      </c>
      <c r="R397" s="85">
        <v>23.42</v>
      </c>
      <c r="S397" s="85">
        <v>23.48</v>
      </c>
      <c r="T397" s="85">
        <v>22</v>
      </c>
      <c r="U397" s="85">
        <v>22</v>
      </c>
      <c r="V397" s="85">
        <v>23</v>
      </c>
      <c r="W397" s="85">
        <v>22</v>
      </c>
      <c r="X397" s="85">
        <v>19.329999999999998</v>
      </c>
      <c r="Y397" s="85">
        <v>20</v>
      </c>
      <c r="Z397" s="85">
        <v>20.41</v>
      </c>
      <c r="AA397" s="85">
        <v>20.059999999999999</v>
      </c>
      <c r="AB397" s="85">
        <v>19.46</v>
      </c>
      <c r="AC397" s="85">
        <v>20.74</v>
      </c>
      <c r="AD397" s="85">
        <v>25.8</v>
      </c>
      <c r="AE397" s="47">
        <v>5240</v>
      </c>
      <c r="AF397" s="47">
        <v>4707</v>
      </c>
      <c r="AG397" s="47">
        <v>1432</v>
      </c>
      <c r="AH397" s="47">
        <v>3872</v>
      </c>
      <c r="AI397" s="47">
        <v>1694</v>
      </c>
      <c r="AJ397" s="47">
        <v>1909</v>
      </c>
      <c r="AK397" s="47">
        <v>1034</v>
      </c>
      <c r="AL397" s="47">
        <v>1450</v>
      </c>
      <c r="AM397" s="47">
        <v>4500</v>
      </c>
      <c r="AN397" s="47">
        <v>5450</v>
      </c>
      <c r="AO397" s="47">
        <v>14040</v>
      </c>
      <c r="AP397" s="47">
        <v>19655</v>
      </c>
      <c r="AQ397" s="47">
        <v>49635</v>
      </c>
      <c r="AR397" s="47">
        <v>70409</v>
      </c>
      <c r="AS397" s="47"/>
      <c r="AT397" s="47"/>
      <c r="AU397" s="47"/>
      <c r="AV397" s="47"/>
      <c r="AW397" s="47"/>
      <c r="AX397" s="47"/>
      <c r="AY397" s="47"/>
      <c r="AZ397" s="47"/>
      <c r="BA397" s="47"/>
      <c r="BB397" s="47"/>
      <c r="BC397" s="47"/>
      <c r="BD397" s="47"/>
      <c r="BE397" s="47"/>
      <c r="BF397" s="47"/>
    </row>
    <row r="398" spans="1:58" hidden="1">
      <c r="A398" s="46" t="s">
        <v>285</v>
      </c>
      <c r="B398" s="46" t="s">
        <v>69</v>
      </c>
      <c r="C398" s="47">
        <v>0</v>
      </c>
      <c r="D398" s="47">
        <v>6</v>
      </c>
      <c r="E398" s="47">
        <v>7</v>
      </c>
      <c r="F398" s="47">
        <v>6</v>
      </c>
      <c r="G398" s="47">
        <v>10</v>
      </c>
      <c r="H398" s="47">
        <v>67</v>
      </c>
      <c r="I398" s="47">
        <v>45</v>
      </c>
      <c r="J398" s="47">
        <v>45</v>
      </c>
      <c r="K398" s="47">
        <v>75</v>
      </c>
      <c r="L398" s="47">
        <v>125</v>
      </c>
      <c r="M398" s="47">
        <v>279</v>
      </c>
      <c r="N398" s="47">
        <v>188</v>
      </c>
      <c r="O398" s="47">
        <v>164</v>
      </c>
      <c r="P398" s="47">
        <v>221</v>
      </c>
      <c r="Q398" s="85"/>
      <c r="R398" s="85">
        <v>28.83</v>
      </c>
      <c r="S398" s="85">
        <v>28</v>
      </c>
      <c r="T398" s="85">
        <v>28</v>
      </c>
      <c r="U398" s="85">
        <v>28</v>
      </c>
      <c r="V398" s="85">
        <v>28</v>
      </c>
      <c r="W398" s="85">
        <v>25.22</v>
      </c>
      <c r="X398" s="85">
        <v>28.78</v>
      </c>
      <c r="Y398" s="85">
        <v>27</v>
      </c>
      <c r="Z398" s="85">
        <v>25.56</v>
      </c>
      <c r="AA398" s="85">
        <v>25.27</v>
      </c>
      <c r="AB398" s="85">
        <v>29.15</v>
      </c>
      <c r="AC398" s="85">
        <v>27.51</v>
      </c>
      <c r="AD398" s="85">
        <v>27.07</v>
      </c>
      <c r="AE398" s="47">
        <v>0</v>
      </c>
      <c r="AF398" s="47">
        <v>173</v>
      </c>
      <c r="AG398" s="47">
        <v>196</v>
      </c>
      <c r="AH398" s="47">
        <v>168</v>
      </c>
      <c r="AI398" s="47">
        <v>280</v>
      </c>
      <c r="AJ398" s="47">
        <v>1876</v>
      </c>
      <c r="AK398" s="47">
        <v>1135</v>
      </c>
      <c r="AL398" s="47">
        <v>1295</v>
      </c>
      <c r="AM398" s="47">
        <v>2025</v>
      </c>
      <c r="AN398" s="47">
        <v>3195</v>
      </c>
      <c r="AO398" s="47">
        <v>7050</v>
      </c>
      <c r="AP398" s="47">
        <v>5480</v>
      </c>
      <c r="AQ398" s="47">
        <v>4512</v>
      </c>
      <c r="AR398" s="47">
        <v>5982</v>
      </c>
      <c r="AS398" s="47"/>
      <c r="AT398" s="47"/>
      <c r="AU398" s="47"/>
      <c r="AV398" s="47"/>
      <c r="AW398" s="47"/>
      <c r="AX398" s="47"/>
      <c r="AY398" s="47"/>
      <c r="AZ398" s="47"/>
      <c r="BA398" s="47"/>
      <c r="BB398" s="47"/>
      <c r="BC398" s="47"/>
      <c r="BD398" s="47"/>
      <c r="BE398" s="47"/>
      <c r="BF398" s="47"/>
    </row>
    <row r="399" spans="1:58" hidden="1">
      <c r="A399" s="46" t="s">
        <v>285</v>
      </c>
      <c r="B399" s="46" t="s">
        <v>70</v>
      </c>
      <c r="C399" s="47">
        <v>1235</v>
      </c>
      <c r="D399" s="47">
        <v>655</v>
      </c>
      <c r="E399" s="47">
        <v>570</v>
      </c>
      <c r="F399" s="47">
        <v>230</v>
      </c>
      <c r="G399" s="47">
        <v>287</v>
      </c>
      <c r="H399" s="47">
        <v>576</v>
      </c>
      <c r="I399" s="47">
        <v>466</v>
      </c>
      <c r="J399" s="47">
        <v>540</v>
      </c>
      <c r="K399" s="47">
        <v>458</v>
      </c>
      <c r="L399" s="47">
        <v>463</v>
      </c>
      <c r="M399" s="47">
        <v>402</v>
      </c>
      <c r="N399" s="47">
        <v>455</v>
      </c>
      <c r="O399" s="47">
        <v>235</v>
      </c>
      <c r="P399" s="47">
        <v>337</v>
      </c>
      <c r="Q399" s="85">
        <v>18.02</v>
      </c>
      <c r="R399" s="85">
        <v>23</v>
      </c>
      <c r="S399" s="85">
        <v>21.91</v>
      </c>
      <c r="T399" s="85">
        <v>22.97</v>
      </c>
      <c r="U399" s="85">
        <v>22.9</v>
      </c>
      <c r="V399" s="85">
        <v>22.23</v>
      </c>
      <c r="W399" s="85">
        <v>19</v>
      </c>
      <c r="X399" s="85">
        <v>22.94</v>
      </c>
      <c r="Y399" s="85">
        <v>22.71</v>
      </c>
      <c r="Z399" s="85">
        <v>22.58</v>
      </c>
      <c r="AA399" s="85">
        <v>25.6</v>
      </c>
      <c r="AB399" s="85">
        <v>23.3</v>
      </c>
      <c r="AC399" s="85">
        <v>23.54</v>
      </c>
      <c r="AD399" s="85">
        <v>23.8</v>
      </c>
      <c r="AE399" s="47">
        <v>22251</v>
      </c>
      <c r="AF399" s="47">
        <v>15065</v>
      </c>
      <c r="AG399" s="47">
        <v>12491</v>
      </c>
      <c r="AH399" s="47">
        <v>5282</v>
      </c>
      <c r="AI399" s="47">
        <v>6573</v>
      </c>
      <c r="AJ399" s="47">
        <v>12802</v>
      </c>
      <c r="AK399" s="47">
        <v>8854</v>
      </c>
      <c r="AL399" s="47">
        <v>12390</v>
      </c>
      <c r="AM399" s="47">
        <v>10403</v>
      </c>
      <c r="AN399" s="47">
        <v>10453</v>
      </c>
      <c r="AO399" s="47">
        <v>10290</v>
      </c>
      <c r="AP399" s="47">
        <v>10600</v>
      </c>
      <c r="AQ399" s="47">
        <v>5533</v>
      </c>
      <c r="AR399" s="47">
        <v>8020</v>
      </c>
      <c r="AS399" s="47"/>
      <c r="AT399" s="47"/>
      <c r="AU399" s="47"/>
      <c r="AV399" s="47"/>
      <c r="AW399" s="47"/>
      <c r="AX399" s="47"/>
      <c r="AY399" s="47"/>
      <c r="AZ399" s="47"/>
      <c r="BA399" s="47"/>
      <c r="BB399" s="47"/>
      <c r="BC399" s="47"/>
      <c r="BD399" s="47"/>
      <c r="BE399" s="47"/>
      <c r="BF399" s="47"/>
    </row>
    <row r="400" spans="1:58" hidden="1">
      <c r="A400" s="46" t="s">
        <v>285</v>
      </c>
      <c r="B400" s="46" t="s">
        <v>71</v>
      </c>
      <c r="C400" s="47">
        <v>50</v>
      </c>
      <c r="D400" s="47">
        <v>55</v>
      </c>
      <c r="E400" s="47">
        <v>60</v>
      </c>
      <c r="F400" s="47">
        <v>56</v>
      </c>
      <c r="G400" s="47">
        <v>35</v>
      </c>
      <c r="H400" s="47">
        <v>55</v>
      </c>
      <c r="I400" s="47">
        <v>55</v>
      </c>
      <c r="J400" s="47">
        <v>125</v>
      </c>
      <c r="K400" s="47">
        <v>151</v>
      </c>
      <c r="L400" s="47">
        <v>70</v>
      </c>
      <c r="M400" s="47">
        <v>177</v>
      </c>
      <c r="N400" s="47">
        <v>90</v>
      </c>
      <c r="O400" s="47">
        <v>163</v>
      </c>
      <c r="P400" s="47">
        <v>146</v>
      </c>
      <c r="Q400" s="85"/>
      <c r="R400" s="85"/>
      <c r="S400" s="85"/>
      <c r="T400" s="85"/>
      <c r="U400" s="85"/>
      <c r="V400" s="85"/>
      <c r="W400" s="85"/>
      <c r="X400" s="85"/>
      <c r="Y400" s="85"/>
      <c r="Z400" s="85"/>
      <c r="AA400" s="85"/>
      <c r="AB400" s="85"/>
      <c r="AC400" s="85"/>
      <c r="AD400" s="85"/>
      <c r="AE400" s="47">
        <v>900</v>
      </c>
      <c r="AF400" s="47">
        <v>1122</v>
      </c>
      <c r="AG400" s="47">
        <v>1173</v>
      </c>
      <c r="AH400" s="47">
        <v>1252</v>
      </c>
      <c r="AI400" s="47">
        <v>781</v>
      </c>
      <c r="AJ400" s="47">
        <v>1251</v>
      </c>
      <c r="AK400" s="47">
        <v>1180</v>
      </c>
      <c r="AL400" s="47">
        <v>3110</v>
      </c>
      <c r="AM400" s="47">
        <v>3350</v>
      </c>
      <c r="AN400" s="47">
        <v>1500</v>
      </c>
      <c r="AO400" s="47">
        <v>3670</v>
      </c>
      <c r="AP400" s="47">
        <v>1750</v>
      </c>
      <c r="AQ400" s="47">
        <v>3231</v>
      </c>
      <c r="AR400" s="47">
        <v>2971</v>
      </c>
      <c r="AS400" s="47"/>
      <c r="AT400" s="47"/>
      <c r="AU400" s="47"/>
      <c r="AV400" s="47"/>
      <c r="AW400" s="47"/>
      <c r="AX400" s="47"/>
      <c r="AY400" s="47"/>
      <c r="AZ400" s="47"/>
      <c r="BA400" s="47"/>
      <c r="BB400" s="47"/>
      <c r="BC400" s="47"/>
      <c r="BD400" s="47"/>
      <c r="BE400" s="47"/>
      <c r="BF400" s="47"/>
    </row>
    <row r="401" spans="1:58" hidden="1">
      <c r="A401" s="46" t="s">
        <v>285</v>
      </c>
      <c r="B401" s="46" t="s">
        <v>72</v>
      </c>
      <c r="C401" s="47">
        <v>36124</v>
      </c>
      <c r="D401" s="47">
        <v>39291</v>
      </c>
      <c r="E401" s="47">
        <v>41648</v>
      </c>
      <c r="F401" s="47">
        <v>43772</v>
      </c>
      <c r="G401" s="47">
        <v>39779</v>
      </c>
      <c r="H401" s="47">
        <v>39186</v>
      </c>
      <c r="I401" s="47">
        <v>42854</v>
      </c>
      <c r="J401" s="47">
        <v>50420</v>
      </c>
      <c r="K401" s="47">
        <v>54509</v>
      </c>
      <c r="L401" s="47">
        <v>52330</v>
      </c>
      <c r="M401" s="47">
        <v>54524</v>
      </c>
      <c r="N401" s="47">
        <v>52383</v>
      </c>
      <c r="O401" s="47">
        <v>62590</v>
      </c>
      <c r="P401" s="47">
        <v>75902</v>
      </c>
      <c r="Q401" s="85">
        <v>33.409999999999997</v>
      </c>
      <c r="R401" s="85">
        <v>36.53</v>
      </c>
      <c r="S401" s="85">
        <v>33.54</v>
      </c>
      <c r="T401" s="85">
        <v>33.79</v>
      </c>
      <c r="U401" s="85">
        <v>33.81</v>
      </c>
      <c r="V401" s="85">
        <v>34.229999999999997</v>
      </c>
      <c r="W401" s="85">
        <v>34.21</v>
      </c>
      <c r="X401" s="85">
        <v>39.5</v>
      </c>
      <c r="Y401" s="85">
        <v>33.770000000000003</v>
      </c>
      <c r="Z401" s="85">
        <v>35.96</v>
      </c>
      <c r="AA401" s="85">
        <v>27.3</v>
      </c>
      <c r="AB401" s="85">
        <v>34.619999999999997</v>
      </c>
      <c r="AC401" s="85">
        <v>38.799999999999997</v>
      </c>
      <c r="AD401" s="85">
        <v>31.13</v>
      </c>
      <c r="AE401" s="47">
        <v>1206960</v>
      </c>
      <c r="AF401" s="47">
        <v>1435327</v>
      </c>
      <c r="AG401" s="47">
        <v>1396797</v>
      </c>
      <c r="AH401" s="47">
        <v>1478911</v>
      </c>
      <c r="AI401" s="47">
        <v>1344892</v>
      </c>
      <c r="AJ401" s="47">
        <v>1341503</v>
      </c>
      <c r="AK401" s="47">
        <v>1465988</v>
      </c>
      <c r="AL401" s="47">
        <v>1991455</v>
      </c>
      <c r="AM401" s="47">
        <v>1840629</v>
      </c>
      <c r="AN401" s="47">
        <v>1881665</v>
      </c>
      <c r="AO401" s="47">
        <v>1488450</v>
      </c>
      <c r="AP401" s="47">
        <v>1813265</v>
      </c>
      <c r="AQ401" s="47">
        <v>2428628</v>
      </c>
      <c r="AR401" s="47">
        <v>2362496</v>
      </c>
      <c r="AS401" s="47"/>
      <c r="AT401" s="47"/>
      <c r="AU401" s="47"/>
      <c r="AV401" s="47"/>
      <c r="AW401" s="47"/>
      <c r="AX401" s="47"/>
      <c r="AY401" s="47"/>
      <c r="AZ401" s="47"/>
      <c r="BA401" s="47"/>
      <c r="BB401" s="47"/>
      <c r="BC401" s="47"/>
      <c r="BD401" s="47"/>
      <c r="BE401" s="47"/>
      <c r="BF401" s="47"/>
    </row>
    <row r="402" spans="1:58" hidden="1">
      <c r="A402" s="46" t="s">
        <v>285</v>
      </c>
      <c r="B402" s="46" t="s">
        <v>73</v>
      </c>
      <c r="C402" s="47">
        <v>0</v>
      </c>
      <c r="D402" s="47">
        <v>0</v>
      </c>
      <c r="E402" s="47">
        <v>0</v>
      </c>
      <c r="F402" s="47">
        <v>0</v>
      </c>
      <c r="G402" s="47">
        <v>0</v>
      </c>
      <c r="H402" s="47">
        <v>0</v>
      </c>
      <c r="I402" s="47">
        <v>0</v>
      </c>
      <c r="J402" s="47">
        <v>0</v>
      </c>
      <c r="K402" s="47">
        <v>0</v>
      </c>
      <c r="L402" s="47">
        <v>0</v>
      </c>
      <c r="M402" s="47">
        <v>0</v>
      </c>
      <c r="N402" s="47">
        <v>0</v>
      </c>
      <c r="O402" s="47">
        <v>0</v>
      </c>
      <c r="P402" s="47">
        <v>0</v>
      </c>
      <c r="Q402" s="85"/>
      <c r="R402" s="85"/>
      <c r="S402" s="85"/>
      <c r="T402" s="85"/>
      <c r="U402" s="85"/>
      <c r="V402" s="85"/>
      <c r="W402" s="85"/>
      <c r="X402" s="85"/>
      <c r="Y402" s="85"/>
      <c r="Z402" s="85"/>
      <c r="AA402" s="85"/>
      <c r="AB402" s="85"/>
      <c r="AC402" s="85"/>
      <c r="AD402" s="85"/>
      <c r="AE402" s="47">
        <v>0</v>
      </c>
      <c r="AF402" s="47">
        <v>0</v>
      </c>
      <c r="AG402" s="47">
        <v>0</v>
      </c>
      <c r="AH402" s="47">
        <v>0</v>
      </c>
      <c r="AI402" s="47">
        <v>0</v>
      </c>
      <c r="AJ402" s="47">
        <v>0</v>
      </c>
      <c r="AK402" s="47">
        <v>0</v>
      </c>
      <c r="AL402" s="47">
        <v>0</v>
      </c>
      <c r="AM402" s="47">
        <v>0</v>
      </c>
      <c r="AN402" s="47">
        <v>0</v>
      </c>
      <c r="AO402" s="47">
        <v>0</v>
      </c>
      <c r="AP402" s="47">
        <v>0</v>
      </c>
      <c r="AQ402" s="47">
        <v>0</v>
      </c>
      <c r="AR402" s="47">
        <v>0</v>
      </c>
      <c r="AS402" s="47"/>
      <c r="AT402" s="47"/>
      <c r="AU402" s="47"/>
      <c r="AV402" s="47"/>
      <c r="AW402" s="47"/>
      <c r="AX402" s="47"/>
      <c r="AY402" s="47"/>
      <c r="AZ402" s="47"/>
      <c r="BA402" s="47"/>
      <c r="BB402" s="47"/>
      <c r="BC402" s="47"/>
      <c r="BD402" s="47"/>
      <c r="BE402" s="47"/>
      <c r="BF402" s="47"/>
    </row>
    <row r="403" spans="1:58" hidden="1">
      <c r="A403" s="46" t="s">
        <v>285</v>
      </c>
      <c r="B403" s="46" t="s">
        <v>74</v>
      </c>
      <c r="C403" s="47">
        <v>3405</v>
      </c>
      <c r="D403" s="47">
        <v>2015</v>
      </c>
      <c r="E403" s="47">
        <v>1306</v>
      </c>
      <c r="F403" s="47">
        <v>1200</v>
      </c>
      <c r="G403" s="47">
        <v>1790</v>
      </c>
      <c r="H403" s="47">
        <v>2283</v>
      </c>
      <c r="I403" s="47">
        <v>2830</v>
      </c>
      <c r="J403" s="47">
        <v>3530</v>
      </c>
      <c r="K403" s="47">
        <v>3230</v>
      </c>
      <c r="L403" s="47">
        <v>3380</v>
      </c>
      <c r="M403" s="47">
        <v>3345</v>
      </c>
      <c r="N403" s="47">
        <v>3795</v>
      </c>
      <c r="O403" s="47">
        <v>3550</v>
      </c>
      <c r="P403" s="47">
        <v>5730</v>
      </c>
      <c r="Q403" s="85">
        <v>33.159999999999997</v>
      </c>
      <c r="R403" s="85">
        <v>32.869999999999997</v>
      </c>
      <c r="S403" s="85">
        <v>32.94</v>
      </c>
      <c r="T403" s="85">
        <v>32.99</v>
      </c>
      <c r="U403" s="85">
        <v>33.049999999999997</v>
      </c>
      <c r="V403" s="85">
        <v>32.33</v>
      </c>
      <c r="W403" s="85">
        <v>30.44</v>
      </c>
      <c r="X403" s="85">
        <v>38.36</v>
      </c>
      <c r="Y403" s="85">
        <v>33.44</v>
      </c>
      <c r="Z403" s="85">
        <v>31.69</v>
      </c>
      <c r="AA403" s="85">
        <v>30.19</v>
      </c>
      <c r="AB403" s="85">
        <v>30.88</v>
      </c>
      <c r="AC403" s="85">
        <v>30.81</v>
      </c>
      <c r="AD403" s="85">
        <v>38.67</v>
      </c>
      <c r="AE403" s="47">
        <v>112901</v>
      </c>
      <c r="AF403" s="47">
        <v>66234</v>
      </c>
      <c r="AG403" s="47">
        <v>43024</v>
      </c>
      <c r="AH403" s="47">
        <v>39590</v>
      </c>
      <c r="AI403" s="47">
        <v>59157</v>
      </c>
      <c r="AJ403" s="47">
        <v>73812</v>
      </c>
      <c r="AK403" s="47">
        <v>86140</v>
      </c>
      <c r="AL403" s="47">
        <v>135400</v>
      </c>
      <c r="AM403" s="47">
        <v>108000</v>
      </c>
      <c r="AN403" s="47">
        <v>107100</v>
      </c>
      <c r="AO403" s="47">
        <v>101000</v>
      </c>
      <c r="AP403" s="47">
        <v>117180</v>
      </c>
      <c r="AQ403" s="47">
        <v>109375</v>
      </c>
      <c r="AR403" s="47">
        <v>221604</v>
      </c>
      <c r="AS403" s="47"/>
      <c r="AT403" s="47"/>
      <c r="AU403" s="47"/>
      <c r="AV403" s="47"/>
      <c r="AW403" s="47"/>
      <c r="AX403" s="47"/>
      <c r="AY403" s="47"/>
      <c r="AZ403" s="47"/>
      <c r="BA403" s="47"/>
      <c r="BB403" s="47"/>
      <c r="BC403" s="47"/>
      <c r="BD403" s="47"/>
      <c r="BE403" s="47"/>
      <c r="BF403" s="47"/>
    </row>
    <row r="404" spans="1:58" hidden="1">
      <c r="A404" s="46" t="s">
        <v>285</v>
      </c>
      <c r="B404" s="46" t="s">
        <v>75</v>
      </c>
      <c r="C404" s="47">
        <v>0</v>
      </c>
      <c r="D404" s="47">
        <v>97</v>
      </c>
      <c r="E404" s="47">
        <v>191</v>
      </c>
      <c r="F404" s="47">
        <v>288</v>
      </c>
      <c r="G404" s="47">
        <v>382</v>
      </c>
      <c r="H404" s="47">
        <v>479</v>
      </c>
      <c r="I404" s="47">
        <v>575</v>
      </c>
      <c r="J404" s="47">
        <v>670</v>
      </c>
      <c r="K404" s="47">
        <v>766</v>
      </c>
      <c r="L404" s="47">
        <v>861</v>
      </c>
      <c r="M404" s="47">
        <v>969</v>
      </c>
      <c r="N404" s="47">
        <v>920</v>
      </c>
      <c r="O404" s="47">
        <v>648</v>
      </c>
      <c r="P404" s="47">
        <v>973</v>
      </c>
      <c r="Q404" s="85"/>
      <c r="R404" s="85">
        <v>21</v>
      </c>
      <c r="S404" s="85">
        <v>20</v>
      </c>
      <c r="T404" s="85">
        <v>18</v>
      </c>
      <c r="U404" s="85">
        <v>19</v>
      </c>
      <c r="V404" s="85">
        <v>21</v>
      </c>
      <c r="W404" s="85">
        <v>21</v>
      </c>
      <c r="X404" s="85">
        <v>24</v>
      </c>
      <c r="Y404" s="85">
        <v>22</v>
      </c>
      <c r="Z404" s="85">
        <v>20</v>
      </c>
      <c r="AA404" s="85">
        <v>18.62</v>
      </c>
      <c r="AB404" s="85">
        <v>25.39</v>
      </c>
      <c r="AC404" s="85">
        <v>18.29</v>
      </c>
      <c r="AD404" s="85">
        <v>18.29</v>
      </c>
      <c r="AE404" s="47">
        <v>0</v>
      </c>
      <c r="AF404" s="47">
        <v>2037</v>
      </c>
      <c r="AG404" s="47">
        <v>3820</v>
      </c>
      <c r="AH404" s="47">
        <v>5184</v>
      </c>
      <c r="AI404" s="47">
        <v>7258</v>
      </c>
      <c r="AJ404" s="47">
        <v>10059</v>
      </c>
      <c r="AK404" s="47">
        <v>12075</v>
      </c>
      <c r="AL404" s="47">
        <v>16080</v>
      </c>
      <c r="AM404" s="47">
        <v>16852</v>
      </c>
      <c r="AN404" s="47">
        <v>17220</v>
      </c>
      <c r="AO404" s="47">
        <v>18040</v>
      </c>
      <c r="AP404" s="47">
        <v>23360</v>
      </c>
      <c r="AQ404" s="47">
        <v>11851</v>
      </c>
      <c r="AR404" s="47">
        <v>17796</v>
      </c>
      <c r="AS404" s="47"/>
      <c r="AT404" s="47"/>
      <c r="AU404" s="47"/>
      <c r="AV404" s="47"/>
      <c r="AW404" s="47"/>
      <c r="AX404" s="47"/>
      <c r="AY404" s="47"/>
      <c r="AZ404" s="47"/>
      <c r="BA404" s="47"/>
      <c r="BB404" s="47"/>
      <c r="BC404" s="47"/>
      <c r="BD404" s="47"/>
      <c r="BE404" s="47"/>
      <c r="BF404" s="47"/>
    </row>
    <row r="405" spans="1:58" hidden="1">
      <c r="A405" s="46" t="s">
        <v>285</v>
      </c>
      <c r="B405" s="46" t="s">
        <v>76</v>
      </c>
      <c r="C405" s="47">
        <v>0</v>
      </c>
      <c r="D405" s="47">
        <v>0</v>
      </c>
      <c r="E405" s="47">
        <v>0</v>
      </c>
      <c r="F405" s="47">
        <v>0</v>
      </c>
      <c r="G405" s="47">
        <v>0</v>
      </c>
      <c r="H405" s="47">
        <v>0</v>
      </c>
      <c r="I405" s="47">
        <v>0</v>
      </c>
      <c r="J405" s="47">
        <v>12</v>
      </c>
      <c r="K405" s="47">
        <v>22</v>
      </c>
      <c r="L405" s="47">
        <v>67</v>
      </c>
      <c r="M405" s="47">
        <v>82</v>
      </c>
      <c r="N405" s="47">
        <v>80</v>
      </c>
      <c r="O405" s="47">
        <v>66</v>
      </c>
      <c r="P405" s="47">
        <v>64</v>
      </c>
      <c r="Q405" s="85"/>
      <c r="R405" s="85"/>
      <c r="S405" s="85"/>
      <c r="T405" s="85"/>
      <c r="U405" s="85"/>
      <c r="V405" s="85"/>
      <c r="W405" s="85"/>
      <c r="X405" s="85">
        <v>13</v>
      </c>
      <c r="Y405" s="85">
        <v>14</v>
      </c>
      <c r="Z405" s="85">
        <v>13</v>
      </c>
      <c r="AA405" s="85">
        <v>8.2899999999999991</v>
      </c>
      <c r="AB405" s="85">
        <v>6.8</v>
      </c>
      <c r="AC405" s="85">
        <v>10.27</v>
      </c>
      <c r="AD405" s="85">
        <v>11.94</v>
      </c>
      <c r="AE405" s="47">
        <v>0</v>
      </c>
      <c r="AF405" s="47">
        <v>0</v>
      </c>
      <c r="AG405" s="47">
        <v>0</v>
      </c>
      <c r="AH405" s="47">
        <v>0</v>
      </c>
      <c r="AI405" s="47">
        <v>0</v>
      </c>
      <c r="AJ405" s="47">
        <v>0</v>
      </c>
      <c r="AK405" s="47">
        <v>0</v>
      </c>
      <c r="AL405" s="47">
        <v>156</v>
      </c>
      <c r="AM405" s="47">
        <v>308</v>
      </c>
      <c r="AN405" s="47">
        <v>871</v>
      </c>
      <c r="AO405" s="47">
        <v>680</v>
      </c>
      <c r="AP405" s="47">
        <v>544</v>
      </c>
      <c r="AQ405" s="47">
        <v>678</v>
      </c>
      <c r="AR405" s="47">
        <v>764</v>
      </c>
      <c r="AS405" s="47"/>
      <c r="AT405" s="47"/>
      <c r="AU405" s="47"/>
      <c r="AV405" s="47"/>
      <c r="AW405" s="47"/>
      <c r="AX405" s="47"/>
      <c r="AY405" s="47"/>
      <c r="AZ405" s="47"/>
      <c r="BA405" s="47"/>
      <c r="BB405" s="47"/>
      <c r="BC405" s="47"/>
      <c r="BD405" s="47"/>
      <c r="BE405" s="47"/>
      <c r="BF405" s="47"/>
    </row>
    <row r="406" spans="1:58" hidden="1">
      <c r="A406" s="46" t="s">
        <v>285</v>
      </c>
      <c r="B406" s="46" t="s">
        <v>77</v>
      </c>
      <c r="C406" s="47">
        <v>3694</v>
      </c>
      <c r="D406" s="47">
        <v>2150</v>
      </c>
      <c r="E406" s="47">
        <v>1208</v>
      </c>
      <c r="F406" s="47">
        <v>759</v>
      </c>
      <c r="G406" s="47">
        <v>859</v>
      </c>
      <c r="H406" s="47">
        <v>1383</v>
      </c>
      <c r="I406" s="47">
        <v>2003</v>
      </c>
      <c r="J406" s="47">
        <v>2055</v>
      </c>
      <c r="K406" s="47">
        <v>1730</v>
      </c>
      <c r="L406" s="47">
        <v>1803</v>
      </c>
      <c r="M406" s="47">
        <v>1997</v>
      </c>
      <c r="N406" s="47">
        <v>1267</v>
      </c>
      <c r="O406" s="47">
        <v>911</v>
      </c>
      <c r="P406" s="47">
        <v>2298</v>
      </c>
      <c r="Q406" s="85">
        <v>48</v>
      </c>
      <c r="R406" s="85">
        <v>49.66</v>
      </c>
      <c r="S406" s="85">
        <v>45.06</v>
      </c>
      <c r="T406" s="85">
        <v>41.29</v>
      </c>
      <c r="U406" s="85">
        <v>41.34</v>
      </c>
      <c r="V406" s="85">
        <v>47.01</v>
      </c>
      <c r="W406" s="85">
        <v>38.11</v>
      </c>
      <c r="X406" s="85">
        <v>43.15</v>
      </c>
      <c r="Y406" s="85">
        <v>35.659999999999997</v>
      </c>
      <c r="Z406" s="85">
        <v>39.729999999999997</v>
      </c>
      <c r="AA406" s="85">
        <v>37.57</v>
      </c>
      <c r="AB406" s="85">
        <v>37.17</v>
      </c>
      <c r="AC406" s="85">
        <v>36.4</v>
      </c>
      <c r="AD406" s="85">
        <v>40.39</v>
      </c>
      <c r="AE406" s="47">
        <v>177330</v>
      </c>
      <c r="AF406" s="47">
        <v>106774</v>
      </c>
      <c r="AG406" s="47">
        <v>54431</v>
      </c>
      <c r="AH406" s="47">
        <v>31342</v>
      </c>
      <c r="AI406" s="47">
        <v>35510</v>
      </c>
      <c r="AJ406" s="47">
        <v>65015</v>
      </c>
      <c r="AK406" s="47">
        <v>76328</v>
      </c>
      <c r="AL406" s="47">
        <v>88663</v>
      </c>
      <c r="AM406" s="47">
        <v>61689</v>
      </c>
      <c r="AN406" s="47">
        <v>71631</v>
      </c>
      <c r="AO406" s="47">
        <v>75025</v>
      </c>
      <c r="AP406" s="47">
        <v>47100</v>
      </c>
      <c r="AQ406" s="47">
        <v>33161</v>
      </c>
      <c r="AR406" s="47">
        <v>92816</v>
      </c>
      <c r="AS406" s="47"/>
      <c r="AT406" s="47"/>
      <c r="AU406" s="47"/>
      <c r="AV406" s="47"/>
      <c r="AW406" s="47"/>
      <c r="AX406" s="47"/>
      <c r="AY406" s="47"/>
      <c r="AZ406" s="47"/>
      <c r="BA406" s="47"/>
      <c r="BB406" s="47"/>
      <c r="BC406" s="47"/>
      <c r="BD406" s="47"/>
      <c r="BE406" s="47"/>
      <c r="BF406" s="47"/>
    </row>
    <row r="407" spans="1:58" hidden="1">
      <c r="A407" s="46" t="s">
        <v>285</v>
      </c>
      <c r="B407" s="46" t="s">
        <v>78</v>
      </c>
      <c r="C407" s="47">
        <v>5676</v>
      </c>
      <c r="D407" s="47">
        <v>3320</v>
      </c>
      <c r="E407" s="47">
        <v>1898</v>
      </c>
      <c r="F407" s="47">
        <v>1211</v>
      </c>
      <c r="G407" s="47">
        <v>1357</v>
      </c>
      <c r="H407" s="47">
        <v>2167</v>
      </c>
      <c r="I407" s="47">
        <v>3197</v>
      </c>
      <c r="J407" s="47">
        <v>3245</v>
      </c>
      <c r="K407" s="47">
        <v>2680</v>
      </c>
      <c r="L407" s="47">
        <v>2862</v>
      </c>
      <c r="M407" s="47">
        <v>3163</v>
      </c>
      <c r="N407" s="47">
        <v>3715</v>
      </c>
      <c r="O407" s="47">
        <v>4042</v>
      </c>
      <c r="P407" s="47">
        <v>3985</v>
      </c>
      <c r="Q407" s="85">
        <v>48.1</v>
      </c>
      <c r="R407" s="85">
        <v>49.49</v>
      </c>
      <c r="S407" s="85">
        <v>44.87</v>
      </c>
      <c r="T407" s="85">
        <v>41.48</v>
      </c>
      <c r="U407" s="85">
        <v>41.52</v>
      </c>
      <c r="V407" s="85">
        <v>46.26</v>
      </c>
      <c r="W407" s="85">
        <v>38.03</v>
      </c>
      <c r="X407" s="85">
        <v>42.78</v>
      </c>
      <c r="Y407" s="85">
        <v>35.479999999999997</v>
      </c>
      <c r="Z407" s="85">
        <v>39.799999999999997</v>
      </c>
      <c r="AA407" s="85">
        <v>36.76</v>
      </c>
      <c r="AB407" s="85">
        <v>38.49</v>
      </c>
      <c r="AC407" s="85">
        <v>36.4</v>
      </c>
      <c r="AD407" s="85">
        <v>40.58</v>
      </c>
      <c r="AE407" s="47">
        <v>273029</v>
      </c>
      <c r="AF407" s="47">
        <v>164318</v>
      </c>
      <c r="AG407" s="47">
        <v>85165</v>
      </c>
      <c r="AH407" s="47">
        <v>50228</v>
      </c>
      <c r="AI407" s="47">
        <v>56344</v>
      </c>
      <c r="AJ407" s="47">
        <v>100235</v>
      </c>
      <c r="AK407" s="47">
        <v>121572</v>
      </c>
      <c r="AL407" s="47">
        <v>138837</v>
      </c>
      <c r="AM407" s="47">
        <v>95075</v>
      </c>
      <c r="AN407" s="47">
        <v>113919</v>
      </c>
      <c r="AO407" s="47">
        <v>116275</v>
      </c>
      <c r="AP407" s="47">
        <v>142990</v>
      </c>
      <c r="AQ407" s="47">
        <v>147129</v>
      </c>
      <c r="AR407" s="47">
        <v>161719</v>
      </c>
      <c r="AS407" s="47"/>
      <c r="AT407" s="47"/>
      <c r="AU407" s="47"/>
      <c r="AV407" s="47"/>
      <c r="AW407" s="47"/>
      <c r="AX407" s="47"/>
      <c r="AY407" s="47"/>
      <c r="AZ407" s="47"/>
      <c r="BA407" s="47"/>
      <c r="BB407" s="47"/>
      <c r="BC407" s="47"/>
      <c r="BD407" s="47"/>
      <c r="BE407" s="47"/>
      <c r="BF407" s="47"/>
    </row>
    <row r="408" spans="1:58" hidden="1">
      <c r="A408" s="46" t="s">
        <v>285</v>
      </c>
      <c r="B408" s="46" t="s">
        <v>79</v>
      </c>
      <c r="C408" s="47">
        <v>0</v>
      </c>
      <c r="D408" s="47">
        <v>0</v>
      </c>
      <c r="E408" s="47">
        <v>0</v>
      </c>
      <c r="F408" s="47">
        <v>0</v>
      </c>
      <c r="G408" s="47">
        <v>0</v>
      </c>
      <c r="H408" s="47">
        <v>0</v>
      </c>
      <c r="I408" s="47">
        <v>0</v>
      </c>
      <c r="J408" s="47">
        <v>0</v>
      </c>
      <c r="K408" s="47">
        <v>0</v>
      </c>
      <c r="L408" s="47">
        <v>0</v>
      </c>
      <c r="M408" s="47">
        <v>29</v>
      </c>
      <c r="N408" s="47">
        <v>24</v>
      </c>
      <c r="O408" s="47">
        <v>23</v>
      </c>
      <c r="P408" s="47">
        <v>35</v>
      </c>
      <c r="Q408" s="85"/>
      <c r="R408" s="85"/>
      <c r="S408" s="85"/>
      <c r="T408" s="85"/>
      <c r="U408" s="85"/>
      <c r="V408" s="85"/>
      <c r="W408" s="85"/>
      <c r="X408" s="85"/>
      <c r="Y408" s="85"/>
      <c r="Z408" s="85"/>
      <c r="AA408" s="85">
        <v>16.55</v>
      </c>
      <c r="AB408" s="85">
        <v>13.04</v>
      </c>
      <c r="AC408" s="85">
        <v>11.96</v>
      </c>
      <c r="AD408" s="85">
        <v>15.63</v>
      </c>
      <c r="AE408" s="47">
        <v>0</v>
      </c>
      <c r="AF408" s="47">
        <v>0</v>
      </c>
      <c r="AG408" s="47">
        <v>0</v>
      </c>
      <c r="AH408" s="47">
        <v>0</v>
      </c>
      <c r="AI408" s="47">
        <v>0</v>
      </c>
      <c r="AJ408" s="47">
        <v>0</v>
      </c>
      <c r="AK408" s="47">
        <v>0</v>
      </c>
      <c r="AL408" s="47">
        <v>0</v>
      </c>
      <c r="AM408" s="47">
        <v>0</v>
      </c>
      <c r="AN408" s="47">
        <v>0</v>
      </c>
      <c r="AO408" s="47">
        <v>480</v>
      </c>
      <c r="AP408" s="47">
        <v>313</v>
      </c>
      <c r="AQ408" s="47">
        <v>275</v>
      </c>
      <c r="AR408" s="47">
        <v>547</v>
      </c>
      <c r="AS408" s="47"/>
      <c r="AT408" s="47"/>
      <c r="AU408" s="47"/>
      <c r="AV408" s="47"/>
      <c r="AW408" s="47"/>
      <c r="AX408" s="47"/>
      <c r="AY408" s="47"/>
      <c r="AZ408" s="47"/>
      <c r="BA408" s="47"/>
      <c r="BB408" s="47"/>
      <c r="BC408" s="47"/>
      <c r="BD408" s="47"/>
      <c r="BE408" s="47"/>
      <c r="BF408" s="47"/>
    </row>
    <row r="409" spans="1:58" hidden="1">
      <c r="A409" s="46" t="s">
        <v>285</v>
      </c>
      <c r="B409" s="46" t="s">
        <v>80</v>
      </c>
      <c r="C409" s="47">
        <v>648</v>
      </c>
      <c r="D409" s="47">
        <v>186</v>
      </c>
      <c r="E409" s="47">
        <v>147</v>
      </c>
      <c r="F409" s="47">
        <v>420</v>
      </c>
      <c r="G409" s="47">
        <v>928</v>
      </c>
      <c r="H409" s="47">
        <v>691</v>
      </c>
      <c r="I409" s="47">
        <v>845</v>
      </c>
      <c r="J409" s="47">
        <v>630</v>
      </c>
      <c r="K409" s="47">
        <v>363</v>
      </c>
      <c r="L409" s="47">
        <v>320</v>
      </c>
      <c r="M409" s="47">
        <v>408</v>
      </c>
      <c r="N409" s="47">
        <v>451</v>
      </c>
      <c r="O409" s="47">
        <v>420</v>
      </c>
      <c r="P409" s="47">
        <v>394</v>
      </c>
      <c r="Q409" s="85">
        <v>37.14</v>
      </c>
      <c r="R409" s="85">
        <v>34.479999999999997</v>
      </c>
      <c r="S409" s="85">
        <v>33.840000000000003</v>
      </c>
      <c r="T409" s="85">
        <v>34.450000000000003</v>
      </c>
      <c r="U409" s="85">
        <v>34.799999999999997</v>
      </c>
      <c r="V409" s="85">
        <v>34.86</v>
      </c>
      <c r="W409" s="85">
        <v>33.11</v>
      </c>
      <c r="X409" s="85">
        <v>34.130000000000003</v>
      </c>
      <c r="Y409" s="85">
        <v>32.520000000000003</v>
      </c>
      <c r="Z409" s="85">
        <v>28.75</v>
      </c>
      <c r="AA409" s="85">
        <v>31.96</v>
      </c>
      <c r="AB409" s="85">
        <v>29.22</v>
      </c>
      <c r="AC409" s="85">
        <v>32.65</v>
      </c>
      <c r="AD409" s="85">
        <v>30.81</v>
      </c>
      <c r="AE409" s="47">
        <v>24068</v>
      </c>
      <c r="AF409" s="47">
        <v>6414</v>
      </c>
      <c r="AG409" s="47">
        <v>4974</v>
      </c>
      <c r="AH409" s="47">
        <v>14470</v>
      </c>
      <c r="AI409" s="47">
        <v>32296</v>
      </c>
      <c r="AJ409" s="47">
        <v>24090</v>
      </c>
      <c r="AK409" s="47">
        <v>27980</v>
      </c>
      <c r="AL409" s="47">
        <v>21500</v>
      </c>
      <c r="AM409" s="47">
        <v>11805</v>
      </c>
      <c r="AN409" s="47">
        <v>9200</v>
      </c>
      <c r="AO409" s="47">
        <v>13040</v>
      </c>
      <c r="AP409" s="47">
        <v>13180</v>
      </c>
      <c r="AQ409" s="47">
        <v>13714</v>
      </c>
      <c r="AR409" s="47">
        <v>12139</v>
      </c>
      <c r="AS409" s="47"/>
      <c r="AT409" s="47"/>
      <c r="AU409" s="47"/>
      <c r="AV409" s="47"/>
      <c r="AW409" s="47"/>
      <c r="AX409" s="47"/>
      <c r="AY409" s="47"/>
      <c r="AZ409" s="47"/>
      <c r="BA409" s="47"/>
      <c r="BB409" s="47"/>
      <c r="BC409" s="47"/>
      <c r="BD409" s="47"/>
      <c r="BE409" s="47"/>
      <c r="BF409" s="47"/>
    </row>
    <row r="410" spans="1:58" hidden="1">
      <c r="A410" s="46" t="s">
        <v>285</v>
      </c>
      <c r="B410" s="46" t="s">
        <v>81</v>
      </c>
      <c r="C410" s="47">
        <v>0</v>
      </c>
      <c r="D410" s="47">
        <v>0</v>
      </c>
      <c r="E410" s="47">
        <v>0</v>
      </c>
      <c r="F410" s="47">
        <v>0</v>
      </c>
      <c r="G410" s="47">
        <v>0</v>
      </c>
      <c r="H410" s="47">
        <v>0</v>
      </c>
      <c r="I410" s="47">
        <v>0</v>
      </c>
      <c r="J410" s="47">
        <v>0</v>
      </c>
      <c r="K410" s="47">
        <v>0</v>
      </c>
      <c r="L410" s="47">
        <v>0</v>
      </c>
      <c r="M410" s="47">
        <v>15</v>
      </c>
      <c r="N410" s="47">
        <v>15</v>
      </c>
      <c r="O410" s="47">
        <v>15</v>
      </c>
      <c r="P410" s="47">
        <v>18</v>
      </c>
      <c r="Q410" s="85"/>
      <c r="R410" s="85"/>
      <c r="S410" s="85"/>
      <c r="T410" s="85"/>
      <c r="U410" s="85"/>
      <c r="V410" s="85"/>
      <c r="W410" s="85"/>
      <c r="X410" s="85"/>
      <c r="Y410" s="85"/>
      <c r="Z410" s="85"/>
      <c r="AA410" s="85"/>
      <c r="AB410" s="85"/>
      <c r="AC410" s="85"/>
      <c r="AD410" s="85"/>
      <c r="AE410" s="47">
        <v>0</v>
      </c>
      <c r="AF410" s="47">
        <v>0</v>
      </c>
      <c r="AG410" s="47">
        <v>0</v>
      </c>
      <c r="AH410" s="47">
        <v>0</v>
      </c>
      <c r="AI410" s="47">
        <v>0</v>
      </c>
      <c r="AJ410" s="47">
        <v>0</v>
      </c>
      <c r="AK410" s="47">
        <v>0</v>
      </c>
      <c r="AL410" s="47">
        <v>0</v>
      </c>
      <c r="AM410" s="47">
        <v>0</v>
      </c>
      <c r="AN410" s="47">
        <v>0</v>
      </c>
      <c r="AO410" s="47">
        <v>490</v>
      </c>
      <c r="AP410" s="47">
        <v>490</v>
      </c>
      <c r="AQ410" s="47">
        <v>490</v>
      </c>
      <c r="AR410" s="47">
        <v>614</v>
      </c>
      <c r="AS410" s="47"/>
      <c r="AT410" s="47"/>
      <c r="AU410" s="47"/>
      <c r="AV410" s="47"/>
      <c r="AW410" s="47"/>
      <c r="AX410" s="47"/>
      <c r="AY410" s="47"/>
      <c r="AZ410" s="47"/>
      <c r="BA410" s="47"/>
      <c r="BB410" s="47"/>
      <c r="BC410" s="47"/>
      <c r="BD410" s="47"/>
      <c r="BE410" s="47"/>
      <c r="BF410" s="47"/>
    </row>
    <row r="411" spans="1:58" hidden="1">
      <c r="A411" s="46" t="s">
        <v>285</v>
      </c>
      <c r="B411" s="46" t="s">
        <v>82</v>
      </c>
      <c r="C411" s="47">
        <v>13423</v>
      </c>
      <c r="D411" s="47">
        <v>7768</v>
      </c>
      <c r="E411" s="47">
        <v>4750</v>
      </c>
      <c r="F411" s="47">
        <v>3878</v>
      </c>
      <c r="G411" s="47">
        <v>5316</v>
      </c>
      <c r="H411" s="47">
        <v>7003</v>
      </c>
      <c r="I411" s="47">
        <v>9450</v>
      </c>
      <c r="J411" s="47">
        <v>10142</v>
      </c>
      <c r="K411" s="47">
        <v>8791</v>
      </c>
      <c r="L411" s="47">
        <v>9293</v>
      </c>
      <c r="M411" s="47">
        <v>10008</v>
      </c>
      <c r="N411" s="47">
        <v>10267</v>
      </c>
      <c r="O411" s="47">
        <v>9675</v>
      </c>
      <c r="P411" s="47">
        <v>13497</v>
      </c>
      <c r="Q411" s="85">
        <v>43.76</v>
      </c>
      <c r="R411" s="85">
        <v>44.51</v>
      </c>
      <c r="S411" s="85">
        <v>40.299999999999997</v>
      </c>
      <c r="T411" s="85">
        <v>36.31</v>
      </c>
      <c r="U411" s="85">
        <v>35.85</v>
      </c>
      <c r="V411" s="85">
        <v>39.01</v>
      </c>
      <c r="W411" s="85">
        <v>34.299999999999997</v>
      </c>
      <c r="X411" s="85">
        <v>39.5</v>
      </c>
      <c r="Y411" s="85">
        <v>33.409999999999997</v>
      </c>
      <c r="Z411" s="85">
        <v>34.43</v>
      </c>
      <c r="AA411" s="85">
        <v>32.479999999999997</v>
      </c>
      <c r="AB411" s="85">
        <v>33.619999999999997</v>
      </c>
      <c r="AC411" s="85">
        <v>32.729999999999997</v>
      </c>
      <c r="AD411" s="85">
        <v>37.64</v>
      </c>
      <c r="AE411" s="47">
        <v>587328</v>
      </c>
      <c r="AF411" s="47">
        <v>345777</v>
      </c>
      <c r="AG411" s="47">
        <v>191414</v>
      </c>
      <c r="AH411" s="47">
        <v>140814</v>
      </c>
      <c r="AI411" s="47">
        <v>190565</v>
      </c>
      <c r="AJ411" s="47">
        <v>273211</v>
      </c>
      <c r="AK411" s="47">
        <v>324095</v>
      </c>
      <c r="AL411" s="47">
        <v>400636</v>
      </c>
      <c r="AM411" s="47">
        <v>293729</v>
      </c>
      <c r="AN411" s="47">
        <v>319941</v>
      </c>
      <c r="AO411" s="47">
        <v>325030</v>
      </c>
      <c r="AP411" s="47">
        <v>345157</v>
      </c>
      <c r="AQ411" s="47">
        <v>316673</v>
      </c>
      <c r="AR411" s="47">
        <v>507999</v>
      </c>
      <c r="AS411" s="47"/>
      <c r="AT411" s="47"/>
      <c r="AU411" s="47"/>
      <c r="AV411" s="47"/>
      <c r="AW411" s="47"/>
      <c r="AX411" s="47"/>
      <c r="AY411" s="47"/>
      <c r="AZ411" s="47"/>
      <c r="BA411" s="47"/>
      <c r="BB411" s="47"/>
      <c r="BC411" s="47"/>
      <c r="BD411" s="47"/>
      <c r="BE411" s="47"/>
      <c r="BF411" s="47"/>
    </row>
    <row r="412" spans="1:58" hidden="1">
      <c r="A412" s="46" t="s">
        <v>286</v>
      </c>
      <c r="B412" s="46" t="s">
        <v>251</v>
      </c>
      <c r="C412" s="47">
        <v>501854</v>
      </c>
      <c r="D412" s="47">
        <v>514210</v>
      </c>
      <c r="E412" s="47">
        <v>535330</v>
      </c>
      <c r="F412" s="47">
        <v>523210</v>
      </c>
      <c r="G412" s="47">
        <v>519830</v>
      </c>
      <c r="H412" s="47">
        <v>537500</v>
      </c>
      <c r="I412" s="47">
        <v>537094</v>
      </c>
      <c r="J412" s="47">
        <v>514039</v>
      </c>
      <c r="K412" s="47">
        <v>503335</v>
      </c>
      <c r="L412" s="47">
        <v>516415</v>
      </c>
      <c r="M412" s="47">
        <v>357124</v>
      </c>
      <c r="N412" s="47">
        <v>503255</v>
      </c>
      <c r="O412" s="47">
        <v>477005</v>
      </c>
      <c r="P412" s="47">
        <v>492200</v>
      </c>
      <c r="Q412" s="85">
        <v>60.84</v>
      </c>
      <c r="R412" s="85">
        <v>51.01</v>
      </c>
      <c r="S412" s="85">
        <v>69.28</v>
      </c>
      <c r="T412" s="85">
        <v>63.62</v>
      </c>
      <c r="U412" s="85">
        <v>64.239999999999995</v>
      </c>
      <c r="V412" s="85">
        <v>68</v>
      </c>
      <c r="W412" s="85">
        <v>55.26</v>
      </c>
      <c r="X412" s="85">
        <v>63.35</v>
      </c>
      <c r="Y412" s="85">
        <v>60.72</v>
      </c>
      <c r="Z412" s="85">
        <v>74.209999999999994</v>
      </c>
      <c r="AA412" s="85">
        <v>52.14</v>
      </c>
      <c r="AB412" s="85">
        <v>60.29</v>
      </c>
      <c r="AC412" s="85">
        <v>52.99</v>
      </c>
      <c r="AD412" s="85">
        <v>64.87</v>
      </c>
      <c r="AE412" s="47">
        <v>30532575</v>
      </c>
      <c r="AF412" s="47">
        <v>26230190</v>
      </c>
      <c r="AG412" s="47">
        <v>37087560</v>
      </c>
      <c r="AH412" s="47">
        <v>33288770</v>
      </c>
      <c r="AI412" s="47">
        <v>33394390</v>
      </c>
      <c r="AJ412" s="47">
        <v>36547970</v>
      </c>
      <c r="AK412" s="47">
        <v>29679391</v>
      </c>
      <c r="AL412" s="47">
        <v>32562922</v>
      </c>
      <c r="AM412" s="47">
        <v>30561525</v>
      </c>
      <c r="AN412" s="47">
        <v>38325335</v>
      </c>
      <c r="AO412" s="47">
        <v>18618675</v>
      </c>
      <c r="AP412" s="47">
        <v>30339140</v>
      </c>
      <c r="AQ412" s="47">
        <v>25277990</v>
      </c>
      <c r="AR412" s="47">
        <v>31928244</v>
      </c>
      <c r="AS412" s="47"/>
      <c r="AT412" s="47"/>
      <c r="AU412" s="47"/>
      <c r="AV412" s="47"/>
      <c r="AW412" s="47"/>
      <c r="AX412" s="47"/>
      <c r="AY412" s="47"/>
      <c r="AZ412" s="47"/>
      <c r="BA412" s="47"/>
      <c r="BB412" s="47"/>
      <c r="BC412" s="47"/>
      <c r="BD412" s="47"/>
      <c r="BE412" s="47"/>
      <c r="BF412" s="47"/>
    </row>
    <row r="413" spans="1:58" hidden="1">
      <c r="A413" s="46" t="s">
        <v>286</v>
      </c>
      <c r="B413" s="46" t="s">
        <v>252</v>
      </c>
      <c r="C413" s="47">
        <v>1790</v>
      </c>
      <c r="D413" s="47">
        <v>1870</v>
      </c>
      <c r="E413" s="47">
        <v>1700</v>
      </c>
      <c r="F413" s="47">
        <v>1790</v>
      </c>
      <c r="G413" s="47">
        <v>1825</v>
      </c>
      <c r="H413" s="47">
        <v>1540</v>
      </c>
      <c r="I413" s="47">
        <v>1386</v>
      </c>
      <c r="J413" s="47">
        <v>823</v>
      </c>
      <c r="K413" s="47">
        <v>842</v>
      </c>
      <c r="L413" s="47">
        <v>900</v>
      </c>
      <c r="M413" s="47">
        <v>2448</v>
      </c>
      <c r="N413" s="47">
        <v>1898</v>
      </c>
      <c r="O413" s="47">
        <v>1365</v>
      </c>
      <c r="P413" s="47">
        <v>858</v>
      </c>
      <c r="Q413" s="85">
        <v>52.58</v>
      </c>
      <c r="R413" s="85">
        <v>44.89</v>
      </c>
      <c r="S413" s="85">
        <v>61.52</v>
      </c>
      <c r="T413" s="85">
        <v>54.47</v>
      </c>
      <c r="U413" s="85">
        <v>57.01</v>
      </c>
      <c r="V413" s="85">
        <v>56.09</v>
      </c>
      <c r="W413" s="85">
        <v>54.87</v>
      </c>
      <c r="X413" s="85">
        <v>55.81</v>
      </c>
      <c r="Y413" s="85">
        <v>55.45</v>
      </c>
      <c r="Z413" s="85">
        <v>66.48</v>
      </c>
      <c r="AA413" s="85">
        <v>49.13</v>
      </c>
      <c r="AB413" s="85">
        <v>57.56</v>
      </c>
      <c r="AC413" s="85">
        <v>49.33</v>
      </c>
      <c r="AD413" s="85">
        <v>60.16</v>
      </c>
      <c r="AE413" s="47">
        <v>94121</v>
      </c>
      <c r="AF413" s="47">
        <v>83940</v>
      </c>
      <c r="AG413" s="47">
        <v>104590</v>
      </c>
      <c r="AH413" s="47">
        <v>97510</v>
      </c>
      <c r="AI413" s="47">
        <v>104050</v>
      </c>
      <c r="AJ413" s="47">
        <v>86375</v>
      </c>
      <c r="AK413" s="47">
        <v>76045</v>
      </c>
      <c r="AL413" s="47">
        <v>45928</v>
      </c>
      <c r="AM413" s="47">
        <v>46692</v>
      </c>
      <c r="AN413" s="47">
        <v>59830</v>
      </c>
      <c r="AO413" s="47">
        <v>120281</v>
      </c>
      <c r="AP413" s="47">
        <v>109248</v>
      </c>
      <c r="AQ413" s="47">
        <v>67329</v>
      </c>
      <c r="AR413" s="47">
        <v>51616</v>
      </c>
      <c r="AS413" s="47"/>
      <c r="AT413" s="47"/>
      <c r="AU413" s="47"/>
      <c r="AV413" s="47"/>
      <c r="AW413" s="47"/>
      <c r="AX413" s="47"/>
      <c r="AY413" s="47"/>
      <c r="AZ413" s="47"/>
      <c r="BA413" s="47"/>
      <c r="BB413" s="47"/>
      <c r="BC413" s="47"/>
      <c r="BD413" s="47"/>
      <c r="BE413" s="47"/>
      <c r="BF413" s="47"/>
    </row>
    <row r="414" spans="1:58" hidden="1">
      <c r="A414" s="46" t="s">
        <v>286</v>
      </c>
      <c r="B414" s="46" t="s">
        <v>253</v>
      </c>
      <c r="C414" s="47">
        <v>503644</v>
      </c>
      <c r="D414" s="47">
        <v>516080</v>
      </c>
      <c r="E414" s="47">
        <v>537030</v>
      </c>
      <c r="F414" s="47">
        <v>525000</v>
      </c>
      <c r="G414" s="47">
        <v>521655</v>
      </c>
      <c r="H414" s="47">
        <v>539040</v>
      </c>
      <c r="I414" s="47">
        <v>538480</v>
      </c>
      <c r="J414" s="47">
        <v>514862</v>
      </c>
      <c r="K414" s="47">
        <v>504177</v>
      </c>
      <c r="L414" s="47">
        <v>517315</v>
      </c>
      <c r="M414" s="47">
        <v>359572</v>
      </c>
      <c r="N414" s="47">
        <v>505153</v>
      </c>
      <c r="O414" s="47">
        <v>478370</v>
      </c>
      <c r="P414" s="47">
        <v>493058</v>
      </c>
      <c r="Q414" s="85">
        <v>60.81</v>
      </c>
      <c r="R414" s="85">
        <v>50.99</v>
      </c>
      <c r="S414" s="85">
        <v>69.260000000000005</v>
      </c>
      <c r="T414" s="85">
        <v>63.59</v>
      </c>
      <c r="U414" s="85">
        <v>64.22</v>
      </c>
      <c r="V414" s="85">
        <v>67.959999999999994</v>
      </c>
      <c r="W414" s="85">
        <v>55.26</v>
      </c>
      <c r="X414" s="85">
        <v>63.34</v>
      </c>
      <c r="Y414" s="85">
        <v>60.71</v>
      </c>
      <c r="Z414" s="85">
        <v>74.2</v>
      </c>
      <c r="AA414" s="85">
        <v>52.11</v>
      </c>
      <c r="AB414" s="85">
        <v>60.28</v>
      </c>
      <c r="AC414" s="85">
        <v>52.98</v>
      </c>
      <c r="AD414" s="85">
        <v>64.86</v>
      </c>
      <c r="AE414" s="47">
        <v>30626696</v>
      </c>
      <c r="AF414" s="47">
        <v>26314130</v>
      </c>
      <c r="AG414" s="47">
        <v>37192150</v>
      </c>
      <c r="AH414" s="47">
        <v>33386280</v>
      </c>
      <c r="AI414" s="47">
        <v>33498440</v>
      </c>
      <c r="AJ414" s="47">
        <v>36634345</v>
      </c>
      <c r="AK414" s="47">
        <v>29755436</v>
      </c>
      <c r="AL414" s="47">
        <v>32608850</v>
      </c>
      <c r="AM414" s="47">
        <v>30608217</v>
      </c>
      <c r="AN414" s="47">
        <v>38385165</v>
      </c>
      <c r="AO414" s="47">
        <v>18738956</v>
      </c>
      <c r="AP414" s="47">
        <v>30448388</v>
      </c>
      <c r="AQ414" s="47">
        <v>25345319</v>
      </c>
      <c r="AR414" s="47">
        <v>31979860</v>
      </c>
      <c r="AS414" s="47"/>
      <c r="AT414" s="47"/>
      <c r="AU414" s="47"/>
      <c r="AV414" s="47"/>
      <c r="AW414" s="47"/>
      <c r="AX414" s="47"/>
      <c r="AY414" s="47"/>
      <c r="AZ414" s="47"/>
      <c r="BA414" s="47"/>
      <c r="BB414" s="47"/>
      <c r="BC414" s="47"/>
      <c r="BD414" s="47"/>
      <c r="BE414" s="47"/>
      <c r="BF414" s="47"/>
    </row>
    <row r="415" spans="1:58" hidden="1">
      <c r="A415" s="46" t="s">
        <v>286</v>
      </c>
      <c r="B415" s="46" t="s">
        <v>254</v>
      </c>
      <c r="C415" s="47">
        <v>57970</v>
      </c>
      <c r="D415" s="47">
        <v>46440</v>
      </c>
      <c r="E415" s="47">
        <v>52920</v>
      </c>
      <c r="F415" s="47">
        <v>35555</v>
      </c>
      <c r="G415" s="47">
        <v>27635</v>
      </c>
      <c r="H415" s="47">
        <v>38510</v>
      </c>
      <c r="I415" s="47">
        <v>62362</v>
      </c>
      <c r="J415" s="47">
        <v>51513</v>
      </c>
      <c r="K415" s="47">
        <v>49779</v>
      </c>
      <c r="L415" s="47">
        <v>31727</v>
      </c>
      <c r="M415" s="47">
        <v>32422</v>
      </c>
      <c r="N415" s="47">
        <v>41083</v>
      </c>
      <c r="O415" s="47">
        <v>30531</v>
      </c>
      <c r="P415" s="47">
        <v>27392</v>
      </c>
      <c r="Q415" s="85">
        <v>53.21</v>
      </c>
      <c r="R415" s="85">
        <v>49.24</v>
      </c>
      <c r="S415" s="85">
        <v>63.28</v>
      </c>
      <c r="T415" s="85">
        <v>60.06</v>
      </c>
      <c r="U415" s="85">
        <v>62.35</v>
      </c>
      <c r="V415" s="85">
        <v>67.38</v>
      </c>
      <c r="W415" s="85">
        <v>45.27</v>
      </c>
      <c r="X415" s="85">
        <v>60.26</v>
      </c>
      <c r="Y415" s="85">
        <v>58.77</v>
      </c>
      <c r="Z415" s="85">
        <v>73.89</v>
      </c>
      <c r="AA415" s="85">
        <v>55.54</v>
      </c>
      <c r="AB415" s="85">
        <v>53.2</v>
      </c>
      <c r="AC415" s="85">
        <v>53.11</v>
      </c>
      <c r="AD415" s="85">
        <v>62.49</v>
      </c>
      <c r="AE415" s="47">
        <v>3084612</v>
      </c>
      <c r="AF415" s="47">
        <v>2286820</v>
      </c>
      <c r="AG415" s="47">
        <v>3348695</v>
      </c>
      <c r="AH415" s="47">
        <v>2135390</v>
      </c>
      <c r="AI415" s="47">
        <v>1723140</v>
      </c>
      <c r="AJ415" s="47">
        <v>2594925</v>
      </c>
      <c r="AK415" s="47">
        <v>2822837</v>
      </c>
      <c r="AL415" s="47">
        <v>3104338</v>
      </c>
      <c r="AM415" s="47">
        <v>2925276</v>
      </c>
      <c r="AN415" s="47">
        <v>2344466</v>
      </c>
      <c r="AO415" s="47">
        <v>1800801</v>
      </c>
      <c r="AP415" s="47">
        <v>2185531</v>
      </c>
      <c r="AQ415" s="47">
        <v>1621421</v>
      </c>
      <c r="AR415" s="47">
        <v>1711690</v>
      </c>
      <c r="AS415" s="47"/>
      <c r="AT415" s="47"/>
      <c r="AU415" s="47"/>
      <c r="AV415" s="47"/>
      <c r="AW415" s="47"/>
      <c r="AX415" s="47"/>
      <c r="AY415" s="47"/>
      <c r="AZ415" s="47"/>
      <c r="BA415" s="47"/>
      <c r="BB415" s="47"/>
      <c r="BC415" s="47"/>
      <c r="BD415" s="47"/>
      <c r="BE415" s="47"/>
      <c r="BF415" s="47"/>
    </row>
    <row r="416" spans="1:58" hidden="1">
      <c r="A416" s="46" t="s">
        <v>286</v>
      </c>
      <c r="B416" s="46" t="s">
        <v>255</v>
      </c>
      <c r="C416" s="47">
        <v>1171</v>
      </c>
      <c r="D416" s="47">
        <v>1025</v>
      </c>
      <c r="E416" s="47">
        <v>1240</v>
      </c>
      <c r="F416" s="47">
        <v>1000</v>
      </c>
      <c r="G416" s="47">
        <v>785</v>
      </c>
      <c r="H416" s="47">
        <v>1900</v>
      </c>
      <c r="I416" s="47">
        <v>1690</v>
      </c>
      <c r="J416" s="47">
        <v>2145</v>
      </c>
      <c r="K416" s="47">
        <v>1430</v>
      </c>
      <c r="L416" s="47">
        <v>1120</v>
      </c>
      <c r="M416" s="47">
        <v>4493</v>
      </c>
      <c r="N416" s="47">
        <v>1850</v>
      </c>
      <c r="O416" s="47">
        <v>918</v>
      </c>
      <c r="P416" s="47">
        <v>736</v>
      </c>
      <c r="Q416" s="85">
        <v>53.02</v>
      </c>
      <c r="R416" s="85">
        <v>49.67</v>
      </c>
      <c r="S416" s="85">
        <v>64.47</v>
      </c>
      <c r="T416" s="85">
        <v>53.08</v>
      </c>
      <c r="U416" s="85">
        <v>62.85</v>
      </c>
      <c r="V416" s="85">
        <v>65.739999999999995</v>
      </c>
      <c r="W416" s="85">
        <v>49.61</v>
      </c>
      <c r="X416" s="85">
        <v>61.89</v>
      </c>
      <c r="Y416" s="85">
        <v>58.96</v>
      </c>
      <c r="Z416" s="85">
        <v>74.05</v>
      </c>
      <c r="AA416" s="85">
        <v>56.65</v>
      </c>
      <c r="AB416" s="85">
        <v>53.36</v>
      </c>
      <c r="AC416" s="85">
        <v>54.63</v>
      </c>
      <c r="AD416" s="85">
        <v>63.38</v>
      </c>
      <c r="AE416" s="47">
        <v>62086</v>
      </c>
      <c r="AF416" s="47">
        <v>50915</v>
      </c>
      <c r="AG416" s="47">
        <v>79940</v>
      </c>
      <c r="AH416" s="47">
        <v>53080</v>
      </c>
      <c r="AI416" s="47">
        <v>49340</v>
      </c>
      <c r="AJ416" s="47">
        <v>124915</v>
      </c>
      <c r="AK416" s="47">
        <v>83845</v>
      </c>
      <c r="AL416" s="47">
        <v>132753</v>
      </c>
      <c r="AM416" s="47">
        <v>84312</v>
      </c>
      <c r="AN416" s="47">
        <v>82936</v>
      </c>
      <c r="AO416" s="47">
        <v>254526</v>
      </c>
      <c r="AP416" s="47">
        <v>98719</v>
      </c>
      <c r="AQ416" s="47">
        <v>50148</v>
      </c>
      <c r="AR416" s="47">
        <v>46650</v>
      </c>
      <c r="AS416" s="47"/>
      <c r="AT416" s="47"/>
      <c r="AU416" s="47"/>
      <c r="AV416" s="47"/>
      <c r="AW416" s="47"/>
      <c r="AX416" s="47"/>
      <c r="AY416" s="47"/>
      <c r="AZ416" s="47"/>
      <c r="BA416" s="47"/>
      <c r="BB416" s="47"/>
      <c r="BC416" s="47"/>
      <c r="BD416" s="47"/>
      <c r="BE416" s="47"/>
      <c r="BF416" s="47"/>
    </row>
    <row r="417" spans="1:58" hidden="1">
      <c r="A417" s="46" t="s">
        <v>286</v>
      </c>
      <c r="B417" s="46" t="s">
        <v>256</v>
      </c>
      <c r="C417" s="47">
        <v>59141</v>
      </c>
      <c r="D417" s="47">
        <v>47465</v>
      </c>
      <c r="E417" s="47">
        <v>54160</v>
      </c>
      <c r="F417" s="47">
        <v>36555</v>
      </c>
      <c r="G417" s="47">
        <v>28420</v>
      </c>
      <c r="H417" s="47">
        <v>40410</v>
      </c>
      <c r="I417" s="47">
        <v>64052</v>
      </c>
      <c r="J417" s="47">
        <v>53658</v>
      </c>
      <c r="K417" s="47">
        <v>51209</v>
      </c>
      <c r="L417" s="47">
        <v>32847</v>
      </c>
      <c r="M417" s="47">
        <v>36915</v>
      </c>
      <c r="N417" s="47">
        <v>42933</v>
      </c>
      <c r="O417" s="47">
        <v>31449</v>
      </c>
      <c r="P417" s="47">
        <v>28128</v>
      </c>
      <c r="Q417" s="85">
        <v>53.21</v>
      </c>
      <c r="R417" s="85">
        <v>49.25</v>
      </c>
      <c r="S417" s="85">
        <v>63.31</v>
      </c>
      <c r="T417" s="85">
        <v>59.87</v>
      </c>
      <c r="U417" s="85">
        <v>62.37</v>
      </c>
      <c r="V417" s="85">
        <v>67.31</v>
      </c>
      <c r="W417" s="85">
        <v>45.38</v>
      </c>
      <c r="X417" s="85">
        <v>60.33</v>
      </c>
      <c r="Y417" s="85">
        <v>58.77</v>
      </c>
      <c r="Z417" s="85">
        <v>73.900000000000006</v>
      </c>
      <c r="AA417" s="85">
        <v>55.68</v>
      </c>
      <c r="AB417" s="85">
        <v>53.2</v>
      </c>
      <c r="AC417" s="85">
        <v>53.15</v>
      </c>
      <c r="AD417" s="85">
        <v>62.51</v>
      </c>
      <c r="AE417" s="47">
        <v>3146698</v>
      </c>
      <c r="AF417" s="47">
        <v>2337735</v>
      </c>
      <c r="AG417" s="47">
        <v>3428635</v>
      </c>
      <c r="AH417" s="47">
        <v>2188470</v>
      </c>
      <c r="AI417" s="47">
        <v>1772480</v>
      </c>
      <c r="AJ417" s="47">
        <v>2719840</v>
      </c>
      <c r="AK417" s="47">
        <v>2906682</v>
      </c>
      <c r="AL417" s="47">
        <v>3237091</v>
      </c>
      <c r="AM417" s="47">
        <v>3009588</v>
      </c>
      <c r="AN417" s="47">
        <v>2427402</v>
      </c>
      <c r="AO417" s="47">
        <v>2055327</v>
      </c>
      <c r="AP417" s="47">
        <v>2284250</v>
      </c>
      <c r="AQ417" s="47">
        <v>1671569</v>
      </c>
      <c r="AR417" s="47">
        <v>1758340</v>
      </c>
      <c r="AS417" s="47"/>
      <c r="AT417" s="47"/>
      <c r="AU417" s="47"/>
      <c r="AV417" s="47"/>
      <c r="AW417" s="47"/>
      <c r="AX417" s="47"/>
      <c r="AY417" s="47"/>
      <c r="AZ417" s="47"/>
      <c r="BA417" s="47"/>
      <c r="BB417" s="47"/>
      <c r="BC417" s="47"/>
      <c r="BD417" s="47"/>
      <c r="BE417" s="47"/>
      <c r="BF417" s="47"/>
    </row>
    <row r="418" spans="1:58" hidden="1">
      <c r="A418" s="46" t="s">
        <v>286</v>
      </c>
      <c r="B418" s="46" t="s">
        <v>257</v>
      </c>
      <c r="C418" s="47">
        <v>2414</v>
      </c>
      <c r="D418" s="47">
        <v>2370</v>
      </c>
      <c r="E418" s="47">
        <v>2635</v>
      </c>
      <c r="F418" s="47">
        <v>2680</v>
      </c>
      <c r="G418" s="47">
        <v>2345</v>
      </c>
      <c r="H418" s="47">
        <v>2180</v>
      </c>
      <c r="I418" s="47">
        <v>2452</v>
      </c>
      <c r="J418" s="47">
        <v>2790</v>
      </c>
      <c r="K418" s="47">
        <v>2691</v>
      </c>
      <c r="L418" s="47">
        <v>3195</v>
      </c>
      <c r="M418" s="47">
        <v>2998</v>
      </c>
      <c r="N418" s="47">
        <v>4413</v>
      </c>
      <c r="O418" s="47">
        <v>4495</v>
      </c>
      <c r="P418" s="47">
        <v>4225</v>
      </c>
      <c r="Q418" s="85">
        <v>42.3</v>
      </c>
      <c r="R418" s="85">
        <v>39.44</v>
      </c>
      <c r="S418" s="85">
        <v>45.15</v>
      </c>
      <c r="T418" s="85">
        <v>43.99</v>
      </c>
      <c r="U418" s="85">
        <v>45.34</v>
      </c>
      <c r="V418" s="85">
        <v>44.43</v>
      </c>
      <c r="W418" s="85">
        <v>35.11</v>
      </c>
      <c r="X418" s="85">
        <v>40.369999999999997</v>
      </c>
      <c r="Y418" s="85">
        <v>42.14</v>
      </c>
      <c r="Z418" s="85">
        <v>40.81</v>
      </c>
      <c r="AA418" s="85">
        <v>35.83</v>
      </c>
      <c r="AB418" s="85">
        <v>37.46</v>
      </c>
      <c r="AC418" s="85">
        <v>30.75</v>
      </c>
      <c r="AD418" s="85">
        <v>37.28</v>
      </c>
      <c r="AE418" s="47">
        <v>102107</v>
      </c>
      <c r="AF418" s="47">
        <v>93465</v>
      </c>
      <c r="AG418" s="47">
        <v>118980</v>
      </c>
      <c r="AH418" s="47">
        <v>117900</v>
      </c>
      <c r="AI418" s="47">
        <v>106320</v>
      </c>
      <c r="AJ418" s="47">
        <v>96860</v>
      </c>
      <c r="AK418" s="47">
        <v>86099</v>
      </c>
      <c r="AL418" s="47">
        <v>112630</v>
      </c>
      <c r="AM418" s="47">
        <v>113402</v>
      </c>
      <c r="AN418" s="47">
        <v>130385</v>
      </c>
      <c r="AO418" s="47">
        <v>107419</v>
      </c>
      <c r="AP418" s="47">
        <v>165321</v>
      </c>
      <c r="AQ418" s="47">
        <v>138235</v>
      </c>
      <c r="AR418" s="47">
        <v>157495</v>
      </c>
      <c r="AS418" s="47"/>
      <c r="AT418" s="47"/>
      <c r="AU418" s="47"/>
      <c r="AV418" s="47"/>
      <c r="AW418" s="47"/>
      <c r="AX418" s="47"/>
      <c r="AY418" s="47"/>
      <c r="AZ418" s="47"/>
      <c r="BA418" s="47"/>
      <c r="BB418" s="47"/>
      <c r="BC418" s="47"/>
      <c r="BD418" s="47"/>
      <c r="BE418" s="47"/>
      <c r="BF418" s="47"/>
    </row>
    <row r="419" spans="1:58" hidden="1">
      <c r="A419" s="46" t="s">
        <v>286</v>
      </c>
      <c r="B419" s="46" t="s">
        <v>258</v>
      </c>
      <c r="C419" s="47">
        <v>86533</v>
      </c>
      <c r="D419" s="47">
        <v>75005</v>
      </c>
      <c r="E419" s="47">
        <v>90040</v>
      </c>
      <c r="F419" s="47">
        <v>101545</v>
      </c>
      <c r="G419" s="47">
        <v>113495</v>
      </c>
      <c r="H419" s="47">
        <v>122160</v>
      </c>
      <c r="I419" s="47">
        <v>137790</v>
      </c>
      <c r="J419" s="47">
        <v>125375</v>
      </c>
      <c r="K419" s="47">
        <v>109115</v>
      </c>
      <c r="L419" s="47">
        <v>122825</v>
      </c>
      <c r="M419" s="47">
        <v>84121</v>
      </c>
      <c r="N419" s="47">
        <v>97525</v>
      </c>
      <c r="O419" s="47">
        <v>113020</v>
      </c>
      <c r="P419" s="47">
        <v>119800</v>
      </c>
      <c r="Q419" s="85">
        <v>52.04</v>
      </c>
      <c r="R419" s="85">
        <v>47.94</v>
      </c>
      <c r="S419" s="85">
        <v>65.209999999999994</v>
      </c>
      <c r="T419" s="85">
        <v>58.84</v>
      </c>
      <c r="U419" s="85">
        <v>61.67</v>
      </c>
      <c r="V419" s="85">
        <v>62.86</v>
      </c>
      <c r="W419" s="85">
        <v>55.1</v>
      </c>
      <c r="X419" s="85">
        <v>55.92</v>
      </c>
      <c r="Y419" s="85">
        <v>56.81</v>
      </c>
      <c r="Z419" s="85">
        <v>64.010000000000005</v>
      </c>
      <c r="AA419" s="85">
        <v>46.44</v>
      </c>
      <c r="AB419" s="85">
        <v>58.45</v>
      </c>
      <c r="AC419" s="85">
        <v>50.99</v>
      </c>
      <c r="AD419" s="85">
        <v>65.37</v>
      </c>
      <c r="AE419" s="47">
        <v>4502897</v>
      </c>
      <c r="AF419" s="47">
        <v>3595455</v>
      </c>
      <c r="AG419" s="47">
        <v>5871570</v>
      </c>
      <c r="AH419" s="47">
        <v>5974780</v>
      </c>
      <c r="AI419" s="47">
        <v>6999635</v>
      </c>
      <c r="AJ419" s="47">
        <v>7678645</v>
      </c>
      <c r="AK419" s="47">
        <v>7591920</v>
      </c>
      <c r="AL419" s="47">
        <v>7010595</v>
      </c>
      <c r="AM419" s="47">
        <v>6198800</v>
      </c>
      <c r="AN419" s="47">
        <v>7862120</v>
      </c>
      <c r="AO419" s="47">
        <v>3906579</v>
      </c>
      <c r="AP419" s="47">
        <v>5700705</v>
      </c>
      <c r="AQ419" s="47">
        <v>5762805</v>
      </c>
      <c r="AR419" s="47">
        <v>7830845</v>
      </c>
      <c r="AS419" s="47"/>
      <c r="AT419" s="47"/>
      <c r="AU419" s="47"/>
      <c r="AV419" s="47"/>
      <c r="AW419" s="47"/>
      <c r="AX419" s="47"/>
      <c r="AY419" s="47"/>
      <c r="AZ419" s="47"/>
      <c r="BA419" s="47"/>
      <c r="BB419" s="47"/>
      <c r="BC419" s="47"/>
      <c r="BD419" s="47"/>
      <c r="BE419" s="47"/>
      <c r="BF419" s="47"/>
    </row>
    <row r="420" spans="1:58" hidden="1">
      <c r="A420" s="46" t="s">
        <v>286</v>
      </c>
      <c r="B420" s="46" t="s">
        <v>259</v>
      </c>
      <c r="C420" s="47">
        <v>30297</v>
      </c>
      <c r="D420" s="47">
        <v>33420</v>
      </c>
      <c r="E420" s="47">
        <v>22560</v>
      </c>
      <c r="F420" s="47">
        <v>25560</v>
      </c>
      <c r="G420" s="47">
        <v>25795</v>
      </c>
      <c r="H420" s="47">
        <v>23195</v>
      </c>
      <c r="I420" s="47">
        <v>17413</v>
      </c>
      <c r="J420" s="47">
        <v>27082</v>
      </c>
      <c r="K420" s="47">
        <v>21618</v>
      </c>
      <c r="L420" s="47">
        <v>34370</v>
      </c>
      <c r="M420" s="47">
        <v>76808</v>
      </c>
      <c r="N420" s="47">
        <v>34306</v>
      </c>
      <c r="O420" s="47">
        <v>31432</v>
      </c>
      <c r="P420" s="47">
        <v>30720</v>
      </c>
      <c r="Q420" s="85">
        <v>44.78</v>
      </c>
      <c r="R420" s="85">
        <v>38.82</v>
      </c>
      <c r="S420" s="85">
        <v>59.02</v>
      </c>
      <c r="T420" s="85">
        <v>55.16</v>
      </c>
      <c r="U420" s="85">
        <v>55.36</v>
      </c>
      <c r="V420" s="85">
        <v>57.22</v>
      </c>
      <c r="W420" s="85">
        <v>57.29</v>
      </c>
      <c r="X420" s="85">
        <v>54.19</v>
      </c>
      <c r="Y420" s="85">
        <v>52.3</v>
      </c>
      <c r="Z420" s="85">
        <v>67.33</v>
      </c>
      <c r="AA420" s="85">
        <v>49.2</v>
      </c>
      <c r="AB420" s="85">
        <v>48.09</v>
      </c>
      <c r="AC420" s="85">
        <v>42.24</v>
      </c>
      <c r="AD420" s="85">
        <v>53.12</v>
      </c>
      <c r="AE420" s="47">
        <v>1356723</v>
      </c>
      <c r="AF420" s="47">
        <v>1297210</v>
      </c>
      <c r="AG420" s="47">
        <v>1331455</v>
      </c>
      <c r="AH420" s="47">
        <v>1409790</v>
      </c>
      <c r="AI420" s="47">
        <v>1428050</v>
      </c>
      <c r="AJ420" s="47">
        <v>1327325</v>
      </c>
      <c r="AK420" s="47">
        <v>997543</v>
      </c>
      <c r="AL420" s="47">
        <v>1467581</v>
      </c>
      <c r="AM420" s="47">
        <v>1130725</v>
      </c>
      <c r="AN420" s="47">
        <v>2314130</v>
      </c>
      <c r="AO420" s="47">
        <v>3778808</v>
      </c>
      <c r="AP420" s="47">
        <v>1649681</v>
      </c>
      <c r="AQ420" s="47">
        <v>1327775</v>
      </c>
      <c r="AR420" s="47">
        <v>1631735</v>
      </c>
      <c r="AS420" s="47"/>
      <c r="AT420" s="47"/>
      <c r="AU420" s="47"/>
      <c r="AV420" s="47"/>
      <c r="AW420" s="47"/>
      <c r="AX420" s="47"/>
      <c r="AY420" s="47"/>
      <c r="AZ420" s="47"/>
      <c r="BA420" s="47"/>
      <c r="BB420" s="47"/>
      <c r="BC420" s="47"/>
      <c r="BD420" s="47"/>
      <c r="BE420" s="47"/>
      <c r="BF420" s="47"/>
    </row>
    <row r="421" spans="1:58" hidden="1">
      <c r="A421" s="46" t="s">
        <v>286</v>
      </c>
      <c r="B421" s="46" t="s">
        <v>260</v>
      </c>
      <c r="C421" s="47">
        <v>116830</v>
      </c>
      <c r="D421" s="47">
        <v>108425</v>
      </c>
      <c r="E421" s="47">
        <v>112600</v>
      </c>
      <c r="F421" s="47">
        <v>127105</v>
      </c>
      <c r="G421" s="47">
        <v>139290</v>
      </c>
      <c r="H421" s="47">
        <v>145355</v>
      </c>
      <c r="I421" s="47">
        <v>155203</v>
      </c>
      <c r="J421" s="47">
        <v>152457</v>
      </c>
      <c r="K421" s="47">
        <v>130733</v>
      </c>
      <c r="L421" s="47">
        <v>157195</v>
      </c>
      <c r="M421" s="47">
        <v>160929</v>
      </c>
      <c r="N421" s="47">
        <v>131831</v>
      </c>
      <c r="O421" s="47">
        <v>144452</v>
      </c>
      <c r="P421" s="47">
        <v>150520</v>
      </c>
      <c r="Q421" s="85">
        <v>50.16</v>
      </c>
      <c r="R421" s="85">
        <v>45.12</v>
      </c>
      <c r="S421" s="85">
        <v>63.97</v>
      </c>
      <c r="T421" s="85">
        <v>58.1</v>
      </c>
      <c r="U421" s="85">
        <v>60.5</v>
      </c>
      <c r="V421" s="85">
        <v>61.96</v>
      </c>
      <c r="W421" s="85">
        <v>55.34</v>
      </c>
      <c r="X421" s="85">
        <v>55.61</v>
      </c>
      <c r="Y421" s="85">
        <v>56.06</v>
      </c>
      <c r="Z421" s="85">
        <v>64.739999999999995</v>
      </c>
      <c r="AA421" s="85">
        <v>47.76</v>
      </c>
      <c r="AB421" s="85">
        <v>55.76</v>
      </c>
      <c r="AC421" s="85">
        <v>49.09</v>
      </c>
      <c r="AD421" s="85">
        <v>62.87</v>
      </c>
      <c r="AE421" s="47">
        <v>5859620</v>
      </c>
      <c r="AF421" s="47">
        <v>4892665</v>
      </c>
      <c r="AG421" s="47">
        <v>7203025</v>
      </c>
      <c r="AH421" s="47">
        <v>7384570</v>
      </c>
      <c r="AI421" s="47">
        <v>8427685</v>
      </c>
      <c r="AJ421" s="47">
        <v>9005970</v>
      </c>
      <c r="AK421" s="47">
        <v>8589463</v>
      </c>
      <c r="AL421" s="47">
        <v>8478176</v>
      </c>
      <c r="AM421" s="47">
        <v>7329525</v>
      </c>
      <c r="AN421" s="47">
        <v>10176250</v>
      </c>
      <c r="AO421" s="47">
        <v>7685387</v>
      </c>
      <c r="AP421" s="47">
        <v>7350386</v>
      </c>
      <c r="AQ421" s="47">
        <v>7090580</v>
      </c>
      <c r="AR421" s="47">
        <v>9462580</v>
      </c>
      <c r="AS421" s="47"/>
      <c r="AT421" s="47"/>
      <c r="AU421" s="47"/>
      <c r="AV421" s="47"/>
      <c r="AW421" s="47"/>
      <c r="AX421" s="47"/>
      <c r="AY421" s="47"/>
      <c r="AZ421" s="47"/>
      <c r="BA421" s="47"/>
      <c r="BB421" s="47"/>
      <c r="BC421" s="47"/>
      <c r="BD421" s="47"/>
      <c r="BE421" s="47"/>
      <c r="BF421" s="47"/>
    </row>
    <row r="422" spans="1:58" hidden="1">
      <c r="A422" s="46" t="s">
        <v>286</v>
      </c>
      <c r="B422" s="46" t="s">
        <v>261</v>
      </c>
      <c r="C422" s="47">
        <v>6406</v>
      </c>
      <c r="D422" s="47">
        <v>6285</v>
      </c>
      <c r="E422" s="47">
        <v>6405</v>
      </c>
      <c r="F422" s="47">
        <v>5635</v>
      </c>
      <c r="G422" s="47">
        <v>6245</v>
      </c>
      <c r="H422" s="47">
        <v>5765</v>
      </c>
      <c r="I422" s="47">
        <v>6711</v>
      </c>
      <c r="J422" s="47">
        <v>9157</v>
      </c>
      <c r="K422" s="47">
        <v>8915</v>
      </c>
      <c r="L422" s="47">
        <v>8515</v>
      </c>
      <c r="M422" s="47">
        <v>6243</v>
      </c>
      <c r="N422" s="47">
        <v>8617</v>
      </c>
      <c r="O422" s="47">
        <v>9330</v>
      </c>
      <c r="P422" s="47">
        <v>9460</v>
      </c>
      <c r="Q422" s="85">
        <v>39.700000000000003</v>
      </c>
      <c r="R422" s="85">
        <v>35.49</v>
      </c>
      <c r="S422" s="85">
        <v>45.39</v>
      </c>
      <c r="T422" s="85">
        <v>39.770000000000003</v>
      </c>
      <c r="U422" s="85">
        <v>43.12</v>
      </c>
      <c r="V422" s="85">
        <v>44.53</v>
      </c>
      <c r="W422" s="85">
        <v>35.090000000000003</v>
      </c>
      <c r="X422" s="85">
        <v>41.05</v>
      </c>
      <c r="Y422" s="85">
        <v>39.880000000000003</v>
      </c>
      <c r="Z422" s="85">
        <v>42.24</v>
      </c>
      <c r="AA422" s="85">
        <v>33.5</v>
      </c>
      <c r="AB422" s="85">
        <v>39.1</v>
      </c>
      <c r="AC422" s="85">
        <v>33.61</v>
      </c>
      <c r="AD422" s="85">
        <v>38.39</v>
      </c>
      <c r="AE422" s="47">
        <v>254292</v>
      </c>
      <c r="AF422" s="47">
        <v>223070</v>
      </c>
      <c r="AG422" s="47">
        <v>290730</v>
      </c>
      <c r="AH422" s="47">
        <v>224095</v>
      </c>
      <c r="AI422" s="47">
        <v>269265</v>
      </c>
      <c r="AJ422" s="47">
        <v>256725</v>
      </c>
      <c r="AK422" s="47">
        <v>235503</v>
      </c>
      <c r="AL422" s="47">
        <v>375933</v>
      </c>
      <c r="AM422" s="47">
        <v>355520</v>
      </c>
      <c r="AN422" s="47">
        <v>359680</v>
      </c>
      <c r="AO422" s="47">
        <v>209141</v>
      </c>
      <c r="AP422" s="47">
        <v>336927</v>
      </c>
      <c r="AQ422" s="47">
        <v>313600</v>
      </c>
      <c r="AR422" s="47">
        <v>363125</v>
      </c>
      <c r="AS422" s="47"/>
      <c r="AT422" s="47"/>
      <c r="AU422" s="47"/>
      <c r="AV422" s="47"/>
      <c r="AW422" s="47"/>
      <c r="AX422" s="47"/>
      <c r="AY422" s="47"/>
      <c r="AZ422" s="47"/>
      <c r="BA422" s="47"/>
      <c r="BB422" s="47"/>
      <c r="BC422" s="47"/>
      <c r="BD422" s="47"/>
      <c r="BE422" s="47"/>
      <c r="BF422" s="47"/>
    </row>
    <row r="423" spans="1:58" hidden="1">
      <c r="A423" s="46" t="s">
        <v>286</v>
      </c>
      <c r="B423" s="46" t="s">
        <v>262</v>
      </c>
      <c r="C423" s="47">
        <v>2918</v>
      </c>
      <c r="D423" s="47">
        <v>3135</v>
      </c>
      <c r="E423" s="47">
        <v>2810</v>
      </c>
      <c r="F423" s="47">
        <v>3055</v>
      </c>
      <c r="G423" s="47">
        <v>3405</v>
      </c>
      <c r="H423" s="47">
        <v>3315</v>
      </c>
      <c r="I423" s="47">
        <v>2705</v>
      </c>
      <c r="J423" s="47">
        <v>2891</v>
      </c>
      <c r="K423" s="47">
        <v>2062</v>
      </c>
      <c r="L423" s="47">
        <v>2283</v>
      </c>
      <c r="M423" s="47">
        <v>4456</v>
      </c>
      <c r="N423" s="47">
        <v>2838</v>
      </c>
      <c r="O423" s="47">
        <v>2760</v>
      </c>
      <c r="P423" s="47">
        <v>1696</v>
      </c>
      <c r="Q423" s="85">
        <v>37.21</v>
      </c>
      <c r="R423" s="85">
        <v>34.340000000000003</v>
      </c>
      <c r="S423" s="85">
        <v>41.28</v>
      </c>
      <c r="T423" s="85">
        <v>34.26</v>
      </c>
      <c r="U423" s="85">
        <v>39.04</v>
      </c>
      <c r="V423" s="85">
        <v>39.700000000000003</v>
      </c>
      <c r="W423" s="85">
        <v>34.51</v>
      </c>
      <c r="X423" s="85">
        <v>40.520000000000003</v>
      </c>
      <c r="Y423" s="85">
        <v>39.17</v>
      </c>
      <c r="Z423" s="85">
        <v>41.59</v>
      </c>
      <c r="AA423" s="85">
        <v>33.799999999999997</v>
      </c>
      <c r="AB423" s="85">
        <v>37.770000000000003</v>
      </c>
      <c r="AC423" s="85">
        <v>33.14</v>
      </c>
      <c r="AD423" s="85">
        <v>36.69</v>
      </c>
      <c r="AE423" s="47">
        <v>108570</v>
      </c>
      <c r="AF423" s="47">
        <v>107670</v>
      </c>
      <c r="AG423" s="47">
        <v>116010</v>
      </c>
      <c r="AH423" s="47">
        <v>104670</v>
      </c>
      <c r="AI423" s="47">
        <v>132935</v>
      </c>
      <c r="AJ423" s="47">
        <v>131620</v>
      </c>
      <c r="AK423" s="47">
        <v>93345</v>
      </c>
      <c r="AL423" s="47">
        <v>117142</v>
      </c>
      <c r="AM423" s="47">
        <v>80768</v>
      </c>
      <c r="AN423" s="47">
        <v>94953</v>
      </c>
      <c r="AO423" s="47">
        <v>150594</v>
      </c>
      <c r="AP423" s="47">
        <v>107199</v>
      </c>
      <c r="AQ423" s="47">
        <v>91476</v>
      </c>
      <c r="AR423" s="47">
        <v>62229</v>
      </c>
      <c r="AS423" s="47"/>
      <c r="AT423" s="47"/>
      <c r="AU423" s="47"/>
      <c r="AV423" s="47"/>
      <c r="AW423" s="47"/>
      <c r="AX423" s="47"/>
      <c r="AY423" s="47"/>
      <c r="AZ423" s="47"/>
      <c r="BA423" s="47"/>
      <c r="BB423" s="47"/>
      <c r="BC423" s="47"/>
      <c r="BD423" s="47"/>
      <c r="BE423" s="47"/>
      <c r="BF423" s="47"/>
    </row>
    <row r="424" spans="1:58" hidden="1">
      <c r="A424" s="46" t="s">
        <v>286</v>
      </c>
      <c r="B424" s="46" t="s">
        <v>263</v>
      </c>
      <c r="C424" s="47">
        <v>9324</v>
      </c>
      <c r="D424" s="47">
        <v>9420</v>
      </c>
      <c r="E424" s="47">
        <v>9215</v>
      </c>
      <c r="F424" s="47">
        <v>8690</v>
      </c>
      <c r="G424" s="47">
        <v>9650</v>
      </c>
      <c r="H424" s="47">
        <v>9080</v>
      </c>
      <c r="I424" s="47">
        <v>9416</v>
      </c>
      <c r="J424" s="47">
        <v>12048</v>
      </c>
      <c r="K424" s="47">
        <v>10977</v>
      </c>
      <c r="L424" s="47">
        <v>10798</v>
      </c>
      <c r="M424" s="47">
        <v>10699</v>
      </c>
      <c r="N424" s="47">
        <v>11455</v>
      </c>
      <c r="O424" s="47">
        <v>12090</v>
      </c>
      <c r="P424" s="47">
        <v>11156</v>
      </c>
      <c r="Q424" s="85">
        <v>38.92</v>
      </c>
      <c r="R424" s="85">
        <v>35.11</v>
      </c>
      <c r="S424" s="85">
        <v>44.14</v>
      </c>
      <c r="T424" s="85">
        <v>37.83</v>
      </c>
      <c r="U424" s="85">
        <v>41.68</v>
      </c>
      <c r="V424" s="85">
        <v>42.77</v>
      </c>
      <c r="W424" s="85">
        <v>34.92</v>
      </c>
      <c r="X424" s="85">
        <v>40.93</v>
      </c>
      <c r="Y424" s="85">
        <v>39.75</v>
      </c>
      <c r="Z424" s="85">
        <v>42.1</v>
      </c>
      <c r="AA424" s="85">
        <v>33.619999999999997</v>
      </c>
      <c r="AB424" s="85">
        <v>38.770000000000003</v>
      </c>
      <c r="AC424" s="85">
        <v>33.51</v>
      </c>
      <c r="AD424" s="85">
        <v>38.130000000000003</v>
      </c>
      <c r="AE424" s="47">
        <v>362862</v>
      </c>
      <c r="AF424" s="47">
        <v>330740</v>
      </c>
      <c r="AG424" s="47">
        <v>406740</v>
      </c>
      <c r="AH424" s="47">
        <v>328765</v>
      </c>
      <c r="AI424" s="47">
        <v>402200</v>
      </c>
      <c r="AJ424" s="47">
        <v>388345</v>
      </c>
      <c r="AK424" s="47">
        <v>328848</v>
      </c>
      <c r="AL424" s="47">
        <v>493075</v>
      </c>
      <c r="AM424" s="47">
        <v>436288</v>
      </c>
      <c r="AN424" s="47">
        <v>454633</v>
      </c>
      <c r="AO424" s="47">
        <v>359735</v>
      </c>
      <c r="AP424" s="47">
        <v>444126</v>
      </c>
      <c r="AQ424" s="47">
        <v>405076</v>
      </c>
      <c r="AR424" s="47">
        <v>425354</v>
      </c>
      <c r="AS424" s="47"/>
      <c r="AT424" s="47"/>
      <c r="AU424" s="47"/>
      <c r="AV424" s="47"/>
      <c r="AW424" s="47"/>
      <c r="AX424" s="47"/>
      <c r="AY424" s="47"/>
      <c r="AZ424" s="47"/>
      <c r="BA424" s="47"/>
      <c r="BB424" s="47"/>
      <c r="BC424" s="47"/>
      <c r="BD424" s="47"/>
      <c r="BE424" s="47"/>
      <c r="BF424" s="47"/>
    </row>
    <row r="425" spans="1:58" hidden="1">
      <c r="A425" s="46" t="s">
        <v>286</v>
      </c>
      <c r="B425" s="46" t="s">
        <v>264</v>
      </c>
      <c r="C425" s="47">
        <v>243879</v>
      </c>
      <c r="D425" s="47">
        <v>247309</v>
      </c>
      <c r="E425" s="47">
        <v>244984</v>
      </c>
      <c r="F425" s="47">
        <v>251623</v>
      </c>
      <c r="G425" s="47">
        <v>250967</v>
      </c>
      <c r="H425" s="47">
        <v>237767</v>
      </c>
      <c r="I425" s="47">
        <v>214978</v>
      </c>
      <c r="J425" s="47">
        <v>195574</v>
      </c>
      <c r="K425" s="47">
        <v>204717</v>
      </c>
      <c r="L425" s="47">
        <v>204230</v>
      </c>
      <c r="M425" s="47">
        <v>212031</v>
      </c>
      <c r="N425" s="47">
        <v>151902</v>
      </c>
      <c r="O425" s="47">
        <v>147467</v>
      </c>
      <c r="P425" s="47">
        <v>115491</v>
      </c>
      <c r="Q425" s="85">
        <v>106.9</v>
      </c>
      <c r="R425" s="85">
        <v>113.05</v>
      </c>
      <c r="S425" s="85">
        <v>108.26</v>
      </c>
      <c r="T425" s="85">
        <v>95.88</v>
      </c>
      <c r="U425" s="85">
        <v>117.11</v>
      </c>
      <c r="V425" s="85">
        <v>112.95</v>
      </c>
      <c r="W425" s="85">
        <v>107.88</v>
      </c>
      <c r="X425" s="85">
        <v>119.19</v>
      </c>
      <c r="Y425" s="85">
        <v>109.56</v>
      </c>
      <c r="Z425" s="85">
        <v>113.04</v>
      </c>
      <c r="AA425" s="85">
        <v>106.53</v>
      </c>
      <c r="AB425" s="85">
        <v>120.3</v>
      </c>
      <c r="AC425" s="85">
        <v>98.96</v>
      </c>
      <c r="AD425" s="85">
        <v>124.65</v>
      </c>
      <c r="AE425" s="47">
        <v>26070492</v>
      </c>
      <c r="AF425" s="47">
        <v>27958685</v>
      </c>
      <c r="AG425" s="47">
        <v>26521920</v>
      </c>
      <c r="AH425" s="47">
        <v>24124730</v>
      </c>
      <c r="AI425" s="47">
        <v>29390095</v>
      </c>
      <c r="AJ425" s="47">
        <v>26855900</v>
      </c>
      <c r="AK425" s="47">
        <v>23190757</v>
      </c>
      <c r="AL425" s="47">
        <v>23309761</v>
      </c>
      <c r="AM425" s="47">
        <v>22428279</v>
      </c>
      <c r="AN425" s="47">
        <v>23086611</v>
      </c>
      <c r="AO425" s="47">
        <v>22588683</v>
      </c>
      <c r="AP425" s="47">
        <v>18273915</v>
      </c>
      <c r="AQ425" s="47">
        <v>14593985</v>
      </c>
      <c r="AR425" s="47">
        <v>14395453</v>
      </c>
      <c r="AS425" s="47"/>
      <c r="AT425" s="47"/>
      <c r="AU425" s="47"/>
      <c r="AV425" s="47"/>
      <c r="AW425" s="47"/>
      <c r="AX425" s="47"/>
      <c r="AY425" s="47"/>
      <c r="AZ425" s="47"/>
      <c r="BA425" s="47"/>
      <c r="BB425" s="47"/>
      <c r="BC425" s="47"/>
      <c r="BD425" s="47"/>
      <c r="BE425" s="47"/>
      <c r="BF425" s="47"/>
    </row>
    <row r="426" spans="1:58" hidden="1">
      <c r="A426" s="46" t="s">
        <v>286</v>
      </c>
      <c r="B426" s="46" t="s">
        <v>265</v>
      </c>
      <c r="C426" s="47">
        <v>233209</v>
      </c>
      <c r="D426" s="47">
        <v>235850</v>
      </c>
      <c r="E426" s="47">
        <v>239465</v>
      </c>
      <c r="F426" s="47">
        <v>272240</v>
      </c>
      <c r="G426" s="47">
        <v>276250</v>
      </c>
      <c r="H426" s="47">
        <v>260860</v>
      </c>
      <c r="I426" s="47">
        <v>225822</v>
      </c>
      <c r="J426" s="47">
        <v>215010</v>
      </c>
      <c r="K426" s="47">
        <v>195074</v>
      </c>
      <c r="L426" s="47">
        <v>215540</v>
      </c>
      <c r="M426" s="47">
        <v>244365</v>
      </c>
      <c r="N426" s="47">
        <v>233340</v>
      </c>
      <c r="O426" s="47">
        <v>219188</v>
      </c>
      <c r="P426" s="47">
        <v>214835</v>
      </c>
      <c r="Q426" s="85">
        <v>67.2</v>
      </c>
      <c r="R426" s="85">
        <v>89.8</v>
      </c>
      <c r="S426" s="85">
        <v>73.45</v>
      </c>
      <c r="T426" s="85">
        <v>65.430000000000007</v>
      </c>
      <c r="U426" s="85">
        <v>99.73</v>
      </c>
      <c r="V426" s="85">
        <v>78.19</v>
      </c>
      <c r="W426" s="85">
        <v>63.5</v>
      </c>
      <c r="X426" s="85">
        <v>97.49</v>
      </c>
      <c r="Y426" s="85">
        <v>75.760000000000005</v>
      </c>
      <c r="Z426" s="85">
        <v>77.62</v>
      </c>
      <c r="AA426" s="85">
        <v>63.02</v>
      </c>
      <c r="AB426" s="85">
        <v>97.69</v>
      </c>
      <c r="AC426" s="85">
        <v>56.93</v>
      </c>
      <c r="AD426" s="85">
        <v>96.5</v>
      </c>
      <c r="AE426" s="47">
        <v>15670737</v>
      </c>
      <c r="AF426" s="47">
        <v>21179045</v>
      </c>
      <c r="AG426" s="47">
        <v>17588980</v>
      </c>
      <c r="AH426" s="47">
        <v>17812890</v>
      </c>
      <c r="AI426" s="47">
        <v>27549725</v>
      </c>
      <c r="AJ426" s="47">
        <v>20397460</v>
      </c>
      <c r="AK426" s="47">
        <v>14340694</v>
      </c>
      <c r="AL426" s="47">
        <v>20962080</v>
      </c>
      <c r="AM426" s="47">
        <v>14779418</v>
      </c>
      <c r="AN426" s="47">
        <v>16729185</v>
      </c>
      <c r="AO426" s="47">
        <v>15400933</v>
      </c>
      <c r="AP426" s="47">
        <v>22795205</v>
      </c>
      <c r="AQ426" s="47">
        <v>12477827</v>
      </c>
      <c r="AR426" s="47">
        <v>20732180</v>
      </c>
      <c r="AS426" s="47"/>
      <c r="AT426" s="47"/>
      <c r="AU426" s="47"/>
      <c r="AV426" s="47"/>
      <c r="AW426" s="47"/>
      <c r="AX426" s="47"/>
      <c r="AY426" s="47"/>
      <c r="AZ426" s="47"/>
      <c r="BA426" s="47"/>
      <c r="BB426" s="47"/>
      <c r="BC426" s="47"/>
      <c r="BD426" s="47"/>
      <c r="BE426" s="47"/>
      <c r="BF426" s="47"/>
    </row>
    <row r="427" spans="1:58" hidden="1">
      <c r="A427" s="46" t="s">
        <v>286</v>
      </c>
      <c r="B427" s="46" t="s">
        <v>266</v>
      </c>
      <c r="C427" s="47">
        <v>14015</v>
      </c>
      <c r="D427" s="47">
        <v>17183</v>
      </c>
      <c r="E427" s="47">
        <v>23458</v>
      </c>
      <c r="F427" s="47">
        <v>28527</v>
      </c>
      <c r="G427" s="47">
        <v>32547</v>
      </c>
      <c r="H427" s="47">
        <v>23601</v>
      </c>
      <c r="I427" s="47">
        <v>21671</v>
      </c>
      <c r="J427" s="47">
        <v>20419</v>
      </c>
      <c r="K427" s="47">
        <v>22935</v>
      </c>
      <c r="L427" s="47">
        <v>25994</v>
      </c>
      <c r="M427" s="47">
        <v>30993</v>
      </c>
      <c r="N427" s="47">
        <v>34611</v>
      </c>
      <c r="O427" s="47">
        <v>32925</v>
      </c>
      <c r="P427" s="47">
        <v>34934</v>
      </c>
      <c r="Q427" s="85">
        <v>36.369999999999997</v>
      </c>
      <c r="R427" s="85">
        <v>35.1</v>
      </c>
      <c r="S427" s="85">
        <v>39.270000000000003</v>
      </c>
      <c r="T427" s="85">
        <v>39.119999999999997</v>
      </c>
      <c r="U427" s="85">
        <v>36.909999999999997</v>
      </c>
      <c r="V427" s="85">
        <v>39.47</v>
      </c>
      <c r="W427" s="85">
        <v>36.770000000000003</v>
      </c>
      <c r="X427" s="85">
        <v>41.06</v>
      </c>
      <c r="Y427" s="85">
        <v>37.619999999999997</v>
      </c>
      <c r="Z427" s="85">
        <v>37.049999999999997</v>
      </c>
      <c r="AA427" s="85">
        <v>37.64</v>
      </c>
      <c r="AB427" s="85">
        <v>40.1</v>
      </c>
      <c r="AC427" s="85">
        <v>30.03</v>
      </c>
      <c r="AD427" s="85">
        <v>37.090000000000003</v>
      </c>
      <c r="AE427" s="47">
        <v>509700</v>
      </c>
      <c r="AF427" s="47">
        <v>603092</v>
      </c>
      <c r="AG427" s="47">
        <v>921134</v>
      </c>
      <c r="AH427" s="47">
        <v>1116099</v>
      </c>
      <c r="AI427" s="47">
        <v>1201463</v>
      </c>
      <c r="AJ427" s="47">
        <v>931616</v>
      </c>
      <c r="AK427" s="47">
        <v>796894</v>
      </c>
      <c r="AL427" s="47">
        <v>838328</v>
      </c>
      <c r="AM427" s="47">
        <v>862713</v>
      </c>
      <c r="AN427" s="47">
        <v>963059</v>
      </c>
      <c r="AO427" s="47">
        <v>1166651</v>
      </c>
      <c r="AP427" s="47">
        <v>1387867</v>
      </c>
      <c r="AQ427" s="47">
        <v>988813</v>
      </c>
      <c r="AR427" s="47">
        <v>1295648</v>
      </c>
      <c r="AS427" s="47"/>
      <c r="AT427" s="47"/>
      <c r="AU427" s="47"/>
      <c r="AV427" s="47"/>
      <c r="AW427" s="47"/>
      <c r="AX427" s="47"/>
      <c r="AY427" s="47"/>
      <c r="AZ427" s="47"/>
      <c r="BA427" s="47"/>
      <c r="BB427" s="47"/>
      <c r="BC427" s="47"/>
      <c r="BD427" s="47"/>
      <c r="BE427" s="47"/>
      <c r="BF427" s="47"/>
    </row>
    <row r="428" spans="1:58" hidden="1">
      <c r="A428" s="46" t="s">
        <v>286</v>
      </c>
      <c r="B428" s="46" t="s">
        <v>267</v>
      </c>
      <c r="C428" s="47">
        <v>491103</v>
      </c>
      <c r="D428" s="47">
        <v>500342</v>
      </c>
      <c r="E428" s="47">
        <v>507907</v>
      </c>
      <c r="F428" s="47">
        <v>552390</v>
      </c>
      <c r="G428" s="47">
        <v>559764</v>
      </c>
      <c r="H428" s="47">
        <v>522228</v>
      </c>
      <c r="I428" s="47">
        <v>462471</v>
      </c>
      <c r="J428" s="47">
        <v>431003</v>
      </c>
      <c r="K428" s="47">
        <v>422726</v>
      </c>
      <c r="L428" s="47">
        <v>445764</v>
      </c>
      <c r="M428" s="47">
        <v>487389</v>
      </c>
      <c r="N428" s="47">
        <v>419853</v>
      </c>
      <c r="O428" s="47">
        <v>399580</v>
      </c>
      <c r="P428" s="47">
        <v>365260</v>
      </c>
      <c r="Q428" s="85">
        <v>86.03</v>
      </c>
      <c r="R428" s="85">
        <v>99.41</v>
      </c>
      <c r="S428" s="85">
        <v>88.66</v>
      </c>
      <c r="T428" s="85">
        <v>77.94</v>
      </c>
      <c r="U428" s="85">
        <v>103.87</v>
      </c>
      <c r="V428" s="85">
        <v>92.27</v>
      </c>
      <c r="W428" s="85">
        <v>82.88</v>
      </c>
      <c r="X428" s="85">
        <v>104.66</v>
      </c>
      <c r="Y428" s="85">
        <v>90.06</v>
      </c>
      <c r="Z428" s="85">
        <v>91.48</v>
      </c>
      <c r="AA428" s="85">
        <v>80.34</v>
      </c>
      <c r="AB428" s="85">
        <v>101.12</v>
      </c>
      <c r="AC428" s="85">
        <v>70.23</v>
      </c>
      <c r="AD428" s="85">
        <v>99.72</v>
      </c>
      <c r="AE428" s="47">
        <v>42250929</v>
      </c>
      <c r="AF428" s="47">
        <v>49740822</v>
      </c>
      <c r="AG428" s="47">
        <v>45032034</v>
      </c>
      <c r="AH428" s="47">
        <v>43053719</v>
      </c>
      <c r="AI428" s="47">
        <v>58141283</v>
      </c>
      <c r="AJ428" s="47">
        <v>48184976</v>
      </c>
      <c r="AK428" s="47">
        <v>38328345</v>
      </c>
      <c r="AL428" s="47">
        <v>45110169</v>
      </c>
      <c r="AM428" s="47">
        <v>38070410</v>
      </c>
      <c r="AN428" s="47">
        <v>40778855</v>
      </c>
      <c r="AO428" s="47">
        <v>39156267</v>
      </c>
      <c r="AP428" s="47">
        <v>42456987</v>
      </c>
      <c r="AQ428" s="47">
        <v>28060625</v>
      </c>
      <c r="AR428" s="47">
        <v>36423281</v>
      </c>
      <c r="AS428" s="47"/>
      <c r="AT428" s="47"/>
      <c r="AU428" s="47"/>
      <c r="AV428" s="47"/>
      <c r="AW428" s="47"/>
      <c r="AX428" s="47"/>
      <c r="AY428" s="47"/>
      <c r="AZ428" s="47"/>
      <c r="BA428" s="47"/>
      <c r="BB428" s="47"/>
      <c r="BC428" s="47"/>
      <c r="BD428" s="47"/>
      <c r="BE428" s="47"/>
      <c r="BF428" s="47"/>
    </row>
    <row r="429" spans="1:58" hidden="1">
      <c r="A429" s="46" t="s">
        <v>286</v>
      </c>
      <c r="B429" s="46" t="s">
        <v>268</v>
      </c>
      <c r="C429" s="47">
        <v>9954</v>
      </c>
      <c r="D429" s="47">
        <v>8420</v>
      </c>
      <c r="E429" s="47">
        <v>6967</v>
      </c>
      <c r="F429" s="47">
        <v>8346</v>
      </c>
      <c r="G429" s="47">
        <v>11109</v>
      </c>
      <c r="H429" s="47">
        <v>9824</v>
      </c>
      <c r="I429" s="47">
        <v>9688</v>
      </c>
      <c r="J429" s="47">
        <v>12094</v>
      </c>
      <c r="K429" s="47">
        <v>12112</v>
      </c>
      <c r="L429" s="47">
        <v>15852</v>
      </c>
      <c r="M429" s="47">
        <v>24561</v>
      </c>
      <c r="N429" s="47">
        <v>15043</v>
      </c>
      <c r="O429" s="47">
        <v>10885</v>
      </c>
      <c r="P429" s="47">
        <v>13735</v>
      </c>
      <c r="Q429" s="85">
        <v>55.96</v>
      </c>
      <c r="R429" s="85">
        <v>59.06</v>
      </c>
      <c r="S429" s="85">
        <v>58.77</v>
      </c>
      <c r="T429" s="85">
        <v>47.96</v>
      </c>
      <c r="U429" s="85">
        <v>63.04</v>
      </c>
      <c r="V429" s="85">
        <v>47.94</v>
      </c>
      <c r="W429" s="85">
        <v>46.46</v>
      </c>
      <c r="X429" s="85">
        <v>56.58</v>
      </c>
      <c r="Y429" s="85">
        <v>52.6</v>
      </c>
      <c r="Z429" s="85">
        <v>53.29</v>
      </c>
      <c r="AA429" s="85">
        <v>47.47</v>
      </c>
      <c r="AB429" s="85">
        <v>60.17</v>
      </c>
      <c r="AC429" s="85">
        <v>43.06</v>
      </c>
      <c r="AD429" s="85">
        <v>57.28</v>
      </c>
      <c r="AE429" s="47">
        <v>557050</v>
      </c>
      <c r="AF429" s="47">
        <v>497261</v>
      </c>
      <c r="AG429" s="47">
        <v>409437</v>
      </c>
      <c r="AH429" s="47">
        <v>400293</v>
      </c>
      <c r="AI429" s="47">
        <v>700288</v>
      </c>
      <c r="AJ429" s="47">
        <v>470928</v>
      </c>
      <c r="AK429" s="47">
        <v>450144</v>
      </c>
      <c r="AL429" s="47">
        <v>684336</v>
      </c>
      <c r="AM429" s="47">
        <v>637135</v>
      </c>
      <c r="AN429" s="47">
        <v>844776</v>
      </c>
      <c r="AO429" s="47">
        <v>1165943</v>
      </c>
      <c r="AP429" s="47">
        <v>905118</v>
      </c>
      <c r="AQ429" s="47">
        <v>468658</v>
      </c>
      <c r="AR429" s="47">
        <v>786740</v>
      </c>
      <c r="AS429" s="47"/>
      <c r="AT429" s="47"/>
      <c r="AU429" s="47"/>
      <c r="AV429" s="47"/>
      <c r="AW429" s="47"/>
      <c r="AX429" s="47"/>
      <c r="AY429" s="47"/>
      <c r="AZ429" s="47"/>
      <c r="BA429" s="47"/>
      <c r="BB429" s="47"/>
      <c r="BC429" s="47"/>
      <c r="BD429" s="47"/>
      <c r="BE429" s="47"/>
      <c r="BF429" s="47"/>
    </row>
    <row r="430" spans="1:58" hidden="1">
      <c r="A430" s="46" t="s">
        <v>286</v>
      </c>
      <c r="B430" s="46" t="s">
        <v>269</v>
      </c>
      <c r="C430" s="47">
        <v>67254</v>
      </c>
      <c r="D430" s="47">
        <v>69620</v>
      </c>
      <c r="E430" s="47">
        <v>77435</v>
      </c>
      <c r="F430" s="47">
        <v>72620</v>
      </c>
      <c r="G430" s="47">
        <v>77590</v>
      </c>
      <c r="H430" s="47">
        <v>74653</v>
      </c>
      <c r="I430" s="47">
        <v>76400</v>
      </c>
      <c r="J430" s="47">
        <v>69695</v>
      </c>
      <c r="K430" s="47">
        <v>63210</v>
      </c>
      <c r="L430" s="47">
        <v>65090</v>
      </c>
      <c r="M430" s="47">
        <v>52433</v>
      </c>
      <c r="N430" s="47">
        <v>69930</v>
      </c>
      <c r="O430" s="47">
        <v>71890</v>
      </c>
      <c r="P430" s="47">
        <v>70865</v>
      </c>
      <c r="Q430" s="85">
        <v>50.41</v>
      </c>
      <c r="R430" s="85">
        <v>45.53</v>
      </c>
      <c r="S430" s="85">
        <v>52.78</v>
      </c>
      <c r="T430" s="85">
        <v>47.9</v>
      </c>
      <c r="U430" s="85">
        <v>51.08</v>
      </c>
      <c r="V430" s="85">
        <v>54.28</v>
      </c>
      <c r="W430" s="85">
        <v>37.97</v>
      </c>
      <c r="X430" s="85">
        <v>48.7</v>
      </c>
      <c r="Y430" s="85">
        <v>42.91</v>
      </c>
      <c r="Z430" s="85">
        <v>52.73</v>
      </c>
      <c r="AA430" s="85">
        <v>42.51</v>
      </c>
      <c r="AB430" s="85">
        <v>47.08</v>
      </c>
      <c r="AC430" s="85">
        <v>45.19</v>
      </c>
      <c r="AD430" s="85">
        <v>48.36</v>
      </c>
      <c r="AE430" s="47">
        <v>3389975</v>
      </c>
      <c r="AF430" s="47">
        <v>3170030</v>
      </c>
      <c r="AG430" s="47">
        <v>4086920</v>
      </c>
      <c r="AH430" s="47">
        <v>3478400</v>
      </c>
      <c r="AI430" s="47">
        <v>3962930</v>
      </c>
      <c r="AJ430" s="47">
        <v>4052156</v>
      </c>
      <c r="AK430" s="47">
        <v>2901060</v>
      </c>
      <c r="AL430" s="47">
        <v>3394005</v>
      </c>
      <c r="AM430" s="47">
        <v>2712570</v>
      </c>
      <c r="AN430" s="47">
        <v>3432390</v>
      </c>
      <c r="AO430" s="47">
        <v>2228778</v>
      </c>
      <c r="AP430" s="47">
        <v>3292320</v>
      </c>
      <c r="AQ430" s="47">
        <v>3248465</v>
      </c>
      <c r="AR430" s="47">
        <v>3427355</v>
      </c>
      <c r="AS430" s="47"/>
      <c r="AT430" s="47"/>
      <c r="AU430" s="47"/>
      <c r="AV430" s="47"/>
      <c r="AW430" s="47"/>
      <c r="AX430" s="47"/>
      <c r="AY430" s="47"/>
      <c r="AZ430" s="47"/>
      <c r="BA430" s="47"/>
      <c r="BB430" s="47"/>
      <c r="BC430" s="47"/>
      <c r="BD430" s="47"/>
      <c r="BE430" s="47"/>
      <c r="BF430" s="47"/>
    </row>
    <row r="431" spans="1:58" hidden="1">
      <c r="A431" s="46" t="s">
        <v>286</v>
      </c>
      <c r="B431" s="46" t="s">
        <v>270</v>
      </c>
      <c r="C431" s="47">
        <v>3815</v>
      </c>
      <c r="D431" s="47">
        <v>2935</v>
      </c>
      <c r="E431" s="47">
        <v>4050</v>
      </c>
      <c r="F431" s="47">
        <v>5485</v>
      </c>
      <c r="G431" s="47">
        <v>5587</v>
      </c>
      <c r="H431" s="47">
        <v>10520</v>
      </c>
      <c r="I431" s="47">
        <v>13858</v>
      </c>
      <c r="J431" s="47">
        <v>16310</v>
      </c>
      <c r="K431" s="47">
        <v>14105</v>
      </c>
      <c r="L431" s="47">
        <v>12510</v>
      </c>
      <c r="M431" s="47">
        <v>21891</v>
      </c>
      <c r="N431" s="47">
        <v>13685</v>
      </c>
      <c r="O431" s="47">
        <v>13005</v>
      </c>
      <c r="P431" s="47">
        <v>13975</v>
      </c>
      <c r="Q431" s="85"/>
      <c r="R431" s="85"/>
      <c r="S431" s="85"/>
      <c r="T431" s="85"/>
      <c r="U431" s="85"/>
      <c r="V431" s="85"/>
      <c r="W431" s="85"/>
      <c r="X431" s="85"/>
      <c r="Y431" s="85"/>
      <c r="Z431" s="85"/>
      <c r="AA431" s="85"/>
      <c r="AB431" s="85"/>
      <c r="AC431" s="85"/>
      <c r="AD431" s="85"/>
      <c r="AE431" s="47">
        <v>126875</v>
      </c>
      <c r="AF431" s="47">
        <v>91605</v>
      </c>
      <c r="AG431" s="47">
        <v>141280</v>
      </c>
      <c r="AH431" s="47">
        <v>172170</v>
      </c>
      <c r="AI431" s="47">
        <v>187060</v>
      </c>
      <c r="AJ431" s="47">
        <v>375625</v>
      </c>
      <c r="AK431" s="47">
        <v>407644</v>
      </c>
      <c r="AL431" s="47">
        <v>505630</v>
      </c>
      <c r="AM431" s="47">
        <v>448820</v>
      </c>
      <c r="AN431" s="47">
        <v>415529</v>
      </c>
      <c r="AO431" s="47">
        <v>771412</v>
      </c>
      <c r="AP431" s="47">
        <v>480475</v>
      </c>
      <c r="AQ431" s="47">
        <v>398975</v>
      </c>
      <c r="AR431" s="47">
        <v>458205</v>
      </c>
      <c r="AS431" s="47"/>
      <c r="AT431" s="47"/>
      <c r="AU431" s="47"/>
      <c r="AV431" s="47"/>
      <c r="AW431" s="47"/>
      <c r="AX431" s="47"/>
      <c r="AY431" s="47"/>
      <c r="AZ431" s="47"/>
      <c r="BA431" s="47"/>
      <c r="BB431" s="47"/>
      <c r="BC431" s="47"/>
      <c r="BD431" s="47"/>
      <c r="BE431" s="47"/>
      <c r="BF431" s="47"/>
    </row>
    <row r="432" spans="1:58" hidden="1">
      <c r="A432" s="46" t="s">
        <v>286</v>
      </c>
      <c r="B432" s="46" t="s">
        <v>271</v>
      </c>
      <c r="C432" s="47">
        <v>6110</v>
      </c>
      <c r="D432" s="47">
        <v>6951</v>
      </c>
      <c r="E432" s="47">
        <v>7250</v>
      </c>
      <c r="F432" s="47">
        <v>6533</v>
      </c>
      <c r="G432" s="47">
        <v>6982</v>
      </c>
      <c r="H432" s="47">
        <v>6647</v>
      </c>
      <c r="I432" s="47">
        <v>11231</v>
      </c>
      <c r="J432" s="47">
        <v>15310</v>
      </c>
      <c r="K432" s="47">
        <v>17329</v>
      </c>
      <c r="L432" s="47">
        <v>20026</v>
      </c>
      <c r="M432" s="47">
        <v>16129</v>
      </c>
      <c r="N432" s="47">
        <v>22165</v>
      </c>
      <c r="O432" s="47">
        <v>20785</v>
      </c>
      <c r="P432" s="47">
        <v>21080</v>
      </c>
      <c r="Q432" s="85"/>
      <c r="R432" s="85"/>
      <c r="S432" s="85"/>
      <c r="T432" s="85"/>
      <c r="U432" s="85"/>
      <c r="V432" s="85"/>
      <c r="W432" s="85"/>
      <c r="X432" s="85"/>
      <c r="Y432" s="85"/>
      <c r="Z432" s="85"/>
      <c r="AA432" s="85"/>
      <c r="AB432" s="85"/>
      <c r="AC432" s="85"/>
      <c r="AD432" s="85"/>
      <c r="AE432" s="47">
        <v>248310</v>
      </c>
      <c r="AF432" s="47">
        <v>278464</v>
      </c>
      <c r="AG432" s="47">
        <v>318972</v>
      </c>
      <c r="AH432" s="47">
        <v>284511</v>
      </c>
      <c r="AI432" s="47">
        <v>308527</v>
      </c>
      <c r="AJ432" s="47">
        <v>294469</v>
      </c>
      <c r="AK432" s="47">
        <v>412819</v>
      </c>
      <c r="AL432" s="47">
        <v>634842</v>
      </c>
      <c r="AM432" s="47">
        <v>721281</v>
      </c>
      <c r="AN432" s="47">
        <v>864515</v>
      </c>
      <c r="AO432" s="47">
        <v>655395</v>
      </c>
      <c r="AP432" s="47">
        <v>904240</v>
      </c>
      <c r="AQ432" s="47">
        <v>823640</v>
      </c>
      <c r="AR432" s="47">
        <v>884760</v>
      </c>
      <c r="AS432" s="47"/>
      <c r="AT432" s="47"/>
      <c r="AU432" s="47"/>
      <c r="AV432" s="47"/>
      <c r="AW432" s="47"/>
      <c r="AX432" s="47"/>
      <c r="AY432" s="47"/>
      <c r="AZ432" s="47"/>
      <c r="BA432" s="47"/>
      <c r="BB432" s="47"/>
      <c r="BC432" s="47"/>
      <c r="BD432" s="47"/>
      <c r="BE432" s="47"/>
      <c r="BF432" s="47"/>
    </row>
    <row r="433" spans="1:58" hidden="1">
      <c r="A433" s="46" t="s">
        <v>286</v>
      </c>
      <c r="B433" s="46" t="s">
        <v>272</v>
      </c>
      <c r="C433" s="47">
        <v>1269589</v>
      </c>
      <c r="D433" s="47">
        <v>1272028</v>
      </c>
      <c r="E433" s="47">
        <v>1319249</v>
      </c>
      <c r="F433" s="47">
        <v>1345404</v>
      </c>
      <c r="G433" s="47">
        <v>1362392</v>
      </c>
      <c r="H433" s="47">
        <v>1359937</v>
      </c>
      <c r="I433" s="47">
        <v>1343251</v>
      </c>
      <c r="J433" s="47">
        <v>1280227</v>
      </c>
      <c r="K433" s="47">
        <v>1229269</v>
      </c>
      <c r="L433" s="47">
        <v>1280592</v>
      </c>
      <c r="M433" s="47">
        <v>1173516</v>
      </c>
      <c r="N433" s="47">
        <v>1236461</v>
      </c>
      <c r="O433" s="47">
        <v>1187001</v>
      </c>
      <c r="P433" s="47">
        <v>1172002</v>
      </c>
      <c r="Q433" s="85">
        <v>68.27</v>
      </c>
      <c r="R433" s="85">
        <v>68.98</v>
      </c>
      <c r="S433" s="85">
        <v>74.540000000000006</v>
      </c>
      <c r="T433" s="85">
        <v>67.489999999999995</v>
      </c>
      <c r="U433" s="85">
        <v>78.91</v>
      </c>
      <c r="V433" s="85">
        <v>75.17</v>
      </c>
      <c r="W433" s="85">
        <v>62.66</v>
      </c>
      <c r="X433" s="85">
        <v>74.41</v>
      </c>
      <c r="Y433" s="85">
        <v>68.400000000000006</v>
      </c>
      <c r="Z433" s="85">
        <v>76.459999999999994</v>
      </c>
      <c r="AA433" s="85">
        <v>62.14</v>
      </c>
      <c r="AB433" s="85">
        <v>71.760000000000005</v>
      </c>
      <c r="AC433" s="85">
        <v>56.99</v>
      </c>
      <c r="AD433" s="85">
        <v>73.180000000000007</v>
      </c>
      <c r="AE433" s="47">
        <v>86671122</v>
      </c>
      <c r="AF433" s="47">
        <v>87746917</v>
      </c>
      <c r="AG433" s="47">
        <v>98338173</v>
      </c>
      <c r="AH433" s="47">
        <v>90795078</v>
      </c>
      <c r="AI433" s="47">
        <v>107507213</v>
      </c>
      <c r="AJ433" s="47">
        <v>102223514</v>
      </c>
      <c r="AK433" s="47">
        <v>84166540</v>
      </c>
      <c r="AL433" s="47">
        <v>95258804</v>
      </c>
      <c r="AM433" s="47">
        <v>84087236</v>
      </c>
      <c r="AN433" s="47">
        <v>97909900</v>
      </c>
      <c r="AO433" s="47">
        <v>72924619</v>
      </c>
      <c r="AP433" s="47">
        <v>88731611</v>
      </c>
      <c r="AQ433" s="47">
        <v>67651142</v>
      </c>
      <c r="AR433" s="47">
        <v>85763970</v>
      </c>
      <c r="AS433" s="47"/>
      <c r="AT433" s="47"/>
      <c r="AU433" s="47"/>
      <c r="AV433" s="47"/>
      <c r="AW433" s="47"/>
      <c r="AX433" s="47"/>
      <c r="AY433" s="47"/>
      <c r="AZ433" s="47"/>
      <c r="BA433" s="47"/>
      <c r="BB433" s="47"/>
      <c r="BC433" s="47"/>
      <c r="BD433" s="47"/>
      <c r="BE433" s="47"/>
      <c r="BF433" s="47"/>
    </row>
    <row r="434" spans="1:58" hidden="1">
      <c r="A434" s="46" t="s">
        <v>286</v>
      </c>
      <c r="B434" s="46" t="s">
        <v>273</v>
      </c>
      <c r="C434" s="47">
        <v>0</v>
      </c>
      <c r="D434" s="47">
        <v>0</v>
      </c>
      <c r="E434" s="47">
        <v>0</v>
      </c>
      <c r="F434" s="47">
        <v>0</v>
      </c>
      <c r="G434" s="47">
        <v>0</v>
      </c>
      <c r="H434" s="47">
        <v>0</v>
      </c>
      <c r="I434" s="47">
        <v>0</v>
      </c>
      <c r="J434" s="47">
        <v>0</v>
      </c>
      <c r="K434" s="47">
        <v>0</v>
      </c>
      <c r="L434" s="47">
        <v>0</v>
      </c>
      <c r="M434" s="47">
        <v>0</v>
      </c>
      <c r="N434" s="47">
        <v>0</v>
      </c>
      <c r="O434" s="47">
        <v>0</v>
      </c>
      <c r="P434" s="47">
        <v>0</v>
      </c>
      <c r="Q434" s="85"/>
      <c r="R434" s="85"/>
      <c r="S434" s="85"/>
      <c r="T434" s="85"/>
      <c r="U434" s="85"/>
      <c r="V434" s="85"/>
      <c r="W434" s="85"/>
      <c r="X434" s="85"/>
      <c r="Y434" s="85"/>
      <c r="Z434" s="85"/>
      <c r="AA434" s="85"/>
      <c r="AB434" s="85"/>
      <c r="AC434" s="85"/>
      <c r="AD434" s="85"/>
      <c r="AE434" s="47">
        <v>0</v>
      </c>
      <c r="AF434" s="47">
        <v>0</v>
      </c>
      <c r="AG434" s="47">
        <v>0</v>
      </c>
      <c r="AH434" s="47">
        <v>0</v>
      </c>
      <c r="AI434" s="47">
        <v>0</v>
      </c>
      <c r="AJ434" s="47">
        <v>0</v>
      </c>
      <c r="AK434" s="47">
        <v>0</v>
      </c>
      <c r="AL434" s="47">
        <v>0</v>
      </c>
      <c r="AM434" s="47">
        <v>0</v>
      </c>
      <c r="AN434" s="47">
        <v>0</v>
      </c>
      <c r="AO434" s="47">
        <v>0</v>
      </c>
      <c r="AP434" s="47">
        <v>0</v>
      </c>
      <c r="AQ434" s="47">
        <v>0</v>
      </c>
      <c r="AR434" s="47">
        <v>0</v>
      </c>
      <c r="AS434" s="47"/>
      <c r="AT434" s="47"/>
      <c r="AU434" s="47"/>
      <c r="AV434" s="47"/>
      <c r="AW434" s="47"/>
      <c r="AX434" s="47"/>
      <c r="AY434" s="47"/>
      <c r="AZ434" s="47"/>
      <c r="BA434" s="47"/>
      <c r="BB434" s="47"/>
      <c r="BC434" s="47"/>
      <c r="BD434" s="47"/>
      <c r="BE434" s="47"/>
      <c r="BF434" s="47"/>
    </row>
    <row r="435" spans="1:58" hidden="1">
      <c r="A435" s="46" t="s">
        <v>286</v>
      </c>
      <c r="B435" s="46" t="s">
        <v>274</v>
      </c>
      <c r="C435" s="47">
        <v>0</v>
      </c>
      <c r="D435" s="47">
        <v>0</v>
      </c>
      <c r="E435" s="47">
        <v>0</v>
      </c>
      <c r="F435" s="47">
        <v>0</v>
      </c>
      <c r="G435" s="47">
        <v>0</v>
      </c>
      <c r="H435" s="47">
        <v>0</v>
      </c>
      <c r="I435" s="47">
        <v>0</v>
      </c>
      <c r="J435" s="47">
        <v>0</v>
      </c>
      <c r="K435" s="47">
        <v>0</v>
      </c>
      <c r="L435" s="47">
        <v>0</v>
      </c>
      <c r="M435" s="47">
        <v>0</v>
      </c>
      <c r="N435" s="47">
        <v>0</v>
      </c>
      <c r="O435" s="47">
        <v>0</v>
      </c>
      <c r="P435" s="47">
        <v>0</v>
      </c>
      <c r="Q435" s="85"/>
      <c r="R435" s="85"/>
      <c r="S435" s="85"/>
      <c r="T435" s="85"/>
      <c r="U435" s="85"/>
      <c r="V435" s="85"/>
      <c r="W435" s="85"/>
      <c r="X435" s="85"/>
      <c r="Y435" s="85"/>
      <c r="Z435" s="85"/>
      <c r="AA435" s="85"/>
      <c r="AB435" s="85"/>
      <c r="AC435" s="85"/>
      <c r="AD435" s="85"/>
      <c r="AE435" s="47">
        <v>0</v>
      </c>
      <c r="AF435" s="47">
        <v>0</v>
      </c>
      <c r="AG435" s="47">
        <v>0</v>
      </c>
      <c r="AH435" s="47">
        <v>0</v>
      </c>
      <c r="AI435" s="47">
        <v>0</v>
      </c>
      <c r="AJ435" s="47">
        <v>0</v>
      </c>
      <c r="AK435" s="47">
        <v>0</v>
      </c>
      <c r="AL435" s="47">
        <v>0</v>
      </c>
      <c r="AM435" s="47">
        <v>0</v>
      </c>
      <c r="AN435" s="47">
        <v>0</v>
      </c>
      <c r="AO435" s="47">
        <v>0</v>
      </c>
      <c r="AP435" s="47">
        <v>0</v>
      </c>
      <c r="AQ435" s="47">
        <v>0</v>
      </c>
      <c r="AR435" s="47">
        <v>0</v>
      </c>
      <c r="AS435" s="47"/>
      <c r="AT435" s="47"/>
      <c r="AU435" s="47"/>
      <c r="AV435" s="47"/>
      <c r="AW435" s="47"/>
      <c r="AX435" s="47"/>
      <c r="AY435" s="47"/>
      <c r="AZ435" s="47"/>
      <c r="BA435" s="47"/>
      <c r="BB435" s="47"/>
      <c r="BC435" s="47"/>
      <c r="BD435" s="47"/>
      <c r="BE435" s="47"/>
      <c r="BF435" s="47"/>
    </row>
    <row r="436" spans="1:58" hidden="1">
      <c r="A436" s="46" t="s">
        <v>286</v>
      </c>
      <c r="B436" s="46" t="s">
        <v>275</v>
      </c>
      <c r="C436" s="47">
        <v>0</v>
      </c>
      <c r="D436" s="47">
        <v>0</v>
      </c>
      <c r="E436" s="47">
        <v>0</v>
      </c>
      <c r="F436" s="47">
        <v>0</v>
      </c>
      <c r="G436" s="47">
        <v>0</v>
      </c>
      <c r="H436" s="47">
        <v>0</v>
      </c>
      <c r="I436" s="47">
        <v>0</v>
      </c>
      <c r="J436" s="47">
        <v>0</v>
      </c>
      <c r="K436" s="47">
        <v>0</v>
      </c>
      <c r="L436" s="47">
        <v>0</v>
      </c>
      <c r="M436" s="47">
        <v>0</v>
      </c>
      <c r="N436" s="47">
        <v>0</v>
      </c>
      <c r="O436" s="47">
        <v>0</v>
      </c>
      <c r="P436" s="47">
        <v>0</v>
      </c>
      <c r="Q436" s="85"/>
      <c r="R436" s="85"/>
      <c r="S436" s="85"/>
      <c r="T436" s="85"/>
      <c r="U436" s="85"/>
      <c r="V436" s="85"/>
      <c r="W436" s="85"/>
      <c r="X436" s="85"/>
      <c r="Y436" s="85"/>
      <c r="Z436" s="85"/>
      <c r="AA436" s="85"/>
      <c r="AB436" s="85"/>
      <c r="AC436" s="85"/>
      <c r="AD436" s="85"/>
      <c r="AE436" s="47">
        <v>0</v>
      </c>
      <c r="AF436" s="47">
        <v>0</v>
      </c>
      <c r="AG436" s="47">
        <v>0</v>
      </c>
      <c r="AH436" s="47">
        <v>0</v>
      </c>
      <c r="AI436" s="47">
        <v>0</v>
      </c>
      <c r="AJ436" s="47">
        <v>0</v>
      </c>
      <c r="AK436" s="47">
        <v>0</v>
      </c>
      <c r="AL436" s="47">
        <v>0</v>
      </c>
      <c r="AM436" s="47">
        <v>0</v>
      </c>
      <c r="AN436" s="47">
        <v>0</v>
      </c>
      <c r="AO436" s="47">
        <v>0</v>
      </c>
      <c r="AP436" s="47">
        <v>0</v>
      </c>
      <c r="AQ436" s="47">
        <v>0</v>
      </c>
      <c r="AR436" s="47">
        <v>0</v>
      </c>
      <c r="AS436" s="47"/>
      <c r="AT436" s="47"/>
      <c r="AU436" s="47"/>
      <c r="AV436" s="47"/>
      <c r="AW436" s="47"/>
      <c r="AX436" s="47"/>
      <c r="AY436" s="47"/>
      <c r="AZ436" s="47"/>
      <c r="BA436" s="47"/>
      <c r="BB436" s="47"/>
      <c r="BC436" s="47"/>
      <c r="BD436" s="47"/>
      <c r="BE436" s="47"/>
      <c r="BF436" s="47"/>
    </row>
    <row r="437" spans="1:58" hidden="1">
      <c r="A437" s="46" t="s">
        <v>286</v>
      </c>
      <c r="B437" s="46" t="s">
        <v>276</v>
      </c>
      <c r="C437" s="47">
        <v>1269589</v>
      </c>
      <c r="D437" s="47">
        <v>1272028</v>
      </c>
      <c r="E437" s="47">
        <v>1319249</v>
      </c>
      <c r="F437" s="47">
        <v>1345404</v>
      </c>
      <c r="G437" s="47">
        <v>1362392</v>
      </c>
      <c r="H437" s="47">
        <v>1359937</v>
      </c>
      <c r="I437" s="47">
        <v>1343251</v>
      </c>
      <c r="J437" s="47">
        <v>1280227</v>
      </c>
      <c r="K437" s="47">
        <v>1229269</v>
      </c>
      <c r="L437" s="47">
        <v>1280592</v>
      </c>
      <c r="M437" s="47">
        <v>1173516</v>
      </c>
      <c r="N437" s="47">
        <v>1236461</v>
      </c>
      <c r="O437" s="47">
        <v>1187001</v>
      </c>
      <c r="P437" s="47">
        <v>1172002</v>
      </c>
      <c r="Q437" s="85">
        <v>68.27</v>
      </c>
      <c r="R437" s="85">
        <v>68.98</v>
      </c>
      <c r="S437" s="85">
        <v>74.540000000000006</v>
      </c>
      <c r="T437" s="85">
        <v>67.489999999999995</v>
      </c>
      <c r="U437" s="85">
        <v>78.91</v>
      </c>
      <c r="V437" s="85">
        <v>75.17</v>
      </c>
      <c r="W437" s="85">
        <v>62.66</v>
      </c>
      <c r="X437" s="85">
        <v>74.41</v>
      </c>
      <c r="Y437" s="85">
        <v>68.400000000000006</v>
      </c>
      <c r="Z437" s="85">
        <v>76.459999999999994</v>
      </c>
      <c r="AA437" s="85">
        <v>62.14</v>
      </c>
      <c r="AB437" s="85">
        <v>71.760000000000005</v>
      </c>
      <c r="AC437" s="85">
        <v>56.99</v>
      </c>
      <c r="AD437" s="85">
        <v>73.180000000000007</v>
      </c>
      <c r="AE437" s="47">
        <v>86671122</v>
      </c>
      <c r="AF437" s="47">
        <v>87746917</v>
      </c>
      <c r="AG437" s="47">
        <v>98338173</v>
      </c>
      <c r="AH437" s="47">
        <v>90795078</v>
      </c>
      <c r="AI437" s="47">
        <v>107507213</v>
      </c>
      <c r="AJ437" s="47">
        <v>102223514</v>
      </c>
      <c r="AK437" s="47">
        <v>84166540</v>
      </c>
      <c r="AL437" s="47">
        <v>95258804</v>
      </c>
      <c r="AM437" s="47">
        <v>84087236</v>
      </c>
      <c r="AN437" s="47">
        <v>97909900</v>
      </c>
      <c r="AO437" s="47">
        <v>72924619</v>
      </c>
      <c r="AP437" s="47">
        <v>88731611</v>
      </c>
      <c r="AQ437" s="47">
        <v>67651142</v>
      </c>
      <c r="AR437" s="47">
        <v>85763970</v>
      </c>
      <c r="AS437" s="47"/>
      <c r="AT437" s="47"/>
      <c r="AU437" s="47"/>
      <c r="AV437" s="47"/>
      <c r="AW437" s="47"/>
      <c r="AX437" s="47"/>
      <c r="AY437" s="47"/>
      <c r="AZ437" s="47"/>
      <c r="BA437" s="47"/>
      <c r="BB437" s="47"/>
      <c r="BC437" s="47"/>
      <c r="BD437" s="47"/>
      <c r="BE437" s="47"/>
      <c r="BF437" s="47"/>
    </row>
    <row r="438" spans="1:58" hidden="1">
      <c r="A438" s="46" t="s">
        <v>286</v>
      </c>
      <c r="B438" s="46" t="s">
        <v>277</v>
      </c>
      <c r="C438" s="47">
        <v>0</v>
      </c>
      <c r="D438" s="47">
        <v>0</v>
      </c>
      <c r="E438" s="47">
        <v>0</v>
      </c>
      <c r="F438" s="47">
        <v>0</v>
      </c>
      <c r="G438" s="47">
        <v>0</v>
      </c>
      <c r="H438" s="47">
        <v>0</v>
      </c>
      <c r="I438" s="47">
        <v>0</v>
      </c>
      <c r="J438" s="47">
        <v>0</v>
      </c>
      <c r="K438" s="47">
        <v>0</v>
      </c>
      <c r="L438" s="47">
        <v>0</v>
      </c>
      <c r="M438" s="47">
        <v>0</v>
      </c>
      <c r="N438" s="47">
        <v>0</v>
      </c>
      <c r="O438" s="47">
        <v>0</v>
      </c>
      <c r="P438" s="47">
        <v>0</v>
      </c>
      <c r="Q438" s="85"/>
      <c r="R438" s="85"/>
      <c r="S438" s="85"/>
      <c r="T438" s="85"/>
      <c r="U438" s="85"/>
      <c r="V438" s="85"/>
      <c r="W438" s="85"/>
      <c r="X438" s="85"/>
      <c r="Y438" s="85"/>
      <c r="Z438" s="85"/>
      <c r="AA438" s="85"/>
      <c r="AB438" s="85"/>
      <c r="AC438" s="85"/>
      <c r="AD438" s="85"/>
      <c r="AE438" s="47">
        <v>11971560</v>
      </c>
      <c r="AF438" s="47">
        <v>11151370</v>
      </c>
      <c r="AG438" s="47">
        <v>13536880</v>
      </c>
      <c r="AH438" s="47">
        <v>12316770</v>
      </c>
      <c r="AI438" s="47">
        <v>12968955</v>
      </c>
      <c r="AJ438" s="47">
        <v>13747825</v>
      </c>
      <c r="AK438" s="47">
        <v>11993080</v>
      </c>
      <c r="AL438" s="47">
        <v>13001610</v>
      </c>
      <c r="AM438" s="47">
        <v>11902420</v>
      </c>
      <c r="AN438" s="47">
        <v>13613710</v>
      </c>
      <c r="AO438" s="47">
        <v>18278742</v>
      </c>
      <c r="AP438" s="47">
        <v>11132890</v>
      </c>
      <c r="AQ438" s="47">
        <v>9615650</v>
      </c>
      <c r="AR438" s="47">
        <v>11524010</v>
      </c>
      <c r="AS438" s="47"/>
      <c r="AT438" s="47"/>
      <c r="AU438" s="47"/>
      <c r="AV438" s="47"/>
      <c r="AW438" s="47"/>
      <c r="AX438" s="47"/>
      <c r="AY438" s="47"/>
      <c r="AZ438" s="47"/>
      <c r="BA438" s="47"/>
      <c r="BB438" s="47"/>
      <c r="BC438" s="47"/>
      <c r="BD438" s="47"/>
      <c r="BE438" s="47"/>
      <c r="BF438" s="47"/>
    </row>
    <row r="439" spans="1:58" hidden="1">
      <c r="A439" s="46" t="s">
        <v>286</v>
      </c>
      <c r="B439" s="46" t="s">
        <v>65</v>
      </c>
      <c r="C439" s="47">
        <v>116546</v>
      </c>
      <c r="D439" s="47">
        <v>123235</v>
      </c>
      <c r="E439" s="47">
        <v>131045</v>
      </c>
      <c r="F439" s="47">
        <v>81765</v>
      </c>
      <c r="G439" s="47">
        <v>111600</v>
      </c>
      <c r="H439" s="47">
        <v>120630</v>
      </c>
      <c r="I439" s="47">
        <v>135682</v>
      </c>
      <c r="J439" s="47">
        <v>123105</v>
      </c>
      <c r="K439" s="47">
        <v>157481</v>
      </c>
      <c r="L439" s="47">
        <v>75736</v>
      </c>
      <c r="M439" s="47">
        <v>87251</v>
      </c>
      <c r="N439" s="47">
        <v>97044</v>
      </c>
      <c r="O439" s="47">
        <v>127913</v>
      </c>
      <c r="P439" s="47">
        <v>125835</v>
      </c>
      <c r="Q439" s="85">
        <v>27.27</v>
      </c>
      <c r="R439" s="85">
        <v>29.4</v>
      </c>
      <c r="S439" s="85">
        <v>34.43</v>
      </c>
      <c r="T439" s="85">
        <v>27.37</v>
      </c>
      <c r="U439" s="85">
        <v>34.869999999999997</v>
      </c>
      <c r="V439" s="85">
        <v>32.5</v>
      </c>
      <c r="W439" s="85">
        <v>31.63</v>
      </c>
      <c r="X439" s="85">
        <v>33.01</v>
      </c>
      <c r="Y439" s="85">
        <v>24.74</v>
      </c>
      <c r="Z439" s="85">
        <v>29.99</v>
      </c>
      <c r="AA439" s="85">
        <v>28.47</v>
      </c>
      <c r="AB439" s="85">
        <v>36.61</v>
      </c>
      <c r="AC439" s="85">
        <v>29.61</v>
      </c>
      <c r="AD439" s="85">
        <v>29.63</v>
      </c>
      <c r="AE439" s="47">
        <v>3177972</v>
      </c>
      <c r="AF439" s="47">
        <v>3622890</v>
      </c>
      <c r="AG439" s="47">
        <v>4512240</v>
      </c>
      <c r="AH439" s="47">
        <v>2237515</v>
      </c>
      <c r="AI439" s="47">
        <v>3891365</v>
      </c>
      <c r="AJ439" s="47">
        <v>3920115</v>
      </c>
      <c r="AK439" s="47">
        <v>4291544</v>
      </c>
      <c r="AL439" s="47">
        <v>4063660</v>
      </c>
      <c r="AM439" s="47">
        <v>3895798</v>
      </c>
      <c r="AN439" s="47">
        <v>2271571</v>
      </c>
      <c r="AO439" s="47">
        <v>2484304</v>
      </c>
      <c r="AP439" s="47">
        <v>3553068</v>
      </c>
      <c r="AQ439" s="47">
        <v>3787513</v>
      </c>
      <c r="AR439" s="47">
        <v>3728690</v>
      </c>
      <c r="AS439" s="47"/>
      <c r="AT439" s="47"/>
      <c r="AU439" s="47"/>
      <c r="AV439" s="47"/>
      <c r="AW439" s="47"/>
      <c r="AX439" s="47"/>
      <c r="AY439" s="47"/>
      <c r="AZ439" s="47"/>
      <c r="BA439" s="47"/>
      <c r="BB439" s="47"/>
      <c r="BC439" s="47"/>
      <c r="BD439" s="47"/>
      <c r="BE439" s="47"/>
      <c r="BF439" s="47"/>
    </row>
    <row r="440" spans="1:58" hidden="1">
      <c r="A440" s="46" t="s">
        <v>286</v>
      </c>
      <c r="B440" s="46" t="s">
        <v>66</v>
      </c>
      <c r="C440" s="47">
        <v>827</v>
      </c>
      <c r="D440" s="47">
        <v>555</v>
      </c>
      <c r="E440" s="47">
        <v>740</v>
      </c>
      <c r="F440" s="47">
        <v>216</v>
      </c>
      <c r="G440" s="47">
        <v>275</v>
      </c>
      <c r="H440" s="47">
        <v>120</v>
      </c>
      <c r="I440" s="47">
        <v>378</v>
      </c>
      <c r="J440" s="47">
        <v>347</v>
      </c>
      <c r="K440" s="47">
        <v>292</v>
      </c>
      <c r="L440" s="47">
        <v>602</v>
      </c>
      <c r="M440" s="47">
        <v>672</v>
      </c>
      <c r="N440" s="47">
        <v>273</v>
      </c>
      <c r="O440" s="47">
        <v>286</v>
      </c>
      <c r="P440" s="47">
        <v>195</v>
      </c>
      <c r="Q440" s="85">
        <v>25.98</v>
      </c>
      <c r="R440" s="85">
        <v>24.72</v>
      </c>
      <c r="S440" s="85">
        <v>30.94</v>
      </c>
      <c r="T440" s="85">
        <v>25.46</v>
      </c>
      <c r="U440" s="85">
        <v>32</v>
      </c>
      <c r="V440" s="85">
        <v>30.46</v>
      </c>
      <c r="W440" s="85">
        <v>31.19</v>
      </c>
      <c r="X440" s="85">
        <v>29.69</v>
      </c>
      <c r="Y440" s="85">
        <v>23.45</v>
      </c>
      <c r="Z440" s="85">
        <v>29.04</v>
      </c>
      <c r="AA440" s="85">
        <v>23.15</v>
      </c>
      <c r="AB440" s="85">
        <v>25.24</v>
      </c>
      <c r="AC440" s="85">
        <v>27.14</v>
      </c>
      <c r="AD440" s="85">
        <v>27.44</v>
      </c>
      <c r="AE440" s="47">
        <v>21483</v>
      </c>
      <c r="AF440" s="47">
        <v>13720</v>
      </c>
      <c r="AG440" s="47">
        <v>22895</v>
      </c>
      <c r="AH440" s="47">
        <v>5500</v>
      </c>
      <c r="AI440" s="47">
        <v>8800</v>
      </c>
      <c r="AJ440" s="47">
        <v>3655</v>
      </c>
      <c r="AK440" s="47">
        <v>11790</v>
      </c>
      <c r="AL440" s="47">
        <v>10302</v>
      </c>
      <c r="AM440" s="47">
        <v>6846</v>
      </c>
      <c r="AN440" s="47">
        <v>17483</v>
      </c>
      <c r="AO440" s="47">
        <v>15554</v>
      </c>
      <c r="AP440" s="47">
        <v>6891</v>
      </c>
      <c r="AQ440" s="47">
        <v>7762</v>
      </c>
      <c r="AR440" s="47">
        <v>5351</v>
      </c>
      <c r="AS440" s="47"/>
      <c r="AT440" s="47"/>
      <c r="AU440" s="47"/>
      <c r="AV440" s="47"/>
      <c r="AW440" s="47"/>
      <c r="AX440" s="47"/>
      <c r="AY440" s="47"/>
      <c r="AZ440" s="47"/>
      <c r="BA440" s="47"/>
      <c r="BB440" s="47"/>
      <c r="BC440" s="47"/>
      <c r="BD440" s="47"/>
      <c r="BE440" s="47"/>
      <c r="BF440" s="47"/>
    </row>
    <row r="441" spans="1:58" hidden="1">
      <c r="A441" s="46" t="s">
        <v>286</v>
      </c>
      <c r="B441" s="46" t="s">
        <v>67</v>
      </c>
      <c r="C441" s="47">
        <v>117373</v>
      </c>
      <c r="D441" s="47">
        <v>123790</v>
      </c>
      <c r="E441" s="47">
        <v>131785</v>
      </c>
      <c r="F441" s="47">
        <v>81981</v>
      </c>
      <c r="G441" s="47">
        <v>111875</v>
      </c>
      <c r="H441" s="47">
        <v>120750</v>
      </c>
      <c r="I441" s="47">
        <v>136060</v>
      </c>
      <c r="J441" s="47">
        <v>123452</v>
      </c>
      <c r="K441" s="47">
        <v>157773</v>
      </c>
      <c r="L441" s="47">
        <v>76338</v>
      </c>
      <c r="M441" s="47">
        <v>87923</v>
      </c>
      <c r="N441" s="47">
        <v>97317</v>
      </c>
      <c r="O441" s="47">
        <v>128199</v>
      </c>
      <c r="P441" s="47">
        <v>126030</v>
      </c>
      <c r="Q441" s="85">
        <v>27.26</v>
      </c>
      <c r="R441" s="85">
        <v>29.38</v>
      </c>
      <c r="S441" s="85">
        <v>34.409999999999997</v>
      </c>
      <c r="T441" s="85">
        <v>27.36</v>
      </c>
      <c r="U441" s="85">
        <v>34.86</v>
      </c>
      <c r="V441" s="85">
        <v>32.49</v>
      </c>
      <c r="W441" s="85">
        <v>31.63</v>
      </c>
      <c r="X441" s="85">
        <v>33</v>
      </c>
      <c r="Y441" s="85">
        <v>24.74</v>
      </c>
      <c r="Z441" s="85">
        <v>29.99</v>
      </c>
      <c r="AA441" s="85">
        <v>28.43</v>
      </c>
      <c r="AB441" s="85">
        <v>36.58</v>
      </c>
      <c r="AC441" s="85">
        <v>29.6</v>
      </c>
      <c r="AD441" s="85">
        <v>29.63</v>
      </c>
      <c r="AE441" s="47">
        <v>3199455</v>
      </c>
      <c r="AF441" s="47">
        <v>3636610</v>
      </c>
      <c r="AG441" s="47">
        <v>4535135</v>
      </c>
      <c r="AH441" s="47">
        <v>2243015</v>
      </c>
      <c r="AI441" s="47">
        <v>3900165</v>
      </c>
      <c r="AJ441" s="47">
        <v>3923770</v>
      </c>
      <c r="AK441" s="47">
        <v>4303334</v>
      </c>
      <c r="AL441" s="47">
        <v>4073962</v>
      </c>
      <c r="AM441" s="47">
        <v>3902644</v>
      </c>
      <c r="AN441" s="47">
        <v>2289054</v>
      </c>
      <c r="AO441" s="47">
        <v>2499858</v>
      </c>
      <c r="AP441" s="47">
        <v>3559959</v>
      </c>
      <c r="AQ441" s="47">
        <v>3795275</v>
      </c>
      <c r="AR441" s="47">
        <v>3734041</v>
      </c>
      <c r="AS441" s="47"/>
      <c r="AT441" s="47"/>
      <c r="AU441" s="47"/>
      <c r="AV441" s="47"/>
      <c r="AW441" s="47"/>
      <c r="AX441" s="47"/>
      <c r="AY441" s="47"/>
      <c r="AZ441" s="47"/>
      <c r="BA441" s="47"/>
      <c r="BB441" s="47"/>
      <c r="BC441" s="47"/>
      <c r="BD441" s="47"/>
      <c r="BE441" s="47"/>
      <c r="BF441" s="47"/>
    </row>
    <row r="442" spans="1:58" hidden="1">
      <c r="A442" s="46" t="s">
        <v>286</v>
      </c>
      <c r="B442" s="46" t="s">
        <v>68</v>
      </c>
      <c r="C442" s="47">
        <v>240442</v>
      </c>
      <c r="D442" s="47">
        <v>254785</v>
      </c>
      <c r="E442" s="47">
        <v>224750</v>
      </c>
      <c r="F442" s="47">
        <v>268295</v>
      </c>
      <c r="G442" s="47">
        <v>226600</v>
      </c>
      <c r="H442" s="47">
        <v>220760</v>
      </c>
      <c r="I442" s="47">
        <v>196570</v>
      </c>
      <c r="J442" s="47">
        <v>209245</v>
      </c>
      <c r="K442" s="47">
        <v>194545</v>
      </c>
      <c r="L442" s="47">
        <v>199785</v>
      </c>
      <c r="M442" s="47">
        <v>250737</v>
      </c>
      <c r="N442" s="47">
        <v>194813</v>
      </c>
      <c r="O442" s="47">
        <v>239384</v>
      </c>
      <c r="P442" s="47">
        <v>226330</v>
      </c>
      <c r="Q442" s="85">
        <v>22.44</v>
      </c>
      <c r="R442" s="85">
        <v>22.81</v>
      </c>
      <c r="S442" s="85">
        <v>22.84</v>
      </c>
      <c r="T442" s="85">
        <v>20.07</v>
      </c>
      <c r="U442" s="85">
        <v>25.56</v>
      </c>
      <c r="V442" s="85">
        <v>20.74</v>
      </c>
      <c r="W442" s="85">
        <v>20.6</v>
      </c>
      <c r="X442" s="85">
        <v>28.37</v>
      </c>
      <c r="Y442" s="85">
        <v>22.01</v>
      </c>
      <c r="Z442" s="85">
        <v>22.43</v>
      </c>
      <c r="AA442" s="85">
        <v>20.309999999999999</v>
      </c>
      <c r="AB442" s="85">
        <v>26.83</v>
      </c>
      <c r="AC442" s="85">
        <v>20.51</v>
      </c>
      <c r="AD442" s="85">
        <v>25.88</v>
      </c>
      <c r="AE442" s="47">
        <v>5395851</v>
      </c>
      <c r="AF442" s="47">
        <v>5810770</v>
      </c>
      <c r="AG442" s="47">
        <v>5133360</v>
      </c>
      <c r="AH442" s="47">
        <v>5384380</v>
      </c>
      <c r="AI442" s="47">
        <v>5792850</v>
      </c>
      <c r="AJ442" s="47">
        <v>4578675</v>
      </c>
      <c r="AK442" s="47">
        <v>4050320</v>
      </c>
      <c r="AL442" s="47">
        <v>5936000</v>
      </c>
      <c r="AM442" s="47">
        <v>4282305</v>
      </c>
      <c r="AN442" s="47">
        <v>4481670</v>
      </c>
      <c r="AO442" s="47">
        <v>5092602</v>
      </c>
      <c r="AP442" s="47">
        <v>5226836</v>
      </c>
      <c r="AQ442" s="47">
        <v>4910078</v>
      </c>
      <c r="AR442" s="47">
        <v>5858010</v>
      </c>
      <c r="AS442" s="47"/>
      <c r="AT442" s="47"/>
      <c r="AU442" s="47"/>
      <c r="AV442" s="47"/>
      <c r="AW442" s="47"/>
      <c r="AX442" s="47"/>
      <c r="AY442" s="47"/>
      <c r="AZ442" s="47"/>
      <c r="BA442" s="47"/>
      <c r="BB442" s="47"/>
      <c r="BC442" s="47"/>
      <c r="BD442" s="47"/>
      <c r="BE442" s="47"/>
      <c r="BF442" s="47"/>
    </row>
    <row r="443" spans="1:58" hidden="1">
      <c r="A443" s="46" t="s">
        <v>286</v>
      </c>
      <c r="B443" s="46" t="s">
        <v>69</v>
      </c>
      <c r="C443" s="47">
        <v>11250</v>
      </c>
      <c r="D443" s="47">
        <v>8593</v>
      </c>
      <c r="E443" s="47">
        <v>7350</v>
      </c>
      <c r="F443" s="47">
        <v>8060</v>
      </c>
      <c r="G443" s="47">
        <v>14082</v>
      </c>
      <c r="H443" s="47">
        <v>27032</v>
      </c>
      <c r="I443" s="47">
        <v>32207</v>
      </c>
      <c r="J443" s="47">
        <v>29974</v>
      </c>
      <c r="K443" s="47">
        <v>33712</v>
      </c>
      <c r="L443" s="47">
        <v>36510</v>
      </c>
      <c r="M443" s="47">
        <v>45501</v>
      </c>
      <c r="N443" s="47">
        <v>40283</v>
      </c>
      <c r="O443" s="47">
        <v>48657</v>
      </c>
      <c r="P443" s="47">
        <v>41905</v>
      </c>
      <c r="Q443" s="85">
        <v>25.33</v>
      </c>
      <c r="R443" s="85">
        <v>27.48</v>
      </c>
      <c r="S443" s="85">
        <v>25.43</v>
      </c>
      <c r="T443" s="85">
        <v>24.16</v>
      </c>
      <c r="U443" s="85">
        <v>31.25</v>
      </c>
      <c r="V443" s="85">
        <v>27.02</v>
      </c>
      <c r="W443" s="85">
        <v>22.95</v>
      </c>
      <c r="X443" s="85">
        <v>27.73</v>
      </c>
      <c r="Y443" s="85">
        <v>26.91</v>
      </c>
      <c r="Z443" s="85">
        <v>26.42</v>
      </c>
      <c r="AA443" s="85">
        <v>24.8</v>
      </c>
      <c r="AB443" s="85">
        <v>30.01</v>
      </c>
      <c r="AC443" s="85">
        <v>22.09</v>
      </c>
      <c r="AD443" s="85">
        <v>24.78</v>
      </c>
      <c r="AE443" s="47">
        <v>284998</v>
      </c>
      <c r="AF443" s="47">
        <v>236177</v>
      </c>
      <c r="AG443" s="47">
        <v>186895</v>
      </c>
      <c r="AH443" s="47">
        <v>194755</v>
      </c>
      <c r="AI443" s="47">
        <v>440026</v>
      </c>
      <c r="AJ443" s="47">
        <v>730346</v>
      </c>
      <c r="AK443" s="47">
        <v>739140</v>
      </c>
      <c r="AL443" s="47">
        <v>831123</v>
      </c>
      <c r="AM443" s="47">
        <v>907260</v>
      </c>
      <c r="AN443" s="47">
        <v>964555</v>
      </c>
      <c r="AO443" s="47">
        <v>1128495</v>
      </c>
      <c r="AP443" s="47">
        <v>1208988</v>
      </c>
      <c r="AQ443" s="47">
        <v>1074945</v>
      </c>
      <c r="AR443" s="47">
        <v>1038300</v>
      </c>
      <c r="AS443" s="47"/>
      <c r="AT443" s="47"/>
      <c r="AU443" s="47"/>
      <c r="AV443" s="47"/>
      <c r="AW443" s="47"/>
      <c r="AX443" s="47"/>
      <c r="AY443" s="47"/>
      <c r="AZ443" s="47"/>
      <c r="BA443" s="47"/>
      <c r="BB443" s="47"/>
      <c r="BC443" s="47"/>
      <c r="BD443" s="47"/>
      <c r="BE443" s="47"/>
      <c r="BF443" s="47"/>
    </row>
    <row r="444" spans="1:58" hidden="1">
      <c r="A444" s="46" t="s">
        <v>286</v>
      </c>
      <c r="B444" s="46" t="s">
        <v>70</v>
      </c>
      <c r="C444" s="47">
        <v>3495</v>
      </c>
      <c r="D444" s="47">
        <v>3312</v>
      </c>
      <c r="E444" s="47">
        <v>2486</v>
      </c>
      <c r="F444" s="47">
        <v>1345</v>
      </c>
      <c r="G444" s="47">
        <v>1435</v>
      </c>
      <c r="H444" s="47">
        <v>2459</v>
      </c>
      <c r="I444" s="47">
        <v>3718</v>
      </c>
      <c r="J444" s="47">
        <v>4085</v>
      </c>
      <c r="K444" s="47">
        <v>4213</v>
      </c>
      <c r="L444" s="47">
        <v>4566</v>
      </c>
      <c r="M444" s="47">
        <v>6751</v>
      </c>
      <c r="N444" s="47">
        <v>8050</v>
      </c>
      <c r="O444" s="47">
        <v>7861</v>
      </c>
      <c r="P444" s="47">
        <v>7626</v>
      </c>
      <c r="Q444" s="85">
        <v>23.58</v>
      </c>
      <c r="R444" s="85">
        <v>20.27</v>
      </c>
      <c r="S444" s="85">
        <v>25.27</v>
      </c>
      <c r="T444" s="85">
        <v>21.51</v>
      </c>
      <c r="U444" s="85">
        <v>25.85</v>
      </c>
      <c r="V444" s="85">
        <v>21.81</v>
      </c>
      <c r="W444" s="85">
        <v>15.22</v>
      </c>
      <c r="X444" s="85">
        <v>19.38</v>
      </c>
      <c r="Y444" s="85">
        <v>21.13</v>
      </c>
      <c r="Z444" s="85">
        <v>24.01</v>
      </c>
      <c r="AA444" s="85">
        <v>18.95</v>
      </c>
      <c r="AB444" s="85">
        <v>19.97</v>
      </c>
      <c r="AC444" s="85">
        <v>16.64</v>
      </c>
      <c r="AD444" s="85">
        <v>19.39</v>
      </c>
      <c r="AE444" s="47">
        <v>82420</v>
      </c>
      <c r="AF444" s="47">
        <v>67142</v>
      </c>
      <c r="AG444" s="47">
        <v>62826</v>
      </c>
      <c r="AH444" s="47">
        <v>28935</v>
      </c>
      <c r="AI444" s="47">
        <v>37095</v>
      </c>
      <c r="AJ444" s="47">
        <v>53622</v>
      </c>
      <c r="AK444" s="47">
        <v>56606</v>
      </c>
      <c r="AL444" s="47">
        <v>79178</v>
      </c>
      <c r="AM444" s="47">
        <v>89017</v>
      </c>
      <c r="AN444" s="47">
        <v>109635</v>
      </c>
      <c r="AO444" s="47">
        <v>127905</v>
      </c>
      <c r="AP444" s="47">
        <v>160730</v>
      </c>
      <c r="AQ444" s="47">
        <v>130776</v>
      </c>
      <c r="AR444" s="47">
        <v>147870</v>
      </c>
      <c r="AS444" s="47"/>
      <c r="AT444" s="47"/>
      <c r="AU444" s="47"/>
      <c r="AV444" s="47"/>
      <c r="AW444" s="47"/>
      <c r="AX444" s="47"/>
      <c r="AY444" s="47"/>
      <c r="AZ444" s="47"/>
      <c r="BA444" s="47"/>
      <c r="BB444" s="47"/>
      <c r="BC444" s="47"/>
      <c r="BD444" s="47"/>
      <c r="BE444" s="47"/>
      <c r="BF444" s="47"/>
    </row>
    <row r="445" spans="1:58" hidden="1">
      <c r="A445" s="46" t="s">
        <v>286</v>
      </c>
      <c r="B445" s="46" t="s">
        <v>71</v>
      </c>
      <c r="C445" s="47">
        <v>189</v>
      </c>
      <c r="D445" s="47">
        <v>275</v>
      </c>
      <c r="E445" s="47">
        <v>180</v>
      </c>
      <c r="F445" s="47">
        <v>1160</v>
      </c>
      <c r="G445" s="47">
        <v>225</v>
      </c>
      <c r="H445" s="47">
        <v>475</v>
      </c>
      <c r="I445" s="47">
        <v>489</v>
      </c>
      <c r="J445" s="47">
        <v>585</v>
      </c>
      <c r="K445" s="47">
        <v>578</v>
      </c>
      <c r="L445" s="47">
        <v>622</v>
      </c>
      <c r="M445" s="47">
        <v>742</v>
      </c>
      <c r="N445" s="47">
        <v>784</v>
      </c>
      <c r="O445" s="47">
        <v>983</v>
      </c>
      <c r="P445" s="47">
        <v>1556</v>
      </c>
      <c r="Q445" s="85"/>
      <c r="R445" s="85"/>
      <c r="S445" s="85"/>
      <c r="T445" s="85"/>
      <c r="U445" s="85"/>
      <c r="V445" s="85"/>
      <c r="W445" s="85"/>
      <c r="X445" s="85"/>
      <c r="Y445" s="85"/>
      <c r="Z445" s="85"/>
      <c r="AA445" s="85"/>
      <c r="AB445" s="85"/>
      <c r="AC445" s="85"/>
      <c r="AD445" s="85"/>
      <c r="AE445" s="47">
        <v>4284</v>
      </c>
      <c r="AF445" s="47">
        <v>5665</v>
      </c>
      <c r="AG445" s="47">
        <v>4540</v>
      </c>
      <c r="AH445" s="47">
        <v>26035</v>
      </c>
      <c r="AI445" s="47">
        <v>5645</v>
      </c>
      <c r="AJ445" s="47">
        <v>9780</v>
      </c>
      <c r="AK445" s="47">
        <v>9418</v>
      </c>
      <c r="AL445" s="47">
        <v>12432</v>
      </c>
      <c r="AM445" s="47">
        <v>11664</v>
      </c>
      <c r="AN445" s="47">
        <v>14337</v>
      </c>
      <c r="AO445" s="47">
        <v>15239</v>
      </c>
      <c r="AP445" s="47">
        <v>17258</v>
      </c>
      <c r="AQ445" s="47">
        <v>18730</v>
      </c>
      <c r="AR445" s="47">
        <v>31448</v>
      </c>
      <c r="AS445" s="47"/>
      <c r="AT445" s="47"/>
      <c r="AU445" s="47"/>
      <c r="AV445" s="47"/>
      <c r="AW445" s="47"/>
      <c r="AX445" s="47"/>
      <c r="AY445" s="47"/>
      <c r="AZ445" s="47"/>
      <c r="BA445" s="47"/>
      <c r="BB445" s="47"/>
      <c r="BC445" s="47"/>
      <c r="BD445" s="47"/>
      <c r="BE445" s="47"/>
      <c r="BF445" s="47"/>
    </row>
    <row r="446" spans="1:58" hidden="1">
      <c r="A446" s="46" t="s">
        <v>286</v>
      </c>
      <c r="B446" s="46" t="s">
        <v>72</v>
      </c>
      <c r="C446" s="47">
        <v>372749</v>
      </c>
      <c r="D446" s="47">
        <v>390755</v>
      </c>
      <c r="E446" s="47">
        <v>366551</v>
      </c>
      <c r="F446" s="47">
        <v>360841</v>
      </c>
      <c r="G446" s="47">
        <v>354217</v>
      </c>
      <c r="H446" s="47">
        <v>371476</v>
      </c>
      <c r="I446" s="47">
        <v>369044</v>
      </c>
      <c r="J446" s="47">
        <v>367341</v>
      </c>
      <c r="K446" s="47">
        <v>390821</v>
      </c>
      <c r="L446" s="47">
        <v>317821</v>
      </c>
      <c r="M446" s="47">
        <v>391654</v>
      </c>
      <c r="N446" s="47">
        <v>341247</v>
      </c>
      <c r="O446" s="47">
        <v>425084</v>
      </c>
      <c r="P446" s="47">
        <v>403447</v>
      </c>
      <c r="Q446" s="85">
        <v>24.06</v>
      </c>
      <c r="R446" s="85">
        <v>24.97</v>
      </c>
      <c r="S446" s="85">
        <v>27.07</v>
      </c>
      <c r="T446" s="85">
        <v>21.83</v>
      </c>
      <c r="U446" s="85">
        <v>28.73</v>
      </c>
      <c r="V446" s="85">
        <v>25.03</v>
      </c>
      <c r="W446" s="85">
        <v>24.82</v>
      </c>
      <c r="X446" s="85">
        <v>29.76</v>
      </c>
      <c r="Y446" s="85">
        <v>23.52</v>
      </c>
      <c r="Z446" s="85">
        <v>24.73</v>
      </c>
      <c r="AA446" s="85">
        <v>22.63</v>
      </c>
      <c r="AB446" s="85">
        <v>29.81</v>
      </c>
      <c r="AC446" s="85">
        <v>23.36</v>
      </c>
      <c r="AD446" s="85">
        <v>26.79</v>
      </c>
      <c r="AE446" s="47">
        <v>8967008</v>
      </c>
      <c r="AF446" s="47">
        <v>9756364</v>
      </c>
      <c r="AG446" s="47">
        <v>9922756</v>
      </c>
      <c r="AH446" s="47">
        <v>7877120</v>
      </c>
      <c r="AI446" s="47">
        <v>10175781</v>
      </c>
      <c r="AJ446" s="47">
        <v>9296193</v>
      </c>
      <c r="AK446" s="47">
        <v>9158818</v>
      </c>
      <c r="AL446" s="47">
        <v>10932695</v>
      </c>
      <c r="AM446" s="47">
        <v>9192890</v>
      </c>
      <c r="AN446" s="47">
        <v>7859251</v>
      </c>
      <c r="AO446" s="47">
        <v>8864099</v>
      </c>
      <c r="AP446" s="47">
        <v>10173771</v>
      </c>
      <c r="AQ446" s="47">
        <v>9929804</v>
      </c>
      <c r="AR446" s="47">
        <v>10809669</v>
      </c>
      <c r="AS446" s="47"/>
      <c r="AT446" s="47"/>
      <c r="AU446" s="47"/>
      <c r="AV446" s="47"/>
      <c r="AW446" s="47"/>
      <c r="AX446" s="47"/>
      <c r="AY446" s="47"/>
      <c r="AZ446" s="47"/>
      <c r="BA446" s="47"/>
      <c r="BB446" s="47"/>
      <c r="BC446" s="47"/>
      <c r="BD446" s="47"/>
      <c r="BE446" s="47"/>
      <c r="BF446" s="47"/>
    </row>
    <row r="447" spans="1:58" hidden="1">
      <c r="A447" s="46" t="s">
        <v>286</v>
      </c>
      <c r="B447" s="46" t="s">
        <v>73</v>
      </c>
      <c r="C447" s="47">
        <v>0</v>
      </c>
      <c r="D447" s="47">
        <v>0</v>
      </c>
      <c r="E447" s="47">
        <v>0</v>
      </c>
      <c r="F447" s="47">
        <v>0</v>
      </c>
      <c r="G447" s="47">
        <v>0</v>
      </c>
      <c r="H447" s="47">
        <v>0</v>
      </c>
      <c r="I447" s="47">
        <v>0</v>
      </c>
      <c r="J447" s="47">
        <v>0</v>
      </c>
      <c r="K447" s="47">
        <v>0</v>
      </c>
      <c r="L447" s="47">
        <v>0</v>
      </c>
      <c r="M447" s="47">
        <v>0</v>
      </c>
      <c r="N447" s="47">
        <v>0</v>
      </c>
      <c r="O447" s="47">
        <v>0</v>
      </c>
      <c r="P447" s="47">
        <v>0</v>
      </c>
      <c r="Q447" s="85"/>
      <c r="R447" s="85"/>
      <c r="S447" s="85"/>
      <c r="T447" s="85"/>
      <c r="U447" s="85"/>
      <c r="V447" s="85"/>
      <c r="W447" s="85"/>
      <c r="X447" s="85"/>
      <c r="Y447" s="85"/>
      <c r="Z447" s="85"/>
      <c r="AA447" s="85"/>
      <c r="AB447" s="85"/>
      <c r="AC447" s="85"/>
      <c r="AD447" s="85"/>
      <c r="AE447" s="47">
        <v>0</v>
      </c>
      <c r="AF447" s="47">
        <v>0</v>
      </c>
      <c r="AG447" s="47">
        <v>0</v>
      </c>
      <c r="AH447" s="47">
        <v>0</v>
      </c>
      <c r="AI447" s="47">
        <v>0</v>
      </c>
      <c r="AJ447" s="47">
        <v>0</v>
      </c>
      <c r="AK447" s="47">
        <v>0</v>
      </c>
      <c r="AL447" s="47">
        <v>0</v>
      </c>
      <c r="AM447" s="47">
        <v>0</v>
      </c>
      <c r="AN447" s="47">
        <v>0</v>
      </c>
      <c r="AO447" s="47">
        <v>0</v>
      </c>
      <c r="AP447" s="47">
        <v>0</v>
      </c>
      <c r="AQ447" s="47">
        <v>0</v>
      </c>
      <c r="AR447" s="47">
        <v>0</v>
      </c>
      <c r="AS447" s="47"/>
      <c r="AT447" s="47"/>
      <c r="AU447" s="47"/>
      <c r="AV447" s="47"/>
      <c r="AW447" s="47"/>
      <c r="AX447" s="47"/>
      <c r="AY447" s="47"/>
      <c r="AZ447" s="47"/>
      <c r="BA447" s="47"/>
      <c r="BB447" s="47"/>
      <c r="BC447" s="47"/>
      <c r="BD447" s="47"/>
      <c r="BE447" s="47"/>
      <c r="BF447" s="47"/>
    </row>
    <row r="448" spans="1:58" hidden="1">
      <c r="A448" s="46" t="s">
        <v>286</v>
      </c>
      <c r="B448" s="46" t="s">
        <v>74</v>
      </c>
      <c r="C448" s="47">
        <v>5727</v>
      </c>
      <c r="D448" s="47">
        <v>4265</v>
      </c>
      <c r="E448" s="47">
        <v>2901</v>
      </c>
      <c r="F448" s="47">
        <v>2718</v>
      </c>
      <c r="G448" s="47">
        <v>4126</v>
      </c>
      <c r="H448" s="47">
        <v>4840</v>
      </c>
      <c r="I448" s="47">
        <v>6312</v>
      </c>
      <c r="J448" s="47">
        <v>9782</v>
      </c>
      <c r="K448" s="47">
        <v>10083</v>
      </c>
      <c r="L448" s="47">
        <v>10908</v>
      </c>
      <c r="M448" s="47">
        <v>12839</v>
      </c>
      <c r="N448" s="47">
        <v>15134</v>
      </c>
      <c r="O448" s="47">
        <v>11494</v>
      </c>
      <c r="P448" s="47">
        <v>12554</v>
      </c>
      <c r="Q448" s="85">
        <v>22.56</v>
      </c>
      <c r="R448" s="85">
        <v>16.47</v>
      </c>
      <c r="S448" s="85">
        <v>24.33</v>
      </c>
      <c r="T448" s="85">
        <v>26.03</v>
      </c>
      <c r="U448" s="85">
        <v>27.99</v>
      </c>
      <c r="V448" s="85">
        <v>23.84</v>
      </c>
      <c r="W448" s="85">
        <v>20.43</v>
      </c>
      <c r="X448" s="85">
        <v>23.31</v>
      </c>
      <c r="Y448" s="85">
        <v>22.44</v>
      </c>
      <c r="Z448" s="85">
        <v>23.84</v>
      </c>
      <c r="AA448" s="85">
        <v>18.03</v>
      </c>
      <c r="AB448" s="85">
        <v>18.16</v>
      </c>
      <c r="AC448" s="85">
        <v>16.91</v>
      </c>
      <c r="AD448" s="85">
        <v>21.18</v>
      </c>
      <c r="AE448" s="47">
        <v>129214</v>
      </c>
      <c r="AF448" s="47">
        <v>70240</v>
      </c>
      <c r="AG448" s="47">
        <v>70588</v>
      </c>
      <c r="AH448" s="47">
        <v>70744</v>
      </c>
      <c r="AI448" s="47">
        <v>115490</v>
      </c>
      <c r="AJ448" s="47">
        <v>115365</v>
      </c>
      <c r="AK448" s="47">
        <v>128943</v>
      </c>
      <c r="AL448" s="47">
        <v>228028</v>
      </c>
      <c r="AM448" s="47">
        <v>226215</v>
      </c>
      <c r="AN448" s="47">
        <v>260043</v>
      </c>
      <c r="AO448" s="47">
        <v>231549</v>
      </c>
      <c r="AP448" s="47">
        <v>274868</v>
      </c>
      <c r="AQ448" s="47">
        <v>194361</v>
      </c>
      <c r="AR448" s="47">
        <v>265912</v>
      </c>
      <c r="AS448" s="47"/>
      <c r="AT448" s="47"/>
      <c r="AU448" s="47"/>
      <c r="AV448" s="47"/>
      <c r="AW448" s="47"/>
      <c r="AX448" s="47"/>
      <c r="AY448" s="47"/>
      <c r="AZ448" s="47"/>
      <c r="BA448" s="47"/>
      <c r="BB448" s="47"/>
      <c r="BC448" s="47"/>
      <c r="BD448" s="47"/>
      <c r="BE448" s="47"/>
      <c r="BF448" s="47"/>
    </row>
    <row r="449" spans="1:58" hidden="1">
      <c r="A449" s="46" t="s">
        <v>286</v>
      </c>
      <c r="B449" s="46" t="s">
        <v>75</v>
      </c>
      <c r="C449" s="47">
        <v>284</v>
      </c>
      <c r="D449" s="47">
        <v>338</v>
      </c>
      <c r="E449" s="47">
        <v>438</v>
      </c>
      <c r="F449" s="47">
        <v>476</v>
      </c>
      <c r="G449" s="47">
        <v>524</v>
      </c>
      <c r="H449" s="47">
        <v>587</v>
      </c>
      <c r="I449" s="47">
        <v>625</v>
      </c>
      <c r="J449" s="47">
        <v>698</v>
      </c>
      <c r="K449" s="47">
        <v>755</v>
      </c>
      <c r="L449" s="47">
        <v>820</v>
      </c>
      <c r="M449" s="47">
        <v>983</v>
      </c>
      <c r="N449" s="47">
        <v>826</v>
      </c>
      <c r="O449" s="47">
        <v>747</v>
      </c>
      <c r="P449" s="47">
        <v>777</v>
      </c>
      <c r="Q449" s="85">
        <v>21.2</v>
      </c>
      <c r="R449" s="85">
        <v>21.29</v>
      </c>
      <c r="S449" s="85">
        <v>21.32</v>
      </c>
      <c r="T449" s="85">
        <v>19.989999999999998</v>
      </c>
      <c r="U449" s="85">
        <v>21.51</v>
      </c>
      <c r="V449" s="85">
        <v>21.54</v>
      </c>
      <c r="W449" s="85">
        <v>22.09</v>
      </c>
      <c r="X449" s="85">
        <v>24.6</v>
      </c>
      <c r="Y449" s="85">
        <v>22.66</v>
      </c>
      <c r="Z449" s="85">
        <v>20.96</v>
      </c>
      <c r="AA449" s="85">
        <v>19.100000000000001</v>
      </c>
      <c r="AB449" s="85">
        <v>19.63</v>
      </c>
      <c r="AC449" s="85">
        <v>19.86</v>
      </c>
      <c r="AD449" s="85">
        <v>19.22</v>
      </c>
      <c r="AE449" s="47">
        <v>6021</v>
      </c>
      <c r="AF449" s="47">
        <v>7196</v>
      </c>
      <c r="AG449" s="47">
        <v>9340</v>
      </c>
      <c r="AH449" s="47">
        <v>9514</v>
      </c>
      <c r="AI449" s="47">
        <v>11270</v>
      </c>
      <c r="AJ449" s="47">
        <v>12646</v>
      </c>
      <c r="AK449" s="47">
        <v>13805</v>
      </c>
      <c r="AL449" s="47">
        <v>17168</v>
      </c>
      <c r="AM449" s="47">
        <v>17110</v>
      </c>
      <c r="AN449" s="47">
        <v>17185</v>
      </c>
      <c r="AO449" s="47">
        <v>18779</v>
      </c>
      <c r="AP449" s="47">
        <v>16211</v>
      </c>
      <c r="AQ449" s="47">
        <v>14835</v>
      </c>
      <c r="AR449" s="47">
        <v>14932</v>
      </c>
      <c r="AS449" s="47"/>
      <c r="AT449" s="47"/>
      <c r="AU449" s="47"/>
      <c r="AV449" s="47"/>
      <c r="AW449" s="47"/>
      <c r="AX449" s="47"/>
      <c r="AY449" s="47"/>
      <c r="AZ449" s="47"/>
      <c r="BA449" s="47"/>
      <c r="BB449" s="47"/>
      <c r="BC449" s="47"/>
      <c r="BD449" s="47"/>
      <c r="BE449" s="47"/>
      <c r="BF449" s="47"/>
    </row>
    <row r="450" spans="1:58" hidden="1">
      <c r="A450" s="46" t="s">
        <v>286</v>
      </c>
      <c r="B450" s="46" t="s">
        <v>76</v>
      </c>
      <c r="C450" s="47">
        <v>592</v>
      </c>
      <c r="D450" s="47">
        <v>598</v>
      </c>
      <c r="E450" s="47">
        <v>1275</v>
      </c>
      <c r="F450" s="47">
        <v>1685</v>
      </c>
      <c r="G450" s="47">
        <v>1814</v>
      </c>
      <c r="H450" s="47">
        <v>1808</v>
      </c>
      <c r="I450" s="47">
        <v>2504</v>
      </c>
      <c r="J450" s="47">
        <v>4533</v>
      </c>
      <c r="K450" s="47">
        <v>4661</v>
      </c>
      <c r="L450" s="47">
        <v>5345</v>
      </c>
      <c r="M450" s="47">
        <v>4168</v>
      </c>
      <c r="N450" s="47">
        <v>4907</v>
      </c>
      <c r="O450" s="47">
        <v>3892</v>
      </c>
      <c r="P450" s="47">
        <v>3217</v>
      </c>
      <c r="Q450" s="85">
        <v>14.04</v>
      </c>
      <c r="R450" s="85">
        <v>17</v>
      </c>
      <c r="S450" s="85">
        <v>17.510000000000002</v>
      </c>
      <c r="T450" s="85">
        <v>16.75</v>
      </c>
      <c r="U450" s="85">
        <v>14.26</v>
      </c>
      <c r="V450" s="85">
        <v>14.14</v>
      </c>
      <c r="W450" s="85">
        <v>14.12</v>
      </c>
      <c r="X450" s="85">
        <v>10.82</v>
      </c>
      <c r="Y450" s="85">
        <v>11.66</v>
      </c>
      <c r="Z450" s="85">
        <v>11.96</v>
      </c>
      <c r="AA450" s="85">
        <v>9</v>
      </c>
      <c r="AB450" s="85">
        <v>6.98</v>
      </c>
      <c r="AC450" s="85">
        <v>6.32</v>
      </c>
      <c r="AD450" s="85">
        <v>16.7</v>
      </c>
      <c r="AE450" s="47">
        <v>8314</v>
      </c>
      <c r="AF450" s="47">
        <v>10166</v>
      </c>
      <c r="AG450" s="47">
        <v>22323</v>
      </c>
      <c r="AH450" s="47">
        <v>28229</v>
      </c>
      <c r="AI450" s="47">
        <v>25859</v>
      </c>
      <c r="AJ450" s="47">
        <v>25565</v>
      </c>
      <c r="AK450" s="47">
        <v>35351</v>
      </c>
      <c r="AL450" s="47">
        <v>49031</v>
      </c>
      <c r="AM450" s="47">
        <v>54356</v>
      </c>
      <c r="AN450" s="47">
        <v>63904</v>
      </c>
      <c r="AO450" s="47">
        <v>37505</v>
      </c>
      <c r="AP450" s="47">
        <v>34264</v>
      </c>
      <c r="AQ450" s="47">
        <v>24600</v>
      </c>
      <c r="AR450" s="47">
        <v>53709</v>
      </c>
      <c r="AS450" s="47"/>
      <c r="AT450" s="47"/>
      <c r="AU450" s="47"/>
      <c r="AV450" s="47"/>
      <c r="AW450" s="47"/>
      <c r="AX450" s="47"/>
      <c r="AY450" s="47"/>
      <c r="AZ450" s="47"/>
      <c r="BA450" s="47"/>
      <c r="BB450" s="47"/>
      <c r="BC450" s="47"/>
      <c r="BD450" s="47"/>
      <c r="BE450" s="47"/>
      <c r="BF450" s="47"/>
    </row>
    <row r="451" spans="1:58" hidden="1">
      <c r="A451" s="46" t="s">
        <v>286</v>
      </c>
      <c r="B451" s="46" t="s">
        <v>77</v>
      </c>
      <c r="C451" s="47">
        <v>18395</v>
      </c>
      <c r="D451" s="47">
        <v>15971</v>
      </c>
      <c r="E451" s="47">
        <v>13254</v>
      </c>
      <c r="F451" s="47">
        <v>14311</v>
      </c>
      <c r="G451" s="47">
        <v>16979</v>
      </c>
      <c r="H451" s="47">
        <v>18612</v>
      </c>
      <c r="I451" s="47">
        <v>21611</v>
      </c>
      <c r="J451" s="47">
        <v>28496</v>
      </c>
      <c r="K451" s="47">
        <v>24804</v>
      </c>
      <c r="L451" s="47">
        <v>25212</v>
      </c>
      <c r="M451" s="47">
        <v>32940</v>
      </c>
      <c r="N451" s="47">
        <v>28715</v>
      </c>
      <c r="O451" s="47">
        <v>21998</v>
      </c>
      <c r="P451" s="47">
        <v>24371</v>
      </c>
      <c r="Q451" s="85">
        <v>30.65</v>
      </c>
      <c r="R451" s="85">
        <v>23.12</v>
      </c>
      <c r="S451" s="85">
        <v>39.799999999999997</v>
      </c>
      <c r="T451" s="85">
        <v>37.78</v>
      </c>
      <c r="U451" s="85">
        <v>33.549999999999997</v>
      </c>
      <c r="V451" s="85">
        <v>33.840000000000003</v>
      </c>
      <c r="W451" s="85">
        <v>33.090000000000003</v>
      </c>
      <c r="X451" s="85">
        <v>31.81</v>
      </c>
      <c r="Y451" s="85">
        <v>32.659999999999997</v>
      </c>
      <c r="Z451" s="85">
        <v>41.5</v>
      </c>
      <c r="AA451" s="85">
        <v>30.06</v>
      </c>
      <c r="AB451" s="85">
        <v>25.95</v>
      </c>
      <c r="AC451" s="85">
        <v>22.92</v>
      </c>
      <c r="AD451" s="85">
        <v>29.55</v>
      </c>
      <c r="AE451" s="47">
        <v>563816</v>
      </c>
      <c r="AF451" s="47">
        <v>369268</v>
      </c>
      <c r="AG451" s="47">
        <v>527509</v>
      </c>
      <c r="AH451" s="47">
        <v>540677</v>
      </c>
      <c r="AI451" s="47">
        <v>569640</v>
      </c>
      <c r="AJ451" s="47">
        <v>629822</v>
      </c>
      <c r="AK451" s="47">
        <v>715013</v>
      </c>
      <c r="AL451" s="47">
        <v>906444</v>
      </c>
      <c r="AM451" s="47">
        <v>810217</v>
      </c>
      <c r="AN451" s="47">
        <v>1046371</v>
      </c>
      <c r="AO451" s="47">
        <v>990131</v>
      </c>
      <c r="AP451" s="47">
        <v>745263</v>
      </c>
      <c r="AQ451" s="47">
        <v>504175</v>
      </c>
      <c r="AR451" s="47">
        <v>720283</v>
      </c>
      <c r="AS451" s="47"/>
      <c r="AT451" s="47"/>
      <c r="AU451" s="47"/>
      <c r="AV451" s="47"/>
      <c r="AW451" s="47"/>
      <c r="AX451" s="47"/>
      <c r="AY451" s="47"/>
      <c r="AZ451" s="47"/>
      <c r="BA451" s="47"/>
      <c r="BB451" s="47"/>
      <c r="BC451" s="47"/>
      <c r="BD451" s="47"/>
      <c r="BE451" s="47"/>
      <c r="BF451" s="47"/>
    </row>
    <row r="452" spans="1:58" hidden="1">
      <c r="A452" s="46" t="s">
        <v>286</v>
      </c>
      <c r="B452" s="46" t="s">
        <v>78</v>
      </c>
      <c r="C452" s="47">
        <v>3702</v>
      </c>
      <c r="D452" s="47">
        <v>3611</v>
      </c>
      <c r="E452" s="47">
        <v>3349</v>
      </c>
      <c r="F452" s="47">
        <v>3802</v>
      </c>
      <c r="G452" s="47">
        <v>4576</v>
      </c>
      <c r="H452" s="47">
        <v>5728</v>
      </c>
      <c r="I452" s="47">
        <v>6038</v>
      </c>
      <c r="J452" s="47">
        <v>7441</v>
      </c>
      <c r="K452" s="47">
        <v>7411</v>
      </c>
      <c r="L452" s="47">
        <v>7762</v>
      </c>
      <c r="M452" s="47">
        <v>9337</v>
      </c>
      <c r="N452" s="47">
        <v>10390</v>
      </c>
      <c r="O452" s="47">
        <v>10322</v>
      </c>
      <c r="P452" s="47">
        <v>10620</v>
      </c>
      <c r="Q452" s="85">
        <v>34.14</v>
      </c>
      <c r="R452" s="85">
        <v>26.19</v>
      </c>
      <c r="S452" s="85">
        <v>37.340000000000003</v>
      </c>
      <c r="T452" s="85">
        <v>34.9</v>
      </c>
      <c r="U452" s="85">
        <v>34.4</v>
      </c>
      <c r="V452" s="85">
        <v>33.17</v>
      </c>
      <c r="W452" s="85">
        <v>31.78</v>
      </c>
      <c r="X452" s="85">
        <v>33.119999999999997</v>
      </c>
      <c r="Y452" s="85">
        <v>33.4</v>
      </c>
      <c r="Z452" s="85">
        <v>45.36</v>
      </c>
      <c r="AA452" s="85">
        <v>35.619999999999997</v>
      </c>
      <c r="AB452" s="85">
        <v>36.31</v>
      </c>
      <c r="AC452" s="85">
        <v>30.7</v>
      </c>
      <c r="AD452" s="85">
        <v>34.85</v>
      </c>
      <c r="AE452" s="47">
        <v>126394</v>
      </c>
      <c r="AF452" s="47">
        <v>94567</v>
      </c>
      <c r="AG452" s="47">
        <v>125054</v>
      </c>
      <c r="AH452" s="47">
        <v>132693</v>
      </c>
      <c r="AI452" s="47">
        <v>157419</v>
      </c>
      <c r="AJ452" s="47">
        <v>190014</v>
      </c>
      <c r="AK452" s="47">
        <v>191907</v>
      </c>
      <c r="AL452" s="47">
        <v>246427</v>
      </c>
      <c r="AM452" s="47">
        <v>247524</v>
      </c>
      <c r="AN452" s="47">
        <v>352094</v>
      </c>
      <c r="AO452" s="47">
        <v>332556</v>
      </c>
      <c r="AP452" s="47">
        <v>377254</v>
      </c>
      <c r="AQ452" s="47">
        <v>316930</v>
      </c>
      <c r="AR452" s="47">
        <v>370130</v>
      </c>
      <c r="AS452" s="47"/>
      <c r="AT452" s="47"/>
      <c r="AU452" s="47"/>
      <c r="AV452" s="47"/>
      <c r="AW452" s="47"/>
      <c r="AX452" s="47"/>
      <c r="AY452" s="47"/>
      <c r="AZ452" s="47"/>
      <c r="BA452" s="47"/>
      <c r="BB452" s="47"/>
      <c r="BC452" s="47"/>
      <c r="BD452" s="47"/>
      <c r="BE452" s="47"/>
      <c r="BF452" s="47"/>
    </row>
    <row r="453" spans="1:58" hidden="1">
      <c r="A453" s="46" t="s">
        <v>286</v>
      </c>
      <c r="B453" s="46" t="s">
        <v>79</v>
      </c>
      <c r="C453" s="47">
        <v>107</v>
      </c>
      <c r="D453" s="47">
        <v>143</v>
      </c>
      <c r="E453" s="47">
        <v>147</v>
      </c>
      <c r="F453" s="47">
        <v>161</v>
      </c>
      <c r="G453" s="47">
        <v>155</v>
      </c>
      <c r="H453" s="47">
        <v>155</v>
      </c>
      <c r="I453" s="47">
        <v>994</v>
      </c>
      <c r="J453" s="47">
        <v>3005</v>
      </c>
      <c r="K453" s="47">
        <v>6004</v>
      </c>
      <c r="L453" s="47">
        <v>8756</v>
      </c>
      <c r="M453" s="47">
        <v>6557</v>
      </c>
      <c r="N453" s="47">
        <v>5291</v>
      </c>
      <c r="O453" s="47">
        <v>4526</v>
      </c>
      <c r="P453" s="47">
        <v>7348</v>
      </c>
      <c r="Q453" s="85">
        <v>21.99</v>
      </c>
      <c r="R453" s="85">
        <v>21.52</v>
      </c>
      <c r="S453" s="85">
        <v>20.239999999999998</v>
      </c>
      <c r="T453" s="85">
        <v>20.62</v>
      </c>
      <c r="U453" s="85">
        <v>21.01</v>
      </c>
      <c r="V453" s="85">
        <v>20.84</v>
      </c>
      <c r="W453" s="85">
        <v>19.22</v>
      </c>
      <c r="X453" s="85">
        <v>17.86</v>
      </c>
      <c r="Y453" s="85">
        <v>14.39</v>
      </c>
      <c r="Z453" s="85">
        <v>14.36</v>
      </c>
      <c r="AA453" s="85">
        <v>15.45</v>
      </c>
      <c r="AB453" s="85">
        <v>15.46</v>
      </c>
      <c r="AC453" s="85">
        <v>13.9</v>
      </c>
      <c r="AD453" s="85">
        <v>20.02</v>
      </c>
      <c r="AE453" s="47">
        <v>2353</v>
      </c>
      <c r="AF453" s="47">
        <v>3077</v>
      </c>
      <c r="AG453" s="47">
        <v>2975</v>
      </c>
      <c r="AH453" s="47">
        <v>3320</v>
      </c>
      <c r="AI453" s="47">
        <v>3257</v>
      </c>
      <c r="AJ453" s="47">
        <v>3230</v>
      </c>
      <c r="AK453" s="47">
        <v>19103</v>
      </c>
      <c r="AL453" s="47">
        <v>53683</v>
      </c>
      <c r="AM453" s="47">
        <v>86382</v>
      </c>
      <c r="AN453" s="47">
        <v>125760</v>
      </c>
      <c r="AO453" s="47">
        <v>101275</v>
      </c>
      <c r="AP453" s="47">
        <v>81801</v>
      </c>
      <c r="AQ453" s="47">
        <v>62932</v>
      </c>
      <c r="AR453" s="47">
        <v>147078</v>
      </c>
      <c r="AS453" s="47"/>
      <c r="AT453" s="47"/>
      <c r="AU453" s="47"/>
      <c r="AV453" s="47"/>
      <c r="AW453" s="47"/>
      <c r="AX453" s="47"/>
      <c r="AY453" s="47"/>
      <c r="AZ453" s="47"/>
      <c r="BA453" s="47"/>
      <c r="BB453" s="47"/>
      <c r="BC453" s="47"/>
      <c r="BD453" s="47"/>
      <c r="BE453" s="47"/>
      <c r="BF453" s="47"/>
    </row>
    <row r="454" spans="1:58" hidden="1">
      <c r="A454" s="46" t="s">
        <v>286</v>
      </c>
      <c r="B454" s="46" t="s">
        <v>80</v>
      </c>
      <c r="C454" s="47">
        <v>3313</v>
      </c>
      <c r="D454" s="47">
        <v>1732</v>
      </c>
      <c r="E454" s="47">
        <v>1067</v>
      </c>
      <c r="F454" s="47">
        <v>1083</v>
      </c>
      <c r="G454" s="47">
        <v>2251</v>
      </c>
      <c r="H454" s="47">
        <v>3478</v>
      </c>
      <c r="I454" s="47">
        <v>4277</v>
      </c>
      <c r="J454" s="47">
        <v>2766</v>
      </c>
      <c r="K454" s="47">
        <v>1259</v>
      </c>
      <c r="L454" s="47">
        <v>1303</v>
      </c>
      <c r="M454" s="47">
        <v>3039</v>
      </c>
      <c r="N454" s="47">
        <v>2906</v>
      </c>
      <c r="O454" s="47">
        <v>2432</v>
      </c>
      <c r="P454" s="47">
        <v>2106</v>
      </c>
      <c r="Q454" s="85">
        <v>23.88</v>
      </c>
      <c r="R454" s="85">
        <v>19.920000000000002</v>
      </c>
      <c r="S454" s="85">
        <v>25.52</v>
      </c>
      <c r="T454" s="85">
        <v>24.36</v>
      </c>
      <c r="U454" s="85">
        <v>29.44</v>
      </c>
      <c r="V454" s="85">
        <v>24.97</v>
      </c>
      <c r="W454" s="85">
        <v>20.239999999999998</v>
      </c>
      <c r="X454" s="85">
        <v>21.97</v>
      </c>
      <c r="Y454" s="85">
        <v>23.39</v>
      </c>
      <c r="Z454" s="85">
        <v>25.95</v>
      </c>
      <c r="AA454" s="85">
        <v>21.05</v>
      </c>
      <c r="AB454" s="85">
        <v>21.35</v>
      </c>
      <c r="AC454" s="85">
        <v>18.27</v>
      </c>
      <c r="AD454" s="85">
        <v>21.16</v>
      </c>
      <c r="AE454" s="47">
        <v>79129</v>
      </c>
      <c r="AF454" s="47">
        <v>34503</v>
      </c>
      <c r="AG454" s="47">
        <v>27231</v>
      </c>
      <c r="AH454" s="47">
        <v>26381</v>
      </c>
      <c r="AI454" s="47">
        <v>66262</v>
      </c>
      <c r="AJ454" s="47">
        <v>86845</v>
      </c>
      <c r="AK454" s="47">
        <v>86573</v>
      </c>
      <c r="AL454" s="47">
        <v>60774</v>
      </c>
      <c r="AM454" s="47">
        <v>29450</v>
      </c>
      <c r="AN454" s="47">
        <v>33813</v>
      </c>
      <c r="AO454" s="47">
        <v>63959</v>
      </c>
      <c r="AP454" s="47">
        <v>62055</v>
      </c>
      <c r="AQ454" s="47">
        <v>44426</v>
      </c>
      <c r="AR454" s="47">
        <v>44567</v>
      </c>
      <c r="AS454" s="47"/>
      <c r="AT454" s="47"/>
      <c r="AU454" s="47"/>
      <c r="AV454" s="47"/>
      <c r="AW454" s="47"/>
      <c r="AX454" s="47"/>
      <c r="AY454" s="47"/>
      <c r="AZ454" s="47"/>
      <c r="BA454" s="47"/>
      <c r="BB454" s="47"/>
      <c r="BC454" s="47"/>
      <c r="BD454" s="47"/>
      <c r="BE454" s="47"/>
      <c r="BF454" s="47"/>
    </row>
    <row r="455" spans="1:58" hidden="1">
      <c r="A455" s="46" t="s">
        <v>286</v>
      </c>
      <c r="B455" s="46" t="s">
        <v>81</v>
      </c>
      <c r="C455" s="47">
        <v>0</v>
      </c>
      <c r="D455" s="47">
        <v>0</v>
      </c>
      <c r="E455" s="47">
        <v>0</v>
      </c>
      <c r="F455" s="47">
        <v>0</v>
      </c>
      <c r="G455" s="47">
        <v>0</v>
      </c>
      <c r="H455" s="47">
        <v>0</v>
      </c>
      <c r="I455" s="47">
        <v>0</v>
      </c>
      <c r="J455" s="47">
        <v>0</v>
      </c>
      <c r="K455" s="47">
        <v>0</v>
      </c>
      <c r="L455" s="47">
        <v>0</v>
      </c>
      <c r="M455" s="47">
        <v>90</v>
      </c>
      <c r="N455" s="47">
        <v>54</v>
      </c>
      <c r="O455" s="47">
        <v>21</v>
      </c>
      <c r="P455" s="47">
        <v>526</v>
      </c>
      <c r="Q455" s="85"/>
      <c r="R455" s="85"/>
      <c r="S455" s="85"/>
      <c r="T455" s="85"/>
      <c r="U455" s="85"/>
      <c r="V455" s="85"/>
      <c r="W455" s="85"/>
      <c r="X455" s="85"/>
      <c r="Y455" s="85"/>
      <c r="Z455" s="85"/>
      <c r="AA455" s="85"/>
      <c r="AB455" s="85"/>
      <c r="AC455" s="85"/>
      <c r="AD455" s="85"/>
      <c r="AE455" s="47">
        <v>0</v>
      </c>
      <c r="AF455" s="47">
        <v>0</v>
      </c>
      <c r="AG455" s="47">
        <v>0</v>
      </c>
      <c r="AH455" s="47">
        <v>0</v>
      </c>
      <c r="AI455" s="47">
        <v>0</v>
      </c>
      <c r="AJ455" s="47">
        <v>0</v>
      </c>
      <c r="AK455" s="47">
        <v>0</v>
      </c>
      <c r="AL455" s="47">
        <v>0</v>
      </c>
      <c r="AM455" s="47">
        <v>0</v>
      </c>
      <c r="AN455" s="47">
        <v>0</v>
      </c>
      <c r="AO455" s="47">
        <v>900</v>
      </c>
      <c r="AP455" s="47">
        <v>540</v>
      </c>
      <c r="AQ455" s="47">
        <v>210</v>
      </c>
      <c r="AR455" s="47">
        <v>5260</v>
      </c>
      <c r="AS455" s="47"/>
      <c r="AT455" s="47"/>
      <c r="AU455" s="47"/>
      <c r="AV455" s="47"/>
      <c r="AW455" s="47"/>
      <c r="AX455" s="47"/>
      <c r="AY455" s="47"/>
      <c r="AZ455" s="47"/>
      <c r="BA455" s="47"/>
      <c r="BB455" s="47"/>
      <c r="BC455" s="47"/>
      <c r="BD455" s="47"/>
      <c r="BE455" s="47"/>
      <c r="BF455" s="47"/>
    </row>
    <row r="456" spans="1:58" hidden="1">
      <c r="A456" s="46" t="s">
        <v>286</v>
      </c>
      <c r="B456" s="46" t="s">
        <v>82</v>
      </c>
      <c r="C456" s="47">
        <v>32120</v>
      </c>
      <c r="D456" s="47">
        <v>26658</v>
      </c>
      <c r="E456" s="47">
        <v>22431</v>
      </c>
      <c r="F456" s="47">
        <v>24236</v>
      </c>
      <c r="G456" s="47">
        <v>30425</v>
      </c>
      <c r="H456" s="47">
        <v>35208</v>
      </c>
      <c r="I456" s="47">
        <v>42361</v>
      </c>
      <c r="J456" s="47">
        <v>56721</v>
      </c>
      <c r="K456" s="47">
        <v>54977</v>
      </c>
      <c r="L456" s="47">
        <v>60106</v>
      </c>
      <c r="M456" s="47">
        <v>69953</v>
      </c>
      <c r="N456" s="47">
        <v>68223</v>
      </c>
      <c r="O456" s="47">
        <v>55432</v>
      </c>
      <c r="P456" s="47">
        <v>61519</v>
      </c>
      <c r="Q456" s="85">
        <v>28.49</v>
      </c>
      <c r="R456" s="85">
        <v>22.1</v>
      </c>
      <c r="S456" s="85">
        <v>35</v>
      </c>
      <c r="T456" s="85">
        <v>33.49</v>
      </c>
      <c r="U456" s="85">
        <v>31.2</v>
      </c>
      <c r="V456" s="85">
        <v>30.21</v>
      </c>
      <c r="W456" s="85">
        <v>28.11</v>
      </c>
      <c r="X456" s="85">
        <v>27.53</v>
      </c>
      <c r="Y456" s="85">
        <v>26.76</v>
      </c>
      <c r="Z456" s="85">
        <v>31.6</v>
      </c>
      <c r="AA456" s="85">
        <v>25.4</v>
      </c>
      <c r="AB456" s="85">
        <v>23.34</v>
      </c>
      <c r="AC456" s="85">
        <v>20.97</v>
      </c>
      <c r="AD456" s="85">
        <v>26.36</v>
      </c>
      <c r="AE456" s="47">
        <v>915241</v>
      </c>
      <c r="AF456" s="47">
        <v>589017</v>
      </c>
      <c r="AG456" s="47">
        <v>785020</v>
      </c>
      <c r="AH456" s="47">
        <v>811558</v>
      </c>
      <c r="AI456" s="47">
        <v>949197</v>
      </c>
      <c r="AJ456" s="47">
        <v>1063487</v>
      </c>
      <c r="AK456" s="47">
        <v>1190695</v>
      </c>
      <c r="AL456" s="47">
        <v>1561555</v>
      </c>
      <c r="AM456" s="47">
        <v>1471254</v>
      </c>
      <c r="AN456" s="47">
        <v>1899170</v>
      </c>
      <c r="AO456" s="47">
        <v>1776654</v>
      </c>
      <c r="AP456" s="47">
        <v>1592256</v>
      </c>
      <c r="AQ456" s="47">
        <v>1162469</v>
      </c>
      <c r="AR456" s="47">
        <v>1621871</v>
      </c>
      <c r="AS456" s="47"/>
      <c r="AT456" s="47"/>
      <c r="AU456" s="47"/>
      <c r="AV456" s="47"/>
      <c r="AW456" s="47"/>
      <c r="AX456" s="47"/>
      <c r="AY456" s="47"/>
      <c r="AZ456" s="47"/>
      <c r="BA456" s="47"/>
      <c r="BB456" s="47"/>
      <c r="BC456" s="47"/>
      <c r="BD456" s="47"/>
      <c r="BE456" s="47"/>
      <c r="BF456" s="47"/>
    </row>
    <row r="457" spans="1:58" hidden="1">
      <c r="A457" s="46" t="s">
        <v>287</v>
      </c>
      <c r="B457" s="46" t="s">
        <v>251</v>
      </c>
      <c r="C457" s="47">
        <v>239099</v>
      </c>
      <c r="D457" s="47">
        <v>243096</v>
      </c>
      <c r="E457" s="47">
        <v>258428</v>
      </c>
      <c r="F457" s="47">
        <v>284883</v>
      </c>
      <c r="G457" s="47">
        <v>296183</v>
      </c>
      <c r="H457" s="47">
        <v>294340</v>
      </c>
      <c r="I457" s="47">
        <v>279940</v>
      </c>
      <c r="J457" s="47">
        <v>264470</v>
      </c>
      <c r="K457" s="47">
        <v>267485</v>
      </c>
      <c r="L457" s="47">
        <v>285985</v>
      </c>
      <c r="M457" s="47">
        <v>217500</v>
      </c>
      <c r="N457" s="47">
        <v>275930</v>
      </c>
      <c r="O457" s="47">
        <v>242035</v>
      </c>
      <c r="P457" s="47">
        <v>266879</v>
      </c>
      <c r="Q457" s="85">
        <v>58.08</v>
      </c>
      <c r="R457" s="85">
        <v>46.22</v>
      </c>
      <c r="S457" s="85">
        <v>61.44</v>
      </c>
      <c r="T457" s="85">
        <v>53.43</v>
      </c>
      <c r="U457" s="85">
        <v>52.6</v>
      </c>
      <c r="V457" s="85">
        <v>54.25</v>
      </c>
      <c r="W457" s="85">
        <v>56.08</v>
      </c>
      <c r="X457" s="85">
        <v>55.91</v>
      </c>
      <c r="Y457" s="85">
        <v>45.69</v>
      </c>
      <c r="Z457" s="85">
        <v>61.23</v>
      </c>
      <c r="AA457" s="85">
        <v>43.56</v>
      </c>
      <c r="AB457" s="85">
        <v>48.25</v>
      </c>
      <c r="AC457" s="85">
        <v>43.69</v>
      </c>
      <c r="AD457" s="85">
        <v>52.93</v>
      </c>
      <c r="AE457" s="47">
        <v>13887049</v>
      </c>
      <c r="AF457" s="47">
        <v>11236989</v>
      </c>
      <c r="AG457" s="47">
        <v>15876637</v>
      </c>
      <c r="AH457" s="47">
        <v>15219919</v>
      </c>
      <c r="AI457" s="47">
        <v>15578577</v>
      </c>
      <c r="AJ457" s="47">
        <v>15968255</v>
      </c>
      <c r="AK457" s="47">
        <v>15699075</v>
      </c>
      <c r="AL457" s="47">
        <v>14785785</v>
      </c>
      <c r="AM457" s="47">
        <v>12220765</v>
      </c>
      <c r="AN457" s="47">
        <v>17511135</v>
      </c>
      <c r="AO457" s="47">
        <v>9473515</v>
      </c>
      <c r="AP457" s="47">
        <v>13313839</v>
      </c>
      <c r="AQ457" s="47">
        <v>10574300</v>
      </c>
      <c r="AR457" s="47">
        <v>14125080</v>
      </c>
      <c r="AS457" s="47"/>
      <c r="AT457" s="47"/>
      <c r="AU457" s="47"/>
      <c r="AV457" s="47"/>
      <c r="AW457" s="47"/>
      <c r="AX457" s="47"/>
      <c r="AY457" s="47"/>
      <c r="AZ457" s="47"/>
      <c r="BA457" s="47"/>
      <c r="BB457" s="47"/>
      <c r="BC457" s="47"/>
      <c r="BD457" s="47"/>
      <c r="BE457" s="47"/>
      <c r="BF457" s="47"/>
    </row>
    <row r="458" spans="1:58" hidden="1">
      <c r="A458" s="46" t="s">
        <v>287</v>
      </c>
      <c r="B458" s="46" t="s">
        <v>252</v>
      </c>
      <c r="C458" s="47">
        <v>100</v>
      </c>
      <c r="D458" s="47">
        <v>200</v>
      </c>
      <c r="E458" s="47">
        <v>145</v>
      </c>
      <c r="F458" s="47">
        <v>195</v>
      </c>
      <c r="G458" s="47">
        <v>1280</v>
      </c>
      <c r="H458" s="47">
        <v>1075</v>
      </c>
      <c r="I458" s="47">
        <v>815</v>
      </c>
      <c r="J458" s="47">
        <v>665</v>
      </c>
      <c r="K458" s="47">
        <v>480</v>
      </c>
      <c r="L458" s="47">
        <v>650</v>
      </c>
      <c r="M458" s="47">
        <v>3900</v>
      </c>
      <c r="N458" s="47">
        <v>1650</v>
      </c>
      <c r="O458" s="47">
        <v>1480</v>
      </c>
      <c r="P458" s="47">
        <v>1305</v>
      </c>
      <c r="Q458" s="85">
        <v>36.25</v>
      </c>
      <c r="R458" s="85">
        <v>33.4</v>
      </c>
      <c r="S458" s="85">
        <v>33.450000000000003</v>
      </c>
      <c r="T458" s="85">
        <v>37</v>
      </c>
      <c r="U458" s="85">
        <v>42</v>
      </c>
      <c r="V458" s="85">
        <v>45.11</v>
      </c>
      <c r="W458" s="85">
        <v>43.91</v>
      </c>
      <c r="X458" s="85">
        <v>49.8</v>
      </c>
      <c r="Y458" s="85">
        <v>43.1</v>
      </c>
      <c r="Z458" s="85">
        <v>50.21</v>
      </c>
      <c r="AA458" s="85">
        <v>42.73</v>
      </c>
      <c r="AB458" s="85">
        <v>42.15</v>
      </c>
      <c r="AC458" s="85">
        <v>36.86</v>
      </c>
      <c r="AD458" s="85">
        <v>37.42</v>
      </c>
      <c r="AE458" s="47">
        <v>3625</v>
      </c>
      <c r="AF458" s="47">
        <v>6680</v>
      </c>
      <c r="AG458" s="47">
        <v>4850</v>
      </c>
      <c r="AH458" s="47">
        <v>7215</v>
      </c>
      <c r="AI458" s="47">
        <v>53760</v>
      </c>
      <c r="AJ458" s="47">
        <v>48495</v>
      </c>
      <c r="AK458" s="47">
        <v>35790</v>
      </c>
      <c r="AL458" s="47">
        <v>33120</v>
      </c>
      <c r="AM458" s="47">
        <v>20690</v>
      </c>
      <c r="AN458" s="47">
        <v>32635</v>
      </c>
      <c r="AO458" s="47">
        <v>166665</v>
      </c>
      <c r="AP458" s="47">
        <v>69540</v>
      </c>
      <c r="AQ458" s="47">
        <v>54555</v>
      </c>
      <c r="AR458" s="47">
        <v>48835</v>
      </c>
      <c r="AS458" s="47"/>
      <c r="AT458" s="47"/>
      <c r="AU458" s="47"/>
      <c r="AV458" s="47"/>
      <c r="AW458" s="47"/>
      <c r="AX458" s="47"/>
      <c r="AY458" s="47"/>
      <c r="AZ458" s="47"/>
      <c r="BA458" s="47"/>
      <c r="BB458" s="47"/>
      <c r="BC458" s="47"/>
      <c r="BD458" s="47"/>
      <c r="BE458" s="47"/>
      <c r="BF458" s="47"/>
    </row>
    <row r="459" spans="1:58" hidden="1">
      <c r="A459" s="46" t="s">
        <v>287</v>
      </c>
      <c r="B459" s="46" t="s">
        <v>253</v>
      </c>
      <c r="C459" s="47">
        <v>239199</v>
      </c>
      <c r="D459" s="47">
        <v>243296</v>
      </c>
      <c r="E459" s="47">
        <v>258573</v>
      </c>
      <c r="F459" s="47">
        <v>285078</v>
      </c>
      <c r="G459" s="47">
        <v>297463</v>
      </c>
      <c r="H459" s="47">
        <v>295415</v>
      </c>
      <c r="I459" s="47">
        <v>280755</v>
      </c>
      <c r="J459" s="47">
        <v>265135</v>
      </c>
      <c r="K459" s="47">
        <v>267965</v>
      </c>
      <c r="L459" s="47">
        <v>286635</v>
      </c>
      <c r="M459" s="47">
        <v>221400</v>
      </c>
      <c r="N459" s="47">
        <v>277580</v>
      </c>
      <c r="O459" s="47">
        <v>243515</v>
      </c>
      <c r="P459" s="47">
        <v>268184</v>
      </c>
      <c r="Q459" s="85">
        <v>58.07</v>
      </c>
      <c r="R459" s="85">
        <v>46.21</v>
      </c>
      <c r="S459" s="85">
        <v>61.42</v>
      </c>
      <c r="T459" s="85">
        <v>53.41</v>
      </c>
      <c r="U459" s="85">
        <v>52.55</v>
      </c>
      <c r="V459" s="85">
        <v>54.22</v>
      </c>
      <c r="W459" s="85">
        <v>56.04</v>
      </c>
      <c r="X459" s="85">
        <v>55.89</v>
      </c>
      <c r="Y459" s="85">
        <v>45.68</v>
      </c>
      <c r="Z459" s="85">
        <v>61.21</v>
      </c>
      <c r="AA459" s="85">
        <v>43.54</v>
      </c>
      <c r="AB459" s="85">
        <v>48.21</v>
      </c>
      <c r="AC459" s="85">
        <v>43.65</v>
      </c>
      <c r="AD459" s="85">
        <v>52.85</v>
      </c>
      <c r="AE459" s="47">
        <v>13890674</v>
      </c>
      <c r="AF459" s="47">
        <v>11243669</v>
      </c>
      <c r="AG459" s="47">
        <v>15881487</v>
      </c>
      <c r="AH459" s="47">
        <v>15227134</v>
      </c>
      <c r="AI459" s="47">
        <v>15632337</v>
      </c>
      <c r="AJ459" s="47">
        <v>16016750</v>
      </c>
      <c r="AK459" s="47">
        <v>15734865</v>
      </c>
      <c r="AL459" s="47">
        <v>14818905</v>
      </c>
      <c r="AM459" s="47">
        <v>12241455</v>
      </c>
      <c r="AN459" s="47">
        <v>17543770</v>
      </c>
      <c r="AO459" s="47">
        <v>9640180</v>
      </c>
      <c r="AP459" s="47">
        <v>13383379</v>
      </c>
      <c r="AQ459" s="47">
        <v>10628855</v>
      </c>
      <c r="AR459" s="47">
        <v>14173915</v>
      </c>
      <c r="AS459" s="47"/>
      <c r="AT459" s="47"/>
      <c r="AU459" s="47"/>
      <c r="AV459" s="47"/>
      <c r="AW459" s="47"/>
      <c r="AX459" s="47"/>
      <c r="AY459" s="47"/>
      <c r="AZ459" s="47"/>
      <c r="BA459" s="47"/>
      <c r="BB459" s="47"/>
      <c r="BC459" s="47"/>
      <c r="BD459" s="47"/>
      <c r="BE459" s="47"/>
      <c r="BF459" s="47"/>
    </row>
    <row r="460" spans="1:58" hidden="1">
      <c r="A460" s="46" t="s">
        <v>287</v>
      </c>
      <c r="B460" s="46" t="s">
        <v>254</v>
      </c>
      <c r="C460" s="47">
        <v>203557</v>
      </c>
      <c r="D460" s="47">
        <v>172574</v>
      </c>
      <c r="E460" s="47">
        <v>181407</v>
      </c>
      <c r="F460" s="47">
        <v>144174</v>
      </c>
      <c r="G460" s="47">
        <v>113700</v>
      </c>
      <c r="H460" s="47">
        <v>128815</v>
      </c>
      <c r="I460" s="47">
        <v>150340</v>
      </c>
      <c r="J460" s="47">
        <v>141355</v>
      </c>
      <c r="K460" s="47">
        <v>138635</v>
      </c>
      <c r="L460" s="47">
        <v>87240</v>
      </c>
      <c r="M460" s="47">
        <v>80770</v>
      </c>
      <c r="N460" s="47">
        <v>94037</v>
      </c>
      <c r="O460" s="47">
        <v>83865</v>
      </c>
      <c r="P460" s="47">
        <v>85065</v>
      </c>
      <c r="Q460" s="85">
        <v>48.17</v>
      </c>
      <c r="R460" s="85">
        <v>41.39</v>
      </c>
      <c r="S460" s="85">
        <v>50.3</v>
      </c>
      <c r="T460" s="85">
        <v>46.39</v>
      </c>
      <c r="U460" s="85">
        <v>43.01</v>
      </c>
      <c r="V460" s="85">
        <v>47.5</v>
      </c>
      <c r="W460" s="85">
        <v>49.57</v>
      </c>
      <c r="X460" s="85">
        <v>52.99</v>
      </c>
      <c r="Y460" s="85">
        <v>37.840000000000003</v>
      </c>
      <c r="Z460" s="85">
        <v>55.29</v>
      </c>
      <c r="AA460" s="85">
        <v>44.38</v>
      </c>
      <c r="AB460" s="85">
        <v>45.5</v>
      </c>
      <c r="AC460" s="85">
        <v>42.14</v>
      </c>
      <c r="AD460" s="85">
        <v>44.64</v>
      </c>
      <c r="AE460" s="47">
        <v>9805332</v>
      </c>
      <c r="AF460" s="47">
        <v>7142050</v>
      </c>
      <c r="AG460" s="47">
        <v>9124926</v>
      </c>
      <c r="AH460" s="47">
        <v>6688361</v>
      </c>
      <c r="AI460" s="47">
        <v>4890180</v>
      </c>
      <c r="AJ460" s="47">
        <v>6118195</v>
      </c>
      <c r="AK460" s="47">
        <v>7452590</v>
      </c>
      <c r="AL460" s="47">
        <v>7490455</v>
      </c>
      <c r="AM460" s="47">
        <v>5246220</v>
      </c>
      <c r="AN460" s="47">
        <v>4823335</v>
      </c>
      <c r="AO460" s="47">
        <v>3584250</v>
      </c>
      <c r="AP460" s="47">
        <v>4279001</v>
      </c>
      <c r="AQ460" s="47">
        <v>3533930</v>
      </c>
      <c r="AR460" s="47">
        <v>3797050</v>
      </c>
      <c r="AS460" s="47"/>
      <c r="AT460" s="47"/>
      <c r="AU460" s="47"/>
      <c r="AV460" s="47"/>
      <c r="AW460" s="47"/>
      <c r="AX460" s="47"/>
      <c r="AY460" s="47"/>
      <c r="AZ460" s="47"/>
      <c r="BA460" s="47"/>
      <c r="BB460" s="47"/>
      <c r="BC460" s="47"/>
      <c r="BD460" s="47"/>
      <c r="BE460" s="47"/>
      <c r="BF460" s="47"/>
    </row>
    <row r="461" spans="1:58" hidden="1">
      <c r="A461" s="46" t="s">
        <v>287</v>
      </c>
      <c r="B461" s="46" t="s">
        <v>255</v>
      </c>
      <c r="C461" s="47">
        <v>40</v>
      </c>
      <c r="D461" s="47">
        <v>30</v>
      </c>
      <c r="E461" s="47">
        <v>30</v>
      </c>
      <c r="F461" s="47">
        <v>10</v>
      </c>
      <c r="G461" s="47">
        <v>0</v>
      </c>
      <c r="H461" s="47">
        <v>0</v>
      </c>
      <c r="I461" s="47">
        <v>225</v>
      </c>
      <c r="J461" s="47">
        <v>280</v>
      </c>
      <c r="K461" s="47">
        <v>355</v>
      </c>
      <c r="L461" s="47">
        <v>330</v>
      </c>
      <c r="M461" s="47">
        <v>4445</v>
      </c>
      <c r="N461" s="47">
        <v>1485</v>
      </c>
      <c r="O461" s="47">
        <v>1560</v>
      </c>
      <c r="P461" s="47">
        <v>835</v>
      </c>
      <c r="Q461" s="85">
        <v>30</v>
      </c>
      <c r="R461" s="85">
        <v>30</v>
      </c>
      <c r="S461" s="85">
        <v>20</v>
      </c>
      <c r="T461" s="85">
        <v>41</v>
      </c>
      <c r="U461" s="85"/>
      <c r="V461" s="85"/>
      <c r="W461" s="85">
        <v>52.93</v>
      </c>
      <c r="X461" s="85">
        <v>49.86</v>
      </c>
      <c r="Y461" s="85">
        <v>38.58</v>
      </c>
      <c r="Z461" s="85">
        <v>48.12</v>
      </c>
      <c r="AA461" s="85">
        <v>37.39</v>
      </c>
      <c r="AB461" s="85">
        <v>38.25</v>
      </c>
      <c r="AC461" s="85">
        <v>35.21</v>
      </c>
      <c r="AD461" s="85">
        <v>32.35</v>
      </c>
      <c r="AE461" s="47">
        <v>1200</v>
      </c>
      <c r="AF461" s="47">
        <v>900</v>
      </c>
      <c r="AG461" s="47">
        <v>600</v>
      </c>
      <c r="AH461" s="47">
        <v>410</v>
      </c>
      <c r="AI461" s="47">
        <v>0</v>
      </c>
      <c r="AJ461" s="47">
        <v>0</v>
      </c>
      <c r="AK461" s="47">
        <v>11910</v>
      </c>
      <c r="AL461" s="47">
        <v>13960</v>
      </c>
      <c r="AM461" s="47">
        <v>13695</v>
      </c>
      <c r="AN461" s="47">
        <v>15880</v>
      </c>
      <c r="AO461" s="47">
        <v>166180</v>
      </c>
      <c r="AP461" s="47">
        <v>56795</v>
      </c>
      <c r="AQ461" s="47">
        <v>54920</v>
      </c>
      <c r="AR461" s="47">
        <v>27015</v>
      </c>
      <c r="AS461" s="47"/>
      <c r="AT461" s="47"/>
      <c r="AU461" s="47"/>
      <c r="AV461" s="47"/>
      <c r="AW461" s="47"/>
      <c r="AX461" s="47"/>
      <c r="AY461" s="47"/>
      <c r="AZ461" s="47"/>
      <c r="BA461" s="47"/>
      <c r="BB461" s="47"/>
      <c r="BC461" s="47"/>
      <c r="BD461" s="47"/>
      <c r="BE461" s="47"/>
      <c r="BF461" s="47"/>
    </row>
    <row r="462" spans="1:58" hidden="1">
      <c r="A462" s="46" t="s">
        <v>287</v>
      </c>
      <c r="B462" s="46" t="s">
        <v>256</v>
      </c>
      <c r="C462" s="47">
        <v>203597</v>
      </c>
      <c r="D462" s="47">
        <v>172604</v>
      </c>
      <c r="E462" s="47">
        <v>181437</v>
      </c>
      <c r="F462" s="47">
        <v>144184</v>
      </c>
      <c r="G462" s="47">
        <v>113700</v>
      </c>
      <c r="H462" s="47">
        <v>128815</v>
      </c>
      <c r="I462" s="47">
        <v>150565</v>
      </c>
      <c r="J462" s="47">
        <v>141635</v>
      </c>
      <c r="K462" s="47">
        <v>138990</v>
      </c>
      <c r="L462" s="47">
        <v>87570</v>
      </c>
      <c r="M462" s="47">
        <v>85215</v>
      </c>
      <c r="N462" s="47">
        <v>95522</v>
      </c>
      <c r="O462" s="47">
        <v>85425</v>
      </c>
      <c r="P462" s="47">
        <v>85900</v>
      </c>
      <c r="Q462" s="85">
        <v>48.17</v>
      </c>
      <c r="R462" s="85">
        <v>41.38</v>
      </c>
      <c r="S462" s="85">
        <v>50.3</v>
      </c>
      <c r="T462" s="85">
        <v>46.39</v>
      </c>
      <c r="U462" s="85">
        <v>43.01</v>
      </c>
      <c r="V462" s="85">
        <v>47.5</v>
      </c>
      <c r="W462" s="85">
        <v>49.58</v>
      </c>
      <c r="X462" s="85">
        <v>52.98</v>
      </c>
      <c r="Y462" s="85">
        <v>37.840000000000003</v>
      </c>
      <c r="Z462" s="85">
        <v>55.26</v>
      </c>
      <c r="AA462" s="85">
        <v>44.01</v>
      </c>
      <c r="AB462" s="85">
        <v>45.39</v>
      </c>
      <c r="AC462" s="85">
        <v>42.01</v>
      </c>
      <c r="AD462" s="85">
        <v>44.52</v>
      </c>
      <c r="AE462" s="47">
        <v>9806532</v>
      </c>
      <c r="AF462" s="47">
        <v>7142950</v>
      </c>
      <c r="AG462" s="47">
        <v>9125526</v>
      </c>
      <c r="AH462" s="47">
        <v>6688771</v>
      </c>
      <c r="AI462" s="47">
        <v>4890180</v>
      </c>
      <c r="AJ462" s="47">
        <v>6118195</v>
      </c>
      <c r="AK462" s="47">
        <v>7464500</v>
      </c>
      <c r="AL462" s="47">
        <v>7504415</v>
      </c>
      <c r="AM462" s="47">
        <v>5259915</v>
      </c>
      <c r="AN462" s="47">
        <v>4839215</v>
      </c>
      <c r="AO462" s="47">
        <v>3750430</v>
      </c>
      <c r="AP462" s="47">
        <v>4335796</v>
      </c>
      <c r="AQ462" s="47">
        <v>3588850</v>
      </c>
      <c r="AR462" s="47">
        <v>3824065</v>
      </c>
      <c r="AS462" s="47"/>
      <c r="AT462" s="47"/>
      <c r="AU462" s="47"/>
      <c r="AV462" s="47"/>
      <c r="AW462" s="47"/>
      <c r="AX462" s="47"/>
      <c r="AY462" s="47"/>
      <c r="AZ462" s="47"/>
      <c r="BA462" s="47"/>
      <c r="BB462" s="47"/>
      <c r="BC462" s="47"/>
      <c r="BD462" s="47"/>
      <c r="BE462" s="47"/>
      <c r="BF462" s="47"/>
    </row>
    <row r="463" spans="1:58" hidden="1">
      <c r="A463" s="46" t="s">
        <v>287</v>
      </c>
      <c r="B463" s="46" t="s">
        <v>257</v>
      </c>
      <c r="C463" s="47">
        <v>2895</v>
      </c>
      <c r="D463" s="47">
        <v>2466</v>
      </c>
      <c r="E463" s="47">
        <v>2966</v>
      </c>
      <c r="F463" s="47">
        <v>3222</v>
      </c>
      <c r="G463" s="47">
        <v>2790</v>
      </c>
      <c r="H463" s="47">
        <v>3165</v>
      </c>
      <c r="I463" s="47">
        <v>3310</v>
      </c>
      <c r="J463" s="47">
        <v>3560</v>
      </c>
      <c r="K463" s="47">
        <v>3630</v>
      </c>
      <c r="L463" s="47">
        <v>4230</v>
      </c>
      <c r="M463" s="47">
        <v>4395</v>
      </c>
      <c r="N463" s="47">
        <v>5058</v>
      </c>
      <c r="O463" s="47">
        <v>5330</v>
      </c>
      <c r="P463" s="47">
        <v>5585</v>
      </c>
      <c r="Q463" s="85">
        <v>35.51</v>
      </c>
      <c r="R463" s="85">
        <v>30.78</v>
      </c>
      <c r="S463" s="85">
        <v>37.15</v>
      </c>
      <c r="T463" s="85">
        <v>36.4</v>
      </c>
      <c r="U463" s="85">
        <v>35.69</v>
      </c>
      <c r="V463" s="85">
        <v>30.64</v>
      </c>
      <c r="W463" s="85">
        <v>37.119999999999997</v>
      </c>
      <c r="X463" s="85">
        <v>33.380000000000003</v>
      </c>
      <c r="Y463" s="85">
        <v>34.549999999999997</v>
      </c>
      <c r="Z463" s="85">
        <v>34.78</v>
      </c>
      <c r="AA463" s="85">
        <v>33.97</v>
      </c>
      <c r="AB463" s="85">
        <v>34.72</v>
      </c>
      <c r="AC463" s="85">
        <v>22.22</v>
      </c>
      <c r="AD463" s="85">
        <v>40.64</v>
      </c>
      <c r="AE463" s="47">
        <v>102811</v>
      </c>
      <c r="AF463" s="47">
        <v>75912</v>
      </c>
      <c r="AG463" s="47">
        <v>110194</v>
      </c>
      <c r="AH463" s="47">
        <v>117266</v>
      </c>
      <c r="AI463" s="47">
        <v>99580</v>
      </c>
      <c r="AJ463" s="47">
        <v>96990</v>
      </c>
      <c r="AK463" s="47">
        <v>122870</v>
      </c>
      <c r="AL463" s="47">
        <v>118845</v>
      </c>
      <c r="AM463" s="47">
        <v>125410</v>
      </c>
      <c r="AN463" s="47">
        <v>147105</v>
      </c>
      <c r="AO463" s="47">
        <v>149305</v>
      </c>
      <c r="AP463" s="47">
        <v>175637</v>
      </c>
      <c r="AQ463" s="47">
        <v>118435</v>
      </c>
      <c r="AR463" s="47">
        <v>226966</v>
      </c>
      <c r="AS463" s="47"/>
      <c r="AT463" s="47"/>
      <c r="AU463" s="47"/>
      <c r="AV463" s="47"/>
      <c r="AW463" s="47"/>
      <c r="AX463" s="47"/>
      <c r="AY463" s="47"/>
      <c r="AZ463" s="47"/>
      <c r="BA463" s="47"/>
      <c r="BB463" s="47"/>
      <c r="BC463" s="47"/>
      <c r="BD463" s="47"/>
      <c r="BE463" s="47"/>
      <c r="BF463" s="47"/>
    </row>
    <row r="464" spans="1:58" hidden="1">
      <c r="A464" s="46" t="s">
        <v>287</v>
      </c>
      <c r="B464" s="46" t="s">
        <v>258</v>
      </c>
      <c r="C464" s="47">
        <v>82589</v>
      </c>
      <c r="D464" s="47">
        <v>76183</v>
      </c>
      <c r="E464" s="47">
        <v>79530</v>
      </c>
      <c r="F464" s="47">
        <v>92486</v>
      </c>
      <c r="G464" s="47">
        <v>99622</v>
      </c>
      <c r="H464" s="47">
        <v>103465</v>
      </c>
      <c r="I464" s="47">
        <v>104865</v>
      </c>
      <c r="J464" s="47">
        <v>99640</v>
      </c>
      <c r="K464" s="47">
        <v>94120</v>
      </c>
      <c r="L464" s="47">
        <v>98325</v>
      </c>
      <c r="M464" s="47">
        <v>91155</v>
      </c>
      <c r="N464" s="47">
        <v>90710</v>
      </c>
      <c r="O464" s="47">
        <v>95275</v>
      </c>
      <c r="P464" s="47">
        <v>103380</v>
      </c>
      <c r="Q464" s="85">
        <v>50.11</v>
      </c>
      <c r="R464" s="85">
        <v>40.01</v>
      </c>
      <c r="S464" s="85">
        <v>54.23</v>
      </c>
      <c r="T464" s="85">
        <v>48.39</v>
      </c>
      <c r="U464" s="85">
        <v>48.87</v>
      </c>
      <c r="V464" s="85">
        <v>50.11</v>
      </c>
      <c r="W464" s="85">
        <v>52.11</v>
      </c>
      <c r="X464" s="85">
        <v>50.46</v>
      </c>
      <c r="Y464" s="85">
        <v>42.72</v>
      </c>
      <c r="Z464" s="85">
        <v>57.93</v>
      </c>
      <c r="AA464" s="85">
        <v>39.69</v>
      </c>
      <c r="AB464" s="85">
        <v>47.55</v>
      </c>
      <c r="AC464" s="85">
        <v>40.01</v>
      </c>
      <c r="AD464" s="85">
        <v>48.99</v>
      </c>
      <c r="AE464" s="47">
        <v>4138825</v>
      </c>
      <c r="AF464" s="47">
        <v>3047906</v>
      </c>
      <c r="AG464" s="47">
        <v>4313049</v>
      </c>
      <c r="AH464" s="47">
        <v>4475139</v>
      </c>
      <c r="AI464" s="47">
        <v>4868787</v>
      </c>
      <c r="AJ464" s="47">
        <v>5184995</v>
      </c>
      <c r="AK464" s="47">
        <v>5464445</v>
      </c>
      <c r="AL464" s="47">
        <v>5028305</v>
      </c>
      <c r="AM464" s="47">
        <v>4021210</v>
      </c>
      <c r="AN464" s="47">
        <v>5695665</v>
      </c>
      <c r="AO464" s="47">
        <v>3618170</v>
      </c>
      <c r="AP464" s="47">
        <v>4313300</v>
      </c>
      <c r="AQ464" s="47">
        <v>3811495</v>
      </c>
      <c r="AR464" s="47">
        <v>5064845</v>
      </c>
      <c r="AS464" s="47"/>
      <c r="AT464" s="47"/>
      <c r="AU464" s="47"/>
      <c r="AV464" s="47"/>
      <c r="AW464" s="47"/>
      <c r="AX464" s="47"/>
      <c r="AY464" s="47"/>
      <c r="AZ464" s="47"/>
      <c r="BA464" s="47"/>
      <c r="BB464" s="47"/>
      <c r="BC464" s="47"/>
      <c r="BD464" s="47"/>
      <c r="BE464" s="47"/>
      <c r="BF464" s="47"/>
    </row>
    <row r="465" spans="1:58" hidden="1">
      <c r="A465" s="46" t="s">
        <v>287</v>
      </c>
      <c r="B465" s="46" t="s">
        <v>259</v>
      </c>
      <c r="C465" s="47">
        <v>9987</v>
      </c>
      <c r="D465" s="47">
        <v>12399</v>
      </c>
      <c r="E465" s="47">
        <v>9029</v>
      </c>
      <c r="F465" s="47">
        <v>7194</v>
      </c>
      <c r="G465" s="47">
        <v>8430</v>
      </c>
      <c r="H465" s="47">
        <v>8815</v>
      </c>
      <c r="I465" s="47">
        <v>5320</v>
      </c>
      <c r="J465" s="47">
        <v>6765</v>
      </c>
      <c r="K465" s="47">
        <v>5740</v>
      </c>
      <c r="L465" s="47">
        <v>9390</v>
      </c>
      <c r="M465" s="47">
        <v>18340</v>
      </c>
      <c r="N465" s="47">
        <v>8830</v>
      </c>
      <c r="O465" s="47">
        <v>10450</v>
      </c>
      <c r="P465" s="47">
        <v>9395</v>
      </c>
      <c r="Q465" s="85">
        <v>37.1</v>
      </c>
      <c r="R465" s="85">
        <v>23.14</v>
      </c>
      <c r="S465" s="85">
        <v>42.95</v>
      </c>
      <c r="T465" s="85">
        <v>39.9</v>
      </c>
      <c r="U465" s="85">
        <v>34.979999999999997</v>
      </c>
      <c r="V465" s="85">
        <v>38.21</v>
      </c>
      <c r="W465" s="85">
        <v>36.72</v>
      </c>
      <c r="X465" s="85">
        <v>41.73</v>
      </c>
      <c r="Y465" s="85">
        <v>38.76</v>
      </c>
      <c r="Z465" s="85">
        <v>45.29</v>
      </c>
      <c r="AA465" s="85">
        <v>35.450000000000003</v>
      </c>
      <c r="AB465" s="85">
        <v>38.799999999999997</v>
      </c>
      <c r="AC465" s="85">
        <v>30.56</v>
      </c>
      <c r="AD465" s="85">
        <v>37.659999999999997</v>
      </c>
      <c r="AE465" s="47">
        <v>370550</v>
      </c>
      <c r="AF465" s="47">
        <v>286944</v>
      </c>
      <c r="AG465" s="47">
        <v>387823</v>
      </c>
      <c r="AH465" s="47">
        <v>287061</v>
      </c>
      <c r="AI465" s="47">
        <v>294880</v>
      </c>
      <c r="AJ465" s="47">
        <v>336790</v>
      </c>
      <c r="AK465" s="47">
        <v>195335</v>
      </c>
      <c r="AL465" s="47">
        <v>282305</v>
      </c>
      <c r="AM465" s="47">
        <v>222465</v>
      </c>
      <c r="AN465" s="47">
        <v>425290</v>
      </c>
      <c r="AO465" s="47">
        <v>650220</v>
      </c>
      <c r="AP465" s="47">
        <v>342565</v>
      </c>
      <c r="AQ465" s="47">
        <v>319395</v>
      </c>
      <c r="AR465" s="47">
        <v>353825</v>
      </c>
      <c r="AS465" s="47"/>
      <c r="AT465" s="47"/>
      <c r="AU465" s="47"/>
      <c r="AV465" s="47"/>
      <c r="AW465" s="47"/>
      <c r="AX465" s="47"/>
      <c r="AY465" s="47"/>
      <c r="AZ465" s="47"/>
      <c r="BA465" s="47"/>
      <c r="BB465" s="47"/>
      <c r="BC465" s="47"/>
      <c r="BD465" s="47"/>
      <c r="BE465" s="47"/>
      <c r="BF465" s="47"/>
    </row>
    <row r="466" spans="1:58" hidden="1">
      <c r="A466" s="46" t="s">
        <v>287</v>
      </c>
      <c r="B466" s="46" t="s">
        <v>260</v>
      </c>
      <c r="C466" s="47">
        <v>92576</v>
      </c>
      <c r="D466" s="47">
        <v>88582</v>
      </c>
      <c r="E466" s="47">
        <v>88559</v>
      </c>
      <c r="F466" s="47">
        <v>99680</v>
      </c>
      <c r="G466" s="47">
        <v>108052</v>
      </c>
      <c r="H466" s="47">
        <v>112280</v>
      </c>
      <c r="I466" s="47">
        <v>110185</v>
      </c>
      <c r="J466" s="47">
        <v>106405</v>
      </c>
      <c r="K466" s="47">
        <v>99860</v>
      </c>
      <c r="L466" s="47">
        <v>107715</v>
      </c>
      <c r="M466" s="47">
        <v>109495</v>
      </c>
      <c r="N466" s="47">
        <v>99540</v>
      </c>
      <c r="O466" s="47">
        <v>105725</v>
      </c>
      <c r="P466" s="47">
        <v>112775</v>
      </c>
      <c r="Q466" s="85">
        <v>48.71</v>
      </c>
      <c r="R466" s="85">
        <v>37.65</v>
      </c>
      <c r="S466" s="85">
        <v>53.08</v>
      </c>
      <c r="T466" s="85">
        <v>47.77</v>
      </c>
      <c r="U466" s="85">
        <v>47.79</v>
      </c>
      <c r="V466" s="85">
        <v>49.18</v>
      </c>
      <c r="W466" s="85">
        <v>51.37</v>
      </c>
      <c r="X466" s="85">
        <v>49.91</v>
      </c>
      <c r="Y466" s="85">
        <v>42.5</v>
      </c>
      <c r="Z466" s="85">
        <v>56.83</v>
      </c>
      <c r="AA466" s="85">
        <v>38.979999999999997</v>
      </c>
      <c r="AB466" s="85">
        <v>46.77</v>
      </c>
      <c r="AC466" s="85">
        <v>39.07</v>
      </c>
      <c r="AD466" s="85">
        <v>48.05</v>
      </c>
      <c r="AE466" s="47">
        <v>4509375</v>
      </c>
      <c r="AF466" s="47">
        <v>3334850</v>
      </c>
      <c r="AG466" s="47">
        <v>4700872</v>
      </c>
      <c r="AH466" s="47">
        <v>4762200</v>
      </c>
      <c r="AI466" s="47">
        <v>5163667</v>
      </c>
      <c r="AJ466" s="47">
        <v>5521785</v>
      </c>
      <c r="AK466" s="47">
        <v>5659780</v>
      </c>
      <c r="AL466" s="47">
        <v>5310610</v>
      </c>
      <c r="AM466" s="47">
        <v>4243675</v>
      </c>
      <c r="AN466" s="47">
        <v>6120955</v>
      </c>
      <c r="AO466" s="47">
        <v>4268390</v>
      </c>
      <c r="AP466" s="47">
        <v>4655865</v>
      </c>
      <c r="AQ466" s="47">
        <v>4130890</v>
      </c>
      <c r="AR466" s="47">
        <v>5418670</v>
      </c>
      <c r="AS466" s="47"/>
      <c r="AT466" s="47"/>
      <c r="AU466" s="47"/>
      <c r="AV466" s="47"/>
      <c r="AW466" s="47"/>
      <c r="AX466" s="47"/>
      <c r="AY466" s="47"/>
      <c r="AZ466" s="47"/>
      <c r="BA466" s="47"/>
      <c r="BB466" s="47"/>
      <c r="BC466" s="47"/>
      <c r="BD466" s="47"/>
      <c r="BE466" s="47"/>
      <c r="BF466" s="47"/>
    </row>
    <row r="467" spans="1:58" hidden="1">
      <c r="A467" s="46" t="s">
        <v>287</v>
      </c>
      <c r="B467" s="46" t="s">
        <v>261</v>
      </c>
      <c r="C467" s="47">
        <v>6360</v>
      </c>
      <c r="D467" s="47">
        <v>5016</v>
      </c>
      <c r="E467" s="47">
        <v>5076</v>
      </c>
      <c r="F467" s="47">
        <v>4627</v>
      </c>
      <c r="G467" s="47">
        <v>5444</v>
      </c>
      <c r="H467" s="47">
        <v>5370</v>
      </c>
      <c r="I467" s="47">
        <v>5380</v>
      </c>
      <c r="J467" s="47">
        <v>5340</v>
      </c>
      <c r="K467" s="47">
        <v>5245</v>
      </c>
      <c r="L467" s="47">
        <v>5615</v>
      </c>
      <c r="M467" s="47">
        <v>4820</v>
      </c>
      <c r="N467" s="47">
        <v>5125</v>
      </c>
      <c r="O467" s="47">
        <v>5110</v>
      </c>
      <c r="P467" s="47">
        <v>5020</v>
      </c>
      <c r="Q467" s="85">
        <v>37.74</v>
      </c>
      <c r="R467" s="85">
        <v>31.55</v>
      </c>
      <c r="S467" s="85">
        <v>38.979999999999997</v>
      </c>
      <c r="T467" s="85">
        <v>36.56</v>
      </c>
      <c r="U467" s="85">
        <v>34.82</v>
      </c>
      <c r="V467" s="85">
        <v>32.82</v>
      </c>
      <c r="W467" s="85">
        <v>34.49</v>
      </c>
      <c r="X467" s="85">
        <v>32.17</v>
      </c>
      <c r="Y467" s="85">
        <v>30.8</v>
      </c>
      <c r="Z467" s="85">
        <v>33.18</v>
      </c>
      <c r="AA467" s="85">
        <v>30.99</v>
      </c>
      <c r="AB467" s="85">
        <v>32.15</v>
      </c>
      <c r="AC467" s="85">
        <v>27.63</v>
      </c>
      <c r="AD467" s="85">
        <v>30.27</v>
      </c>
      <c r="AE467" s="47">
        <v>240023</v>
      </c>
      <c r="AF467" s="47">
        <v>158256</v>
      </c>
      <c r="AG467" s="47">
        <v>197851</v>
      </c>
      <c r="AH467" s="47">
        <v>169148</v>
      </c>
      <c r="AI467" s="47">
        <v>189561</v>
      </c>
      <c r="AJ467" s="47">
        <v>176265</v>
      </c>
      <c r="AK467" s="47">
        <v>185570</v>
      </c>
      <c r="AL467" s="47">
        <v>171810</v>
      </c>
      <c r="AM467" s="47">
        <v>161520</v>
      </c>
      <c r="AN467" s="47">
        <v>186305</v>
      </c>
      <c r="AO467" s="47">
        <v>149395</v>
      </c>
      <c r="AP467" s="47">
        <v>164770</v>
      </c>
      <c r="AQ467" s="47">
        <v>141190</v>
      </c>
      <c r="AR467" s="47">
        <v>151975</v>
      </c>
      <c r="AS467" s="47"/>
      <c r="AT467" s="47"/>
      <c r="AU467" s="47"/>
      <c r="AV467" s="47"/>
      <c r="AW467" s="47"/>
      <c r="AX467" s="47"/>
      <c r="AY467" s="47"/>
      <c r="AZ467" s="47"/>
      <c r="BA467" s="47"/>
      <c r="BB467" s="47"/>
      <c r="BC467" s="47"/>
      <c r="BD467" s="47"/>
      <c r="BE467" s="47"/>
      <c r="BF467" s="47"/>
    </row>
    <row r="468" spans="1:58" hidden="1">
      <c r="A468" s="46" t="s">
        <v>287</v>
      </c>
      <c r="B468" s="46" t="s">
        <v>262</v>
      </c>
      <c r="C468" s="47">
        <v>2841</v>
      </c>
      <c r="D468" s="47">
        <v>3589</v>
      </c>
      <c r="E468" s="47">
        <v>3856</v>
      </c>
      <c r="F468" s="47">
        <v>3317</v>
      </c>
      <c r="G468" s="47">
        <v>3475</v>
      </c>
      <c r="H468" s="47">
        <v>4110</v>
      </c>
      <c r="I468" s="47">
        <v>4100</v>
      </c>
      <c r="J468" s="47">
        <v>3490</v>
      </c>
      <c r="K468" s="47">
        <v>3885</v>
      </c>
      <c r="L468" s="47">
        <v>4355</v>
      </c>
      <c r="M468" s="47">
        <v>5535</v>
      </c>
      <c r="N468" s="47">
        <v>4585</v>
      </c>
      <c r="O468" s="47">
        <v>4500</v>
      </c>
      <c r="P468" s="47">
        <v>3435</v>
      </c>
      <c r="Q468" s="85">
        <v>37.200000000000003</v>
      </c>
      <c r="R468" s="85">
        <v>20.57</v>
      </c>
      <c r="S468" s="85">
        <v>28.65</v>
      </c>
      <c r="T468" s="85">
        <v>31.05</v>
      </c>
      <c r="U468" s="85">
        <v>30.36</v>
      </c>
      <c r="V468" s="85">
        <v>26.39</v>
      </c>
      <c r="W468" s="85">
        <v>30</v>
      </c>
      <c r="X468" s="85">
        <v>30.57</v>
      </c>
      <c r="Y468" s="85">
        <v>32.369999999999997</v>
      </c>
      <c r="Z468" s="85">
        <v>31.21</v>
      </c>
      <c r="AA468" s="85">
        <v>30.94</v>
      </c>
      <c r="AB468" s="85">
        <v>29.82</v>
      </c>
      <c r="AC468" s="85">
        <v>20.64</v>
      </c>
      <c r="AD468" s="85">
        <v>30.79</v>
      </c>
      <c r="AE468" s="47">
        <v>105687</v>
      </c>
      <c r="AF468" s="47">
        <v>73843</v>
      </c>
      <c r="AG468" s="47">
        <v>110465</v>
      </c>
      <c r="AH468" s="47">
        <v>103001</v>
      </c>
      <c r="AI468" s="47">
        <v>105505</v>
      </c>
      <c r="AJ468" s="47">
        <v>108468</v>
      </c>
      <c r="AK468" s="47">
        <v>122980</v>
      </c>
      <c r="AL468" s="47">
        <v>106690</v>
      </c>
      <c r="AM468" s="47">
        <v>125765</v>
      </c>
      <c r="AN468" s="47">
        <v>135925</v>
      </c>
      <c r="AO468" s="47">
        <v>171240</v>
      </c>
      <c r="AP468" s="47">
        <v>136720</v>
      </c>
      <c r="AQ468" s="47">
        <v>92900</v>
      </c>
      <c r="AR468" s="47">
        <v>105775</v>
      </c>
      <c r="AS468" s="47"/>
      <c r="AT468" s="47"/>
      <c r="AU468" s="47"/>
      <c r="AV468" s="47"/>
      <c r="AW468" s="47"/>
      <c r="AX468" s="47"/>
      <c r="AY468" s="47"/>
      <c r="AZ468" s="47"/>
      <c r="BA468" s="47"/>
      <c r="BB468" s="47"/>
      <c r="BC468" s="47"/>
      <c r="BD468" s="47"/>
      <c r="BE468" s="47"/>
      <c r="BF468" s="47"/>
    </row>
    <row r="469" spans="1:58" hidden="1">
      <c r="A469" s="46" t="s">
        <v>287</v>
      </c>
      <c r="B469" s="46" t="s">
        <v>263</v>
      </c>
      <c r="C469" s="47">
        <v>9201</v>
      </c>
      <c r="D469" s="47">
        <v>8605</v>
      </c>
      <c r="E469" s="47">
        <v>8932</v>
      </c>
      <c r="F469" s="47">
        <v>7944</v>
      </c>
      <c r="G469" s="47">
        <v>8919</v>
      </c>
      <c r="H469" s="47">
        <v>9480</v>
      </c>
      <c r="I469" s="47">
        <v>9480</v>
      </c>
      <c r="J469" s="47">
        <v>8830</v>
      </c>
      <c r="K469" s="47">
        <v>9130</v>
      </c>
      <c r="L469" s="47">
        <v>9970</v>
      </c>
      <c r="M469" s="47">
        <v>10355</v>
      </c>
      <c r="N469" s="47">
        <v>9710</v>
      </c>
      <c r="O469" s="47">
        <v>9610</v>
      </c>
      <c r="P469" s="47">
        <v>8455</v>
      </c>
      <c r="Q469" s="85">
        <v>37.57</v>
      </c>
      <c r="R469" s="85">
        <v>26.97</v>
      </c>
      <c r="S469" s="85">
        <v>34.520000000000003</v>
      </c>
      <c r="T469" s="85">
        <v>34.26</v>
      </c>
      <c r="U469" s="85">
        <v>33.08</v>
      </c>
      <c r="V469" s="85">
        <v>30.04</v>
      </c>
      <c r="W469" s="85">
        <v>32.549999999999997</v>
      </c>
      <c r="X469" s="85">
        <v>31.54</v>
      </c>
      <c r="Y469" s="85">
        <v>31.47</v>
      </c>
      <c r="Z469" s="85">
        <v>32.32</v>
      </c>
      <c r="AA469" s="85">
        <v>30.96</v>
      </c>
      <c r="AB469" s="85">
        <v>31.05</v>
      </c>
      <c r="AC469" s="85">
        <v>24.36</v>
      </c>
      <c r="AD469" s="85">
        <v>30.48</v>
      </c>
      <c r="AE469" s="47">
        <v>345710</v>
      </c>
      <c r="AF469" s="47">
        <v>232099</v>
      </c>
      <c r="AG469" s="47">
        <v>308316</v>
      </c>
      <c r="AH469" s="47">
        <v>272149</v>
      </c>
      <c r="AI469" s="47">
        <v>295066</v>
      </c>
      <c r="AJ469" s="47">
        <v>284733</v>
      </c>
      <c r="AK469" s="47">
        <v>308550</v>
      </c>
      <c r="AL469" s="47">
        <v>278500</v>
      </c>
      <c r="AM469" s="47">
        <v>287285</v>
      </c>
      <c r="AN469" s="47">
        <v>322230</v>
      </c>
      <c r="AO469" s="47">
        <v>320635</v>
      </c>
      <c r="AP469" s="47">
        <v>301490</v>
      </c>
      <c r="AQ469" s="47">
        <v>234090</v>
      </c>
      <c r="AR469" s="47">
        <v>257750</v>
      </c>
      <c r="AS469" s="47"/>
      <c r="AT469" s="47"/>
      <c r="AU469" s="47"/>
      <c r="AV469" s="47"/>
      <c r="AW469" s="47"/>
      <c r="AX469" s="47"/>
      <c r="AY469" s="47"/>
      <c r="AZ469" s="47"/>
      <c r="BA469" s="47"/>
      <c r="BB469" s="47"/>
      <c r="BC469" s="47"/>
      <c r="BD469" s="47"/>
      <c r="BE469" s="47"/>
      <c r="BF469" s="47"/>
    </row>
    <row r="470" spans="1:58" hidden="1">
      <c r="A470" s="46" t="s">
        <v>287</v>
      </c>
      <c r="B470" s="46" t="s">
        <v>264</v>
      </c>
      <c r="C470" s="47">
        <v>112013</v>
      </c>
      <c r="D470" s="47">
        <v>111005</v>
      </c>
      <c r="E470" s="47">
        <v>110794</v>
      </c>
      <c r="F470" s="47">
        <v>111357</v>
      </c>
      <c r="G470" s="47">
        <v>108659</v>
      </c>
      <c r="H470" s="47">
        <v>98720</v>
      </c>
      <c r="I470" s="47">
        <v>89464</v>
      </c>
      <c r="J470" s="47">
        <v>85971</v>
      </c>
      <c r="K470" s="47">
        <v>82231</v>
      </c>
      <c r="L470" s="47">
        <v>88678</v>
      </c>
      <c r="M470" s="47">
        <v>86208</v>
      </c>
      <c r="N470" s="47">
        <v>75378</v>
      </c>
      <c r="O470" s="47">
        <v>71480</v>
      </c>
      <c r="P470" s="47">
        <v>60190</v>
      </c>
      <c r="Q470" s="85">
        <v>100.27</v>
      </c>
      <c r="R470" s="85">
        <v>108.44</v>
      </c>
      <c r="S470" s="85">
        <v>109.4</v>
      </c>
      <c r="T470" s="85">
        <v>91.6</v>
      </c>
      <c r="U470" s="85">
        <v>110.58</v>
      </c>
      <c r="V470" s="85">
        <v>102.21</v>
      </c>
      <c r="W470" s="85">
        <v>105.1</v>
      </c>
      <c r="X470" s="85">
        <v>110.39</v>
      </c>
      <c r="Y470" s="85">
        <v>97.89</v>
      </c>
      <c r="Z470" s="85">
        <v>104.79</v>
      </c>
      <c r="AA470" s="85">
        <v>93.91</v>
      </c>
      <c r="AB470" s="85">
        <v>116.56</v>
      </c>
      <c r="AC470" s="85">
        <v>93.75</v>
      </c>
      <c r="AD470" s="85">
        <v>114.69</v>
      </c>
      <c r="AE470" s="47">
        <v>11232043</v>
      </c>
      <c r="AF470" s="47">
        <v>12037447</v>
      </c>
      <c r="AG470" s="47">
        <v>12121140</v>
      </c>
      <c r="AH470" s="47">
        <v>10199933</v>
      </c>
      <c r="AI470" s="47">
        <v>12015303</v>
      </c>
      <c r="AJ470" s="47">
        <v>10090362</v>
      </c>
      <c r="AK470" s="47">
        <v>9402311</v>
      </c>
      <c r="AL470" s="47">
        <v>9490596</v>
      </c>
      <c r="AM470" s="47">
        <v>8049341</v>
      </c>
      <c r="AN470" s="47">
        <v>9292380</v>
      </c>
      <c r="AO470" s="47">
        <v>8095998</v>
      </c>
      <c r="AP470" s="47">
        <v>8786055</v>
      </c>
      <c r="AQ470" s="47">
        <v>6701063</v>
      </c>
      <c r="AR470" s="47">
        <v>6903150</v>
      </c>
      <c r="AS470" s="47"/>
      <c r="AT470" s="47"/>
      <c r="AU470" s="47"/>
      <c r="AV470" s="47"/>
      <c r="AW470" s="47"/>
      <c r="AX470" s="47"/>
      <c r="AY470" s="47"/>
      <c r="AZ470" s="47"/>
      <c r="BA470" s="47"/>
      <c r="BB470" s="47"/>
      <c r="BC470" s="47"/>
      <c r="BD470" s="47"/>
      <c r="BE470" s="47"/>
      <c r="BF470" s="47"/>
    </row>
    <row r="471" spans="1:58" hidden="1">
      <c r="A471" s="46" t="s">
        <v>287</v>
      </c>
      <c r="B471" s="46" t="s">
        <v>265</v>
      </c>
      <c r="C471" s="47">
        <v>36181</v>
      </c>
      <c r="D471" s="47">
        <v>37084</v>
      </c>
      <c r="E471" s="47">
        <v>40879</v>
      </c>
      <c r="F471" s="47">
        <v>43406</v>
      </c>
      <c r="G471" s="47">
        <v>46501</v>
      </c>
      <c r="H471" s="47">
        <v>43366</v>
      </c>
      <c r="I471" s="47">
        <v>42341</v>
      </c>
      <c r="J471" s="47">
        <v>43239</v>
      </c>
      <c r="K471" s="47">
        <v>43969</v>
      </c>
      <c r="L471" s="47">
        <v>50187</v>
      </c>
      <c r="M471" s="47">
        <v>55277</v>
      </c>
      <c r="N471" s="47">
        <v>50627</v>
      </c>
      <c r="O471" s="47">
        <v>48184</v>
      </c>
      <c r="P471" s="47">
        <v>40830</v>
      </c>
      <c r="Q471" s="85">
        <v>70.97</v>
      </c>
      <c r="R471" s="85">
        <v>88.48</v>
      </c>
      <c r="S471" s="85">
        <v>70.36</v>
      </c>
      <c r="T471" s="85">
        <v>59.9</v>
      </c>
      <c r="U471" s="85">
        <v>93.76</v>
      </c>
      <c r="V471" s="85">
        <v>61.34</v>
      </c>
      <c r="W471" s="85">
        <v>65.739999999999995</v>
      </c>
      <c r="X471" s="85">
        <v>87.83</v>
      </c>
      <c r="Y471" s="85">
        <v>71.81</v>
      </c>
      <c r="Z471" s="85">
        <v>69.650000000000006</v>
      </c>
      <c r="AA471" s="85">
        <v>65.430000000000007</v>
      </c>
      <c r="AB471" s="85">
        <v>89.79</v>
      </c>
      <c r="AC471" s="85">
        <v>39.229999999999997</v>
      </c>
      <c r="AD471" s="85">
        <v>92.84</v>
      </c>
      <c r="AE471" s="47">
        <v>2567921</v>
      </c>
      <c r="AF471" s="47">
        <v>3281135</v>
      </c>
      <c r="AG471" s="47">
        <v>2876104</v>
      </c>
      <c r="AH471" s="47">
        <v>2599884</v>
      </c>
      <c r="AI471" s="47">
        <v>4359937</v>
      </c>
      <c r="AJ471" s="47">
        <v>2660180</v>
      </c>
      <c r="AK471" s="47">
        <v>2783622</v>
      </c>
      <c r="AL471" s="47">
        <v>3797688</v>
      </c>
      <c r="AM471" s="47">
        <v>3157483</v>
      </c>
      <c r="AN471" s="47">
        <v>3495353</v>
      </c>
      <c r="AO471" s="47">
        <v>3616979</v>
      </c>
      <c r="AP471" s="47">
        <v>4545759</v>
      </c>
      <c r="AQ471" s="47">
        <v>1890329</v>
      </c>
      <c r="AR471" s="47">
        <v>3790760</v>
      </c>
      <c r="AS471" s="47"/>
      <c r="AT471" s="47"/>
      <c r="AU471" s="47"/>
      <c r="AV471" s="47"/>
      <c r="AW471" s="47"/>
      <c r="AX471" s="47"/>
      <c r="AY471" s="47"/>
      <c r="AZ471" s="47"/>
      <c r="BA471" s="47"/>
      <c r="BB471" s="47"/>
      <c r="BC471" s="47"/>
      <c r="BD471" s="47"/>
      <c r="BE471" s="47"/>
      <c r="BF471" s="47"/>
    </row>
    <row r="472" spans="1:58" hidden="1">
      <c r="A472" s="46" t="s">
        <v>287</v>
      </c>
      <c r="B472" s="46" t="s">
        <v>266</v>
      </c>
      <c r="C472" s="47">
        <v>16614</v>
      </c>
      <c r="D472" s="47">
        <v>17255</v>
      </c>
      <c r="E472" s="47">
        <v>20655</v>
      </c>
      <c r="F472" s="47">
        <v>23569</v>
      </c>
      <c r="G472" s="47">
        <v>26734</v>
      </c>
      <c r="H472" s="47">
        <v>21952</v>
      </c>
      <c r="I472" s="47">
        <v>18508</v>
      </c>
      <c r="J472" s="47">
        <v>16392</v>
      </c>
      <c r="K472" s="47">
        <v>16457</v>
      </c>
      <c r="L472" s="47">
        <v>19492</v>
      </c>
      <c r="M472" s="47">
        <v>23796</v>
      </c>
      <c r="N472" s="47">
        <v>25705</v>
      </c>
      <c r="O472" s="47">
        <v>26035</v>
      </c>
      <c r="P472" s="47">
        <v>22635</v>
      </c>
      <c r="Q472" s="85">
        <v>36.18</v>
      </c>
      <c r="R472" s="85">
        <v>36.020000000000003</v>
      </c>
      <c r="S472" s="85">
        <v>35.71</v>
      </c>
      <c r="T472" s="85">
        <v>33.119999999999997</v>
      </c>
      <c r="U472" s="85">
        <v>34.67</v>
      </c>
      <c r="V472" s="85">
        <v>31.98</v>
      </c>
      <c r="W472" s="85">
        <v>35.26</v>
      </c>
      <c r="X472" s="85">
        <v>35.770000000000003</v>
      </c>
      <c r="Y472" s="85">
        <v>33.090000000000003</v>
      </c>
      <c r="Z472" s="85">
        <v>33.89</v>
      </c>
      <c r="AA472" s="85">
        <v>31.39</v>
      </c>
      <c r="AB472" s="85">
        <v>35.380000000000003</v>
      </c>
      <c r="AC472" s="85">
        <v>26.97</v>
      </c>
      <c r="AD472" s="85">
        <v>33.47</v>
      </c>
      <c r="AE472" s="47">
        <v>601058</v>
      </c>
      <c r="AF472" s="47">
        <v>621488</v>
      </c>
      <c r="AG472" s="47">
        <v>737491</v>
      </c>
      <c r="AH472" s="47">
        <v>780698</v>
      </c>
      <c r="AI472" s="47">
        <v>926792</v>
      </c>
      <c r="AJ472" s="47">
        <v>701933</v>
      </c>
      <c r="AK472" s="47">
        <v>652662</v>
      </c>
      <c r="AL472" s="47">
        <v>586400</v>
      </c>
      <c r="AM472" s="47">
        <v>544510</v>
      </c>
      <c r="AN472" s="47">
        <v>660614</v>
      </c>
      <c r="AO472" s="47">
        <v>747054</v>
      </c>
      <c r="AP472" s="47">
        <v>909435</v>
      </c>
      <c r="AQ472" s="47">
        <v>702240</v>
      </c>
      <c r="AR472" s="47">
        <v>757500</v>
      </c>
      <c r="AS472" s="47"/>
      <c r="AT472" s="47"/>
      <c r="AU472" s="47"/>
      <c r="AV472" s="47"/>
      <c r="AW472" s="47"/>
      <c r="AX472" s="47"/>
      <c r="AY472" s="47"/>
      <c r="AZ472" s="47"/>
      <c r="BA472" s="47"/>
      <c r="BB472" s="47"/>
      <c r="BC472" s="47"/>
      <c r="BD472" s="47"/>
      <c r="BE472" s="47"/>
      <c r="BF472" s="47"/>
    </row>
    <row r="473" spans="1:58" hidden="1">
      <c r="A473" s="46" t="s">
        <v>287</v>
      </c>
      <c r="B473" s="46" t="s">
        <v>267</v>
      </c>
      <c r="C473" s="47">
        <v>164808</v>
      </c>
      <c r="D473" s="47">
        <v>165344</v>
      </c>
      <c r="E473" s="47">
        <v>172328</v>
      </c>
      <c r="F473" s="47">
        <v>178332</v>
      </c>
      <c r="G473" s="47">
        <v>181894</v>
      </c>
      <c r="H473" s="47">
        <v>164038</v>
      </c>
      <c r="I473" s="47">
        <v>150313</v>
      </c>
      <c r="J473" s="47">
        <v>145602</v>
      </c>
      <c r="K473" s="47">
        <v>142657</v>
      </c>
      <c r="L473" s="47">
        <v>158357</v>
      </c>
      <c r="M473" s="47">
        <v>165281</v>
      </c>
      <c r="N473" s="47">
        <v>151710</v>
      </c>
      <c r="O473" s="47">
        <v>145699</v>
      </c>
      <c r="P473" s="47">
        <v>123655</v>
      </c>
      <c r="Q473" s="85">
        <v>87.38</v>
      </c>
      <c r="R473" s="85">
        <v>96.41</v>
      </c>
      <c r="S473" s="85">
        <v>91.31</v>
      </c>
      <c r="T473" s="85">
        <v>76.150000000000006</v>
      </c>
      <c r="U473" s="85">
        <v>95.12</v>
      </c>
      <c r="V473" s="85">
        <v>82.01</v>
      </c>
      <c r="W473" s="85">
        <v>85.41</v>
      </c>
      <c r="X473" s="85">
        <v>95.29</v>
      </c>
      <c r="Y473" s="85">
        <v>82.37</v>
      </c>
      <c r="Z473" s="85">
        <v>84.92</v>
      </c>
      <c r="AA473" s="85">
        <v>75.39</v>
      </c>
      <c r="AB473" s="85">
        <v>93.87</v>
      </c>
      <c r="AC473" s="85">
        <v>63.79</v>
      </c>
      <c r="AD473" s="85">
        <v>92.61</v>
      </c>
      <c r="AE473" s="47">
        <v>14401022</v>
      </c>
      <c r="AF473" s="47">
        <v>15940070</v>
      </c>
      <c r="AG473" s="47">
        <v>15734735</v>
      </c>
      <c r="AH473" s="47">
        <v>13580515</v>
      </c>
      <c r="AI473" s="47">
        <v>17302032</v>
      </c>
      <c r="AJ473" s="47">
        <v>13452475</v>
      </c>
      <c r="AK473" s="47">
        <v>12838595</v>
      </c>
      <c r="AL473" s="47">
        <v>13874684</v>
      </c>
      <c r="AM473" s="47">
        <v>11751334</v>
      </c>
      <c r="AN473" s="47">
        <v>13448347</v>
      </c>
      <c r="AO473" s="47">
        <v>12460031</v>
      </c>
      <c r="AP473" s="47">
        <v>14241249</v>
      </c>
      <c r="AQ473" s="47">
        <v>9293632</v>
      </c>
      <c r="AR473" s="47">
        <v>11451410</v>
      </c>
      <c r="AS473" s="47"/>
      <c r="AT473" s="47"/>
      <c r="AU473" s="47"/>
      <c r="AV473" s="47"/>
      <c r="AW473" s="47"/>
      <c r="AX473" s="47"/>
      <c r="AY473" s="47"/>
      <c r="AZ473" s="47"/>
      <c r="BA473" s="47"/>
      <c r="BB473" s="47"/>
      <c r="BC473" s="47"/>
      <c r="BD473" s="47"/>
      <c r="BE473" s="47"/>
      <c r="BF473" s="47"/>
    </row>
    <row r="474" spans="1:58" hidden="1">
      <c r="A474" s="46" t="s">
        <v>287</v>
      </c>
      <c r="B474" s="46" t="s">
        <v>268</v>
      </c>
      <c r="C474" s="47">
        <v>19600</v>
      </c>
      <c r="D474" s="47">
        <v>14653</v>
      </c>
      <c r="E474" s="47">
        <v>15238</v>
      </c>
      <c r="F474" s="47">
        <v>18933</v>
      </c>
      <c r="G474" s="47">
        <v>28066</v>
      </c>
      <c r="H474" s="47">
        <v>22365</v>
      </c>
      <c r="I474" s="47">
        <v>18225</v>
      </c>
      <c r="J474" s="47">
        <v>17430</v>
      </c>
      <c r="K474" s="47">
        <v>18908</v>
      </c>
      <c r="L474" s="47">
        <v>21726</v>
      </c>
      <c r="M474" s="47">
        <v>30586</v>
      </c>
      <c r="N474" s="47">
        <v>20841</v>
      </c>
      <c r="O474" s="47">
        <v>16860</v>
      </c>
      <c r="P474" s="47">
        <v>21485</v>
      </c>
      <c r="Q474" s="85">
        <v>55.71</v>
      </c>
      <c r="R474" s="85">
        <v>68.75</v>
      </c>
      <c r="S474" s="85">
        <v>53.58</v>
      </c>
      <c r="T474" s="85">
        <v>51.78</v>
      </c>
      <c r="U474" s="85">
        <v>63.81</v>
      </c>
      <c r="V474" s="85">
        <v>52.67</v>
      </c>
      <c r="W474" s="85">
        <v>61</v>
      </c>
      <c r="X474" s="85">
        <v>55.69</v>
      </c>
      <c r="Y474" s="85">
        <v>50.66</v>
      </c>
      <c r="Z474" s="85">
        <v>47.09</v>
      </c>
      <c r="AA474" s="85">
        <v>46.35</v>
      </c>
      <c r="AB474" s="85">
        <v>58.89</v>
      </c>
      <c r="AC474" s="85">
        <v>38.549999999999997</v>
      </c>
      <c r="AD474" s="85">
        <v>54.71</v>
      </c>
      <c r="AE474" s="47">
        <v>1091890</v>
      </c>
      <c r="AF474" s="47">
        <v>1007369</v>
      </c>
      <c r="AG474" s="47">
        <v>816388</v>
      </c>
      <c r="AH474" s="47">
        <v>980299</v>
      </c>
      <c r="AI474" s="47">
        <v>1790794</v>
      </c>
      <c r="AJ474" s="47">
        <v>1177953</v>
      </c>
      <c r="AK474" s="47">
        <v>1111812</v>
      </c>
      <c r="AL474" s="47">
        <v>970659</v>
      </c>
      <c r="AM474" s="47">
        <v>957910</v>
      </c>
      <c r="AN474" s="47">
        <v>1023118</v>
      </c>
      <c r="AO474" s="47">
        <v>1417544</v>
      </c>
      <c r="AP474" s="47">
        <v>1227402</v>
      </c>
      <c r="AQ474" s="47">
        <v>649987</v>
      </c>
      <c r="AR474" s="47">
        <v>1175422</v>
      </c>
      <c r="AS474" s="47"/>
      <c r="AT474" s="47"/>
      <c r="AU474" s="47"/>
      <c r="AV474" s="47"/>
      <c r="AW474" s="47"/>
      <c r="AX474" s="47"/>
      <c r="AY474" s="47"/>
      <c r="AZ474" s="47"/>
      <c r="BA474" s="47"/>
      <c r="BB474" s="47"/>
      <c r="BC474" s="47"/>
      <c r="BD474" s="47"/>
      <c r="BE474" s="47"/>
      <c r="BF474" s="47"/>
    </row>
    <row r="475" spans="1:58" hidden="1">
      <c r="A475" s="46" t="s">
        <v>287</v>
      </c>
      <c r="B475" s="46" t="s">
        <v>269</v>
      </c>
      <c r="C475" s="47">
        <v>49106</v>
      </c>
      <c r="D475" s="47">
        <v>49187</v>
      </c>
      <c r="E475" s="47">
        <v>51634</v>
      </c>
      <c r="F475" s="47">
        <v>53262</v>
      </c>
      <c r="G475" s="47">
        <v>53511</v>
      </c>
      <c r="H475" s="47">
        <v>48070</v>
      </c>
      <c r="I475" s="47">
        <v>45985</v>
      </c>
      <c r="J475" s="47">
        <v>37540</v>
      </c>
      <c r="K475" s="47">
        <v>30945</v>
      </c>
      <c r="L475" s="47">
        <v>33525</v>
      </c>
      <c r="M475" s="47">
        <v>27085</v>
      </c>
      <c r="N475" s="47">
        <v>32770</v>
      </c>
      <c r="O475" s="47">
        <v>34480</v>
      </c>
      <c r="P475" s="47">
        <v>35780</v>
      </c>
      <c r="Q475" s="85">
        <v>46.51</v>
      </c>
      <c r="R475" s="85">
        <v>41.54</v>
      </c>
      <c r="S475" s="85">
        <v>47.82</v>
      </c>
      <c r="T475" s="85">
        <v>44.4</v>
      </c>
      <c r="U475" s="85">
        <v>41.58</v>
      </c>
      <c r="V475" s="85">
        <v>41.07</v>
      </c>
      <c r="W475" s="85">
        <v>41.61</v>
      </c>
      <c r="X475" s="85">
        <v>43.48</v>
      </c>
      <c r="Y475" s="85">
        <v>37.4</v>
      </c>
      <c r="Z475" s="85">
        <v>44.11</v>
      </c>
      <c r="AA475" s="85">
        <v>40.1</v>
      </c>
      <c r="AB475" s="85">
        <v>41.25</v>
      </c>
      <c r="AC475" s="85">
        <v>31.91</v>
      </c>
      <c r="AD475" s="85">
        <v>43.62</v>
      </c>
      <c r="AE475" s="47">
        <v>2284070</v>
      </c>
      <c r="AF475" s="47">
        <v>2043162</v>
      </c>
      <c r="AG475" s="47">
        <v>2469034</v>
      </c>
      <c r="AH475" s="47">
        <v>2364981</v>
      </c>
      <c r="AI475" s="47">
        <v>2224801</v>
      </c>
      <c r="AJ475" s="47">
        <v>1974305</v>
      </c>
      <c r="AK475" s="47">
        <v>1913655</v>
      </c>
      <c r="AL475" s="47">
        <v>1632230</v>
      </c>
      <c r="AM475" s="47">
        <v>1157245</v>
      </c>
      <c r="AN475" s="47">
        <v>1478650</v>
      </c>
      <c r="AO475" s="47">
        <v>1086160</v>
      </c>
      <c r="AP475" s="47">
        <v>1351687</v>
      </c>
      <c r="AQ475" s="47">
        <v>1100390</v>
      </c>
      <c r="AR475" s="47">
        <v>1560670</v>
      </c>
      <c r="AS475" s="47"/>
      <c r="AT475" s="47"/>
      <c r="AU475" s="47"/>
      <c r="AV475" s="47"/>
      <c r="AW475" s="47"/>
      <c r="AX475" s="47"/>
      <c r="AY475" s="47"/>
      <c r="AZ475" s="47"/>
      <c r="BA475" s="47"/>
      <c r="BB475" s="47"/>
      <c r="BC475" s="47"/>
      <c r="BD475" s="47"/>
      <c r="BE475" s="47"/>
      <c r="BF475" s="47"/>
    </row>
    <row r="476" spans="1:58" hidden="1">
      <c r="A476" s="46" t="s">
        <v>287</v>
      </c>
      <c r="B476" s="46" t="s">
        <v>270</v>
      </c>
      <c r="C476" s="47">
        <v>170</v>
      </c>
      <c r="D476" s="47">
        <v>0</v>
      </c>
      <c r="E476" s="47">
        <v>0</v>
      </c>
      <c r="F476" s="47">
        <v>0</v>
      </c>
      <c r="G476" s="47">
        <v>0</v>
      </c>
      <c r="H476" s="47">
        <v>5970</v>
      </c>
      <c r="I476" s="47">
        <v>7605</v>
      </c>
      <c r="J476" s="47">
        <v>10700</v>
      </c>
      <c r="K476" s="47">
        <v>9235</v>
      </c>
      <c r="L476" s="47">
        <v>6105</v>
      </c>
      <c r="M476" s="47">
        <v>10235</v>
      </c>
      <c r="N476" s="47">
        <v>7615</v>
      </c>
      <c r="O476" s="47">
        <v>7194</v>
      </c>
      <c r="P476" s="47">
        <v>4845</v>
      </c>
      <c r="Q476" s="85"/>
      <c r="R476" s="85"/>
      <c r="S476" s="85"/>
      <c r="T476" s="85"/>
      <c r="U476" s="85"/>
      <c r="V476" s="85"/>
      <c r="W476" s="85"/>
      <c r="X476" s="85"/>
      <c r="Y476" s="85"/>
      <c r="Z476" s="85"/>
      <c r="AA476" s="85"/>
      <c r="AB476" s="85"/>
      <c r="AC476" s="85"/>
      <c r="AD476" s="85"/>
      <c r="AE476" s="47">
        <v>5100</v>
      </c>
      <c r="AF476" s="47">
        <v>0</v>
      </c>
      <c r="AG476" s="47">
        <v>0</v>
      </c>
      <c r="AH476" s="47">
        <v>0</v>
      </c>
      <c r="AI476" s="47">
        <v>0</v>
      </c>
      <c r="AJ476" s="47">
        <v>150440</v>
      </c>
      <c r="AK476" s="47">
        <v>195165</v>
      </c>
      <c r="AL476" s="47">
        <v>215100</v>
      </c>
      <c r="AM476" s="47">
        <v>127450</v>
      </c>
      <c r="AN476" s="47">
        <v>113730</v>
      </c>
      <c r="AO476" s="47">
        <v>133050</v>
      </c>
      <c r="AP476" s="47">
        <v>136080</v>
      </c>
      <c r="AQ476" s="47">
        <v>114625</v>
      </c>
      <c r="AR476" s="47">
        <v>76270</v>
      </c>
      <c r="AS476" s="47"/>
      <c r="AT476" s="47"/>
      <c r="AU476" s="47"/>
      <c r="AV476" s="47"/>
      <c r="AW476" s="47"/>
      <c r="AX476" s="47"/>
      <c r="AY476" s="47"/>
      <c r="AZ476" s="47"/>
      <c r="BA476" s="47"/>
      <c r="BB476" s="47"/>
      <c r="BC476" s="47"/>
      <c r="BD476" s="47"/>
      <c r="BE476" s="47"/>
      <c r="BF476" s="47"/>
    </row>
    <row r="477" spans="1:58" hidden="1">
      <c r="A477" s="46" t="s">
        <v>287</v>
      </c>
      <c r="B477" s="46" t="s">
        <v>271</v>
      </c>
      <c r="C477" s="47">
        <v>11757</v>
      </c>
      <c r="D477" s="47">
        <v>15594</v>
      </c>
      <c r="E477" s="47">
        <v>15075</v>
      </c>
      <c r="F477" s="47">
        <v>16370</v>
      </c>
      <c r="G477" s="47">
        <v>16241</v>
      </c>
      <c r="H477" s="47">
        <v>14945</v>
      </c>
      <c r="I477" s="47">
        <v>19130</v>
      </c>
      <c r="J477" s="47">
        <v>21805</v>
      </c>
      <c r="K477" s="47">
        <v>23915</v>
      </c>
      <c r="L477" s="47">
        <v>27225</v>
      </c>
      <c r="M477" s="47">
        <v>24244</v>
      </c>
      <c r="N477" s="47">
        <v>26374</v>
      </c>
      <c r="O477" s="47">
        <v>25800</v>
      </c>
      <c r="P477" s="47">
        <v>25355</v>
      </c>
      <c r="Q477" s="85"/>
      <c r="R477" s="85"/>
      <c r="S477" s="85"/>
      <c r="T477" s="85"/>
      <c r="U477" s="85"/>
      <c r="V477" s="85"/>
      <c r="W477" s="85"/>
      <c r="X477" s="85"/>
      <c r="Y477" s="85"/>
      <c r="Z477" s="85"/>
      <c r="AA477" s="85"/>
      <c r="AB477" s="85"/>
      <c r="AC477" s="85"/>
      <c r="AD477" s="85"/>
      <c r="AE477" s="47">
        <v>415356</v>
      </c>
      <c r="AF477" s="47">
        <v>497550</v>
      </c>
      <c r="AG477" s="47">
        <v>525357</v>
      </c>
      <c r="AH477" s="47">
        <v>491720</v>
      </c>
      <c r="AI477" s="47">
        <v>485405</v>
      </c>
      <c r="AJ477" s="47">
        <v>429665</v>
      </c>
      <c r="AK477" s="47">
        <v>555128</v>
      </c>
      <c r="AL477" s="47">
        <v>633360</v>
      </c>
      <c r="AM477" s="47">
        <v>490195</v>
      </c>
      <c r="AN477" s="47">
        <v>564610</v>
      </c>
      <c r="AO477" s="47">
        <v>489240</v>
      </c>
      <c r="AP477" s="47">
        <v>644801</v>
      </c>
      <c r="AQ477" s="47">
        <v>539970</v>
      </c>
      <c r="AR477" s="47">
        <v>558535</v>
      </c>
      <c r="AS477" s="47"/>
      <c r="AT477" s="47"/>
      <c r="AU477" s="47"/>
      <c r="AV477" s="47"/>
      <c r="AW477" s="47"/>
      <c r="AX477" s="47"/>
      <c r="AY477" s="47"/>
      <c r="AZ477" s="47"/>
      <c r="BA477" s="47"/>
      <c r="BB477" s="47"/>
      <c r="BC477" s="47"/>
      <c r="BD477" s="47"/>
      <c r="BE477" s="47"/>
      <c r="BF477" s="47"/>
    </row>
    <row r="478" spans="1:58" hidden="1">
      <c r="A478" s="46" t="s">
        <v>287</v>
      </c>
      <c r="B478" s="46" t="s">
        <v>272</v>
      </c>
      <c r="C478" s="47">
        <v>792909</v>
      </c>
      <c r="D478" s="47">
        <v>760331</v>
      </c>
      <c r="E478" s="47">
        <v>794742</v>
      </c>
      <c r="F478" s="47">
        <v>807005</v>
      </c>
      <c r="G478" s="47">
        <v>810636</v>
      </c>
      <c r="H478" s="47">
        <v>804543</v>
      </c>
      <c r="I478" s="47">
        <v>795553</v>
      </c>
      <c r="J478" s="47">
        <v>758642</v>
      </c>
      <c r="K478" s="47">
        <v>745235</v>
      </c>
      <c r="L478" s="47">
        <v>743058</v>
      </c>
      <c r="M478" s="47">
        <v>688291</v>
      </c>
      <c r="N478" s="47">
        <v>726720</v>
      </c>
      <c r="O478" s="47">
        <v>679638</v>
      </c>
      <c r="P478" s="47">
        <v>692019</v>
      </c>
      <c r="Q478" s="85">
        <v>59.09</v>
      </c>
      <c r="R478" s="85">
        <v>54.6</v>
      </c>
      <c r="S478" s="85">
        <v>62.5</v>
      </c>
      <c r="T478" s="85">
        <v>55.12</v>
      </c>
      <c r="U478" s="85">
        <v>59.07</v>
      </c>
      <c r="V478" s="85">
        <v>56.21</v>
      </c>
      <c r="W478" s="85">
        <v>57.7</v>
      </c>
      <c r="X478" s="85">
        <v>59.79</v>
      </c>
      <c r="Y478" s="85">
        <v>49.17</v>
      </c>
      <c r="Z478" s="85">
        <v>61.37</v>
      </c>
      <c r="AA478" s="85">
        <v>48.98</v>
      </c>
      <c r="AB478" s="85">
        <v>55.67</v>
      </c>
      <c r="AC478" s="85">
        <v>44.73</v>
      </c>
      <c r="AD478" s="85">
        <v>55.96</v>
      </c>
      <c r="AE478" s="47">
        <v>46852540</v>
      </c>
      <c r="AF478" s="47">
        <v>41517631</v>
      </c>
      <c r="AG478" s="47">
        <v>49671909</v>
      </c>
      <c r="AH478" s="47">
        <v>44485035</v>
      </c>
      <c r="AI478" s="47">
        <v>47883862</v>
      </c>
      <c r="AJ478" s="47">
        <v>45223291</v>
      </c>
      <c r="AK478" s="47">
        <v>45904920</v>
      </c>
      <c r="AL478" s="47">
        <v>45357308</v>
      </c>
      <c r="AM478" s="47">
        <v>36641874</v>
      </c>
      <c r="AN478" s="47">
        <v>45601730</v>
      </c>
      <c r="AO478" s="47">
        <v>33714965</v>
      </c>
      <c r="AP478" s="47">
        <v>40453386</v>
      </c>
      <c r="AQ478" s="47">
        <v>30399724</v>
      </c>
      <c r="AR478" s="47">
        <v>38723673</v>
      </c>
      <c r="AS478" s="47"/>
      <c r="AT478" s="47"/>
      <c r="AU478" s="47"/>
      <c r="AV478" s="47"/>
      <c r="AW478" s="47"/>
      <c r="AX478" s="47"/>
      <c r="AY478" s="47"/>
      <c r="AZ478" s="47"/>
      <c r="BA478" s="47"/>
      <c r="BB478" s="47"/>
      <c r="BC478" s="47"/>
      <c r="BD478" s="47"/>
      <c r="BE478" s="47"/>
      <c r="BF478" s="47"/>
    </row>
    <row r="479" spans="1:58" hidden="1">
      <c r="A479" s="46" t="s">
        <v>287</v>
      </c>
      <c r="B479" s="46" t="s">
        <v>273</v>
      </c>
      <c r="C479" s="47">
        <v>600</v>
      </c>
      <c r="D479" s="47">
        <v>600</v>
      </c>
      <c r="E479" s="47">
        <v>525</v>
      </c>
      <c r="F479" s="47">
        <v>530</v>
      </c>
      <c r="G479" s="47">
        <v>365</v>
      </c>
      <c r="H479" s="47">
        <v>310</v>
      </c>
      <c r="I479" s="47">
        <v>335</v>
      </c>
      <c r="J479" s="47">
        <v>360</v>
      </c>
      <c r="K479" s="47">
        <v>300</v>
      </c>
      <c r="L479" s="47">
        <v>270</v>
      </c>
      <c r="M479" s="47">
        <v>250</v>
      </c>
      <c r="N479" s="47">
        <v>230</v>
      </c>
      <c r="O479" s="47">
        <v>205</v>
      </c>
      <c r="P479" s="47">
        <v>210</v>
      </c>
      <c r="Q479" s="85">
        <v>43.52</v>
      </c>
      <c r="R479" s="85">
        <v>51.9</v>
      </c>
      <c r="S479" s="85">
        <v>54.95</v>
      </c>
      <c r="T479" s="85">
        <v>42.3</v>
      </c>
      <c r="U479" s="85">
        <v>55</v>
      </c>
      <c r="V479" s="85">
        <v>55</v>
      </c>
      <c r="W479" s="85">
        <v>53.3</v>
      </c>
      <c r="X479" s="85">
        <v>57.75</v>
      </c>
      <c r="Y479" s="85">
        <v>54.17</v>
      </c>
      <c r="Z479" s="85">
        <v>55</v>
      </c>
      <c r="AA479" s="85">
        <v>58.64</v>
      </c>
      <c r="AB479" s="85">
        <v>65.650000000000006</v>
      </c>
      <c r="AC479" s="85">
        <v>58.71</v>
      </c>
      <c r="AD479" s="85">
        <v>56.9</v>
      </c>
      <c r="AE479" s="47">
        <v>26110</v>
      </c>
      <c r="AF479" s="47">
        <v>31140</v>
      </c>
      <c r="AG479" s="47">
        <v>28850</v>
      </c>
      <c r="AH479" s="47">
        <v>22420</v>
      </c>
      <c r="AI479" s="47">
        <v>20075</v>
      </c>
      <c r="AJ479" s="47">
        <v>17050</v>
      </c>
      <c r="AK479" s="47">
        <v>17855</v>
      </c>
      <c r="AL479" s="47">
        <v>20790</v>
      </c>
      <c r="AM479" s="47">
        <v>16250</v>
      </c>
      <c r="AN479" s="47">
        <v>14850</v>
      </c>
      <c r="AO479" s="47">
        <v>14660</v>
      </c>
      <c r="AP479" s="47">
        <v>15100</v>
      </c>
      <c r="AQ479" s="47">
        <v>12035</v>
      </c>
      <c r="AR479" s="47">
        <v>11950</v>
      </c>
      <c r="AS479" s="47"/>
      <c r="AT479" s="47"/>
      <c r="AU479" s="47"/>
      <c r="AV479" s="47"/>
      <c r="AW479" s="47"/>
      <c r="AX479" s="47"/>
      <c r="AY479" s="47"/>
      <c r="AZ479" s="47"/>
      <c r="BA479" s="47"/>
      <c r="BB479" s="47"/>
      <c r="BC479" s="47"/>
      <c r="BD479" s="47"/>
      <c r="BE479" s="47"/>
      <c r="BF479" s="47"/>
    </row>
    <row r="480" spans="1:58" hidden="1">
      <c r="A480" s="46" t="s">
        <v>287</v>
      </c>
      <c r="B480" s="46" t="s">
        <v>274</v>
      </c>
      <c r="C480" s="47">
        <v>5301</v>
      </c>
      <c r="D480" s="47">
        <v>5310</v>
      </c>
      <c r="E480" s="47">
        <v>4705</v>
      </c>
      <c r="F480" s="47">
        <v>4725</v>
      </c>
      <c r="G480" s="47">
        <v>3160</v>
      </c>
      <c r="H480" s="47">
        <v>2750</v>
      </c>
      <c r="I480" s="47">
        <v>2940</v>
      </c>
      <c r="J480" s="47">
        <v>3135</v>
      </c>
      <c r="K480" s="47">
        <v>2710</v>
      </c>
      <c r="L480" s="47">
        <v>2550</v>
      </c>
      <c r="M480" s="47">
        <v>2250</v>
      </c>
      <c r="N480" s="47">
        <v>2065</v>
      </c>
      <c r="O480" s="47">
        <v>1930</v>
      </c>
      <c r="P480" s="47">
        <v>1825</v>
      </c>
      <c r="Q480" s="85">
        <v>54.17</v>
      </c>
      <c r="R480" s="85">
        <v>58.88</v>
      </c>
      <c r="S480" s="85">
        <v>59.04</v>
      </c>
      <c r="T480" s="85">
        <v>42.24</v>
      </c>
      <c r="U480" s="85">
        <v>55</v>
      </c>
      <c r="V480" s="85">
        <v>55</v>
      </c>
      <c r="W480" s="85">
        <v>53.2</v>
      </c>
      <c r="X480" s="85">
        <v>57.86</v>
      </c>
      <c r="Y480" s="85">
        <v>53.99</v>
      </c>
      <c r="Z480" s="85">
        <v>55</v>
      </c>
      <c r="AA480" s="85">
        <v>58.49</v>
      </c>
      <c r="AB480" s="85">
        <v>67.69</v>
      </c>
      <c r="AC480" s="85">
        <v>58.54</v>
      </c>
      <c r="AD480" s="85">
        <v>56.95</v>
      </c>
      <c r="AE480" s="47">
        <v>287154</v>
      </c>
      <c r="AF480" s="47">
        <v>312670</v>
      </c>
      <c r="AG480" s="47">
        <v>277760</v>
      </c>
      <c r="AH480" s="47">
        <v>199570</v>
      </c>
      <c r="AI480" s="47">
        <v>173800</v>
      </c>
      <c r="AJ480" s="47">
        <v>151250</v>
      </c>
      <c r="AK480" s="47">
        <v>156420</v>
      </c>
      <c r="AL480" s="47">
        <v>181395</v>
      </c>
      <c r="AM480" s="47">
        <v>146300</v>
      </c>
      <c r="AN480" s="47">
        <v>140250</v>
      </c>
      <c r="AO480" s="47">
        <v>131610</v>
      </c>
      <c r="AP480" s="47">
        <v>139790</v>
      </c>
      <c r="AQ480" s="47">
        <v>112990</v>
      </c>
      <c r="AR480" s="47">
        <v>103935</v>
      </c>
      <c r="AS480" s="47"/>
      <c r="AT480" s="47"/>
      <c r="AU480" s="47"/>
      <c r="AV480" s="47"/>
      <c r="AW480" s="47"/>
      <c r="AX480" s="47"/>
      <c r="AY480" s="47"/>
      <c r="AZ480" s="47"/>
      <c r="BA480" s="47"/>
      <c r="BB480" s="47"/>
      <c r="BC480" s="47"/>
      <c r="BD480" s="47"/>
      <c r="BE480" s="47"/>
      <c r="BF480" s="47"/>
    </row>
    <row r="481" spans="1:58" hidden="1">
      <c r="A481" s="46" t="s">
        <v>287</v>
      </c>
      <c r="B481" s="46" t="s">
        <v>275</v>
      </c>
      <c r="C481" s="47">
        <v>5901</v>
      </c>
      <c r="D481" s="47">
        <v>5910</v>
      </c>
      <c r="E481" s="47">
        <v>5230</v>
      </c>
      <c r="F481" s="47">
        <v>5255</v>
      </c>
      <c r="G481" s="47">
        <v>3525</v>
      </c>
      <c r="H481" s="47">
        <v>3060</v>
      </c>
      <c r="I481" s="47">
        <v>3275</v>
      </c>
      <c r="J481" s="47">
        <v>3495</v>
      </c>
      <c r="K481" s="47">
        <v>3010</v>
      </c>
      <c r="L481" s="47">
        <v>2820</v>
      </c>
      <c r="M481" s="47">
        <v>2500</v>
      </c>
      <c r="N481" s="47">
        <v>2295</v>
      </c>
      <c r="O481" s="47">
        <v>2135</v>
      </c>
      <c r="P481" s="47">
        <v>2035</v>
      </c>
      <c r="Q481" s="85">
        <v>53.09</v>
      </c>
      <c r="R481" s="85">
        <v>58.17</v>
      </c>
      <c r="S481" s="85">
        <v>58.63</v>
      </c>
      <c r="T481" s="85">
        <v>42.24</v>
      </c>
      <c r="U481" s="85">
        <v>55</v>
      </c>
      <c r="V481" s="85">
        <v>55</v>
      </c>
      <c r="W481" s="85">
        <v>53.21</v>
      </c>
      <c r="X481" s="85">
        <v>57.85</v>
      </c>
      <c r="Y481" s="85">
        <v>54</v>
      </c>
      <c r="Z481" s="85">
        <v>55</v>
      </c>
      <c r="AA481" s="85">
        <v>58.51</v>
      </c>
      <c r="AB481" s="85">
        <v>67.489999999999995</v>
      </c>
      <c r="AC481" s="85">
        <v>58.56</v>
      </c>
      <c r="AD481" s="85">
        <v>56.95</v>
      </c>
      <c r="AE481" s="47">
        <v>313264</v>
      </c>
      <c r="AF481" s="47">
        <v>343810</v>
      </c>
      <c r="AG481" s="47">
        <v>306610</v>
      </c>
      <c r="AH481" s="47">
        <v>221990</v>
      </c>
      <c r="AI481" s="47">
        <v>193875</v>
      </c>
      <c r="AJ481" s="47">
        <v>168300</v>
      </c>
      <c r="AK481" s="47">
        <v>174275</v>
      </c>
      <c r="AL481" s="47">
        <v>202185</v>
      </c>
      <c r="AM481" s="47">
        <v>162550</v>
      </c>
      <c r="AN481" s="47">
        <v>155100</v>
      </c>
      <c r="AO481" s="47">
        <v>146270</v>
      </c>
      <c r="AP481" s="47">
        <v>154890</v>
      </c>
      <c r="AQ481" s="47">
        <v>125025</v>
      </c>
      <c r="AR481" s="47">
        <v>115885</v>
      </c>
      <c r="AS481" s="47"/>
      <c r="AT481" s="47"/>
      <c r="AU481" s="47"/>
      <c r="AV481" s="47"/>
      <c r="AW481" s="47"/>
      <c r="AX481" s="47"/>
      <c r="AY481" s="47"/>
      <c r="AZ481" s="47"/>
      <c r="BA481" s="47"/>
      <c r="BB481" s="47"/>
      <c r="BC481" s="47"/>
      <c r="BD481" s="47"/>
      <c r="BE481" s="47"/>
      <c r="BF481" s="47"/>
    </row>
    <row r="482" spans="1:58" hidden="1">
      <c r="A482" s="46" t="s">
        <v>287</v>
      </c>
      <c r="B482" s="46" t="s">
        <v>276</v>
      </c>
      <c r="C482" s="47">
        <v>798810</v>
      </c>
      <c r="D482" s="47">
        <v>766241</v>
      </c>
      <c r="E482" s="47">
        <v>799972</v>
      </c>
      <c r="F482" s="47">
        <v>812260</v>
      </c>
      <c r="G482" s="47">
        <v>814161</v>
      </c>
      <c r="H482" s="47">
        <v>807603</v>
      </c>
      <c r="I482" s="47">
        <v>798828</v>
      </c>
      <c r="J482" s="47">
        <v>762137</v>
      </c>
      <c r="K482" s="47">
        <v>748245</v>
      </c>
      <c r="L482" s="47">
        <v>745878</v>
      </c>
      <c r="M482" s="47">
        <v>690791</v>
      </c>
      <c r="N482" s="47">
        <v>729015</v>
      </c>
      <c r="O482" s="47">
        <v>681773</v>
      </c>
      <c r="P482" s="47">
        <v>694054</v>
      </c>
      <c r="Q482" s="85">
        <v>59.05</v>
      </c>
      <c r="R482" s="85">
        <v>54.63</v>
      </c>
      <c r="S482" s="85">
        <v>62.48</v>
      </c>
      <c r="T482" s="85">
        <v>55.04</v>
      </c>
      <c r="U482" s="85">
        <v>59.05</v>
      </c>
      <c r="V482" s="85">
        <v>56.21</v>
      </c>
      <c r="W482" s="85">
        <v>57.68</v>
      </c>
      <c r="X482" s="85">
        <v>59.78</v>
      </c>
      <c r="Y482" s="85">
        <v>49.19</v>
      </c>
      <c r="Z482" s="85">
        <v>61.35</v>
      </c>
      <c r="AA482" s="85">
        <v>49.02</v>
      </c>
      <c r="AB482" s="85">
        <v>55.7</v>
      </c>
      <c r="AC482" s="85">
        <v>44.77</v>
      </c>
      <c r="AD482" s="85">
        <v>55.96</v>
      </c>
      <c r="AE482" s="47">
        <v>47165804</v>
      </c>
      <c r="AF482" s="47">
        <v>41861441</v>
      </c>
      <c r="AG482" s="47">
        <v>49978519</v>
      </c>
      <c r="AH482" s="47">
        <v>44707025</v>
      </c>
      <c r="AI482" s="47">
        <v>48077737</v>
      </c>
      <c r="AJ482" s="47">
        <v>45391591</v>
      </c>
      <c r="AK482" s="47">
        <v>46079195</v>
      </c>
      <c r="AL482" s="47">
        <v>45559493</v>
      </c>
      <c r="AM482" s="47">
        <v>36804424</v>
      </c>
      <c r="AN482" s="47">
        <v>45756830</v>
      </c>
      <c r="AO482" s="47">
        <v>33861235</v>
      </c>
      <c r="AP482" s="47">
        <v>40608276</v>
      </c>
      <c r="AQ482" s="47">
        <v>30524749</v>
      </c>
      <c r="AR482" s="47">
        <v>38839558</v>
      </c>
      <c r="AS482" s="47"/>
      <c r="AT482" s="47"/>
      <c r="AU482" s="47"/>
      <c r="AV482" s="47"/>
      <c r="AW482" s="47"/>
      <c r="AX482" s="47"/>
      <c r="AY482" s="47"/>
      <c r="AZ482" s="47"/>
      <c r="BA482" s="47"/>
      <c r="BB482" s="47"/>
      <c r="BC482" s="47"/>
      <c r="BD482" s="47"/>
      <c r="BE482" s="47"/>
      <c r="BF482" s="47"/>
    </row>
    <row r="483" spans="1:58" hidden="1">
      <c r="A483" s="46" t="s">
        <v>287</v>
      </c>
      <c r="B483" s="46" t="s">
        <v>277</v>
      </c>
      <c r="C483" s="47">
        <v>0</v>
      </c>
      <c r="D483" s="47">
        <v>0</v>
      </c>
      <c r="E483" s="47">
        <v>0</v>
      </c>
      <c r="F483" s="47">
        <v>0</v>
      </c>
      <c r="G483" s="47">
        <v>0</v>
      </c>
      <c r="H483" s="47">
        <v>0</v>
      </c>
      <c r="I483" s="47">
        <v>0</v>
      </c>
      <c r="J483" s="47">
        <v>0</v>
      </c>
      <c r="K483" s="47">
        <v>0</v>
      </c>
      <c r="L483" s="47">
        <v>0</v>
      </c>
      <c r="M483" s="47">
        <v>0</v>
      </c>
      <c r="N483" s="47">
        <v>0</v>
      </c>
      <c r="O483" s="47">
        <v>0</v>
      </c>
      <c r="P483" s="47">
        <v>0</v>
      </c>
      <c r="Q483" s="85"/>
      <c r="R483" s="85"/>
      <c r="S483" s="85"/>
      <c r="T483" s="85"/>
      <c r="U483" s="85"/>
      <c r="V483" s="85"/>
      <c r="W483" s="85"/>
      <c r="X483" s="85"/>
      <c r="Y483" s="85"/>
      <c r="Z483" s="85"/>
      <c r="AA483" s="85"/>
      <c r="AB483" s="85"/>
      <c r="AC483" s="85"/>
      <c r="AD483" s="85"/>
      <c r="AE483" s="47">
        <v>5698290</v>
      </c>
      <c r="AF483" s="47">
        <v>4530350</v>
      </c>
      <c r="AG483" s="47">
        <v>5887410</v>
      </c>
      <c r="AH483" s="47">
        <v>5708520</v>
      </c>
      <c r="AI483" s="47">
        <v>5455950</v>
      </c>
      <c r="AJ483" s="47">
        <v>5656900</v>
      </c>
      <c r="AK483" s="47">
        <v>5743250</v>
      </c>
      <c r="AL483" s="47">
        <v>5421210</v>
      </c>
      <c r="AM483" s="47">
        <v>4339740</v>
      </c>
      <c r="AN483" s="47">
        <v>5584100</v>
      </c>
      <c r="AO483" s="47">
        <v>3833370</v>
      </c>
      <c r="AP483" s="47">
        <v>4659410</v>
      </c>
      <c r="AQ483" s="47">
        <v>3780910</v>
      </c>
      <c r="AR483" s="47">
        <v>4772050</v>
      </c>
      <c r="AS483" s="47"/>
      <c r="AT483" s="47"/>
      <c r="AU483" s="47"/>
      <c r="AV483" s="47"/>
      <c r="AW483" s="47"/>
      <c r="AX483" s="47"/>
      <c r="AY483" s="47"/>
      <c r="AZ483" s="47"/>
      <c r="BA483" s="47"/>
      <c r="BB483" s="47"/>
      <c r="BC483" s="47"/>
      <c r="BD483" s="47"/>
      <c r="BE483" s="47"/>
      <c r="BF483" s="47"/>
    </row>
    <row r="484" spans="1:58" hidden="1">
      <c r="A484" s="46" t="s">
        <v>287</v>
      </c>
      <c r="B484" s="46" t="s">
        <v>65</v>
      </c>
      <c r="C484" s="47">
        <v>45282</v>
      </c>
      <c r="D484" s="47">
        <v>49173</v>
      </c>
      <c r="E484" s="47">
        <v>49095</v>
      </c>
      <c r="F484" s="47">
        <v>51698</v>
      </c>
      <c r="G484" s="47">
        <v>51574</v>
      </c>
      <c r="H484" s="47">
        <v>44785</v>
      </c>
      <c r="I484" s="47">
        <v>48310</v>
      </c>
      <c r="J484" s="47">
        <v>40860</v>
      </c>
      <c r="K484" s="47">
        <v>49530</v>
      </c>
      <c r="L484" s="47">
        <v>34365</v>
      </c>
      <c r="M484" s="47">
        <v>36470</v>
      </c>
      <c r="N484" s="47">
        <v>27375</v>
      </c>
      <c r="O484" s="47">
        <v>39875</v>
      </c>
      <c r="P484" s="47">
        <v>30540</v>
      </c>
      <c r="Q484" s="85">
        <v>26.58</v>
      </c>
      <c r="R484" s="85">
        <v>24.62</v>
      </c>
      <c r="S484" s="85">
        <v>29.11</v>
      </c>
      <c r="T484" s="85">
        <v>28.78</v>
      </c>
      <c r="U484" s="85">
        <v>29.65</v>
      </c>
      <c r="V484" s="85">
        <v>24.48</v>
      </c>
      <c r="W484" s="85">
        <v>30.24</v>
      </c>
      <c r="X484" s="85">
        <v>27.99</v>
      </c>
      <c r="Y484" s="85">
        <v>25.02</v>
      </c>
      <c r="Z484" s="85">
        <v>27.88</v>
      </c>
      <c r="AA484" s="85">
        <v>22.62</v>
      </c>
      <c r="AB484" s="85">
        <v>25.74</v>
      </c>
      <c r="AC484" s="85">
        <v>26.54</v>
      </c>
      <c r="AD484" s="85">
        <v>27.78</v>
      </c>
      <c r="AE484" s="47">
        <v>1203656</v>
      </c>
      <c r="AF484" s="47">
        <v>1210877</v>
      </c>
      <c r="AG484" s="47">
        <v>1428979</v>
      </c>
      <c r="AH484" s="47">
        <v>1487950</v>
      </c>
      <c r="AI484" s="47">
        <v>1529399</v>
      </c>
      <c r="AJ484" s="47">
        <v>1096240</v>
      </c>
      <c r="AK484" s="47">
        <v>1461110</v>
      </c>
      <c r="AL484" s="47">
        <v>1143660</v>
      </c>
      <c r="AM484" s="47">
        <v>1239370</v>
      </c>
      <c r="AN484" s="47">
        <v>958185</v>
      </c>
      <c r="AO484" s="47">
        <v>824875</v>
      </c>
      <c r="AP484" s="47">
        <v>704710</v>
      </c>
      <c r="AQ484" s="47">
        <v>1058305</v>
      </c>
      <c r="AR484" s="47">
        <v>848520</v>
      </c>
      <c r="AS484" s="47"/>
      <c r="AT484" s="47"/>
      <c r="AU484" s="47"/>
      <c r="AV484" s="47"/>
      <c r="AW484" s="47"/>
      <c r="AX484" s="47"/>
      <c r="AY484" s="47"/>
      <c r="AZ484" s="47"/>
      <c r="BA484" s="47"/>
      <c r="BB484" s="47"/>
      <c r="BC484" s="47"/>
      <c r="BD484" s="47"/>
      <c r="BE484" s="47"/>
      <c r="BF484" s="47"/>
    </row>
    <row r="485" spans="1:58" hidden="1">
      <c r="A485" s="46" t="s">
        <v>287</v>
      </c>
      <c r="B485" s="46" t="s">
        <v>66</v>
      </c>
      <c r="C485" s="47">
        <v>0</v>
      </c>
      <c r="D485" s="47">
        <v>0</v>
      </c>
      <c r="E485" s="47">
        <v>0</v>
      </c>
      <c r="F485" s="47">
        <v>0</v>
      </c>
      <c r="G485" s="47">
        <v>110</v>
      </c>
      <c r="H485" s="47">
        <v>0</v>
      </c>
      <c r="I485" s="47">
        <v>0</v>
      </c>
      <c r="J485" s="47">
        <v>115</v>
      </c>
      <c r="K485" s="47">
        <v>110</v>
      </c>
      <c r="L485" s="47">
        <v>110</v>
      </c>
      <c r="M485" s="47">
        <v>80</v>
      </c>
      <c r="N485" s="47">
        <v>0</v>
      </c>
      <c r="O485" s="47">
        <v>0</v>
      </c>
      <c r="P485" s="47">
        <v>50</v>
      </c>
      <c r="Q485" s="85"/>
      <c r="R485" s="85"/>
      <c r="S485" s="85"/>
      <c r="T485" s="85"/>
      <c r="U485" s="85">
        <v>24.36</v>
      </c>
      <c r="V485" s="85"/>
      <c r="W485" s="85"/>
      <c r="X485" s="85">
        <v>23.26</v>
      </c>
      <c r="Y485" s="85">
        <v>23.09</v>
      </c>
      <c r="Z485" s="85">
        <v>28.82</v>
      </c>
      <c r="AA485" s="85">
        <v>20.94</v>
      </c>
      <c r="AB485" s="85"/>
      <c r="AC485" s="85"/>
      <c r="AD485" s="85">
        <v>18</v>
      </c>
      <c r="AE485" s="47">
        <v>0</v>
      </c>
      <c r="AF485" s="47">
        <v>0</v>
      </c>
      <c r="AG485" s="47">
        <v>0</v>
      </c>
      <c r="AH485" s="47">
        <v>0</v>
      </c>
      <c r="AI485" s="47">
        <v>2680</v>
      </c>
      <c r="AJ485" s="47">
        <v>0</v>
      </c>
      <c r="AK485" s="47">
        <v>0</v>
      </c>
      <c r="AL485" s="47">
        <v>2675</v>
      </c>
      <c r="AM485" s="47">
        <v>2540</v>
      </c>
      <c r="AN485" s="47">
        <v>3170</v>
      </c>
      <c r="AO485" s="47">
        <v>1675</v>
      </c>
      <c r="AP485" s="47">
        <v>0</v>
      </c>
      <c r="AQ485" s="47">
        <v>0</v>
      </c>
      <c r="AR485" s="47">
        <v>900</v>
      </c>
      <c r="AS485" s="47"/>
      <c r="AT485" s="47"/>
      <c r="AU485" s="47"/>
      <c r="AV485" s="47"/>
      <c r="AW485" s="47"/>
      <c r="AX485" s="47"/>
      <c r="AY485" s="47"/>
      <c r="AZ485" s="47"/>
      <c r="BA485" s="47"/>
      <c r="BB485" s="47"/>
      <c r="BC485" s="47"/>
      <c r="BD485" s="47"/>
      <c r="BE485" s="47"/>
      <c r="BF485" s="47"/>
    </row>
    <row r="486" spans="1:58" hidden="1">
      <c r="A486" s="46" t="s">
        <v>287</v>
      </c>
      <c r="B486" s="46" t="s">
        <v>67</v>
      </c>
      <c r="C486" s="47">
        <v>45282</v>
      </c>
      <c r="D486" s="47">
        <v>49173</v>
      </c>
      <c r="E486" s="47">
        <v>49095</v>
      </c>
      <c r="F486" s="47">
        <v>51698</v>
      </c>
      <c r="G486" s="47">
        <v>51684</v>
      </c>
      <c r="H486" s="47">
        <v>44785</v>
      </c>
      <c r="I486" s="47">
        <v>48310</v>
      </c>
      <c r="J486" s="47">
        <v>40975</v>
      </c>
      <c r="K486" s="47">
        <v>49640</v>
      </c>
      <c r="L486" s="47">
        <v>34475</v>
      </c>
      <c r="M486" s="47">
        <v>36550</v>
      </c>
      <c r="N486" s="47">
        <v>27375</v>
      </c>
      <c r="O486" s="47">
        <v>39875</v>
      </c>
      <c r="P486" s="47">
        <v>30590</v>
      </c>
      <c r="Q486" s="85">
        <v>26.58</v>
      </c>
      <c r="R486" s="85">
        <v>24.62</v>
      </c>
      <c r="S486" s="85">
        <v>29.11</v>
      </c>
      <c r="T486" s="85">
        <v>28.78</v>
      </c>
      <c r="U486" s="85">
        <v>29.64</v>
      </c>
      <c r="V486" s="85">
        <v>24.48</v>
      </c>
      <c r="W486" s="85">
        <v>30.24</v>
      </c>
      <c r="X486" s="85">
        <v>27.98</v>
      </c>
      <c r="Y486" s="85">
        <v>25.02</v>
      </c>
      <c r="Z486" s="85">
        <v>27.89</v>
      </c>
      <c r="AA486" s="85">
        <v>22.61</v>
      </c>
      <c r="AB486" s="85">
        <v>25.74</v>
      </c>
      <c r="AC486" s="85">
        <v>26.54</v>
      </c>
      <c r="AD486" s="85">
        <v>27.77</v>
      </c>
      <c r="AE486" s="47">
        <v>1203656</v>
      </c>
      <c r="AF486" s="47">
        <v>1210877</v>
      </c>
      <c r="AG486" s="47">
        <v>1428979</v>
      </c>
      <c r="AH486" s="47">
        <v>1487950</v>
      </c>
      <c r="AI486" s="47">
        <v>1532079</v>
      </c>
      <c r="AJ486" s="47">
        <v>1096240</v>
      </c>
      <c r="AK486" s="47">
        <v>1461110</v>
      </c>
      <c r="AL486" s="47">
        <v>1146335</v>
      </c>
      <c r="AM486" s="47">
        <v>1241910</v>
      </c>
      <c r="AN486" s="47">
        <v>961355</v>
      </c>
      <c r="AO486" s="47">
        <v>826550</v>
      </c>
      <c r="AP486" s="47">
        <v>704710</v>
      </c>
      <c r="AQ486" s="47">
        <v>1058305</v>
      </c>
      <c r="AR486" s="47">
        <v>849420</v>
      </c>
      <c r="AS486" s="47"/>
      <c r="AT486" s="47"/>
      <c r="AU486" s="47"/>
      <c r="AV486" s="47"/>
      <c r="AW486" s="47"/>
      <c r="AX486" s="47"/>
      <c r="AY486" s="47"/>
      <c r="AZ486" s="47"/>
      <c r="BA486" s="47"/>
      <c r="BB486" s="47"/>
      <c r="BC486" s="47"/>
      <c r="BD486" s="47"/>
      <c r="BE486" s="47"/>
      <c r="BF486" s="47"/>
    </row>
    <row r="487" spans="1:58" hidden="1">
      <c r="A487" s="46" t="s">
        <v>287</v>
      </c>
      <c r="B487" s="46" t="s">
        <v>68</v>
      </c>
      <c r="C487" s="47">
        <v>218901</v>
      </c>
      <c r="D487" s="47">
        <v>261261</v>
      </c>
      <c r="E487" s="47">
        <v>240282</v>
      </c>
      <c r="F487" s="47">
        <v>240271</v>
      </c>
      <c r="G487" s="47">
        <v>230217</v>
      </c>
      <c r="H487" s="47">
        <v>228990</v>
      </c>
      <c r="I487" s="47">
        <v>203130</v>
      </c>
      <c r="J487" s="47">
        <v>207505</v>
      </c>
      <c r="K487" s="47">
        <v>188760</v>
      </c>
      <c r="L487" s="47">
        <v>177550</v>
      </c>
      <c r="M487" s="47">
        <v>203490</v>
      </c>
      <c r="N487" s="47">
        <v>176075</v>
      </c>
      <c r="O487" s="47">
        <v>219470</v>
      </c>
      <c r="P487" s="47">
        <v>193327</v>
      </c>
      <c r="Q487" s="85">
        <v>23.6</v>
      </c>
      <c r="R487" s="85">
        <v>24.94</v>
      </c>
      <c r="S487" s="85">
        <v>21.61</v>
      </c>
      <c r="T487" s="85">
        <v>19.16</v>
      </c>
      <c r="U487" s="85">
        <v>22.81</v>
      </c>
      <c r="V487" s="85">
        <v>17.5</v>
      </c>
      <c r="W487" s="85">
        <v>22.89</v>
      </c>
      <c r="X487" s="85">
        <v>24.32</v>
      </c>
      <c r="Y487" s="85">
        <v>20.77</v>
      </c>
      <c r="Z487" s="85">
        <v>20.64</v>
      </c>
      <c r="AA487" s="85">
        <v>18.13</v>
      </c>
      <c r="AB487" s="85">
        <v>25.35</v>
      </c>
      <c r="AC487" s="85">
        <v>16.55</v>
      </c>
      <c r="AD487" s="85">
        <v>22.28</v>
      </c>
      <c r="AE487" s="47">
        <v>5165455</v>
      </c>
      <c r="AF487" s="47">
        <v>6514968</v>
      </c>
      <c r="AG487" s="47">
        <v>5192506</v>
      </c>
      <c r="AH487" s="47">
        <v>4602582</v>
      </c>
      <c r="AI487" s="47">
        <v>5250821</v>
      </c>
      <c r="AJ487" s="47">
        <v>4007255</v>
      </c>
      <c r="AK487" s="47">
        <v>4649110</v>
      </c>
      <c r="AL487" s="47">
        <v>5047275</v>
      </c>
      <c r="AM487" s="47">
        <v>3920465</v>
      </c>
      <c r="AN487" s="47">
        <v>3664275</v>
      </c>
      <c r="AO487" s="47">
        <v>3690038</v>
      </c>
      <c r="AP487" s="47">
        <v>4464265</v>
      </c>
      <c r="AQ487" s="47">
        <v>3632280</v>
      </c>
      <c r="AR487" s="47">
        <v>4306613</v>
      </c>
      <c r="AS487" s="47"/>
      <c r="AT487" s="47"/>
      <c r="AU487" s="47"/>
      <c r="AV487" s="47"/>
      <c r="AW487" s="47"/>
      <c r="AX487" s="47"/>
      <c r="AY487" s="47"/>
      <c r="AZ487" s="47"/>
      <c r="BA487" s="47"/>
      <c r="BB487" s="47"/>
      <c r="BC487" s="47"/>
      <c r="BD487" s="47"/>
      <c r="BE487" s="47"/>
      <c r="BF487" s="47"/>
    </row>
    <row r="488" spans="1:58" hidden="1">
      <c r="A488" s="46" t="s">
        <v>287</v>
      </c>
      <c r="B488" s="46" t="s">
        <v>69</v>
      </c>
      <c r="C488" s="47">
        <v>21001</v>
      </c>
      <c r="D488" s="47">
        <v>14740</v>
      </c>
      <c r="E488" s="47">
        <v>13526</v>
      </c>
      <c r="F488" s="47">
        <v>15180</v>
      </c>
      <c r="G488" s="47">
        <v>26608</v>
      </c>
      <c r="H488" s="47">
        <v>45940</v>
      </c>
      <c r="I488" s="47">
        <v>54994</v>
      </c>
      <c r="J488" s="47">
        <v>51425</v>
      </c>
      <c r="K488" s="47">
        <v>52010</v>
      </c>
      <c r="L488" s="47">
        <v>56830</v>
      </c>
      <c r="M488" s="47">
        <v>64668</v>
      </c>
      <c r="N488" s="47">
        <v>53765</v>
      </c>
      <c r="O488" s="47">
        <v>58417</v>
      </c>
      <c r="P488" s="47">
        <v>45210</v>
      </c>
      <c r="Q488" s="85">
        <v>28.45</v>
      </c>
      <c r="R488" s="85">
        <v>29.97</v>
      </c>
      <c r="S488" s="85">
        <v>26.16</v>
      </c>
      <c r="T488" s="85">
        <v>22.54</v>
      </c>
      <c r="U488" s="85">
        <v>29.33</v>
      </c>
      <c r="V488" s="85">
        <v>30.97</v>
      </c>
      <c r="W488" s="85">
        <v>23.83</v>
      </c>
      <c r="X488" s="85">
        <v>27.54</v>
      </c>
      <c r="Y488" s="85">
        <v>26.19</v>
      </c>
      <c r="Z488" s="85">
        <v>26.52</v>
      </c>
      <c r="AA488" s="85">
        <v>21.78</v>
      </c>
      <c r="AB488" s="85">
        <v>27.61</v>
      </c>
      <c r="AC488" s="85">
        <v>17.95</v>
      </c>
      <c r="AD488" s="85">
        <v>19.3</v>
      </c>
      <c r="AE488" s="47">
        <v>597531</v>
      </c>
      <c r="AF488" s="47">
        <v>441795</v>
      </c>
      <c r="AG488" s="47">
        <v>353849</v>
      </c>
      <c r="AH488" s="47">
        <v>342112</v>
      </c>
      <c r="AI488" s="47">
        <v>780524</v>
      </c>
      <c r="AJ488" s="47">
        <v>1422800</v>
      </c>
      <c r="AK488" s="47">
        <v>1310778</v>
      </c>
      <c r="AL488" s="47">
        <v>1416120</v>
      </c>
      <c r="AM488" s="47">
        <v>1362070</v>
      </c>
      <c r="AN488" s="47">
        <v>1507190</v>
      </c>
      <c r="AO488" s="47">
        <v>1408485</v>
      </c>
      <c r="AP488" s="47">
        <v>1484570</v>
      </c>
      <c r="AQ488" s="47">
        <v>1048522</v>
      </c>
      <c r="AR488" s="47">
        <v>872490</v>
      </c>
      <c r="AS488" s="47"/>
      <c r="AT488" s="47"/>
      <c r="AU488" s="47"/>
      <c r="AV488" s="47"/>
      <c r="AW488" s="47"/>
      <c r="AX488" s="47"/>
      <c r="AY488" s="47"/>
      <c r="AZ488" s="47"/>
      <c r="BA488" s="47"/>
      <c r="BB488" s="47"/>
      <c r="BC488" s="47"/>
      <c r="BD488" s="47"/>
      <c r="BE488" s="47"/>
      <c r="BF488" s="47"/>
    </row>
    <row r="489" spans="1:58" hidden="1">
      <c r="A489" s="46" t="s">
        <v>287</v>
      </c>
      <c r="B489" s="46" t="s">
        <v>70</v>
      </c>
      <c r="C489" s="47">
        <v>1063</v>
      </c>
      <c r="D489" s="47">
        <v>2123</v>
      </c>
      <c r="E489" s="47">
        <v>2216</v>
      </c>
      <c r="F489" s="47">
        <v>1747</v>
      </c>
      <c r="G489" s="47">
        <v>2124</v>
      </c>
      <c r="H489" s="47">
        <v>5300</v>
      </c>
      <c r="I489" s="47">
        <v>4286</v>
      </c>
      <c r="J489" s="47">
        <v>5825</v>
      </c>
      <c r="K489" s="47">
        <v>4420</v>
      </c>
      <c r="L489" s="47">
        <v>3240</v>
      </c>
      <c r="M489" s="47">
        <v>4110</v>
      </c>
      <c r="N489" s="47">
        <v>3005</v>
      </c>
      <c r="O489" s="47">
        <v>2523</v>
      </c>
      <c r="P489" s="47">
        <v>2885</v>
      </c>
      <c r="Q489" s="85">
        <v>14.21</v>
      </c>
      <c r="R489" s="85">
        <v>13.65</v>
      </c>
      <c r="S489" s="85">
        <v>13.5</v>
      </c>
      <c r="T489" s="85">
        <v>12.63</v>
      </c>
      <c r="U489" s="85">
        <v>12.28</v>
      </c>
      <c r="V489" s="85">
        <v>12.34</v>
      </c>
      <c r="W489" s="85">
        <v>18.170000000000002</v>
      </c>
      <c r="X489" s="85">
        <v>14.07</v>
      </c>
      <c r="Y489" s="85">
        <v>13.64</v>
      </c>
      <c r="Z489" s="85">
        <v>18</v>
      </c>
      <c r="AA489" s="85">
        <v>14.94</v>
      </c>
      <c r="AB489" s="85">
        <v>15.44</v>
      </c>
      <c r="AC489" s="85">
        <v>13.7</v>
      </c>
      <c r="AD489" s="85">
        <v>15.39</v>
      </c>
      <c r="AE489" s="47">
        <v>15102</v>
      </c>
      <c r="AF489" s="47">
        <v>28974</v>
      </c>
      <c r="AG489" s="47">
        <v>29916</v>
      </c>
      <c r="AH489" s="47">
        <v>22071</v>
      </c>
      <c r="AI489" s="47">
        <v>26084</v>
      </c>
      <c r="AJ489" s="47">
        <v>65420</v>
      </c>
      <c r="AK489" s="47">
        <v>77888</v>
      </c>
      <c r="AL489" s="47">
        <v>81950</v>
      </c>
      <c r="AM489" s="47">
        <v>60270</v>
      </c>
      <c r="AN489" s="47">
        <v>58320</v>
      </c>
      <c r="AO489" s="47">
        <v>61410</v>
      </c>
      <c r="AP489" s="47">
        <v>46390</v>
      </c>
      <c r="AQ489" s="47">
        <v>34567</v>
      </c>
      <c r="AR489" s="47">
        <v>44410</v>
      </c>
      <c r="AS489" s="47"/>
      <c r="AT489" s="47"/>
      <c r="AU489" s="47"/>
      <c r="AV489" s="47"/>
      <c r="AW489" s="47"/>
      <c r="AX489" s="47"/>
      <c r="AY489" s="47"/>
      <c r="AZ489" s="47"/>
      <c r="BA489" s="47"/>
      <c r="BB489" s="47"/>
      <c r="BC489" s="47"/>
      <c r="BD489" s="47"/>
      <c r="BE489" s="47"/>
      <c r="BF489" s="47"/>
    </row>
    <row r="490" spans="1:58" hidden="1">
      <c r="A490" s="46" t="s">
        <v>287</v>
      </c>
      <c r="B490" s="46" t="s">
        <v>71</v>
      </c>
      <c r="C490" s="47">
        <v>25</v>
      </c>
      <c r="D490" s="47">
        <v>5</v>
      </c>
      <c r="E490" s="47">
        <v>56</v>
      </c>
      <c r="F490" s="47">
        <v>17</v>
      </c>
      <c r="G490" s="47">
        <v>52</v>
      </c>
      <c r="H490" s="47">
        <v>50</v>
      </c>
      <c r="I490" s="47">
        <v>70</v>
      </c>
      <c r="J490" s="47">
        <v>405</v>
      </c>
      <c r="K490" s="47">
        <v>365</v>
      </c>
      <c r="L490" s="47">
        <v>310</v>
      </c>
      <c r="M490" s="47">
        <v>450</v>
      </c>
      <c r="N490" s="47">
        <v>855</v>
      </c>
      <c r="O490" s="47">
        <v>832</v>
      </c>
      <c r="P490" s="47">
        <v>873</v>
      </c>
      <c r="Q490" s="85"/>
      <c r="R490" s="85"/>
      <c r="S490" s="85"/>
      <c r="T490" s="85"/>
      <c r="U490" s="85"/>
      <c r="V490" s="85"/>
      <c r="W490" s="85"/>
      <c r="X490" s="85"/>
      <c r="Y490" s="85"/>
      <c r="Z490" s="85"/>
      <c r="AA490" s="85"/>
      <c r="AB490" s="85"/>
      <c r="AC490" s="85"/>
      <c r="AD490" s="85"/>
      <c r="AE490" s="47">
        <v>437</v>
      </c>
      <c r="AF490" s="47">
        <v>100</v>
      </c>
      <c r="AG490" s="47">
        <v>960</v>
      </c>
      <c r="AH490" s="47">
        <v>233</v>
      </c>
      <c r="AI490" s="47">
        <v>744</v>
      </c>
      <c r="AJ490" s="47">
        <v>850</v>
      </c>
      <c r="AK490" s="47">
        <v>1150</v>
      </c>
      <c r="AL490" s="47">
        <v>6635</v>
      </c>
      <c r="AM490" s="47">
        <v>5265</v>
      </c>
      <c r="AN490" s="47">
        <v>4975</v>
      </c>
      <c r="AO490" s="47">
        <v>6450</v>
      </c>
      <c r="AP490" s="47">
        <v>12587</v>
      </c>
      <c r="AQ490" s="47">
        <v>11181</v>
      </c>
      <c r="AR490" s="47">
        <v>12375</v>
      </c>
      <c r="AS490" s="47"/>
      <c r="AT490" s="47"/>
      <c r="AU490" s="47"/>
      <c r="AV490" s="47"/>
      <c r="AW490" s="47"/>
      <c r="AX490" s="47"/>
      <c r="AY490" s="47"/>
      <c r="AZ490" s="47"/>
      <c r="BA490" s="47"/>
      <c r="BB490" s="47"/>
      <c r="BC490" s="47"/>
      <c r="BD490" s="47"/>
      <c r="BE490" s="47"/>
      <c r="BF490" s="47"/>
    </row>
    <row r="491" spans="1:58" hidden="1">
      <c r="A491" s="46" t="s">
        <v>287</v>
      </c>
      <c r="B491" s="46" t="s">
        <v>72</v>
      </c>
      <c r="C491" s="47">
        <v>286272</v>
      </c>
      <c r="D491" s="47">
        <v>327302</v>
      </c>
      <c r="E491" s="47">
        <v>305175</v>
      </c>
      <c r="F491" s="47">
        <v>308913</v>
      </c>
      <c r="G491" s="47">
        <v>310685</v>
      </c>
      <c r="H491" s="47">
        <v>325065</v>
      </c>
      <c r="I491" s="47">
        <v>310790</v>
      </c>
      <c r="J491" s="47">
        <v>306135</v>
      </c>
      <c r="K491" s="47">
        <v>295195</v>
      </c>
      <c r="L491" s="47">
        <v>272405</v>
      </c>
      <c r="M491" s="47">
        <v>309268</v>
      </c>
      <c r="N491" s="47">
        <v>261075</v>
      </c>
      <c r="O491" s="47">
        <v>321117</v>
      </c>
      <c r="P491" s="47">
        <v>272885</v>
      </c>
      <c r="Q491" s="85">
        <v>24.39</v>
      </c>
      <c r="R491" s="85">
        <v>25.04</v>
      </c>
      <c r="S491" s="85">
        <v>22.96</v>
      </c>
      <c r="T491" s="85">
        <v>20.9</v>
      </c>
      <c r="U491" s="85">
        <v>24.43</v>
      </c>
      <c r="V491" s="85">
        <v>20.28</v>
      </c>
      <c r="W491" s="85">
        <v>24.13</v>
      </c>
      <c r="X491" s="85">
        <v>25.15</v>
      </c>
      <c r="Y491" s="85">
        <v>22.32</v>
      </c>
      <c r="Z491" s="85">
        <v>22.75</v>
      </c>
      <c r="AA491" s="85">
        <v>19.38</v>
      </c>
      <c r="AB491" s="85">
        <v>25.71</v>
      </c>
      <c r="AC491" s="85">
        <v>18.010000000000002</v>
      </c>
      <c r="AD491" s="85">
        <v>22.3</v>
      </c>
      <c r="AE491" s="47">
        <v>6982181</v>
      </c>
      <c r="AF491" s="47">
        <v>8196714</v>
      </c>
      <c r="AG491" s="47">
        <v>7006210</v>
      </c>
      <c r="AH491" s="47">
        <v>6454948</v>
      </c>
      <c r="AI491" s="47">
        <v>7590252</v>
      </c>
      <c r="AJ491" s="47">
        <v>6592565</v>
      </c>
      <c r="AK491" s="47">
        <v>7500036</v>
      </c>
      <c r="AL491" s="47">
        <v>7698315</v>
      </c>
      <c r="AM491" s="47">
        <v>6589980</v>
      </c>
      <c r="AN491" s="47">
        <v>6196115</v>
      </c>
      <c r="AO491" s="47">
        <v>5992933</v>
      </c>
      <c r="AP491" s="47">
        <v>6712522</v>
      </c>
      <c r="AQ491" s="47">
        <v>5784855</v>
      </c>
      <c r="AR491" s="47">
        <v>6085308</v>
      </c>
      <c r="AS491" s="47"/>
      <c r="AT491" s="47"/>
      <c r="AU491" s="47"/>
      <c r="AV491" s="47"/>
      <c r="AW491" s="47"/>
      <c r="AX491" s="47"/>
      <c r="AY491" s="47"/>
      <c r="AZ491" s="47"/>
      <c r="BA491" s="47"/>
      <c r="BB491" s="47"/>
      <c r="BC491" s="47"/>
      <c r="BD491" s="47"/>
      <c r="BE491" s="47"/>
      <c r="BF491" s="47"/>
    </row>
    <row r="492" spans="1:58" hidden="1">
      <c r="A492" s="46" t="s">
        <v>287</v>
      </c>
      <c r="B492" s="46" t="s">
        <v>73</v>
      </c>
      <c r="C492" s="47">
        <v>0</v>
      </c>
      <c r="D492" s="47">
        <v>0</v>
      </c>
      <c r="E492" s="47">
        <v>0</v>
      </c>
      <c r="F492" s="47">
        <v>0</v>
      </c>
      <c r="G492" s="47">
        <v>0</v>
      </c>
      <c r="H492" s="47">
        <v>0</v>
      </c>
      <c r="I492" s="47">
        <v>0</v>
      </c>
      <c r="J492" s="47">
        <v>0</v>
      </c>
      <c r="K492" s="47">
        <v>0</v>
      </c>
      <c r="L492" s="47">
        <v>0</v>
      </c>
      <c r="M492" s="47">
        <v>0</v>
      </c>
      <c r="N492" s="47">
        <v>0</v>
      </c>
      <c r="O492" s="47">
        <v>0</v>
      </c>
      <c r="P492" s="47">
        <v>0</v>
      </c>
      <c r="Q492" s="85"/>
      <c r="R492" s="85"/>
      <c r="S492" s="85"/>
      <c r="T492" s="85"/>
      <c r="U492" s="85"/>
      <c r="V492" s="85"/>
      <c r="W492" s="85"/>
      <c r="X492" s="85"/>
      <c r="Y492" s="85"/>
      <c r="Z492" s="85"/>
      <c r="AA492" s="85"/>
      <c r="AB492" s="85"/>
      <c r="AC492" s="85"/>
      <c r="AD492" s="85"/>
      <c r="AE492" s="47">
        <v>0</v>
      </c>
      <c r="AF492" s="47">
        <v>0</v>
      </c>
      <c r="AG492" s="47">
        <v>0</v>
      </c>
      <c r="AH492" s="47">
        <v>0</v>
      </c>
      <c r="AI492" s="47">
        <v>0</v>
      </c>
      <c r="AJ492" s="47">
        <v>0</v>
      </c>
      <c r="AK492" s="47">
        <v>0</v>
      </c>
      <c r="AL492" s="47">
        <v>0</v>
      </c>
      <c r="AM492" s="47">
        <v>0</v>
      </c>
      <c r="AN492" s="47">
        <v>0</v>
      </c>
      <c r="AO492" s="47">
        <v>0</v>
      </c>
      <c r="AP492" s="47">
        <v>0</v>
      </c>
      <c r="AQ492" s="47">
        <v>0</v>
      </c>
      <c r="AR492" s="47">
        <v>0</v>
      </c>
      <c r="AS492" s="47"/>
      <c r="AT492" s="47"/>
      <c r="AU492" s="47"/>
      <c r="AV492" s="47"/>
      <c r="AW492" s="47"/>
      <c r="AX492" s="47"/>
      <c r="AY492" s="47"/>
      <c r="AZ492" s="47"/>
      <c r="BA492" s="47"/>
      <c r="BB492" s="47"/>
      <c r="BC492" s="47"/>
      <c r="BD492" s="47"/>
      <c r="BE492" s="47"/>
      <c r="BF492" s="47"/>
    </row>
    <row r="493" spans="1:58" hidden="1">
      <c r="A493" s="46" t="s">
        <v>287</v>
      </c>
      <c r="B493" s="46" t="s">
        <v>74</v>
      </c>
      <c r="C493" s="47">
        <v>8679</v>
      </c>
      <c r="D493" s="47">
        <v>6717</v>
      </c>
      <c r="E493" s="47">
        <v>3653</v>
      </c>
      <c r="F493" s="47">
        <v>2856</v>
      </c>
      <c r="G493" s="47">
        <v>3825</v>
      </c>
      <c r="H493" s="47">
        <v>9070</v>
      </c>
      <c r="I493" s="47">
        <v>11895</v>
      </c>
      <c r="J493" s="47">
        <v>11275</v>
      </c>
      <c r="K493" s="47">
        <v>10085</v>
      </c>
      <c r="L493" s="47">
        <v>10795</v>
      </c>
      <c r="M493" s="47">
        <v>11899</v>
      </c>
      <c r="N493" s="47">
        <v>15820</v>
      </c>
      <c r="O493" s="47">
        <v>10787</v>
      </c>
      <c r="P493" s="47">
        <v>14530</v>
      </c>
      <c r="Q493" s="85">
        <v>20.75</v>
      </c>
      <c r="R493" s="85">
        <v>14.01</v>
      </c>
      <c r="S493" s="85">
        <v>18.600000000000001</v>
      </c>
      <c r="T493" s="85">
        <v>18.059999999999999</v>
      </c>
      <c r="U493" s="85">
        <v>21.16</v>
      </c>
      <c r="V493" s="85">
        <v>20.91</v>
      </c>
      <c r="W493" s="85">
        <v>20.260000000000002</v>
      </c>
      <c r="X493" s="85">
        <v>15.55</v>
      </c>
      <c r="Y493" s="85">
        <v>11.21</v>
      </c>
      <c r="Z493" s="85">
        <v>23.36</v>
      </c>
      <c r="AA493" s="85">
        <v>12.11</v>
      </c>
      <c r="AB493" s="85">
        <v>17.559999999999999</v>
      </c>
      <c r="AC493" s="85">
        <v>14.44</v>
      </c>
      <c r="AD493" s="85">
        <v>16.850000000000001</v>
      </c>
      <c r="AE493" s="47">
        <v>180118</v>
      </c>
      <c r="AF493" s="47">
        <v>94088</v>
      </c>
      <c r="AG493" s="47">
        <v>67954</v>
      </c>
      <c r="AH493" s="47">
        <v>51586</v>
      </c>
      <c r="AI493" s="47">
        <v>80926</v>
      </c>
      <c r="AJ493" s="47">
        <v>189630</v>
      </c>
      <c r="AK493" s="47">
        <v>240950</v>
      </c>
      <c r="AL493" s="47">
        <v>175320</v>
      </c>
      <c r="AM493" s="47">
        <v>113050</v>
      </c>
      <c r="AN493" s="47">
        <v>252190</v>
      </c>
      <c r="AO493" s="47">
        <v>144068</v>
      </c>
      <c r="AP493" s="47">
        <v>277790</v>
      </c>
      <c r="AQ493" s="47">
        <v>155738</v>
      </c>
      <c r="AR493" s="47">
        <v>244888</v>
      </c>
      <c r="AS493" s="47"/>
      <c r="AT493" s="47"/>
      <c r="AU493" s="47"/>
      <c r="AV493" s="47"/>
      <c r="AW493" s="47"/>
      <c r="AX493" s="47"/>
      <c r="AY493" s="47"/>
      <c r="AZ493" s="47"/>
      <c r="BA493" s="47"/>
      <c r="BB493" s="47"/>
      <c r="BC493" s="47"/>
      <c r="BD493" s="47"/>
      <c r="BE493" s="47"/>
      <c r="BF493" s="47"/>
    </row>
    <row r="494" spans="1:58" hidden="1">
      <c r="A494" s="46" t="s">
        <v>287</v>
      </c>
      <c r="B494" s="46" t="s">
        <v>75</v>
      </c>
      <c r="C494" s="47">
        <v>382</v>
      </c>
      <c r="D494" s="47">
        <v>328</v>
      </c>
      <c r="E494" s="47">
        <v>458</v>
      </c>
      <c r="F494" s="47">
        <v>448</v>
      </c>
      <c r="G494" s="47">
        <v>605</v>
      </c>
      <c r="H494" s="47">
        <v>615</v>
      </c>
      <c r="I494" s="47">
        <v>521</v>
      </c>
      <c r="J494" s="47">
        <v>625</v>
      </c>
      <c r="K494" s="47">
        <v>755</v>
      </c>
      <c r="L494" s="47">
        <v>749</v>
      </c>
      <c r="M494" s="47">
        <v>836</v>
      </c>
      <c r="N494" s="47">
        <v>784</v>
      </c>
      <c r="O494" s="47">
        <v>500</v>
      </c>
      <c r="P494" s="47">
        <v>455</v>
      </c>
      <c r="Q494" s="85">
        <v>16.32</v>
      </c>
      <c r="R494" s="85">
        <v>15.56</v>
      </c>
      <c r="S494" s="85">
        <v>15.81</v>
      </c>
      <c r="T494" s="85">
        <v>15.79</v>
      </c>
      <c r="U494" s="85">
        <v>15.8</v>
      </c>
      <c r="V494" s="85">
        <v>16.8</v>
      </c>
      <c r="W494" s="85">
        <v>16.649999999999999</v>
      </c>
      <c r="X494" s="85">
        <v>13.94</v>
      </c>
      <c r="Y494" s="85">
        <v>11.72</v>
      </c>
      <c r="Z494" s="85">
        <v>17.71</v>
      </c>
      <c r="AA494" s="85">
        <v>15.7</v>
      </c>
      <c r="AB494" s="85">
        <v>13.76</v>
      </c>
      <c r="AC494" s="85">
        <v>12.14</v>
      </c>
      <c r="AD494" s="85">
        <v>8.11</v>
      </c>
      <c r="AE494" s="47">
        <v>6235</v>
      </c>
      <c r="AF494" s="47">
        <v>5103</v>
      </c>
      <c r="AG494" s="47">
        <v>7241</v>
      </c>
      <c r="AH494" s="47">
        <v>7074</v>
      </c>
      <c r="AI494" s="47">
        <v>9559</v>
      </c>
      <c r="AJ494" s="47">
        <v>10334</v>
      </c>
      <c r="AK494" s="47">
        <v>8675</v>
      </c>
      <c r="AL494" s="47">
        <v>8710</v>
      </c>
      <c r="AM494" s="47">
        <v>8850</v>
      </c>
      <c r="AN494" s="47">
        <v>13266</v>
      </c>
      <c r="AO494" s="47">
        <v>13128</v>
      </c>
      <c r="AP494" s="47">
        <v>10789</v>
      </c>
      <c r="AQ494" s="47">
        <v>6070</v>
      </c>
      <c r="AR494" s="47">
        <v>3690</v>
      </c>
      <c r="AS494" s="47"/>
      <c r="AT494" s="47"/>
      <c r="AU494" s="47"/>
      <c r="AV494" s="47"/>
      <c r="AW494" s="47"/>
      <c r="AX494" s="47"/>
      <c r="AY494" s="47"/>
      <c r="AZ494" s="47"/>
      <c r="BA494" s="47"/>
      <c r="BB494" s="47"/>
      <c r="BC494" s="47"/>
      <c r="BD494" s="47"/>
      <c r="BE494" s="47"/>
      <c r="BF494" s="47"/>
    </row>
    <row r="495" spans="1:58" hidden="1">
      <c r="A495" s="46" t="s">
        <v>287</v>
      </c>
      <c r="B495" s="46" t="s">
        <v>76</v>
      </c>
      <c r="C495" s="47">
        <v>892</v>
      </c>
      <c r="D495" s="47">
        <v>1175</v>
      </c>
      <c r="E495" s="47">
        <v>1331</v>
      </c>
      <c r="F495" s="47">
        <v>1162</v>
      </c>
      <c r="G495" s="47">
        <v>1757</v>
      </c>
      <c r="H495" s="47">
        <v>1943</v>
      </c>
      <c r="I495" s="47">
        <v>2188</v>
      </c>
      <c r="J495" s="47">
        <v>3355</v>
      </c>
      <c r="K495" s="47">
        <v>4345</v>
      </c>
      <c r="L495" s="47">
        <v>5210</v>
      </c>
      <c r="M495" s="47">
        <v>5252</v>
      </c>
      <c r="N495" s="47">
        <v>4330</v>
      </c>
      <c r="O495" s="47">
        <v>3155</v>
      </c>
      <c r="P495" s="47">
        <v>2390</v>
      </c>
      <c r="Q495" s="85">
        <v>11</v>
      </c>
      <c r="R495" s="85">
        <v>11.74</v>
      </c>
      <c r="S495" s="85">
        <v>11.88</v>
      </c>
      <c r="T495" s="85">
        <v>11.28</v>
      </c>
      <c r="U495" s="85">
        <v>12.33</v>
      </c>
      <c r="V495" s="85">
        <v>12.3</v>
      </c>
      <c r="W495" s="85">
        <v>12.23</v>
      </c>
      <c r="X495" s="85">
        <v>12.21</v>
      </c>
      <c r="Y495" s="85">
        <v>6.19</v>
      </c>
      <c r="Z495" s="85">
        <v>10.61</v>
      </c>
      <c r="AA495" s="85">
        <v>6.29</v>
      </c>
      <c r="AB495" s="85">
        <v>8.31</v>
      </c>
      <c r="AC495" s="85">
        <v>4.84</v>
      </c>
      <c r="AD495" s="85">
        <v>6.24</v>
      </c>
      <c r="AE495" s="47">
        <v>9812</v>
      </c>
      <c r="AF495" s="47">
        <v>13790</v>
      </c>
      <c r="AG495" s="47">
        <v>15809</v>
      </c>
      <c r="AH495" s="47">
        <v>13108</v>
      </c>
      <c r="AI495" s="47">
        <v>21663</v>
      </c>
      <c r="AJ495" s="47">
        <v>23902</v>
      </c>
      <c r="AK495" s="47">
        <v>26758</v>
      </c>
      <c r="AL495" s="47">
        <v>40960</v>
      </c>
      <c r="AM495" s="47">
        <v>26900</v>
      </c>
      <c r="AN495" s="47">
        <v>55288</v>
      </c>
      <c r="AO495" s="47">
        <v>33024</v>
      </c>
      <c r="AP495" s="47">
        <v>36000</v>
      </c>
      <c r="AQ495" s="47">
        <v>15284</v>
      </c>
      <c r="AR495" s="47">
        <v>14909</v>
      </c>
      <c r="AS495" s="47"/>
      <c r="AT495" s="47"/>
      <c r="AU495" s="47"/>
      <c r="AV495" s="47"/>
      <c r="AW495" s="47"/>
      <c r="AX495" s="47"/>
      <c r="AY495" s="47"/>
      <c r="AZ495" s="47"/>
      <c r="BA495" s="47"/>
      <c r="BB495" s="47"/>
      <c r="BC495" s="47"/>
      <c r="BD495" s="47"/>
      <c r="BE495" s="47"/>
      <c r="BF495" s="47"/>
    </row>
    <row r="496" spans="1:58" hidden="1">
      <c r="A496" s="46" t="s">
        <v>287</v>
      </c>
      <c r="B496" s="46" t="s">
        <v>77</v>
      </c>
      <c r="C496" s="47">
        <v>6008</v>
      </c>
      <c r="D496" s="47">
        <v>4094</v>
      </c>
      <c r="E496" s="47">
        <v>2613</v>
      </c>
      <c r="F496" s="47">
        <v>1653</v>
      </c>
      <c r="G496" s="47">
        <v>2969</v>
      </c>
      <c r="H496" s="47">
        <v>6148</v>
      </c>
      <c r="I496" s="47">
        <v>9095</v>
      </c>
      <c r="J496" s="47">
        <v>9688</v>
      </c>
      <c r="K496" s="47">
        <v>6255</v>
      </c>
      <c r="L496" s="47">
        <v>6482</v>
      </c>
      <c r="M496" s="47">
        <v>6151</v>
      </c>
      <c r="N496" s="47">
        <v>6360</v>
      </c>
      <c r="O496" s="47">
        <v>4320</v>
      </c>
      <c r="P496" s="47">
        <v>6475</v>
      </c>
      <c r="Q496" s="85">
        <v>22.73</v>
      </c>
      <c r="R496" s="85">
        <v>19.3</v>
      </c>
      <c r="S496" s="85">
        <v>21.13</v>
      </c>
      <c r="T496" s="85">
        <v>19.850000000000001</v>
      </c>
      <c r="U496" s="85">
        <v>24.01</v>
      </c>
      <c r="V496" s="85">
        <v>20.350000000000001</v>
      </c>
      <c r="W496" s="85">
        <v>21.06</v>
      </c>
      <c r="X496" s="85">
        <v>19.2</v>
      </c>
      <c r="Y496" s="85">
        <v>14.94</v>
      </c>
      <c r="Z496" s="85">
        <v>20.09</v>
      </c>
      <c r="AA496" s="85">
        <v>20.85</v>
      </c>
      <c r="AB496" s="85">
        <v>27.7</v>
      </c>
      <c r="AC496" s="85">
        <v>22.91</v>
      </c>
      <c r="AD496" s="85">
        <v>29.88</v>
      </c>
      <c r="AE496" s="47">
        <v>136578</v>
      </c>
      <c r="AF496" s="47">
        <v>79031</v>
      </c>
      <c r="AG496" s="47">
        <v>55212</v>
      </c>
      <c r="AH496" s="47">
        <v>32818</v>
      </c>
      <c r="AI496" s="47">
        <v>71296</v>
      </c>
      <c r="AJ496" s="47">
        <v>125096</v>
      </c>
      <c r="AK496" s="47">
        <v>191502</v>
      </c>
      <c r="AL496" s="47">
        <v>186055</v>
      </c>
      <c r="AM496" s="47">
        <v>93455</v>
      </c>
      <c r="AN496" s="47">
        <v>130201</v>
      </c>
      <c r="AO496" s="47">
        <v>128235</v>
      </c>
      <c r="AP496" s="47">
        <v>176180</v>
      </c>
      <c r="AQ496" s="47">
        <v>98960</v>
      </c>
      <c r="AR496" s="47">
        <v>193485</v>
      </c>
      <c r="AS496" s="47"/>
      <c r="AT496" s="47"/>
      <c r="AU496" s="47"/>
      <c r="AV496" s="47"/>
      <c r="AW496" s="47"/>
      <c r="AX496" s="47"/>
      <c r="AY496" s="47"/>
      <c r="AZ496" s="47"/>
      <c r="BA496" s="47"/>
      <c r="BB496" s="47"/>
      <c r="BC496" s="47"/>
      <c r="BD496" s="47"/>
      <c r="BE496" s="47"/>
      <c r="BF496" s="47"/>
    </row>
    <row r="497" spans="1:58" hidden="1">
      <c r="A497" s="46" t="s">
        <v>287</v>
      </c>
      <c r="B497" s="46" t="s">
        <v>78</v>
      </c>
      <c r="C497" s="47">
        <v>6141</v>
      </c>
      <c r="D497" s="47">
        <v>4092</v>
      </c>
      <c r="E497" s="47">
        <v>2599</v>
      </c>
      <c r="F497" s="47">
        <v>1829</v>
      </c>
      <c r="G497" s="47">
        <v>3561</v>
      </c>
      <c r="H497" s="47">
        <v>7722</v>
      </c>
      <c r="I497" s="47">
        <v>10800</v>
      </c>
      <c r="J497" s="47">
        <v>12197</v>
      </c>
      <c r="K497" s="47">
        <v>8785</v>
      </c>
      <c r="L497" s="47">
        <v>9623</v>
      </c>
      <c r="M497" s="47">
        <v>9388</v>
      </c>
      <c r="N497" s="47">
        <v>13170</v>
      </c>
      <c r="O497" s="47">
        <v>12430</v>
      </c>
      <c r="P497" s="47">
        <v>12837</v>
      </c>
      <c r="Q497" s="85">
        <v>41.93</v>
      </c>
      <c r="R497" s="85">
        <v>36.47</v>
      </c>
      <c r="S497" s="85">
        <v>38.42</v>
      </c>
      <c r="T497" s="85">
        <v>33.68</v>
      </c>
      <c r="U497" s="85">
        <v>42.63</v>
      </c>
      <c r="V497" s="85">
        <v>38.020000000000003</v>
      </c>
      <c r="W497" s="85">
        <v>38.04</v>
      </c>
      <c r="X497" s="85">
        <v>33.26</v>
      </c>
      <c r="Y497" s="85">
        <v>27.26</v>
      </c>
      <c r="Z497" s="85">
        <v>34.549999999999997</v>
      </c>
      <c r="AA497" s="85">
        <v>40</v>
      </c>
      <c r="AB497" s="85">
        <v>40</v>
      </c>
      <c r="AC497" s="85">
        <v>37.340000000000003</v>
      </c>
      <c r="AD497" s="85">
        <v>39.4</v>
      </c>
      <c r="AE497" s="47">
        <v>257486</v>
      </c>
      <c r="AF497" s="47">
        <v>149230</v>
      </c>
      <c r="AG497" s="47">
        <v>99859</v>
      </c>
      <c r="AH497" s="47">
        <v>61601</v>
      </c>
      <c r="AI497" s="47">
        <v>151794</v>
      </c>
      <c r="AJ497" s="47">
        <v>293604</v>
      </c>
      <c r="AK497" s="47">
        <v>410828</v>
      </c>
      <c r="AL497" s="47">
        <v>405725</v>
      </c>
      <c r="AM497" s="47">
        <v>239495</v>
      </c>
      <c r="AN497" s="47">
        <v>332484</v>
      </c>
      <c r="AO497" s="47">
        <v>375520</v>
      </c>
      <c r="AP497" s="47">
        <v>526800</v>
      </c>
      <c r="AQ497" s="47">
        <v>464100</v>
      </c>
      <c r="AR497" s="47">
        <v>505808</v>
      </c>
      <c r="AS497" s="47"/>
      <c r="AT497" s="47"/>
      <c r="AU497" s="47"/>
      <c r="AV497" s="47"/>
      <c r="AW497" s="47"/>
      <c r="AX497" s="47"/>
      <c r="AY497" s="47"/>
      <c r="AZ497" s="47"/>
      <c r="BA497" s="47"/>
      <c r="BB497" s="47"/>
      <c r="BC497" s="47"/>
      <c r="BD497" s="47"/>
      <c r="BE497" s="47"/>
      <c r="BF497" s="47"/>
    </row>
    <row r="498" spans="1:58" hidden="1">
      <c r="A498" s="46" t="s">
        <v>287</v>
      </c>
      <c r="B498" s="46" t="s">
        <v>79</v>
      </c>
      <c r="C498" s="47">
        <v>2432</v>
      </c>
      <c r="D498" s="47">
        <v>3760</v>
      </c>
      <c r="E498" s="47">
        <v>5540</v>
      </c>
      <c r="F498" s="47">
        <v>6214</v>
      </c>
      <c r="G498" s="47">
        <v>6292</v>
      </c>
      <c r="H498" s="47">
        <v>6623</v>
      </c>
      <c r="I498" s="47">
        <v>6508</v>
      </c>
      <c r="J498" s="47">
        <v>11860</v>
      </c>
      <c r="K498" s="47">
        <v>16900</v>
      </c>
      <c r="L498" s="47">
        <v>16325</v>
      </c>
      <c r="M498" s="47">
        <v>8599</v>
      </c>
      <c r="N498" s="47">
        <v>6937</v>
      </c>
      <c r="O498" s="47">
        <v>7302</v>
      </c>
      <c r="P498" s="47">
        <v>10105</v>
      </c>
      <c r="Q498" s="85">
        <v>16.36</v>
      </c>
      <c r="R498" s="85">
        <v>17.11</v>
      </c>
      <c r="S498" s="85">
        <v>15.98</v>
      </c>
      <c r="T498" s="85">
        <v>16.98</v>
      </c>
      <c r="U498" s="85">
        <v>17.170000000000002</v>
      </c>
      <c r="V498" s="85">
        <v>17.239999999999998</v>
      </c>
      <c r="W498" s="85">
        <v>17.48</v>
      </c>
      <c r="X498" s="85">
        <v>16.03</v>
      </c>
      <c r="Y498" s="85">
        <v>12.6</v>
      </c>
      <c r="Z498" s="85">
        <v>14.66</v>
      </c>
      <c r="AA498" s="85">
        <v>17.27</v>
      </c>
      <c r="AB498" s="85">
        <v>11.63</v>
      </c>
      <c r="AC498" s="85">
        <v>10.28</v>
      </c>
      <c r="AD498" s="85">
        <v>13.14</v>
      </c>
      <c r="AE498" s="47">
        <v>39787</v>
      </c>
      <c r="AF498" s="47">
        <v>64325</v>
      </c>
      <c r="AG498" s="47">
        <v>88536</v>
      </c>
      <c r="AH498" s="47">
        <v>105484</v>
      </c>
      <c r="AI498" s="47">
        <v>108012</v>
      </c>
      <c r="AJ498" s="47">
        <v>114194</v>
      </c>
      <c r="AK498" s="47">
        <v>113751</v>
      </c>
      <c r="AL498" s="47">
        <v>190164</v>
      </c>
      <c r="AM498" s="47">
        <v>212950</v>
      </c>
      <c r="AN498" s="47">
        <v>239390</v>
      </c>
      <c r="AO498" s="47">
        <v>148493</v>
      </c>
      <c r="AP498" s="47">
        <v>80684</v>
      </c>
      <c r="AQ498" s="47">
        <v>75090</v>
      </c>
      <c r="AR498" s="47">
        <v>132795</v>
      </c>
      <c r="AS498" s="47"/>
      <c r="AT498" s="47"/>
      <c r="AU498" s="47"/>
      <c r="AV498" s="47"/>
      <c r="AW498" s="47"/>
      <c r="AX498" s="47"/>
      <c r="AY498" s="47"/>
      <c r="AZ498" s="47"/>
      <c r="BA498" s="47"/>
      <c r="BB498" s="47"/>
      <c r="BC498" s="47"/>
      <c r="BD498" s="47"/>
      <c r="BE498" s="47"/>
      <c r="BF498" s="47"/>
    </row>
    <row r="499" spans="1:58" hidden="1">
      <c r="A499" s="46" t="s">
        <v>287</v>
      </c>
      <c r="B499" s="46" t="s">
        <v>80</v>
      </c>
      <c r="C499" s="47">
        <v>82</v>
      </c>
      <c r="D499" s="47">
        <v>103</v>
      </c>
      <c r="E499" s="47">
        <v>70</v>
      </c>
      <c r="F499" s="47">
        <v>60</v>
      </c>
      <c r="G499" s="47">
        <v>34</v>
      </c>
      <c r="H499" s="47">
        <v>43</v>
      </c>
      <c r="I499" s="47">
        <v>69</v>
      </c>
      <c r="J499" s="47">
        <v>164</v>
      </c>
      <c r="K499" s="47">
        <v>184</v>
      </c>
      <c r="L499" s="47">
        <v>190</v>
      </c>
      <c r="M499" s="47">
        <v>322</v>
      </c>
      <c r="N499" s="47">
        <v>298</v>
      </c>
      <c r="O499" s="47">
        <v>334</v>
      </c>
      <c r="P499" s="47">
        <v>372</v>
      </c>
      <c r="Q499" s="85">
        <v>17.37</v>
      </c>
      <c r="R499" s="85">
        <v>14.68</v>
      </c>
      <c r="S499" s="85">
        <v>16.87</v>
      </c>
      <c r="T499" s="85">
        <v>15.87</v>
      </c>
      <c r="U499" s="85">
        <v>15</v>
      </c>
      <c r="V499" s="85">
        <v>13.4</v>
      </c>
      <c r="W499" s="85">
        <v>12</v>
      </c>
      <c r="X499" s="85">
        <v>11.76</v>
      </c>
      <c r="Y499" s="85">
        <v>12.17</v>
      </c>
      <c r="Z499" s="85">
        <v>13.21</v>
      </c>
      <c r="AA499" s="85">
        <v>11.55</v>
      </c>
      <c r="AB499" s="85">
        <v>11.77</v>
      </c>
      <c r="AC499" s="85">
        <v>10.43</v>
      </c>
      <c r="AD499" s="85">
        <v>12.19</v>
      </c>
      <c r="AE499" s="47">
        <v>1424</v>
      </c>
      <c r="AF499" s="47">
        <v>1512</v>
      </c>
      <c r="AG499" s="47">
        <v>1181</v>
      </c>
      <c r="AH499" s="47">
        <v>952</v>
      </c>
      <c r="AI499" s="47">
        <v>510</v>
      </c>
      <c r="AJ499" s="47">
        <v>576</v>
      </c>
      <c r="AK499" s="47">
        <v>828</v>
      </c>
      <c r="AL499" s="47">
        <v>1928</v>
      </c>
      <c r="AM499" s="47">
        <v>2240</v>
      </c>
      <c r="AN499" s="47">
        <v>2510</v>
      </c>
      <c r="AO499" s="47">
        <v>3718</v>
      </c>
      <c r="AP499" s="47">
        <v>3506</v>
      </c>
      <c r="AQ499" s="47">
        <v>3485</v>
      </c>
      <c r="AR499" s="47">
        <v>4536</v>
      </c>
      <c r="AS499" s="47"/>
      <c r="AT499" s="47"/>
      <c r="AU499" s="47"/>
      <c r="AV499" s="47"/>
      <c r="AW499" s="47"/>
      <c r="AX499" s="47"/>
      <c r="AY499" s="47"/>
      <c r="AZ499" s="47"/>
      <c r="BA499" s="47"/>
      <c r="BB499" s="47"/>
      <c r="BC499" s="47"/>
      <c r="BD499" s="47"/>
      <c r="BE499" s="47"/>
      <c r="BF499" s="47"/>
    </row>
    <row r="500" spans="1:58" hidden="1">
      <c r="A500" s="46" t="s">
        <v>287</v>
      </c>
      <c r="B500" s="46" t="s">
        <v>81</v>
      </c>
      <c r="C500" s="47">
        <v>0</v>
      </c>
      <c r="D500" s="47">
        <v>0</v>
      </c>
      <c r="E500" s="47">
        <v>0</v>
      </c>
      <c r="F500" s="47">
        <v>0</v>
      </c>
      <c r="G500" s="47">
        <v>0</v>
      </c>
      <c r="H500" s="47">
        <v>0</v>
      </c>
      <c r="I500" s="47">
        <v>0</v>
      </c>
      <c r="J500" s="47">
        <v>0</v>
      </c>
      <c r="K500" s="47">
        <v>0</v>
      </c>
      <c r="L500" s="47">
        <v>0</v>
      </c>
      <c r="M500" s="47">
        <v>68</v>
      </c>
      <c r="N500" s="47">
        <v>59</v>
      </c>
      <c r="O500" s="47">
        <v>33</v>
      </c>
      <c r="P500" s="47">
        <v>53</v>
      </c>
      <c r="Q500" s="85"/>
      <c r="R500" s="85"/>
      <c r="S500" s="85"/>
      <c r="T500" s="85"/>
      <c r="U500" s="85"/>
      <c r="V500" s="85"/>
      <c r="W500" s="85"/>
      <c r="X500" s="85"/>
      <c r="Y500" s="85"/>
      <c r="Z500" s="85"/>
      <c r="AA500" s="85"/>
      <c r="AB500" s="85"/>
      <c r="AC500" s="85"/>
      <c r="AD500" s="85"/>
      <c r="AE500" s="47">
        <v>0</v>
      </c>
      <c r="AF500" s="47">
        <v>0</v>
      </c>
      <c r="AG500" s="47">
        <v>0</v>
      </c>
      <c r="AH500" s="47">
        <v>0</v>
      </c>
      <c r="AI500" s="47">
        <v>0</v>
      </c>
      <c r="AJ500" s="47">
        <v>0</v>
      </c>
      <c r="AK500" s="47">
        <v>0</v>
      </c>
      <c r="AL500" s="47">
        <v>0</v>
      </c>
      <c r="AM500" s="47">
        <v>0</v>
      </c>
      <c r="AN500" s="47">
        <v>0</v>
      </c>
      <c r="AO500" s="47">
        <v>680</v>
      </c>
      <c r="AP500" s="47">
        <v>590</v>
      </c>
      <c r="AQ500" s="47">
        <v>446</v>
      </c>
      <c r="AR500" s="47">
        <v>815</v>
      </c>
      <c r="AS500" s="47"/>
      <c r="AT500" s="47"/>
      <c r="AU500" s="47"/>
      <c r="AV500" s="47"/>
      <c r="AW500" s="47"/>
      <c r="AX500" s="47"/>
      <c r="AY500" s="47"/>
      <c r="AZ500" s="47"/>
      <c r="BA500" s="47"/>
      <c r="BB500" s="47"/>
      <c r="BC500" s="47"/>
      <c r="BD500" s="47"/>
      <c r="BE500" s="47"/>
      <c r="BF500" s="47"/>
    </row>
    <row r="501" spans="1:58" hidden="1">
      <c r="A501" s="46" t="s">
        <v>287</v>
      </c>
      <c r="B501" s="46" t="s">
        <v>82</v>
      </c>
      <c r="C501" s="47">
        <v>24616</v>
      </c>
      <c r="D501" s="47">
        <v>20269</v>
      </c>
      <c r="E501" s="47">
        <v>16264</v>
      </c>
      <c r="F501" s="47">
        <v>14222</v>
      </c>
      <c r="G501" s="47">
        <v>19043</v>
      </c>
      <c r="H501" s="47">
        <v>32164</v>
      </c>
      <c r="I501" s="47">
        <v>41076</v>
      </c>
      <c r="J501" s="47">
        <v>49164</v>
      </c>
      <c r="K501" s="47">
        <v>47309</v>
      </c>
      <c r="L501" s="47">
        <v>49374</v>
      </c>
      <c r="M501" s="47">
        <v>42515</v>
      </c>
      <c r="N501" s="47">
        <v>47758</v>
      </c>
      <c r="O501" s="47">
        <v>38861</v>
      </c>
      <c r="P501" s="47">
        <v>47217</v>
      </c>
      <c r="Q501" s="85">
        <v>25.65</v>
      </c>
      <c r="R501" s="85">
        <v>20.079999999999998</v>
      </c>
      <c r="S501" s="85">
        <v>20.65</v>
      </c>
      <c r="T501" s="85">
        <v>19.170000000000002</v>
      </c>
      <c r="U501" s="85">
        <v>23.3</v>
      </c>
      <c r="V501" s="85">
        <v>23.55</v>
      </c>
      <c r="W501" s="85">
        <v>24.18</v>
      </c>
      <c r="X501" s="85">
        <v>20.52</v>
      </c>
      <c r="Y501" s="85">
        <v>14.73</v>
      </c>
      <c r="Z501" s="85">
        <v>20.77</v>
      </c>
      <c r="AA501" s="85">
        <v>19.920000000000002</v>
      </c>
      <c r="AB501" s="85">
        <v>23.29</v>
      </c>
      <c r="AC501" s="85">
        <v>21.08</v>
      </c>
      <c r="AD501" s="85">
        <v>23.32</v>
      </c>
      <c r="AE501" s="47">
        <v>631440</v>
      </c>
      <c r="AF501" s="47">
        <v>407079</v>
      </c>
      <c r="AG501" s="47">
        <v>335792</v>
      </c>
      <c r="AH501" s="47">
        <v>272623</v>
      </c>
      <c r="AI501" s="47">
        <v>443760</v>
      </c>
      <c r="AJ501" s="47">
        <v>757336</v>
      </c>
      <c r="AK501" s="47">
        <v>993292</v>
      </c>
      <c r="AL501" s="47">
        <v>1008862</v>
      </c>
      <c r="AM501" s="47">
        <v>696940</v>
      </c>
      <c r="AN501" s="47">
        <v>1025329</v>
      </c>
      <c r="AO501" s="47">
        <v>846866</v>
      </c>
      <c r="AP501" s="47">
        <v>1112339</v>
      </c>
      <c r="AQ501" s="47">
        <v>819173</v>
      </c>
      <c r="AR501" s="47">
        <v>1100926</v>
      </c>
      <c r="AS501" s="47"/>
      <c r="AT501" s="47"/>
      <c r="AU501" s="47"/>
      <c r="AV501" s="47"/>
      <c r="AW501" s="47"/>
      <c r="AX501" s="47"/>
      <c r="AY501" s="47"/>
      <c r="AZ501" s="47"/>
      <c r="BA501" s="47"/>
      <c r="BB501" s="47"/>
      <c r="BC501" s="47"/>
      <c r="BD501" s="47"/>
      <c r="BE501" s="47"/>
      <c r="BF501" s="47"/>
    </row>
    <row r="502" spans="1:58" hidden="1">
      <c r="A502" s="46" t="s">
        <v>288</v>
      </c>
      <c r="B502" s="46" t="s">
        <v>251</v>
      </c>
      <c r="C502" s="47">
        <v>226396</v>
      </c>
      <c r="D502" s="47">
        <v>221549</v>
      </c>
      <c r="E502" s="47">
        <v>227340</v>
      </c>
      <c r="F502" s="47">
        <v>231202</v>
      </c>
      <c r="G502" s="47">
        <v>217248</v>
      </c>
      <c r="H502" s="47">
        <v>226283</v>
      </c>
      <c r="I502" s="47">
        <v>239780</v>
      </c>
      <c r="J502" s="47">
        <v>218304</v>
      </c>
      <c r="K502" s="47">
        <v>216204</v>
      </c>
      <c r="L502" s="47">
        <v>216064</v>
      </c>
      <c r="M502" s="47">
        <v>197870</v>
      </c>
      <c r="N502" s="47">
        <v>221615</v>
      </c>
      <c r="O502" s="47">
        <v>208180</v>
      </c>
      <c r="P502" s="47">
        <v>214140</v>
      </c>
      <c r="Q502" s="85">
        <v>63.43</v>
      </c>
      <c r="R502" s="85">
        <v>55.54</v>
      </c>
      <c r="S502" s="85">
        <v>63.29</v>
      </c>
      <c r="T502" s="85">
        <v>62.46</v>
      </c>
      <c r="U502" s="85">
        <v>61.61</v>
      </c>
      <c r="V502" s="85">
        <v>60.88</v>
      </c>
      <c r="W502" s="85">
        <v>57.55</v>
      </c>
      <c r="X502" s="85">
        <v>62.18</v>
      </c>
      <c r="Y502" s="85">
        <v>59.27</v>
      </c>
      <c r="Z502" s="85">
        <v>58.44</v>
      </c>
      <c r="AA502" s="85">
        <v>55.76</v>
      </c>
      <c r="AB502" s="85">
        <v>60.54</v>
      </c>
      <c r="AC502" s="85">
        <v>51.91</v>
      </c>
      <c r="AD502" s="85">
        <v>61.87</v>
      </c>
      <c r="AE502" s="47">
        <v>14360819</v>
      </c>
      <c r="AF502" s="47">
        <v>12304625</v>
      </c>
      <c r="AG502" s="47">
        <v>14388720</v>
      </c>
      <c r="AH502" s="47">
        <v>14440094</v>
      </c>
      <c r="AI502" s="47">
        <v>13384706</v>
      </c>
      <c r="AJ502" s="47">
        <v>13775896</v>
      </c>
      <c r="AK502" s="47">
        <v>13799285</v>
      </c>
      <c r="AL502" s="47">
        <v>13574538</v>
      </c>
      <c r="AM502" s="47">
        <v>12813913</v>
      </c>
      <c r="AN502" s="47">
        <v>12626429</v>
      </c>
      <c r="AO502" s="47">
        <v>11033950</v>
      </c>
      <c r="AP502" s="47">
        <v>13416250</v>
      </c>
      <c r="AQ502" s="47">
        <v>10807520</v>
      </c>
      <c r="AR502" s="47">
        <v>13249290</v>
      </c>
      <c r="AS502" s="47"/>
      <c r="AT502" s="47"/>
      <c r="AU502" s="47"/>
      <c r="AV502" s="47"/>
      <c r="AW502" s="47"/>
      <c r="AX502" s="47"/>
      <c r="AY502" s="47"/>
      <c r="AZ502" s="47"/>
      <c r="BA502" s="47"/>
      <c r="BB502" s="47"/>
      <c r="BC502" s="47"/>
      <c r="BD502" s="47"/>
      <c r="BE502" s="47"/>
      <c r="BF502" s="47"/>
    </row>
    <row r="503" spans="1:58" hidden="1">
      <c r="A503" s="46" t="s">
        <v>288</v>
      </c>
      <c r="B503" s="46" t="s">
        <v>252</v>
      </c>
      <c r="C503" s="47">
        <v>415</v>
      </c>
      <c r="D503" s="47">
        <v>990</v>
      </c>
      <c r="E503" s="47">
        <v>965</v>
      </c>
      <c r="F503" s="47">
        <v>550</v>
      </c>
      <c r="G503" s="47">
        <v>1355</v>
      </c>
      <c r="H503" s="47">
        <v>1625</v>
      </c>
      <c r="I503" s="47">
        <v>705</v>
      </c>
      <c r="J503" s="47">
        <v>955</v>
      </c>
      <c r="K503" s="47">
        <v>955</v>
      </c>
      <c r="L503" s="47">
        <v>1155</v>
      </c>
      <c r="M503" s="47">
        <v>2175</v>
      </c>
      <c r="N503" s="47">
        <v>880</v>
      </c>
      <c r="O503" s="47">
        <v>1150</v>
      </c>
      <c r="P503" s="47">
        <v>1200</v>
      </c>
      <c r="Q503" s="85">
        <v>40.32</v>
      </c>
      <c r="R503" s="85">
        <v>37.729999999999997</v>
      </c>
      <c r="S503" s="85">
        <v>44.11</v>
      </c>
      <c r="T503" s="85">
        <v>40.130000000000003</v>
      </c>
      <c r="U503" s="85">
        <v>40.33</v>
      </c>
      <c r="V503" s="85">
        <v>41.32</v>
      </c>
      <c r="W503" s="85">
        <v>38.6</v>
      </c>
      <c r="X503" s="85">
        <v>38.92</v>
      </c>
      <c r="Y503" s="85">
        <v>36.42</v>
      </c>
      <c r="Z503" s="85">
        <v>37.92</v>
      </c>
      <c r="AA503" s="85">
        <v>37.58</v>
      </c>
      <c r="AB503" s="85">
        <v>41.57</v>
      </c>
      <c r="AC503" s="85">
        <v>32.979999999999997</v>
      </c>
      <c r="AD503" s="85">
        <v>38.729999999999997</v>
      </c>
      <c r="AE503" s="47">
        <v>16734</v>
      </c>
      <c r="AF503" s="47">
        <v>37350</v>
      </c>
      <c r="AG503" s="47">
        <v>42565</v>
      </c>
      <c r="AH503" s="47">
        <v>22070</v>
      </c>
      <c r="AI503" s="47">
        <v>54650</v>
      </c>
      <c r="AJ503" s="47">
        <v>67145</v>
      </c>
      <c r="AK503" s="47">
        <v>27210</v>
      </c>
      <c r="AL503" s="47">
        <v>37170</v>
      </c>
      <c r="AM503" s="47">
        <v>34780</v>
      </c>
      <c r="AN503" s="47">
        <v>43798</v>
      </c>
      <c r="AO503" s="47">
        <v>81745</v>
      </c>
      <c r="AP503" s="47">
        <v>36585</v>
      </c>
      <c r="AQ503" s="47">
        <v>37930</v>
      </c>
      <c r="AR503" s="47">
        <v>46470</v>
      </c>
      <c r="AS503" s="47"/>
      <c r="AT503" s="47"/>
      <c r="AU503" s="47"/>
      <c r="AV503" s="47"/>
      <c r="AW503" s="47"/>
      <c r="AX503" s="47"/>
      <c r="AY503" s="47"/>
      <c r="AZ503" s="47"/>
      <c r="BA503" s="47"/>
      <c r="BB503" s="47"/>
      <c r="BC503" s="47"/>
      <c r="BD503" s="47"/>
      <c r="BE503" s="47"/>
      <c r="BF503" s="47"/>
    </row>
    <row r="504" spans="1:58" hidden="1">
      <c r="A504" s="46" t="s">
        <v>288</v>
      </c>
      <c r="B504" s="46" t="s">
        <v>253</v>
      </c>
      <c r="C504" s="47">
        <v>226811</v>
      </c>
      <c r="D504" s="47">
        <v>222539</v>
      </c>
      <c r="E504" s="47">
        <v>228305</v>
      </c>
      <c r="F504" s="47">
        <v>231752</v>
      </c>
      <c r="G504" s="47">
        <v>218603</v>
      </c>
      <c r="H504" s="47">
        <v>227908</v>
      </c>
      <c r="I504" s="47">
        <v>240485</v>
      </c>
      <c r="J504" s="47">
        <v>219259</v>
      </c>
      <c r="K504" s="47">
        <v>217159</v>
      </c>
      <c r="L504" s="47">
        <v>217219</v>
      </c>
      <c r="M504" s="47">
        <v>200045</v>
      </c>
      <c r="N504" s="47">
        <v>222495</v>
      </c>
      <c r="O504" s="47">
        <v>209330</v>
      </c>
      <c r="P504" s="47">
        <v>215340</v>
      </c>
      <c r="Q504" s="85">
        <v>63.39</v>
      </c>
      <c r="R504" s="85">
        <v>55.46</v>
      </c>
      <c r="S504" s="85">
        <v>63.21</v>
      </c>
      <c r="T504" s="85">
        <v>62.4</v>
      </c>
      <c r="U504" s="85">
        <v>61.48</v>
      </c>
      <c r="V504" s="85">
        <v>60.74</v>
      </c>
      <c r="W504" s="85">
        <v>57.49</v>
      </c>
      <c r="X504" s="85">
        <v>62.08</v>
      </c>
      <c r="Y504" s="85">
        <v>59.17</v>
      </c>
      <c r="Z504" s="85">
        <v>58.33</v>
      </c>
      <c r="AA504" s="85">
        <v>55.57</v>
      </c>
      <c r="AB504" s="85">
        <v>60.46</v>
      </c>
      <c r="AC504" s="85">
        <v>51.81</v>
      </c>
      <c r="AD504" s="85">
        <v>61.74</v>
      </c>
      <c r="AE504" s="47">
        <v>14377553</v>
      </c>
      <c r="AF504" s="47">
        <v>12341975</v>
      </c>
      <c r="AG504" s="47">
        <v>14431285</v>
      </c>
      <c r="AH504" s="47">
        <v>14462164</v>
      </c>
      <c r="AI504" s="47">
        <v>13439356</v>
      </c>
      <c r="AJ504" s="47">
        <v>13843041</v>
      </c>
      <c r="AK504" s="47">
        <v>13826495</v>
      </c>
      <c r="AL504" s="47">
        <v>13611708</v>
      </c>
      <c r="AM504" s="47">
        <v>12848693</v>
      </c>
      <c r="AN504" s="47">
        <v>12670227</v>
      </c>
      <c r="AO504" s="47">
        <v>11115695</v>
      </c>
      <c r="AP504" s="47">
        <v>13452835</v>
      </c>
      <c r="AQ504" s="47">
        <v>10845450</v>
      </c>
      <c r="AR504" s="47">
        <v>13295760</v>
      </c>
      <c r="AS504" s="47"/>
      <c r="AT504" s="47"/>
      <c r="AU504" s="47"/>
      <c r="AV504" s="47"/>
      <c r="AW504" s="47"/>
      <c r="AX504" s="47"/>
      <c r="AY504" s="47"/>
      <c r="AZ504" s="47"/>
      <c r="BA504" s="47"/>
      <c r="BB504" s="47"/>
      <c r="BC504" s="47"/>
      <c r="BD504" s="47"/>
      <c r="BE504" s="47"/>
      <c r="BF504" s="47"/>
    </row>
    <row r="505" spans="1:58" hidden="1">
      <c r="A505" s="46" t="s">
        <v>288</v>
      </c>
      <c r="B505" s="46" t="s">
        <v>254</v>
      </c>
      <c r="C505" s="47">
        <v>10738</v>
      </c>
      <c r="D505" s="47">
        <v>9133</v>
      </c>
      <c r="E505" s="47">
        <v>9001</v>
      </c>
      <c r="F505" s="47">
        <v>7532</v>
      </c>
      <c r="G505" s="47">
        <v>6071</v>
      </c>
      <c r="H505" s="47">
        <v>7692</v>
      </c>
      <c r="I505" s="47">
        <v>10059</v>
      </c>
      <c r="J505" s="47">
        <v>10592</v>
      </c>
      <c r="K505" s="47">
        <v>11508</v>
      </c>
      <c r="L505" s="47">
        <v>8530</v>
      </c>
      <c r="M505" s="47">
        <v>7670</v>
      </c>
      <c r="N505" s="47">
        <v>9640</v>
      </c>
      <c r="O505" s="47">
        <v>9635</v>
      </c>
      <c r="P505" s="47">
        <v>9355</v>
      </c>
      <c r="Q505" s="85">
        <v>50.48</v>
      </c>
      <c r="R505" s="85">
        <v>38.71</v>
      </c>
      <c r="S505" s="85">
        <v>52.46</v>
      </c>
      <c r="T505" s="85">
        <v>53.72</v>
      </c>
      <c r="U505" s="85">
        <v>45.55</v>
      </c>
      <c r="V505" s="85">
        <v>53.18</v>
      </c>
      <c r="W505" s="85">
        <v>54.86</v>
      </c>
      <c r="X505" s="85">
        <v>61.65</v>
      </c>
      <c r="Y505" s="85">
        <v>50.22</v>
      </c>
      <c r="Z505" s="85">
        <v>54.15</v>
      </c>
      <c r="AA505" s="85">
        <v>54.11</v>
      </c>
      <c r="AB505" s="85">
        <v>62.41</v>
      </c>
      <c r="AC505" s="85">
        <v>56.31</v>
      </c>
      <c r="AD505" s="85">
        <v>56.6</v>
      </c>
      <c r="AE505" s="47">
        <v>542019</v>
      </c>
      <c r="AF505" s="47">
        <v>353520</v>
      </c>
      <c r="AG505" s="47">
        <v>472232</v>
      </c>
      <c r="AH505" s="47">
        <v>404620</v>
      </c>
      <c r="AI505" s="47">
        <v>276555</v>
      </c>
      <c r="AJ505" s="47">
        <v>409090</v>
      </c>
      <c r="AK505" s="47">
        <v>551858</v>
      </c>
      <c r="AL505" s="47">
        <v>653015</v>
      </c>
      <c r="AM505" s="47">
        <v>577988</v>
      </c>
      <c r="AN505" s="47">
        <v>461858</v>
      </c>
      <c r="AO505" s="47">
        <v>415010</v>
      </c>
      <c r="AP505" s="47">
        <v>601680</v>
      </c>
      <c r="AQ505" s="47">
        <v>542590</v>
      </c>
      <c r="AR505" s="47">
        <v>529465</v>
      </c>
      <c r="AS505" s="47"/>
      <c r="AT505" s="47"/>
      <c r="AU505" s="47"/>
      <c r="AV505" s="47"/>
      <c r="AW505" s="47"/>
      <c r="AX505" s="47"/>
      <c r="AY505" s="47"/>
      <c r="AZ505" s="47"/>
      <c r="BA505" s="47"/>
      <c r="BB505" s="47"/>
      <c r="BC505" s="47"/>
      <c r="BD505" s="47"/>
      <c r="BE505" s="47"/>
      <c r="BF505" s="47"/>
    </row>
    <row r="506" spans="1:58" hidden="1">
      <c r="A506" s="46" t="s">
        <v>288</v>
      </c>
      <c r="B506" s="46" t="s">
        <v>255</v>
      </c>
      <c r="C506" s="47">
        <v>70</v>
      </c>
      <c r="D506" s="47">
        <v>50</v>
      </c>
      <c r="E506" s="47">
        <v>20</v>
      </c>
      <c r="F506" s="47">
        <v>35</v>
      </c>
      <c r="G506" s="47">
        <v>0</v>
      </c>
      <c r="H506" s="47">
        <v>0</v>
      </c>
      <c r="I506" s="47">
        <v>0</v>
      </c>
      <c r="J506" s="47">
        <v>0</v>
      </c>
      <c r="K506" s="47">
        <v>0</v>
      </c>
      <c r="L506" s="47">
        <v>0</v>
      </c>
      <c r="M506" s="47">
        <v>235</v>
      </c>
      <c r="N506" s="47">
        <v>75</v>
      </c>
      <c r="O506" s="47">
        <v>72</v>
      </c>
      <c r="P506" s="47">
        <v>440</v>
      </c>
      <c r="Q506" s="85">
        <v>45.99</v>
      </c>
      <c r="R506" s="85">
        <v>40</v>
      </c>
      <c r="S506" s="85">
        <v>40</v>
      </c>
      <c r="T506" s="85">
        <v>40</v>
      </c>
      <c r="U506" s="85"/>
      <c r="V506" s="85"/>
      <c r="W506" s="85"/>
      <c r="X506" s="85"/>
      <c r="Y506" s="85"/>
      <c r="Z506" s="85"/>
      <c r="AA506" s="85">
        <v>35.21</v>
      </c>
      <c r="AB506" s="85">
        <v>45</v>
      </c>
      <c r="AC506" s="85">
        <v>35.619999999999997</v>
      </c>
      <c r="AD506" s="85">
        <v>37.57</v>
      </c>
      <c r="AE506" s="47">
        <v>3219</v>
      </c>
      <c r="AF506" s="47">
        <v>2000</v>
      </c>
      <c r="AG506" s="47">
        <v>800</v>
      </c>
      <c r="AH506" s="47">
        <v>1400</v>
      </c>
      <c r="AI506" s="47">
        <v>0</v>
      </c>
      <c r="AJ506" s="47">
        <v>0</v>
      </c>
      <c r="AK506" s="47">
        <v>0</v>
      </c>
      <c r="AL506" s="47">
        <v>0</v>
      </c>
      <c r="AM506" s="47">
        <v>0</v>
      </c>
      <c r="AN506" s="47">
        <v>0</v>
      </c>
      <c r="AO506" s="47">
        <v>8275</v>
      </c>
      <c r="AP506" s="47">
        <v>3375</v>
      </c>
      <c r="AQ506" s="47">
        <v>2565</v>
      </c>
      <c r="AR506" s="47">
        <v>16530</v>
      </c>
      <c r="AS506" s="47"/>
      <c r="AT506" s="47"/>
      <c r="AU506" s="47"/>
      <c r="AV506" s="47"/>
      <c r="AW506" s="47"/>
      <c r="AX506" s="47"/>
      <c r="AY506" s="47"/>
      <c r="AZ506" s="47"/>
      <c r="BA506" s="47"/>
      <c r="BB506" s="47"/>
      <c r="BC506" s="47"/>
      <c r="BD506" s="47"/>
      <c r="BE506" s="47"/>
      <c r="BF506" s="47"/>
    </row>
    <row r="507" spans="1:58" hidden="1">
      <c r="A507" s="46" t="s">
        <v>288</v>
      </c>
      <c r="B507" s="46" t="s">
        <v>256</v>
      </c>
      <c r="C507" s="47">
        <v>10808</v>
      </c>
      <c r="D507" s="47">
        <v>9183</v>
      </c>
      <c r="E507" s="47">
        <v>9021</v>
      </c>
      <c r="F507" s="47">
        <v>7567</v>
      </c>
      <c r="G507" s="47">
        <v>6071</v>
      </c>
      <c r="H507" s="47">
        <v>7692</v>
      </c>
      <c r="I507" s="47">
        <v>10059</v>
      </c>
      <c r="J507" s="47">
        <v>10592</v>
      </c>
      <c r="K507" s="47">
        <v>11508</v>
      </c>
      <c r="L507" s="47">
        <v>8530</v>
      </c>
      <c r="M507" s="47">
        <v>7905</v>
      </c>
      <c r="N507" s="47">
        <v>9715</v>
      </c>
      <c r="O507" s="47">
        <v>9707</v>
      </c>
      <c r="P507" s="47">
        <v>9795</v>
      </c>
      <c r="Q507" s="85">
        <v>50.45</v>
      </c>
      <c r="R507" s="85">
        <v>38.72</v>
      </c>
      <c r="S507" s="85">
        <v>52.44</v>
      </c>
      <c r="T507" s="85">
        <v>53.66</v>
      </c>
      <c r="U507" s="85">
        <v>45.55</v>
      </c>
      <c r="V507" s="85">
        <v>53.18</v>
      </c>
      <c r="W507" s="85">
        <v>54.86</v>
      </c>
      <c r="X507" s="85">
        <v>61.65</v>
      </c>
      <c r="Y507" s="85">
        <v>50.22</v>
      </c>
      <c r="Z507" s="85">
        <v>54.15</v>
      </c>
      <c r="AA507" s="85">
        <v>53.55</v>
      </c>
      <c r="AB507" s="85">
        <v>62.28</v>
      </c>
      <c r="AC507" s="85">
        <v>56.16</v>
      </c>
      <c r="AD507" s="85">
        <v>55.74</v>
      </c>
      <c r="AE507" s="47">
        <v>545238</v>
      </c>
      <c r="AF507" s="47">
        <v>355520</v>
      </c>
      <c r="AG507" s="47">
        <v>473032</v>
      </c>
      <c r="AH507" s="47">
        <v>406020</v>
      </c>
      <c r="AI507" s="47">
        <v>276555</v>
      </c>
      <c r="AJ507" s="47">
        <v>409090</v>
      </c>
      <c r="AK507" s="47">
        <v>551858</v>
      </c>
      <c r="AL507" s="47">
        <v>653015</v>
      </c>
      <c r="AM507" s="47">
        <v>577988</v>
      </c>
      <c r="AN507" s="47">
        <v>461858</v>
      </c>
      <c r="AO507" s="47">
        <v>423285</v>
      </c>
      <c r="AP507" s="47">
        <v>605055</v>
      </c>
      <c r="AQ507" s="47">
        <v>545155</v>
      </c>
      <c r="AR507" s="47">
        <v>545995</v>
      </c>
      <c r="AS507" s="47"/>
      <c r="AT507" s="47"/>
      <c r="AU507" s="47"/>
      <c r="AV507" s="47"/>
      <c r="AW507" s="47"/>
      <c r="AX507" s="47"/>
      <c r="AY507" s="47"/>
      <c r="AZ507" s="47"/>
      <c r="BA507" s="47"/>
      <c r="BB507" s="47"/>
      <c r="BC507" s="47"/>
      <c r="BD507" s="47"/>
      <c r="BE507" s="47"/>
      <c r="BF507" s="47"/>
    </row>
    <row r="508" spans="1:58" hidden="1">
      <c r="A508" s="46" t="s">
        <v>288</v>
      </c>
      <c r="B508" s="46" t="s">
        <v>257</v>
      </c>
      <c r="C508" s="47">
        <v>7420</v>
      </c>
      <c r="D508" s="47">
        <v>7150</v>
      </c>
      <c r="E508" s="47">
        <v>8060</v>
      </c>
      <c r="F508" s="47">
        <v>8050</v>
      </c>
      <c r="G508" s="47">
        <v>7240</v>
      </c>
      <c r="H508" s="47">
        <v>7983</v>
      </c>
      <c r="I508" s="47">
        <v>8376</v>
      </c>
      <c r="J508" s="47">
        <v>7690</v>
      </c>
      <c r="K508" s="47">
        <v>7110</v>
      </c>
      <c r="L508" s="47">
        <v>8146</v>
      </c>
      <c r="M508" s="47">
        <v>8000</v>
      </c>
      <c r="N508" s="47">
        <v>9905</v>
      </c>
      <c r="O508" s="47">
        <v>9740</v>
      </c>
      <c r="P508" s="47">
        <v>10025</v>
      </c>
      <c r="Q508" s="85">
        <v>46.63</v>
      </c>
      <c r="R508" s="85">
        <v>38.369999999999997</v>
      </c>
      <c r="S508" s="85">
        <v>46.16</v>
      </c>
      <c r="T508" s="85">
        <v>45.6</v>
      </c>
      <c r="U508" s="85">
        <v>43.46</v>
      </c>
      <c r="V508" s="85">
        <v>42.98</v>
      </c>
      <c r="W508" s="85">
        <v>43.63</v>
      </c>
      <c r="X508" s="85">
        <v>43.26</v>
      </c>
      <c r="Y508" s="85">
        <v>43.11</v>
      </c>
      <c r="Z508" s="85">
        <v>45.38</v>
      </c>
      <c r="AA508" s="85">
        <v>41.19</v>
      </c>
      <c r="AB508" s="85">
        <v>44.3</v>
      </c>
      <c r="AC508" s="85">
        <v>35.86</v>
      </c>
      <c r="AD508" s="85">
        <v>43.21</v>
      </c>
      <c r="AE508" s="47">
        <v>346012</v>
      </c>
      <c r="AF508" s="47">
        <v>274350</v>
      </c>
      <c r="AG508" s="47">
        <v>372025</v>
      </c>
      <c r="AH508" s="47">
        <v>367070</v>
      </c>
      <c r="AI508" s="47">
        <v>314650</v>
      </c>
      <c r="AJ508" s="47">
        <v>343079</v>
      </c>
      <c r="AK508" s="47">
        <v>365419</v>
      </c>
      <c r="AL508" s="47">
        <v>332645</v>
      </c>
      <c r="AM508" s="47">
        <v>306505</v>
      </c>
      <c r="AN508" s="47">
        <v>369703</v>
      </c>
      <c r="AO508" s="47">
        <v>329490</v>
      </c>
      <c r="AP508" s="47">
        <v>438830</v>
      </c>
      <c r="AQ508" s="47">
        <v>349290</v>
      </c>
      <c r="AR508" s="47">
        <v>433220</v>
      </c>
      <c r="AS508" s="47"/>
      <c r="AT508" s="47"/>
      <c r="AU508" s="47"/>
      <c r="AV508" s="47"/>
      <c r="AW508" s="47"/>
      <c r="AX508" s="47"/>
      <c r="AY508" s="47"/>
      <c r="AZ508" s="47"/>
      <c r="BA508" s="47"/>
      <c r="BB508" s="47"/>
      <c r="BC508" s="47"/>
      <c r="BD508" s="47"/>
      <c r="BE508" s="47"/>
      <c r="BF508" s="47"/>
    </row>
    <row r="509" spans="1:58" hidden="1">
      <c r="A509" s="46" t="s">
        <v>288</v>
      </c>
      <c r="B509" s="46" t="s">
        <v>258</v>
      </c>
      <c r="C509" s="47">
        <v>63593</v>
      </c>
      <c r="D509" s="47">
        <v>56960</v>
      </c>
      <c r="E509" s="47">
        <v>57135</v>
      </c>
      <c r="F509" s="47">
        <v>58540</v>
      </c>
      <c r="G509" s="47">
        <v>58115</v>
      </c>
      <c r="H509" s="47">
        <v>66125</v>
      </c>
      <c r="I509" s="47">
        <v>71760</v>
      </c>
      <c r="J509" s="47">
        <v>69515</v>
      </c>
      <c r="K509" s="47">
        <v>65180</v>
      </c>
      <c r="L509" s="47">
        <v>62601</v>
      </c>
      <c r="M509" s="47">
        <v>63395</v>
      </c>
      <c r="N509" s="47">
        <v>58930</v>
      </c>
      <c r="O509" s="47">
        <v>62025</v>
      </c>
      <c r="P509" s="47">
        <v>62600</v>
      </c>
      <c r="Q509" s="85">
        <v>57.13</v>
      </c>
      <c r="R509" s="85">
        <v>48.44</v>
      </c>
      <c r="S509" s="85">
        <v>57.81</v>
      </c>
      <c r="T509" s="85">
        <v>55.48</v>
      </c>
      <c r="U509" s="85">
        <v>57.45</v>
      </c>
      <c r="V509" s="85">
        <v>58.2</v>
      </c>
      <c r="W509" s="85">
        <v>54.98</v>
      </c>
      <c r="X509" s="85">
        <v>57.37</v>
      </c>
      <c r="Y509" s="85">
        <v>54.06</v>
      </c>
      <c r="Z509" s="85">
        <v>58.66</v>
      </c>
      <c r="AA509" s="85">
        <v>45.16</v>
      </c>
      <c r="AB509" s="85">
        <v>58.87</v>
      </c>
      <c r="AC509" s="85">
        <v>48.47</v>
      </c>
      <c r="AD509" s="85">
        <v>57.31</v>
      </c>
      <c r="AE509" s="47">
        <v>3633377</v>
      </c>
      <c r="AF509" s="47">
        <v>2759190</v>
      </c>
      <c r="AG509" s="47">
        <v>3302720</v>
      </c>
      <c r="AH509" s="47">
        <v>3247990</v>
      </c>
      <c r="AI509" s="47">
        <v>3338885</v>
      </c>
      <c r="AJ509" s="47">
        <v>3848205</v>
      </c>
      <c r="AK509" s="47">
        <v>3945100</v>
      </c>
      <c r="AL509" s="47">
        <v>3988345</v>
      </c>
      <c r="AM509" s="47">
        <v>3523725</v>
      </c>
      <c r="AN509" s="47">
        <v>3672088</v>
      </c>
      <c r="AO509" s="47">
        <v>2862790</v>
      </c>
      <c r="AP509" s="47">
        <v>3469140</v>
      </c>
      <c r="AQ509" s="47">
        <v>3006610</v>
      </c>
      <c r="AR509" s="47">
        <v>3587880</v>
      </c>
      <c r="AS509" s="47"/>
      <c r="AT509" s="47"/>
      <c r="AU509" s="47"/>
      <c r="AV509" s="47"/>
      <c r="AW509" s="47"/>
      <c r="AX509" s="47"/>
      <c r="AY509" s="47"/>
      <c r="AZ509" s="47"/>
      <c r="BA509" s="47"/>
      <c r="BB509" s="47"/>
      <c r="BC509" s="47"/>
      <c r="BD509" s="47"/>
      <c r="BE509" s="47"/>
      <c r="BF509" s="47"/>
    </row>
    <row r="510" spans="1:58" hidden="1">
      <c r="A510" s="46" t="s">
        <v>288</v>
      </c>
      <c r="B510" s="46" t="s">
        <v>259</v>
      </c>
      <c r="C510" s="47">
        <v>4563</v>
      </c>
      <c r="D510" s="47">
        <v>6320</v>
      </c>
      <c r="E510" s="47">
        <v>4610</v>
      </c>
      <c r="F510" s="47">
        <v>4025</v>
      </c>
      <c r="G510" s="47">
        <v>6290</v>
      </c>
      <c r="H510" s="47">
        <v>5170</v>
      </c>
      <c r="I510" s="47">
        <v>2790</v>
      </c>
      <c r="J510" s="47">
        <v>3495</v>
      </c>
      <c r="K510" s="47">
        <v>3540</v>
      </c>
      <c r="L510" s="47">
        <v>5032</v>
      </c>
      <c r="M510" s="47">
        <v>8635</v>
      </c>
      <c r="N510" s="47">
        <v>4115</v>
      </c>
      <c r="O510" s="47">
        <v>5010</v>
      </c>
      <c r="P510" s="47">
        <v>5175</v>
      </c>
      <c r="Q510" s="85">
        <v>36.07</v>
      </c>
      <c r="R510" s="85">
        <v>28.43</v>
      </c>
      <c r="S510" s="85">
        <v>39.75</v>
      </c>
      <c r="T510" s="85">
        <v>35.74</v>
      </c>
      <c r="U510" s="85">
        <v>38.31</v>
      </c>
      <c r="V510" s="85">
        <v>33.450000000000003</v>
      </c>
      <c r="W510" s="85">
        <v>36.200000000000003</v>
      </c>
      <c r="X510" s="85">
        <v>38.630000000000003</v>
      </c>
      <c r="Y510" s="85">
        <v>35.39</v>
      </c>
      <c r="Z510" s="85">
        <v>39.04</v>
      </c>
      <c r="AA510" s="85">
        <v>33.880000000000003</v>
      </c>
      <c r="AB510" s="85">
        <v>36.18</v>
      </c>
      <c r="AC510" s="85">
        <v>29.03</v>
      </c>
      <c r="AD510" s="85">
        <v>35.43</v>
      </c>
      <c r="AE510" s="47">
        <v>164590</v>
      </c>
      <c r="AF510" s="47">
        <v>179700</v>
      </c>
      <c r="AG510" s="47">
        <v>183240</v>
      </c>
      <c r="AH510" s="47">
        <v>143870</v>
      </c>
      <c r="AI510" s="47">
        <v>240995</v>
      </c>
      <c r="AJ510" s="47">
        <v>172930</v>
      </c>
      <c r="AK510" s="47">
        <v>101010</v>
      </c>
      <c r="AL510" s="47">
        <v>135020</v>
      </c>
      <c r="AM510" s="47">
        <v>125270</v>
      </c>
      <c r="AN510" s="47">
        <v>196445</v>
      </c>
      <c r="AO510" s="47">
        <v>292575</v>
      </c>
      <c r="AP510" s="47">
        <v>148895</v>
      </c>
      <c r="AQ510" s="47">
        <v>145455</v>
      </c>
      <c r="AR510" s="47">
        <v>183365</v>
      </c>
      <c r="AS510" s="47"/>
      <c r="AT510" s="47"/>
      <c r="AU510" s="47"/>
      <c r="AV510" s="47"/>
      <c r="AW510" s="47"/>
      <c r="AX510" s="47"/>
      <c r="AY510" s="47"/>
      <c r="AZ510" s="47"/>
      <c r="BA510" s="47"/>
      <c r="BB510" s="47"/>
      <c r="BC510" s="47"/>
      <c r="BD510" s="47"/>
      <c r="BE510" s="47"/>
      <c r="BF510" s="47"/>
    </row>
    <row r="511" spans="1:58" hidden="1">
      <c r="A511" s="46" t="s">
        <v>288</v>
      </c>
      <c r="B511" s="46" t="s">
        <v>260</v>
      </c>
      <c r="C511" s="47">
        <v>68156</v>
      </c>
      <c r="D511" s="47">
        <v>63280</v>
      </c>
      <c r="E511" s="47">
        <v>61745</v>
      </c>
      <c r="F511" s="47">
        <v>62565</v>
      </c>
      <c r="G511" s="47">
        <v>64405</v>
      </c>
      <c r="H511" s="47">
        <v>71295</v>
      </c>
      <c r="I511" s="47">
        <v>74550</v>
      </c>
      <c r="J511" s="47">
        <v>73010</v>
      </c>
      <c r="K511" s="47">
        <v>68720</v>
      </c>
      <c r="L511" s="47">
        <v>67633</v>
      </c>
      <c r="M511" s="47">
        <v>72030</v>
      </c>
      <c r="N511" s="47">
        <v>63045</v>
      </c>
      <c r="O511" s="47">
        <v>67035</v>
      </c>
      <c r="P511" s="47">
        <v>67775</v>
      </c>
      <c r="Q511" s="85">
        <v>55.72</v>
      </c>
      <c r="R511" s="85">
        <v>46.44</v>
      </c>
      <c r="S511" s="85">
        <v>56.46</v>
      </c>
      <c r="T511" s="85">
        <v>54.21</v>
      </c>
      <c r="U511" s="85">
        <v>55.58</v>
      </c>
      <c r="V511" s="85">
        <v>56.4</v>
      </c>
      <c r="W511" s="85">
        <v>54.27</v>
      </c>
      <c r="X511" s="85">
        <v>56.48</v>
      </c>
      <c r="Y511" s="85">
        <v>53.1</v>
      </c>
      <c r="Z511" s="85">
        <v>57.2</v>
      </c>
      <c r="AA511" s="85">
        <v>43.81</v>
      </c>
      <c r="AB511" s="85">
        <v>57.39</v>
      </c>
      <c r="AC511" s="85">
        <v>47.02</v>
      </c>
      <c r="AD511" s="85">
        <v>55.64</v>
      </c>
      <c r="AE511" s="47">
        <v>3797967</v>
      </c>
      <c r="AF511" s="47">
        <v>2938890</v>
      </c>
      <c r="AG511" s="47">
        <v>3485960</v>
      </c>
      <c r="AH511" s="47">
        <v>3391860</v>
      </c>
      <c r="AI511" s="47">
        <v>3579880</v>
      </c>
      <c r="AJ511" s="47">
        <v>4021135</v>
      </c>
      <c r="AK511" s="47">
        <v>4046110</v>
      </c>
      <c r="AL511" s="47">
        <v>4123365</v>
      </c>
      <c r="AM511" s="47">
        <v>3648995</v>
      </c>
      <c r="AN511" s="47">
        <v>3868533</v>
      </c>
      <c r="AO511" s="47">
        <v>3155365</v>
      </c>
      <c r="AP511" s="47">
        <v>3618035</v>
      </c>
      <c r="AQ511" s="47">
        <v>3152065</v>
      </c>
      <c r="AR511" s="47">
        <v>3771245</v>
      </c>
      <c r="AS511" s="47"/>
      <c r="AT511" s="47"/>
      <c r="AU511" s="47"/>
      <c r="AV511" s="47"/>
      <c r="AW511" s="47"/>
      <c r="AX511" s="47"/>
      <c r="AY511" s="47"/>
      <c r="AZ511" s="47"/>
      <c r="BA511" s="47"/>
      <c r="BB511" s="47"/>
      <c r="BC511" s="47"/>
      <c r="BD511" s="47"/>
      <c r="BE511" s="47"/>
      <c r="BF511" s="47"/>
    </row>
    <row r="512" spans="1:58" hidden="1">
      <c r="A512" s="46" t="s">
        <v>288</v>
      </c>
      <c r="B512" s="46" t="s">
        <v>261</v>
      </c>
      <c r="C512" s="47">
        <v>2575</v>
      </c>
      <c r="D512" s="47">
        <v>2430</v>
      </c>
      <c r="E512" s="47">
        <v>1595</v>
      </c>
      <c r="F512" s="47">
        <v>1760</v>
      </c>
      <c r="G512" s="47">
        <v>1735</v>
      </c>
      <c r="H512" s="47">
        <v>1795</v>
      </c>
      <c r="I512" s="47">
        <v>1731</v>
      </c>
      <c r="J512" s="47">
        <v>2580</v>
      </c>
      <c r="K512" s="47">
        <v>2615</v>
      </c>
      <c r="L512" s="47">
        <v>2021</v>
      </c>
      <c r="M512" s="47">
        <v>1830</v>
      </c>
      <c r="N512" s="47">
        <v>2510</v>
      </c>
      <c r="O512" s="47">
        <v>2145</v>
      </c>
      <c r="P512" s="47">
        <v>1595</v>
      </c>
      <c r="Q512" s="85">
        <v>44.06</v>
      </c>
      <c r="R512" s="85">
        <v>35.92</v>
      </c>
      <c r="S512" s="85">
        <v>44.5</v>
      </c>
      <c r="T512" s="85">
        <v>40.450000000000003</v>
      </c>
      <c r="U512" s="85">
        <v>38.83</v>
      </c>
      <c r="V512" s="85">
        <v>40.659999999999997</v>
      </c>
      <c r="W512" s="85">
        <v>37.25</v>
      </c>
      <c r="X512" s="85">
        <v>48.07</v>
      </c>
      <c r="Y512" s="85">
        <v>43.85</v>
      </c>
      <c r="Z512" s="85">
        <v>40.21</v>
      </c>
      <c r="AA512" s="85">
        <v>32.67</v>
      </c>
      <c r="AB512" s="85">
        <v>40.35</v>
      </c>
      <c r="AC512" s="85">
        <v>32.07</v>
      </c>
      <c r="AD512" s="85">
        <v>35.08</v>
      </c>
      <c r="AE512" s="47">
        <v>113457</v>
      </c>
      <c r="AF512" s="47">
        <v>87280</v>
      </c>
      <c r="AG512" s="47">
        <v>70970</v>
      </c>
      <c r="AH512" s="47">
        <v>71195</v>
      </c>
      <c r="AI512" s="47">
        <v>67370</v>
      </c>
      <c r="AJ512" s="47">
        <v>72990</v>
      </c>
      <c r="AK512" s="47">
        <v>64475</v>
      </c>
      <c r="AL512" s="47">
        <v>124020</v>
      </c>
      <c r="AM512" s="47">
        <v>114675</v>
      </c>
      <c r="AN512" s="47">
        <v>81265</v>
      </c>
      <c r="AO512" s="47">
        <v>59790</v>
      </c>
      <c r="AP512" s="47">
        <v>101285</v>
      </c>
      <c r="AQ512" s="47">
        <v>68790</v>
      </c>
      <c r="AR512" s="47">
        <v>55945</v>
      </c>
      <c r="AS512" s="47"/>
      <c r="AT512" s="47"/>
      <c r="AU512" s="47"/>
      <c r="AV512" s="47"/>
      <c r="AW512" s="47"/>
      <c r="AX512" s="47"/>
      <c r="AY512" s="47"/>
      <c r="AZ512" s="47"/>
      <c r="BA512" s="47"/>
      <c r="BB512" s="47"/>
      <c r="BC512" s="47"/>
      <c r="BD512" s="47"/>
      <c r="BE512" s="47"/>
      <c r="BF512" s="47"/>
    </row>
    <row r="513" spans="1:58" hidden="1">
      <c r="A513" s="46" t="s">
        <v>288</v>
      </c>
      <c r="B513" s="46" t="s">
        <v>262</v>
      </c>
      <c r="C513" s="47">
        <v>2931</v>
      </c>
      <c r="D513" s="47">
        <v>2960</v>
      </c>
      <c r="E513" s="47">
        <v>3195</v>
      </c>
      <c r="F513" s="47">
        <v>3300</v>
      </c>
      <c r="G513" s="47">
        <v>3995</v>
      </c>
      <c r="H513" s="47">
        <v>3392</v>
      </c>
      <c r="I513" s="47">
        <v>2502</v>
      </c>
      <c r="J513" s="47">
        <v>2930</v>
      </c>
      <c r="K513" s="47">
        <v>2555</v>
      </c>
      <c r="L513" s="47">
        <v>2887</v>
      </c>
      <c r="M513" s="47">
        <v>3615</v>
      </c>
      <c r="N513" s="47">
        <v>2160</v>
      </c>
      <c r="O513" s="47">
        <v>2345</v>
      </c>
      <c r="P513" s="47">
        <v>1251</v>
      </c>
      <c r="Q513" s="85">
        <v>36.619999999999997</v>
      </c>
      <c r="R513" s="85">
        <v>29.07</v>
      </c>
      <c r="S513" s="85">
        <v>36.35</v>
      </c>
      <c r="T513" s="85">
        <v>33.18</v>
      </c>
      <c r="U513" s="85">
        <v>33.81</v>
      </c>
      <c r="V513" s="85">
        <v>32.26</v>
      </c>
      <c r="W513" s="85">
        <v>31.63</v>
      </c>
      <c r="X513" s="85">
        <v>35.03</v>
      </c>
      <c r="Y513" s="85">
        <v>33.72</v>
      </c>
      <c r="Z513" s="85">
        <v>30.74</v>
      </c>
      <c r="AA513" s="85">
        <v>26.15</v>
      </c>
      <c r="AB513" s="85">
        <v>31.92</v>
      </c>
      <c r="AC513" s="85">
        <v>24.93</v>
      </c>
      <c r="AD513" s="85">
        <v>28.54</v>
      </c>
      <c r="AE513" s="47">
        <v>107342</v>
      </c>
      <c r="AF513" s="47">
        <v>86060</v>
      </c>
      <c r="AG513" s="47">
        <v>116130</v>
      </c>
      <c r="AH513" s="47">
        <v>109510</v>
      </c>
      <c r="AI513" s="47">
        <v>135060</v>
      </c>
      <c r="AJ513" s="47">
        <v>109434</v>
      </c>
      <c r="AK513" s="47">
        <v>79144</v>
      </c>
      <c r="AL513" s="47">
        <v>102640</v>
      </c>
      <c r="AM513" s="47">
        <v>86155</v>
      </c>
      <c r="AN513" s="47">
        <v>88739</v>
      </c>
      <c r="AO513" s="47">
        <v>94545</v>
      </c>
      <c r="AP513" s="47">
        <v>68940</v>
      </c>
      <c r="AQ513" s="47">
        <v>58455</v>
      </c>
      <c r="AR513" s="47">
        <v>35702</v>
      </c>
      <c r="AS513" s="47"/>
      <c r="AT513" s="47"/>
      <c r="AU513" s="47"/>
      <c r="AV513" s="47"/>
      <c r="AW513" s="47"/>
      <c r="AX513" s="47"/>
      <c r="AY513" s="47"/>
      <c r="AZ513" s="47"/>
      <c r="BA513" s="47"/>
      <c r="BB513" s="47"/>
      <c r="BC513" s="47"/>
      <c r="BD513" s="47"/>
      <c r="BE513" s="47"/>
      <c r="BF513" s="47"/>
    </row>
    <row r="514" spans="1:58" hidden="1">
      <c r="A514" s="46" t="s">
        <v>288</v>
      </c>
      <c r="B514" s="46" t="s">
        <v>263</v>
      </c>
      <c r="C514" s="47">
        <v>5506</v>
      </c>
      <c r="D514" s="47">
        <v>5390</v>
      </c>
      <c r="E514" s="47">
        <v>4790</v>
      </c>
      <c r="F514" s="47">
        <v>5060</v>
      </c>
      <c r="G514" s="47">
        <v>5730</v>
      </c>
      <c r="H514" s="47">
        <v>5187</v>
      </c>
      <c r="I514" s="47">
        <v>4233</v>
      </c>
      <c r="J514" s="47">
        <v>5510</v>
      </c>
      <c r="K514" s="47">
        <v>5170</v>
      </c>
      <c r="L514" s="47">
        <v>4908</v>
      </c>
      <c r="M514" s="47">
        <v>5445</v>
      </c>
      <c r="N514" s="47">
        <v>4670</v>
      </c>
      <c r="O514" s="47">
        <v>4490</v>
      </c>
      <c r="P514" s="47">
        <v>2846</v>
      </c>
      <c r="Q514" s="85">
        <v>40.1</v>
      </c>
      <c r="R514" s="85">
        <v>32.159999999999997</v>
      </c>
      <c r="S514" s="85">
        <v>39.06</v>
      </c>
      <c r="T514" s="85">
        <v>35.71</v>
      </c>
      <c r="U514" s="85">
        <v>35.33</v>
      </c>
      <c r="V514" s="85">
        <v>35.17</v>
      </c>
      <c r="W514" s="85">
        <v>33.93</v>
      </c>
      <c r="X514" s="85">
        <v>41.14</v>
      </c>
      <c r="Y514" s="85">
        <v>38.85</v>
      </c>
      <c r="Z514" s="85">
        <v>34.64</v>
      </c>
      <c r="AA514" s="85">
        <v>28.34</v>
      </c>
      <c r="AB514" s="85">
        <v>36.450000000000003</v>
      </c>
      <c r="AC514" s="85">
        <v>28.34</v>
      </c>
      <c r="AD514" s="85">
        <v>32.200000000000003</v>
      </c>
      <c r="AE514" s="47">
        <v>220799</v>
      </c>
      <c r="AF514" s="47">
        <v>173340</v>
      </c>
      <c r="AG514" s="47">
        <v>187100</v>
      </c>
      <c r="AH514" s="47">
        <v>180705</v>
      </c>
      <c r="AI514" s="47">
        <v>202430</v>
      </c>
      <c r="AJ514" s="47">
        <v>182424</v>
      </c>
      <c r="AK514" s="47">
        <v>143619</v>
      </c>
      <c r="AL514" s="47">
        <v>226660</v>
      </c>
      <c r="AM514" s="47">
        <v>200830</v>
      </c>
      <c r="AN514" s="47">
        <v>170004</v>
      </c>
      <c r="AO514" s="47">
        <v>154335</v>
      </c>
      <c r="AP514" s="47">
        <v>170225</v>
      </c>
      <c r="AQ514" s="47">
        <v>127245</v>
      </c>
      <c r="AR514" s="47">
        <v>91647</v>
      </c>
      <c r="AS514" s="47"/>
      <c r="AT514" s="47"/>
      <c r="AU514" s="47"/>
      <c r="AV514" s="47"/>
      <c r="AW514" s="47"/>
      <c r="AX514" s="47"/>
      <c r="AY514" s="47"/>
      <c r="AZ514" s="47"/>
      <c r="BA514" s="47"/>
      <c r="BB514" s="47"/>
      <c r="BC514" s="47"/>
      <c r="BD514" s="47"/>
      <c r="BE514" s="47"/>
      <c r="BF514" s="47"/>
    </row>
    <row r="515" spans="1:58" hidden="1">
      <c r="A515" s="46" t="s">
        <v>288</v>
      </c>
      <c r="B515" s="46" t="s">
        <v>264</v>
      </c>
      <c r="C515" s="47">
        <v>65877</v>
      </c>
      <c r="D515" s="47">
        <v>63433</v>
      </c>
      <c r="E515" s="47">
        <v>63540</v>
      </c>
      <c r="F515" s="47">
        <v>63720</v>
      </c>
      <c r="G515" s="47">
        <v>60678</v>
      </c>
      <c r="H515" s="47">
        <v>62122</v>
      </c>
      <c r="I515" s="47">
        <v>58800</v>
      </c>
      <c r="J515" s="47">
        <v>57350</v>
      </c>
      <c r="K515" s="47">
        <v>54215</v>
      </c>
      <c r="L515" s="47">
        <v>47479</v>
      </c>
      <c r="M515" s="47">
        <v>47851</v>
      </c>
      <c r="N515" s="47">
        <v>37011</v>
      </c>
      <c r="O515" s="47">
        <v>43260</v>
      </c>
      <c r="P515" s="47">
        <v>39560</v>
      </c>
      <c r="Q515" s="85">
        <v>104.32</v>
      </c>
      <c r="R515" s="85">
        <v>120.32</v>
      </c>
      <c r="S515" s="85">
        <v>111.69</v>
      </c>
      <c r="T515" s="85">
        <v>100.51</v>
      </c>
      <c r="U515" s="85">
        <v>115.05</v>
      </c>
      <c r="V515" s="85">
        <v>104.79</v>
      </c>
      <c r="W515" s="85">
        <v>109.9</v>
      </c>
      <c r="X515" s="85">
        <v>116.32</v>
      </c>
      <c r="Y515" s="85">
        <v>113.2</v>
      </c>
      <c r="Z515" s="85">
        <v>103.84</v>
      </c>
      <c r="AA515" s="85">
        <v>108.75</v>
      </c>
      <c r="AB515" s="85">
        <v>119.5</v>
      </c>
      <c r="AC515" s="85">
        <v>113.43</v>
      </c>
      <c r="AD515" s="85">
        <v>118.04</v>
      </c>
      <c r="AE515" s="47">
        <v>6872275</v>
      </c>
      <c r="AF515" s="47">
        <v>7632337</v>
      </c>
      <c r="AG515" s="47">
        <v>7097050</v>
      </c>
      <c r="AH515" s="47">
        <v>6404690</v>
      </c>
      <c r="AI515" s="47">
        <v>6980850</v>
      </c>
      <c r="AJ515" s="47">
        <v>6509845</v>
      </c>
      <c r="AK515" s="47">
        <v>6462130</v>
      </c>
      <c r="AL515" s="47">
        <v>6670990</v>
      </c>
      <c r="AM515" s="47">
        <v>6137380</v>
      </c>
      <c r="AN515" s="47">
        <v>4930148</v>
      </c>
      <c r="AO515" s="47">
        <v>5203790</v>
      </c>
      <c r="AP515" s="47">
        <v>4422895</v>
      </c>
      <c r="AQ515" s="47">
        <v>4907040</v>
      </c>
      <c r="AR515" s="47">
        <v>4669490</v>
      </c>
      <c r="AS515" s="47"/>
      <c r="AT515" s="47"/>
      <c r="AU515" s="47"/>
      <c r="AV515" s="47"/>
      <c r="AW515" s="47"/>
      <c r="AX515" s="47"/>
      <c r="AY515" s="47"/>
      <c r="AZ515" s="47"/>
      <c r="BA515" s="47"/>
      <c r="BB515" s="47"/>
      <c r="BC515" s="47"/>
      <c r="BD515" s="47"/>
      <c r="BE515" s="47"/>
      <c r="BF515" s="47"/>
    </row>
    <row r="516" spans="1:58" hidden="1">
      <c r="A516" s="46" t="s">
        <v>288</v>
      </c>
      <c r="B516" s="46" t="s">
        <v>265</v>
      </c>
      <c r="C516" s="47">
        <v>85574</v>
      </c>
      <c r="D516" s="47">
        <v>89968</v>
      </c>
      <c r="E516" s="47">
        <v>91010</v>
      </c>
      <c r="F516" s="47">
        <v>90480</v>
      </c>
      <c r="G516" s="47">
        <v>104712</v>
      </c>
      <c r="H516" s="47">
        <v>86138</v>
      </c>
      <c r="I516" s="47">
        <v>76820</v>
      </c>
      <c r="J516" s="47">
        <v>76500</v>
      </c>
      <c r="K516" s="47">
        <v>67642</v>
      </c>
      <c r="L516" s="47">
        <v>69931</v>
      </c>
      <c r="M516" s="47">
        <v>86604</v>
      </c>
      <c r="N516" s="47">
        <v>82369</v>
      </c>
      <c r="O516" s="47">
        <v>71300</v>
      </c>
      <c r="P516" s="47">
        <v>62305</v>
      </c>
      <c r="Q516" s="85">
        <v>79.53</v>
      </c>
      <c r="R516" s="85">
        <v>96.32</v>
      </c>
      <c r="S516" s="85">
        <v>82.29</v>
      </c>
      <c r="T516" s="85">
        <v>79.849999999999994</v>
      </c>
      <c r="U516" s="85">
        <v>107.29</v>
      </c>
      <c r="V516" s="85">
        <v>59.4</v>
      </c>
      <c r="W516" s="85">
        <v>79.55</v>
      </c>
      <c r="X516" s="85">
        <v>85.91</v>
      </c>
      <c r="Y516" s="85">
        <v>76.84</v>
      </c>
      <c r="Z516" s="85">
        <v>74.069999999999993</v>
      </c>
      <c r="AA516" s="85">
        <v>64.92</v>
      </c>
      <c r="AB516" s="85">
        <v>106.4</v>
      </c>
      <c r="AC516" s="85">
        <v>68.63</v>
      </c>
      <c r="AD516" s="85">
        <v>87.83</v>
      </c>
      <c r="AE516" s="47">
        <v>6805278</v>
      </c>
      <c r="AF516" s="47">
        <v>8666045</v>
      </c>
      <c r="AG516" s="47">
        <v>7489280</v>
      </c>
      <c r="AH516" s="47">
        <v>7225100</v>
      </c>
      <c r="AI516" s="47">
        <v>11234080</v>
      </c>
      <c r="AJ516" s="47">
        <v>5116882</v>
      </c>
      <c r="AK516" s="47">
        <v>6110725</v>
      </c>
      <c r="AL516" s="47">
        <v>6572370</v>
      </c>
      <c r="AM516" s="47">
        <v>5197354</v>
      </c>
      <c r="AN516" s="47">
        <v>5179588</v>
      </c>
      <c r="AO516" s="47">
        <v>5622555</v>
      </c>
      <c r="AP516" s="47">
        <v>8764310</v>
      </c>
      <c r="AQ516" s="47">
        <v>4893620</v>
      </c>
      <c r="AR516" s="47">
        <v>5472365</v>
      </c>
      <c r="AS516" s="47"/>
      <c r="AT516" s="47"/>
      <c r="AU516" s="47"/>
      <c r="AV516" s="47"/>
      <c r="AW516" s="47"/>
      <c r="AX516" s="47"/>
      <c r="AY516" s="47"/>
      <c r="AZ516" s="47"/>
      <c r="BA516" s="47"/>
      <c r="BB516" s="47"/>
      <c r="BC516" s="47"/>
      <c r="BD516" s="47"/>
      <c r="BE516" s="47"/>
      <c r="BF516" s="47"/>
    </row>
    <row r="517" spans="1:58" hidden="1">
      <c r="A517" s="46" t="s">
        <v>288</v>
      </c>
      <c r="B517" s="46" t="s">
        <v>266</v>
      </c>
      <c r="C517" s="47">
        <v>9105</v>
      </c>
      <c r="D517" s="47">
        <v>9720</v>
      </c>
      <c r="E517" s="47">
        <v>12304</v>
      </c>
      <c r="F517" s="47">
        <v>14232</v>
      </c>
      <c r="G517" s="47">
        <v>17575</v>
      </c>
      <c r="H517" s="47">
        <v>13870</v>
      </c>
      <c r="I517" s="47">
        <v>12701</v>
      </c>
      <c r="J517" s="47">
        <v>10451</v>
      </c>
      <c r="K517" s="47">
        <v>10262</v>
      </c>
      <c r="L517" s="47">
        <v>10596</v>
      </c>
      <c r="M517" s="47">
        <v>11731</v>
      </c>
      <c r="N517" s="47">
        <v>11868</v>
      </c>
      <c r="O517" s="47">
        <v>11374</v>
      </c>
      <c r="P517" s="47">
        <v>10535</v>
      </c>
      <c r="Q517" s="85">
        <v>33.36</v>
      </c>
      <c r="R517" s="85">
        <v>33.92</v>
      </c>
      <c r="S517" s="85">
        <v>36.22</v>
      </c>
      <c r="T517" s="85">
        <v>31.99</v>
      </c>
      <c r="U517" s="85">
        <v>31.07</v>
      </c>
      <c r="V517" s="85">
        <v>28.4</v>
      </c>
      <c r="W517" s="85">
        <v>32.83</v>
      </c>
      <c r="X517" s="85">
        <v>36.36</v>
      </c>
      <c r="Y517" s="85">
        <v>36.369999999999997</v>
      </c>
      <c r="Z517" s="85">
        <v>29.47</v>
      </c>
      <c r="AA517" s="85">
        <v>31.57</v>
      </c>
      <c r="AB517" s="85">
        <v>35.590000000000003</v>
      </c>
      <c r="AC517" s="85">
        <v>27.8</v>
      </c>
      <c r="AD517" s="85">
        <v>35.75</v>
      </c>
      <c r="AE517" s="47">
        <v>303780</v>
      </c>
      <c r="AF517" s="47">
        <v>329675</v>
      </c>
      <c r="AG517" s="47">
        <v>445710</v>
      </c>
      <c r="AH517" s="47">
        <v>455240</v>
      </c>
      <c r="AI517" s="47">
        <v>546004</v>
      </c>
      <c r="AJ517" s="47">
        <v>393960</v>
      </c>
      <c r="AK517" s="47">
        <v>416951</v>
      </c>
      <c r="AL517" s="47">
        <v>379978</v>
      </c>
      <c r="AM517" s="47">
        <v>373213</v>
      </c>
      <c r="AN517" s="47">
        <v>312246</v>
      </c>
      <c r="AO517" s="47">
        <v>370327</v>
      </c>
      <c r="AP517" s="47">
        <v>422412</v>
      </c>
      <c r="AQ517" s="47">
        <v>316191</v>
      </c>
      <c r="AR517" s="47">
        <v>376612</v>
      </c>
      <c r="AS517" s="47"/>
      <c r="AT517" s="47"/>
      <c r="AU517" s="47"/>
      <c r="AV517" s="47"/>
      <c r="AW517" s="47"/>
      <c r="AX517" s="47"/>
      <c r="AY517" s="47"/>
      <c r="AZ517" s="47"/>
      <c r="BA517" s="47"/>
      <c r="BB517" s="47"/>
      <c r="BC517" s="47"/>
      <c r="BD517" s="47"/>
      <c r="BE517" s="47"/>
      <c r="BF517" s="47"/>
    </row>
    <row r="518" spans="1:58" hidden="1">
      <c r="A518" s="46" t="s">
        <v>288</v>
      </c>
      <c r="B518" s="46" t="s">
        <v>267</v>
      </c>
      <c r="C518" s="47">
        <v>160556</v>
      </c>
      <c r="D518" s="47">
        <v>163121</v>
      </c>
      <c r="E518" s="47">
        <v>166854</v>
      </c>
      <c r="F518" s="47">
        <v>168432</v>
      </c>
      <c r="G518" s="47">
        <v>182965</v>
      </c>
      <c r="H518" s="47">
        <v>162130</v>
      </c>
      <c r="I518" s="47">
        <v>148321</v>
      </c>
      <c r="J518" s="47">
        <v>144301</v>
      </c>
      <c r="K518" s="47">
        <v>132119</v>
      </c>
      <c r="L518" s="47">
        <v>128006</v>
      </c>
      <c r="M518" s="47">
        <v>146186</v>
      </c>
      <c r="N518" s="47">
        <v>131248</v>
      </c>
      <c r="O518" s="47">
        <v>125934</v>
      </c>
      <c r="P518" s="47">
        <v>112400</v>
      </c>
      <c r="Q518" s="85">
        <v>87.08</v>
      </c>
      <c r="R518" s="85">
        <v>101.94</v>
      </c>
      <c r="S518" s="85">
        <v>90.09</v>
      </c>
      <c r="T518" s="85">
        <v>83.62</v>
      </c>
      <c r="U518" s="85">
        <v>102.54</v>
      </c>
      <c r="V518" s="85">
        <v>74.14</v>
      </c>
      <c r="W518" s="85">
        <v>87.58</v>
      </c>
      <c r="X518" s="85">
        <v>94.41</v>
      </c>
      <c r="Y518" s="85">
        <v>88.62</v>
      </c>
      <c r="Z518" s="85">
        <v>81.42</v>
      </c>
      <c r="AA518" s="85">
        <v>76.59</v>
      </c>
      <c r="AB518" s="85">
        <v>103.69</v>
      </c>
      <c r="AC518" s="85">
        <v>80.33</v>
      </c>
      <c r="AD518" s="85">
        <v>93.58</v>
      </c>
      <c r="AE518" s="47">
        <v>13981333</v>
      </c>
      <c r="AF518" s="47">
        <v>16628057</v>
      </c>
      <c r="AG518" s="47">
        <v>15032040</v>
      </c>
      <c r="AH518" s="47">
        <v>14085030</v>
      </c>
      <c r="AI518" s="47">
        <v>18760934</v>
      </c>
      <c r="AJ518" s="47">
        <v>12020687</v>
      </c>
      <c r="AK518" s="47">
        <v>12989806</v>
      </c>
      <c r="AL518" s="47">
        <v>13623338</v>
      </c>
      <c r="AM518" s="47">
        <v>11707947</v>
      </c>
      <c r="AN518" s="47">
        <v>10421982</v>
      </c>
      <c r="AO518" s="47">
        <v>11196672</v>
      </c>
      <c r="AP518" s="47">
        <v>13609617</v>
      </c>
      <c r="AQ518" s="47">
        <v>10116851</v>
      </c>
      <c r="AR518" s="47">
        <v>10518467</v>
      </c>
      <c r="AS518" s="47"/>
      <c r="AT518" s="47"/>
      <c r="AU518" s="47"/>
      <c r="AV518" s="47"/>
      <c r="AW518" s="47"/>
      <c r="AX518" s="47"/>
      <c r="AY518" s="47"/>
      <c r="AZ518" s="47"/>
      <c r="BA518" s="47"/>
      <c r="BB518" s="47"/>
      <c r="BC518" s="47"/>
      <c r="BD518" s="47"/>
      <c r="BE518" s="47"/>
      <c r="BF518" s="47"/>
    </row>
    <row r="519" spans="1:58" hidden="1">
      <c r="A519" s="46" t="s">
        <v>288</v>
      </c>
      <c r="B519" s="46" t="s">
        <v>268</v>
      </c>
      <c r="C519" s="47">
        <v>6104</v>
      </c>
      <c r="D519" s="47">
        <v>5465</v>
      </c>
      <c r="E519" s="47">
        <v>4840</v>
      </c>
      <c r="F519" s="47">
        <v>4235</v>
      </c>
      <c r="G519" s="47">
        <v>6230</v>
      </c>
      <c r="H519" s="47">
        <v>5315</v>
      </c>
      <c r="I519" s="47">
        <v>4061</v>
      </c>
      <c r="J519" s="47">
        <v>4985</v>
      </c>
      <c r="K519" s="47">
        <v>4940</v>
      </c>
      <c r="L519" s="47">
        <v>6311</v>
      </c>
      <c r="M519" s="47">
        <v>8110</v>
      </c>
      <c r="N519" s="47">
        <v>5770</v>
      </c>
      <c r="O519" s="47">
        <v>4645</v>
      </c>
      <c r="P519" s="47">
        <v>4660</v>
      </c>
      <c r="Q519" s="85">
        <v>58.64</v>
      </c>
      <c r="R519" s="85">
        <v>70.849999999999994</v>
      </c>
      <c r="S519" s="85">
        <v>65.87</v>
      </c>
      <c r="T519" s="85">
        <v>64.92</v>
      </c>
      <c r="U519" s="85">
        <v>71.53</v>
      </c>
      <c r="V519" s="85">
        <v>53.92</v>
      </c>
      <c r="W519" s="85">
        <v>61.72</v>
      </c>
      <c r="X519" s="85">
        <v>61.63</v>
      </c>
      <c r="Y519" s="85">
        <v>54.99</v>
      </c>
      <c r="Z519" s="85">
        <v>52.17</v>
      </c>
      <c r="AA519" s="85">
        <v>48.03</v>
      </c>
      <c r="AB519" s="85">
        <v>63.45</v>
      </c>
      <c r="AC519" s="85">
        <v>43.07</v>
      </c>
      <c r="AD519" s="85">
        <v>47.18</v>
      </c>
      <c r="AE519" s="47">
        <v>357930</v>
      </c>
      <c r="AF519" s="47">
        <v>387200</v>
      </c>
      <c r="AG519" s="47">
        <v>318795</v>
      </c>
      <c r="AH519" s="47">
        <v>274935</v>
      </c>
      <c r="AI519" s="47">
        <v>445655</v>
      </c>
      <c r="AJ519" s="47">
        <v>286590</v>
      </c>
      <c r="AK519" s="47">
        <v>250635</v>
      </c>
      <c r="AL519" s="47">
        <v>307217</v>
      </c>
      <c r="AM519" s="47">
        <v>271635</v>
      </c>
      <c r="AN519" s="47">
        <v>329262</v>
      </c>
      <c r="AO519" s="47">
        <v>389555</v>
      </c>
      <c r="AP519" s="47">
        <v>366100</v>
      </c>
      <c r="AQ519" s="47">
        <v>200050</v>
      </c>
      <c r="AR519" s="47">
        <v>219860</v>
      </c>
      <c r="AS519" s="47"/>
      <c r="AT519" s="47"/>
      <c r="AU519" s="47"/>
      <c r="AV519" s="47"/>
      <c r="AW519" s="47"/>
      <c r="AX519" s="47"/>
      <c r="AY519" s="47"/>
      <c r="AZ519" s="47"/>
      <c r="BA519" s="47"/>
      <c r="BB519" s="47"/>
      <c r="BC519" s="47"/>
      <c r="BD519" s="47"/>
      <c r="BE519" s="47"/>
      <c r="BF519" s="47"/>
    </row>
    <row r="520" spans="1:58" hidden="1">
      <c r="A520" s="46" t="s">
        <v>288</v>
      </c>
      <c r="B520" s="46" t="s">
        <v>269</v>
      </c>
      <c r="C520" s="47">
        <v>60431</v>
      </c>
      <c r="D520" s="47">
        <v>60150</v>
      </c>
      <c r="E520" s="47">
        <v>61585</v>
      </c>
      <c r="F520" s="47">
        <v>63020</v>
      </c>
      <c r="G520" s="47">
        <v>60870</v>
      </c>
      <c r="H520" s="47">
        <v>52555</v>
      </c>
      <c r="I520" s="47">
        <v>53575</v>
      </c>
      <c r="J520" s="47">
        <v>50420</v>
      </c>
      <c r="K520" s="47">
        <v>48255</v>
      </c>
      <c r="L520" s="47">
        <v>51075</v>
      </c>
      <c r="M520" s="47">
        <v>49140</v>
      </c>
      <c r="N520" s="47">
        <v>57325</v>
      </c>
      <c r="O520" s="47">
        <v>59795</v>
      </c>
      <c r="P520" s="47">
        <v>60890</v>
      </c>
      <c r="Q520" s="85">
        <v>54.07</v>
      </c>
      <c r="R520" s="85">
        <v>46.3</v>
      </c>
      <c r="S520" s="85">
        <v>54.32</v>
      </c>
      <c r="T520" s="85">
        <v>52.89</v>
      </c>
      <c r="U520" s="85">
        <v>50.55</v>
      </c>
      <c r="V520" s="85">
        <v>50.63</v>
      </c>
      <c r="W520" s="85">
        <v>49.49</v>
      </c>
      <c r="X520" s="85">
        <v>50.25</v>
      </c>
      <c r="Y520" s="85">
        <v>48.73</v>
      </c>
      <c r="Z520" s="85">
        <v>50.53</v>
      </c>
      <c r="AA520" s="85">
        <v>48.85</v>
      </c>
      <c r="AB520" s="85">
        <v>53.06</v>
      </c>
      <c r="AC520" s="85">
        <v>42.53</v>
      </c>
      <c r="AD520" s="85">
        <v>50.93</v>
      </c>
      <c r="AE520" s="47">
        <v>3267346</v>
      </c>
      <c r="AF520" s="47">
        <v>2784700</v>
      </c>
      <c r="AG520" s="47">
        <v>3345030</v>
      </c>
      <c r="AH520" s="47">
        <v>3333330</v>
      </c>
      <c r="AI520" s="47">
        <v>3077240</v>
      </c>
      <c r="AJ520" s="47">
        <v>2660765</v>
      </c>
      <c r="AK520" s="47">
        <v>2651235</v>
      </c>
      <c r="AL520" s="47">
        <v>2533520</v>
      </c>
      <c r="AM520" s="47">
        <v>2351240</v>
      </c>
      <c r="AN520" s="47">
        <v>2580688</v>
      </c>
      <c r="AO520" s="47">
        <v>2400430</v>
      </c>
      <c r="AP520" s="47">
        <v>3041500</v>
      </c>
      <c r="AQ520" s="47">
        <v>2542915</v>
      </c>
      <c r="AR520" s="47">
        <v>3101170</v>
      </c>
      <c r="AS520" s="47"/>
      <c r="AT520" s="47"/>
      <c r="AU520" s="47"/>
      <c r="AV520" s="47"/>
      <c r="AW520" s="47"/>
      <c r="AX520" s="47"/>
      <c r="AY520" s="47"/>
      <c r="AZ520" s="47"/>
      <c r="BA520" s="47"/>
      <c r="BB520" s="47"/>
      <c r="BC520" s="47"/>
      <c r="BD520" s="47"/>
      <c r="BE520" s="47"/>
      <c r="BF520" s="47"/>
    </row>
    <row r="521" spans="1:58" hidden="1">
      <c r="A521" s="46" t="s">
        <v>288</v>
      </c>
      <c r="B521" s="46" t="s">
        <v>270</v>
      </c>
      <c r="C521" s="47">
        <v>1530</v>
      </c>
      <c r="D521" s="47">
        <v>1410</v>
      </c>
      <c r="E521" s="47">
        <v>820</v>
      </c>
      <c r="F521" s="47">
        <v>800</v>
      </c>
      <c r="G521" s="47">
        <v>655</v>
      </c>
      <c r="H521" s="47">
        <v>1590</v>
      </c>
      <c r="I521" s="47">
        <v>1740</v>
      </c>
      <c r="J521" s="47">
        <v>2300</v>
      </c>
      <c r="K521" s="47">
        <v>2270</v>
      </c>
      <c r="L521" s="47">
        <v>2053</v>
      </c>
      <c r="M521" s="47">
        <v>2540</v>
      </c>
      <c r="N521" s="47">
        <v>2905</v>
      </c>
      <c r="O521" s="47">
        <v>3126</v>
      </c>
      <c r="P521" s="47">
        <v>2920</v>
      </c>
      <c r="Q521" s="85"/>
      <c r="R521" s="85"/>
      <c r="S521" s="85"/>
      <c r="T521" s="85"/>
      <c r="U521" s="85"/>
      <c r="V521" s="85"/>
      <c r="W521" s="85"/>
      <c r="X521" s="85"/>
      <c r="Y521" s="85"/>
      <c r="Z521" s="85"/>
      <c r="AA521" s="85"/>
      <c r="AB521" s="85"/>
      <c r="AC521" s="85"/>
      <c r="AD521" s="85"/>
      <c r="AE521" s="47">
        <v>43530</v>
      </c>
      <c r="AF521" s="47">
        <v>30660</v>
      </c>
      <c r="AG521" s="47">
        <v>20810</v>
      </c>
      <c r="AH521" s="47">
        <v>19100</v>
      </c>
      <c r="AI521" s="47">
        <v>15615</v>
      </c>
      <c r="AJ521" s="47">
        <v>38008</v>
      </c>
      <c r="AK521" s="47">
        <v>42930</v>
      </c>
      <c r="AL521" s="47">
        <v>63120</v>
      </c>
      <c r="AM521" s="47">
        <v>64390</v>
      </c>
      <c r="AN521" s="47">
        <v>57666</v>
      </c>
      <c r="AO521" s="47">
        <v>59090</v>
      </c>
      <c r="AP521" s="47">
        <v>79025</v>
      </c>
      <c r="AQ521" s="47">
        <v>70883</v>
      </c>
      <c r="AR521" s="47">
        <v>84620</v>
      </c>
      <c r="AS521" s="47"/>
      <c r="AT521" s="47"/>
      <c r="AU521" s="47"/>
      <c r="AV521" s="47"/>
      <c r="AW521" s="47"/>
      <c r="AX521" s="47"/>
      <c r="AY521" s="47"/>
      <c r="AZ521" s="47"/>
      <c r="BA521" s="47"/>
      <c r="BB521" s="47"/>
      <c r="BC521" s="47"/>
      <c r="BD521" s="47"/>
      <c r="BE521" s="47"/>
      <c r="BF521" s="47"/>
    </row>
    <row r="522" spans="1:58" hidden="1">
      <c r="A522" s="46" t="s">
        <v>288</v>
      </c>
      <c r="B522" s="46" t="s">
        <v>271</v>
      </c>
      <c r="C522" s="47">
        <v>4720</v>
      </c>
      <c r="D522" s="47">
        <v>4720</v>
      </c>
      <c r="E522" s="47">
        <v>4185</v>
      </c>
      <c r="F522" s="47">
        <v>3500</v>
      </c>
      <c r="G522" s="47">
        <v>3670</v>
      </c>
      <c r="H522" s="47">
        <v>4815</v>
      </c>
      <c r="I522" s="47">
        <v>6580</v>
      </c>
      <c r="J522" s="47">
        <v>8245</v>
      </c>
      <c r="K522" s="47">
        <v>11875</v>
      </c>
      <c r="L522" s="47">
        <v>13833</v>
      </c>
      <c r="M522" s="47">
        <v>14345</v>
      </c>
      <c r="N522" s="47">
        <v>17015</v>
      </c>
      <c r="O522" s="47">
        <v>15530</v>
      </c>
      <c r="P522" s="47">
        <v>13690</v>
      </c>
      <c r="Q522" s="85"/>
      <c r="R522" s="85"/>
      <c r="S522" s="85"/>
      <c r="T522" s="85"/>
      <c r="U522" s="85"/>
      <c r="V522" s="85"/>
      <c r="W522" s="85"/>
      <c r="X522" s="85"/>
      <c r="Y522" s="85"/>
      <c r="Z522" s="85"/>
      <c r="AA522" s="85"/>
      <c r="AB522" s="85"/>
      <c r="AC522" s="85"/>
      <c r="AD522" s="85"/>
      <c r="AE522" s="47">
        <v>189089</v>
      </c>
      <c r="AF522" s="47">
        <v>156950</v>
      </c>
      <c r="AG522" s="47">
        <v>158810</v>
      </c>
      <c r="AH522" s="47">
        <v>128060</v>
      </c>
      <c r="AI522" s="47">
        <v>133375</v>
      </c>
      <c r="AJ522" s="47">
        <v>158105</v>
      </c>
      <c r="AK522" s="47">
        <v>208790</v>
      </c>
      <c r="AL522" s="47">
        <v>295900</v>
      </c>
      <c r="AM522" s="47">
        <v>424035</v>
      </c>
      <c r="AN522" s="47">
        <v>521329</v>
      </c>
      <c r="AO522" s="47">
        <v>481470</v>
      </c>
      <c r="AP522" s="47">
        <v>605460</v>
      </c>
      <c r="AQ522" s="47">
        <v>484605</v>
      </c>
      <c r="AR522" s="47">
        <v>565970</v>
      </c>
      <c r="AS522" s="47"/>
      <c r="AT522" s="47"/>
      <c r="AU522" s="47"/>
      <c r="AV522" s="47"/>
      <c r="AW522" s="47"/>
      <c r="AX522" s="47"/>
      <c r="AY522" s="47"/>
      <c r="AZ522" s="47"/>
      <c r="BA522" s="47"/>
      <c r="BB522" s="47"/>
      <c r="BC522" s="47"/>
      <c r="BD522" s="47"/>
      <c r="BE522" s="47"/>
      <c r="BF522" s="47"/>
    </row>
    <row r="523" spans="1:58" hidden="1">
      <c r="A523" s="46" t="s">
        <v>288</v>
      </c>
      <c r="B523" s="46" t="s">
        <v>272</v>
      </c>
      <c r="C523" s="47">
        <v>552042</v>
      </c>
      <c r="D523" s="47">
        <v>542408</v>
      </c>
      <c r="E523" s="47">
        <v>550205</v>
      </c>
      <c r="F523" s="47">
        <v>554981</v>
      </c>
      <c r="G523" s="47">
        <v>556439</v>
      </c>
      <c r="H523" s="47">
        <v>546470</v>
      </c>
      <c r="I523" s="47">
        <v>551980</v>
      </c>
      <c r="J523" s="47">
        <v>526312</v>
      </c>
      <c r="K523" s="47">
        <v>509126</v>
      </c>
      <c r="L523" s="47">
        <v>507714</v>
      </c>
      <c r="M523" s="47">
        <v>513746</v>
      </c>
      <c r="N523" s="47">
        <v>524093</v>
      </c>
      <c r="O523" s="47">
        <v>509332</v>
      </c>
      <c r="P523" s="47">
        <v>500341</v>
      </c>
      <c r="Q523" s="85">
        <v>67.25</v>
      </c>
      <c r="R523" s="85">
        <v>66.5</v>
      </c>
      <c r="S523" s="85">
        <v>68.75</v>
      </c>
      <c r="T523" s="85">
        <v>66.040000000000006</v>
      </c>
      <c r="U523" s="85">
        <v>72.33</v>
      </c>
      <c r="V523" s="85">
        <v>62.15</v>
      </c>
      <c r="W523" s="85">
        <v>63.55</v>
      </c>
      <c r="X523" s="85">
        <v>67.959999999999994</v>
      </c>
      <c r="Y523" s="85">
        <v>63.64</v>
      </c>
      <c r="Z523" s="85">
        <v>61.95</v>
      </c>
      <c r="AA523" s="85">
        <v>57.82</v>
      </c>
      <c r="AB523" s="85">
        <v>68.66</v>
      </c>
      <c r="AC523" s="85">
        <v>55.83</v>
      </c>
      <c r="AD523" s="85">
        <v>65.209999999999994</v>
      </c>
      <c r="AE523" s="47">
        <v>37126797</v>
      </c>
      <c r="AF523" s="47">
        <v>36071642</v>
      </c>
      <c r="AG523" s="47">
        <v>37824887</v>
      </c>
      <c r="AH523" s="47">
        <v>36648274</v>
      </c>
      <c r="AI523" s="47">
        <v>40245690</v>
      </c>
      <c r="AJ523" s="47">
        <v>33962924</v>
      </c>
      <c r="AK523" s="47">
        <v>35076897</v>
      </c>
      <c r="AL523" s="47">
        <v>35770488</v>
      </c>
      <c r="AM523" s="47">
        <v>32402258</v>
      </c>
      <c r="AN523" s="47">
        <v>31451252</v>
      </c>
      <c r="AO523" s="47">
        <v>29705387</v>
      </c>
      <c r="AP523" s="47">
        <v>35986682</v>
      </c>
      <c r="AQ523" s="47">
        <v>28434509</v>
      </c>
      <c r="AR523" s="47">
        <v>32627954</v>
      </c>
      <c r="AS523" s="47"/>
      <c r="AT523" s="47"/>
      <c r="AU523" s="47"/>
      <c r="AV523" s="47"/>
      <c r="AW523" s="47"/>
      <c r="AX523" s="47"/>
      <c r="AY523" s="47"/>
      <c r="AZ523" s="47"/>
      <c r="BA523" s="47"/>
      <c r="BB523" s="47"/>
      <c r="BC523" s="47"/>
      <c r="BD523" s="47"/>
      <c r="BE523" s="47"/>
      <c r="BF523" s="47"/>
    </row>
    <row r="524" spans="1:58" hidden="1">
      <c r="A524" s="46" t="s">
        <v>288</v>
      </c>
      <c r="B524" s="46" t="s">
        <v>273</v>
      </c>
      <c r="C524" s="47">
        <v>0</v>
      </c>
      <c r="D524" s="47">
        <v>0</v>
      </c>
      <c r="E524" s="47">
        <v>0</v>
      </c>
      <c r="F524" s="47">
        <v>0</v>
      </c>
      <c r="G524" s="47">
        <v>0</v>
      </c>
      <c r="H524" s="47">
        <v>0</v>
      </c>
      <c r="I524" s="47">
        <v>0</v>
      </c>
      <c r="J524" s="47">
        <v>0</v>
      </c>
      <c r="K524" s="47">
        <v>0</v>
      </c>
      <c r="L524" s="47">
        <v>0</v>
      </c>
      <c r="M524" s="47">
        <v>6</v>
      </c>
      <c r="N524" s="47">
        <v>0</v>
      </c>
      <c r="O524" s="47">
        <v>0</v>
      </c>
      <c r="P524" s="47">
        <v>0</v>
      </c>
      <c r="Q524" s="85"/>
      <c r="R524" s="85"/>
      <c r="S524" s="85"/>
      <c r="T524" s="85"/>
      <c r="U524" s="85"/>
      <c r="V524" s="85"/>
      <c r="W524" s="85"/>
      <c r="X524" s="85"/>
      <c r="Y524" s="85"/>
      <c r="Z524" s="85"/>
      <c r="AA524" s="85">
        <v>30</v>
      </c>
      <c r="AB524" s="85"/>
      <c r="AC524" s="85"/>
      <c r="AD524" s="85"/>
      <c r="AE524" s="47">
        <v>0</v>
      </c>
      <c r="AF524" s="47">
        <v>0</v>
      </c>
      <c r="AG524" s="47">
        <v>0</v>
      </c>
      <c r="AH524" s="47">
        <v>0</v>
      </c>
      <c r="AI524" s="47">
        <v>0</v>
      </c>
      <c r="AJ524" s="47">
        <v>0</v>
      </c>
      <c r="AK524" s="47">
        <v>0</v>
      </c>
      <c r="AL524" s="47">
        <v>0</v>
      </c>
      <c r="AM524" s="47">
        <v>0</v>
      </c>
      <c r="AN524" s="47">
        <v>0</v>
      </c>
      <c r="AO524" s="47">
        <v>180</v>
      </c>
      <c r="AP524" s="47">
        <v>0</v>
      </c>
      <c r="AQ524" s="47">
        <v>0</v>
      </c>
      <c r="AR524" s="47">
        <v>0</v>
      </c>
      <c r="AS524" s="47"/>
      <c r="AT524" s="47"/>
      <c r="AU524" s="47"/>
      <c r="AV524" s="47"/>
      <c r="AW524" s="47"/>
      <c r="AX524" s="47"/>
      <c r="AY524" s="47"/>
      <c r="AZ524" s="47"/>
      <c r="BA524" s="47"/>
      <c r="BB524" s="47"/>
      <c r="BC524" s="47"/>
      <c r="BD524" s="47"/>
      <c r="BE524" s="47"/>
      <c r="BF524" s="47"/>
    </row>
    <row r="525" spans="1:58" hidden="1">
      <c r="A525" s="46" t="s">
        <v>288</v>
      </c>
      <c r="B525" s="46" t="s">
        <v>274</v>
      </c>
      <c r="C525" s="47">
        <v>0</v>
      </c>
      <c r="D525" s="47">
        <v>0</v>
      </c>
      <c r="E525" s="47">
        <v>0</v>
      </c>
      <c r="F525" s="47">
        <v>0</v>
      </c>
      <c r="G525" s="47">
        <v>0</v>
      </c>
      <c r="H525" s="47">
        <v>0</v>
      </c>
      <c r="I525" s="47">
        <v>0</v>
      </c>
      <c r="J525" s="47">
        <v>0</v>
      </c>
      <c r="K525" s="47">
        <v>0</v>
      </c>
      <c r="L525" s="47">
        <v>0</v>
      </c>
      <c r="M525" s="47">
        <v>0</v>
      </c>
      <c r="N525" s="47">
        <v>0</v>
      </c>
      <c r="O525" s="47">
        <v>0</v>
      </c>
      <c r="P525" s="47">
        <v>0</v>
      </c>
      <c r="Q525" s="85"/>
      <c r="R525" s="85"/>
      <c r="S525" s="85"/>
      <c r="T525" s="85"/>
      <c r="U525" s="85"/>
      <c r="V525" s="85"/>
      <c r="W525" s="85"/>
      <c r="X525" s="85"/>
      <c r="Y525" s="85"/>
      <c r="Z525" s="85"/>
      <c r="AA525" s="85"/>
      <c r="AB525" s="85"/>
      <c r="AC525" s="85"/>
      <c r="AD525" s="85"/>
      <c r="AE525" s="47">
        <v>0</v>
      </c>
      <c r="AF525" s="47">
        <v>0</v>
      </c>
      <c r="AG525" s="47">
        <v>0</v>
      </c>
      <c r="AH525" s="47">
        <v>0</v>
      </c>
      <c r="AI525" s="47">
        <v>0</v>
      </c>
      <c r="AJ525" s="47">
        <v>0</v>
      </c>
      <c r="AK525" s="47">
        <v>0</v>
      </c>
      <c r="AL525" s="47">
        <v>0</v>
      </c>
      <c r="AM525" s="47">
        <v>0</v>
      </c>
      <c r="AN525" s="47">
        <v>0</v>
      </c>
      <c r="AO525" s="47">
        <v>0</v>
      </c>
      <c r="AP525" s="47">
        <v>0</v>
      </c>
      <c r="AQ525" s="47">
        <v>0</v>
      </c>
      <c r="AR525" s="47">
        <v>0</v>
      </c>
      <c r="AS525" s="47"/>
      <c r="AT525" s="47"/>
      <c r="AU525" s="47"/>
      <c r="AV525" s="47"/>
      <c r="AW525" s="47"/>
      <c r="AX525" s="47"/>
      <c r="AY525" s="47"/>
      <c r="AZ525" s="47"/>
      <c r="BA525" s="47"/>
      <c r="BB525" s="47"/>
      <c r="BC525" s="47"/>
      <c r="BD525" s="47"/>
      <c r="BE525" s="47"/>
      <c r="BF525" s="47"/>
    </row>
    <row r="526" spans="1:58" hidden="1">
      <c r="A526" s="46" t="s">
        <v>288</v>
      </c>
      <c r="B526" s="46" t="s">
        <v>275</v>
      </c>
      <c r="C526" s="47">
        <v>0</v>
      </c>
      <c r="D526" s="47">
        <v>0</v>
      </c>
      <c r="E526" s="47">
        <v>0</v>
      </c>
      <c r="F526" s="47">
        <v>0</v>
      </c>
      <c r="G526" s="47">
        <v>0</v>
      </c>
      <c r="H526" s="47">
        <v>0</v>
      </c>
      <c r="I526" s="47">
        <v>0</v>
      </c>
      <c r="J526" s="47">
        <v>0</v>
      </c>
      <c r="K526" s="47">
        <v>0</v>
      </c>
      <c r="L526" s="47">
        <v>0</v>
      </c>
      <c r="M526" s="47">
        <v>6</v>
      </c>
      <c r="N526" s="47">
        <v>0</v>
      </c>
      <c r="O526" s="47">
        <v>0</v>
      </c>
      <c r="P526" s="47">
        <v>0</v>
      </c>
      <c r="Q526" s="85"/>
      <c r="R526" s="85"/>
      <c r="S526" s="85"/>
      <c r="T526" s="85"/>
      <c r="U526" s="85"/>
      <c r="V526" s="85"/>
      <c r="W526" s="85"/>
      <c r="X526" s="85"/>
      <c r="Y526" s="85"/>
      <c r="Z526" s="85"/>
      <c r="AA526" s="85">
        <v>30</v>
      </c>
      <c r="AB526" s="85"/>
      <c r="AC526" s="85"/>
      <c r="AD526" s="85"/>
      <c r="AE526" s="47">
        <v>0</v>
      </c>
      <c r="AF526" s="47">
        <v>0</v>
      </c>
      <c r="AG526" s="47">
        <v>0</v>
      </c>
      <c r="AH526" s="47">
        <v>0</v>
      </c>
      <c r="AI526" s="47">
        <v>0</v>
      </c>
      <c r="AJ526" s="47">
        <v>0</v>
      </c>
      <c r="AK526" s="47">
        <v>0</v>
      </c>
      <c r="AL526" s="47">
        <v>0</v>
      </c>
      <c r="AM526" s="47">
        <v>0</v>
      </c>
      <c r="AN526" s="47">
        <v>0</v>
      </c>
      <c r="AO526" s="47">
        <v>180</v>
      </c>
      <c r="AP526" s="47">
        <v>0</v>
      </c>
      <c r="AQ526" s="47">
        <v>0</v>
      </c>
      <c r="AR526" s="47">
        <v>0</v>
      </c>
      <c r="AS526" s="47"/>
      <c r="AT526" s="47"/>
      <c r="AU526" s="47"/>
      <c r="AV526" s="47"/>
      <c r="AW526" s="47"/>
      <c r="AX526" s="47"/>
      <c r="AY526" s="47"/>
      <c r="AZ526" s="47"/>
      <c r="BA526" s="47"/>
      <c r="BB526" s="47"/>
      <c r="BC526" s="47"/>
      <c r="BD526" s="47"/>
      <c r="BE526" s="47"/>
      <c r="BF526" s="47"/>
    </row>
    <row r="527" spans="1:58" hidden="1">
      <c r="A527" s="46" t="s">
        <v>288</v>
      </c>
      <c r="B527" s="46" t="s">
        <v>276</v>
      </c>
      <c r="C527" s="47">
        <v>552042</v>
      </c>
      <c r="D527" s="47">
        <v>542408</v>
      </c>
      <c r="E527" s="47">
        <v>550205</v>
      </c>
      <c r="F527" s="47">
        <v>554981</v>
      </c>
      <c r="G527" s="47">
        <v>556439</v>
      </c>
      <c r="H527" s="47">
        <v>546470</v>
      </c>
      <c r="I527" s="47">
        <v>551980</v>
      </c>
      <c r="J527" s="47">
        <v>526312</v>
      </c>
      <c r="K527" s="47">
        <v>509126</v>
      </c>
      <c r="L527" s="47">
        <v>507714</v>
      </c>
      <c r="M527" s="47">
        <v>513752</v>
      </c>
      <c r="N527" s="47">
        <v>524093</v>
      </c>
      <c r="O527" s="47">
        <v>509332</v>
      </c>
      <c r="P527" s="47">
        <v>500341</v>
      </c>
      <c r="Q527" s="85">
        <v>67.25</v>
      </c>
      <c r="R527" s="85">
        <v>66.5</v>
      </c>
      <c r="S527" s="85">
        <v>68.75</v>
      </c>
      <c r="T527" s="85">
        <v>66.040000000000006</v>
      </c>
      <c r="U527" s="85">
        <v>72.33</v>
      </c>
      <c r="V527" s="85">
        <v>62.15</v>
      </c>
      <c r="W527" s="85">
        <v>63.55</v>
      </c>
      <c r="X527" s="85">
        <v>67.959999999999994</v>
      </c>
      <c r="Y527" s="85">
        <v>63.64</v>
      </c>
      <c r="Z527" s="85">
        <v>61.95</v>
      </c>
      <c r="AA527" s="85">
        <v>57.82</v>
      </c>
      <c r="AB527" s="85">
        <v>68.66</v>
      </c>
      <c r="AC527" s="85">
        <v>55.83</v>
      </c>
      <c r="AD527" s="85">
        <v>65.209999999999994</v>
      </c>
      <c r="AE527" s="47">
        <v>37126797</v>
      </c>
      <c r="AF527" s="47">
        <v>36071642</v>
      </c>
      <c r="AG527" s="47">
        <v>37824887</v>
      </c>
      <c r="AH527" s="47">
        <v>36648274</v>
      </c>
      <c r="AI527" s="47">
        <v>40245690</v>
      </c>
      <c r="AJ527" s="47">
        <v>33962924</v>
      </c>
      <c r="AK527" s="47">
        <v>35076897</v>
      </c>
      <c r="AL527" s="47">
        <v>35770488</v>
      </c>
      <c r="AM527" s="47">
        <v>32402258</v>
      </c>
      <c r="AN527" s="47">
        <v>31451252</v>
      </c>
      <c r="AO527" s="47">
        <v>29705567</v>
      </c>
      <c r="AP527" s="47">
        <v>35986682</v>
      </c>
      <c r="AQ527" s="47">
        <v>28434509</v>
      </c>
      <c r="AR527" s="47">
        <v>32627954</v>
      </c>
      <c r="AS527" s="47"/>
      <c r="AT527" s="47"/>
      <c r="AU527" s="47"/>
      <c r="AV527" s="47"/>
      <c r="AW527" s="47"/>
      <c r="AX527" s="47"/>
      <c r="AY527" s="47"/>
      <c r="AZ527" s="47"/>
      <c r="BA527" s="47"/>
      <c r="BB527" s="47"/>
      <c r="BC527" s="47"/>
      <c r="BD527" s="47"/>
      <c r="BE527" s="47"/>
      <c r="BF527" s="47"/>
    </row>
    <row r="528" spans="1:58" hidden="1">
      <c r="A528" s="46" t="s">
        <v>288</v>
      </c>
      <c r="B528" s="46" t="s">
        <v>277</v>
      </c>
      <c r="C528" s="47">
        <v>0</v>
      </c>
      <c r="D528" s="47">
        <v>0</v>
      </c>
      <c r="E528" s="47">
        <v>0</v>
      </c>
      <c r="F528" s="47">
        <v>0</v>
      </c>
      <c r="G528" s="47">
        <v>0</v>
      </c>
      <c r="H528" s="47">
        <v>0</v>
      </c>
      <c r="I528" s="47">
        <v>0</v>
      </c>
      <c r="J528" s="47">
        <v>0</v>
      </c>
      <c r="K528" s="47">
        <v>0</v>
      </c>
      <c r="L528" s="47">
        <v>0</v>
      </c>
      <c r="M528" s="47">
        <v>0</v>
      </c>
      <c r="N528" s="47">
        <v>0</v>
      </c>
      <c r="O528" s="47">
        <v>0</v>
      </c>
      <c r="P528" s="47">
        <v>0</v>
      </c>
      <c r="Q528" s="85"/>
      <c r="R528" s="85"/>
      <c r="S528" s="85"/>
      <c r="T528" s="85"/>
      <c r="U528" s="85"/>
      <c r="V528" s="85"/>
      <c r="W528" s="85"/>
      <c r="X528" s="85"/>
      <c r="Y528" s="85"/>
      <c r="Z528" s="85"/>
      <c r="AA528" s="85"/>
      <c r="AB528" s="85"/>
      <c r="AC528" s="85"/>
      <c r="AD528" s="85"/>
      <c r="AE528" s="47">
        <v>12881060</v>
      </c>
      <c r="AF528" s="47">
        <v>11222793</v>
      </c>
      <c r="AG528" s="47">
        <v>12784295</v>
      </c>
      <c r="AH528" s="47">
        <v>12696404</v>
      </c>
      <c r="AI528" s="47">
        <v>12068153</v>
      </c>
      <c r="AJ528" s="47">
        <v>12647474</v>
      </c>
      <c r="AK528" s="47">
        <v>13762002</v>
      </c>
      <c r="AL528" s="47">
        <v>13302078</v>
      </c>
      <c r="AM528" s="47">
        <v>12465429</v>
      </c>
      <c r="AN528" s="47">
        <v>12594948</v>
      </c>
      <c r="AO528" s="47">
        <v>12115263</v>
      </c>
      <c r="AP528" s="47">
        <v>14298673</v>
      </c>
      <c r="AQ528" s="47">
        <v>11374494</v>
      </c>
      <c r="AR528" s="47">
        <v>15355968</v>
      </c>
      <c r="AS528" s="47"/>
      <c r="AT528" s="47"/>
      <c r="AU528" s="47"/>
      <c r="AV528" s="47"/>
      <c r="AW528" s="47"/>
      <c r="AX528" s="47"/>
      <c r="AY528" s="47"/>
      <c r="AZ528" s="47"/>
      <c r="BA528" s="47"/>
      <c r="BB528" s="47"/>
      <c r="BC528" s="47"/>
      <c r="BD528" s="47"/>
      <c r="BE528" s="47"/>
      <c r="BF528" s="47"/>
    </row>
    <row r="529" spans="1:58" hidden="1">
      <c r="A529" s="46" t="s">
        <v>288</v>
      </c>
      <c r="B529" s="46" t="s">
        <v>65</v>
      </c>
      <c r="C529" s="47">
        <v>32892</v>
      </c>
      <c r="D529" s="47">
        <v>37202</v>
      </c>
      <c r="E529" s="47">
        <v>36117</v>
      </c>
      <c r="F529" s="47">
        <v>36020</v>
      </c>
      <c r="G529" s="47">
        <v>36915</v>
      </c>
      <c r="H529" s="47">
        <v>35675</v>
      </c>
      <c r="I529" s="47">
        <v>37017</v>
      </c>
      <c r="J529" s="47">
        <v>41115</v>
      </c>
      <c r="K529" s="47">
        <v>47995</v>
      </c>
      <c r="L529" s="47">
        <v>30691</v>
      </c>
      <c r="M529" s="47">
        <v>28867</v>
      </c>
      <c r="N529" s="47">
        <v>27133</v>
      </c>
      <c r="O529" s="47">
        <v>36165</v>
      </c>
      <c r="P529" s="47">
        <v>43200</v>
      </c>
      <c r="Q529" s="85">
        <v>29.32</v>
      </c>
      <c r="R529" s="85">
        <v>26.16</v>
      </c>
      <c r="S529" s="85">
        <v>30.68</v>
      </c>
      <c r="T529" s="85">
        <v>28.24</v>
      </c>
      <c r="U529" s="85">
        <v>33.07</v>
      </c>
      <c r="V529" s="85">
        <v>29.8</v>
      </c>
      <c r="W529" s="85">
        <v>34.659999999999997</v>
      </c>
      <c r="X529" s="85">
        <v>35.979999999999997</v>
      </c>
      <c r="Y529" s="85">
        <v>31.42</v>
      </c>
      <c r="Z529" s="85">
        <v>26.75</v>
      </c>
      <c r="AA529" s="85">
        <v>27.3</v>
      </c>
      <c r="AB529" s="85">
        <v>31.68</v>
      </c>
      <c r="AC529" s="85">
        <v>29.96</v>
      </c>
      <c r="AD529" s="85">
        <v>30.99</v>
      </c>
      <c r="AE529" s="47">
        <v>964307</v>
      </c>
      <c r="AF529" s="47">
        <v>973286</v>
      </c>
      <c r="AG529" s="47">
        <v>1108024</v>
      </c>
      <c r="AH529" s="47">
        <v>1017160</v>
      </c>
      <c r="AI529" s="47">
        <v>1220845</v>
      </c>
      <c r="AJ529" s="47">
        <v>1062949</v>
      </c>
      <c r="AK529" s="47">
        <v>1283045</v>
      </c>
      <c r="AL529" s="47">
        <v>1479435</v>
      </c>
      <c r="AM529" s="47">
        <v>1508115</v>
      </c>
      <c r="AN529" s="47">
        <v>821127</v>
      </c>
      <c r="AO529" s="47">
        <v>788210</v>
      </c>
      <c r="AP529" s="47">
        <v>859630</v>
      </c>
      <c r="AQ529" s="47">
        <v>1083450</v>
      </c>
      <c r="AR529" s="47">
        <v>1338710</v>
      </c>
      <c r="AS529" s="47"/>
      <c r="AT529" s="47"/>
      <c r="AU529" s="47"/>
      <c r="AV529" s="47"/>
      <c r="AW529" s="47"/>
      <c r="AX529" s="47"/>
      <c r="AY529" s="47"/>
      <c r="AZ529" s="47"/>
      <c r="BA529" s="47"/>
      <c r="BB529" s="47"/>
      <c r="BC529" s="47"/>
      <c r="BD529" s="47"/>
      <c r="BE529" s="47"/>
      <c r="BF529" s="47"/>
    </row>
    <row r="530" spans="1:58" hidden="1">
      <c r="A530" s="46" t="s">
        <v>288</v>
      </c>
      <c r="B530" s="46" t="s">
        <v>66</v>
      </c>
      <c r="C530" s="47">
        <v>0</v>
      </c>
      <c r="D530" s="47">
        <v>0</v>
      </c>
      <c r="E530" s="47">
        <v>0</v>
      </c>
      <c r="F530" s="47">
        <v>0</v>
      </c>
      <c r="G530" s="47">
        <v>0</v>
      </c>
      <c r="H530" s="47">
        <v>0</v>
      </c>
      <c r="I530" s="47">
        <v>0</v>
      </c>
      <c r="J530" s="47">
        <v>0</v>
      </c>
      <c r="K530" s="47">
        <v>0</v>
      </c>
      <c r="L530" s="47">
        <v>0</v>
      </c>
      <c r="M530" s="47">
        <v>20</v>
      </c>
      <c r="N530" s="47">
        <v>30</v>
      </c>
      <c r="O530" s="47">
        <v>102</v>
      </c>
      <c r="P530" s="47">
        <v>67</v>
      </c>
      <c r="Q530" s="85"/>
      <c r="R530" s="85"/>
      <c r="S530" s="85"/>
      <c r="T530" s="85"/>
      <c r="U530" s="85"/>
      <c r="V530" s="85"/>
      <c r="W530" s="85"/>
      <c r="X530" s="85"/>
      <c r="Y530" s="85"/>
      <c r="Z530" s="85"/>
      <c r="AA530" s="85">
        <v>17.5</v>
      </c>
      <c r="AB530" s="85">
        <v>25</v>
      </c>
      <c r="AC530" s="85">
        <v>19.46</v>
      </c>
      <c r="AD530" s="85">
        <v>21.63</v>
      </c>
      <c r="AE530" s="47">
        <v>0</v>
      </c>
      <c r="AF530" s="47">
        <v>0</v>
      </c>
      <c r="AG530" s="47">
        <v>0</v>
      </c>
      <c r="AH530" s="47">
        <v>0</v>
      </c>
      <c r="AI530" s="47">
        <v>0</v>
      </c>
      <c r="AJ530" s="47">
        <v>0</v>
      </c>
      <c r="AK530" s="47">
        <v>0</v>
      </c>
      <c r="AL530" s="47">
        <v>0</v>
      </c>
      <c r="AM530" s="47">
        <v>0</v>
      </c>
      <c r="AN530" s="47">
        <v>0</v>
      </c>
      <c r="AO530" s="47">
        <v>350</v>
      </c>
      <c r="AP530" s="47">
        <v>750</v>
      </c>
      <c r="AQ530" s="47">
        <v>1985</v>
      </c>
      <c r="AR530" s="47">
        <v>1449</v>
      </c>
      <c r="AS530" s="47"/>
      <c r="AT530" s="47"/>
      <c r="AU530" s="47"/>
      <c r="AV530" s="47"/>
      <c r="AW530" s="47"/>
      <c r="AX530" s="47"/>
      <c r="AY530" s="47"/>
      <c r="AZ530" s="47"/>
      <c r="BA530" s="47"/>
      <c r="BB530" s="47"/>
      <c r="BC530" s="47"/>
      <c r="BD530" s="47"/>
      <c r="BE530" s="47"/>
      <c r="BF530" s="47"/>
    </row>
    <row r="531" spans="1:58" hidden="1">
      <c r="A531" s="46" t="s">
        <v>288</v>
      </c>
      <c r="B531" s="46" t="s">
        <v>67</v>
      </c>
      <c r="C531" s="47">
        <v>32892</v>
      </c>
      <c r="D531" s="47">
        <v>37202</v>
      </c>
      <c r="E531" s="47">
        <v>36117</v>
      </c>
      <c r="F531" s="47">
        <v>36020</v>
      </c>
      <c r="G531" s="47">
        <v>36915</v>
      </c>
      <c r="H531" s="47">
        <v>35675</v>
      </c>
      <c r="I531" s="47">
        <v>37017</v>
      </c>
      <c r="J531" s="47">
        <v>41115</v>
      </c>
      <c r="K531" s="47">
        <v>47995</v>
      </c>
      <c r="L531" s="47">
        <v>30691</v>
      </c>
      <c r="M531" s="47">
        <v>28887</v>
      </c>
      <c r="N531" s="47">
        <v>27163</v>
      </c>
      <c r="O531" s="47">
        <v>36267</v>
      </c>
      <c r="P531" s="47">
        <v>43267</v>
      </c>
      <c r="Q531" s="85">
        <v>29.32</v>
      </c>
      <c r="R531" s="85">
        <v>26.16</v>
      </c>
      <c r="S531" s="85">
        <v>30.68</v>
      </c>
      <c r="T531" s="85">
        <v>28.24</v>
      </c>
      <c r="U531" s="85">
        <v>33.07</v>
      </c>
      <c r="V531" s="85">
        <v>29.8</v>
      </c>
      <c r="W531" s="85">
        <v>34.659999999999997</v>
      </c>
      <c r="X531" s="85">
        <v>35.979999999999997</v>
      </c>
      <c r="Y531" s="85">
        <v>31.42</v>
      </c>
      <c r="Z531" s="85">
        <v>26.75</v>
      </c>
      <c r="AA531" s="85">
        <v>27.3</v>
      </c>
      <c r="AB531" s="85">
        <v>31.67</v>
      </c>
      <c r="AC531" s="85">
        <v>29.93</v>
      </c>
      <c r="AD531" s="85">
        <v>30.97</v>
      </c>
      <c r="AE531" s="47">
        <v>964307</v>
      </c>
      <c r="AF531" s="47">
        <v>973286</v>
      </c>
      <c r="AG531" s="47">
        <v>1108024</v>
      </c>
      <c r="AH531" s="47">
        <v>1017160</v>
      </c>
      <c r="AI531" s="47">
        <v>1220845</v>
      </c>
      <c r="AJ531" s="47">
        <v>1062949</v>
      </c>
      <c r="AK531" s="47">
        <v>1283045</v>
      </c>
      <c r="AL531" s="47">
        <v>1479435</v>
      </c>
      <c r="AM531" s="47">
        <v>1508115</v>
      </c>
      <c r="AN531" s="47">
        <v>821127</v>
      </c>
      <c r="AO531" s="47">
        <v>788560</v>
      </c>
      <c r="AP531" s="47">
        <v>860380</v>
      </c>
      <c r="AQ531" s="47">
        <v>1085435</v>
      </c>
      <c r="AR531" s="47">
        <v>1340159</v>
      </c>
      <c r="AS531" s="47"/>
      <c r="AT531" s="47"/>
      <c r="AU531" s="47"/>
      <c r="AV531" s="47"/>
      <c r="AW531" s="47"/>
      <c r="AX531" s="47"/>
      <c r="AY531" s="47"/>
      <c r="AZ531" s="47"/>
      <c r="BA531" s="47"/>
      <c r="BB531" s="47"/>
      <c r="BC531" s="47"/>
      <c r="BD531" s="47"/>
      <c r="BE531" s="47"/>
      <c r="BF531" s="47"/>
    </row>
    <row r="532" spans="1:58" hidden="1">
      <c r="A532" s="46" t="s">
        <v>288</v>
      </c>
      <c r="B532" s="46" t="s">
        <v>68</v>
      </c>
      <c r="C532" s="47">
        <v>34478</v>
      </c>
      <c r="D532" s="47">
        <v>37940</v>
      </c>
      <c r="E532" s="47">
        <v>35625</v>
      </c>
      <c r="F532" s="47">
        <v>31995</v>
      </c>
      <c r="G532" s="47">
        <v>34065</v>
      </c>
      <c r="H532" s="47">
        <v>30153</v>
      </c>
      <c r="I532" s="47">
        <v>25685</v>
      </c>
      <c r="J532" s="47">
        <v>29225</v>
      </c>
      <c r="K532" s="47">
        <v>27020</v>
      </c>
      <c r="L532" s="47">
        <v>28959</v>
      </c>
      <c r="M532" s="47">
        <v>34468</v>
      </c>
      <c r="N532" s="47">
        <v>33755</v>
      </c>
      <c r="O532" s="47">
        <v>44215</v>
      </c>
      <c r="P532" s="47">
        <v>44370</v>
      </c>
      <c r="Q532" s="85">
        <v>23.82</v>
      </c>
      <c r="R532" s="85">
        <v>29.25</v>
      </c>
      <c r="S532" s="85">
        <v>25.74</v>
      </c>
      <c r="T532" s="85">
        <v>21.01</v>
      </c>
      <c r="U532" s="85">
        <v>23.1</v>
      </c>
      <c r="V532" s="85">
        <v>19.16</v>
      </c>
      <c r="W532" s="85">
        <v>24.58</v>
      </c>
      <c r="X532" s="85">
        <v>25.81</v>
      </c>
      <c r="Y532" s="85">
        <v>23.99</v>
      </c>
      <c r="Z532" s="85">
        <v>22.77</v>
      </c>
      <c r="AA532" s="85">
        <v>22.75</v>
      </c>
      <c r="AB532" s="85">
        <v>27</v>
      </c>
      <c r="AC532" s="85">
        <v>23.43</v>
      </c>
      <c r="AD532" s="85">
        <v>24.78</v>
      </c>
      <c r="AE532" s="47">
        <v>821425</v>
      </c>
      <c r="AF532" s="47">
        <v>1109630</v>
      </c>
      <c r="AG532" s="47">
        <v>916865</v>
      </c>
      <c r="AH532" s="47">
        <v>672360</v>
      </c>
      <c r="AI532" s="47">
        <v>786960</v>
      </c>
      <c r="AJ532" s="47">
        <v>577623</v>
      </c>
      <c r="AK532" s="47">
        <v>631370</v>
      </c>
      <c r="AL532" s="47">
        <v>754170</v>
      </c>
      <c r="AM532" s="47">
        <v>648265</v>
      </c>
      <c r="AN532" s="47">
        <v>659362</v>
      </c>
      <c r="AO532" s="47">
        <v>784062</v>
      </c>
      <c r="AP532" s="47">
        <v>911495</v>
      </c>
      <c r="AQ532" s="47">
        <v>1036060</v>
      </c>
      <c r="AR532" s="47">
        <v>1099360</v>
      </c>
      <c r="AS532" s="47"/>
      <c r="AT532" s="47"/>
      <c r="AU532" s="47"/>
      <c r="AV532" s="47"/>
      <c r="AW532" s="47"/>
      <c r="AX532" s="47"/>
      <c r="AY532" s="47"/>
      <c r="AZ532" s="47"/>
      <c r="BA532" s="47"/>
      <c r="BB532" s="47"/>
      <c r="BC532" s="47"/>
      <c r="BD532" s="47"/>
      <c r="BE532" s="47"/>
      <c r="BF532" s="47"/>
    </row>
    <row r="533" spans="1:58" hidden="1">
      <c r="A533" s="46" t="s">
        <v>288</v>
      </c>
      <c r="B533" s="46" t="s">
        <v>69</v>
      </c>
      <c r="C533" s="47">
        <v>5050</v>
      </c>
      <c r="D533" s="47">
        <v>5676</v>
      </c>
      <c r="E533" s="47">
        <v>4533</v>
      </c>
      <c r="F533" s="47">
        <v>4510</v>
      </c>
      <c r="G533" s="47">
        <v>7625</v>
      </c>
      <c r="H533" s="47">
        <v>12817</v>
      </c>
      <c r="I533" s="47">
        <v>13700</v>
      </c>
      <c r="J533" s="47">
        <v>15930</v>
      </c>
      <c r="K533" s="47">
        <v>15835</v>
      </c>
      <c r="L533" s="47">
        <v>14465</v>
      </c>
      <c r="M533" s="47">
        <v>14377</v>
      </c>
      <c r="N533" s="47">
        <v>12352</v>
      </c>
      <c r="O533" s="47">
        <v>17878</v>
      </c>
      <c r="P533" s="47">
        <v>17450</v>
      </c>
      <c r="Q533" s="85">
        <v>29.15</v>
      </c>
      <c r="R533" s="85">
        <v>30.62</v>
      </c>
      <c r="S533" s="85">
        <v>29.31</v>
      </c>
      <c r="T533" s="85">
        <v>29.78</v>
      </c>
      <c r="U533" s="85">
        <v>31.71</v>
      </c>
      <c r="V533" s="85">
        <v>27.9</v>
      </c>
      <c r="W533" s="85">
        <v>32.700000000000003</v>
      </c>
      <c r="X533" s="85">
        <v>34.659999999999997</v>
      </c>
      <c r="Y533" s="85">
        <v>30.74</v>
      </c>
      <c r="Z533" s="85">
        <v>29.33</v>
      </c>
      <c r="AA533" s="85">
        <v>25.26</v>
      </c>
      <c r="AB533" s="85">
        <v>30.47</v>
      </c>
      <c r="AC533" s="85">
        <v>25.11</v>
      </c>
      <c r="AD533" s="85">
        <v>27.11</v>
      </c>
      <c r="AE533" s="47">
        <v>147214</v>
      </c>
      <c r="AF533" s="47">
        <v>173810</v>
      </c>
      <c r="AG533" s="47">
        <v>132865</v>
      </c>
      <c r="AH533" s="47">
        <v>134315</v>
      </c>
      <c r="AI533" s="47">
        <v>241760</v>
      </c>
      <c r="AJ533" s="47">
        <v>357543</v>
      </c>
      <c r="AK533" s="47">
        <v>448010</v>
      </c>
      <c r="AL533" s="47">
        <v>552090</v>
      </c>
      <c r="AM533" s="47">
        <v>486815</v>
      </c>
      <c r="AN533" s="47">
        <v>424261</v>
      </c>
      <c r="AO533" s="47">
        <v>363190</v>
      </c>
      <c r="AP533" s="47">
        <v>376389</v>
      </c>
      <c r="AQ533" s="47">
        <v>449000</v>
      </c>
      <c r="AR533" s="47">
        <v>473125</v>
      </c>
      <c r="AS533" s="47"/>
      <c r="AT533" s="47"/>
      <c r="AU533" s="47"/>
      <c r="AV533" s="47"/>
      <c r="AW533" s="47"/>
      <c r="AX533" s="47"/>
      <c r="AY533" s="47"/>
      <c r="AZ533" s="47"/>
      <c r="BA533" s="47"/>
      <c r="BB533" s="47"/>
      <c r="BC533" s="47"/>
      <c r="BD533" s="47"/>
      <c r="BE533" s="47"/>
      <c r="BF533" s="47"/>
    </row>
    <row r="534" spans="1:58" hidden="1">
      <c r="A534" s="46" t="s">
        <v>288</v>
      </c>
      <c r="B534" s="46" t="s">
        <v>70</v>
      </c>
      <c r="C534" s="47">
        <v>30</v>
      </c>
      <c r="D534" s="47">
        <v>25</v>
      </c>
      <c r="E534" s="47">
        <v>20</v>
      </c>
      <c r="F534" s="47">
        <v>15</v>
      </c>
      <c r="G534" s="47">
        <v>84</v>
      </c>
      <c r="H534" s="47">
        <v>177</v>
      </c>
      <c r="I534" s="47">
        <v>215</v>
      </c>
      <c r="J534" s="47">
        <v>404</v>
      </c>
      <c r="K534" s="47">
        <v>804</v>
      </c>
      <c r="L534" s="47">
        <v>620</v>
      </c>
      <c r="M534" s="47">
        <v>1295</v>
      </c>
      <c r="N534" s="47">
        <v>1716</v>
      </c>
      <c r="O534" s="47">
        <v>1145</v>
      </c>
      <c r="P534" s="47">
        <v>790</v>
      </c>
      <c r="Q534" s="85">
        <v>13</v>
      </c>
      <c r="R534" s="85">
        <v>12</v>
      </c>
      <c r="S534" s="85">
        <v>15</v>
      </c>
      <c r="T534" s="85">
        <v>15</v>
      </c>
      <c r="U534" s="85">
        <v>17.57</v>
      </c>
      <c r="V534" s="85">
        <v>16.440000000000001</v>
      </c>
      <c r="W534" s="85">
        <v>17.03</v>
      </c>
      <c r="X534" s="85">
        <v>18.68</v>
      </c>
      <c r="Y534" s="85">
        <v>21.1</v>
      </c>
      <c r="Z534" s="85">
        <v>19.23</v>
      </c>
      <c r="AA534" s="85">
        <v>19.079999999999998</v>
      </c>
      <c r="AB534" s="85">
        <v>19.12</v>
      </c>
      <c r="AC534" s="85">
        <v>18.47</v>
      </c>
      <c r="AD534" s="85">
        <v>18.16</v>
      </c>
      <c r="AE534" s="47">
        <v>390</v>
      </c>
      <c r="AF534" s="47">
        <v>300</v>
      </c>
      <c r="AG534" s="47">
        <v>300</v>
      </c>
      <c r="AH534" s="47">
        <v>225</v>
      </c>
      <c r="AI534" s="47">
        <v>1476</v>
      </c>
      <c r="AJ534" s="47">
        <v>2910</v>
      </c>
      <c r="AK534" s="47">
        <v>3662</v>
      </c>
      <c r="AL534" s="47">
        <v>7545</v>
      </c>
      <c r="AM534" s="47">
        <v>16967</v>
      </c>
      <c r="AN534" s="47">
        <v>11920</v>
      </c>
      <c r="AO534" s="47">
        <v>24710</v>
      </c>
      <c r="AP534" s="47">
        <v>32808</v>
      </c>
      <c r="AQ534" s="47">
        <v>21150</v>
      </c>
      <c r="AR534" s="47">
        <v>14350</v>
      </c>
      <c r="AS534" s="47"/>
      <c r="AT534" s="47"/>
      <c r="AU534" s="47"/>
      <c r="AV534" s="47"/>
      <c r="AW534" s="47"/>
      <c r="AX534" s="47"/>
      <c r="AY534" s="47"/>
      <c r="AZ534" s="47"/>
      <c r="BA534" s="47"/>
      <c r="BB534" s="47"/>
      <c r="BC534" s="47"/>
      <c r="BD534" s="47"/>
      <c r="BE534" s="47"/>
      <c r="BF534" s="47"/>
    </row>
    <row r="535" spans="1:58" hidden="1">
      <c r="A535" s="46" t="s">
        <v>288</v>
      </c>
      <c r="B535" s="46" t="s">
        <v>71</v>
      </c>
      <c r="C535" s="47">
        <v>0</v>
      </c>
      <c r="D535" s="47">
        <v>0</v>
      </c>
      <c r="E535" s="47">
        <v>0</v>
      </c>
      <c r="F535" s="47">
        <v>0</v>
      </c>
      <c r="G535" s="47">
        <v>0</v>
      </c>
      <c r="H535" s="47">
        <v>0</v>
      </c>
      <c r="I535" s="47">
        <v>136</v>
      </c>
      <c r="J535" s="47">
        <v>257</v>
      </c>
      <c r="K535" s="47">
        <v>185</v>
      </c>
      <c r="L535" s="47">
        <v>205</v>
      </c>
      <c r="M535" s="47">
        <v>218</v>
      </c>
      <c r="N535" s="47">
        <v>229</v>
      </c>
      <c r="O535" s="47">
        <v>231</v>
      </c>
      <c r="P535" s="47">
        <v>299</v>
      </c>
      <c r="Q535" s="85"/>
      <c r="R535" s="85"/>
      <c r="S535" s="85"/>
      <c r="T535" s="85"/>
      <c r="U535" s="85"/>
      <c r="V535" s="85"/>
      <c r="W535" s="85"/>
      <c r="X535" s="85"/>
      <c r="Y535" s="85"/>
      <c r="Z535" s="85"/>
      <c r="AA535" s="85"/>
      <c r="AB535" s="85"/>
      <c r="AC535" s="85"/>
      <c r="AD535" s="85"/>
      <c r="AE535" s="47">
        <v>0</v>
      </c>
      <c r="AF535" s="47">
        <v>0</v>
      </c>
      <c r="AG535" s="47">
        <v>0</v>
      </c>
      <c r="AH535" s="47">
        <v>0</v>
      </c>
      <c r="AI535" s="47">
        <v>0</v>
      </c>
      <c r="AJ535" s="47">
        <v>0</v>
      </c>
      <c r="AK535" s="47">
        <v>2346</v>
      </c>
      <c r="AL535" s="47">
        <v>4173</v>
      </c>
      <c r="AM535" s="47">
        <v>3056</v>
      </c>
      <c r="AN535" s="47">
        <v>3464</v>
      </c>
      <c r="AO535" s="47">
        <v>3692</v>
      </c>
      <c r="AP535" s="47">
        <v>4122</v>
      </c>
      <c r="AQ535" s="47">
        <v>3681</v>
      </c>
      <c r="AR535" s="47">
        <v>4485</v>
      </c>
      <c r="AS535" s="47"/>
      <c r="AT535" s="47"/>
      <c r="AU535" s="47"/>
      <c r="AV535" s="47"/>
      <c r="AW535" s="47"/>
      <c r="AX535" s="47"/>
      <c r="AY535" s="47"/>
      <c r="AZ535" s="47"/>
      <c r="BA535" s="47"/>
      <c r="BB535" s="47"/>
      <c r="BC535" s="47"/>
      <c r="BD535" s="47"/>
      <c r="BE535" s="47"/>
      <c r="BF535" s="47"/>
    </row>
    <row r="536" spans="1:58" hidden="1">
      <c r="A536" s="46" t="s">
        <v>288</v>
      </c>
      <c r="B536" s="46" t="s">
        <v>72</v>
      </c>
      <c r="C536" s="47">
        <v>72450</v>
      </c>
      <c r="D536" s="47">
        <v>80843</v>
      </c>
      <c r="E536" s="47">
        <v>76295</v>
      </c>
      <c r="F536" s="47">
        <v>72540</v>
      </c>
      <c r="G536" s="47">
        <v>78689</v>
      </c>
      <c r="H536" s="47">
        <v>78822</v>
      </c>
      <c r="I536" s="47">
        <v>76753</v>
      </c>
      <c r="J536" s="47">
        <v>86931</v>
      </c>
      <c r="K536" s="47">
        <v>91839</v>
      </c>
      <c r="L536" s="47">
        <v>74940</v>
      </c>
      <c r="M536" s="47">
        <v>79245</v>
      </c>
      <c r="N536" s="47">
        <v>75215</v>
      </c>
      <c r="O536" s="47">
        <v>99736</v>
      </c>
      <c r="P536" s="47">
        <v>106176</v>
      </c>
      <c r="Q536" s="85">
        <v>26.69</v>
      </c>
      <c r="R536" s="85">
        <v>27.92</v>
      </c>
      <c r="S536" s="85">
        <v>28.29</v>
      </c>
      <c r="T536" s="85">
        <v>25.15</v>
      </c>
      <c r="U536" s="85">
        <v>28.61</v>
      </c>
      <c r="V536" s="85">
        <v>25.39</v>
      </c>
      <c r="W536" s="85">
        <v>30.86</v>
      </c>
      <c r="X536" s="85">
        <v>32.18</v>
      </c>
      <c r="Y536" s="85">
        <v>29</v>
      </c>
      <c r="Z536" s="85">
        <v>25.62</v>
      </c>
      <c r="AA536" s="85">
        <v>24.79</v>
      </c>
      <c r="AB536" s="85">
        <v>29.05</v>
      </c>
      <c r="AC536" s="85">
        <v>26.02</v>
      </c>
      <c r="AD536" s="85">
        <v>27.61</v>
      </c>
      <c r="AE536" s="47">
        <v>1933336</v>
      </c>
      <c r="AF536" s="47">
        <v>2257026</v>
      </c>
      <c r="AG536" s="47">
        <v>2158054</v>
      </c>
      <c r="AH536" s="47">
        <v>1824060</v>
      </c>
      <c r="AI536" s="47">
        <v>2251041</v>
      </c>
      <c r="AJ536" s="47">
        <v>2001025</v>
      </c>
      <c r="AK536" s="47">
        <v>2368433</v>
      </c>
      <c r="AL536" s="47">
        <v>2797413</v>
      </c>
      <c r="AM536" s="47">
        <v>2663218</v>
      </c>
      <c r="AN536" s="47">
        <v>1920134</v>
      </c>
      <c r="AO536" s="47">
        <v>1964214</v>
      </c>
      <c r="AP536" s="47">
        <v>2185194</v>
      </c>
      <c r="AQ536" s="47">
        <v>2595326</v>
      </c>
      <c r="AR536" s="47">
        <v>2931479</v>
      </c>
      <c r="AS536" s="47"/>
      <c r="AT536" s="47"/>
      <c r="AU536" s="47"/>
      <c r="AV536" s="47"/>
      <c r="AW536" s="47"/>
      <c r="AX536" s="47"/>
      <c r="AY536" s="47"/>
      <c r="AZ536" s="47"/>
      <c r="BA536" s="47"/>
      <c r="BB536" s="47"/>
      <c r="BC536" s="47"/>
      <c r="BD536" s="47"/>
      <c r="BE536" s="47"/>
      <c r="BF536" s="47"/>
    </row>
    <row r="537" spans="1:58" hidden="1">
      <c r="A537" s="46" t="s">
        <v>288</v>
      </c>
      <c r="B537" s="46" t="s">
        <v>73</v>
      </c>
      <c r="C537" s="47">
        <v>0</v>
      </c>
      <c r="D537" s="47">
        <v>0</v>
      </c>
      <c r="E537" s="47">
        <v>0</v>
      </c>
      <c r="F537" s="47">
        <v>0</v>
      </c>
      <c r="G537" s="47">
        <v>0</v>
      </c>
      <c r="H537" s="47">
        <v>0</v>
      </c>
      <c r="I537" s="47">
        <v>0</v>
      </c>
      <c r="J537" s="47">
        <v>0</v>
      </c>
      <c r="K537" s="47">
        <v>0</v>
      </c>
      <c r="L537" s="47">
        <v>0</v>
      </c>
      <c r="M537" s="47">
        <v>0</v>
      </c>
      <c r="N537" s="47">
        <v>0</v>
      </c>
      <c r="O537" s="47">
        <v>0</v>
      </c>
      <c r="P537" s="47">
        <v>0</v>
      </c>
      <c r="Q537" s="85"/>
      <c r="R537" s="85"/>
      <c r="S537" s="85"/>
      <c r="T537" s="85"/>
      <c r="U537" s="85"/>
      <c r="V537" s="85"/>
      <c r="W537" s="85"/>
      <c r="X537" s="85"/>
      <c r="Y537" s="85"/>
      <c r="Z537" s="85"/>
      <c r="AA537" s="85"/>
      <c r="AB537" s="85"/>
      <c r="AC537" s="85"/>
      <c r="AD537" s="85"/>
      <c r="AE537" s="47">
        <v>0</v>
      </c>
      <c r="AF537" s="47">
        <v>0</v>
      </c>
      <c r="AG537" s="47">
        <v>0</v>
      </c>
      <c r="AH537" s="47">
        <v>0</v>
      </c>
      <c r="AI537" s="47">
        <v>0</v>
      </c>
      <c r="AJ537" s="47">
        <v>0</v>
      </c>
      <c r="AK537" s="47">
        <v>0</v>
      </c>
      <c r="AL537" s="47">
        <v>0</v>
      </c>
      <c r="AM537" s="47">
        <v>0</v>
      </c>
      <c r="AN537" s="47">
        <v>0</v>
      </c>
      <c r="AO537" s="47">
        <v>0</v>
      </c>
      <c r="AP537" s="47">
        <v>0</v>
      </c>
      <c r="AQ537" s="47">
        <v>0</v>
      </c>
      <c r="AR537" s="47">
        <v>0</v>
      </c>
      <c r="AS537" s="47"/>
      <c r="AT537" s="47"/>
      <c r="AU537" s="47"/>
      <c r="AV537" s="47"/>
      <c r="AW537" s="47"/>
      <c r="AX537" s="47"/>
      <c r="AY537" s="47"/>
      <c r="AZ537" s="47"/>
      <c r="BA537" s="47"/>
      <c r="BB537" s="47"/>
      <c r="BC537" s="47"/>
      <c r="BD537" s="47"/>
      <c r="BE537" s="47"/>
      <c r="BF537" s="47"/>
    </row>
    <row r="538" spans="1:58" hidden="1">
      <c r="A538" s="46" t="s">
        <v>288</v>
      </c>
      <c r="B538" s="46" t="s">
        <v>74</v>
      </c>
      <c r="C538" s="47">
        <v>721</v>
      </c>
      <c r="D538" s="47">
        <v>581</v>
      </c>
      <c r="E538" s="47">
        <v>348</v>
      </c>
      <c r="F538" s="47">
        <v>378</v>
      </c>
      <c r="G538" s="47">
        <v>745</v>
      </c>
      <c r="H538" s="47">
        <v>770</v>
      </c>
      <c r="I538" s="47">
        <v>1091</v>
      </c>
      <c r="J538" s="47">
        <v>1123</v>
      </c>
      <c r="K538" s="47">
        <v>957</v>
      </c>
      <c r="L538" s="47">
        <v>1127</v>
      </c>
      <c r="M538" s="47">
        <v>1055</v>
      </c>
      <c r="N538" s="47">
        <v>963</v>
      </c>
      <c r="O538" s="47">
        <v>1019</v>
      </c>
      <c r="P538" s="47">
        <v>997</v>
      </c>
      <c r="Q538" s="85">
        <v>25.77</v>
      </c>
      <c r="R538" s="85">
        <v>24.73</v>
      </c>
      <c r="S538" s="85">
        <v>22.97</v>
      </c>
      <c r="T538" s="85">
        <v>22.95</v>
      </c>
      <c r="U538" s="85">
        <v>22.73</v>
      </c>
      <c r="V538" s="85">
        <v>21.42</v>
      </c>
      <c r="W538" s="85">
        <v>21.91</v>
      </c>
      <c r="X538" s="85">
        <v>22.85</v>
      </c>
      <c r="Y538" s="85">
        <v>21.87</v>
      </c>
      <c r="Z538" s="85">
        <v>16</v>
      </c>
      <c r="AA538" s="85">
        <v>12.65</v>
      </c>
      <c r="AB538" s="85">
        <v>18.04</v>
      </c>
      <c r="AC538" s="85">
        <v>13.34</v>
      </c>
      <c r="AD538" s="85">
        <v>19.22</v>
      </c>
      <c r="AE538" s="47">
        <v>18581</v>
      </c>
      <c r="AF538" s="47">
        <v>14370</v>
      </c>
      <c r="AG538" s="47">
        <v>7995</v>
      </c>
      <c r="AH538" s="47">
        <v>8675</v>
      </c>
      <c r="AI538" s="47">
        <v>16935</v>
      </c>
      <c r="AJ538" s="47">
        <v>16495</v>
      </c>
      <c r="AK538" s="47">
        <v>23908</v>
      </c>
      <c r="AL538" s="47">
        <v>25656</v>
      </c>
      <c r="AM538" s="47">
        <v>20930</v>
      </c>
      <c r="AN538" s="47">
        <v>18030</v>
      </c>
      <c r="AO538" s="47">
        <v>13350</v>
      </c>
      <c r="AP538" s="47">
        <v>17375</v>
      </c>
      <c r="AQ538" s="47">
        <v>13591</v>
      </c>
      <c r="AR538" s="47">
        <v>19166</v>
      </c>
      <c r="AS538" s="47"/>
      <c r="AT538" s="47"/>
      <c r="AU538" s="47"/>
      <c r="AV538" s="47"/>
      <c r="AW538" s="47"/>
      <c r="AX538" s="47"/>
      <c r="AY538" s="47"/>
      <c r="AZ538" s="47"/>
      <c r="BA538" s="47"/>
      <c r="BB538" s="47"/>
      <c r="BC538" s="47"/>
      <c r="BD538" s="47"/>
      <c r="BE538" s="47"/>
      <c r="BF538" s="47"/>
    </row>
    <row r="539" spans="1:58" hidden="1">
      <c r="A539" s="46" t="s">
        <v>288</v>
      </c>
      <c r="B539" s="46" t="s">
        <v>75</v>
      </c>
      <c r="C539" s="47">
        <v>81</v>
      </c>
      <c r="D539" s="47">
        <v>81</v>
      </c>
      <c r="E539" s="47">
        <v>92</v>
      </c>
      <c r="F539" s="47">
        <v>108</v>
      </c>
      <c r="G539" s="47">
        <v>113</v>
      </c>
      <c r="H539" s="47">
        <v>120</v>
      </c>
      <c r="I539" s="47">
        <v>106</v>
      </c>
      <c r="J539" s="47">
        <v>133</v>
      </c>
      <c r="K539" s="47">
        <v>145</v>
      </c>
      <c r="L539" s="47">
        <v>146</v>
      </c>
      <c r="M539" s="47">
        <v>154</v>
      </c>
      <c r="N539" s="47">
        <v>147</v>
      </c>
      <c r="O539" s="47">
        <v>104</v>
      </c>
      <c r="P539" s="47">
        <v>125</v>
      </c>
      <c r="Q539" s="85">
        <v>22.07</v>
      </c>
      <c r="R539" s="85">
        <v>21.37</v>
      </c>
      <c r="S539" s="85">
        <v>21.1</v>
      </c>
      <c r="T539" s="85">
        <v>19.899999999999999</v>
      </c>
      <c r="U539" s="85">
        <v>20.23</v>
      </c>
      <c r="V539" s="85">
        <v>21.96</v>
      </c>
      <c r="W539" s="85">
        <v>22.49</v>
      </c>
      <c r="X539" s="85">
        <v>24.33</v>
      </c>
      <c r="Y539" s="85">
        <v>23.44</v>
      </c>
      <c r="Z539" s="85">
        <v>22.12</v>
      </c>
      <c r="AA539" s="85">
        <v>19.87</v>
      </c>
      <c r="AB539" s="85">
        <v>26.95</v>
      </c>
      <c r="AC539" s="85">
        <v>19.32</v>
      </c>
      <c r="AD539" s="85">
        <v>25.58</v>
      </c>
      <c r="AE539" s="47">
        <v>1788</v>
      </c>
      <c r="AF539" s="47">
        <v>1731</v>
      </c>
      <c r="AG539" s="47">
        <v>1941</v>
      </c>
      <c r="AH539" s="47">
        <v>2149</v>
      </c>
      <c r="AI539" s="47">
        <v>2286</v>
      </c>
      <c r="AJ539" s="47">
        <v>2635</v>
      </c>
      <c r="AK539" s="47">
        <v>2384</v>
      </c>
      <c r="AL539" s="47">
        <v>3236</v>
      </c>
      <c r="AM539" s="47">
        <v>3399</v>
      </c>
      <c r="AN539" s="47">
        <v>3230</v>
      </c>
      <c r="AO539" s="47">
        <v>3060</v>
      </c>
      <c r="AP539" s="47">
        <v>3962</v>
      </c>
      <c r="AQ539" s="47">
        <v>2009</v>
      </c>
      <c r="AR539" s="47">
        <v>3198</v>
      </c>
      <c r="AS539" s="47"/>
      <c r="AT539" s="47"/>
      <c r="AU539" s="47"/>
      <c r="AV539" s="47"/>
      <c r="AW539" s="47"/>
      <c r="AX539" s="47"/>
      <c r="AY539" s="47"/>
      <c r="AZ539" s="47"/>
      <c r="BA539" s="47"/>
      <c r="BB539" s="47"/>
      <c r="BC539" s="47"/>
      <c r="BD539" s="47"/>
      <c r="BE539" s="47"/>
      <c r="BF539" s="47"/>
    </row>
    <row r="540" spans="1:58" hidden="1">
      <c r="A540" s="46" t="s">
        <v>288</v>
      </c>
      <c r="B540" s="46" t="s">
        <v>76</v>
      </c>
      <c r="C540" s="47">
        <v>4592</v>
      </c>
      <c r="D540" s="47">
        <v>4373</v>
      </c>
      <c r="E540" s="47">
        <v>3691</v>
      </c>
      <c r="F540" s="47">
        <v>3637</v>
      </c>
      <c r="G540" s="47">
        <v>4284</v>
      </c>
      <c r="H540" s="47">
        <v>4595</v>
      </c>
      <c r="I540" s="47">
        <v>4335</v>
      </c>
      <c r="J540" s="47">
        <v>4550</v>
      </c>
      <c r="K540" s="47">
        <v>4629</v>
      </c>
      <c r="L540" s="47">
        <v>4716</v>
      </c>
      <c r="M540" s="47">
        <v>4248</v>
      </c>
      <c r="N540" s="47">
        <v>3831</v>
      </c>
      <c r="O540" s="47">
        <v>3779</v>
      </c>
      <c r="P540" s="47">
        <v>3783</v>
      </c>
      <c r="Q540" s="85">
        <v>9.01</v>
      </c>
      <c r="R540" s="85">
        <v>10.02</v>
      </c>
      <c r="S540" s="85">
        <v>8.9499999999999993</v>
      </c>
      <c r="T540" s="85">
        <v>9.0399999999999991</v>
      </c>
      <c r="U540" s="85">
        <v>6.98</v>
      </c>
      <c r="V540" s="85">
        <v>6.4</v>
      </c>
      <c r="W540" s="85">
        <v>5.0199999999999996</v>
      </c>
      <c r="X540" s="85">
        <v>8.06</v>
      </c>
      <c r="Y540" s="85">
        <v>7.42</v>
      </c>
      <c r="Z540" s="85">
        <v>7.79</v>
      </c>
      <c r="AA540" s="85">
        <v>4.28</v>
      </c>
      <c r="AB540" s="85">
        <v>3.52</v>
      </c>
      <c r="AC540" s="85">
        <v>4.3</v>
      </c>
      <c r="AD540" s="85">
        <v>4.83</v>
      </c>
      <c r="AE540" s="47">
        <v>41388</v>
      </c>
      <c r="AF540" s="47">
        <v>43800</v>
      </c>
      <c r="AG540" s="47">
        <v>33039</v>
      </c>
      <c r="AH540" s="47">
        <v>32883</v>
      </c>
      <c r="AI540" s="47">
        <v>29918</v>
      </c>
      <c r="AJ540" s="47">
        <v>29420</v>
      </c>
      <c r="AK540" s="47">
        <v>21778</v>
      </c>
      <c r="AL540" s="47">
        <v>36692</v>
      </c>
      <c r="AM540" s="47">
        <v>34345</v>
      </c>
      <c r="AN540" s="47">
        <v>36758</v>
      </c>
      <c r="AO540" s="47">
        <v>18186</v>
      </c>
      <c r="AP540" s="47">
        <v>13470</v>
      </c>
      <c r="AQ540" s="47">
        <v>16251</v>
      </c>
      <c r="AR540" s="47">
        <v>18287</v>
      </c>
      <c r="AS540" s="47"/>
      <c r="AT540" s="47"/>
      <c r="AU540" s="47"/>
      <c r="AV540" s="47"/>
      <c r="AW540" s="47"/>
      <c r="AX540" s="47"/>
      <c r="AY540" s="47"/>
      <c r="AZ540" s="47"/>
      <c r="BA540" s="47"/>
      <c r="BB540" s="47"/>
      <c r="BC540" s="47"/>
      <c r="BD540" s="47"/>
      <c r="BE540" s="47"/>
      <c r="BF540" s="47"/>
    </row>
    <row r="541" spans="1:58" hidden="1">
      <c r="A541" s="46" t="s">
        <v>288</v>
      </c>
      <c r="B541" s="46" t="s">
        <v>77</v>
      </c>
      <c r="C541" s="47">
        <v>3422</v>
      </c>
      <c r="D541" s="47">
        <v>2705</v>
      </c>
      <c r="E541" s="47">
        <v>1544</v>
      </c>
      <c r="F541" s="47">
        <v>1173</v>
      </c>
      <c r="G541" s="47">
        <v>1545</v>
      </c>
      <c r="H541" s="47">
        <v>2134</v>
      </c>
      <c r="I541" s="47">
        <v>2530</v>
      </c>
      <c r="J541" s="47">
        <v>2600</v>
      </c>
      <c r="K541" s="47">
        <v>2220</v>
      </c>
      <c r="L541" s="47">
        <v>2275</v>
      </c>
      <c r="M541" s="47">
        <v>2890</v>
      </c>
      <c r="N541" s="47">
        <v>2399</v>
      </c>
      <c r="O541" s="47">
        <v>1486</v>
      </c>
      <c r="P541" s="47">
        <v>1995</v>
      </c>
      <c r="Q541" s="85">
        <v>35.15</v>
      </c>
      <c r="R541" s="85">
        <v>28.42</v>
      </c>
      <c r="S541" s="85">
        <v>35.1</v>
      </c>
      <c r="T541" s="85">
        <v>32.35</v>
      </c>
      <c r="U541" s="85">
        <v>31.4</v>
      </c>
      <c r="V541" s="85">
        <v>30.17</v>
      </c>
      <c r="W541" s="85">
        <v>29.82</v>
      </c>
      <c r="X541" s="85">
        <v>32.93</v>
      </c>
      <c r="Y541" s="85">
        <v>29.41</v>
      </c>
      <c r="Z541" s="85">
        <v>27.38</v>
      </c>
      <c r="AA541" s="85">
        <v>22.83</v>
      </c>
      <c r="AB541" s="85">
        <v>24.76</v>
      </c>
      <c r="AC541" s="85">
        <v>25.19</v>
      </c>
      <c r="AD541" s="85">
        <v>28.41</v>
      </c>
      <c r="AE541" s="47">
        <v>120267</v>
      </c>
      <c r="AF541" s="47">
        <v>76886</v>
      </c>
      <c r="AG541" s="47">
        <v>54193</v>
      </c>
      <c r="AH541" s="47">
        <v>37945</v>
      </c>
      <c r="AI541" s="47">
        <v>48513</v>
      </c>
      <c r="AJ541" s="47">
        <v>64375</v>
      </c>
      <c r="AK541" s="47">
        <v>75454</v>
      </c>
      <c r="AL541" s="47">
        <v>85618</v>
      </c>
      <c r="AM541" s="47">
        <v>65301</v>
      </c>
      <c r="AN541" s="47">
        <v>62298</v>
      </c>
      <c r="AO541" s="47">
        <v>65970</v>
      </c>
      <c r="AP541" s="47">
        <v>59401</v>
      </c>
      <c r="AQ541" s="47">
        <v>37429</v>
      </c>
      <c r="AR541" s="47">
        <v>56682</v>
      </c>
      <c r="AS541" s="47"/>
      <c r="AT541" s="47"/>
      <c r="AU541" s="47"/>
      <c r="AV541" s="47"/>
      <c r="AW541" s="47"/>
      <c r="AX541" s="47"/>
      <c r="AY541" s="47"/>
      <c r="AZ541" s="47"/>
      <c r="BA541" s="47"/>
      <c r="BB541" s="47"/>
      <c r="BC541" s="47"/>
      <c r="BD541" s="47"/>
      <c r="BE541" s="47"/>
      <c r="BF541" s="47"/>
    </row>
    <row r="542" spans="1:58" hidden="1">
      <c r="A542" s="46" t="s">
        <v>288</v>
      </c>
      <c r="B542" s="46" t="s">
        <v>78</v>
      </c>
      <c r="C542" s="47">
        <v>1995</v>
      </c>
      <c r="D542" s="47">
        <v>1540</v>
      </c>
      <c r="E542" s="47">
        <v>999</v>
      </c>
      <c r="F542" s="47">
        <v>766</v>
      </c>
      <c r="G542" s="47">
        <v>1064</v>
      </c>
      <c r="H542" s="47">
        <v>1651</v>
      </c>
      <c r="I542" s="47">
        <v>2062</v>
      </c>
      <c r="J542" s="47">
        <v>2212</v>
      </c>
      <c r="K542" s="47">
        <v>1655</v>
      </c>
      <c r="L542" s="47">
        <v>1751</v>
      </c>
      <c r="M542" s="47">
        <v>2430</v>
      </c>
      <c r="N542" s="47">
        <v>2135</v>
      </c>
      <c r="O542" s="47">
        <v>1826</v>
      </c>
      <c r="P542" s="47">
        <v>210</v>
      </c>
      <c r="Q542" s="85">
        <v>37.26</v>
      </c>
      <c r="R542" s="85">
        <v>27.44</v>
      </c>
      <c r="S542" s="85">
        <v>34.619999999999997</v>
      </c>
      <c r="T542" s="85">
        <v>32.1</v>
      </c>
      <c r="U542" s="85">
        <v>31.5</v>
      </c>
      <c r="V542" s="85">
        <v>28.34</v>
      </c>
      <c r="W542" s="85">
        <v>25.55</v>
      </c>
      <c r="X542" s="85">
        <v>30.51</v>
      </c>
      <c r="Y542" s="85">
        <v>27.35</v>
      </c>
      <c r="Z542" s="85">
        <v>26.18</v>
      </c>
      <c r="AA542" s="85">
        <v>21.13</v>
      </c>
      <c r="AB542" s="85">
        <v>21.81</v>
      </c>
      <c r="AC542" s="85">
        <v>23.24</v>
      </c>
      <c r="AD542" s="85">
        <v>22.78</v>
      </c>
      <c r="AE542" s="47">
        <v>74330</v>
      </c>
      <c r="AF542" s="47">
        <v>42264</v>
      </c>
      <c r="AG542" s="47">
        <v>34583</v>
      </c>
      <c r="AH542" s="47">
        <v>24585</v>
      </c>
      <c r="AI542" s="47">
        <v>33517</v>
      </c>
      <c r="AJ542" s="47">
        <v>46795</v>
      </c>
      <c r="AK542" s="47">
        <v>52681</v>
      </c>
      <c r="AL542" s="47">
        <v>67492</v>
      </c>
      <c r="AM542" s="47">
        <v>45264</v>
      </c>
      <c r="AN542" s="47">
        <v>45834</v>
      </c>
      <c r="AO542" s="47">
        <v>51340</v>
      </c>
      <c r="AP542" s="47">
        <v>46555</v>
      </c>
      <c r="AQ542" s="47">
        <v>42442</v>
      </c>
      <c r="AR542" s="47">
        <v>4783</v>
      </c>
      <c r="AS542" s="47"/>
      <c r="AT542" s="47"/>
      <c r="AU542" s="47"/>
      <c r="AV542" s="47"/>
      <c r="AW542" s="47"/>
      <c r="AX542" s="47"/>
      <c r="AY542" s="47"/>
      <c r="AZ542" s="47"/>
      <c r="BA542" s="47"/>
      <c r="BB542" s="47"/>
      <c r="BC542" s="47"/>
      <c r="BD542" s="47"/>
      <c r="BE542" s="47"/>
      <c r="BF542" s="47"/>
    </row>
    <row r="543" spans="1:58" hidden="1">
      <c r="A543" s="46" t="s">
        <v>288</v>
      </c>
      <c r="B543" s="46" t="s">
        <v>79</v>
      </c>
      <c r="C543" s="47">
        <v>87</v>
      </c>
      <c r="D543" s="47">
        <v>142</v>
      </c>
      <c r="E543" s="47">
        <v>208</v>
      </c>
      <c r="F543" s="47">
        <v>241</v>
      </c>
      <c r="G543" s="47">
        <v>234</v>
      </c>
      <c r="H543" s="47">
        <v>253</v>
      </c>
      <c r="I543" s="47">
        <v>317</v>
      </c>
      <c r="J543" s="47">
        <v>554</v>
      </c>
      <c r="K543" s="47">
        <v>836</v>
      </c>
      <c r="L543" s="47">
        <v>940</v>
      </c>
      <c r="M543" s="47">
        <v>653</v>
      </c>
      <c r="N543" s="47">
        <v>525</v>
      </c>
      <c r="O543" s="47">
        <v>489</v>
      </c>
      <c r="P543" s="47">
        <v>738</v>
      </c>
      <c r="Q543" s="85">
        <v>20.59</v>
      </c>
      <c r="R543" s="85">
        <v>20.7</v>
      </c>
      <c r="S543" s="85">
        <v>19.04</v>
      </c>
      <c r="T543" s="85">
        <v>19.37</v>
      </c>
      <c r="U543" s="85">
        <v>19.53</v>
      </c>
      <c r="V543" s="85">
        <v>18.329999999999998</v>
      </c>
      <c r="W543" s="85">
        <v>18.920000000000002</v>
      </c>
      <c r="X543" s="85">
        <v>18.36</v>
      </c>
      <c r="Y543" s="85">
        <v>15.1</v>
      </c>
      <c r="Z543" s="85">
        <v>17.28</v>
      </c>
      <c r="AA543" s="85">
        <v>14.95</v>
      </c>
      <c r="AB543" s="85">
        <v>12.09</v>
      </c>
      <c r="AC543" s="85">
        <v>11.39</v>
      </c>
      <c r="AD543" s="85">
        <v>15.01</v>
      </c>
      <c r="AE543" s="47">
        <v>1791</v>
      </c>
      <c r="AF543" s="47">
        <v>2939</v>
      </c>
      <c r="AG543" s="47">
        <v>3961</v>
      </c>
      <c r="AH543" s="47">
        <v>4667</v>
      </c>
      <c r="AI543" s="47">
        <v>4569</v>
      </c>
      <c r="AJ543" s="47">
        <v>4638</v>
      </c>
      <c r="AK543" s="47">
        <v>5999</v>
      </c>
      <c r="AL543" s="47">
        <v>10170</v>
      </c>
      <c r="AM543" s="47">
        <v>12622</v>
      </c>
      <c r="AN543" s="47">
        <v>16242</v>
      </c>
      <c r="AO543" s="47">
        <v>9765</v>
      </c>
      <c r="AP543" s="47">
        <v>6349</v>
      </c>
      <c r="AQ543" s="47">
        <v>5571</v>
      </c>
      <c r="AR543" s="47">
        <v>11078</v>
      </c>
      <c r="AS543" s="47"/>
      <c r="AT543" s="47"/>
      <c r="AU543" s="47"/>
      <c r="AV543" s="47"/>
      <c r="AW543" s="47"/>
      <c r="AX543" s="47"/>
      <c r="AY543" s="47"/>
      <c r="AZ543" s="47"/>
      <c r="BA543" s="47"/>
      <c r="BB543" s="47"/>
      <c r="BC543" s="47"/>
      <c r="BD543" s="47"/>
      <c r="BE543" s="47"/>
      <c r="BF543" s="47"/>
    </row>
    <row r="544" spans="1:58" hidden="1">
      <c r="A544" s="46" t="s">
        <v>288</v>
      </c>
      <c r="B544" s="46" t="s">
        <v>80</v>
      </c>
      <c r="C544" s="47">
        <v>195</v>
      </c>
      <c r="D544" s="47">
        <v>183</v>
      </c>
      <c r="E544" s="47">
        <v>97</v>
      </c>
      <c r="F544" s="47">
        <v>105</v>
      </c>
      <c r="G544" s="47">
        <v>133</v>
      </c>
      <c r="H544" s="47">
        <v>110</v>
      </c>
      <c r="I544" s="47">
        <v>118</v>
      </c>
      <c r="J544" s="47">
        <v>117</v>
      </c>
      <c r="K544" s="47">
        <v>122</v>
      </c>
      <c r="L544" s="47">
        <v>111</v>
      </c>
      <c r="M544" s="47">
        <v>106</v>
      </c>
      <c r="N544" s="47">
        <v>89</v>
      </c>
      <c r="O544" s="47">
        <v>112</v>
      </c>
      <c r="P544" s="47">
        <v>122</v>
      </c>
      <c r="Q544" s="85">
        <v>24.76</v>
      </c>
      <c r="R544" s="85">
        <v>18.690000000000001</v>
      </c>
      <c r="S544" s="85">
        <v>23.81</v>
      </c>
      <c r="T544" s="85">
        <v>19.760000000000002</v>
      </c>
      <c r="U544" s="85">
        <v>19.850000000000001</v>
      </c>
      <c r="V544" s="85">
        <v>20.27</v>
      </c>
      <c r="W544" s="85">
        <v>17.12</v>
      </c>
      <c r="X544" s="85">
        <v>17.170000000000002</v>
      </c>
      <c r="Y544" s="85">
        <v>19.43</v>
      </c>
      <c r="Z544" s="85">
        <v>16.190000000000001</v>
      </c>
      <c r="AA544" s="85">
        <v>15.47</v>
      </c>
      <c r="AB544" s="85">
        <v>17.809999999999999</v>
      </c>
      <c r="AC544" s="85">
        <v>14.41</v>
      </c>
      <c r="AD544" s="85">
        <v>17.28</v>
      </c>
      <c r="AE544" s="47">
        <v>4829</v>
      </c>
      <c r="AF544" s="47">
        <v>3420</v>
      </c>
      <c r="AG544" s="47">
        <v>2310</v>
      </c>
      <c r="AH544" s="47">
        <v>2075</v>
      </c>
      <c r="AI544" s="47">
        <v>2640</v>
      </c>
      <c r="AJ544" s="47">
        <v>2230</v>
      </c>
      <c r="AK544" s="47">
        <v>2020</v>
      </c>
      <c r="AL544" s="47">
        <v>2009</v>
      </c>
      <c r="AM544" s="47">
        <v>2370</v>
      </c>
      <c r="AN544" s="47">
        <v>1797</v>
      </c>
      <c r="AO544" s="47">
        <v>1640</v>
      </c>
      <c r="AP544" s="47">
        <v>1585</v>
      </c>
      <c r="AQ544" s="47">
        <v>1614</v>
      </c>
      <c r="AR544" s="47">
        <v>2108</v>
      </c>
      <c r="AS544" s="47"/>
      <c r="AT544" s="47"/>
      <c r="AU544" s="47"/>
      <c r="AV544" s="47"/>
      <c r="AW544" s="47"/>
      <c r="AX544" s="47"/>
      <c r="AY544" s="47"/>
      <c r="AZ544" s="47"/>
      <c r="BA544" s="47"/>
      <c r="BB544" s="47"/>
      <c r="BC544" s="47"/>
      <c r="BD544" s="47"/>
      <c r="BE544" s="47"/>
      <c r="BF544" s="47"/>
    </row>
    <row r="545" spans="1:58" hidden="1">
      <c r="A545" s="46" t="s">
        <v>288</v>
      </c>
      <c r="B545" s="46" t="s">
        <v>81</v>
      </c>
      <c r="C545" s="47">
        <v>0</v>
      </c>
      <c r="D545" s="47">
        <v>0</v>
      </c>
      <c r="E545" s="47">
        <v>0</v>
      </c>
      <c r="F545" s="47">
        <v>0</v>
      </c>
      <c r="G545" s="47">
        <v>0</v>
      </c>
      <c r="H545" s="47">
        <v>0</v>
      </c>
      <c r="I545" s="47">
        <v>0</v>
      </c>
      <c r="J545" s="47">
        <v>0</v>
      </c>
      <c r="K545" s="47">
        <v>0</v>
      </c>
      <c r="L545" s="47">
        <v>0</v>
      </c>
      <c r="M545" s="47">
        <v>97</v>
      </c>
      <c r="N545" s="47">
        <v>0</v>
      </c>
      <c r="O545" s="47">
        <v>0</v>
      </c>
      <c r="P545" s="47">
        <v>0</v>
      </c>
      <c r="Q545" s="85"/>
      <c r="R545" s="85"/>
      <c r="S545" s="85"/>
      <c r="T545" s="85"/>
      <c r="U545" s="85"/>
      <c r="V545" s="85"/>
      <c r="W545" s="85"/>
      <c r="X545" s="85"/>
      <c r="Y545" s="85"/>
      <c r="Z545" s="85"/>
      <c r="AA545" s="85"/>
      <c r="AB545" s="85"/>
      <c r="AC545" s="85"/>
      <c r="AD545" s="85"/>
      <c r="AE545" s="47">
        <v>0</v>
      </c>
      <c r="AF545" s="47">
        <v>0</v>
      </c>
      <c r="AG545" s="47">
        <v>0</v>
      </c>
      <c r="AH545" s="47">
        <v>0</v>
      </c>
      <c r="AI545" s="47">
        <v>0</v>
      </c>
      <c r="AJ545" s="47">
        <v>0</v>
      </c>
      <c r="AK545" s="47">
        <v>0</v>
      </c>
      <c r="AL545" s="47">
        <v>0</v>
      </c>
      <c r="AM545" s="47">
        <v>0</v>
      </c>
      <c r="AN545" s="47">
        <v>0</v>
      </c>
      <c r="AO545" s="47">
        <v>2175</v>
      </c>
      <c r="AP545" s="47">
        <v>0</v>
      </c>
      <c r="AQ545" s="47">
        <v>0</v>
      </c>
      <c r="AR545" s="47">
        <v>0</v>
      </c>
      <c r="AS545" s="47"/>
      <c r="AT545" s="47"/>
      <c r="AU545" s="47"/>
      <c r="AV545" s="47"/>
      <c r="AW545" s="47"/>
      <c r="AX545" s="47"/>
      <c r="AY545" s="47"/>
      <c r="AZ545" s="47"/>
      <c r="BA545" s="47"/>
      <c r="BB545" s="47"/>
      <c r="BC545" s="47"/>
      <c r="BD545" s="47"/>
      <c r="BE545" s="47"/>
      <c r="BF545" s="47"/>
    </row>
    <row r="546" spans="1:58" hidden="1">
      <c r="A546" s="46" t="s">
        <v>288</v>
      </c>
      <c r="B546" s="46" t="s">
        <v>82</v>
      </c>
      <c r="C546" s="47">
        <v>11093</v>
      </c>
      <c r="D546" s="47">
        <v>9605</v>
      </c>
      <c r="E546" s="47">
        <v>6979</v>
      </c>
      <c r="F546" s="47">
        <v>6408</v>
      </c>
      <c r="G546" s="47">
        <v>8118</v>
      </c>
      <c r="H546" s="47">
        <v>9633</v>
      </c>
      <c r="I546" s="47">
        <v>10559</v>
      </c>
      <c r="J546" s="47">
        <v>11289</v>
      </c>
      <c r="K546" s="47">
        <v>10564</v>
      </c>
      <c r="L546" s="47">
        <v>11066</v>
      </c>
      <c r="M546" s="47">
        <v>11633</v>
      </c>
      <c r="N546" s="47">
        <v>10089</v>
      </c>
      <c r="O546" s="47">
        <v>8815</v>
      </c>
      <c r="P546" s="47">
        <v>7970</v>
      </c>
      <c r="Q546" s="85">
        <v>23.71</v>
      </c>
      <c r="R546" s="85">
        <v>19.3</v>
      </c>
      <c r="S546" s="85">
        <v>19.78</v>
      </c>
      <c r="T546" s="85">
        <v>17.63</v>
      </c>
      <c r="U546" s="85">
        <v>17.05</v>
      </c>
      <c r="V546" s="85">
        <v>17.29</v>
      </c>
      <c r="W546" s="85">
        <v>17.45</v>
      </c>
      <c r="X546" s="85">
        <v>20.45</v>
      </c>
      <c r="Y546" s="85">
        <v>17.440000000000001</v>
      </c>
      <c r="Z546" s="85">
        <v>16.64</v>
      </c>
      <c r="AA546" s="85">
        <v>14.23</v>
      </c>
      <c r="AB546" s="85">
        <v>14.74</v>
      </c>
      <c r="AC546" s="85">
        <v>13.49</v>
      </c>
      <c r="AD546" s="85">
        <v>14.47</v>
      </c>
      <c r="AE546" s="47">
        <v>262974</v>
      </c>
      <c r="AF546" s="47">
        <v>185410</v>
      </c>
      <c r="AG546" s="47">
        <v>138022</v>
      </c>
      <c r="AH546" s="47">
        <v>112979</v>
      </c>
      <c r="AI546" s="47">
        <v>138378</v>
      </c>
      <c r="AJ546" s="47">
        <v>166588</v>
      </c>
      <c r="AK546" s="47">
        <v>184224</v>
      </c>
      <c r="AL546" s="47">
        <v>230873</v>
      </c>
      <c r="AM546" s="47">
        <v>184231</v>
      </c>
      <c r="AN546" s="47">
        <v>184189</v>
      </c>
      <c r="AO546" s="47">
        <v>165486</v>
      </c>
      <c r="AP546" s="47">
        <v>148697</v>
      </c>
      <c r="AQ546" s="47">
        <v>118907</v>
      </c>
      <c r="AR546" s="47">
        <v>115302</v>
      </c>
      <c r="AS546" s="47"/>
      <c r="AT546" s="47"/>
      <c r="AU546" s="47"/>
      <c r="AV546" s="47"/>
      <c r="AW546" s="47"/>
      <c r="AX546" s="47"/>
      <c r="AY546" s="47"/>
      <c r="AZ546" s="47"/>
      <c r="BA546" s="47"/>
      <c r="BB546" s="47"/>
      <c r="BC546" s="47"/>
      <c r="BD546" s="47"/>
      <c r="BE546" s="47"/>
      <c r="BF546" s="47"/>
    </row>
    <row r="547" spans="1:58" hidden="1">
      <c r="A547" s="46" t="s">
        <v>289</v>
      </c>
      <c r="B547" s="46" t="s">
        <v>251</v>
      </c>
      <c r="C547" s="47">
        <v>6131</v>
      </c>
      <c r="D547" s="47">
        <v>7337</v>
      </c>
      <c r="E547" s="47">
        <v>6884</v>
      </c>
      <c r="F547" s="47">
        <v>9508</v>
      </c>
      <c r="G547" s="47">
        <v>10700</v>
      </c>
      <c r="H547" s="47">
        <v>10552</v>
      </c>
      <c r="I547" s="47">
        <v>9142</v>
      </c>
      <c r="J547" s="47">
        <v>8059</v>
      </c>
      <c r="K547" s="47">
        <v>6855</v>
      </c>
      <c r="L547" s="47">
        <v>8217</v>
      </c>
      <c r="M547" s="47">
        <v>8093</v>
      </c>
      <c r="N547" s="47">
        <v>10338</v>
      </c>
      <c r="O547" s="47">
        <v>11203</v>
      </c>
      <c r="P547" s="47">
        <v>11036</v>
      </c>
      <c r="Q547" s="85">
        <v>38.44</v>
      </c>
      <c r="R547" s="85">
        <v>36.340000000000003</v>
      </c>
      <c r="S547" s="85">
        <v>40.159999999999997</v>
      </c>
      <c r="T547" s="85">
        <v>40.71</v>
      </c>
      <c r="U547" s="85">
        <v>37.56</v>
      </c>
      <c r="V547" s="85">
        <v>37.54</v>
      </c>
      <c r="W547" s="85">
        <v>41.98</v>
      </c>
      <c r="X547" s="85">
        <v>34.92</v>
      </c>
      <c r="Y547" s="85">
        <v>32.82</v>
      </c>
      <c r="Z547" s="85">
        <v>34.35</v>
      </c>
      <c r="AA547" s="85">
        <v>34.619999999999997</v>
      </c>
      <c r="AB547" s="85">
        <v>41.61</v>
      </c>
      <c r="AC547" s="85">
        <v>26.48</v>
      </c>
      <c r="AD547" s="85">
        <v>27.74</v>
      </c>
      <c r="AE547" s="47">
        <v>235690</v>
      </c>
      <c r="AF547" s="47">
        <v>266592</v>
      </c>
      <c r="AG547" s="47">
        <v>276481</v>
      </c>
      <c r="AH547" s="47">
        <v>387036</v>
      </c>
      <c r="AI547" s="47">
        <v>401928</v>
      </c>
      <c r="AJ547" s="47">
        <v>396136</v>
      </c>
      <c r="AK547" s="47">
        <v>383767</v>
      </c>
      <c r="AL547" s="47">
        <v>281451</v>
      </c>
      <c r="AM547" s="47">
        <v>224993</v>
      </c>
      <c r="AN547" s="47">
        <v>282258</v>
      </c>
      <c r="AO547" s="47">
        <v>280142</v>
      </c>
      <c r="AP547" s="47">
        <v>430133</v>
      </c>
      <c r="AQ547" s="47">
        <v>296632</v>
      </c>
      <c r="AR547" s="47">
        <v>306157</v>
      </c>
      <c r="AS547" s="47"/>
      <c r="AT547" s="47"/>
      <c r="AU547" s="47"/>
      <c r="AV547" s="47"/>
      <c r="AW547" s="47"/>
      <c r="AX547" s="47"/>
      <c r="AY547" s="47"/>
      <c r="AZ547" s="47"/>
      <c r="BA547" s="47"/>
      <c r="BB547" s="47"/>
      <c r="BC547" s="47"/>
      <c r="BD547" s="47"/>
      <c r="BE547" s="47"/>
      <c r="BF547" s="47"/>
    </row>
    <row r="548" spans="1:58" hidden="1">
      <c r="A548" s="46" t="s">
        <v>289</v>
      </c>
      <c r="B548" s="46" t="s">
        <v>252</v>
      </c>
      <c r="C548" s="47">
        <v>382</v>
      </c>
      <c r="D548" s="47">
        <v>562</v>
      </c>
      <c r="E548" s="47">
        <v>380</v>
      </c>
      <c r="F548" s="47">
        <v>360</v>
      </c>
      <c r="G548" s="47">
        <v>412</v>
      </c>
      <c r="H548" s="47">
        <v>630</v>
      </c>
      <c r="I548" s="47">
        <v>183</v>
      </c>
      <c r="J548" s="47">
        <v>155</v>
      </c>
      <c r="K548" s="47">
        <v>495</v>
      </c>
      <c r="L548" s="47">
        <v>878</v>
      </c>
      <c r="M548" s="47">
        <v>860</v>
      </c>
      <c r="N548" s="47">
        <v>431</v>
      </c>
      <c r="O548" s="47">
        <v>592</v>
      </c>
      <c r="P548" s="47">
        <v>624</v>
      </c>
      <c r="Q548" s="85">
        <v>37.82</v>
      </c>
      <c r="R548" s="85">
        <v>36.369999999999997</v>
      </c>
      <c r="S548" s="85">
        <v>50.23</v>
      </c>
      <c r="T548" s="85">
        <v>51.44</v>
      </c>
      <c r="U548" s="85">
        <v>47.41</v>
      </c>
      <c r="V548" s="85">
        <v>45.53</v>
      </c>
      <c r="W548" s="85">
        <v>41.42</v>
      </c>
      <c r="X548" s="85">
        <v>34.67</v>
      </c>
      <c r="Y548" s="85">
        <v>33.14</v>
      </c>
      <c r="Z548" s="85">
        <v>33.72</v>
      </c>
      <c r="AA548" s="85">
        <v>34.85</v>
      </c>
      <c r="AB548" s="85">
        <v>41.06</v>
      </c>
      <c r="AC548" s="85">
        <v>26.11</v>
      </c>
      <c r="AD548" s="85">
        <v>26.08</v>
      </c>
      <c r="AE548" s="47">
        <v>14449</v>
      </c>
      <c r="AF548" s="47">
        <v>20439</v>
      </c>
      <c r="AG548" s="47">
        <v>19088</v>
      </c>
      <c r="AH548" s="47">
        <v>18520</v>
      </c>
      <c r="AI548" s="47">
        <v>19534</v>
      </c>
      <c r="AJ548" s="47">
        <v>28681</v>
      </c>
      <c r="AK548" s="47">
        <v>7580</v>
      </c>
      <c r="AL548" s="47">
        <v>5374</v>
      </c>
      <c r="AM548" s="47">
        <v>16404</v>
      </c>
      <c r="AN548" s="47">
        <v>29604</v>
      </c>
      <c r="AO548" s="47">
        <v>29972</v>
      </c>
      <c r="AP548" s="47">
        <v>17695</v>
      </c>
      <c r="AQ548" s="47">
        <v>15456</v>
      </c>
      <c r="AR548" s="47">
        <v>16271</v>
      </c>
      <c r="AS548" s="47"/>
      <c r="AT548" s="47"/>
      <c r="AU548" s="47"/>
      <c r="AV548" s="47"/>
      <c r="AW548" s="47"/>
      <c r="AX548" s="47"/>
      <c r="AY548" s="47"/>
      <c r="AZ548" s="47"/>
      <c r="BA548" s="47"/>
      <c r="BB548" s="47"/>
      <c r="BC548" s="47"/>
      <c r="BD548" s="47"/>
      <c r="BE548" s="47"/>
      <c r="BF548" s="47"/>
    </row>
    <row r="549" spans="1:58" hidden="1">
      <c r="A549" s="46" t="s">
        <v>289</v>
      </c>
      <c r="B549" s="46" t="s">
        <v>253</v>
      </c>
      <c r="C549" s="47">
        <v>6513</v>
      </c>
      <c r="D549" s="47">
        <v>7899</v>
      </c>
      <c r="E549" s="47">
        <v>7264</v>
      </c>
      <c r="F549" s="47">
        <v>9868</v>
      </c>
      <c r="G549" s="47">
        <v>11112</v>
      </c>
      <c r="H549" s="47">
        <v>11182</v>
      </c>
      <c r="I549" s="47">
        <v>9325</v>
      </c>
      <c r="J549" s="47">
        <v>8214</v>
      </c>
      <c r="K549" s="47">
        <v>7350</v>
      </c>
      <c r="L549" s="47">
        <v>9095</v>
      </c>
      <c r="M549" s="47">
        <v>8953</v>
      </c>
      <c r="N549" s="47">
        <v>10769</v>
      </c>
      <c r="O549" s="47">
        <v>11795</v>
      </c>
      <c r="P549" s="47">
        <v>11660</v>
      </c>
      <c r="Q549" s="85">
        <v>38.409999999999997</v>
      </c>
      <c r="R549" s="85">
        <v>36.340000000000003</v>
      </c>
      <c r="S549" s="85">
        <v>40.69</v>
      </c>
      <c r="T549" s="85">
        <v>41.1</v>
      </c>
      <c r="U549" s="85">
        <v>37.93</v>
      </c>
      <c r="V549" s="85">
        <v>37.99</v>
      </c>
      <c r="W549" s="85">
        <v>41.97</v>
      </c>
      <c r="X549" s="85">
        <v>34.92</v>
      </c>
      <c r="Y549" s="85">
        <v>32.840000000000003</v>
      </c>
      <c r="Z549" s="85">
        <v>34.29</v>
      </c>
      <c r="AA549" s="85">
        <v>34.64</v>
      </c>
      <c r="AB549" s="85">
        <v>41.58</v>
      </c>
      <c r="AC549" s="85">
        <v>26.46</v>
      </c>
      <c r="AD549" s="85">
        <v>27.65</v>
      </c>
      <c r="AE549" s="47">
        <v>250139</v>
      </c>
      <c r="AF549" s="47">
        <v>287031</v>
      </c>
      <c r="AG549" s="47">
        <v>295569</v>
      </c>
      <c r="AH549" s="47">
        <v>405556</v>
      </c>
      <c r="AI549" s="47">
        <v>421462</v>
      </c>
      <c r="AJ549" s="47">
        <v>424817</v>
      </c>
      <c r="AK549" s="47">
        <v>391347</v>
      </c>
      <c r="AL549" s="47">
        <v>286825</v>
      </c>
      <c r="AM549" s="47">
        <v>241397</v>
      </c>
      <c r="AN549" s="47">
        <v>311862</v>
      </c>
      <c r="AO549" s="47">
        <v>310114</v>
      </c>
      <c r="AP549" s="47">
        <v>447828</v>
      </c>
      <c r="AQ549" s="47">
        <v>312088</v>
      </c>
      <c r="AR549" s="47">
        <v>322428</v>
      </c>
      <c r="AS549" s="47"/>
      <c r="AT549" s="47"/>
      <c r="AU549" s="47"/>
      <c r="AV549" s="47"/>
      <c r="AW549" s="47"/>
      <c r="AX549" s="47"/>
      <c r="AY549" s="47"/>
      <c r="AZ549" s="47"/>
      <c r="BA549" s="47"/>
      <c r="BB549" s="47"/>
      <c r="BC549" s="47"/>
      <c r="BD549" s="47"/>
      <c r="BE549" s="47"/>
      <c r="BF549" s="47"/>
    </row>
    <row r="550" spans="1:58" hidden="1">
      <c r="A550" s="46" t="s">
        <v>289</v>
      </c>
      <c r="B550" s="46" t="s">
        <v>254</v>
      </c>
      <c r="C550" s="47">
        <v>54729</v>
      </c>
      <c r="D550" s="47">
        <v>46879</v>
      </c>
      <c r="E550" s="47">
        <v>45920</v>
      </c>
      <c r="F550" s="47">
        <v>42844</v>
      </c>
      <c r="G550" s="47">
        <v>41175</v>
      </c>
      <c r="H550" s="47">
        <v>35233</v>
      </c>
      <c r="I550" s="47">
        <v>39997</v>
      </c>
      <c r="J550" s="47">
        <v>36637</v>
      </c>
      <c r="K550" s="47">
        <v>33095</v>
      </c>
      <c r="L550" s="47">
        <v>20159</v>
      </c>
      <c r="M550" s="47">
        <v>14838</v>
      </c>
      <c r="N550" s="47">
        <v>23499</v>
      </c>
      <c r="O550" s="47">
        <v>23723</v>
      </c>
      <c r="P550" s="47">
        <v>21673</v>
      </c>
      <c r="Q550" s="85">
        <v>35.06</v>
      </c>
      <c r="R550" s="85">
        <v>33.409999999999997</v>
      </c>
      <c r="S550" s="85">
        <v>34.299999999999997</v>
      </c>
      <c r="T550" s="85">
        <v>36.64</v>
      </c>
      <c r="U550" s="85">
        <v>30.43</v>
      </c>
      <c r="V550" s="85">
        <v>30.32</v>
      </c>
      <c r="W550" s="85">
        <v>36.880000000000003</v>
      </c>
      <c r="X550" s="85">
        <v>36.25</v>
      </c>
      <c r="Y550" s="85">
        <v>31.27</v>
      </c>
      <c r="Z550" s="85">
        <v>33.479999999999997</v>
      </c>
      <c r="AA550" s="85">
        <v>35.14</v>
      </c>
      <c r="AB550" s="85">
        <v>45.49</v>
      </c>
      <c r="AC550" s="85">
        <v>34.18</v>
      </c>
      <c r="AD550" s="85">
        <v>34.1</v>
      </c>
      <c r="AE550" s="47">
        <v>1919027</v>
      </c>
      <c r="AF550" s="47">
        <v>1566399</v>
      </c>
      <c r="AG550" s="47">
        <v>1574978</v>
      </c>
      <c r="AH550" s="47">
        <v>1569917</v>
      </c>
      <c r="AI550" s="47">
        <v>1253028</v>
      </c>
      <c r="AJ550" s="47">
        <v>1068312</v>
      </c>
      <c r="AK550" s="47">
        <v>1474948</v>
      </c>
      <c r="AL550" s="47">
        <v>1328143</v>
      </c>
      <c r="AM550" s="47">
        <v>1034933</v>
      </c>
      <c r="AN550" s="47">
        <v>674900</v>
      </c>
      <c r="AO550" s="47">
        <v>521438</v>
      </c>
      <c r="AP550" s="47">
        <v>1069074</v>
      </c>
      <c r="AQ550" s="47">
        <v>810861</v>
      </c>
      <c r="AR550" s="47">
        <v>739011</v>
      </c>
      <c r="AS550" s="47"/>
      <c r="AT550" s="47"/>
      <c r="AU550" s="47"/>
      <c r="AV550" s="47"/>
      <c r="AW550" s="47"/>
      <c r="AX550" s="47"/>
      <c r="AY550" s="47"/>
      <c r="AZ550" s="47"/>
      <c r="BA550" s="47"/>
      <c r="BB550" s="47"/>
      <c r="BC550" s="47"/>
      <c r="BD550" s="47"/>
      <c r="BE550" s="47"/>
      <c r="BF550" s="47"/>
    </row>
    <row r="551" spans="1:58" hidden="1">
      <c r="A551" s="46" t="s">
        <v>289</v>
      </c>
      <c r="B551" s="46" t="s">
        <v>255</v>
      </c>
      <c r="C551" s="47">
        <v>844</v>
      </c>
      <c r="D551" s="47">
        <v>351</v>
      </c>
      <c r="E551" s="47">
        <v>347</v>
      </c>
      <c r="F551" s="47">
        <v>159</v>
      </c>
      <c r="G551" s="47">
        <v>129</v>
      </c>
      <c r="H551" s="47">
        <v>512</v>
      </c>
      <c r="I551" s="47">
        <v>613</v>
      </c>
      <c r="J551" s="47">
        <v>1033</v>
      </c>
      <c r="K551" s="47">
        <v>630</v>
      </c>
      <c r="L551" s="47">
        <v>879</v>
      </c>
      <c r="M551" s="47">
        <v>925</v>
      </c>
      <c r="N551" s="47">
        <v>596</v>
      </c>
      <c r="O551" s="47">
        <v>389</v>
      </c>
      <c r="P551" s="47">
        <v>842</v>
      </c>
      <c r="Q551" s="85">
        <v>39.36</v>
      </c>
      <c r="R551" s="85">
        <v>34.72</v>
      </c>
      <c r="S551" s="85">
        <v>38.51</v>
      </c>
      <c r="T551" s="85">
        <v>54.82</v>
      </c>
      <c r="U551" s="85">
        <v>46.25</v>
      </c>
      <c r="V551" s="85">
        <v>40.270000000000003</v>
      </c>
      <c r="W551" s="85">
        <v>36.11</v>
      </c>
      <c r="X551" s="85">
        <v>36.14</v>
      </c>
      <c r="Y551" s="85">
        <v>30.42</v>
      </c>
      <c r="Z551" s="85">
        <v>30</v>
      </c>
      <c r="AA551" s="85">
        <v>33.549999999999997</v>
      </c>
      <c r="AB551" s="85">
        <v>45.5</v>
      </c>
      <c r="AC551" s="85">
        <v>34.18</v>
      </c>
      <c r="AD551" s="85">
        <v>32.19</v>
      </c>
      <c r="AE551" s="47">
        <v>33224</v>
      </c>
      <c r="AF551" s="47">
        <v>12187</v>
      </c>
      <c r="AG551" s="47">
        <v>13362</v>
      </c>
      <c r="AH551" s="47">
        <v>8716</v>
      </c>
      <c r="AI551" s="47">
        <v>5966</v>
      </c>
      <c r="AJ551" s="47">
        <v>20620</v>
      </c>
      <c r="AK551" s="47">
        <v>22138</v>
      </c>
      <c r="AL551" s="47">
        <v>37332</v>
      </c>
      <c r="AM551" s="47">
        <v>19163</v>
      </c>
      <c r="AN551" s="47">
        <v>26368</v>
      </c>
      <c r="AO551" s="47">
        <v>31037</v>
      </c>
      <c r="AP551" s="47">
        <v>27120</v>
      </c>
      <c r="AQ551" s="47">
        <v>13295</v>
      </c>
      <c r="AR551" s="47">
        <v>27106</v>
      </c>
      <c r="AS551" s="47"/>
      <c r="AT551" s="47"/>
      <c r="AU551" s="47"/>
      <c r="AV551" s="47"/>
      <c r="AW551" s="47"/>
      <c r="AX551" s="47"/>
      <c r="AY551" s="47"/>
      <c r="AZ551" s="47"/>
      <c r="BA551" s="47"/>
      <c r="BB551" s="47"/>
      <c r="BC551" s="47"/>
      <c r="BD551" s="47"/>
      <c r="BE551" s="47"/>
      <c r="BF551" s="47"/>
    </row>
    <row r="552" spans="1:58" hidden="1">
      <c r="A552" s="46" t="s">
        <v>289</v>
      </c>
      <c r="B552" s="46" t="s">
        <v>256</v>
      </c>
      <c r="C552" s="47">
        <v>55573</v>
      </c>
      <c r="D552" s="47">
        <v>47230</v>
      </c>
      <c r="E552" s="47">
        <v>46267</v>
      </c>
      <c r="F552" s="47">
        <v>43003</v>
      </c>
      <c r="G552" s="47">
        <v>41304</v>
      </c>
      <c r="H552" s="47">
        <v>35745</v>
      </c>
      <c r="I552" s="47">
        <v>40610</v>
      </c>
      <c r="J552" s="47">
        <v>37670</v>
      </c>
      <c r="K552" s="47">
        <v>33725</v>
      </c>
      <c r="L552" s="47">
        <v>21038</v>
      </c>
      <c r="M552" s="47">
        <v>15763</v>
      </c>
      <c r="N552" s="47">
        <v>24095</v>
      </c>
      <c r="O552" s="47">
        <v>24112</v>
      </c>
      <c r="P552" s="47">
        <v>22515</v>
      </c>
      <c r="Q552" s="85">
        <v>35.130000000000003</v>
      </c>
      <c r="R552" s="85">
        <v>33.42</v>
      </c>
      <c r="S552" s="85">
        <v>34.33</v>
      </c>
      <c r="T552" s="85">
        <v>36.71</v>
      </c>
      <c r="U552" s="85">
        <v>30.48</v>
      </c>
      <c r="V552" s="85">
        <v>30.46</v>
      </c>
      <c r="W552" s="85">
        <v>36.86</v>
      </c>
      <c r="X552" s="85">
        <v>36.25</v>
      </c>
      <c r="Y552" s="85">
        <v>31.26</v>
      </c>
      <c r="Z552" s="85">
        <v>33.33</v>
      </c>
      <c r="AA552" s="85">
        <v>35.049999999999997</v>
      </c>
      <c r="AB552" s="85">
        <v>45.49</v>
      </c>
      <c r="AC552" s="85">
        <v>34.18</v>
      </c>
      <c r="AD552" s="85">
        <v>34.03</v>
      </c>
      <c r="AE552" s="47">
        <v>1952251</v>
      </c>
      <c r="AF552" s="47">
        <v>1578586</v>
      </c>
      <c r="AG552" s="47">
        <v>1588340</v>
      </c>
      <c r="AH552" s="47">
        <v>1578633</v>
      </c>
      <c r="AI552" s="47">
        <v>1258994</v>
      </c>
      <c r="AJ552" s="47">
        <v>1088932</v>
      </c>
      <c r="AK552" s="47">
        <v>1497086</v>
      </c>
      <c r="AL552" s="47">
        <v>1365475</v>
      </c>
      <c r="AM552" s="47">
        <v>1054096</v>
      </c>
      <c r="AN552" s="47">
        <v>701268</v>
      </c>
      <c r="AO552" s="47">
        <v>552475</v>
      </c>
      <c r="AP552" s="47">
        <v>1096194</v>
      </c>
      <c r="AQ552" s="47">
        <v>824156</v>
      </c>
      <c r="AR552" s="47">
        <v>766117</v>
      </c>
      <c r="AS552" s="47"/>
      <c r="AT552" s="47"/>
      <c r="AU552" s="47"/>
      <c r="AV552" s="47"/>
      <c r="AW552" s="47"/>
      <c r="AX552" s="47"/>
      <c r="AY552" s="47"/>
      <c r="AZ552" s="47"/>
      <c r="BA552" s="47"/>
      <c r="BB552" s="47"/>
      <c r="BC552" s="47"/>
      <c r="BD552" s="47"/>
      <c r="BE552" s="47"/>
      <c r="BF552" s="47"/>
    </row>
    <row r="553" spans="1:58" hidden="1">
      <c r="A553" s="46" t="s">
        <v>289</v>
      </c>
      <c r="B553" s="46" t="s">
        <v>257</v>
      </c>
      <c r="C553" s="47">
        <v>599</v>
      </c>
      <c r="D553" s="47">
        <v>542</v>
      </c>
      <c r="E553" s="47">
        <v>486</v>
      </c>
      <c r="F553" s="47">
        <v>412</v>
      </c>
      <c r="G553" s="47">
        <v>327</v>
      </c>
      <c r="H553" s="47">
        <v>345</v>
      </c>
      <c r="I553" s="47">
        <v>408</v>
      </c>
      <c r="J553" s="47">
        <v>428</v>
      </c>
      <c r="K553" s="47">
        <v>388</v>
      </c>
      <c r="L553" s="47">
        <v>299</v>
      </c>
      <c r="M553" s="47">
        <v>401</v>
      </c>
      <c r="N553" s="47">
        <v>416</v>
      </c>
      <c r="O553" s="47">
        <v>442</v>
      </c>
      <c r="P553" s="47">
        <v>479</v>
      </c>
      <c r="Q553" s="85">
        <v>29.32</v>
      </c>
      <c r="R553" s="85">
        <v>28.92</v>
      </c>
      <c r="S553" s="85">
        <v>29.75</v>
      </c>
      <c r="T553" s="85">
        <v>30.3</v>
      </c>
      <c r="U553" s="85">
        <v>31.29</v>
      </c>
      <c r="V553" s="85">
        <v>29.54</v>
      </c>
      <c r="W553" s="85">
        <v>30.68</v>
      </c>
      <c r="X553" s="85">
        <v>30.69</v>
      </c>
      <c r="Y553" s="85">
        <v>30.26</v>
      </c>
      <c r="Z553" s="85">
        <v>30.92</v>
      </c>
      <c r="AA553" s="85">
        <v>30.83</v>
      </c>
      <c r="AB553" s="85">
        <v>30.25</v>
      </c>
      <c r="AC553" s="85">
        <v>25.06</v>
      </c>
      <c r="AD553" s="85">
        <v>24.01</v>
      </c>
      <c r="AE553" s="47">
        <v>17564</v>
      </c>
      <c r="AF553" s="47">
        <v>15676</v>
      </c>
      <c r="AG553" s="47">
        <v>14457</v>
      </c>
      <c r="AH553" s="47">
        <v>12485</v>
      </c>
      <c r="AI553" s="47">
        <v>10231</v>
      </c>
      <c r="AJ553" s="47">
        <v>10190</v>
      </c>
      <c r="AK553" s="47">
        <v>12519</v>
      </c>
      <c r="AL553" s="47">
        <v>13136</v>
      </c>
      <c r="AM553" s="47">
        <v>11740</v>
      </c>
      <c r="AN553" s="47">
        <v>9246</v>
      </c>
      <c r="AO553" s="47">
        <v>12363</v>
      </c>
      <c r="AP553" s="47">
        <v>12582</v>
      </c>
      <c r="AQ553" s="47">
        <v>11078</v>
      </c>
      <c r="AR553" s="47">
        <v>11502</v>
      </c>
      <c r="AS553" s="47"/>
      <c r="AT553" s="47"/>
      <c r="AU553" s="47"/>
      <c r="AV553" s="47"/>
      <c r="AW553" s="47"/>
      <c r="AX553" s="47"/>
      <c r="AY553" s="47"/>
      <c r="AZ553" s="47"/>
      <c r="BA553" s="47"/>
      <c r="BB553" s="47"/>
      <c r="BC553" s="47"/>
      <c r="BD553" s="47"/>
      <c r="BE553" s="47"/>
      <c r="BF553" s="47"/>
    </row>
    <row r="554" spans="1:58" hidden="1">
      <c r="A554" s="46" t="s">
        <v>289</v>
      </c>
      <c r="B554" s="46" t="s">
        <v>258</v>
      </c>
      <c r="C554" s="47">
        <v>6319</v>
      </c>
      <c r="D554" s="47">
        <v>6262</v>
      </c>
      <c r="E554" s="47">
        <v>6110</v>
      </c>
      <c r="F554" s="47">
        <v>6553</v>
      </c>
      <c r="G554" s="47">
        <v>8453</v>
      </c>
      <c r="H554" s="47">
        <v>8297</v>
      </c>
      <c r="I554" s="47">
        <v>7904</v>
      </c>
      <c r="J554" s="47">
        <v>7658</v>
      </c>
      <c r="K554" s="47">
        <v>6758</v>
      </c>
      <c r="L554" s="47">
        <v>7748</v>
      </c>
      <c r="M554" s="47">
        <v>7481</v>
      </c>
      <c r="N554" s="47">
        <v>8329</v>
      </c>
      <c r="O554" s="47">
        <v>8663</v>
      </c>
      <c r="P554" s="47">
        <v>8987</v>
      </c>
      <c r="Q554" s="85">
        <v>41.73</v>
      </c>
      <c r="R554" s="85">
        <v>40.08</v>
      </c>
      <c r="S554" s="85">
        <v>39.53</v>
      </c>
      <c r="T554" s="85">
        <v>38.14</v>
      </c>
      <c r="U554" s="85">
        <v>33</v>
      </c>
      <c r="V554" s="85">
        <v>34.24</v>
      </c>
      <c r="W554" s="85">
        <v>41.99</v>
      </c>
      <c r="X554" s="85">
        <v>38.090000000000003</v>
      </c>
      <c r="Y554" s="85">
        <v>36.54</v>
      </c>
      <c r="Z554" s="85">
        <v>41.41</v>
      </c>
      <c r="AA554" s="85">
        <v>41.05</v>
      </c>
      <c r="AB554" s="85">
        <v>46.83</v>
      </c>
      <c r="AC554" s="85">
        <v>32.049999999999997</v>
      </c>
      <c r="AD554" s="85">
        <v>35.22</v>
      </c>
      <c r="AE554" s="47">
        <v>263674</v>
      </c>
      <c r="AF554" s="47">
        <v>251003</v>
      </c>
      <c r="AG554" s="47">
        <v>241524</v>
      </c>
      <c r="AH554" s="47">
        <v>249945</v>
      </c>
      <c r="AI554" s="47">
        <v>278957</v>
      </c>
      <c r="AJ554" s="47">
        <v>284048</v>
      </c>
      <c r="AK554" s="47">
        <v>331868</v>
      </c>
      <c r="AL554" s="47">
        <v>291722</v>
      </c>
      <c r="AM554" s="47">
        <v>246965</v>
      </c>
      <c r="AN554" s="47">
        <v>320806</v>
      </c>
      <c r="AO554" s="47">
        <v>307130</v>
      </c>
      <c r="AP554" s="47">
        <v>390032</v>
      </c>
      <c r="AQ554" s="47">
        <v>277671</v>
      </c>
      <c r="AR554" s="47">
        <v>316495</v>
      </c>
      <c r="AS554" s="47"/>
      <c r="AT554" s="47"/>
      <c r="AU554" s="47"/>
      <c r="AV554" s="47"/>
      <c r="AW554" s="47"/>
      <c r="AX554" s="47"/>
      <c r="AY554" s="47"/>
      <c r="AZ554" s="47"/>
      <c r="BA554" s="47"/>
      <c r="BB554" s="47"/>
      <c r="BC554" s="47"/>
      <c r="BD554" s="47"/>
      <c r="BE554" s="47"/>
      <c r="BF554" s="47"/>
    </row>
    <row r="555" spans="1:58" hidden="1">
      <c r="A555" s="46" t="s">
        <v>289</v>
      </c>
      <c r="B555" s="46" t="s">
        <v>259</v>
      </c>
      <c r="C555" s="47">
        <v>2423</v>
      </c>
      <c r="D555" s="47">
        <v>3587</v>
      </c>
      <c r="E555" s="47">
        <v>3108</v>
      </c>
      <c r="F555" s="47">
        <v>3040</v>
      </c>
      <c r="G555" s="47">
        <v>3069</v>
      </c>
      <c r="H555" s="47">
        <v>2579</v>
      </c>
      <c r="I555" s="47">
        <v>2644</v>
      </c>
      <c r="J555" s="47">
        <v>3215</v>
      </c>
      <c r="K555" s="47">
        <v>3344</v>
      </c>
      <c r="L555" s="47">
        <v>4006</v>
      </c>
      <c r="M555" s="47">
        <v>5326</v>
      </c>
      <c r="N555" s="47">
        <v>2873</v>
      </c>
      <c r="O555" s="47">
        <v>2840</v>
      </c>
      <c r="P555" s="47">
        <v>3139</v>
      </c>
      <c r="Q555" s="85">
        <v>43.83</v>
      </c>
      <c r="R555" s="85">
        <v>40.98</v>
      </c>
      <c r="S555" s="85">
        <v>45.75</v>
      </c>
      <c r="T555" s="85">
        <v>40.49</v>
      </c>
      <c r="U555" s="85">
        <v>41.29</v>
      </c>
      <c r="V555" s="85">
        <v>45.11</v>
      </c>
      <c r="W555" s="85">
        <v>43.65</v>
      </c>
      <c r="X555" s="85">
        <v>41.14</v>
      </c>
      <c r="Y555" s="85">
        <v>37.11</v>
      </c>
      <c r="Z555" s="85">
        <v>41.41</v>
      </c>
      <c r="AA555" s="85">
        <v>40.020000000000003</v>
      </c>
      <c r="AB555" s="85">
        <v>47.04</v>
      </c>
      <c r="AC555" s="85">
        <v>33.53</v>
      </c>
      <c r="AD555" s="85">
        <v>35.409999999999997</v>
      </c>
      <c r="AE555" s="47">
        <v>106198</v>
      </c>
      <c r="AF555" s="47">
        <v>146997</v>
      </c>
      <c r="AG555" s="47">
        <v>142191</v>
      </c>
      <c r="AH555" s="47">
        <v>123083</v>
      </c>
      <c r="AI555" s="47">
        <v>126714</v>
      </c>
      <c r="AJ555" s="47">
        <v>116348</v>
      </c>
      <c r="AK555" s="47">
        <v>115402</v>
      </c>
      <c r="AL555" s="47">
        <v>132277</v>
      </c>
      <c r="AM555" s="47">
        <v>124111</v>
      </c>
      <c r="AN555" s="47">
        <v>165905</v>
      </c>
      <c r="AO555" s="47">
        <v>213122</v>
      </c>
      <c r="AP555" s="47">
        <v>135155</v>
      </c>
      <c r="AQ555" s="47">
        <v>95217</v>
      </c>
      <c r="AR555" s="47">
        <v>111159</v>
      </c>
      <c r="AS555" s="47"/>
      <c r="AT555" s="47"/>
      <c r="AU555" s="47"/>
      <c r="AV555" s="47"/>
      <c r="AW555" s="47"/>
      <c r="AX555" s="47"/>
      <c r="AY555" s="47"/>
      <c r="AZ555" s="47"/>
      <c r="BA555" s="47"/>
      <c r="BB555" s="47"/>
      <c r="BC555" s="47"/>
      <c r="BD555" s="47"/>
      <c r="BE555" s="47"/>
      <c r="BF555" s="47"/>
    </row>
    <row r="556" spans="1:58" hidden="1">
      <c r="A556" s="46" t="s">
        <v>289</v>
      </c>
      <c r="B556" s="46" t="s">
        <v>260</v>
      </c>
      <c r="C556" s="47">
        <v>8742</v>
      </c>
      <c r="D556" s="47">
        <v>9849</v>
      </c>
      <c r="E556" s="47">
        <v>9218</v>
      </c>
      <c r="F556" s="47">
        <v>9593</v>
      </c>
      <c r="G556" s="47">
        <v>11522</v>
      </c>
      <c r="H556" s="47">
        <v>10876</v>
      </c>
      <c r="I556" s="47">
        <v>10548</v>
      </c>
      <c r="J556" s="47">
        <v>10873</v>
      </c>
      <c r="K556" s="47">
        <v>10102</v>
      </c>
      <c r="L556" s="47">
        <v>11754</v>
      </c>
      <c r="M556" s="47">
        <v>12807</v>
      </c>
      <c r="N556" s="47">
        <v>11202</v>
      </c>
      <c r="O556" s="47">
        <v>11503</v>
      </c>
      <c r="P556" s="47">
        <v>12126</v>
      </c>
      <c r="Q556" s="85">
        <v>42.31</v>
      </c>
      <c r="R556" s="85">
        <v>40.409999999999997</v>
      </c>
      <c r="S556" s="85">
        <v>41.63</v>
      </c>
      <c r="T556" s="85">
        <v>38.89</v>
      </c>
      <c r="U556" s="85">
        <v>35.21</v>
      </c>
      <c r="V556" s="85">
        <v>36.81</v>
      </c>
      <c r="W556" s="85">
        <v>42.4</v>
      </c>
      <c r="X556" s="85">
        <v>39</v>
      </c>
      <c r="Y556" s="85">
        <v>36.729999999999997</v>
      </c>
      <c r="Z556" s="85">
        <v>41.41</v>
      </c>
      <c r="AA556" s="85">
        <v>40.619999999999997</v>
      </c>
      <c r="AB556" s="85">
        <v>46.88</v>
      </c>
      <c r="AC556" s="85">
        <v>32.42</v>
      </c>
      <c r="AD556" s="85">
        <v>35.270000000000003</v>
      </c>
      <c r="AE556" s="47">
        <v>369872</v>
      </c>
      <c r="AF556" s="47">
        <v>398000</v>
      </c>
      <c r="AG556" s="47">
        <v>383715</v>
      </c>
      <c r="AH556" s="47">
        <v>373028</v>
      </c>
      <c r="AI556" s="47">
        <v>405671</v>
      </c>
      <c r="AJ556" s="47">
        <v>400396</v>
      </c>
      <c r="AK556" s="47">
        <v>447270</v>
      </c>
      <c r="AL556" s="47">
        <v>423999</v>
      </c>
      <c r="AM556" s="47">
        <v>371076</v>
      </c>
      <c r="AN556" s="47">
        <v>486711</v>
      </c>
      <c r="AO556" s="47">
        <v>520252</v>
      </c>
      <c r="AP556" s="47">
        <v>525187</v>
      </c>
      <c r="AQ556" s="47">
        <v>372888</v>
      </c>
      <c r="AR556" s="47">
        <v>427654</v>
      </c>
      <c r="AS556" s="47"/>
      <c r="AT556" s="47"/>
      <c r="AU556" s="47"/>
      <c r="AV556" s="47"/>
      <c r="AW556" s="47"/>
      <c r="AX556" s="47"/>
      <c r="AY556" s="47"/>
      <c r="AZ556" s="47"/>
      <c r="BA556" s="47"/>
      <c r="BB556" s="47"/>
      <c r="BC556" s="47"/>
      <c r="BD556" s="47"/>
      <c r="BE556" s="47"/>
      <c r="BF556" s="47"/>
    </row>
    <row r="557" spans="1:58" hidden="1">
      <c r="A557" s="46" t="s">
        <v>289</v>
      </c>
      <c r="B557" s="46" t="s">
        <v>261</v>
      </c>
      <c r="C557" s="47">
        <v>266</v>
      </c>
      <c r="D557" s="47">
        <v>231</v>
      </c>
      <c r="E557" s="47">
        <v>277</v>
      </c>
      <c r="F557" s="47">
        <v>319</v>
      </c>
      <c r="G557" s="47">
        <v>313</v>
      </c>
      <c r="H557" s="47">
        <v>499</v>
      </c>
      <c r="I557" s="47">
        <v>353</v>
      </c>
      <c r="J557" s="47">
        <v>440</v>
      </c>
      <c r="K557" s="47">
        <v>692</v>
      </c>
      <c r="L557" s="47">
        <v>613</v>
      </c>
      <c r="M557" s="47">
        <v>745</v>
      </c>
      <c r="N557" s="47">
        <v>853</v>
      </c>
      <c r="O557" s="47">
        <v>823</v>
      </c>
      <c r="P557" s="47">
        <v>865</v>
      </c>
      <c r="Q557" s="85">
        <v>25.1</v>
      </c>
      <c r="R557" s="85">
        <v>24.65</v>
      </c>
      <c r="S557" s="85">
        <v>25.35</v>
      </c>
      <c r="T557" s="85">
        <v>24.72</v>
      </c>
      <c r="U557" s="85">
        <v>24.01</v>
      </c>
      <c r="V557" s="85">
        <v>23.66</v>
      </c>
      <c r="W557" s="85">
        <v>25</v>
      </c>
      <c r="X557" s="85">
        <v>25</v>
      </c>
      <c r="Y557" s="85">
        <v>25.01</v>
      </c>
      <c r="Z557" s="85">
        <v>25</v>
      </c>
      <c r="AA557" s="85">
        <v>25</v>
      </c>
      <c r="AB557" s="85">
        <v>25</v>
      </c>
      <c r="AC557" s="85">
        <v>20.16</v>
      </c>
      <c r="AD557" s="85">
        <v>22.99</v>
      </c>
      <c r="AE557" s="47">
        <v>6676</v>
      </c>
      <c r="AF557" s="47">
        <v>5695</v>
      </c>
      <c r="AG557" s="47">
        <v>7022</v>
      </c>
      <c r="AH557" s="47">
        <v>7887</v>
      </c>
      <c r="AI557" s="47">
        <v>7514</v>
      </c>
      <c r="AJ557" s="47">
        <v>11804</v>
      </c>
      <c r="AK557" s="47">
        <v>8825</v>
      </c>
      <c r="AL557" s="47">
        <v>11000</v>
      </c>
      <c r="AM557" s="47">
        <v>17304</v>
      </c>
      <c r="AN557" s="47">
        <v>15325</v>
      </c>
      <c r="AO557" s="47">
        <v>18625</v>
      </c>
      <c r="AP557" s="47">
        <v>21325</v>
      </c>
      <c r="AQ557" s="47">
        <v>16590</v>
      </c>
      <c r="AR557" s="47">
        <v>19885</v>
      </c>
      <c r="AS557" s="47"/>
      <c r="AT557" s="47"/>
      <c r="AU557" s="47"/>
      <c r="AV557" s="47"/>
      <c r="AW557" s="47"/>
      <c r="AX557" s="47"/>
      <c r="AY557" s="47"/>
      <c r="AZ557" s="47"/>
      <c r="BA557" s="47"/>
      <c r="BB557" s="47"/>
      <c r="BC557" s="47"/>
      <c r="BD557" s="47"/>
      <c r="BE557" s="47"/>
      <c r="BF557" s="47"/>
    </row>
    <row r="558" spans="1:58" hidden="1">
      <c r="A558" s="46" t="s">
        <v>289</v>
      </c>
      <c r="B558" s="46" t="s">
        <v>262</v>
      </c>
      <c r="C558" s="47">
        <v>960</v>
      </c>
      <c r="D558" s="47">
        <v>1409</v>
      </c>
      <c r="E558" s="47">
        <v>1443</v>
      </c>
      <c r="F558" s="47">
        <v>1394</v>
      </c>
      <c r="G558" s="47">
        <v>1226</v>
      </c>
      <c r="H558" s="47">
        <v>1149</v>
      </c>
      <c r="I558" s="47">
        <v>1278</v>
      </c>
      <c r="J558" s="47">
        <v>1288</v>
      </c>
      <c r="K558" s="47">
        <v>1256</v>
      </c>
      <c r="L558" s="47">
        <v>1099</v>
      </c>
      <c r="M558" s="47">
        <v>1034</v>
      </c>
      <c r="N558" s="47">
        <v>908</v>
      </c>
      <c r="O558" s="47">
        <v>837</v>
      </c>
      <c r="P558" s="47">
        <v>1000</v>
      </c>
      <c r="Q558" s="85">
        <v>25.01</v>
      </c>
      <c r="R558" s="85">
        <v>23.25</v>
      </c>
      <c r="S558" s="85">
        <v>24.37</v>
      </c>
      <c r="T558" s="85">
        <v>24.43</v>
      </c>
      <c r="U558" s="85">
        <v>24.26</v>
      </c>
      <c r="V558" s="85">
        <v>23.19</v>
      </c>
      <c r="W558" s="85">
        <v>25</v>
      </c>
      <c r="X558" s="85">
        <v>25</v>
      </c>
      <c r="Y558" s="85">
        <v>25</v>
      </c>
      <c r="Z558" s="85">
        <v>25</v>
      </c>
      <c r="AA558" s="85">
        <v>25</v>
      </c>
      <c r="AB558" s="85">
        <v>25</v>
      </c>
      <c r="AC558" s="85">
        <v>23.16</v>
      </c>
      <c r="AD558" s="85">
        <v>24.74</v>
      </c>
      <c r="AE558" s="47">
        <v>24011</v>
      </c>
      <c r="AF558" s="47">
        <v>32757</v>
      </c>
      <c r="AG558" s="47">
        <v>35168</v>
      </c>
      <c r="AH558" s="47">
        <v>34053</v>
      </c>
      <c r="AI558" s="47">
        <v>29740</v>
      </c>
      <c r="AJ558" s="47">
        <v>26645</v>
      </c>
      <c r="AK558" s="47">
        <v>31950</v>
      </c>
      <c r="AL558" s="47">
        <v>32200</v>
      </c>
      <c r="AM558" s="47">
        <v>31406</v>
      </c>
      <c r="AN558" s="47">
        <v>27475</v>
      </c>
      <c r="AO558" s="47">
        <v>25850</v>
      </c>
      <c r="AP558" s="47">
        <v>22700</v>
      </c>
      <c r="AQ558" s="47">
        <v>19385</v>
      </c>
      <c r="AR558" s="47">
        <v>24735</v>
      </c>
      <c r="AS558" s="47"/>
      <c r="AT558" s="47"/>
      <c r="AU558" s="47"/>
      <c r="AV558" s="47"/>
      <c r="AW558" s="47"/>
      <c r="AX558" s="47"/>
      <c r="AY558" s="47"/>
      <c r="AZ558" s="47"/>
      <c r="BA558" s="47"/>
      <c r="BB558" s="47"/>
      <c r="BC558" s="47"/>
      <c r="BD558" s="47"/>
      <c r="BE558" s="47"/>
      <c r="BF558" s="47"/>
    </row>
    <row r="559" spans="1:58" hidden="1">
      <c r="A559" s="46" t="s">
        <v>289</v>
      </c>
      <c r="B559" s="46" t="s">
        <v>263</v>
      </c>
      <c r="C559" s="47">
        <v>1226</v>
      </c>
      <c r="D559" s="47">
        <v>1640</v>
      </c>
      <c r="E559" s="47">
        <v>1720</v>
      </c>
      <c r="F559" s="47">
        <v>1713</v>
      </c>
      <c r="G559" s="47">
        <v>1539</v>
      </c>
      <c r="H559" s="47">
        <v>1648</v>
      </c>
      <c r="I559" s="47">
        <v>1631</v>
      </c>
      <c r="J559" s="47">
        <v>1728</v>
      </c>
      <c r="K559" s="47">
        <v>1948</v>
      </c>
      <c r="L559" s="47">
        <v>1712</v>
      </c>
      <c r="M559" s="47">
        <v>1779</v>
      </c>
      <c r="N559" s="47">
        <v>1761</v>
      </c>
      <c r="O559" s="47">
        <v>1660</v>
      </c>
      <c r="P559" s="47">
        <v>1865</v>
      </c>
      <c r="Q559" s="85">
        <v>25.03</v>
      </c>
      <c r="R559" s="85">
        <v>23.45</v>
      </c>
      <c r="S559" s="85">
        <v>24.53</v>
      </c>
      <c r="T559" s="85">
        <v>24.48</v>
      </c>
      <c r="U559" s="85">
        <v>24.21</v>
      </c>
      <c r="V559" s="85">
        <v>23.33</v>
      </c>
      <c r="W559" s="85">
        <v>25</v>
      </c>
      <c r="X559" s="85">
        <v>25</v>
      </c>
      <c r="Y559" s="85">
        <v>25.01</v>
      </c>
      <c r="Z559" s="85">
        <v>25</v>
      </c>
      <c r="AA559" s="85">
        <v>25</v>
      </c>
      <c r="AB559" s="85">
        <v>25</v>
      </c>
      <c r="AC559" s="85">
        <v>21.67</v>
      </c>
      <c r="AD559" s="85">
        <v>23.92</v>
      </c>
      <c r="AE559" s="47">
        <v>30687</v>
      </c>
      <c r="AF559" s="47">
        <v>38452</v>
      </c>
      <c r="AG559" s="47">
        <v>42190</v>
      </c>
      <c r="AH559" s="47">
        <v>41940</v>
      </c>
      <c r="AI559" s="47">
        <v>37254</v>
      </c>
      <c r="AJ559" s="47">
        <v>38449</v>
      </c>
      <c r="AK559" s="47">
        <v>40775</v>
      </c>
      <c r="AL559" s="47">
        <v>43200</v>
      </c>
      <c r="AM559" s="47">
        <v>48710</v>
      </c>
      <c r="AN559" s="47">
        <v>42800</v>
      </c>
      <c r="AO559" s="47">
        <v>44475</v>
      </c>
      <c r="AP559" s="47">
        <v>44025</v>
      </c>
      <c r="AQ559" s="47">
        <v>35975</v>
      </c>
      <c r="AR559" s="47">
        <v>44620</v>
      </c>
      <c r="AS559" s="47"/>
      <c r="AT559" s="47"/>
      <c r="AU559" s="47"/>
      <c r="AV559" s="47"/>
      <c r="AW559" s="47"/>
      <c r="AX559" s="47"/>
      <c r="AY559" s="47"/>
      <c r="AZ559" s="47"/>
      <c r="BA559" s="47"/>
      <c r="BB559" s="47"/>
      <c r="BC559" s="47"/>
      <c r="BD559" s="47"/>
      <c r="BE559" s="47"/>
      <c r="BF559" s="47"/>
    </row>
    <row r="560" spans="1:58" hidden="1">
      <c r="A560" s="46" t="s">
        <v>289</v>
      </c>
      <c r="B560" s="46" t="s">
        <v>264</v>
      </c>
      <c r="C560" s="47">
        <v>3055</v>
      </c>
      <c r="D560" s="47">
        <v>3390</v>
      </c>
      <c r="E560" s="47">
        <v>3537</v>
      </c>
      <c r="F560" s="47">
        <v>3647</v>
      </c>
      <c r="G560" s="47">
        <v>3246</v>
      </c>
      <c r="H560" s="47">
        <v>2724</v>
      </c>
      <c r="I560" s="47">
        <v>2925</v>
      </c>
      <c r="J560" s="47">
        <v>2023</v>
      </c>
      <c r="K560" s="47">
        <v>1715</v>
      </c>
      <c r="L560" s="47">
        <v>2163</v>
      </c>
      <c r="M560" s="47">
        <v>2077</v>
      </c>
      <c r="N560" s="47">
        <v>2178</v>
      </c>
      <c r="O560" s="47">
        <v>2227</v>
      </c>
      <c r="P560" s="47">
        <v>1682</v>
      </c>
      <c r="Q560" s="85">
        <v>116.1</v>
      </c>
      <c r="R560" s="85">
        <v>113.3</v>
      </c>
      <c r="S560" s="85">
        <v>115.3</v>
      </c>
      <c r="T560" s="85">
        <v>104.61</v>
      </c>
      <c r="U560" s="85">
        <v>110.46</v>
      </c>
      <c r="V560" s="85">
        <v>106.23</v>
      </c>
      <c r="W560" s="85">
        <v>103.86</v>
      </c>
      <c r="X560" s="85">
        <v>109.17</v>
      </c>
      <c r="Y560" s="85">
        <v>113.77</v>
      </c>
      <c r="Z560" s="85">
        <v>96.81</v>
      </c>
      <c r="AA560" s="85">
        <v>95.07</v>
      </c>
      <c r="AB560" s="85">
        <v>92.57</v>
      </c>
      <c r="AC560" s="85">
        <v>81</v>
      </c>
      <c r="AD560" s="85">
        <v>96.43</v>
      </c>
      <c r="AE560" s="47">
        <v>354673</v>
      </c>
      <c r="AF560" s="47">
        <v>384085</v>
      </c>
      <c r="AG560" s="47">
        <v>407803</v>
      </c>
      <c r="AH560" s="47">
        <v>381515</v>
      </c>
      <c r="AI560" s="47">
        <v>358550</v>
      </c>
      <c r="AJ560" s="47">
        <v>289376</v>
      </c>
      <c r="AK560" s="47">
        <v>303782</v>
      </c>
      <c r="AL560" s="47">
        <v>220853</v>
      </c>
      <c r="AM560" s="47">
        <v>195124</v>
      </c>
      <c r="AN560" s="47">
        <v>209395</v>
      </c>
      <c r="AO560" s="47">
        <v>197460</v>
      </c>
      <c r="AP560" s="47">
        <v>201607</v>
      </c>
      <c r="AQ560" s="47">
        <v>180378</v>
      </c>
      <c r="AR560" s="47">
        <v>162194</v>
      </c>
      <c r="AS560" s="47"/>
      <c r="AT560" s="47"/>
      <c r="AU560" s="47"/>
      <c r="AV560" s="47"/>
      <c r="AW560" s="47"/>
      <c r="AX560" s="47"/>
      <c r="AY560" s="47"/>
      <c r="AZ560" s="47"/>
      <c r="BA560" s="47"/>
      <c r="BB560" s="47"/>
      <c r="BC560" s="47"/>
      <c r="BD560" s="47"/>
      <c r="BE560" s="47"/>
      <c r="BF560" s="47"/>
    </row>
    <row r="561" spans="1:58" hidden="1">
      <c r="A561" s="46" t="s">
        <v>289</v>
      </c>
      <c r="B561" s="46" t="s">
        <v>265</v>
      </c>
      <c r="C561" s="47">
        <v>1</v>
      </c>
      <c r="D561" s="47">
        <v>0</v>
      </c>
      <c r="E561" s="47">
        <v>7</v>
      </c>
      <c r="F561" s="47">
        <v>0</v>
      </c>
      <c r="G561" s="47">
        <v>0</v>
      </c>
      <c r="H561" s="47">
        <v>0</v>
      </c>
      <c r="I561" s="47">
        <v>0</v>
      </c>
      <c r="J561" s="47">
        <v>0</v>
      </c>
      <c r="K561" s="47">
        <v>0</v>
      </c>
      <c r="L561" s="47">
        <v>0</v>
      </c>
      <c r="M561" s="47">
        <v>0</v>
      </c>
      <c r="N561" s="47">
        <v>0</v>
      </c>
      <c r="O561" s="47">
        <v>0</v>
      </c>
      <c r="P561" s="47">
        <v>0</v>
      </c>
      <c r="Q561" s="85">
        <v>122</v>
      </c>
      <c r="R561" s="85"/>
      <c r="S561" s="85">
        <v>84.14</v>
      </c>
      <c r="T561" s="85"/>
      <c r="U561" s="85"/>
      <c r="V561" s="85"/>
      <c r="W561" s="85"/>
      <c r="X561" s="85"/>
      <c r="Y561" s="85"/>
      <c r="Z561" s="85"/>
      <c r="AA561" s="85"/>
      <c r="AB561" s="85"/>
      <c r="AC561" s="85"/>
      <c r="AD561" s="85"/>
      <c r="AE561" s="47">
        <v>122</v>
      </c>
      <c r="AF561" s="47">
        <v>0</v>
      </c>
      <c r="AG561" s="47">
        <v>589</v>
      </c>
      <c r="AH561" s="47">
        <v>0</v>
      </c>
      <c r="AI561" s="47">
        <v>0</v>
      </c>
      <c r="AJ561" s="47">
        <v>0</v>
      </c>
      <c r="AK561" s="47">
        <v>0</v>
      </c>
      <c r="AL561" s="47">
        <v>0</v>
      </c>
      <c r="AM561" s="47">
        <v>0</v>
      </c>
      <c r="AN561" s="47">
        <v>0</v>
      </c>
      <c r="AO561" s="47">
        <v>0</v>
      </c>
      <c r="AP561" s="47">
        <v>0</v>
      </c>
      <c r="AQ561" s="47">
        <v>0</v>
      </c>
      <c r="AR561" s="47">
        <v>0</v>
      </c>
      <c r="AS561" s="47"/>
      <c r="AT561" s="47"/>
      <c r="AU561" s="47"/>
      <c r="AV561" s="47"/>
      <c r="AW561" s="47"/>
      <c r="AX561" s="47"/>
      <c r="AY561" s="47"/>
      <c r="AZ561" s="47"/>
      <c r="BA561" s="47"/>
      <c r="BB561" s="47"/>
      <c r="BC561" s="47"/>
      <c r="BD561" s="47"/>
      <c r="BE561" s="47"/>
      <c r="BF561" s="47"/>
    </row>
    <row r="562" spans="1:58" hidden="1">
      <c r="A562" s="46" t="s">
        <v>289</v>
      </c>
      <c r="B562" s="46" t="s">
        <v>266</v>
      </c>
      <c r="C562" s="47">
        <v>657</v>
      </c>
      <c r="D562" s="47">
        <v>576</v>
      </c>
      <c r="E562" s="47">
        <v>1170</v>
      </c>
      <c r="F562" s="47">
        <v>1397</v>
      </c>
      <c r="G562" s="47">
        <v>1979</v>
      </c>
      <c r="H562" s="47">
        <v>1183</v>
      </c>
      <c r="I562" s="47">
        <v>866</v>
      </c>
      <c r="J562" s="47">
        <v>918</v>
      </c>
      <c r="K562" s="47">
        <v>955</v>
      </c>
      <c r="L562" s="47">
        <v>950</v>
      </c>
      <c r="M562" s="47">
        <v>1243</v>
      </c>
      <c r="N562" s="47">
        <v>1003</v>
      </c>
      <c r="O562" s="47">
        <v>900</v>
      </c>
      <c r="P562" s="47">
        <v>1008</v>
      </c>
      <c r="Q562" s="85">
        <v>35</v>
      </c>
      <c r="R562" s="85">
        <v>37.36</v>
      </c>
      <c r="S562" s="85">
        <v>47.86</v>
      </c>
      <c r="T562" s="85">
        <v>41.95</v>
      </c>
      <c r="U562" s="85">
        <v>38</v>
      </c>
      <c r="V562" s="85">
        <v>38</v>
      </c>
      <c r="W562" s="85">
        <v>39.57</v>
      </c>
      <c r="X562" s="85">
        <v>39.090000000000003</v>
      </c>
      <c r="Y562" s="85">
        <v>39.56</v>
      </c>
      <c r="Z562" s="85">
        <v>38.92</v>
      </c>
      <c r="AA562" s="85">
        <v>38.049999999999997</v>
      </c>
      <c r="AB562" s="85">
        <v>38.020000000000003</v>
      </c>
      <c r="AC562" s="85">
        <v>38.049999999999997</v>
      </c>
      <c r="AD562" s="85">
        <v>35.97</v>
      </c>
      <c r="AE562" s="47">
        <v>22995</v>
      </c>
      <c r="AF562" s="47">
        <v>21522</v>
      </c>
      <c r="AG562" s="47">
        <v>56001</v>
      </c>
      <c r="AH562" s="47">
        <v>58611</v>
      </c>
      <c r="AI562" s="47">
        <v>75202</v>
      </c>
      <c r="AJ562" s="47">
        <v>44954</v>
      </c>
      <c r="AK562" s="47">
        <v>34264</v>
      </c>
      <c r="AL562" s="47">
        <v>35882</v>
      </c>
      <c r="AM562" s="47">
        <v>37778</v>
      </c>
      <c r="AN562" s="47">
        <v>36976</v>
      </c>
      <c r="AO562" s="47">
        <v>47300</v>
      </c>
      <c r="AP562" s="47">
        <v>38137</v>
      </c>
      <c r="AQ562" s="47">
        <v>34244</v>
      </c>
      <c r="AR562" s="47">
        <v>36255</v>
      </c>
      <c r="AS562" s="47"/>
      <c r="AT562" s="47"/>
      <c r="AU562" s="47"/>
      <c r="AV562" s="47"/>
      <c r="AW562" s="47"/>
      <c r="AX562" s="47"/>
      <c r="AY562" s="47"/>
      <c r="AZ562" s="47"/>
      <c r="BA562" s="47"/>
      <c r="BB562" s="47"/>
      <c r="BC562" s="47"/>
      <c r="BD562" s="47"/>
      <c r="BE562" s="47"/>
      <c r="BF562" s="47"/>
    </row>
    <row r="563" spans="1:58" hidden="1">
      <c r="A563" s="46" t="s">
        <v>289</v>
      </c>
      <c r="B563" s="46" t="s">
        <v>267</v>
      </c>
      <c r="C563" s="47">
        <v>3713</v>
      </c>
      <c r="D563" s="47">
        <v>3966</v>
      </c>
      <c r="E563" s="47">
        <v>4714</v>
      </c>
      <c r="F563" s="47">
        <v>5044</v>
      </c>
      <c r="G563" s="47">
        <v>5225</v>
      </c>
      <c r="H563" s="47">
        <v>3907</v>
      </c>
      <c r="I563" s="47">
        <v>3791</v>
      </c>
      <c r="J563" s="47">
        <v>2941</v>
      </c>
      <c r="K563" s="47">
        <v>2670</v>
      </c>
      <c r="L563" s="47">
        <v>3113</v>
      </c>
      <c r="M563" s="47">
        <v>3320</v>
      </c>
      <c r="N563" s="47">
        <v>3181</v>
      </c>
      <c r="O563" s="47">
        <v>3127</v>
      </c>
      <c r="P563" s="47">
        <v>2690</v>
      </c>
      <c r="Q563" s="85">
        <v>101.75</v>
      </c>
      <c r="R563" s="85">
        <v>102.27</v>
      </c>
      <c r="S563" s="85">
        <v>98.51</v>
      </c>
      <c r="T563" s="85">
        <v>87.26</v>
      </c>
      <c r="U563" s="85">
        <v>83.01</v>
      </c>
      <c r="V563" s="85">
        <v>85.57</v>
      </c>
      <c r="W563" s="85">
        <v>89.17</v>
      </c>
      <c r="X563" s="85">
        <v>87.3</v>
      </c>
      <c r="Y563" s="85">
        <v>87.23</v>
      </c>
      <c r="Z563" s="85">
        <v>79.14</v>
      </c>
      <c r="AA563" s="85">
        <v>73.72</v>
      </c>
      <c r="AB563" s="85">
        <v>75.37</v>
      </c>
      <c r="AC563" s="85">
        <v>68.64</v>
      </c>
      <c r="AD563" s="85">
        <v>73.77</v>
      </c>
      <c r="AE563" s="47">
        <v>377790</v>
      </c>
      <c r="AF563" s="47">
        <v>405607</v>
      </c>
      <c r="AG563" s="47">
        <v>464393</v>
      </c>
      <c r="AH563" s="47">
        <v>440126</v>
      </c>
      <c r="AI563" s="47">
        <v>433752</v>
      </c>
      <c r="AJ563" s="47">
        <v>334330</v>
      </c>
      <c r="AK563" s="47">
        <v>338046</v>
      </c>
      <c r="AL563" s="47">
        <v>256735</v>
      </c>
      <c r="AM563" s="47">
        <v>232902</v>
      </c>
      <c r="AN563" s="47">
        <v>246371</v>
      </c>
      <c r="AO563" s="47">
        <v>244760</v>
      </c>
      <c r="AP563" s="47">
        <v>239744</v>
      </c>
      <c r="AQ563" s="47">
        <v>214622</v>
      </c>
      <c r="AR563" s="47">
        <v>198449</v>
      </c>
      <c r="AS563" s="47"/>
      <c r="AT563" s="47"/>
      <c r="AU563" s="47"/>
      <c r="AV563" s="47"/>
      <c r="AW563" s="47"/>
      <c r="AX563" s="47"/>
      <c r="AY563" s="47"/>
      <c r="AZ563" s="47"/>
      <c r="BA563" s="47"/>
      <c r="BB563" s="47"/>
      <c r="BC563" s="47"/>
      <c r="BD563" s="47"/>
      <c r="BE563" s="47"/>
      <c r="BF563" s="47"/>
    </row>
    <row r="564" spans="1:58" hidden="1">
      <c r="A564" s="46" t="s">
        <v>289</v>
      </c>
      <c r="B564" s="46" t="s">
        <v>268</v>
      </c>
      <c r="C564" s="47">
        <v>1319</v>
      </c>
      <c r="D564" s="47">
        <v>1345</v>
      </c>
      <c r="E564" s="47">
        <v>1454</v>
      </c>
      <c r="F564" s="47">
        <v>1791</v>
      </c>
      <c r="G564" s="47">
        <v>2033</v>
      </c>
      <c r="H564" s="47">
        <v>2054</v>
      </c>
      <c r="I564" s="47">
        <v>897</v>
      </c>
      <c r="J564" s="47">
        <v>1463</v>
      </c>
      <c r="K564" s="47">
        <v>1321</v>
      </c>
      <c r="L564" s="47">
        <v>2131</v>
      </c>
      <c r="M564" s="47">
        <v>1490</v>
      </c>
      <c r="N564" s="47">
        <v>1448</v>
      </c>
      <c r="O564" s="47">
        <v>1544</v>
      </c>
      <c r="P564" s="47">
        <v>829</v>
      </c>
      <c r="Q564" s="85">
        <v>51.95</v>
      </c>
      <c r="R564" s="85">
        <v>61.15</v>
      </c>
      <c r="S564" s="85">
        <v>51.44</v>
      </c>
      <c r="T564" s="85">
        <v>50.02</v>
      </c>
      <c r="U564" s="85">
        <v>52.02</v>
      </c>
      <c r="V564" s="85">
        <v>46.94</v>
      </c>
      <c r="W564" s="85">
        <v>48.46</v>
      </c>
      <c r="X564" s="85">
        <v>48.59</v>
      </c>
      <c r="Y564" s="85">
        <v>48.94</v>
      </c>
      <c r="Z564" s="85">
        <v>36.86</v>
      </c>
      <c r="AA564" s="85">
        <v>37.04</v>
      </c>
      <c r="AB564" s="85">
        <v>50.92</v>
      </c>
      <c r="AC564" s="85">
        <v>44.65</v>
      </c>
      <c r="AD564" s="85">
        <v>38.76</v>
      </c>
      <c r="AE564" s="47">
        <v>68527</v>
      </c>
      <c r="AF564" s="47">
        <v>82250</v>
      </c>
      <c r="AG564" s="47">
        <v>74789</v>
      </c>
      <c r="AH564" s="47">
        <v>89585</v>
      </c>
      <c r="AI564" s="47">
        <v>105760</v>
      </c>
      <c r="AJ564" s="47">
        <v>96422</v>
      </c>
      <c r="AK564" s="47">
        <v>43469</v>
      </c>
      <c r="AL564" s="47">
        <v>71091</v>
      </c>
      <c r="AM564" s="47">
        <v>64647</v>
      </c>
      <c r="AN564" s="47">
        <v>78555</v>
      </c>
      <c r="AO564" s="47">
        <v>55183</v>
      </c>
      <c r="AP564" s="47">
        <v>73734</v>
      </c>
      <c r="AQ564" s="47">
        <v>68937</v>
      </c>
      <c r="AR564" s="47">
        <v>32130</v>
      </c>
      <c r="AS564" s="47"/>
      <c r="AT564" s="47"/>
      <c r="AU564" s="47"/>
      <c r="AV564" s="47"/>
      <c r="AW564" s="47"/>
      <c r="AX564" s="47"/>
      <c r="AY564" s="47"/>
      <c r="AZ564" s="47"/>
      <c r="BA564" s="47"/>
      <c r="BB564" s="47"/>
      <c r="BC564" s="47"/>
      <c r="BD564" s="47"/>
      <c r="BE564" s="47"/>
      <c r="BF564" s="47"/>
    </row>
    <row r="565" spans="1:58" hidden="1">
      <c r="A565" s="46" t="s">
        <v>289</v>
      </c>
      <c r="B565" s="46" t="s">
        <v>269</v>
      </c>
      <c r="C565" s="47">
        <v>3449</v>
      </c>
      <c r="D565" s="47">
        <v>3557</v>
      </c>
      <c r="E565" s="47">
        <v>3597</v>
      </c>
      <c r="F565" s="47">
        <v>3486</v>
      </c>
      <c r="G565" s="47">
        <v>3313</v>
      </c>
      <c r="H565" s="47">
        <v>3485</v>
      </c>
      <c r="I565" s="47">
        <v>3232</v>
      </c>
      <c r="J565" s="47">
        <v>2937</v>
      </c>
      <c r="K565" s="47">
        <v>2267</v>
      </c>
      <c r="L565" s="47">
        <v>2394</v>
      </c>
      <c r="M565" s="47">
        <v>2352</v>
      </c>
      <c r="N565" s="47">
        <v>2640</v>
      </c>
      <c r="O565" s="47">
        <v>2731</v>
      </c>
      <c r="P565" s="47">
        <v>2728</v>
      </c>
      <c r="Q565" s="85">
        <v>39.78</v>
      </c>
      <c r="R565" s="85">
        <v>38.01</v>
      </c>
      <c r="S565" s="85">
        <v>39</v>
      </c>
      <c r="T565" s="85">
        <v>38.979999999999997</v>
      </c>
      <c r="U565" s="85">
        <v>41.32</v>
      </c>
      <c r="V565" s="85">
        <v>38.69</v>
      </c>
      <c r="W565" s="85">
        <v>39.799999999999997</v>
      </c>
      <c r="X565" s="85">
        <v>39.06</v>
      </c>
      <c r="Y565" s="85">
        <v>39.03</v>
      </c>
      <c r="Z565" s="85">
        <v>39.43</v>
      </c>
      <c r="AA565" s="85">
        <v>39.53</v>
      </c>
      <c r="AB565" s="85">
        <v>43.59</v>
      </c>
      <c r="AC565" s="85">
        <v>37.43</v>
      </c>
      <c r="AD565" s="85">
        <v>35.76</v>
      </c>
      <c r="AE565" s="47">
        <v>137190</v>
      </c>
      <c r="AF565" s="47">
        <v>135198</v>
      </c>
      <c r="AG565" s="47">
        <v>140300</v>
      </c>
      <c r="AH565" s="47">
        <v>135868</v>
      </c>
      <c r="AI565" s="47">
        <v>136890</v>
      </c>
      <c r="AJ565" s="47">
        <v>134824</v>
      </c>
      <c r="AK565" s="47">
        <v>128647</v>
      </c>
      <c r="AL565" s="47">
        <v>114723</v>
      </c>
      <c r="AM565" s="47">
        <v>88480</v>
      </c>
      <c r="AN565" s="47">
        <v>94405</v>
      </c>
      <c r="AO565" s="47">
        <v>92980</v>
      </c>
      <c r="AP565" s="47">
        <v>115073</v>
      </c>
      <c r="AQ565" s="47">
        <v>102226</v>
      </c>
      <c r="AR565" s="47">
        <v>97557</v>
      </c>
      <c r="AS565" s="47"/>
      <c r="AT565" s="47"/>
      <c r="AU565" s="47"/>
      <c r="AV565" s="47"/>
      <c r="AW565" s="47"/>
      <c r="AX565" s="47"/>
      <c r="AY565" s="47"/>
      <c r="AZ565" s="47"/>
      <c r="BA565" s="47"/>
      <c r="BB565" s="47"/>
      <c r="BC565" s="47"/>
      <c r="BD565" s="47"/>
      <c r="BE565" s="47"/>
      <c r="BF565" s="47"/>
    </row>
    <row r="566" spans="1:58" hidden="1">
      <c r="A566" s="46" t="s">
        <v>289</v>
      </c>
      <c r="B566" s="46" t="s">
        <v>270</v>
      </c>
      <c r="C566" s="47">
        <v>623</v>
      </c>
      <c r="D566" s="47">
        <v>414</v>
      </c>
      <c r="E566" s="47">
        <v>427</v>
      </c>
      <c r="F566" s="47">
        <v>457</v>
      </c>
      <c r="G566" s="47">
        <v>95</v>
      </c>
      <c r="H566" s="47">
        <v>225</v>
      </c>
      <c r="I566" s="47">
        <v>64</v>
      </c>
      <c r="J566" s="47">
        <v>130</v>
      </c>
      <c r="K566" s="47">
        <v>616</v>
      </c>
      <c r="L566" s="47">
        <v>640</v>
      </c>
      <c r="M566" s="47">
        <v>806</v>
      </c>
      <c r="N566" s="47">
        <v>1056</v>
      </c>
      <c r="O566" s="47">
        <v>1080</v>
      </c>
      <c r="P566" s="47">
        <v>126</v>
      </c>
      <c r="Q566" s="85"/>
      <c r="R566" s="85"/>
      <c r="S566" s="85"/>
      <c r="T566" s="85"/>
      <c r="U566" s="85"/>
      <c r="V566" s="85"/>
      <c r="W566" s="85"/>
      <c r="X566" s="85"/>
      <c r="Y566" s="85"/>
      <c r="Z566" s="85"/>
      <c r="AA566" s="85"/>
      <c r="AB566" s="85"/>
      <c r="AC566" s="85"/>
      <c r="AD566" s="85"/>
      <c r="AE566" s="47">
        <v>9530</v>
      </c>
      <c r="AF566" s="47">
        <v>6310</v>
      </c>
      <c r="AG566" s="47">
        <v>6425</v>
      </c>
      <c r="AH566" s="47">
        <v>7050</v>
      </c>
      <c r="AI566" s="47">
        <v>1475</v>
      </c>
      <c r="AJ566" s="47">
        <v>3625</v>
      </c>
      <c r="AK566" s="47">
        <v>981</v>
      </c>
      <c r="AL566" s="47">
        <v>1964</v>
      </c>
      <c r="AM566" s="47">
        <v>10114</v>
      </c>
      <c r="AN566" s="47">
        <v>9908</v>
      </c>
      <c r="AO566" s="47">
        <v>12349</v>
      </c>
      <c r="AP566" s="47">
        <v>16259</v>
      </c>
      <c r="AQ566" s="47">
        <v>16487</v>
      </c>
      <c r="AR566" s="47">
        <v>2093</v>
      </c>
      <c r="AS566" s="47"/>
      <c r="AT566" s="47"/>
      <c r="AU566" s="47"/>
      <c r="AV566" s="47"/>
      <c r="AW566" s="47"/>
      <c r="AX566" s="47"/>
      <c r="AY566" s="47"/>
      <c r="AZ566" s="47"/>
      <c r="BA566" s="47"/>
      <c r="BB566" s="47"/>
      <c r="BC566" s="47"/>
      <c r="BD566" s="47"/>
      <c r="BE566" s="47"/>
      <c r="BF566" s="47"/>
    </row>
    <row r="567" spans="1:58" hidden="1">
      <c r="A567" s="46" t="s">
        <v>289</v>
      </c>
      <c r="B567" s="46" t="s">
        <v>271</v>
      </c>
      <c r="C567" s="47">
        <v>160</v>
      </c>
      <c r="D567" s="47">
        <v>209</v>
      </c>
      <c r="E567" s="47">
        <v>182</v>
      </c>
      <c r="F567" s="47">
        <v>154</v>
      </c>
      <c r="G567" s="47">
        <v>271</v>
      </c>
      <c r="H567" s="47">
        <v>217</v>
      </c>
      <c r="I567" s="47">
        <v>263</v>
      </c>
      <c r="J567" s="47">
        <v>327</v>
      </c>
      <c r="K567" s="47">
        <v>530</v>
      </c>
      <c r="L567" s="47">
        <v>681</v>
      </c>
      <c r="M567" s="47">
        <v>629</v>
      </c>
      <c r="N567" s="47">
        <v>675</v>
      </c>
      <c r="O567" s="47">
        <v>847</v>
      </c>
      <c r="P567" s="47">
        <v>507</v>
      </c>
      <c r="Q567" s="85"/>
      <c r="R567" s="85"/>
      <c r="S567" s="85"/>
      <c r="T567" s="85"/>
      <c r="U567" s="85"/>
      <c r="V567" s="85"/>
      <c r="W567" s="85"/>
      <c r="X567" s="85"/>
      <c r="Y567" s="85"/>
      <c r="Z567" s="85"/>
      <c r="AA567" s="85"/>
      <c r="AB567" s="85"/>
      <c r="AC567" s="85"/>
      <c r="AD567" s="85"/>
      <c r="AE567" s="47">
        <v>3055</v>
      </c>
      <c r="AF567" s="47">
        <v>3575</v>
      </c>
      <c r="AG567" s="47">
        <v>2860</v>
      </c>
      <c r="AH567" s="47">
        <v>2385</v>
      </c>
      <c r="AI567" s="47">
        <v>4265</v>
      </c>
      <c r="AJ567" s="47">
        <v>3715</v>
      </c>
      <c r="AK567" s="47">
        <v>4134</v>
      </c>
      <c r="AL567" s="47">
        <v>5089</v>
      </c>
      <c r="AM567" s="47">
        <v>8144</v>
      </c>
      <c r="AN567" s="47">
        <v>10362</v>
      </c>
      <c r="AO567" s="47">
        <v>9687</v>
      </c>
      <c r="AP567" s="47">
        <v>10800</v>
      </c>
      <c r="AQ567" s="47">
        <v>13041</v>
      </c>
      <c r="AR567" s="47">
        <v>8074</v>
      </c>
      <c r="AS567" s="47"/>
      <c r="AT567" s="47"/>
      <c r="AU567" s="47"/>
      <c r="AV567" s="47"/>
      <c r="AW567" s="47"/>
      <c r="AX567" s="47"/>
      <c r="AY567" s="47"/>
      <c r="AZ567" s="47"/>
      <c r="BA567" s="47"/>
      <c r="BB567" s="47"/>
      <c r="BC567" s="47"/>
      <c r="BD567" s="47"/>
      <c r="BE567" s="47"/>
      <c r="BF567" s="47"/>
    </row>
    <row r="568" spans="1:58" hidden="1">
      <c r="A568" s="46" t="s">
        <v>289</v>
      </c>
      <c r="B568" s="46" t="s">
        <v>272</v>
      </c>
      <c r="C568" s="47">
        <v>81917</v>
      </c>
      <c r="D568" s="47">
        <v>76651</v>
      </c>
      <c r="E568" s="47">
        <v>75329</v>
      </c>
      <c r="F568" s="47">
        <v>75521</v>
      </c>
      <c r="G568" s="47">
        <v>76741</v>
      </c>
      <c r="H568" s="47">
        <v>69684</v>
      </c>
      <c r="I568" s="47">
        <v>70769</v>
      </c>
      <c r="J568" s="47">
        <v>66711</v>
      </c>
      <c r="K568" s="47">
        <v>60917</v>
      </c>
      <c r="L568" s="47">
        <v>52857</v>
      </c>
      <c r="M568" s="47">
        <v>48300</v>
      </c>
      <c r="N568" s="47">
        <v>57243</v>
      </c>
      <c r="O568" s="47">
        <v>58841</v>
      </c>
      <c r="P568" s="47">
        <v>55525</v>
      </c>
      <c r="Q568" s="85">
        <v>39.270000000000003</v>
      </c>
      <c r="R568" s="85">
        <v>38.5</v>
      </c>
      <c r="S568" s="85">
        <v>40</v>
      </c>
      <c r="T568" s="85">
        <v>40.869999999999997</v>
      </c>
      <c r="U568" s="85">
        <v>36.69</v>
      </c>
      <c r="V568" s="85">
        <v>36.39</v>
      </c>
      <c r="W568" s="85">
        <v>41.04</v>
      </c>
      <c r="X568" s="85">
        <v>38.71</v>
      </c>
      <c r="Y568" s="85">
        <v>34.99</v>
      </c>
      <c r="Z568" s="85">
        <v>37.68</v>
      </c>
      <c r="AA568" s="85">
        <v>38.4</v>
      </c>
      <c r="AB568" s="85">
        <v>45.1</v>
      </c>
      <c r="AC568" s="85">
        <v>33.51</v>
      </c>
      <c r="AD568" s="85">
        <v>34.409999999999997</v>
      </c>
      <c r="AE568" s="47">
        <v>3216605</v>
      </c>
      <c r="AF568" s="47">
        <v>2950685</v>
      </c>
      <c r="AG568" s="47">
        <v>3013038</v>
      </c>
      <c r="AH568" s="47">
        <v>3086656</v>
      </c>
      <c r="AI568" s="47">
        <v>2815754</v>
      </c>
      <c r="AJ568" s="47">
        <v>2535700</v>
      </c>
      <c r="AK568" s="47">
        <v>2904274</v>
      </c>
      <c r="AL568" s="47">
        <v>2582237</v>
      </c>
      <c r="AM568" s="47">
        <v>2131306</v>
      </c>
      <c r="AN568" s="47">
        <v>1991488</v>
      </c>
      <c r="AO568" s="47">
        <v>1854638</v>
      </c>
      <c r="AP568" s="47">
        <v>2581426</v>
      </c>
      <c r="AQ568" s="47">
        <v>1971498</v>
      </c>
      <c r="AR568" s="47">
        <v>1910624</v>
      </c>
      <c r="AS568" s="47"/>
      <c r="AT568" s="47"/>
      <c r="AU568" s="47"/>
      <c r="AV568" s="47"/>
      <c r="AW568" s="47"/>
      <c r="AX568" s="47"/>
      <c r="AY568" s="47"/>
      <c r="AZ568" s="47"/>
      <c r="BA568" s="47"/>
      <c r="BB568" s="47"/>
      <c r="BC568" s="47"/>
      <c r="BD568" s="47"/>
      <c r="BE568" s="47"/>
      <c r="BF568" s="47"/>
    </row>
    <row r="569" spans="1:58" hidden="1">
      <c r="A569" s="46" t="s">
        <v>289</v>
      </c>
      <c r="B569" s="46" t="s">
        <v>273</v>
      </c>
      <c r="C569" s="47">
        <v>3307</v>
      </c>
      <c r="D569" s="47">
        <v>2056</v>
      </c>
      <c r="E569" s="47">
        <v>950</v>
      </c>
      <c r="F569" s="47">
        <v>840</v>
      </c>
      <c r="G569" s="47">
        <v>702</v>
      </c>
      <c r="H569" s="47">
        <v>705</v>
      </c>
      <c r="I569" s="47">
        <v>718</v>
      </c>
      <c r="J569" s="47">
        <v>733</v>
      </c>
      <c r="K569" s="47">
        <v>586</v>
      </c>
      <c r="L569" s="47">
        <v>977</v>
      </c>
      <c r="M569" s="47">
        <v>787</v>
      </c>
      <c r="N569" s="47">
        <v>600</v>
      </c>
      <c r="O569" s="47">
        <v>500</v>
      </c>
      <c r="P569" s="47">
        <v>500</v>
      </c>
      <c r="Q569" s="85">
        <v>50</v>
      </c>
      <c r="R569" s="85">
        <v>51</v>
      </c>
      <c r="S569" s="85">
        <v>60</v>
      </c>
      <c r="T569" s="85">
        <v>42</v>
      </c>
      <c r="U569" s="85">
        <v>55.1</v>
      </c>
      <c r="V569" s="85">
        <v>54.91</v>
      </c>
      <c r="W569" s="85">
        <v>53.96</v>
      </c>
      <c r="X569" s="85">
        <v>59</v>
      </c>
      <c r="Y569" s="85">
        <v>59.02</v>
      </c>
      <c r="Z569" s="85">
        <v>59.1</v>
      </c>
      <c r="AA569" s="85">
        <v>54.2</v>
      </c>
      <c r="AB569" s="85">
        <v>52.4</v>
      </c>
      <c r="AC569" s="85">
        <v>56.6</v>
      </c>
      <c r="AD569" s="85">
        <v>58.9</v>
      </c>
      <c r="AE569" s="47">
        <v>165350</v>
      </c>
      <c r="AF569" s="47">
        <v>104856</v>
      </c>
      <c r="AG569" s="47">
        <v>57000</v>
      </c>
      <c r="AH569" s="47">
        <v>35280</v>
      </c>
      <c r="AI569" s="47">
        <v>38680</v>
      </c>
      <c r="AJ569" s="47">
        <v>38712</v>
      </c>
      <c r="AK569" s="47">
        <v>38746</v>
      </c>
      <c r="AL569" s="47">
        <v>43247</v>
      </c>
      <c r="AM569" s="47">
        <v>34586</v>
      </c>
      <c r="AN569" s="47">
        <v>57741</v>
      </c>
      <c r="AO569" s="47">
        <v>42655</v>
      </c>
      <c r="AP569" s="47">
        <v>31440</v>
      </c>
      <c r="AQ569" s="47">
        <v>28300</v>
      </c>
      <c r="AR569" s="47">
        <v>29450</v>
      </c>
      <c r="AS569" s="47"/>
      <c r="AT569" s="47"/>
      <c r="AU569" s="47"/>
      <c r="AV569" s="47"/>
      <c r="AW569" s="47"/>
      <c r="AX569" s="47"/>
      <c r="AY569" s="47"/>
      <c r="AZ569" s="47"/>
      <c r="BA569" s="47"/>
      <c r="BB569" s="47"/>
      <c r="BC569" s="47"/>
      <c r="BD569" s="47"/>
      <c r="BE569" s="47"/>
      <c r="BF569" s="47"/>
    </row>
    <row r="570" spans="1:58" hidden="1">
      <c r="A570" s="46" t="s">
        <v>289</v>
      </c>
      <c r="B570" s="46" t="s">
        <v>274</v>
      </c>
      <c r="C570" s="47">
        <v>11484</v>
      </c>
      <c r="D570" s="47">
        <v>13761</v>
      </c>
      <c r="E570" s="47">
        <v>14550</v>
      </c>
      <c r="F570" s="47">
        <v>12913</v>
      </c>
      <c r="G570" s="47">
        <v>10754</v>
      </c>
      <c r="H570" s="47">
        <v>10802</v>
      </c>
      <c r="I570" s="47">
        <v>11007</v>
      </c>
      <c r="J570" s="47">
        <v>11082</v>
      </c>
      <c r="K570" s="47">
        <v>8874</v>
      </c>
      <c r="L570" s="47">
        <v>10540</v>
      </c>
      <c r="M570" s="47">
        <v>10758</v>
      </c>
      <c r="N570" s="47">
        <v>9127</v>
      </c>
      <c r="O570" s="47">
        <v>8871</v>
      </c>
      <c r="P570" s="47">
        <v>9326</v>
      </c>
      <c r="Q570" s="85">
        <v>55</v>
      </c>
      <c r="R570" s="85">
        <v>60.96</v>
      </c>
      <c r="S570" s="85">
        <v>60</v>
      </c>
      <c r="T570" s="85">
        <v>42</v>
      </c>
      <c r="U570" s="85">
        <v>55.1</v>
      </c>
      <c r="V570" s="85">
        <v>54.95</v>
      </c>
      <c r="W570" s="85">
        <v>53.26</v>
      </c>
      <c r="X570" s="85">
        <v>59</v>
      </c>
      <c r="Y570" s="85">
        <v>59.02</v>
      </c>
      <c r="Z570" s="85">
        <v>59.12</v>
      </c>
      <c r="AA570" s="85">
        <v>54.2</v>
      </c>
      <c r="AB570" s="85">
        <v>52.4</v>
      </c>
      <c r="AC570" s="85">
        <v>56.6</v>
      </c>
      <c r="AD570" s="85">
        <v>58.9</v>
      </c>
      <c r="AE570" s="47">
        <v>631620</v>
      </c>
      <c r="AF570" s="47">
        <v>838811</v>
      </c>
      <c r="AG570" s="47">
        <v>873000</v>
      </c>
      <c r="AH570" s="47">
        <v>542346</v>
      </c>
      <c r="AI570" s="47">
        <v>592545</v>
      </c>
      <c r="AJ570" s="47">
        <v>593570</v>
      </c>
      <c r="AK570" s="47">
        <v>586197</v>
      </c>
      <c r="AL570" s="47">
        <v>653838</v>
      </c>
      <c r="AM570" s="47">
        <v>523754</v>
      </c>
      <c r="AN570" s="47">
        <v>623144</v>
      </c>
      <c r="AO570" s="47">
        <v>583084</v>
      </c>
      <c r="AP570" s="47">
        <v>478255</v>
      </c>
      <c r="AQ570" s="47">
        <v>502099</v>
      </c>
      <c r="AR570" s="47">
        <v>549301</v>
      </c>
      <c r="AS570" s="47"/>
      <c r="AT570" s="47"/>
      <c r="AU570" s="47"/>
      <c r="AV570" s="47"/>
      <c r="AW570" s="47"/>
      <c r="AX570" s="47"/>
      <c r="AY570" s="47"/>
      <c r="AZ570" s="47"/>
      <c r="BA570" s="47"/>
      <c r="BB570" s="47"/>
      <c r="BC570" s="47"/>
      <c r="BD570" s="47"/>
      <c r="BE570" s="47"/>
      <c r="BF570" s="47"/>
    </row>
    <row r="571" spans="1:58" hidden="1">
      <c r="A571" s="46" t="s">
        <v>289</v>
      </c>
      <c r="B571" s="46" t="s">
        <v>275</v>
      </c>
      <c r="C571" s="47">
        <v>14791</v>
      </c>
      <c r="D571" s="47">
        <v>15817</v>
      </c>
      <c r="E571" s="47">
        <v>15500</v>
      </c>
      <c r="F571" s="47">
        <v>13753</v>
      </c>
      <c r="G571" s="47">
        <v>11456</v>
      </c>
      <c r="H571" s="47">
        <v>11507</v>
      </c>
      <c r="I571" s="47">
        <v>11725</v>
      </c>
      <c r="J571" s="47">
        <v>11815</v>
      </c>
      <c r="K571" s="47">
        <v>9460</v>
      </c>
      <c r="L571" s="47">
        <v>11517</v>
      </c>
      <c r="M571" s="47">
        <v>11545</v>
      </c>
      <c r="N571" s="47">
        <v>9727</v>
      </c>
      <c r="O571" s="47">
        <v>9371</v>
      </c>
      <c r="P571" s="47">
        <v>9826</v>
      </c>
      <c r="Q571" s="85">
        <v>53.88</v>
      </c>
      <c r="R571" s="85">
        <v>59.66</v>
      </c>
      <c r="S571" s="85">
        <v>60</v>
      </c>
      <c r="T571" s="85">
        <v>42</v>
      </c>
      <c r="U571" s="85">
        <v>55.1</v>
      </c>
      <c r="V571" s="85">
        <v>54.95</v>
      </c>
      <c r="W571" s="85">
        <v>53.3</v>
      </c>
      <c r="X571" s="85">
        <v>59</v>
      </c>
      <c r="Y571" s="85">
        <v>59.02</v>
      </c>
      <c r="Z571" s="85">
        <v>59.12</v>
      </c>
      <c r="AA571" s="85">
        <v>54.2</v>
      </c>
      <c r="AB571" s="85">
        <v>52.4</v>
      </c>
      <c r="AC571" s="85">
        <v>56.6</v>
      </c>
      <c r="AD571" s="85">
        <v>58.9</v>
      </c>
      <c r="AE571" s="47">
        <v>796970</v>
      </c>
      <c r="AF571" s="47">
        <v>943667</v>
      </c>
      <c r="AG571" s="47">
        <v>930000</v>
      </c>
      <c r="AH571" s="47">
        <v>577626</v>
      </c>
      <c r="AI571" s="47">
        <v>631225</v>
      </c>
      <c r="AJ571" s="47">
        <v>632282</v>
      </c>
      <c r="AK571" s="47">
        <v>624943</v>
      </c>
      <c r="AL571" s="47">
        <v>697085</v>
      </c>
      <c r="AM571" s="47">
        <v>558340</v>
      </c>
      <c r="AN571" s="47">
        <v>680885</v>
      </c>
      <c r="AO571" s="47">
        <v>625739</v>
      </c>
      <c r="AP571" s="47">
        <v>509695</v>
      </c>
      <c r="AQ571" s="47">
        <v>530399</v>
      </c>
      <c r="AR571" s="47">
        <v>578751</v>
      </c>
      <c r="AS571" s="47"/>
      <c r="AT571" s="47"/>
      <c r="AU571" s="47"/>
      <c r="AV571" s="47"/>
      <c r="AW571" s="47"/>
      <c r="AX571" s="47"/>
      <c r="AY571" s="47"/>
      <c r="AZ571" s="47"/>
      <c r="BA571" s="47"/>
      <c r="BB571" s="47"/>
      <c r="BC571" s="47"/>
      <c r="BD571" s="47"/>
      <c r="BE571" s="47"/>
      <c r="BF571" s="47"/>
    </row>
    <row r="572" spans="1:58" hidden="1">
      <c r="A572" s="46" t="s">
        <v>289</v>
      </c>
      <c r="B572" s="46" t="s">
        <v>276</v>
      </c>
      <c r="C572" s="47">
        <v>96708</v>
      </c>
      <c r="D572" s="47">
        <v>92468</v>
      </c>
      <c r="E572" s="47">
        <v>90829</v>
      </c>
      <c r="F572" s="47">
        <v>89274</v>
      </c>
      <c r="G572" s="47">
        <v>88197</v>
      </c>
      <c r="H572" s="47">
        <v>81191</v>
      </c>
      <c r="I572" s="47">
        <v>82494</v>
      </c>
      <c r="J572" s="47">
        <v>78526</v>
      </c>
      <c r="K572" s="47">
        <v>70377</v>
      </c>
      <c r="L572" s="47">
        <v>64374</v>
      </c>
      <c r="M572" s="47">
        <v>59845</v>
      </c>
      <c r="N572" s="47">
        <v>66970</v>
      </c>
      <c r="O572" s="47">
        <v>68212</v>
      </c>
      <c r="P572" s="47">
        <v>65351</v>
      </c>
      <c r="Q572" s="85">
        <v>41.5</v>
      </c>
      <c r="R572" s="85">
        <v>42.12</v>
      </c>
      <c r="S572" s="85">
        <v>43.41</v>
      </c>
      <c r="T572" s="85">
        <v>41.05</v>
      </c>
      <c r="U572" s="85">
        <v>39.08</v>
      </c>
      <c r="V572" s="85">
        <v>39.020000000000003</v>
      </c>
      <c r="W572" s="85">
        <v>42.78</v>
      </c>
      <c r="X572" s="85">
        <v>41.76</v>
      </c>
      <c r="Y572" s="85">
        <v>38.22</v>
      </c>
      <c r="Z572" s="85">
        <v>41.51</v>
      </c>
      <c r="AA572" s="85">
        <v>41.45</v>
      </c>
      <c r="AB572" s="85">
        <v>46.16</v>
      </c>
      <c r="AC572" s="85">
        <v>36.68</v>
      </c>
      <c r="AD572" s="85">
        <v>38.090000000000003</v>
      </c>
      <c r="AE572" s="47">
        <v>4013575</v>
      </c>
      <c r="AF572" s="47">
        <v>3894352</v>
      </c>
      <c r="AG572" s="47">
        <v>3943038</v>
      </c>
      <c r="AH572" s="47">
        <v>3664282</v>
      </c>
      <c r="AI572" s="47">
        <v>3446979</v>
      </c>
      <c r="AJ572" s="47">
        <v>3167982</v>
      </c>
      <c r="AK572" s="47">
        <v>3529217</v>
      </c>
      <c r="AL572" s="47">
        <v>3279322</v>
      </c>
      <c r="AM572" s="47">
        <v>2689646</v>
      </c>
      <c r="AN572" s="47">
        <v>2672373</v>
      </c>
      <c r="AO572" s="47">
        <v>2480377</v>
      </c>
      <c r="AP572" s="47">
        <v>3091121</v>
      </c>
      <c r="AQ572" s="47">
        <v>2501897</v>
      </c>
      <c r="AR572" s="47">
        <v>2489375</v>
      </c>
      <c r="AS572" s="47"/>
      <c r="AT572" s="47"/>
      <c r="AU572" s="47"/>
      <c r="AV572" s="47"/>
      <c r="AW572" s="47"/>
      <c r="AX572" s="47"/>
      <c r="AY572" s="47"/>
      <c r="AZ572" s="47"/>
      <c r="BA572" s="47"/>
      <c r="BB572" s="47"/>
      <c r="BC572" s="47"/>
      <c r="BD572" s="47"/>
      <c r="BE572" s="47"/>
      <c r="BF572" s="47"/>
    </row>
    <row r="573" spans="1:58" hidden="1">
      <c r="A573" s="46" t="s">
        <v>289</v>
      </c>
      <c r="B573" s="46" t="s">
        <v>277</v>
      </c>
      <c r="C573" s="47"/>
      <c r="D573" s="47"/>
      <c r="E573" s="47"/>
      <c r="F573" s="47"/>
      <c r="G573" s="47"/>
      <c r="H573" s="47"/>
      <c r="I573" s="47"/>
      <c r="J573" s="47"/>
      <c r="K573" s="47"/>
      <c r="L573" s="47"/>
      <c r="M573" s="47"/>
      <c r="N573" s="47"/>
      <c r="O573" s="47"/>
      <c r="P573" s="47"/>
      <c r="Q573" s="85"/>
      <c r="R573" s="85"/>
      <c r="S573" s="85"/>
      <c r="T573" s="85"/>
      <c r="U573" s="85"/>
      <c r="V573" s="85"/>
      <c r="W573" s="85"/>
      <c r="X573" s="85"/>
      <c r="Y573" s="85"/>
      <c r="Z573" s="85"/>
      <c r="AA573" s="85"/>
      <c r="AB573" s="85"/>
      <c r="AC573" s="85"/>
      <c r="AD573" s="85"/>
      <c r="AE573" s="47">
        <v>658647</v>
      </c>
      <c r="AF573" s="47">
        <v>591775</v>
      </c>
      <c r="AG573" s="47">
        <v>621936</v>
      </c>
      <c r="AH573" s="47">
        <v>636586</v>
      </c>
      <c r="AI573" s="47">
        <v>623446</v>
      </c>
      <c r="AJ573" s="47">
        <v>618520</v>
      </c>
      <c r="AK573" s="47">
        <v>640149</v>
      </c>
      <c r="AL573" s="47">
        <v>624966</v>
      </c>
      <c r="AM573" s="47">
        <v>543244</v>
      </c>
      <c r="AN573" s="47">
        <v>497488</v>
      </c>
      <c r="AO573" s="47">
        <v>469987</v>
      </c>
      <c r="AP573" s="47">
        <v>533563</v>
      </c>
      <c r="AQ573" s="47">
        <v>556819</v>
      </c>
      <c r="AR573" s="47">
        <v>563098</v>
      </c>
      <c r="AS573" s="47"/>
      <c r="AT573" s="47"/>
      <c r="AU573" s="47"/>
      <c r="AV573" s="47"/>
      <c r="AW573" s="47"/>
      <c r="AX573" s="47"/>
      <c r="AY573" s="47"/>
      <c r="AZ573" s="47"/>
      <c r="BA573" s="47"/>
      <c r="BB573" s="47"/>
      <c r="BC573" s="47"/>
      <c r="BD573" s="47"/>
      <c r="BE573" s="47"/>
      <c r="BF573" s="47"/>
    </row>
    <row r="574" spans="1:58" hidden="1">
      <c r="A574" s="46" t="s">
        <v>289</v>
      </c>
      <c r="B574" s="46" t="s">
        <v>65</v>
      </c>
      <c r="C574" s="47">
        <v>2333</v>
      </c>
      <c r="D574" s="47">
        <v>3317</v>
      </c>
      <c r="E574" s="47">
        <v>3372</v>
      </c>
      <c r="F574" s="47">
        <v>2876</v>
      </c>
      <c r="G574" s="47">
        <v>3276</v>
      </c>
      <c r="H574" s="47">
        <v>3311</v>
      </c>
      <c r="I574" s="47">
        <v>2711</v>
      </c>
      <c r="J574" s="47">
        <v>2131</v>
      </c>
      <c r="K574" s="47">
        <v>967</v>
      </c>
      <c r="L574" s="47">
        <v>1312</v>
      </c>
      <c r="M574" s="47">
        <v>960</v>
      </c>
      <c r="N574" s="47">
        <v>1309</v>
      </c>
      <c r="O574" s="47">
        <v>1712</v>
      </c>
      <c r="P574" s="47">
        <v>2768</v>
      </c>
      <c r="Q574" s="85">
        <v>19.22</v>
      </c>
      <c r="R574" s="85">
        <v>15.03</v>
      </c>
      <c r="S574" s="85">
        <v>19.29</v>
      </c>
      <c r="T574" s="85">
        <v>21.35</v>
      </c>
      <c r="U574" s="85">
        <v>20.78</v>
      </c>
      <c r="V574" s="85">
        <v>19.5</v>
      </c>
      <c r="W574" s="85">
        <v>22.63</v>
      </c>
      <c r="X574" s="85">
        <v>21.37</v>
      </c>
      <c r="Y574" s="85">
        <v>21.59</v>
      </c>
      <c r="Z574" s="85">
        <v>15.92</v>
      </c>
      <c r="AA574" s="85">
        <v>18.149999999999999</v>
      </c>
      <c r="AB574" s="85">
        <v>23.22</v>
      </c>
      <c r="AC574" s="85">
        <v>20.239999999999998</v>
      </c>
      <c r="AD574" s="85">
        <v>20.100000000000001</v>
      </c>
      <c r="AE574" s="47">
        <v>44846</v>
      </c>
      <c r="AF574" s="47">
        <v>49867</v>
      </c>
      <c r="AG574" s="47">
        <v>65058</v>
      </c>
      <c r="AH574" s="47">
        <v>61400</v>
      </c>
      <c r="AI574" s="47">
        <v>68088</v>
      </c>
      <c r="AJ574" s="47">
        <v>64550</v>
      </c>
      <c r="AK574" s="47">
        <v>61358</v>
      </c>
      <c r="AL574" s="47">
        <v>45529</v>
      </c>
      <c r="AM574" s="47">
        <v>20875</v>
      </c>
      <c r="AN574" s="47">
        <v>20893</v>
      </c>
      <c r="AO574" s="47">
        <v>17428</v>
      </c>
      <c r="AP574" s="47">
        <v>30389</v>
      </c>
      <c r="AQ574" s="47">
        <v>34650</v>
      </c>
      <c r="AR574" s="47">
        <v>55635</v>
      </c>
      <c r="AS574" s="47"/>
      <c r="AT574" s="47"/>
      <c r="AU574" s="47"/>
      <c r="AV574" s="47"/>
      <c r="AW574" s="47"/>
      <c r="AX574" s="47"/>
      <c r="AY574" s="47"/>
      <c r="AZ574" s="47"/>
      <c r="BA574" s="47"/>
      <c r="BB574" s="47"/>
      <c r="BC574" s="47"/>
      <c r="BD574" s="47"/>
      <c r="BE574" s="47"/>
      <c r="BF574" s="47"/>
    </row>
    <row r="575" spans="1:58" hidden="1">
      <c r="A575" s="46" t="s">
        <v>289</v>
      </c>
      <c r="B575" s="46" t="s">
        <v>66</v>
      </c>
      <c r="C575" s="47">
        <v>189</v>
      </c>
      <c r="D575" s="47">
        <v>114</v>
      </c>
      <c r="E575" s="47">
        <v>151</v>
      </c>
      <c r="F575" s="47">
        <v>150</v>
      </c>
      <c r="G575" s="47">
        <v>66</v>
      </c>
      <c r="H575" s="47">
        <v>83</v>
      </c>
      <c r="I575" s="47">
        <v>27</v>
      </c>
      <c r="J575" s="47">
        <v>26</v>
      </c>
      <c r="K575" s="47">
        <v>32</v>
      </c>
      <c r="L575" s="47">
        <v>16</v>
      </c>
      <c r="M575" s="47">
        <v>18</v>
      </c>
      <c r="N575" s="47">
        <v>13</v>
      </c>
      <c r="O575" s="47">
        <v>19</v>
      </c>
      <c r="P575" s="47">
        <v>31</v>
      </c>
      <c r="Q575" s="85">
        <v>19.21</v>
      </c>
      <c r="R575" s="85">
        <v>21.54</v>
      </c>
      <c r="S575" s="85">
        <v>19.61</v>
      </c>
      <c r="T575" s="85">
        <v>22.25</v>
      </c>
      <c r="U575" s="85">
        <v>29.09</v>
      </c>
      <c r="V575" s="85">
        <v>28.73</v>
      </c>
      <c r="W575" s="85">
        <v>26.93</v>
      </c>
      <c r="X575" s="85">
        <v>21</v>
      </c>
      <c r="Y575" s="85">
        <v>22.03</v>
      </c>
      <c r="Z575" s="85">
        <v>16.5</v>
      </c>
      <c r="AA575" s="85">
        <v>19.5</v>
      </c>
      <c r="AB575" s="85">
        <v>20.92</v>
      </c>
      <c r="AC575" s="85">
        <v>21.68</v>
      </c>
      <c r="AD575" s="85">
        <v>20.16</v>
      </c>
      <c r="AE575" s="47">
        <v>3630</v>
      </c>
      <c r="AF575" s="47">
        <v>2456</v>
      </c>
      <c r="AG575" s="47">
        <v>2961</v>
      </c>
      <c r="AH575" s="47">
        <v>3338</v>
      </c>
      <c r="AI575" s="47">
        <v>1920</v>
      </c>
      <c r="AJ575" s="47">
        <v>2385</v>
      </c>
      <c r="AK575" s="47">
        <v>727</v>
      </c>
      <c r="AL575" s="47">
        <v>546</v>
      </c>
      <c r="AM575" s="47">
        <v>705</v>
      </c>
      <c r="AN575" s="47">
        <v>264</v>
      </c>
      <c r="AO575" s="47">
        <v>351</v>
      </c>
      <c r="AP575" s="47">
        <v>272</v>
      </c>
      <c r="AQ575" s="47">
        <v>412</v>
      </c>
      <c r="AR575" s="47">
        <v>625</v>
      </c>
      <c r="AS575" s="47"/>
      <c r="AT575" s="47"/>
      <c r="AU575" s="47"/>
      <c r="AV575" s="47"/>
      <c r="AW575" s="47"/>
      <c r="AX575" s="47"/>
      <c r="AY575" s="47"/>
      <c r="AZ575" s="47"/>
      <c r="BA575" s="47"/>
      <c r="BB575" s="47"/>
      <c r="BC575" s="47"/>
      <c r="BD575" s="47"/>
      <c r="BE575" s="47"/>
      <c r="BF575" s="47"/>
    </row>
    <row r="576" spans="1:58" hidden="1">
      <c r="A576" s="46" t="s">
        <v>289</v>
      </c>
      <c r="B576" s="46" t="s">
        <v>67</v>
      </c>
      <c r="C576" s="47">
        <v>2522</v>
      </c>
      <c r="D576" s="47">
        <v>3431</v>
      </c>
      <c r="E576" s="47">
        <v>3523</v>
      </c>
      <c r="F576" s="47">
        <v>3026</v>
      </c>
      <c r="G576" s="47">
        <v>3342</v>
      </c>
      <c r="H576" s="47">
        <v>3394</v>
      </c>
      <c r="I576" s="47">
        <v>2738</v>
      </c>
      <c r="J576" s="47">
        <v>2157</v>
      </c>
      <c r="K576" s="47">
        <v>999</v>
      </c>
      <c r="L576" s="47">
        <v>1328</v>
      </c>
      <c r="M576" s="47">
        <v>978</v>
      </c>
      <c r="N576" s="47">
        <v>1322</v>
      </c>
      <c r="O576" s="47">
        <v>1731</v>
      </c>
      <c r="P576" s="47">
        <v>2799</v>
      </c>
      <c r="Q576" s="85">
        <v>19.22</v>
      </c>
      <c r="R576" s="85">
        <v>15.25</v>
      </c>
      <c r="S576" s="85">
        <v>19.309999999999999</v>
      </c>
      <c r="T576" s="85">
        <v>21.39</v>
      </c>
      <c r="U576" s="85">
        <v>20.95</v>
      </c>
      <c r="V576" s="85">
        <v>19.72</v>
      </c>
      <c r="W576" s="85">
        <v>22.68</v>
      </c>
      <c r="X576" s="85">
        <v>21.36</v>
      </c>
      <c r="Y576" s="85">
        <v>21.6</v>
      </c>
      <c r="Z576" s="85">
        <v>15.93</v>
      </c>
      <c r="AA576" s="85">
        <v>18.18</v>
      </c>
      <c r="AB576" s="85">
        <v>23.19</v>
      </c>
      <c r="AC576" s="85">
        <v>20.260000000000002</v>
      </c>
      <c r="AD576" s="85">
        <v>20.100000000000001</v>
      </c>
      <c r="AE576" s="47">
        <v>48476</v>
      </c>
      <c r="AF576" s="47">
        <v>52323</v>
      </c>
      <c r="AG576" s="47">
        <v>68019</v>
      </c>
      <c r="AH576" s="47">
        <v>64738</v>
      </c>
      <c r="AI576" s="47">
        <v>70008</v>
      </c>
      <c r="AJ576" s="47">
        <v>66935</v>
      </c>
      <c r="AK576" s="47">
        <v>62085</v>
      </c>
      <c r="AL576" s="47">
        <v>46075</v>
      </c>
      <c r="AM576" s="47">
        <v>21580</v>
      </c>
      <c r="AN576" s="47">
        <v>21157</v>
      </c>
      <c r="AO576" s="47">
        <v>17779</v>
      </c>
      <c r="AP576" s="47">
        <v>30661</v>
      </c>
      <c r="AQ576" s="47">
        <v>35062</v>
      </c>
      <c r="AR576" s="47">
        <v>56260</v>
      </c>
      <c r="AS576" s="47"/>
      <c r="AT576" s="47"/>
      <c r="AU576" s="47"/>
      <c r="AV576" s="47"/>
      <c r="AW576" s="47"/>
      <c r="AX576" s="47"/>
      <c r="AY576" s="47"/>
      <c r="AZ576" s="47"/>
      <c r="BA576" s="47"/>
      <c r="BB576" s="47"/>
      <c r="BC576" s="47"/>
      <c r="BD576" s="47"/>
      <c r="BE576" s="47"/>
      <c r="BF576" s="47"/>
    </row>
    <row r="577" spans="1:58" hidden="1">
      <c r="A577" s="46" t="s">
        <v>289</v>
      </c>
      <c r="B577" s="46" t="s">
        <v>68</v>
      </c>
      <c r="C577" s="47">
        <v>6458</v>
      </c>
      <c r="D577" s="47">
        <v>7623</v>
      </c>
      <c r="E577" s="47">
        <v>7499</v>
      </c>
      <c r="F577" s="47">
        <v>8356</v>
      </c>
      <c r="G577" s="47">
        <v>7545</v>
      </c>
      <c r="H577" s="47">
        <v>8850</v>
      </c>
      <c r="I577" s="47">
        <v>8354</v>
      </c>
      <c r="J577" s="47">
        <v>8098</v>
      </c>
      <c r="K577" s="47">
        <v>7662</v>
      </c>
      <c r="L577" s="47">
        <v>8586</v>
      </c>
      <c r="M577" s="47">
        <v>7719</v>
      </c>
      <c r="N577" s="47">
        <v>5254</v>
      </c>
      <c r="O577" s="47">
        <v>6250</v>
      </c>
      <c r="P577" s="47">
        <v>5105</v>
      </c>
      <c r="Q577" s="85">
        <v>16.010000000000002</v>
      </c>
      <c r="R577" s="85">
        <v>20.21</v>
      </c>
      <c r="S577" s="85">
        <v>17.329999999999998</v>
      </c>
      <c r="T577" s="85">
        <v>18.77</v>
      </c>
      <c r="U577" s="85">
        <v>17.100000000000001</v>
      </c>
      <c r="V577" s="85">
        <v>18.27</v>
      </c>
      <c r="W577" s="85">
        <v>21.02</v>
      </c>
      <c r="X577" s="85">
        <v>18.559999999999999</v>
      </c>
      <c r="Y577" s="85">
        <v>19.66</v>
      </c>
      <c r="Z577" s="85">
        <v>16.899999999999999</v>
      </c>
      <c r="AA577" s="85">
        <v>17.489999999999998</v>
      </c>
      <c r="AB577" s="85">
        <v>17.3</v>
      </c>
      <c r="AC577" s="85">
        <v>12.03</v>
      </c>
      <c r="AD577" s="85">
        <v>16.52</v>
      </c>
      <c r="AE577" s="47">
        <v>103392</v>
      </c>
      <c r="AF577" s="47">
        <v>154031</v>
      </c>
      <c r="AG577" s="47">
        <v>129946</v>
      </c>
      <c r="AH577" s="47">
        <v>156872</v>
      </c>
      <c r="AI577" s="47">
        <v>129050</v>
      </c>
      <c r="AJ577" s="47">
        <v>161718</v>
      </c>
      <c r="AK577" s="47">
        <v>175628</v>
      </c>
      <c r="AL577" s="47">
        <v>150317</v>
      </c>
      <c r="AM577" s="47">
        <v>150600</v>
      </c>
      <c r="AN577" s="47">
        <v>145087</v>
      </c>
      <c r="AO577" s="47">
        <v>135026</v>
      </c>
      <c r="AP577" s="47">
        <v>90871</v>
      </c>
      <c r="AQ577" s="47">
        <v>75170</v>
      </c>
      <c r="AR577" s="47">
        <v>84359</v>
      </c>
      <c r="AS577" s="47"/>
      <c r="AT577" s="47"/>
      <c r="AU577" s="47"/>
      <c r="AV577" s="47"/>
      <c r="AW577" s="47"/>
      <c r="AX577" s="47"/>
      <c r="AY577" s="47"/>
      <c r="AZ577" s="47"/>
      <c r="BA577" s="47"/>
      <c r="BB577" s="47"/>
      <c r="BC577" s="47"/>
      <c r="BD577" s="47"/>
      <c r="BE577" s="47"/>
      <c r="BF577" s="47"/>
    </row>
    <row r="578" spans="1:58" hidden="1">
      <c r="A578" s="46" t="s">
        <v>289</v>
      </c>
      <c r="B578" s="46" t="s">
        <v>69</v>
      </c>
      <c r="C578" s="47">
        <v>360</v>
      </c>
      <c r="D578" s="47">
        <v>273</v>
      </c>
      <c r="E578" s="47">
        <v>305</v>
      </c>
      <c r="F578" s="47">
        <v>378</v>
      </c>
      <c r="G578" s="47">
        <v>559</v>
      </c>
      <c r="H578" s="47">
        <v>1457</v>
      </c>
      <c r="I578" s="47">
        <v>1446</v>
      </c>
      <c r="J578" s="47">
        <v>624</v>
      </c>
      <c r="K578" s="47">
        <v>597</v>
      </c>
      <c r="L578" s="47">
        <v>663</v>
      </c>
      <c r="M578" s="47">
        <v>574</v>
      </c>
      <c r="N578" s="47">
        <v>556</v>
      </c>
      <c r="O578" s="47">
        <v>625</v>
      </c>
      <c r="P578" s="47">
        <v>488</v>
      </c>
      <c r="Q578" s="85">
        <v>18.98</v>
      </c>
      <c r="R578" s="85">
        <v>22.81</v>
      </c>
      <c r="S578" s="85">
        <v>26.73</v>
      </c>
      <c r="T578" s="85">
        <v>27.69</v>
      </c>
      <c r="U578" s="85">
        <v>24.03</v>
      </c>
      <c r="V578" s="85">
        <v>26.74</v>
      </c>
      <c r="W578" s="85">
        <v>24.43</v>
      </c>
      <c r="X578" s="85">
        <v>27.2</v>
      </c>
      <c r="Y578" s="85">
        <v>25.25</v>
      </c>
      <c r="Z578" s="85">
        <v>23.89</v>
      </c>
      <c r="AA578" s="85">
        <v>24.66</v>
      </c>
      <c r="AB578" s="85">
        <v>25.71</v>
      </c>
      <c r="AC578" s="85">
        <v>25.62</v>
      </c>
      <c r="AD578" s="85">
        <v>23.34</v>
      </c>
      <c r="AE578" s="47">
        <v>6832</v>
      </c>
      <c r="AF578" s="47">
        <v>6228</v>
      </c>
      <c r="AG578" s="47">
        <v>8152</v>
      </c>
      <c r="AH578" s="47">
        <v>10467</v>
      </c>
      <c r="AI578" s="47">
        <v>13431</v>
      </c>
      <c r="AJ578" s="47">
        <v>38962</v>
      </c>
      <c r="AK578" s="47">
        <v>35326</v>
      </c>
      <c r="AL578" s="47">
        <v>16973</v>
      </c>
      <c r="AM578" s="47">
        <v>15074</v>
      </c>
      <c r="AN578" s="47">
        <v>15837</v>
      </c>
      <c r="AO578" s="47">
        <v>14152</v>
      </c>
      <c r="AP578" s="47">
        <v>14293</v>
      </c>
      <c r="AQ578" s="47">
        <v>16010</v>
      </c>
      <c r="AR578" s="47">
        <v>11388</v>
      </c>
      <c r="AS578" s="47"/>
      <c r="AT578" s="47"/>
      <c r="AU578" s="47"/>
      <c r="AV578" s="47"/>
      <c r="AW578" s="47"/>
      <c r="AX578" s="47"/>
      <c r="AY578" s="47"/>
      <c r="AZ578" s="47"/>
      <c r="BA578" s="47"/>
      <c r="BB578" s="47"/>
      <c r="BC578" s="47"/>
      <c r="BD578" s="47"/>
      <c r="BE578" s="47"/>
      <c r="BF578" s="47"/>
    </row>
    <row r="579" spans="1:58" hidden="1">
      <c r="A579" s="46" t="s">
        <v>289</v>
      </c>
      <c r="B579" s="46" t="s">
        <v>70</v>
      </c>
      <c r="C579" s="47">
        <v>53</v>
      </c>
      <c r="D579" s="47">
        <v>46</v>
      </c>
      <c r="E579" s="47">
        <v>21</v>
      </c>
      <c r="F579" s="47">
        <v>24</v>
      </c>
      <c r="G579" s="47">
        <v>30</v>
      </c>
      <c r="H579" s="47">
        <v>22</v>
      </c>
      <c r="I579" s="47">
        <v>30</v>
      </c>
      <c r="J579" s="47">
        <v>30</v>
      </c>
      <c r="K579" s="47">
        <v>6</v>
      </c>
      <c r="L579" s="47">
        <v>15</v>
      </c>
      <c r="M579" s="47">
        <v>18</v>
      </c>
      <c r="N579" s="47">
        <v>3</v>
      </c>
      <c r="O579" s="47">
        <v>22</v>
      </c>
      <c r="P579" s="47">
        <v>35</v>
      </c>
      <c r="Q579" s="85">
        <v>12.74</v>
      </c>
      <c r="R579" s="85">
        <v>11</v>
      </c>
      <c r="S579" s="85">
        <v>11</v>
      </c>
      <c r="T579" s="85">
        <v>11</v>
      </c>
      <c r="U579" s="85">
        <v>13.33</v>
      </c>
      <c r="V579" s="85">
        <v>11</v>
      </c>
      <c r="W579" s="85">
        <v>20.2</v>
      </c>
      <c r="X579" s="85">
        <v>20.2</v>
      </c>
      <c r="Y579" s="85">
        <v>15.33</v>
      </c>
      <c r="Z579" s="85">
        <v>19.329999999999998</v>
      </c>
      <c r="AA579" s="85">
        <v>20.329999999999998</v>
      </c>
      <c r="AB579" s="85">
        <v>18</v>
      </c>
      <c r="AC579" s="85">
        <v>17.18</v>
      </c>
      <c r="AD579" s="85">
        <v>15.97</v>
      </c>
      <c r="AE579" s="47">
        <v>675</v>
      </c>
      <c r="AF579" s="47">
        <v>506</v>
      </c>
      <c r="AG579" s="47">
        <v>231</v>
      </c>
      <c r="AH579" s="47">
        <v>264</v>
      </c>
      <c r="AI579" s="47">
        <v>400</v>
      </c>
      <c r="AJ579" s="47">
        <v>242</v>
      </c>
      <c r="AK579" s="47">
        <v>606</v>
      </c>
      <c r="AL579" s="47">
        <v>606</v>
      </c>
      <c r="AM579" s="47">
        <v>92</v>
      </c>
      <c r="AN579" s="47">
        <v>290</v>
      </c>
      <c r="AO579" s="47">
        <v>366</v>
      </c>
      <c r="AP579" s="47">
        <v>54</v>
      </c>
      <c r="AQ579" s="47">
        <v>378</v>
      </c>
      <c r="AR579" s="47">
        <v>559</v>
      </c>
      <c r="AS579" s="47"/>
      <c r="AT579" s="47"/>
      <c r="AU579" s="47"/>
      <c r="AV579" s="47"/>
      <c r="AW579" s="47"/>
      <c r="AX579" s="47"/>
      <c r="AY579" s="47"/>
      <c r="AZ579" s="47"/>
      <c r="BA579" s="47"/>
      <c r="BB579" s="47"/>
      <c r="BC579" s="47"/>
      <c r="BD579" s="47"/>
      <c r="BE579" s="47"/>
      <c r="BF579" s="47"/>
    </row>
    <row r="580" spans="1:58" hidden="1">
      <c r="A580" s="46" t="s">
        <v>289</v>
      </c>
      <c r="B580" s="46" t="s">
        <v>71</v>
      </c>
      <c r="C580" s="47">
        <v>168</v>
      </c>
      <c r="D580" s="47">
        <v>72</v>
      </c>
      <c r="E580" s="47">
        <v>78</v>
      </c>
      <c r="F580" s="47">
        <v>90</v>
      </c>
      <c r="G580" s="47">
        <v>62</v>
      </c>
      <c r="H580" s="47">
        <v>84</v>
      </c>
      <c r="I580" s="47">
        <v>91</v>
      </c>
      <c r="J580" s="47">
        <v>120</v>
      </c>
      <c r="K580" s="47">
        <v>127</v>
      </c>
      <c r="L580" s="47">
        <v>267</v>
      </c>
      <c r="M580" s="47">
        <v>225</v>
      </c>
      <c r="N580" s="47">
        <v>183</v>
      </c>
      <c r="O580" s="47">
        <v>267</v>
      </c>
      <c r="P580" s="47">
        <v>210</v>
      </c>
      <c r="Q580" s="85"/>
      <c r="R580" s="85"/>
      <c r="S580" s="85"/>
      <c r="T580" s="85"/>
      <c r="U580" s="85"/>
      <c r="V580" s="85"/>
      <c r="W580" s="85"/>
      <c r="X580" s="85"/>
      <c r="Y580" s="85"/>
      <c r="Z580" s="85"/>
      <c r="AA580" s="85"/>
      <c r="AB580" s="85"/>
      <c r="AC580" s="85"/>
      <c r="AD580" s="85"/>
      <c r="AE580" s="47">
        <v>1906</v>
      </c>
      <c r="AF580" s="47">
        <v>974</v>
      </c>
      <c r="AG580" s="47">
        <v>1091</v>
      </c>
      <c r="AH580" s="47">
        <v>1669</v>
      </c>
      <c r="AI580" s="47">
        <v>1013</v>
      </c>
      <c r="AJ580" s="47">
        <v>1575</v>
      </c>
      <c r="AK580" s="47">
        <v>1515</v>
      </c>
      <c r="AL580" s="47">
        <v>1980</v>
      </c>
      <c r="AM580" s="47">
        <v>2181</v>
      </c>
      <c r="AN580" s="47">
        <v>4398</v>
      </c>
      <c r="AO580" s="47">
        <v>3974</v>
      </c>
      <c r="AP580" s="47">
        <v>3298</v>
      </c>
      <c r="AQ580" s="47">
        <v>4750</v>
      </c>
      <c r="AR580" s="47">
        <v>3217</v>
      </c>
      <c r="AS580" s="47"/>
      <c r="AT580" s="47"/>
      <c r="AU580" s="47"/>
      <c r="AV580" s="47"/>
      <c r="AW580" s="47"/>
      <c r="AX580" s="47"/>
      <c r="AY580" s="47"/>
      <c r="AZ580" s="47"/>
      <c r="BA580" s="47"/>
      <c r="BB580" s="47"/>
      <c r="BC580" s="47"/>
      <c r="BD580" s="47"/>
      <c r="BE580" s="47"/>
      <c r="BF580" s="47"/>
    </row>
    <row r="581" spans="1:58" hidden="1">
      <c r="A581" s="46" t="s">
        <v>289</v>
      </c>
      <c r="B581" s="46" t="s">
        <v>72</v>
      </c>
      <c r="C581" s="47">
        <v>9561</v>
      </c>
      <c r="D581" s="47">
        <v>11445</v>
      </c>
      <c r="E581" s="47">
        <v>11426</v>
      </c>
      <c r="F581" s="47">
        <v>11874</v>
      </c>
      <c r="G581" s="47">
        <v>11538</v>
      </c>
      <c r="H581" s="47">
        <v>13807</v>
      </c>
      <c r="I581" s="47">
        <v>12659</v>
      </c>
      <c r="J581" s="47">
        <v>11029</v>
      </c>
      <c r="K581" s="47">
        <v>9391</v>
      </c>
      <c r="L581" s="47">
        <v>10859</v>
      </c>
      <c r="M581" s="47">
        <v>9514</v>
      </c>
      <c r="N581" s="47">
        <v>7318</v>
      </c>
      <c r="O581" s="47">
        <v>8895</v>
      </c>
      <c r="P581" s="47">
        <v>8637</v>
      </c>
      <c r="Q581" s="85">
        <v>16.87</v>
      </c>
      <c r="R581" s="85">
        <v>18.7</v>
      </c>
      <c r="S581" s="85">
        <v>18.149999999999999</v>
      </c>
      <c r="T581" s="85">
        <v>19.71</v>
      </c>
      <c r="U581" s="85">
        <v>18.54</v>
      </c>
      <c r="V581" s="85">
        <v>19.510000000000002</v>
      </c>
      <c r="W581" s="85">
        <v>21.74</v>
      </c>
      <c r="X581" s="85">
        <v>19.579999999999998</v>
      </c>
      <c r="Y581" s="85">
        <v>20.18</v>
      </c>
      <c r="Z581" s="85">
        <v>17.2</v>
      </c>
      <c r="AA581" s="85">
        <v>18</v>
      </c>
      <c r="AB581" s="85">
        <v>19.02</v>
      </c>
      <c r="AC581" s="85">
        <v>14.77</v>
      </c>
      <c r="AD581" s="85">
        <v>18.04</v>
      </c>
      <c r="AE581" s="47">
        <v>161281</v>
      </c>
      <c r="AF581" s="47">
        <v>214062</v>
      </c>
      <c r="AG581" s="47">
        <v>207439</v>
      </c>
      <c r="AH581" s="47">
        <v>234010</v>
      </c>
      <c r="AI581" s="47">
        <v>213902</v>
      </c>
      <c r="AJ581" s="47">
        <v>269432</v>
      </c>
      <c r="AK581" s="47">
        <v>275160</v>
      </c>
      <c r="AL581" s="47">
        <v>215951</v>
      </c>
      <c r="AM581" s="47">
        <v>189527</v>
      </c>
      <c r="AN581" s="47">
        <v>186769</v>
      </c>
      <c r="AO581" s="47">
        <v>171297</v>
      </c>
      <c r="AP581" s="47">
        <v>139177</v>
      </c>
      <c r="AQ581" s="47">
        <v>131370</v>
      </c>
      <c r="AR581" s="47">
        <v>155783</v>
      </c>
      <c r="AS581" s="47"/>
      <c r="AT581" s="47"/>
      <c r="AU581" s="47"/>
      <c r="AV581" s="47"/>
      <c r="AW581" s="47"/>
      <c r="AX581" s="47"/>
      <c r="AY581" s="47"/>
      <c r="AZ581" s="47"/>
      <c r="BA581" s="47"/>
      <c r="BB581" s="47"/>
      <c r="BC581" s="47"/>
      <c r="BD581" s="47"/>
      <c r="BE581" s="47"/>
      <c r="BF581" s="47"/>
    </row>
    <row r="582" spans="1:58" hidden="1">
      <c r="A582" s="46" t="s">
        <v>289</v>
      </c>
      <c r="B582" s="46" t="s">
        <v>73</v>
      </c>
      <c r="C582" s="47">
        <v>0</v>
      </c>
      <c r="D582" s="47">
        <v>0</v>
      </c>
      <c r="E582" s="47">
        <v>0</v>
      </c>
      <c r="F582" s="47">
        <v>0</v>
      </c>
      <c r="G582" s="47">
        <v>0</v>
      </c>
      <c r="H582" s="47">
        <v>0</v>
      </c>
      <c r="I582" s="47">
        <v>0</v>
      </c>
      <c r="J582" s="47">
        <v>0</v>
      </c>
      <c r="K582" s="47">
        <v>0</v>
      </c>
      <c r="L582" s="47">
        <v>0</v>
      </c>
      <c r="M582" s="47">
        <v>0</v>
      </c>
      <c r="N582" s="47">
        <v>0</v>
      </c>
      <c r="O582" s="47">
        <v>0</v>
      </c>
      <c r="P582" s="47">
        <v>0</v>
      </c>
      <c r="Q582" s="85"/>
      <c r="R582" s="85"/>
      <c r="S582" s="85"/>
      <c r="T582" s="85"/>
      <c r="U582" s="85"/>
      <c r="V582" s="85"/>
      <c r="W582" s="85"/>
      <c r="X582" s="85"/>
      <c r="Y582" s="85"/>
      <c r="Z582" s="85"/>
      <c r="AA582" s="85"/>
      <c r="AB582" s="85"/>
      <c r="AC582" s="85"/>
      <c r="AD582" s="85"/>
      <c r="AE582" s="47">
        <v>0</v>
      </c>
      <c r="AF582" s="47">
        <v>0</v>
      </c>
      <c r="AG582" s="47">
        <v>0</v>
      </c>
      <c r="AH582" s="47">
        <v>0</v>
      </c>
      <c r="AI582" s="47">
        <v>0</v>
      </c>
      <c r="AJ582" s="47">
        <v>0</v>
      </c>
      <c r="AK582" s="47">
        <v>0</v>
      </c>
      <c r="AL582" s="47">
        <v>0</v>
      </c>
      <c r="AM582" s="47">
        <v>0</v>
      </c>
      <c r="AN582" s="47">
        <v>0</v>
      </c>
      <c r="AO582" s="47">
        <v>0</v>
      </c>
      <c r="AP582" s="47">
        <v>0</v>
      </c>
      <c r="AQ582" s="47">
        <v>0</v>
      </c>
      <c r="AR582" s="47">
        <v>0</v>
      </c>
      <c r="AS582" s="47"/>
      <c r="AT582" s="47"/>
      <c r="AU582" s="47"/>
      <c r="AV582" s="47"/>
      <c r="AW582" s="47"/>
      <c r="AX582" s="47"/>
      <c r="AY582" s="47"/>
      <c r="AZ582" s="47"/>
      <c r="BA582" s="47"/>
      <c r="BB582" s="47"/>
      <c r="BC582" s="47"/>
      <c r="BD582" s="47"/>
      <c r="BE582" s="47"/>
      <c r="BF582" s="47"/>
    </row>
    <row r="583" spans="1:58" hidden="1">
      <c r="A583" s="46" t="s">
        <v>289</v>
      </c>
      <c r="B583" s="46" t="s">
        <v>74</v>
      </c>
      <c r="C583" s="47">
        <v>278</v>
      </c>
      <c r="D583" s="47">
        <v>255</v>
      </c>
      <c r="E583" s="47">
        <v>266</v>
      </c>
      <c r="F583" s="47">
        <v>348</v>
      </c>
      <c r="G583" s="47">
        <v>379</v>
      </c>
      <c r="H583" s="47">
        <v>429</v>
      </c>
      <c r="I583" s="47">
        <v>492</v>
      </c>
      <c r="J583" s="47">
        <v>495</v>
      </c>
      <c r="K583" s="47">
        <v>164</v>
      </c>
      <c r="L583" s="47">
        <v>194</v>
      </c>
      <c r="M583" s="47">
        <v>105</v>
      </c>
      <c r="N583" s="47">
        <v>134</v>
      </c>
      <c r="O583" s="47">
        <v>151</v>
      </c>
      <c r="P583" s="47">
        <v>248</v>
      </c>
      <c r="Q583" s="85">
        <v>27.47</v>
      </c>
      <c r="R583" s="85">
        <v>27</v>
      </c>
      <c r="S583" s="85">
        <v>27</v>
      </c>
      <c r="T583" s="85">
        <v>27</v>
      </c>
      <c r="U583" s="85">
        <v>26.91</v>
      </c>
      <c r="V583" s="85">
        <v>22.79</v>
      </c>
      <c r="W583" s="85">
        <v>26.96</v>
      </c>
      <c r="X583" s="85">
        <v>26.92</v>
      </c>
      <c r="Y583" s="85">
        <v>26.76</v>
      </c>
      <c r="Z583" s="85">
        <v>26.82</v>
      </c>
      <c r="AA583" s="85">
        <v>26.7</v>
      </c>
      <c r="AB583" s="85">
        <v>26.74</v>
      </c>
      <c r="AC583" s="85">
        <v>26.19</v>
      </c>
      <c r="AD583" s="85">
        <v>19.98</v>
      </c>
      <c r="AE583" s="47">
        <v>7637</v>
      </c>
      <c r="AF583" s="47">
        <v>6885</v>
      </c>
      <c r="AG583" s="47">
        <v>7182</v>
      </c>
      <c r="AH583" s="47">
        <v>9396</v>
      </c>
      <c r="AI583" s="47">
        <v>10199</v>
      </c>
      <c r="AJ583" s="47">
        <v>9775</v>
      </c>
      <c r="AK583" s="47">
        <v>13265</v>
      </c>
      <c r="AL583" s="47">
        <v>13325</v>
      </c>
      <c r="AM583" s="47">
        <v>4389</v>
      </c>
      <c r="AN583" s="47">
        <v>5204</v>
      </c>
      <c r="AO583" s="47">
        <v>2803</v>
      </c>
      <c r="AP583" s="47">
        <v>3583</v>
      </c>
      <c r="AQ583" s="47">
        <v>3954</v>
      </c>
      <c r="AR583" s="47">
        <v>4956</v>
      </c>
      <c r="AS583" s="47"/>
      <c r="AT583" s="47"/>
      <c r="AU583" s="47"/>
      <c r="AV583" s="47"/>
      <c r="AW583" s="47"/>
      <c r="AX583" s="47"/>
      <c r="AY583" s="47"/>
      <c r="AZ583" s="47"/>
      <c r="BA583" s="47"/>
      <c r="BB583" s="47"/>
      <c r="BC583" s="47"/>
      <c r="BD583" s="47"/>
      <c r="BE583" s="47"/>
      <c r="BF583" s="47"/>
    </row>
    <row r="584" spans="1:58" hidden="1">
      <c r="A584" s="46" t="s">
        <v>289</v>
      </c>
      <c r="B584" s="46" t="s">
        <v>75</v>
      </c>
      <c r="C584" s="47">
        <v>12</v>
      </c>
      <c r="D584" s="47">
        <v>12</v>
      </c>
      <c r="E584" s="47">
        <v>13</v>
      </c>
      <c r="F584" s="47">
        <v>15</v>
      </c>
      <c r="G584" s="47">
        <v>16</v>
      </c>
      <c r="H584" s="47">
        <v>17</v>
      </c>
      <c r="I584" s="47">
        <v>15</v>
      </c>
      <c r="J584" s="47">
        <v>21</v>
      </c>
      <c r="K584" s="47">
        <v>22</v>
      </c>
      <c r="L584" s="47">
        <v>22</v>
      </c>
      <c r="M584" s="47">
        <v>43</v>
      </c>
      <c r="N584" s="47">
        <v>41</v>
      </c>
      <c r="O584" s="47">
        <v>40</v>
      </c>
      <c r="P584" s="47">
        <v>48</v>
      </c>
      <c r="Q584" s="85">
        <v>19.170000000000002</v>
      </c>
      <c r="R584" s="85">
        <v>17.5</v>
      </c>
      <c r="S584" s="85">
        <v>17.38</v>
      </c>
      <c r="T584" s="85">
        <v>15.4</v>
      </c>
      <c r="U584" s="85">
        <v>15.38</v>
      </c>
      <c r="V584" s="85">
        <v>16.940000000000001</v>
      </c>
      <c r="W584" s="85">
        <v>16.13</v>
      </c>
      <c r="X584" s="85">
        <v>18.62</v>
      </c>
      <c r="Y584" s="85">
        <v>17.59</v>
      </c>
      <c r="Z584" s="85">
        <v>12.59</v>
      </c>
      <c r="AA584" s="85">
        <v>13.65</v>
      </c>
      <c r="AB584" s="85">
        <v>13.71</v>
      </c>
      <c r="AC584" s="85">
        <v>10.8</v>
      </c>
      <c r="AD584" s="85">
        <v>14.33</v>
      </c>
      <c r="AE584" s="47">
        <v>230</v>
      </c>
      <c r="AF584" s="47">
        <v>210</v>
      </c>
      <c r="AG584" s="47">
        <v>226</v>
      </c>
      <c r="AH584" s="47">
        <v>231</v>
      </c>
      <c r="AI584" s="47">
        <v>246</v>
      </c>
      <c r="AJ584" s="47">
        <v>288</v>
      </c>
      <c r="AK584" s="47">
        <v>242</v>
      </c>
      <c r="AL584" s="47">
        <v>391</v>
      </c>
      <c r="AM584" s="47">
        <v>387</v>
      </c>
      <c r="AN584" s="47">
        <v>277</v>
      </c>
      <c r="AO584" s="47">
        <v>587</v>
      </c>
      <c r="AP584" s="47">
        <v>562</v>
      </c>
      <c r="AQ584" s="47">
        <v>432</v>
      </c>
      <c r="AR584" s="47">
        <v>688</v>
      </c>
      <c r="AS584" s="47"/>
      <c r="AT584" s="47"/>
      <c r="AU584" s="47"/>
      <c r="AV584" s="47"/>
      <c r="AW584" s="47"/>
      <c r="AX584" s="47"/>
      <c r="AY584" s="47"/>
      <c r="AZ584" s="47"/>
      <c r="BA584" s="47"/>
      <c r="BB584" s="47"/>
      <c r="BC584" s="47"/>
      <c r="BD584" s="47"/>
      <c r="BE584" s="47"/>
      <c r="BF584" s="47"/>
    </row>
    <row r="585" spans="1:58" hidden="1">
      <c r="A585" s="46" t="s">
        <v>289</v>
      </c>
      <c r="B585" s="46" t="s">
        <v>76</v>
      </c>
      <c r="C585" s="47">
        <v>0</v>
      </c>
      <c r="D585" s="47">
        <v>0</v>
      </c>
      <c r="E585" s="47">
        <v>0</v>
      </c>
      <c r="F585" s="47">
        <v>0</v>
      </c>
      <c r="G585" s="47">
        <v>0</v>
      </c>
      <c r="H585" s="47">
        <v>0</v>
      </c>
      <c r="I585" s="47">
        <v>0</v>
      </c>
      <c r="J585" s="47">
        <v>0</v>
      </c>
      <c r="K585" s="47">
        <v>0</v>
      </c>
      <c r="L585" s="47">
        <v>0</v>
      </c>
      <c r="M585" s="47">
        <v>221</v>
      </c>
      <c r="N585" s="47">
        <v>214</v>
      </c>
      <c r="O585" s="47">
        <v>179</v>
      </c>
      <c r="P585" s="47">
        <v>172</v>
      </c>
      <c r="Q585" s="85"/>
      <c r="R585" s="85"/>
      <c r="S585" s="85"/>
      <c r="T585" s="85"/>
      <c r="U585" s="85"/>
      <c r="V585" s="85"/>
      <c r="W585" s="85"/>
      <c r="X585" s="85"/>
      <c r="Y585" s="85"/>
      <c r="Z585" s="85"/>
      <c r="AA585" s="85">
        <v>12.68</v>
      </c>
      <c r="AB585" s="85">
        <v>10.47</v>
      </c>
      <c r="AC585" s="85">
        <v>15.58</v>
      </c>
      <c r="AD585" s="85">
        <v>18.27</v>
      </c>
      <c r="AE585" s="47">
        <v>0</v>
      </c>
      <c r="AF585" s="47">
        <v>0</v>
      </c>
      <c r="AG585" s="47">
        <v>0</v>
      </c>
      <c r="AH585" s="47">
        <v>0</v>
      </c>
      <c r="AI585" s="47">
        <v>0</v>
      </c>
      <c r="AJ585" s="47">
        <v>0</v>
      </c>
      <c r="AK585" s="47">
        <v>0</v>
      </c>
      <c r="AL585" s="47">
        <v>0</v>
      </c>
      <c r="AM585" s="47">
        <v>0</v>
      </c>
      <c r="AN585" s="47">
        <v>0</v>
      </c>
      <c r="AO585" s="47">
        <v>2802</v>
      </c>
      <c r="AP585" s="47">
        <v>2241</v>
      </c>
      <c r="AQ585" s="47">
        <v>2788</v>
      </c>
      <c r="AR585" s="47">
        <v>3143</v>
      </c>
      <c r="AS585" s="47"/>
      <c r="AT585" s="47"/>
      <c r="AU585" s="47"/>
      <c r="AV585" s="47"/>
      <c r="AW585" s="47"/>
      <c r="AX585" s="47"/>
      <c r="AY585" s="47"/>
      <c r="AZ585" s="47"/>
      <c r="BA585" s="47"/>
      <c r="BB585" s="47"/>
      <c r="BC585" s="47"/>
      <c r="BD585" s="47"/>
      <c r="BE585" s="47"/>
      <c r="BF585" s="47"/>
    </row>
    <row r="586" spans="1:58" hidden="1">
      <c r="A586" s="46" t="s">
        <v>289</v>
      </c>
      <c r="B586" s="46" t="s">
        <v>77</v>
      </c>
      <c r="C586" s="47">
        <v>2533</v>
      </c>
      <c r="D586" s="47">
        <v>2107</v>
      </c>
      <c r="E586" s="47">
        <v>1198</v>
      </c>
      <c r="F586" s="47">
        <v>1296</v>
      </c>
      <c r="G586" s="47">
        <v>1542</v>
      </c>
      <c r="H586" s="47">
        <v>1869</v>
      </c>
      <c r="I586" s="47">
        <v>1640</v>
      </c>
      <c r="J586" s="47">
        <v>1532</v>
      </c>
      <c r="K586" s="47">
        <v>815</v>
      </c>
      <c r="L586" s="47">
        <v>616</v>
      </c>
      <c r="M586" s="47">
        <v>314</v>
      </c>
      <c r="N586" s="47">
        <v>302</v>
      </c>
      <c r="O586" s="47">
        <v>257</v>
      </c>
      <c r="P586" s="47">
        <v>246</v>
      </c>
      <c r="Q586" s="85">
        <v>21.1</v>
      </c>
      <c r="R586" s="85">
        <v>22.14</v>
      </c>
      <c r="S586" s="85">
        <v>24.5</v>
      </c>
      <c r="T586" s="85">
        <v>24.67</v>
      </c>
      <c r="U586" s="85">
        <v>24.72</v>
      </c>
      <c r="V586" s="85">
        <v>17.14</v>
      </c>
      <c r="W586" s="85">
        <v>18.23</v>
      </c>
      <c r="X586" s="85">
        <v>19.25</v>
      </c>
      <c r="Y586" s="85">
        <v>18.5</v>
      </c>
      <c r="Z586" s="85">
        <v>16.989999999999998</v>
      </c>
      <c r="AA586" s="85">
        <v>22.87</v>
      </c>
      <c r="AB586" s="85">
        <v>20.83</v>
      </c>
      <c r="AC586" s="85">
        <v>15.66</v>
      </c>
      <c r="AD586" s="85">
        <v>19.09</v>
      </c>
      <c r="AE586" s="47">
        <v>53450</v>
      </c>
      <c r="AF586" s="47">
        <v>46640</v>
      </c>
      <c r="AG586" s="47">
        <v>29356</v>
      </c>
      <c r="AH586" s="47">
        <v>31969</v>
      </c>
      <c r="AI586" s="47">
        <v>38112</v>
      </c>
      <c r="AJ586" s="47">
        <v>32034</v>
      </c>
      <c r="AK586" s="47">
        <v>29897</v>
      </c>
      <c r="AL586" s="47">
        <v>29487</v>
      </c>
      <c r="AM586" s="47">
        <v>15080</v>
      </c>
      <c r="AN586" s="47">
        <v>10464</v>
      </c>
      <c r="AO586" s="47">
        <v>7182</v>
      </c>
      <c r="AP586" s="47">
        <v>6292</v>
      </c>
      <c r="AQ586" s="47">
        <v>4024</v>
      </c>
      <c r="AR586" s="47">
        <v>4695</v>
      </c>
      <c r="AS586" s="47"/>
      <c r="AT586" s="47"/>
      <c r="AU586" s="47"/>
      <c r="AV586" s="47"/>
      <c r="AW586" s="47"/>
      <c r="AX586" s="47"/>
      <c r="AY586" s="47"/>
      <c r="AZ586" s="47"/>
      <c r="BA586" s="47"/>
      <c r="BB586" s="47"/>
      <c r="BC586" s="47"/>
      <c r="BD586" s="47"/>
      <c r="BE586" s="47"/>
      <c r="BF586" s="47"/>
    </row>
    <row r="587" spans="1:58" hidden="1">
      <c r="A587" s="46" t="s">
        <v>289</v>
      </c>
      <c r="B587" s="46" t="s">
        <v>78</v>
      </c>
      <c r="C587" s="47">
        <v>0</v>
      </c>
      <c r="D587" s="47">
        <v>0</v>
      </c>
      <c r="E587" s="47">
        <v>0</v>
      </c>
      <c r="F587" s="47">
        <v>0</v>
      </c>
      <c r="G587" s="47">
        <v>0</v>
      </c>
      <c r="H587" s="47">
        <v>0</v>
      </c>
      <c r="I587" s="47">
        <v>0</v>
      </c>
      <c r="J587" s="47">
        <v>0</v>
      </c>
      <c r="K587" s="47">
        <v>0</v>
      </c>
      <c r="L587" s="47">
        <v>0</v>
      </c>
      <c r="M587" s="47">
        <v>0</v>
      </c>
      <c r="N587" s="47">
        <v>42</v>
      </c>
      <c r="O587" s="47">
        <v>56</v>
      </c>
      <c r="P587" s="47">
        <v>168</v>
      </c>
      <c r="Q587" s="85"/>
      <c r="R587" s="85"/>
      <c r="S587" s="85"/>
      <c r="T587" s="85"/>
      <c r="U587" s="85"/>
      <c r="V587" s="85"/>
      <c r="W587" s="85"/>
      <c r="X587" s="85"/>
      <c r="Y587" s="85"/>
      <c r="Z587" s="85"/>
      <c r="AA587" s="85"/>
      <c r="AB587" s="85">
        <v>23.81</v>
      </c>
      <c r="AC587" s="85">
        <v>19.71</v>
      </c>
      <c r="AD587" s="85">
        <v>25.33</v>
      </c>
      <c r="AE587" s="47">
        <v>0</v>
      </c>
      <c r="AF587" s="47">
        <v>0</v>
      </c>
      <c r="AG587" s="47">
        <v>0</v>
      </c>
      <c r="AH587" s="47">
        <v>0</v>
      </c>
      <c r="AI587" s="47">
        <v>0</v>
      </c>
      <c r="AJ587" s="47">
        <v>0</v>
      </c>
      <c r="AK587" s="47">
        <v>0</v>
      </c>
      <c r="AL587" s="47">
        <v>0</v>
      </c>
      <c r="AM587" s="47">
        <v>0</v>
      </c>
      <c r="AN587" s="47">
        <v>0</v>
      </c>
      <c r="AO587" s="47">
        <v>0</v>
      </c>
      <c r="AP587" s="47">
        <v>1000</v>
      </c>
      <c r="AQ587" s="47">
        <v>1104</v>
      </c>
      <c r="AR587" s="47">
        <v>4255</v>
      </c>
      <c r="AS587" s="47"/>
      <c r="AT587" s="47"/>
      <c r="AU587" s="47"/>
      <c r="AV587" s="47"/>
      <c r="AW587" s="47"/>
      <c r="AX587" s="47"/>
      <c r="AY587" s="47"/>
      <c r="AZ587" s="47"/>
      <c r="BA587" s="47"/>
      <c r="BB587" s="47"/>
      <c r="BC587" s="47"/>
      <c r="BD587" s="47"/>
      <c r="BE587" s="47"/>
      <c r="BF587" s="47"/>
    </row>
    <row r="588" spans="1:58" hidden="1">
      <c r="A588" s="46" t="s">
        <v>289</v>
      </c>
      <c r="B588" s="46" t="s">
        <v>79</v>
      </c>
      <c r="C588" s="47">
        <v>78</v>
      </c>
      <c r="D588" s="47">
        <v>121</v>
      </c>
      <c r="E588" s="47">
        <v>177</v>
      </c>
      <c r="F588" s="47">
        <v>201</v>
      </c>
      <c r="G588" s="47">
        <v>192</v>
      </c>
      <c r="H588" s="47">
        <v>200</v>
      </c>
      <c r="I588" s="47">
        <v>252</v>
      </c>
      <c r="J588" s="47">
        <v>460</v>
      </c>
      <c r="K588" s="47">
        <v>708</v>
      </c>
      <c r="L588" s="47">
        <v>797</v>
      </c>
      <c r="M588" s="47">
        <v>2292</v>
      </c>
      <c r="N588" s="47">
        <v>1893</v>
      </c>
      <c r="O588" s="47">
        <v>1897</v>
      </c>
      <c r="P588" s="47">
        <v>2388</v>
      </c>
      <c r="Q588" s="85">
        <v>17.18</v>
      </c>
      <c r="R588" s="85">
        <v>18.170000000000002</v>
      </c>
      <c r="S588" s="85">
        <v>16.690000000000001</v>
      </c>
      <c r="T588" s="85">
        <v>17.72</v>
      </c>
      <c r="U588" s="85">
        <v>17.84</v>
      </c>
      <c r="V588" s="85">
        <v>17.89</v>
      </c>
      <c r="W588" s="85">
        <v>18.25</v>
      </c>
      <c r="X588" s="85">
        <v>16.75</v>
      </c>
      <c r="Y588" s="85">
        <v>13.36</v>
      </c>
      <c r="Z588" s="85">
        <v>15.39</v>
      </c>
      <c r="AA588" s="85">
        <v>16.079999999999998</v>
      </c>
      <c r="AB588" s="85">
        <v>19.93</v>
      </c>
      <c r="AC588" s="85">
        <v>14.29</v>
      </c>
      <c r="AD588" s="85">
        <v>10.57</v>
      </c>
      <c r="AE588" s="47">
        <v>1340</v>
      </c>
      <c r="AF588" s="47">
        <v>2199</v>
      </c>
      <c r="AG588" s="47">
        <v>2954</v>
      </c>
      <c r="AH588" s="47">
        <v>3561</v>
      </c>
      <c r="AI588" s="47">
        <v>3426</v>
      </c>
      <c r="AJ588" s="47">
        <v>3578</v>
      </c>
      <c r="AK588" s="47">
        <v>4599</v>
      </c>
      <c r="AL588" s="47">
        <v>7704</v>
      </c>
      <c r="AM588" s="47">
        <v>9457</v>
      </c>
      <c r="AN588" s="47">
        <v>12268</v>
      </c>
      <c r="AO588" s="47">
        <v>36859</v>
      </c>
      <c r="AP588" s="47">
        <v>37725</v>
      </c>
      <c r="AQ588" s="47">
        <v>27114</v>
      </c>
      <c r="AR588" s="47">
        <v>25250</v>
      </c>
      <c r="AS588" s="47"/>
      <c r="AT588" s="47"/>
      <c r="AU588" s="47"/>
      <c r="AV588" s="47"/>
      <c r="AW588" s="47"/>
      <c r="AX588" s="47"/>
      <c r="AY588" s="47"/>
      <c r="AZ588" s="47"/>
      <c r="BA588" s="47"/>
      <c r="BB588" s="47"/>
      <c r="BC588" s="47"/>
      <c r="BD588" s="47"/>
      <c r="BE588" s="47"/>
      <c r="BF588" s="47"/>
    </row>
    <row r="589" spans="1:58" hidden="1">
      <c r="A589" s="46" t="s">
        <v>289</v>
      </c>
      <c r="B589" s="46" t="s">
        <v>80</v>
      </c>
      <c r="C589" s="47">
        <v>2</v>
      </c>
      <c r="D589" s="47">
        <v>0</v>
      </c>
      <c r="E589" s="47">
        <v>0</v>
      </c>
      <c r="F589" s="47">
        <v>2</v>
      </c>
      <c r="G589" s="47">
        <v>0</v>
      </c>
      <c r="H589" s="47">
        <v>0</v>
      </c>
      <c r="I589" s="47">
        <v>0</v>
      </c>
      <c r="J589" s="47">
        <v>0</v>
      </c>
      <c r="K589" s="47">
        <v>0</v>
      </c>
      <c r="L589" s="47">
        <v>0</v>
      </c>
      <c r="M589" s="47">
        <v>0</v>
      </c>
      <c r="N589" s="47">
        <v>0</v>
      </c>
      <c r="O589" s="47">
        <v>0</v>
      </c>
      <c r="P589" s="47">
        <v>0</v>
      </c>
      <c r="Q589" s="85">
        <v>25</v>
      </c>
      <c r="R589" s="85"/>
      <c r="S589" s="85"/>
      <c r="T589" s="85">
        <v>27</v>
      </c>
      <c r="U589" s="85"/>
      <c r="V589" s="85"/>
      <c r="W589" s="85"/>
      <c r="X589" s="85"/>
      <c r="Y589" s="85"/>
      <c r="Z589" s="85"/>
      <c r="AA589" s="85"/>
      <c r="AB589" s="85"/>
      <c r="AC589" s="85"/>
      <c r="AD589" s="85"/>
      <c r="AE589" s="47">
        <v>50</v>
      </c>
      <c r="AF589" s="47">
        <v>0</v>
      </c>
      <c r="AG589" s="47">
        <v>0</v>
      </c>
      <c r="AH589" s="47">
        <v>54</v>
      </c>
      <c r="AI589" s="47">
        <v>0</v>
      </c>
      <c r="AJ589" s="47">
        <v>0</v>
      </c>
      <c r="AK589" s="47">
        <v>0</v>
      </c>
      <c r="AL589" s="47">
        <v>0</v>
      </c>
      <c r="AM589" s="47">
        <v>0</v>
      </c>
      <c r="AN589" s="47">
        <v>0</v>
      </c>
      <c r="AO589" s="47">
        <v>0</v>
      </c>
      <c r="AP589" s="47">
        <v>0</v>
      </c>
      <c r="AQ589" s="47">
        <v>0</v>
      </c>
      <c r="AR589" s="47">
        <v>0</v>
      </c>
      <c r="AS589" s="47"/>
      <c r="AT589" s="47"/>
      <c r="AU589" s="47"/>
      <c r="AV589" s="47"/>
      <c r="AW589" s="47"/>
      <c r="AX589" s="47"/>
      <c r="AY589" s="47"/>
      <c r="AZ589" s="47"/>
      <c r="BA589" s="47"/>
      <c r="BB589" s="47"/>
      <c r="BC589" s="47"/>
      <c r="BD589" s="47"/>
      <c r="BE589" s="47"/>
      <c r="BF589" s="47"/>
    </row>
    <row r="590" spans="1:58" hidden="1">
      <c r="A590" s="46" t="s">
        <v>289</v>
      </c>
      <c r="B590" s="46" t="s">
        <v>81</v>
      </c>
      <c r="C590" s="47">
        <v>0</v>
      </c>
      <c r="D590" s="47">
        <v>0</v>
      </c>
      <c r="E590" s="47">
        <v>0</v>
      </c>
      <c r="F590" s="47">
        <v>0</v>
      </c>
      <c r="G590" s="47">
        <v>0</v>
      </c>
      <c r="H590" s="47">
        <v>0</v>
      </c>
      <c r="I590" s="47">
        <v>0</v>
      </c>
      <c r="J590" s="47">
        <v>0</v>
      </c>
      <c r="K590" s="47">
        <v>0</v>
      </c>
      <c r="L590" s="47">
        <v>0</v>
      </c>
      <c r="M590" s="47">
        <v>30</v>
      </c>
      <c r="N590" s="47">
        <v>29</v>
      </c>
      <c r="O590" s="47">
        <v>30</v>
      </c>
      <c r="P590" s="47">
        <v>35</v>
      </c>
      <c r="Q590" s="85"/>
      <c r="R590" s="85"/>
      <c r="S590" s="85"/>
      <c r="T590" s="85"/>
      <c r="U590" s="85"/>
      <c r="V590" s="85"/>
      <c r="W590" s="85"/>
      <c r="X590" s="85"/>
      <c r="Y590" s="85"/>
      <c r="Z590" s="85"/>
      <c r="AA590" s="85"/>
      <c r="AB590" s="85"/>
      <c r="AC590" s="85"/>
      <c r="AD590" s="85"/>
      <c r="AE590" s="47">
        <v>0</v>
      </c>
      <c r="AF590" s="47">
        <v>0</v>
      </c>
      <c r="AG590" s="47">
        <v>0</v>
      </c>
      <c r="AH590" s="47">
        <v>0</v>
      </c>
      <c r="AI590" s="47">
        <v>0</v>
      </c>
      <c r="AJ590" s="47">
        <v>0</v>
      </c>
      <c r="AK590" s="47">
        <v>0</v>
      </c>
      <c r="AL590" s="47">
        <v>0</v>
      </c>
      <c r="AM590" s="47">
        <v>0</v>
      </c>
      <c r="AN590" s="47">
        <v>0</v>
      </c>
      <c r="AO590" s="47">
        <v>589</v>
      </c>
      <c r="AP590" s="47">
        <v>571</v>
      </c>
      <c r="AQ590" s="47">
        <v>574</v>
      </c>
      <c r="AR590" s="47">
        <v>690</v>
      </c>
      <c r="AS590" s="47"/>
      <c r="AT590" s="47"/>
      <c r="AU590" s="47"/>
      <c r="AV590" s="47"/>
      <c r="AW590" s="47"/>
      <c r="AX590" s="47"/>
      <c r="AY590" s="47"/>
      <c r="AZ590" s="47"/>
      <c r="BA590" s="47"/>
      <c r="BB590" s="47"/>
      <c r="BC590" s="47"/>
      <c r="BD590" s="47"/>
      <c r="BE590" s="47"/>
      <c r="BF590" s="47"/>
    </row>
    <row r="591" spans="1:58" hidden="1">
      <c r="A591" s="46" t="s">
        <v>289</v>
      </c>
      <c r="B591" s="46" t="s">
        <v>82</v>
      </c>
      <c r="C591" s="47">
        <v>2903</v>
      </c>
      <c r="D591" s="47">
        <v>2495</v>
      </c>
      <c r="E591" s="47">
        <v>1654</v>
      </c>
      <c r="F591" s="47">
        <v>1862</v>
      </c>
      <c r="G591" s="47">
        <v>2129</v>
      </c>
      <c r="H591" s="47">
        <v>2515</v>
      </c>
      <c r="I591" s="47">
        <v>2399</v>
      </c>
      <c r="J591" s="47">
        <v>2508</v>
      </c>
      <c r="K591" s="47">
        <v>1709</v>
      </c>
      <c r="L591" s="47">
        <v>1629</v>
      </c>
      <c r="M591" s="47">
        <v>3005</v>
      </c>
      <c r="N591" s="47">
        <v>2655</v>
      </c>
      <c r="O591" s="47">
        <v>2610</v>
      </c>
      <c r="P591" s="47">
        <v>3305</v>
      </c>
      <c r="Q591" s="85">
        <v>21.6</v>
      </c>
      <c r="R591" s="85">
        <v>22.42</v>
      </c>
      <c r="S591" s="85">
        <v>24.01</v>
      </c>
      <c r="T591" s="85">
        <v>24.28</v>
      </c>
      <c r="U591" s="85">
        <v>24.42</v>
      </c>
      <c r="V591" s="85">
        <v>18.16</v>
      </c>
      <c r="W591" s="85">
        <v>20.010000000000002</v>
      </c>
      <c r="X591" s="85">
        <v>20.3</v>
      </c>
      <c r="Y591" s="85">
        <v>17.149999999999999</v>
      </c>
      <c r="Z591" s="85">
        <v>17.32</v>
      </c>
      <c r="AA591" s="85">
        <v>16.91</v>
      </c>
      <c r="AB591" s="85">
        <v>19.579999999999998</v>
      </c>
      <c r="AC591" s="85">
        <v>15.32</v>
      </c>
      <c r="AD591" s="85">
        <v>13.22</v>
      </c>
      <c r="AE591" s="47">
        <v>62707</v>
      </c>
      <c r="AF591" s="47">
        <v>55934</v>
      </c>
      <c r="AG591" s="47">
        <v>39718</v>
      </c>
      <c r="AH591" s="47">
        <v>45211</v>
      </c>
      <c r="AI591" s="47">
        <v>51983</v>
      </c>
      <c r="AJ591" s="47">
        <v>45675</v>
      </c>
      <c r="AK591" s="47">
        <v>48003</v>
      </c>
      <c r="AL591" s="47">
        <v>50907</v>
      </c>
      <c r="AM591" s="47">
        <v>29313</v>
      </c>
      <c r="AN591" s="47">
        <v>28213</v>
      </c>
      <c r="AO591" s="47">
        <v>50822</v>
      </c>
      <c r="AP591" s="47">
        <v>51974</v>
      </c>
      <c r="AQ591" s="47">
        <v>39990</v>
      </c>
      <c r="AR591" s="47">
        <v>43677</v>
      </c>
      <c r="AS591" s="47"/>
      <c r="AT591" s="47"/>
      <c r="AU591" s="47"/>
      <c r="AV591" s="47"/>
      <c r="AW591" s="47"/>
      <c r="AX591" s="47"/>
      <c r="AY591" s="47"/>
      <c r="AZ591" s="47"/>
      <c r="BA591" s="47"/>
      <c r="BB591" s="47"/>
      <c r="BC591" s="47"/>
      <c r="BD591" s="47"/>
      <c r="BE591" s="47"/>
      <c r="BF591" s="47"/>
    </row>
    <row r="592" spans="1:58" hidden="1">
      <c r="A592" s="46" t="s">
        <v>290</v>
      </c>
      <c r="B592" s="46" t="s">
        <v>251</v>
      </c>
      <c r="C592" s="47">
        <v>72</v>
      </c>
      <c r="D592" s="47">
        <v>80</v>
      </c>
      <c r="E592" s="47">
        <v>64</v>
      </c>
      <c r="F592" s="47">
        <v>117</v>
      </c>
      <c r="G592" s="47">
        <v>126</v>
      </c>
      <c r="H592" s="47">
        <v>100</v>
      </c>
      <c r="I592" s="47">
        <v>70</v>
      </c>
      <c r="J592" s="47">
        <v>65</v>
      </c>
      <c r="K592" s="47">
        <v>54</v>
      </c>
      <c r="L592" s="47">
        <v>98</v>
      </c>
      <c r="M592" s="47">
        <v>72</v>
      </c>
      <c r="N592" s="47">
        <v>99</v>
      </c>
      <c r="O592" s="47">
        <v>83</v>
      </c>
      <c r="P592" s="47">
        <v>63</v>
      </c>
      <c r="Q592" s="85">
        <v>30</v>
      </c>
      <c r="R592" s="85">
        <v>30</v>
      </c>
      <c r="S592" s="85">
        <v>35</v>
      </c>
      <c r="T592" s="85">
        <v>35</v>
      </c>
      <c r="U592" s="85">
        <v>35</v>
      </c>
      <c r="V592" s="85">
        <v>35</v>
      </c>
      <c r="W592" s="85">
        <v>30</v>
      </c>
      <c r="X592" s="85">
        <v>35</v>
      </c>
      <c r="Y592" s="85">
        <v>35</v>
      </c>
      <c r="Z592" s="85">
        <v>40</v>
      </c>
      <c r="AA592" s="85">
        <v>35</v>
      </c>
      <c r="AB592" s="85">
        <v>65</v>
      </c>
      <c r="AC592" s="85">
        <v>65</v>
      </c>
      <c r="AD592" s="85">
        <v>40</v>
      </c>
      <c r="AE592" s="47">
        <v>2160</v>
      </c>
      <c r="AF592" s="47">
        <v>2400</v>
      </c>
      <c r="AG592" s="47">
        <v>2240</v>
      </c>
      <c r="AH592" s="47">
        <v>4095</v>
      </c>
      <c r="AI592" s="47">
        <v>4410</v>
      </c>
      <c r="AJ592" s="47">
        <v>3500</v>
      </c>
      <c r="AK592" s="47">
        <v>2100</v>
      </c>
      <c r="AL592" s="47">
        <v>2275</v>
      </c>
      <c r="AM592" s="47">
        <v>1890</v>
      </c>
      <c r="AN592" s="47">
        <v>3920</v>
      </c>
      <c r="AO592" s="47">
        <v>2520</v>
      </c>
      <c r="AP592" s="47">
        <v>6435</v>
      </c>
      <c r="AQ592" s="47">
        <v>5395</v>
      </c>
      <c r="AR592" s="47">
        <v>2520</v>
      </c>
      <c r="AS592" s="47"/>
      <c r="AT592" s="47"/>
      <c r="AU592" s="47"/>
      <c r="AV592" s="47"/>
      <c r="AW592" s="47"/>
      <c r="AX592" s="47"/>
      <c r="AY592" s="47"/>
      <c r="AZ592" s="47"/>
      <c r="BA592" s="47"/>
      <c r="BB592" s="47"/>
      <c r="BC592" s="47"/>
      <c r="BD592" s="47"/>
      <c r="BE592" s="47"/>
      <c r="BF592" s="47"/>
    </row>
    <row r="593" spans="1:58" hidden="1">
      <c r="A593" s="46" t="s">
        <v>290</v>
      </c>
      <c r="B593" s="46" t="s">
        <v>252</v>
      </c>
      <c r="C593" s="47">
        <v>0</v>
      </c>
      <c r="D593" s="47">
        <v>0</v>
      </c>
      <c r="E593" s="47">
        <v>0</v>
      </c>
      <c r="F593" s="47">
        <v>0</v>
      </c>
      <c r="G593" s="47">
        <v>0</v>
      </c>
      <c r="H593" s="47">
        <v>0</v>
      </c>
      <c r="I593" s="47">
        <v>0</v>
      </c>
      <c r="J593" s="47">
        <v>0</v>
      </c>
      <c r="K593" s="47">
        <v>0</v>
      </c>
      <c r="L593" s="47">
        <v>0</v>
      </c>
      <c r="M593" s="47">
        <v>0</v>
      </c>
      <c r="N593" s="47">
        <v>0</v>
      </c>
      <c r="O593" s="47">
        <v>0</v>
      </c>
      <c r="P593" s="47">
        <v>0</v>
      </c>
      <c r="Q593" s="85"/>
      <c r="R593" s="85"/>
      <c r="S593" s="85"/>
      <c r="T593" s="85"/>
      <c r="U593" s="85"/>
      <c r="V593" s="85"/>
      <c r="W593" s="85"/>
      <c r="X593" s="85"/>
      <c r="Y593" s="85"/>
      <c r="Z593" s="85"/>
      <c r="AA593" s="85"/>
      <c r="AB593" s="85"/>
      <c r="AC593" s="85"/>
      <c r="AD593" s="85"/>
      <c r="AE593" s="47">
        <v>0</v>
      </c>
      <c r="AF593" s="47">
        <v>0</v>
      </c>
      <c r="AG593" s="47">
        <v>0</v>
      </c>
      <c r="AH593" s="47">
        <v>0</v>
      </c>
      <c r="AI593" s="47">
        <v>0</v>
      </c>
      <c r="AJ593" s="47">
        <v>0</v>
      </c>
      <c r="AK593" s="47">
        <v>0</v>
      </c>
      <c r="AL593" s="47">
        <v>0</v>
      </c>
      <c r="AM593" s="47">
        <v>0</v>
      </c>
      <c r="AN593" s="47">
        <v>0</v>
      </c>
      <c r="AO593" s="47">
        <v>0</v>
      </c>
      <c r="AP593" s="47">
        <v>0</v>
      </c>
      <c r="AQ593" s="47">
        <v>0</v>
      </c>
      <c r="AR593" s="47">
        <v>0</v>
      </c>
      <c r="AS593" s="47"/>
      <c r="AT593" s="47"/>
      <c r="AU593" s="47"/>
      <c r="AV593" s="47"/>
      <c r="AW593" s="47"/>
      <c r="AX593" s="47"/>
      <c r="AY593" s="47"/>
      <c r="AZ593" s="47"/>
      <c r="BA593" s="47"/>
      <c r="BB593" s="47"/>
      <c r="BC593" s="47"/>
      <c r="BD593" s="47"/>
      <c r="BE593" s="47"/>
      <c r="BF593" s="47"/>
    </row>
    <row r="594" spans="1:58" hidden="1">
      <c r="A594" s="46" t="s">
        <v>290</v>
      </c>
      <c r="B594" s="46" t="s">
        <v>253</v>
      </c>
      <c r="C594" s="47">
        <v>72</v>
      </c>
      <c r="D594" s="47">
        <v>80</v>
      </c>
      <c r="E594" s="47">
        <v>64</v>
      </c>
      <c r="F594" s="47">
        <v>117</v>
      </c>
      <c r="G594" s="47">
        <v>126</v>
      </c>
      <c r="H594" s="47">
        <v>100</v>
      </c>
      <c r="I594" s="47">
        <v>70</v>
      </c>
      <c r="J594" s="47">
        <v>65</v>
      </c>
      <c r="K594" s="47">
        <v>54</v>
      </c>
      <c r="L594" s="47">
        <v>98</v>
      </c>
      <c r="M594" s="47">
        <v>72</v>
      </c>
      <c r="N594" s="47">
        <v>99</v>
      </c>
      <c r="O594" s="47">
        <v>83</v>
      </c>
      <c r="P594" s="47">
        <v>63</v>
      </c>
      <c r="Q594" s="85">
        <v>30</v>
      </c>
      <c r="R594" s="85">
        <v>30</v>
      </c>
      <c r="S594" s="85">
        <v>35</v>
      </c>
      <c r="T594" s="85">
        <v>35</v>
      </c>
      <c r="U594" s="85">
        <v>35</v>
      </c>
      <c r="V594" s="85">
        <v>35</v>
      </c>
      <c r="W594" s="85">
        <v>30</v>
      </c>
      <c r="X594" s="85">
        <v>35</v>
      </c>
      <c r="Y594" s="85">
        <v>35</v>
      </c>
      <c r="Z594" s="85">
        <v>40</v>
      </c>
      <c r="AA594" s="85">
        <v>35</v>
      </c>
      <c r="AB594" s="85">
        <v>65</v>
      </c>
      <c r="AC594" s="85">
        <v>65</v>
      </c>
      <c r="AD594" s="85">
        <v>40</v>
      </c>
      <c r="AE594" s="47">
        <v>2160</v>
      </c>
      <c r="AF594" s="47">
        <v>2400</v>
      </c>
      <c r="AG594" s="47">
        <v>2240</v>
      </c>
      <c r="AH594" s="47">
        <v>4095</v>
      </c>
      <c r="AI594" s="47">
        <v>4410</v>
      </c>
      <c r="AJ594" s="47">
        <v>3500</v>
      </c>
      <c r="AK594" s="47">
        <v>2100</v>
      </c>
      <c r="AL594" s="47">
        <v>2275</v>
      </c>
      <c r="AM594" s="47">
        <v>1890</v>
      </c>
      <c r="AN594" s="47">
        <v>3920</v>
      </c>
      <c r="AO594" s="47">
        <v>2520</v>
      </c>
      <c r="AP594" s="47">
        <v>6435</v>
      </c>
      <c r="AQ594" s="47">
        <v>5395</v>
      </c>
      <c r="AR594" s="47">
        <v>2520</v>
      </c>
      <c r="AS594" s="47"/>
      <c r="AT594" s="47"/>
      <c r="AU594" s="47"/>
      <c r="AV594" s="47"/>
      <c r="AW594" s="47"/>
      <c r="AX594" s="47"/>
      <c r="AY594" s="47"/>
      <c r="AZ594" s="47"/>
      <c r="BA594" s="47"/>
      <c r="BB594" s="47"/>
      <c r="BC594" s="47"/>
      <c r="BD594" s="47"/>
      <c r="BE594" s="47"/>
      <c r="BF594" s="47"/>
    </row>
    <row r="595" spans="1:58" hidden="1">
      <c r="A595" s="46" t="s">
        <v>290</v>
      </c>
      <c r="B595" s="46" t="s">
        <v>254</v>
      </c>
      <c r="C595" s="47">
        <v>10</v>
      </c>
      <c r="D595" s="47">
        <v>6</v>
      </c>
      <c r="E595" s="47">
        <v>5</v>
      </c>
      <c r="F595" s="47">
        <v>5</v>
      </c>
      <c r="G595" s="47">
        <v>6</v>
      </c>
      <c r="H595" s="47">
        <v>6</v>
      </c>
      <c r="I595" s="47">
        <v>7</v>
      </c>
      <c r="J595" s="47">
        <v>10</v>
      </c>
      <c r="K595" s="47">
        <v>10</v>
      </c>
      <c r="L595" s="47">
        <v>15</v>
      </c>
      <c r="M595" s="47">
        <v>15</v>
      </c>
      <c r="N595" s="47">
        <v>15</v>
      </c>
      <c r="O595" s="47">
        <v>15</v>
      </c>
      <c r="P595" s="47">
        <v>10</v>
      </c>
      <c r="Q595" s="85">
        <v>30</v>
      </c>
      <c r="R595" s="85">
        <v>30</v>
      </c>
      <c r="S595" s="85">
        <v>30</v>
      </c>
      <c r="T595" s="85">
        <v>30</v>
      </c>
      <c r="U595" s="85">
        <v>35</v>
      </c>
      <c r="V595" s="85">
        <v>35</v>
      </c>
      <c r="W595" s="85">
        <v>30</v>
      </c>
      <c r="X595" s="85">
        <v>35</v>
      </c>
      <c r="Y595" s="85">
        <v>35</v>
      </c>
      <c r="Z595" s="85">
        <v>40</v>
      </c>
      <c r="AA595" s="85">
        <v>35</v>
      </c>
      <c r="AB595" s="85">
        <v>65</v>
      </c>
      <c r="AC595" s="85">
        <v>65</v>
      </c>
      <c r="AD595" s="85">
        <v>40</v>
      </c>
      <c r="AE595" s="47">
        <v>300</v>
      </c>
      <c r="AF595" s="47">
        <v>180</v>
      </c>
      <c r="AG595" s="47">
        <v>150</v>
      </c>
      <c r="AH595" s="47">
        <v>150</v>
      </c>
      <c r="AI595" s="47">
        <v>210</v>
      </c>
      <c r="AJ595" s="47">
        <v>210</v>
      </c>
      <c r="AK595" s="47">
        <v>210</v>
      </c>
      <c r="AL595" s="47">
        <v>350</v>
      </c>
      <c r="AM595" s="47">
        <v>350</v>
      </c>
      <c r="AN595" s="47">
        <v>600</v>
      </c>
      <c r="AO595" s="47">
        <v>525</v>
      </c>
      <c r="AP595" s="47">
        <v>975</v>
      </c>
      <c r="AQ595" s="47">
        <v>975</v>
      </c>
      <c r="AR595" s="47">
        <v>400</v>
      </c>
      <c r="AS595" s="47"/>
      <c r="AT595" s="47"/>
      <c r="AU595" s="47"/>
      <c r="AV595" s="47"/>
      <c r="AW595" s="47"/>
      <c r="AX595" s="47"/>
      <c r="AY595" s="47"/>
      <c r="AZ595" s="47"/>
      <c r="BA595" s="47"/>
      <c r="BB595" s="47"/>
      <c r="BC595" s="47"/>
      <c r="BD595" s="47"/>
      <c r="BE595" s="47"/>
      <c r="BF595" s="47"/>
    </row>
    <row r="596" spans="1:58" hidden="1">
      <c r="A596" s="46" t="s">
        <v>290</v>
      </c>
      <c r="B596" s="46" t="s">
        <v>255</v>
      </c>
      <c r="C596" s="47">
        <v>0</v>
      </c>
      <c r="D596" s="47">
        <v>0</v>
      </c>
      <c r="E596" s="47">
        <v>0</v>
      </c>
      <c r="F596" s="47">
        <v>0</v>
      </c>
      <c r="G596" s="47">
        <v>0</v>
      </c>
      <c r="H596" s="47">
        <v>0</v>
      </c>
      <c r="I596" s="47">
        <v>0</v>
      </c>
      <c r="J596" s="47">
        <v>0</v>
      </c>
      <c r="K596" s="47">
        <v>0</v>
      </c>
      <c r="L596" s="47">
        <v>0</v>
      </c>
      <c r="M596" s="47">
        <v>0</v>
      </c>
      <c r="N596" s="47">
        <v>0</v>
      </c>
      <c r="O596" s="47">
        <v>0</v>
      </c>
      <c r="P596" s="47">
        <v>0</v>
      </c>
      <c r="Q596" s="85"/>
      <c r="R596" s="85"/>
      <c r="S596" s="85"/>
      <c r="T596" s="85"/>
      <c r="U596" s="85"/>
      <c r="V596" s="85"/>
      <c r="W596" s="85"/>
      <c r="X596" s="85"/>
      <c r="Y596" s="85"/>
      <c r="Z596" s="85"/>
      <c r="AA596" s="85"/>
      <c r="AB596" s="85"/>
      <c r="AC596" s="85"/>
      <c r="AD596" s="85"/>
      <c r="AE596" s="47">
        <v>0</v>
      </c>
      <c r="AF596" s="47">
        <v>0</v>
      </c>
      <c r="AG596" s="47">
        <v>0</v>
      </c>
      <c r="AH596" s="47">
        <v>0</v>
      </c>
      <c r="AI596" s="47">
        <v>0</v>
      </c>
      <c r="AJ596" s="47">
        <v>0</v>
      </c>
      <c r="AK596" s="47">
        <v>0</v>
      </c>
      <c r="AL596" s="47">
        <v>0</v>
      </c>
      <c r="AM596" s="47">
        <v>0</v>
      </c>
      <c r="AN596" s="47">
        <v>0</v>
      </c>
      <c r="AO596" s="47">
        <v>0</v>
      </c>
      <c r="AP596" s="47">
        <v>0</v>
      </c>
      <c r="AQ596" s="47">
        <v>0</v>
      </c>
      <c r="AR596" s="47">
        <v>0</v>
      </c>
      <c r="AS596" s="47"/>
      <c r="AT596" s="47"/>
      <c r="AU596" s="47"/>
      <c r="AV596" s="47"/>
      <c r="AW596" s="47"/>
      <c r="AX596" s="47"/>
      <c r="AY596" s="47"/>
      <c r="AZ596" s="47"/>
      <c r="BA596" s="47"/>
      <c r="BB596" s="47"/>
      <c r="BC596" s="47"/>
      <c r="BD596" s="47"/>
      <c r="BE596" s="47"/>
      <c r="BF596" s="47"/>
    </row>
    <row r="597" spans="1:58" hidden="1">
      <c r="A597" s="46" t="s">
        <v>290</v>
      </c>
      <c r="B597" s="46" t="s">
        <v>256</v>
      </c>
      <c r="C597" s="47">
        <v>10</v>
      </c>
      <c r="D597" s="47">
        <v>6</v>
      </c>
      <c r="E597" s="47">
        <v>5</v>
      </c>
      <c r="F597" s="47">
        <v>5</v>
      </c>
      <c r="G597" s="47">
        <v>6</v>
      </c>
      <c r="H597" s="47">
        <v>6</v>
      </c>
      <c r="I597" s="47">
        <v>7</v>
      </c>
      <c r="J597" s="47">
        <v>10</v>
      </c>
      <c r="K597" s="47">
        <v>10</v>
      </c>
      <c r="L597" s="47">
        <v>15</v>
      </c>
      <c r="M597" s="47">
        <v>15</v>
      </c>
      <c r="N597" s="47">
        <v>15</v>
      </c>
      <c r="O597" s="47">
        <v>15</v>
      </c>
      <c r="P597" s="47">
        <v>10</v>
      </c>
      <c r="Q597" s="85">
        <v>30</v>
      </c>
      <c r="R597" s="85">
        <v>30</v>
      </c>
      <c r="S597" s="85">
        <v>30</v>
      </c>
      <c r="T597" s="85">
        <v>30</v>
      </c>
      <c r="U597" s="85">
        <v>35</v>
      </c>
      <c r="V597" s="85">
        <v>35</v>
      </c>
      <c r="W597" s="85">
        <v>30</v>
      </c>
      <c r="X597" s="85">
        <v>35</v>
      </c>
      <c r="Y597" s="85">
        <v>35</v>
      </c>
      <c r="Z597" s="85">
        <v>40</v>
      </c>
      <c r="AA597" s="85">
        <v>35</v>
      </c>
      <c r="AB597" s="85">
        <v>65</v>
      </c>
      <c r="AC597" s="85">
        <v>65</v>
      </c>
      <c r="AD597" s="85">
        <v>40</v>
      </c>
      <c r="AE597" s="47">
        <v>300</v>
      </c>
      <c r="AF597" s="47">
        <v>180</v>
      </c>
      <c r="AG597" s="47">
        <v>150</v>
      </c>
      <c r="AH597" s="47">
        <v>150</v>
      </c>
      <c r="AI597" s="47">
        <v>210</v>
      </c>
      <c r="AJ597" s="47">
        <v>210</v>
      </c>
      <c r="AK597" s="47">
        <v>210</v>
      </c>
      <c r="AL597" s="47">
        <v>350</v>
      </c>
      <c r="AM597" s="47">
        <v>350</v>
      </c>
      <c r="AN597" s="47">
        <v>600</v>
      </c>
      <c r="AO597" s="47">
        <v>525</v>
      </c>
      <c r="AP597" s="47">
        <v>975</v>
      </c>
      <c r="AQ597" s="47">
        <v>975</v>
      </c>
      <c r="AR597" s="47">
        <v>400</v>
      </c>
      <c r="AS597" s="47"/>
      <c r="AT597" s="47"/>
      <c r="AU597" s="47"/>
      <c r="AV597" s="47"/>
      <c r="AW597" s="47"/>
      <c r="AX597" s="47"/>
      <c r="AY597" s="47"/>
      <c r="AZ597" s="47"/>
      <c r="BA597" s="47"/>
      <c r="BB597" s="47"/>
      <c r="BC597" s="47"/>
      <c r="BD597" s="47"/>
      <c r="BE597" s="47"/>
      <c r="BF597" s="47"/>
    </row>
    <row r="598" spans="1:58" hidden="1">
      <c r="A598" s="46" t="s">
        <v>290</v>
      </c>
      <c r="B598" s="46" t="s">
        <v>257</v>
      </c>
      <c r="C598" s="47">
        <v>0</v>
      </c>
      <c r="D598" s="47">
        <v>0</v>
      </c>
      <c r="E598" s="47">
        <v>0</v>
      </c>
      <c r="F598" s="47">
        <v>0</v>
      </c>
      <c r="G598" s="47">
        <v>0</v>
      </c>
      <c r="H598" s="47">
        <v>0</v>
      </c>
      <c r="I598" s="47">
        <v>0</v>
      </c>
      <c r="J598" s="47">
        <v>0</v>
      </c>
      <c r="K598" s="47">
        <v>0</v>
      </c>
      <c r="L598" s="47">
        <v>0</v>
      </c>
      <c r="M598" s="47">
        <v>0</v>
      </c>
      <c r="N598" s="47">
        <v>0</v>
      </c>
      <c r="O598" s="47">
        <v>0</v>
      </c>
      <c r="P598" s="47">
        <v>0</v>
      </c>
      <c r="Q598" s="85"/>
      <c r="R598" s="85"/>
      <c r="S598" s="85"/>
      <c r="T598" s="85"/>
      <c r="U598" s="85"/>
      <c r="V598" s="85"/>
      <c r="W598" s="85"/>
      <c r="X598" s="85"/>
      <c r="Y598" s="85"/>
      <c r="Z598" s="85"/>
      <c r="AA598" s="85"/>
      <c r="AB598" s="85"/>
      <c r="AC598" s="85"/>
      <c r="AD598" s="85"/>
      <c r="AE598" s="47">
        <v>0</v>
      </c>
      <c r="AF598" s="47">
        <v>0</v>
      </c>
      <c r="AG598" s="47">
        <v>0</v>
      </c>
      <c r="AH598" s="47">
        <v>0</v>
      </c>
      <c r="AI598" s="47">
        <v>0</v>
      </c>
      <c r="AJ598" s="47">
        <v>0</v>
      </c>
      <c r="AK598" s="47">
        <v>0</v>
      </c>
      <c r="AL598" s="47">
        <v>0</v>
      </c>
      <c r="AM598" s="47">
        <v>0</v>
      </c>
      <c r="AN598" s="47">
        <v>0</v>
      </c>
      <c r="AO598" s="47">
        <v>0</v>
      </c>
      <c r="AP598" s="47">
        <v>0</v>
      </c>
      <c r="AQ598" s="47">
        <v>0</v>
      </c>
      <c r="AR598" s="47">
        <v>0</v>
      </c>
      <c r="AS598" s="47"/>
      <c r="AT598" s="47"/>
      <c r="AU598" s="47"/>
      <c r="AV598" s="47"/>
      <c r="AW598" s="47"/>
      <c r="AX598" s="47"/>
      <c r="AY598" s="47"/>
      <c r="AZ598" s="47"/>
      <c r="BA598" s="47"/>
      <c r="BB598" s="47"/>
      <c r="BC598" s="47"/>
      <c r="BD598" s="47"/>
      <c r="BE598" s="47"/>
      <c r="BF598" s="47"/>
    </row>
    <row r="599" spans="1:58" hidden="1">
      <c r="A599" s="46" t="s">
        <v>290</v>
      </c>
      <c r="B599" s="46" t="s">
        <v>258</v>
      </c>
      <c r="C599" s="47">
        <v>232</v>
      </c>
      <c r="D599" s="47">
        <v>242</v>
      </c>
      <c r="E599" s="47">
        <v>235</v>
      </c>
      <c r="F599" s="47">
        <v>271</v>
      </c>
      <c r="G599" s="47">
        <v>288</v>
      </c>
      <c r="H599" s="47">
        <v>349</v>
      </c>
      <c r="I599" s="47">
        <v>326</v>
      </c>
      <c r="J599" s="47">
        <v>341</v>
      </c>
      <c r="K599" s="47">
        <v>343</v>
      </c>
      <c r="L599" s="47">
        <v>342</v>
      </c>
      <c r="M599" s="47">
        <v>398</v>
      </c>
      <c r="N599" s="47">
        <v>350</v>
      </c>
      <c r="O599" s="47">
        <v>399</v>
      </c>
      <c r="P599" s="47">
        <v>330</v>
      </c>
      <c r="Q599" s="85">
        <v>25</v>
      </c>
      <c r="R599" s="85">
        <v>25</v>
      </c>
      <c r="S599" s="85">
        <v>30</v>
      </c>
      <c r="T599" s="85">
        <v>30</v>
      </c>
      <c r="U599" s="85">
        <v>30</v>
      </c>
      <c r="V599" s="85">
        <v>30</v>
      </c>
      <c r="W599" s="85">
        <v>30</v>
      </c>
      <c r="X599" s="85">
        <v>35</v>
      </c>
      <c r="Y599" s="85">
        <v>35</v>
      </c>
      <c r="Z599" s="85">
        <v>40</v>
      </c>
      <c r="AA599" s="85">
        <v>35</v>
      </c>
      <c r="AB599" s="85">
        <v>55</v>
      </c>
      <c r="AC599" s="85">
        <v>55</v>
      </c>
      <c r="AD599" s="85">
        <v>40</v>
      </c>
      <c r="AE599" s="47">
        <v>5800</v>
      </c>
      <c r="AF599" s="47">
        <v>6050</v>
      </c>
      <c r="AG599" s="47">
        <v>7050</v>
      </c>
      <c r="AH599" s="47">
        <v>8130</v>
      </c>
      <c r="AI599" s="47">
        <v>8640</v>
      </c>
      <c r="AJ599" s="47">
        <v>10470</v>
      </c>
      <c r="AK599" s="47">
        <v>9780</v>
      </c>
      <c r="AL599" s="47">
        <v>11935</v>
      </c>
      <c r="AM599" s="47">
        <v>12005</v>
      </c>
      <c r="AN599" s="47">
        <v>13680</v>
      </c>
      <c r="AO599" s="47">
        <v>13930</v>
      </c>
      <c r="AP599" s="47">
        <v>19250</v>
      </c>
      <c r="AQ599" s="47">
        <v>21945</v>
      </c>
      <c r="AR599" s="47">
        <v>13200</v>
      </c>
      <c r="AS599" s="47"/>
      <c r="AT599" s="47"/>
      <c r="AU599" s="47"/>
      <c r="AV599" s="47"/>
      <c r="AW599" s="47"/>
      <c r="AX599" s="47"/>
      <c r="AY599" s="47"/>
      <c r="AZ599" s="47"/>
      <c r="BA599" s="47"/>
      <c r="BB599" s="47"/>
      <c r="BC599" s="47"/>
      <c r="BD599" s="47"/>
      <c r="BE599" s="47"/>
      <c r="BF599" s="47"/>
    </row>
    <row r="600" spans="1:58" hidden="1">
      <c r="A600" s="46" t="s">
        <v>290</v>
      </c>
      <c r="B600" s="46" t="s">
        <v>259</v>
      </c>
      <c r="C600" s="47">
        <v>0</v>
      </c>
      <c r="D600" s="47">
        <v>0</v>
      </c>
      <c r="E600" s="47">
        <v>0</v>
      </c>
      <c r="F600" s="47">
        <v>0</v>
      </c>
      <c r="G600" s="47">
        <v>0</v>
      </c>
      <c r="H600" s="47">
        <v>0</v>
      </c>
      <c r="I600" s="47">
        <v>0</v>
      </c>
      <c r="J600" s="47">
        <v>0</v>
      </c>
      <c r="K600" s="47">
        <v>0</v>
      </c>
      <c r="L600" s="47">
        <v>0</v>
      </c>
      <c r="M600" s="47">
        <v>0</v>
      </c>
      <c r="N600" s="47">
        <v>0</v>
      </c>
      <c r="O600" s="47">
        <v>0</v>
      </c>
      <c r="P600" s="47">
        <v>0</v>
      </c>
      <c r="Q600" s="85"/>
      <c r="R600" s="85"/>
      <c r="S600" s="85"/>
      <c r="T600" s="85"/>
      <c r="U600" s="85"/>
      <c r="V600" s="85"/>
      <c r="W600" s="85"/>
      <c r="X600" s="85"/>
      <c r="Y600" s="85"/>
      <c r="Z600" s="85"/>
      <c r="AA600" s="85"/>
      <c r="AB600" s="85"/>
      <c r="AC600" s="85"/>
      <c r="AD600" s="85"/>
      <c r="AE600" s="47">
        <v>0</v>
      </c>
      <c r="AF600" s="47">
        <v>0</v>
      </c>
      <c r="AG600" s="47">
        <v>0</v>
      </c>
      <c r="AH600" s="47">
        <v>0</v>
      </c>
      <c r="AI600" s="47">
        <v>0</v>
      </c>
      <c r="AJ600" s="47">
        <v>0</v>
      </c>
      <c r="AK600" s="47">
        <v>0</v>
      </c>
      <c r="AL600" s="47">
        <v>0</v>
      </c>
      <c r="AM600" s="47">
        <v>0</v>
      </c>
      <c r="AN600" s="47">
        <v>0</v>
      </c>
      <c r="AO600" s="47">
        <v>0</v>
      </c>
      <c r="AP600" s="47">
        <v>0</v>
      </c>
      <c r="AQ600" s="47">
        <v>0</v>
      </c>
      <c r="AR600" s="47">
        <v>0</v>
      </c>
      <c r="AS600" s="47"/>
      <c r="AT600" s="47"/>
      <c r="AU600" s="47"/>
      <c r="AV600" s="47"/>
      <c r="AW600" s="47"/>
      <c r="AX600" s="47"/>
      <c r="AY600" s="47"/>
      <c r="AZ600" s="47"/>
      <c r="BA600" s="47"/>
      <c r="BB600" s="47"/>
      <c r="BC600" s="47"/>
      <c r="BD600" s="47"/>
      <c r="BE600" s="47"/>
      <c r="BF600" s="47"/>
    </row>
    <row r="601" spans="1:58" hidden="1">
      <c r="A601" s="46" t="s">
        <v>290</v>
      </c>
      <c r="B601" s="46" t="s">
        <v>260</v>
      </c>
      <c r="C601" s="47">
        <v>232</v>
      </c>
      <c r="D601" s="47">
        <v>242</v>
      </c>
      <c r="E601" s="47">
        <v>235</v>
      </c>
      <c r="F601" s="47">
        <v>271</v>
      </c>
      <c r="G601" s="47">
        <v>288</v>
      </c>
      <c r="H601" s="47">
        <v>349</v>
      </c>
      <c r="I601" s="47">
        <v>326</v>
      </c>
      <c r="J601" s="47">
        <v>341</v>
      </c>
      <c r="K601" s="47">
        <v>343</v>
      </c>
      <c r="L601" s="47">
        <v>342</v>
      </c>
      <c r="M601" s="47">
        <v>398</v>
      </c>
      <c r="N601" s="47">
        <v>350</v>
      </c>
      <c r="O601" s="47">
        <v>399</v>
      </c>
      <c r="P601" s="47">
        <v>330</v>
      </c>
      <c r="Q601" s="85">
        <v>25</v>
      </c>
      <c r="R601" s="85">
        <v>25</v>
      </c>
      <c r="S601" s="85">
        <v>30</v>
      </c>
      <c r="T601" s="85">
        <v>30</v>
      </c>
      <c r="U601" s="85">
        <v>30</v>
      </c>
      <c r="V601" s="85">
        <v>30</v>
      </c>
      <c r="W601" s="85">
        <v>30</v>
      </c>
      <c r="X601" s="85">
        <v>35</v>
      </c>
      <c r="Y601" s="85">
        <v>35</v>
      </c>
      <c r="Z601" s="85">
        <v>40</v>
      </c>
      <c r="AA601" s="85">
        <v>35</v>
      </c>
      <c r="AB601" s="85">
        <v>55</v>
      </c>
      <c r="AC601" s="85">
        <v>55</v>
      </c>
      <c r="AD601" s="85">
        <v>40</v>
      </c>
      <c r="AE601" s="47">
        <v>5800</v>
      </c>
      <c r="AF601" s="47">
        <v>6050</v>
      </c>
      <c r="AG601" s="47">
        <v>7050</v>
      </c>
      <c r="AH601" s="47">
        <v>8130</v>
      </c>
      <c r="AI601" s="47">
        <v>8640</v>
      </c>
      <c r="AJ601" s="47">
        <v>10470</v>
      </c>
      <c r="AK601" s="47">
        <v>9780</v>
      </c>
      <c r="AL601" s="47">
        <v>11935</v>
      </c>
      <c r="AM601" s="47">
        <v>12005</v>
      </c>
      <c r="AN601" s="47">
        <v>13680</v>
      </c>
      <c r="AO601" s="47">
        <v>13930</v>
      </c>
      <c r="AP601" s="47">
        <v>19250</v>
      </c>
      <c r="AQ601" s="47">
        <v>21945</v>
      </c>
      <c r="AR601" s="47">
        <v>13200</v>
      </c>
      <c r="AS601" s="47"/>
      <c r="AT601" s="47"/>
      <c r="AU601" s="47"/>
      <c r="AV601" s="47"/>
      <c r="AW601" s="47"/>
      <c r="AX601" s="47"/>
      <c r="AY601" s="47"/>
      <c r="AZ601" s="47"/>
      <c r="BA601" s="47"/>
      <c r="BB601" s="47"/>
      <c r="BC601" s="47"/>
      <c r="BD601" s="47"/>
      <c r="BE601" s="47"/>
      <c r="BF601" s="47"/>
    </row>
    <row r="602" spans="1:58" hidden="1">
      <c r="A602" s="46" t="s">
        <v>290</v>
      </c>
      <c r="B602" s="46" t="s">
        <v>261</v>
      </c>
      <c r="C602" s="47">
        <v>70</v>
      </c>
      <c r="D602" s="47">
        <v>70</v>
      </c>
      <c r="E602" s="47">
        <v>90</v>
      </c>
      <c r="F602" s="47">
        <v>85</v>
      </c>
      <c r="G602" s="47">
        <v>88</v>
      </c>
      <c r="H602" s="47">
        <v>95</v>
      </c>
      <c r="I602" s="47">
        <v>103</v>
      </c>
      <c r="J602" s="47">
        <v>81</v>
      </c>
      <c r="K602" s="47">
        <v>53</v>
      </c>
      <c r="L602" s="47">
        <v>47</v>
      </c>
      <c r="M602" s="47">
        <v>40</v>
      </c>
      <c r="N602" s="47">
        <v>40</v>
      </c>
      <c r="O602" s="47">
        <v>40</v>
      </c>
      <c r="P602" s="47">
        <v>50</v>
      </c>
      <c r="Q602" s="85">
        <v>25</v>
      </c>
      <c r="R602" s="85">
        <v>25</v>
      </c>
      <c r="S602" s="85">
        <v>30</v>
      </c>
      <c r="T602" s="85">
        <v>25</v>
      </c>
      <c r="U602" s="85">
        <v>25</v>
      </c>
      <c r="V602" s="85">
        <v>25</v>
      </c>
      <c r="W602" s="85">
        <v>25</v>
      </c>
      <c r="X602" s="85">
        <v>30</v>
      </c>
      <c r="Y602" s="85">
        <v>30</v>
      </c>
      <c r="Z602" s="85">
        <v>30</v>
      </c>
      <c r="AA602" s="85">
        <v>30</v>
      </c>
      <c r="AB602" s="85">
        <v>30</v>
      </c>
      <c r="AC602" s="85">
        <v>30</v>
      </c>
      <c r="AD602" s="85">
        <v>20</v>
      </c>
      <c r="AE602" s="47">
        <v>1750</v>
      </c>
      <c r="AF602" s="47">
        <v>1750</v>
      </c>
      <c r="AG602" s="47">
        <v>2700</v>
      </c>
      <c r="AH602" s="47">
        <v>2125</v>
      </c>
      <c r="AI602" s="47">
        <v>2200</v>
      </c>
      <c r="AJ602" s="47">
        <v>2375</v>
      </c>
      <c r="AK602" s="47">
        <v>2575</v>
      </c>
      <c r="AL602" s="47">
        <v>2430</v>
      </c>
      <c r="AM602" s="47">
        <v>1590</v>
      </c>
      <c r="AN602" s="47">
        <v>1410</v>
      </c>
      <c r="AO602" s="47">
        <v>1200</v>
      </c>
      <c r="AP602" s="47">
        <v>1200</v>
      </c>
      <c r="AQ602" s="47">
        <v>1200</v>
      </c>
      <c r="AR602" s="47">
        <v>1000</v>
      </c>
      <c r="AS602" s="47"/>
      <c r="AT602" s="47"/>
      <c r="AU602" s="47"/>
      <c r="AV602" s="47"/>
      <c r="AW602" s="47"/>
      <c r="AX602" s="47"/>
      <c r="AY602" s="47"/>
      <c r="AZ602" s="47"/>
      <c r="BA602" s="47"/>
      <c r="BB602" s="47"/>
      <c r="BC602" s="47"/>
      <c r="BD602" s="47"/>
      <c r="BE602" s="47"/>
      <c r="BF602" s="47"/>
    </row>
    <row r="603" spans="1:58" hidden="1">
      <c r="A603" s="46" t="s">
        <v>290</v>
      </c>
      <c r="B603" s="46" t="s">
        <v>262</v>
      </c>
      <c r="C603" s="47">
        <v>0</v>
      </c>
      <c r="D603" s="47">
        <v>0</v>
      </c>
      <c r="E603" s="47">
        <v>0</v>
      </c>
      <c r="F603" s="47">
        <v>0</v>
      </c>
      <c r="G603" s="47">
        <v>0</v>
      </c>
      <c r="H603" s="47">
        <v>0</v>
      </c>
      <c r="I603" s="47">
        <v>0</v>
      </c>
      <c r="J603" s="47">
        <v>0</v>
      </c>
      <c r="K603" s="47">
        <v>0</v>
      </c>
      <c r="L603" s="47">
        <v>0</v>
      </c>
      <c r="M603" s="47">
        <v>0</v>
      </c>
      <c r="N603" s="47">
        <v>0</v>
      </c>
      <c r="O603" s="47">
        <v>0</v>
      </c>
      <c r="P603" s="47">
        <v>0</v>
      </c>
      <c r="Q603" s="85"/>
      <c r="R603" s="85"/>
      <c r="S603" s="85"/>
      <c r="T603" s="85"/>
      <c r="U603" s="85"/>
      <c r="V603" s="85"/>
      <c r="W603" s="85"/>
      <c r="X603" s="85"/>
      <c r="Y603" s="85"/>
      <c r="Z603" s="85"/>
      <c r="AA603" s="85"/>
      <c r="AB603" s="85"/>
      <c r="AC603" s="85"/>
      <c r="AD603" s="85"/>
      <c r="AE603" s="47">
        <v>0</v>
      </c>
      <c r="AF603" s="47">
        <v>0</v>
      </c>
      <c r="AG603" s="47">
        <v>0</v>
      </c>
      <c r="AH603" s="47">
        <v>0</v>
      </c>
      <c r="AI603" s="47">
        <v>0</v>
      </c>
      <c r="AJ603" s="47">
        <v>0</v>
      </c>
      <c r="AK603" s="47">
        <v>0</v>
      </c>
      <c r="AL603" s="47">
        <v>0</v>
      </c>
      <c r="AM603" s="47">
        <v>0</v>
      </c>
      <c r="AN603" s="47">
        <v>0</v>
      </c>
      <c r="AO603" s="47">
        <v>0</v>
      </c>
      <c r="AP603" s="47">
        <v>0</v>
      </c>
      <c r="AQ603" s="47">
        <v>0</v>
      </c>
      <c r="AR603" s="47">
        <v>0</v>
      </c>
      <c r="AS603" s="47"/>
      <c r="AT603" s="47"/>
      <c r="AU603" s="47"/>
      <c r="AV603" s="47"/>
      <c r="AW603" s="47"/>
      <c r="AX603" s="47"/>
      <c r="AY603" s="47"/>
      <c r="AZ603" s="47"/>
      <c r="BA603" s="47"/>
      <c r="BB603" s="47"/>
      <c r="BC603" s="47"/>
      <c r="BD603" s="47"/>
      <c r="BE603" s="47"/>
      <c r="BF603" s="47"/>
    </row>
    <row r="604" spans="1:58" hidden="1">
      <c r="A604" s="46" t="s">
        <v>290</v>
      </c>
      <c r="B604" s="46" t="s">
        <v>263</v>
      </c>
      <c r="C604" s="47">
        <v>70</v>
      </c>
      <c r="D604" s="47">
        <v>70</v>
      </c>
      <c r="E604" s="47">
        <v>90</v>
      </c>
      <c r="F604" s="47">
        <v>85</v>
      </c>
      <c r="G604" s="47">
        <v>88</v>
      </c>
      <c r="H604" s="47">
        <v>95</v>
      </c>
      <c r="I604" s="47">
        <v>103</v>
      </c>
      <c r="J604" s="47">
        <v>81</v>
      </c>
      <c r="K604" s="47">
        <v>53</v>
      </c>
      <c r="L604" s="47">
        <v>47</v>
      </c>
      <c r="M604" s="47">
        <v>40</v>
      </c>
      <c r="N604" s="47">
        <v>40</v>
      </c>
      <c r="O604" s="47">
        <v>40</v>
      </c>
      <c r="P604" s="47">
        <v>50</v>
      </c>
      <c r="Q604" s="85">
        <v>25</v>
      </c>
      <c r="R604" s="85">
        <v>25</v>
      </c>
      <c r="S604" s="85">
        <v>30</v>
      </c>
      <c r="T604" s="85">
        <v>25</v>
      </c>
      <c r="U604" s="85">
        <v>25</v>
      </c>
      <c r="V604" s="85">
        <v>25</v>
      </c>
      <c r="W604" s="85">
        <v>25</v>
      </c>
      <c r="X604" s="85">
        <v>30</v>
      </c>
      <c r="Y604" s="85">
        <v>30</v>
      </c>
      <c r="Z604" s="85">
        <v>30</v>
      </c>
      <c r="AA604" s="85">
        <v>30</v>
      </c>
      <c r="AB604" s="85">
        <v>30</v>
      </c>
      <c r="AC604" s="85">
        <v>30</v>
      </c>
      <c r="AD604" s="85">
        <v>20</v>
      </c>
      <c r="AE604" s="47">
        <v>1750</v>
      </c>
      <c r="AF604" s="47">
        <v>1750</v>
      </c>
      <c r="AG604" s="47">
        <v>2700</v>
      </c>
      <c r="AH604" s="47">
        <v>2125</v>
      </c>
      <c r="AI604" s="47">
        <v>2200</v>
      </c>
      <c r="AJ604" s="47">
        <v>2375</v>
      </c>
      <c r="AK604" s="47">
        <v>2575</v>
      </c>
      <c r="AL604" s="47">
        <v>2430</v>
      </c>
      <c r="AM604" s="47">
        <v>1590</v>
      </c>
      <c r="AN604" s="47">
        <v>1410</v>
      </c>
      <c r="AO604" s="47">
        <v>1200</v>
      </c>
      <c r="AP604" s="47">
        <v>1200</v>
      </c>
      <c r="AQ604" s="47">
        <v>1200</v>
      </c>
      <c r="AR604" s="47">
        <v>1000</v>
      </c>
      <c r="AS604" s="47"/>
      <c r="AT604" s="47"/>
      <c r="AU604" s="47"/>
      <c r="AV604" s="47"/>
      <c r="AW604" s="47"/>
      <c r="AX604" s="47"/>
      <c r="AY604" s="47"/>
      <c r="AZ604" s="47"/>
      <c r="BA604" s="47"/>
      <c r="BB604" s="47"/>
      <c r="BC604" s="47"/>
      <c r="BD604" s="47"/>
      <c r="BE604" s="47"/>
      <c r="BF604" s="47"/>
    </row>
    <row r="605" spans="1:58" hidden="1">
      <c r="A605" s="46" t="s">
        <v>290</v>
      </c>
      <c r="B605" s="46" t="s">
        <v>264</v>
      </c>
      <c r="C605" s="47">
        <v>818</v>
      </c>
      <c r="D605" s="47">
        <v>772</v>
      </c>
      <c r="E605" s="47">
        <v>732</v>
      </c>
      <c r="F605" s="47">
        <v>742</v>
      </c>
      <c r="G605" s="47">
        <v>703</v>
      </c>
      <c r="H605" s="47">
        <v>690</v>
      </c>
      <c r="I605" s="47">
        <v>632</v>
      </c>
      <c r="J605" s="47">
        <v>657</v>
      </c>
      <c r="K605" s="47">
        <v>647</v>
      </c>
      <c r="L605" s="47">
        <v>579</v>
      </c>
      <c r="M605" s="47">
        <v>515</v>
      </c>
      <c r="N605" s="47">
        <v>398</v>
      </c>
      <c r="O605" s="47">
        <v>396</v>
      </c>
      <c r="P605" s="47">
        <v>380</v>
      </c>
      <c r="Q605" s="85">
        <v>100</v>
      </c>
      <c r="R605" s="85">
        <v>100</v>
      </c>
      <c r="S605" s="85">
        <v>110</v>
      </c>
      <c r="T605" s="85">
        <v>110</v>
      </c>
      <c r="U605" s="85">
        <v>110</v>
      </c>
      <c r="V605" s="85">
        <v>110</v>
      </c>
      <c r="W605" s="85">
        <v>120</v>
      </c>
      <c r="X605" s="85">
        <v>120</v>
      </c>
      <c r="Y605" s="85">
        <v>120</v>
      </c>
      <c r="Z605" s="85">
        <v>120</v>
      </c>
      <c r="AA605" s="85">
        <v>120</v>
      </c>
      <c r="AB605" s="85">
        <v>119.97</v>
      </c>
      <c r="AC605" s="85">
        <v>100</v>
      </c>
      <c r="AD605" s="85">
        <v>115</v>
      </c>
      <c r="AE605" s="47">
        <v>81800</v>
      </c>
      <c r="AF605" s="47">
        <v>77200</v>
      </c>
      <c r="AG605" s="47">
        <v>80520</v>
      </c>
      <c r="AH605" s="47">
        <v>81620</v>
      </c>
      <c r="AI605" s="47">
        <v>77330</v>
      </c>
      <c r="AJ605" s="47">
        <v>75900</v>
      </c>
      <c r="AK605" s="47">
        <v>75840</v>
      </c>
      <c r="AL605" s="47">
        <v>78840</v>
      </c>
      <c r="AM605" s="47">
        <v>77640</v>
      </c>
      <c r="AN605" s="47">
        <v>69480</v>
      </c>
      <c r="AO605" s="47">
        <v>61800</v>
      </c>
      <c r="AP605" s="47">
        <v>47750</v>
      </c>
      <c r="AQ605" s="47">
        <v>39600</v>
      </c>
      <c r="AR605" s="47">
        <v>43700</v>
      </c>
      <c r="AS605" s="47"/>
      <c r="AT605" s="47"/>
      <c r="AU605" s="47"/>
      <c r="AV605" s="47"/>
      <c r="AW605" s="47"/>
      <c r="AX605" s="47"/>
      <c r="AY605" s="47"/>
      <c r="AZ605" s="47"/>
      <c r="BA605" s="47"/>
      <c r="BB605" s="47"/>
      <c r="BC605" s="47"/>
      <c r="BD605" s="47"/>
      <c r="BE605" s="47"/>
      <c r="BF605" s="47"/>
    </row>
    <row r="606" spans="1:58" hidden="1">
      <c r="A606" s="46" t="s">
        <v>290</v>
      </c>
      <c r="B606" s="46" t="s">
        <v>265</v>
      </c>
      <c r="C606" s="47">
        <v>0</v>
      </c>
      <c r="D606" s="47">
        <v>0</v>
      </c>
      <c r="E606" s="47">
        <v>0</v>
      </c>
      <c r="F606" s="47">
        <v>0</v>
      </c>
      <c r="G606" s="47">
        <v>0</v>
      </c>
      <c r="H606" s="47">
        <v>0</v>
      </c>
      <c r="I606" s="47">
        <v>0</v>
      </c>
      <c r="J606" s="47">
        <v>0</v>
      </c>
      <c r="K606" s="47">
        <v>0</v>
      </c>
      <c r="L606" s="47">
        <v>0</v>
      </c>
      <c r="M606" s="47">
        <v>0</v>
      </c>
      <c r="N606" s="47">
        <v>0</v>
      </c>
      <c r="O606" s="47">
        <v>0</v>
      </c>
      <c r="P606" s="47">
        <v>0</v>
      </c>
      <c r="Q606" s="85"/>
      <c r="R606" s="85"/>
      <c r="S606" s="85"/>
      <c r="T606" s="85"/>
      <c r="U606" s="85"/>
      <c r="V606" s="85"/>
      <c r="W606" s="85"/>
      <c r="X606" s="85"/>
      <c r="Y606" s="85"/>
      <c r="Z606" s="85"/>
      <c r="AA606" s="85"/>
      <c r="AB606" s="85"/>
      <c r="AC606" s="85"/>
      <c r="AD606" s="85"/>
      <c r="AE606" s="47">
        <v>0</v>
      </c>
      <c r="AF606" s="47">
        <v>0</v>
      </c>
      <c r="AG606" s="47">
        <v>0</v>
      </c>
      <c r="AH606" s="47">
        <v>0</v>
      </c>
      <c r="AI606" s="47">
        <v>0</v>
      </c>
      <c r="AJ606" s="47">
        <v>0</v>
      </c>
      <c r="AK606" s="47">
        <v>0</v>
      </c>
      <c r="AL606" s="47">
        <v>0</v>
      </c>
      <c r="AM606" s="47">
        <v>0</v>
      </c>
      <c r="AN606" s="47">
        <v>0</v>
      </c>
      <c r="AO606" s="47">
        <v>0</v>
      </c>
      <c r="AP606" s="47">
        <v>0</v>
      </c>
      <c r="AQ606" s="47">
        <v>0</v>
      </c>
      <c r="AR606" s="47">
        <v>0</v>
      </c>
      <c r="AS606" s="47"/>
      <c r="AT606" s="47"/>
      <c r="AU606" s="47"/>
      <c r="AV606" s="47"/>
      <c r="AW606" s="47"/>
      <c r="AX606" s="47"/>
      <c r="AY606" s="47"/>
      <c r="AZ606" s="47"/>
      <c r="BA606" s="47"/>
      <c r="BB606" s="47"/>
      <c r="BC606" s="47"/>
      <c r="BD606" s="47"/>
      <c r="BE606" s="47"/>
      <c r="BF606" s="47"/>
    </row>
    <row r="607" spans="1:58" hidden="1">
      <c r="A607" s="46" t="s">
        <v>290</v>
      </c>
      <c r="B607" s="46" t="s">
        <v>266</v>
      </c>
      <c r="C607" s="47">
        <v>0</v>
      </c>
      <c r="D607" s="47">
        <v>0</v>
      </c>
      <c r="E607" s="47">
        <v>0</v>
      </c>
      <c r="F607" s="47">
        <v>0</v>
      </c>
      <c r="G607" s="47">
        <v>0</v>
      </c>
      <c r="H607" s="47">
        <v>0</v>
      </c>
      <c r="I607" s="47">
        <v>0</v>
      </c>
      <c r="J607" s="47">
        <v>0</v>
      </c>
      <c r="K607" s="47">
        <v>0</v>
      </c>
      <c r="L607" s="47">
        <v>0</v>
      </c>
      <c r="M607" s="47">
        <v>0</v>
      </c>
      <c r="N607" s="47">
        <v>0</v>
      </c>
      <c r="O607" s="47">
        <v>0</v>
      </c>
      <c r="P607" s="47">
        <v>0</v>
      </c>
      <c r="Q607" s="85"/>
      <c r="R607" s="85"/>
      <c r="S607" s="85"/>
      <c r="T607" s="85"/>
      <c r="U607" s="85"/>
      <c r="V607" s="85"/>
      <c r="W607" s="85"/>
      <c r="X607" s="85"/>
      <c r="Y607" s="85"/>
      <c r="Z607" s="85"/>
      <c r="AA607" s="85"/>
      <c r="AB607" s="85"/>
      <c r="AC607" s="85"/>
      <c r="AD607" s="85"/>
      <c r="AE607" s="47">
        <v>0</v>
      </c>
      <c r="AF607" s="47">
        <v>0</v>
      </c>
      <c r="AG607" s="47">
        <v>0</v>
      </c>
      <c r="AH607" s="47">
        <v>0</v>
      </c>
      <c r="AI607" s="47">
        <v>0</v>
      </c>
      <c r="AJ607" s="47">
        <v>0</v>
      </c>
      <c r="AK607" s="47">
        <v>0</v>
      </c>
      <c r="AL607" s="47">
        <v>0</v>
      </c>
      <c r="AM607" s="47">
        <v>0</v>
      </c>
      <c r="AN607" s="47">
        <v>0</v>
      </c>
      <c r="AO607" s="47">
        <v>0</v>
      </c>
      <c r="AP607" s="47">
        <v>0</v>
      </c>
      <c r="AQ607" s="47">
        <v>0</v>
      </c>
      <c r="AR607" s="47">
        <v>0</v>
      </c>
      <c r="AS607" s="47"/>
      <c r="AT607" s="47"/>
      <c r="AU607" s="47"/>
      <c r="AV607" s="47"/>
      <c r="AW607" s="47"/>
      <c r="AX607" s="47"/>
      <c r="AY607" s="47"/>
      <c r="AZ607" s="47"/>
      <c r="BA607" s="47"/>
      <c r="BB607" s="47"/>
      <c r="BC607" s="47"/>
      <c r="BD607" s="47"/>
      <c r="BE607" s="47"/>
      <c r="BF607" s="47"/>
    </row>
    <row r="608" spans="1:58" hidden="1">
      <c r="A608" s="46" t="s">
        <v>290</v>
      </c>
      <c r="B608" s="46" t="s">
        <v>267</v>
      </c>
      <c r="C608" s="47">
        <v>818</v>
      </c>
      <c r="D608" s="47">
        <v>772</v>
      </c>
      <c r="E608" s="47">
        <v>732</v>
      </c>
      <c r="F608" s="47">
        <v>742</v>
      </c>
      <c r="G608" s="47">
        <v>703</v>
      </c>
      <c r="H608" s="47">
        <v>690</v>
      </c>
      <c r="I608" s="47">
        <v>632</v>
      </c>
      <c r="J608" s="47">
        <v>657</v>
      </c>
      <c r="K608" s="47">
        <v>647</v>
      </c>
      <c r="L608" s="47">
        <v>579</v>
      </c>
      <c r="M608" s="47">
        <v>515</v>
      </c>
      <c r="N608" s="47">
        <v>398</v>
      </c>
      <c r="O608" s="47">
        <v>396</v>
      </c>
      <c r="P608" s="47">
        <v>380</v>
      </c>
      <c r="Q608" s="85">
        <v>100</v>
      </c>
      <c r="R608" s="85">
        <v>100</v>
      </c>
      <c r="S608" s="85">
        <v>110</v>
      </c>
      <c r="T608" s="85">
        <v>110</v>
      </c>
      <c r="U608" s="85">
        <v>110</v>
      </c>
      <c r="V608" s="85">
        <v>110</v>
      </c>
      <c r="W608" s="85">
        <v>120</v>
      </c>
      <c r="X608" s="85">
        <v>120</v>
      </c>
      <c r="Y608" s="85">
        <v>120</v>
      </c>
      <c r="Z608" s="85">
        <v>120</v>
      </c>
      <c r="AA608" s="85">
        <v>120</v>
      </c>
      <c r="AB608" s="85">
        <v>119.97</v>
      </c>
      <c r="AC608" s="85">
        <v>100</v>
      </c>
      <c r="AD608" s="85">
        <v>115</v>
      </c>
      <c r="AE608" s="47">
        <v>81800</v>
      </c>
      <c r="AF608" s="47">
        <v>77200</v>
      </c>
      <c r="AG608" s="47">
        <v>80520</v>
      </c>
      <c r="AH608" s="47">
        <v>81620</v>
      </c>
      <c r="AI608" s="47">
        <v>77330</v>
      </c>
      <c r="AJ608" s="47">
        <v>75900</v>
      </c>
      <c r="AK608" s="47">
        <v>75840</v>
      </c>
      <c r="AL608" s="47">
        <v>78840</v>
      </c>
      <c r="AM608" s="47">
        <v>77640</v>
      </c>
      <c r="AN608" s="47">
        <v>69480</v>
      </c>
      <c r="AO608" s="47">
        <v>61800</v>
      </c>
      <c r="AP608" s="47">
        <v>47750</v>
      </c>
      <c r="AQ608" s="47">
        <v>39600</v>
      </c>
      <c r="AR608" s="47">
        <v>43700</v>
      </c>
      <c r="AS608" s="47"/>
      <c r="AT608" s="47"/>
      <c r="AU608" s="47"/>
      <c r="AV608" s="47"/>
      <c r="AW608" s="47"/>
      <c r="AX608" s="47"/>
      <c r="AY608" s="47"/>
      <c r="AZ608" s="47"/>
      <c r="BA608" s="47"/>
      <c r="BB608" s="47"/>
      <c r="BC608" s="47"/>
      <c r="BD608" s="47"/>
      <c r="BE608" s="47"/>
      <c r="BF608" s="47"/>
    </row>
    <row r="609" spans="1:58" hidden="1">
      <c r="A609" s="46" t="s">
        <v>290</v>
      </c>
      <c r="B609" s="46" t="s">
        <v>268</v>
      </c>
      <c r="C609" s="47">
        <v>15</v>
      </c>
      <c r="D609" s="47">
        <v>12</v>
      </c>
      <c r="E609" s="47">
        <v>10</v>
      </c>
      <c r="F609" s="47">
        <v>9</v>
      </c>
      <c r="G609" s="47">
        <v>4</v>
      </c>
      <c r="H609" s="47">
        <v>0</v>
      </c>
      <c r="I609" s="47">
        <v>0</v>
      </c>
      <c r="J609" s="47">
        <v>0</v>
      </c>
      <c r="K609" s="47">
        <v>0</v>
      </c>
      <c r="L609" s="47">
        <v>0</v>
      </c>
      <c r="M609" s="47">
        <v>0</v>
      </c>
      <c r="N609" s="47">
        <v>0</v>
      </c>
      <c r="O609" s="47">
        <v>0</v>
      </c>
      <c r="P609" s="47">
        <v>0</v>
      </c>
      <c r="Q609" s="85">
        <v>20</v>
      </c>
      <c r="R609" s="85">
        <v>20</v>
      </c>
      <c r="S609" s="85">
        <v>25</v>
      </c>
      <c r="T609" s="85">
        <v>25</v>
      </c>
      <c r="U609" s="85">
        <v>25</v>
      </c>
      <c r="V609" s="85"/>
      <c r="W609" s="85"/>
      <c r="X609" s="85"/>
      <c r="Y609" s="85"/>
      <c r="Z609" s="85"/>
      <c r="AA609" s="85"/>
      <c r="AB609" s="85"/>
      <c r="AC609" s="85"/>
      <c r="AD609" s="85"/>
      <c r="AE609" s="47">
        <v>300</v>
      </c>
      <c r="AF609" s="47">
        <v>240</v>
      </c>
      <c r="AG609" s="47">
        <v>250</v>
      </c>
      <c r="AH609" s="47">
        <v>225</v>
      </c>
      <c r="AI609" s="47">
        <v>100</v>
      </c>
      <c r="AJ609" s="47">
        <v>0</v>
      </c>
      <c r="AK609" s="47">
        <v>0</v>
      </c>
      <c r="AL609" s="47">
        <v>0</v>
      </c>
      <c r="AM609" s="47">
        <v>0</v>
      </c>
      <c r="AN609" s="47">
        <v>0</v>
      </c>
      <c r="AO609" s="47">
        <v>0</v>
      </c>
      <c r="AP609" s="47">
        <v>0</v>
      </c>
      <c r="AQ609" s="47">
        <v>0</v>
      </c>
      <c r="AR609" s="47">
        <v>0</v>
      </c>
      <c r="AS609" s="47"/>
      <c r="AT609" s="47"/>
      <c r="AU609" s="47"/>
      <c r="AV609" s="47"/>
      <c r="AW609" s="47"/>
      <c r="AX609" s="47"/>
      <c r="AY609" s="47"/>
      <c r="AZ609" s="47"/>
      <c r="BA609" s="47"/>
      <c r="BB609" s="47"/>
      <c r="BC609" s="47"/>
      <c r="BD609" s="47"/>
      <c r="BE609" s="47"/>
      <c r="BF609" s="47"/>
    </row>
    <row r="610" spans="1:58" hidden="1">
      <c r="A610" s="46" t="s">
        <v>290</v>
      </c>
      <c r="B610" s="46" t="s">
        <v>269</v>
      </c>
      <c r="C610" s="47">
        <v>130</v>
      </c>
      <c r="D610" s="47">
        <v>130</v>
      </c>
      <c r="E610" s="47">
        <v>99</v>
      </c>
      <c r="F610" s="47">
        <v>99</v>
      </c>
      <c r="G610" s="47">
        <v>134</v>
      </c>
      <c r="H610" s="47">
        <v>128</v>
      </c>
      <c r="I610" s="47">
        <v>215</v>
      </c>
      <c r="J610" s="47">
        <v>215</v>
      </c>
      <c r="K610" s="47">
        <v>136</v>
      </c>
      <c r="L610" s="47">
        <v>178</v>
      </c>
      <c r="M610" s="47">
        <v>126</v>
      </c>
      <c r="N610" s="47">
        <v>186</v>
      </c>
      <c r="O610" s="47">
        <v>173</v>
      </c>
      <c r="P610" s="47">
        <v>198</v>
      </c>
      <c r="Q610" s="85">
        <v>30</v>
      </c>
      <c r="R610" s="85">
        <v>30</v>
      </c>
      <c r="S610" s="85">
        <v>35</v>
      </c>
      <c r="T610" s="85">
        <v>35</v>
      </c>
      <c r="U610" s="85">
        <v>35</v>
      </c>
      <c r="V610" s="85">
        <v>35</v>
      </c>
      <c r="W610" s="85">
        <v>30</v>
      </c>
      <c r="X610" s="85">
        <v>35</v>
      </c>
      <c r="Y610" s="85">
        <v>35</v>
      </c>
      <c r="Z610" s="85">
        <v>40</v>
      </c>
      <c r="AA610" s="85">
        <v>40</v>
      </c>
      <c r="AB610" s="85">
        <v>55</v>
      </c>
      <c r="AC610" s="85">
        <v>55</v>
      </c>
      <c r="AD610" s="85">
        <v>40</v>
      </c>
      <c r="AE610" s="47">
        <v>3900</v>
      </c>
      <c r="AF610" s="47">
        <v>3900</v>
      </c>
      <c r="AG610" s="47">
        <v>3465</v>
      </c>
      <c r="AH610" s="47">
        <v>3465</v>
      </c>
      <c r="AI610" s="47">
        <v>4690</v>
      </c>
      <c r="AJ610" s="47">
        <v>4480</v>
      </c>
      <c r="AK610" s="47">
        <v>6450</v>
      </c>
      <c r="AL610" s="47">
        <v>7525</v>
      </c>
      <c r="AM610" s="47">
        <v>4760</v>
      </c>
      <c r="AN610" s="47">
        <v>7120</v>
      </c>
      <c r="AO610" s="47">
        <v>5040</v>
      </c>
      <c r="AP610" s="47">
        <v>10230</v>
      </c>
      <c r="AQ610" s="47">
        <v>9515</v>
      </c>
      <c r="AR610" s="47">
        <v>7920</v>
      </c>
      <c r="AS610" s="47"/>
      <c r="AT610" s="47"/>
      <c r="AU610" s="47"/>
      <c r="AV610" s="47"/>
      <c r="AW610" s="47"/>
      <c r="AX610" s="47"/>
      <c r="AY610" s="47"/>
      <c r="AZ610" s="47"/>
      <c r="BA610" s="47"/>
      <c r="BB610" s="47"/>
      <c r="BC610" s="47"/>
      <c r="BD610" s="47"/>
      <c r="BE610" s="47"/>
      <c r="BF610" s="47"/>
    </row>
    <row r="611" spans="1:58" hidden="1">
      <c r="A611" s="46" t="s">
        <v>290</v>
      </c>
      <c r="B611" s="46" t="s">
        <v>270</v>
      </c>
      <c r="C611" s="47">
        <v>0</v>
      </c>
      <c r="D611" s="47">
        <v>0</v>
      </c>
      <c r="E611" s="47">
        <v>0</v>
      </c>
      <c r="F611" s="47">
        <v>0</v>
      </c>
      <c r="G611" s="47">
        <v>0</v>
      </c>
      <c r="H611" s="47">
        <v>18</v>
      </c>
      <c r="I611" s="47">
        <v>26</v>
      </c>
      <c r="J611" s="47">
        <v>36</v>
      </c>
      <c r="K611" s="47">
        <v>23</v>
      </c>
      <c r="L611" s="47">
        <v>23</v>
      </c>
      <c r="M611" s="47">
        <v>21</v>
      </c>
      <c r="N611" s="47">
        <v>11</v>
      </c>
      <c r="O611" s="47">
        <v>49</v>
      </c>
      <c r="P611" s="47">
        <v>19</v>
      </c>
      <c r="Q611" s="85"/>
      <c r="R611" s="85"/>
      <c r="S611" s="85"/>
      <c r="T611" s="85"/>
      <c r="U611" s="85"/>
      <c r="V611" s="85"/>
      <c r="W611" s="85"/>
      <c r="X611" s="85"/>
      <c r="Y611" s="85"/>
      <c r="Z611" s="85"/>
      <c r="AA611" s="85"/>
      <c r="AB611" s="85"/>
      <c r="AC611" s="85"/>
      <c r="AD611" s="85"/>
      <c r="AE611" s="47">
        <v>0</v>
      </c>
      <c r="AF611" s="47">
        <v>0</v>
      </c>
      <c r="AG611" s="47">
        <v>0</v>
      </c>
      <c r="AH611" s="47">
        <v>0</v>
      </c>
      <c r="AI611" s="47">
        <v>0</v>
      </c>
      <c r="AJ611" s="47">
        <v>360</v>
      </c>
      <c r="AK611" s="47">
        <v>650</v>
      </c>
      <c r="AL611" s="47">
        <v>900</v>
      </c>
      <c r="AM611" s="47">
        <v>368</v>
      </c>
      <c r="AN611" s="47">
        <v>414</v>
      </c>
      <c r="AO611" s="47">
        <v>378</v>
      </c>
      <c r="AP611" s="47">
        <v>198</v>
      </c>
      <c r="AQ611" s="47">
        <v>882</v>
      </c>
      <c r="AR611" s="47">
        <v>323</v>
      </c>
      <c r="AS611" s="47"/>
      <c r="AT611" s="47"/>
      <c r="AU611" s="47"/>
      <c r="AV611" s="47"/>
      <c r="AW611" s="47"/>
      <c r="AX611" s="47"/>
      <c r="AY611" s="47"/>
      <c r="AZ611" s="47"/>
      <c r="BA611" s="47"/>
      <c r="BB611" s="47"/>
      <c r="BC611" s="47"/>
      <c r="BD611" s="47"/>
      <c r="BE611" s="47"/>
      <c r="BF611" s="47"/>
    </row>
    <row r="612" spans="1:58" hidden="1">
      <c r="A612" s="46" t="s">
        <v>290</v>
      </c>
      <c r="B612" s="46" t="s">
        <v>271</v>
      </c>
      <c r="C612" s="47">
        <v>0</v>
      </c>
      <c r="D612" s="47">
        <v>0</v>
      </c>
      <c r="E612" s="47">
        <v>0</v>
      </c>
      <c r="F612" s="47">
        <v>0</v>
      </c>
      <c r="G612" s="47">
        <v>0</v>
      </c>
      <c r="H612" s="47">
        <v>8</v>
      </c>
      <c r="I612" s="47">
        <v>17</v>
      </c>
      <c r="J612" s="47">
        <v>13</v>
      </c>
      <c r="K612" s="47">
        <v>31</v>
      </c>
      <c r="L612" s="47">
        <v>29</v>
      </c>
      <c r="M612" s="47">
        <v>23</v>
      </c>
      <c r="N612" s="47">
        <v>13</v>
      </c>
      <c r="O612" s="47">
        <v>13</v>
      </c>
      <c r="P612" s="47">
        <v>37</v>
      </c>
      <c r="Q612" s="85"/>
      <c r="R612" s="85"/>
      <c r="S612" s="85"/>
      <c r="T612" s="85"/>
      <c r="U612" s="85"/>
      <c r="V612" s="85"/>
      <c r="W612" s="85"/>
      <c r="X612" s="85"/>
      <c r="Y612" s="85"/>
      <c r="Z612" s="85"/>
      <c r="AA612" s="85"/>
      <c r="AB612" s="85"/>
      <c r="AC612" s="85"/>
      <c r="AD612" s="85"/>
      <c r="AE612" s="47">
        <v>0</v>
      </c>
      <c r="AF612" s="47">
        <v>0</v>
      </c>
      <c r="AG612" s="47">
        <v>0</v>
      </c>
      <c r="AH612" s="47">
        <v>0</v>
      </c>
      <c r="AI612" s="47">
        <v>0</v>
      </c>
      <c r="AJ612" s="47">
        <v>160</v>
      </c>
      <c r="AK612" s="47">
        <v>340</v>
      </c>
      <c r="AL612" s="47">
        <v>260</v>
      </c>
      <c r="AM612" s="47">
        <v>620</v>
      </c>
      <c r="AN612" s="47">
        <v>580</v>
      </c>
      <c r="AO612" s="47">
        <v>460</v>
      </c>
      <c r="AP612" s="47">
        <v>260</v>
      </c>
      <c r="AQ612" s="47">
        <v>260</v>
      </c>
      <c r="AR612" s="47">
        <v>814</v>
      </c>
      <c r="AS612" s="47"/>
      <c r="AT612" s="47"/>
      <c r="AU612" s="47"/>
      <c r="AV612" s="47"/>
      <c r="AW612" s="47"/>
      <c r="AX612" s="47"/>
      <c r="AY612" s="47"/>
      <c r="AZ612" s="47"/>
      <c r="BA612" s="47"/>
      <c r="BB612" s="47"/>
      <c r="BC612" s="47"/>
      <c r="BD612" s="47"/>
      <c r="BE612" s="47"/>
      <c r="BF612" s="47"/>
    </row>
    <row r="613" spans="1:58" hidden="1">
      <c r="A613" s="46" t="s">
        <v>290</v>
      </c>
      <c r="B613" s="46" t="s">
        <v>272</v>
      </c>
      <c r="C613" s="47">
        <v>1347</v>
      </c>
      <c r="D613" s="47">
        <v>1312</v>
      </c>
      <c r="E613" s="47">
        <v>1235</v>
      </c>
      <c r="F613" s="47">
        <v>1328</v>
      </c>
      <c r="G613" s="47">
        <v>1349</v>
      </c>
      <c r="H613" s="47">
        <v>1394</v>
      </c>
      <c r="I613" s="47">
        <v>1396</v>
      </c>
      <c r="J613" s="47">
        <v>1418</v>
      </c>
      <c r="K613" s="47">
        <v>1297</v>
      </c>
      <c r="L613" s="47">
        <v>1311</v>
      </c>
      <c r="M613" s="47">
        <v>1210</v>
      </c>
      <c r="N613" s="47">
        <v>1112</v>
      </c>
      <c r="O613" s="47">
        <v>1168</v>
      </c>
      <c r="P613" s="47">
        <v>1087</v>
      </c>
      <c r="Q613" s="85">
        <v>71.28</v>
      </c>
      <c r="R613" s="85">
        <v>69.91</v>
      </c>
      <c r="S613" s="85">
        <v>78.040000000000006</v>
      </c>
      <c r="T613" s="85">
        <v>75.16</v>
      </c>
      <c r="U613" s="85">
        <v>72.34</v>
      </c>
      <c r="V613" s="85">
        <v>69.91</v>
      </c>
      <c r="W613" s="85">
        <v>70.16</v>
      </c>
      <c r="X613" s="85">
        <v>73.709999999999994</v>
      </c>
      <c r="Y613" s="85">
        <v>76.5</v>
      </c>
      <c r="Z613" s="85">
        <v>74.14</v>
      </c>
      <c r="AA613" s="85">
        <v>70.95</v>
      </c>
      <c r="AB613" s="85">
        <v>77.61</v>
      </c>
      <c r="AC613" s="85">
        <v>68.3</v>
      </c>
      <c r="AD613" s="85">
        <v>64.28</v>
      </c>
      <c r="AE613" s="47">
        <v>96010</v>
      </c>
      <c r="AF613" s="47">
        <v>91720</v>
      </c>
      <c r="AG613" s="47">
        <v>96375</v>
      </c>
      <c r="AH613" s="47">
        <v>99810</v>
      </c>
      <c r="AI613" s="47">
        <v>97580</v>
      </c>
      <c r="AJ613" s="47">
        <v>97455</v>
      </c>
      <c r="AK613" s="47">
        <v>97945</v>
      </c>
      <c r="AL613" s="47">
        <v>104515</v>
      </c>
      <c r="AM613" s="47">
        <v>99223</v>
      </c>
      <c r="AN613" s="47">
        <v>97204</v>
      </c>
      <c r="AO613" s="47">
        <v>85853</v>
      </c>
      <c r="AP613" s="47">
        <v>86298</v>
      </c>
      <c r="AQ613" s="47">
        <v>79772</v>
      </c>
      <c r="AR613" s="47">
        <v>69877</v>
      </c>
      <c r="AS613" s="47"/>
      <c r="AT613" s="47"/>
      <c r="AU613" s="47"/>
      <c r="AV613" s="47"/>
      <c r="AW613" s="47"/>
      <c r="AX613" s="47"/>
      <c r="AY613" s="47"/>
      <c r="AZ613" s="47"/>
      <c r="BA613" s="47"/>
      <c r="BB613" s="47"/>
      <c r="BC613" s="47"/>
      <c r="BD613" s="47"/>
      <c r="BE613" s="47"/>
      <c r="BF613" s="47"/>
    </row>
    <row r="614" spans="1:58" hidden="1">
      <c r="A614" s="46" t="s">
        <v>290</v>
      </c>
      <c r="B614" s="46" t="s">
        <v>273</v>
      </c>
      <c r="C614" s="47">
        <v>0</v>
      </c>
      <c r="D614" s="47">
        <v>0</v>
      </c>
      <c r="E614" s="47">
        <v>0</v>
      </c>
      <c r="F614" s="47">
        <v>0</v>
      </c>
      <c r="G614" s="47">
        <v>0</v>
      </c>
      <c r="H614" s="47">
        <v>0</v>
      </c>
      <c r="I614" s="47">
        <v>0</v>
      </c>
      <c r="J614" s="47">
        <v>0</v>
      </c>
      <c r="K614" s="47">
        <v>0</v>
      </c>
      <c r="L614" s="47">
        <v>0</v>
      </c>
      <c r="M614" s="47">
        <v>0</v>
      </c>
      <c r="N614" s="47">
        <v>0</v>
      </c>
      <c r="O614" s="47">
        <v>0</v>
      </c>
      <c r="P614" s="47">
        <v>0</v>
      </c>
      <c r="Q614" s="85"/>
      <c r="R614" s="85"/>
      <c r="S614" s="85"/>
      <c r="T614" s="85"/>
      <c r="U614" s="85"/>
      <c r="V614" s="85"/>
      <c r="W614" s="85"/>
      <c r="X614" s="85"/>
      <c r="Y614" s="85"/>
      <c r="Z614" s="85"/>
      <c r="AA614" s="85"/>
      <c r="AB614" s="85"/>
      <c r="AC614" s="85"/>
      <c r="AD614" s="85"/>
      <c r="AE614" s="47">
        <v>0</v>
      </c>
      <c r="AF614" s="47">
        <v>0</v>
      </c>
      <c r="AG614" s="47">
        <v>0</v>
      </c>
      <c r="AH614" s="47">
        <v>0</v>
      </c>
      <c r="AI614" s="47">
        <v>0</v>
      </c>
      <c r="AJ614" s="47">
        <v>0</v>
      </c>
      <c r="AK614" s="47">
        <v>0</v>
      </c>
      <c r="AL614" s="47">
        <v>0</v>
      </c>
      <c r="AM614" s="47">
        <v>0</v>
      </c>
      <c r="AN614" s="47">
        <v>0</v>
      </c>
      <c r="AO614" s="47">
        <v>0</v>
      </c>
      <c r="AP614" s="47">
        <v>0</v>
      </c>
      <c r="AQ614" s="47">
        <v>0</v>
      </c>
      <c r="AR614" s="47">
        <v>0</v>
      </c>
      <c r="AS614" s="47"/>
      <c r="AT614" s="47"/>
      <c r="AU614" s="47"/>
      <c r="AV614" s="47"/>
      <c r="AW614" s="47"/>
      <c r="AX614" s="47"/>
      <c r="AY614" s="47"/>
      <c r="AZ614" s="47"/>
      <c r="BA614" s="47"/>
      <c r="BB614" s="47"/>
      <c r="BC614" s="47"/>
      <c r="BD614" s="47"/>
      <c r="BE614" s="47"/>
      <c r="BF614" s="47"/>
    </row>
    <row r="615" spans="1:58" hidden="1">
      <c r="A615" s="46" t="s">
        <v>290</v>
      </c>
      <c r="B615" s="46" t="s">
        <v>274</v>
      </c>
      <c r="C615" s="47">
        <v>0</v>
      </c>
      <c r="D615" s="47">
        <v>0</v>
      </c>
      <c r="E615" s="47">
        <v>0</v>
      </c>
      <c r="F615" s="47">
        <v>0</v>
      </c>
      <c r="G615" s="47">
        <v>0</v>
      </c>
      <c r="H615" s="47">
        <v>0</v>
      </c>
      <c r="I615" s="47">
        <v>0</v>
      </c>
      <c r="J615" s="47">
        <v>0</v>
      </c>
      <c r="K615" s="47">
        <v>0</v>
      </c>
      <c r="L615" s="47">
        <v>0</v>
      </c>
      <c r="M615" s="47">
        <v>0</v>
      </c>
      <c r="N615" s="47">
        <v>0</v>
      </c>
      <c r="O615" s="47">
        <v>0</v>
      </c>
      <c r="P615" s="47">
        <v>0</v>
      </c>
      <c r="Q615" s="85"/>
      <c r="R615" s="85"/>
      <c r="S615" s="85"/>
      <c r="T615" s="85"/>
      <c r="U615" s="85"/>
      <c r="V615" s="85"/>
      <c r="W615" s="85"/>
      <c r="X615" s="85"/>
      <c r="Y615" s="85"/>
      <c r="Z615" s="85"/>
      <c r="AA615" s="85"/>
      <c r="AB615" s="85"/>
      <c r="AC615" s="85"/>
      <c r="AD615" s="85"/>
      <c r="AE615" s="47">
        <v>0</v>
      </c>
      <c r="AF615" s="47">
        <v>0</v>
      </c>
      <c r="AG615" s="47">
        <v>0</v>
      </c>
      <c r="AH615" s="47">
        <v>0</v>
      </c>
      <c r="AI615" s="47">
        <v>0</v>
      </c>
      <c r="AJ615" s="47">
        <v>0</v>
      </c>
      <c r="AK615" s="47">
        <v>0</v>
      </c>
      <c r="AL615" s="47">
        <v>0</v>
      </c>
      <c r="AM615" s="47">
        <v>0</v>
      </c>
      <c r="AN615" s="47">
        <v>0</v>
      </c>
      <c r="AO615" s="47">
        <v>0</v>
      </c>
      <c r="AP615" s="47">
        <v>0</v>
      </c>
      <c r="AQ615" s="47">
        <v>0</v>
      </c>
      <c r="AR615" s="47">
        <v>0</v>
      </c>
      <c r="AS615" s="47"/>
      <c r="AT615" s="47"/>
      <c r="AU615" s="47"/>
      <c r="AV615" s="47"/>
      <c r="AW615" s="47"/>
      <c r="AX615" s="47"/>
      <c r="AY615" s="47"/>
      <c r="AZ615" s="47"/>
      <c r="BA615" s="47"/>
      <c r="BB615" s="47"/>
      <c r="BC615" s="47"/>
      <c r="BD615" s="47"/>
      <c r="BE615" s="47"/>
      <c r="BF615" s="47"/>
    </row>
    <row r="616" spans="1:58" hidden="1">
      <c r="A616" s="46" t="s">
        <v>290</v>
      </c>
      <c r="B616" s="46" t="s">
        <v>275</v>
      </c>
      <c r="C616" s="47">
        <v>0</v>
      </c>
      <c r="D616" s="47">
        <v>0</v>
      </c>
      <c r="E616" s="47">
        <v>0</v>
      </c>
      <c r="F616" s="47">
        <v>0</v>
      </c>
      <c r="G616" s="47">
        <v>0</v>
      </c>
      <c r="H616" s="47">
        <v>0</v>
      </c>
      <c r="I616" s="47">
        <v>0</v>
      </c>
      <c r="J616" s="47">
        <v>0</v>
      </c>
      <c r="K616" s="47">
        <v>0</v>
      </c>
      <c r="L616" s="47">
        <v>0</v>
      </c>
      <c r="M616" s="47">
        <v>0</v>
      </c>
      <c r="N616" s="47">
        <v>0</v>
      </c>
      <c r="O616" s="47">
        <v>0</v>
      </c>
      <c r="P616" s="47">
        <v>0</v>
      </c>
      <c r="Q616" s="85"/>
      <c r="R616" s="85"/>
      <c r="S616" s="85"/>
      <c r="T616" s="85"/>
      <c r="U616" s="85"/>
      <c r="V616" s="85"/>
      <c r="W616" s="85"/>
      <c r="X616" s="85"/>
      <c r="Y616" s="85"/>
      <c r="Z616" s="85"/>
      <c r="AA616" s="85"/>
      <c r="AB616" s="85"/>
      <c r="AC616" s="85"/>
      <c r="AD616" s="85"/>
      <c r="AE616" s="47">
        <v>0</v>
      </c>
      <c r="AF616" s="47">
        <v>0</v>
      </c>
      <c r="AG616" s="47">
        <v>0</v>
      </c>
      <c r="AH616" s="47">
        <v>0</v>
      </c>
      <c r="AI616" s="47">
        <v>0</v>
      </c>
      <c r="AJ616" s="47">
        <v>0</v>
      </c>
      <c r="AK616" s="47">
        <v>0</v>
      </c>
      <c r="AL616" s="47">
        <v>0</v>
      </c>
      <c r="AM616" s="47">
        <v>0</v>
      </c>
      <c r="AN616" s="47">
        <v>0</v>
      </c>
      <c r="AO616" s="47">
        <v>0</v>
      </c>
      <c r="AP616" s="47">
        <v>0</v>
      </c>
      <c r="AQ616" s="47">
        <v>0</v>
      </c>
      <c r="AR616" s="47">
        <v>0</v>
      </c>
      <c r="AS616" s="47"/>
      <c r="AT616" s="47"/>
      <c r="AU616" s="47"/>
      <c r="AV616" s="47"/>
      <c r="AW616" s="47"/>
      <c r="AX616" s="47"/>
      <c r="AY616" s="47"/>
      <c r="AZ616" s="47"/>
      <c r="BA616" s="47"/>
      <c r="BB616" s="47"/>
      <c r="BC616" s="47"/>
      <c r="BD616" s="47"/>
      <c r="BE616" s="47"/>
      <c r="BF616" s="47"/>
    </row>
    <row r="617" spans="1:58" hidden="1">
      <c r="A617" s="46" t="s">
        <v>290</v>
      </c>
      <c r="B617" s="46" t="s">
        <v>276</v>
      </c>
      <c r="C617" s="47">
        <v>1347</v>
      </c>
      <c r="D617" s="47">
        <v>1312</v>
      </c>
      <c r="E617" s="47">
        <v>1235</v>
      </c>
      <c r="F617" s="47">
        <v>1328</v>
      </c>
      <c r="G617" s="47">
        <v>1349</v>
      </c>
      <c r="H617" s="47">
        <v>1394</v>
      </c>
      <c r="I617" s="47">
        <v>1396</v>
      </c>
      <c r="J617" s="47">
        <v>1418</v>
      </c>
      <c r="K617" s="47">
        <v>1297</v>
      </c>
      <c r="L617" s="47">
        <v>1311</v>
      </c>
      <c r="M617" s="47">
        <v>1210</v>
      </c>
      <c r="N617" s="47">
        <v>1112</v>
      </c>
      <c r="O617" s="47">
        <v>1168</v>
      </c>
      <c r="P617" s="47">
        <v>1087</v>
      </c>
      <c r="Q617" s="85">
        <v>71.28</v>
      </c>
      <c r="R617" s="85">
        <v>69.91</v>
      </c>
      <c r="S617" s="85">
        <v>78.040000000000006</v>
      </c>
      <c r="T617" s="85">
        <v>75.16</v>
      </c>
      <c r="U617" s="85">
        <v>72.34</v>
      </c>
      <c r="V617" s="85">
        <v>69.91</v>
      </c>
      <c r="W617" s="85">
        <v>70.16</v>
      </c>
      <c r="X617" s="85">
        <v>73.709999999999994</v>
      </c>
      <c r="Y617" s="85">
        <v>76.5</v>
      </c>
      <c r="Z617" s="85">
        <v>74.14</v>
      </c>
      <c r="AA617" s="85">
        <v>70.95</v>
      </c>
      <c r="AB617" s="85">
        <v>77.61</v>
      </c>
      <c r="AC617" s="85">
        <v>68.3</v>
      </c>
      <c r="AD617" s="85">
        <v>64.28</v>
      </c>
      <c r="AE617" s="47">
        <v>96010</v>
      </c>
      <c r="AF617" s="47">
        <v>91720</v>
      </c>
      <c r="AG617" s="47">
        <v>96375</v>
      </c>
      <c r="AH617" s="47">
        <v>99810</v>
      </c>
      <c r="AI617" s="47">
        <v>97580</v>
      </c>
      <c r="AJ617" s="47">
        <v>97455</v>
      </c>
      <c r="AK617" s="47">
        <v>97945</v>
      </c>
      <c r="AL617" s="47">
        <v>104515</v>
      </c>
      <c r="AM617" s="47">
        <v>99223</v>
      </c>
      <c r="AN617" s="47">
        <v>97204</v>
      </c>
      <c r="AO617" s="47">
        <v>85853</v>
      </c>
      <c r="AP617" s="47">
        <v>86298</v>
      </c>
      <c r="AQ617" s="47">
        <v>79772</v>
      </c>
      <c r="AR617" s="47">
        <v>69877</v>
      </c>
      <c r="AS617" s="47"/>
      <c r="AT617" s="47"/>
      <c r="AU617" s="47"/>
      <c r="AV617" s="47"/>
      <c r="AW617" s="47"/>
      <c r="AX617" s="47"/>
      <c r="AY617" s="47"/>
      <c r="AZ617" s="47"/>
      <c r="BA617" s="47"/>
      <c r="BB617" s="47"/>
      <c r="BC617" s="47"/>
      <c r="BD617" s="47"/>
      <c r="BE617" s="47"/>
      <c r="BF617" s="47"/>
    </row>
    <row r="618" spans="1:58" hidden="1">
      <c r="A618" s="46" t="s">
        <v>290</v>
      </c>
      <c r="B618" s="46" t="s">
        <v>277</v>
      </c>
      <c r="C618" s="47"/>
      <c r="D618" s="47"/>
      <c r="E618" s="47"/>
      <c r="F618" s="47"/>
      <c r="G618" s="47"/>
      <c r="H618" s="47"/>
      <c r="I618" s="47"/>
      <c r="J618" s="47"/>
      <c r="K618" s="47"/>
      <c r="L618" s="47"/>
      <c r="M618" s="47"/>
      <c r="N618" s="47"/>
      <c r="O618" s="47"/>
      <c r="P618" s="47"/>
      <c r="Q618" s="85"/>
      <c r="R618" s="85"/>
      <c r="S618" s="85"/>
      <c r="T618" s="85"/>
      <c r="U618" s="85"/>
      <c r="V618" s="85"/>
      <c r="W618" s="85"/>
      <c r="X618" s="85"/>
      <c r="Y618" s="85"/>
      <c r="Z618" s="85"/>
      <c r="AA618" s="85"/>
      <c r="AB618" s="85"/>
      <c r="AC618" s="85"/>
      <c r="AD618" s="85"/>
      <c r="AE618" s="47">
        <v>9360</v>
      </c>
      <c r="AF618" s="47">
        <v>9850</v>
      </c>
      <c r="AG618" s="47">
        <v>9595</v>
      </c>
      <c r="AH618" s="47">
        <v>11985</v>
      </c>
      <c r="AI618" s="47">
        <v>12740</v>
      </c>
      <c r="AJ618" s="47">
        <v>13625</v>
      </c>
      <c r="AK618" s="47">
        <v>12310</v>
      </c>
      <c r="AL618" s="47">
        <v>12095</v>
      </c>
      <c r="AM618" s="47">
        <v>11255</v>
      </c>
      <c r="AN618" s="47">
        <v>12430</v>
      </c>
      <c r="AO618" s="47">
        <v>12910</v>
      </c>
      <c r="AP618" s="47">
        <v>12520</v>
      </c>
      <c r="AQ618" s="47">
        <v>13265</v>
      </c>
      <c r="AR618" s="47">
        <v>11140</v>
      </c>
      <c r="AS618" s="47"/>
      <c r="AT618" s="47"/>
      <c r="AU618" s="47"/>
      <c r="AV618" s="47"/>
      <c r="AW618" s="47"/>
      <c r="AX618" s="47"/>
      <c r="AY618" s="47"/>
      <c r="AZ618" s="47"/>
      <c r="BA618" s="47"/>
      <c r="BB618" s="47"/>
      <c r="BC618" s="47"/>
      <c r="BD618" s="47"/>
      <c r="BE618" s="47"/>
      <c r="BF618" s="47"/>
    </row>
    <row r="619" spans="1:58" hidden="1">
      <c r="A619" s="46" t="s">
        <v>290</v>
      </c>
      <c r="B619" s="46" t="s">
        <v>65</v>
      </c>
      <c r="C619" s="47">
        <v>0</v>
      </c>
      <c r="D619" s="47">
        <v>0</v>
      </c>
      <c r="E619" s="47">
        <v>0</v>
      </c>
      <c r="F619" s="47">
        <v>0</v>
      </c>
      <c r="G619" s="47">
        <v>0</v>
      </c>
      <c r="H619" s="47">
        <v>0</v>
      </c>
      <c r="I619" s="47">
        <v>0</v>
      </c>
      <c r="J619" s="47">
        <v>0</v>
      </c>
      <c r="K619" s="47">
        <v>0</v>
      </c>
      <c r="L619" s="47">
        <v>0</v>
      </c>
      <c r="M619" s="47">
        <v>0</v>
      </c>
      <c r="N619" s="47">
        <v>0</v>
      </c>
      <c r="O619" s="47">
        <v>0</v>
      </c>
      <c r="P619" s="47">
        <v>0</v>
      </c>
      <c r="Q619" s="85"/>
      <c r="R619" s="85"/>
      <c r="S619" s="85"/>
      <c r="T619" s="85"/>
      <c r="U619" s="85"/>
      <c r="V619" s="85"/>
      <c r="W619" s="85"/>
      <c r="X619" s="85"/>
      <c r="Y619" s="85"/>
      <c r="Z619" s="85"/>
      <c r="AA619" s="85"/>
      <c r="AB619" s="85"/>
      <c r="AC619" s="85"/>
      <c r="AD619" s="85"/>
      <c r="AE619" s="47">
        <v>0</v>
      </c>
      <c r="AF619" s="47">
        <v>0</v>
      </c>
      <c r="AG619" s="47">
        <v>0</v>
      </c>
      <c r="AH619" s="47">
        <v>0</v>
      </c>
      <c r="AI619" s="47">
        <v>0</v>
      </c>
      <c r="AJ619" s="47">
        <v>0</v>
      </c>
      <c r="AK619" s="47">
        <v>0</v>
      </c>
      <c r="AL619" s="47">
        <v>0</v>
      </c>
      <c r="AM619" s="47">
        <v>0</v>
      </c>
      <c r="AN619" s="47">
        <v>0</v>
      </c>
      <c r="AO619" s="47">
        <v>0</v>
      </c>
      <c r="AP619" s="47">
        <v>0</v>
      </c>
      <c r="AQ619" s="47">
        <v>0</v>
      </c>
      <c r="AR619" s="47">
        <v>0</v>
      </c>
      <c r="AS619" s="47"/>
      <c r="AT619" s="47"/>
      <c r="AU619" s="47"/>
      <c r="AV619" s="47"/>
      <c r="AW619" s="47"/>
      <c r="AX619" s="47"/>
      <c r="AY619" s="47"/>
      <c r="AZ619" s="47"/>
      <c r="BA619" s="47"/>
      <c r="BB619" s="47"/>
      <c r="BC619" s="47"/>
      <c r="BD619" s="47"/>
      <c r="BE619" s="47"/>
      <c r="BF619" s="47"/>
    </row>
    <row r="620" spans="1:58" hidden="1">
      <c r="A620" s="46" t="s">
        <v>290</v>
      </c>
      <c r="B620" s="46" t="s">
        <v>66</v>
      </c>
      <c r="C620" s="47">
        <v>0</v>
      </c>
      <c r="D620" s="47">
        <v>0</v>
      </c>
      <c r="E620" s="47">
        <v>0</v>
      </c>
      <c r="F620" s="47">
        <v>0</v>
      </c>
      <c r="G620" s="47">
        <v>0</v>
      </c>
      <c r="H620" s="47">
        <v>0</v>
      </c>
      <c r="I620" s="47">
        <v>0</v>
      </c>
      <c r="J620" s="47">
        <v>0</v>
      </c>
      <c r="K620" s="47">
        <v>0</v>
      </c>
      <c r="L620" s="47">
        <v>0</v>
      </c>
      <c r="M620" s="47">
        <v>0</v>
      </c>
      <c r="N620" s="47">
        <v>0</v>
      </c>
      <c r="O620" s="47">
        <v>0</v>
      </c>
      <c r="P620" s="47">
        <v>0</v>
      </c>
      <c r="Q620" s="85"/>
      <c r="R620" s="85"/>
      <c r="S620" s="85"/>
      <c r="T620" s="85"/>
      <c r="U620" s="85"/>
      <c r="V620" s="85"/>
      <c r="W620" s="85"/>
      <c r="X620" s="85"/>
      <c r="Y620" s="85"/>
      <c r="Z620" s="85"/>
      <c r="AA620" s="85"/>
      <c r="AB620" s="85"/>
      <c r="AC620" s="85"/>
      <c r="AD620" s="85"/>
      <c r="AE620" s="47">
        <v>0</v>
      </c>
      <c r="AF620" s="47">
        <v>0</v>
      </c>
      <c r="AG620" s="47">
        <v>0</v>
      </c>
      <c r="AH620" s="47">
        <v>0</v>
      </c>
      <c r="AI620" s="47">
        <v>0</v>
      </c>
      <c r="AJ620" s="47">
        <v>0</v>
      </c>
      <c r="AK620" s="47">
        <v>0</v>
      </c>
      <c r="AL620" s="47">
        <v>0</v>
      </c>
      <c r="AM620" s="47">
        <v>0</v>
      </c>
      <c r="AN620" s="47">
        <v>0</v>
      </c>
      <c r="AO620" s="47">
        <v>0</v>
      </c>
      <c r="AP620" s="47">
        <v>0</v>
      </c>
      <c r="AQ620" s="47">
        <v>0</v>
      </c>
      <c r="AR620" s="47">
        <v>0</v>
      </c>
      <c r="AS620" s="47"/>
      <c r="AT620" s="47"/>
      <c r="AU620" s="47"/>
      <c r="AV620" s="47"/>
      <c r="AW620" s="47"/>
      <c r="AX620" s="47"/>
      <c r="AY620" s="47"/>
      <c r="AZ620" s="47"/>
      <c r="BA620" s="47"/>
      <c r="BB620" s="47"/>
      <c r="BC620" s="47"/>
      <c r="BD620" s="47"/>
      <c r="BE620" s="47"/>
      <c r="BF620" s="47"/>
    </row>
    <row r="621" spans="1:58" hidden="1">
      <c r="A621" s="46" t="s">
        <v>290</v>
      </c>
      <c r="B621" s="46" t="s">
        <v>67</v>
      </c>
      <c r="C621" s="47">
        <v>0</v>
      </c>
      <c r="D621" s="47">
        <v>0</v>
      </c>
      <c r="E621" s="47">
        <v>0</v>
      </c>
      <c r="F621" s="47">
        <v>0</v>
      </c>
      <c r="G621" s="47">
        <v>0</v>
      </c>
      <c r="H621" s="47">
        <v>0</v>
      </c>
      <c r="I621" s="47">
        <v>0</v>
      </c>
      <c r="J621" s="47">
        <v>0</v>
      </c>
      <c r="K621" s="47">
        <v>0</v>
      </c>
      <c r="L621" s="47">
        <v>0</v>
      </c>
      <c r="M621" s="47">
        <v>0</v>
      </c>
      <c r="N621" s="47">
        <v>0</v>
      </c>
      <c r="O621" s="47">
        <v>0</v>
      </c>
      <c r="P621" s="47">
        <v>0</v>
      </c>
      <c r="Q621" s="85"/>
      <c r="R621" s="85"/>
      <c r="S621" s="85"/>
      <c r="T621" s="85"/>
      <c r="U621" s="85"/>
      <c r="V621" s="85"/>
      <c r="W621" s="85"/>
      <c r="X621" s="85"/>
      <c r="Y621" s="85"/>
      <c r="Z621" s="85"/>
      <c r="AA621" s="85"/>
      <c r="AB621" s="85"/>
      <c r="AC621" s="85"/>
      <c r="AD621" s="85"/>
      <c r="AE621" s="47">
        <v>0</v>
      </c>
      <c r="AF621" s="47">
        <v>0</v>
      </c>
      <c r="AG621" s="47">
        <v>0</v>
      </c>
      <c r="AH621" s="47">
        <v>0</v>
      </c>
      <c r="AI621" s="47">
        <v>0</v>
      </c>
      <c r="AJ621" s="47">
        <v>0</v>
      </c>
      <c r="AK621" s="47">
        <v>0</v>
      </c>
      <c r="AL621" s="47">
        <v>0</v>
      </c>
      <c r="AM621" s="47">
        <v>0</v>
      </c>
      <c r="AN621" s="47">
        <v>0</v>
      </c>
      <c r="AO621" s="47">
        <v>0</v>
      </c>
      <c r="AP621" s="47">
        <v>0</v>
      </c>
      <c r="AQ621" s="47">
        <v>0</v>
      </c>
      <c r="AR621" s="47">
        <v>0</v>
      </c>
      <c r="AS621" s="47"/>
      <c r="AT621" s="47"/>
      <c r="AU621" s="47"/>
      <c r="AV621" s="47"/>
      <c r="AW621" s="47"/>
      <c r="AX621" s="47"/>
      <c r="AY621" s="47"/>
      <c r="AZ621" s="47"/>
      <c r="BA621" s="47"/>
      <c r="BB621" s="47"/>
      <c r="BC621" s="47"/>
      <c r="BD621" s="47"/>
      <c r="BE621" s="47"/>
      <c r="BF621" s="47"/>
    </row>
    <row r="622" spans="1:58" hidden="1">
      <c r="A622" s="46" t="s">
        <v>290</v>
      </c>
      <c r="B622" s="46" t="s">
        <v>68</v>
      </c>
      <c r="C622" s="47">
        <v>15</v>
      </c>
      <c r="D622" s="47">
        <v>13</v>
      </c>
      <c r="E622" s="47">
        <v>0</v>
      </c>
      <c r="F622" s="47">
        <v>0</v>
      </c>
      <c r="G622" s="47">
        <v>0</v>
      </c>
      <c r="H622" s="47">
        <v>0</v>
      </c>
      <c r="I622" s="47">
        <v>0</v>
      </c>
      <c r="J622" s="47">
        <v>0</v>
      </c>
      <c r="K622" s="47">
        <v>0</v>
      </c>
      <c r="L622" s="47">
        <v>0</v>
      </c>
      <c r="M622" s="47">
        <v>0</v>
      </c>
      <c r="N622" s="47">
        <v>0</v>
      </c>
      <c r="O622" s="47">
        <v>37</v>
      </c>
      <c r="P622" s="47">
        <v>25</v>
      </c>
      <c r="Q622" s="85">
        <v>18</v>
      </c>
      <c r="R622" s="85">
        <v>18</v>
      </c>
      <c r="S622" s="85"/>
      <c r="T622" s="85"/>
      <c r="U622" s="85"/>
      <c r="V622" s="85"/>
      <c r="W622" s="85"/>
      <c r="X622" s="85"/>
      <c r="Y622" s="85"/>
      <c r="Z622" s="85"/>
      <c r="AA622" s="85"/>
      <c r="AB622" s="85"/>
      <c r="AC622" s="85">
        <v>20</v>
      </c>
      <c r="AD622" s="85">
        <v>15</v>
      </c>
      <c r="AE622" s="47">
        <v>270</v>
      </c>
      <c r="AF622" s="47">
        <v>234</v>
      </c>
      <c r="AG622" s="47">
        <v>0</v>
      </c>
      <c r="AH622" s="47">
        <v>0</v>
      </c>
      <c r="AI622" s="47">
        <v>0</v>
      </c>
      <c r="AJ622" s="47">
        <v>0</v>
      </c>
      <c r="AK622" s="47">
        <v>0</v>
      </c>
      <c r="AL622" s="47">
        <v>0</v>
      </c>
      <c r="AM622" s="47">
        <v>0</v>
      </c>
      <c r="AN622" s="47">
        <v>0</v>
      </c>
      <c r="AO622" s="47">
        <v>0</v>
      </c>
      <c r="AP622" s="47">
        <v>0</v>
      </c>
      <c r="AQ622" s="47">
        <v>740</v>
      </c>
      <c r="AR622" s="47">
        <v>375</v>
      </c>
      <c r="AS622" s="47"/>
      <c r="AT622" s="47"/>
      <c r="AU622" s="47"/>
      <c r="AV622" s="47"/>
      <c r="AW622" s="47"/>
      <c r="AX622" s="47"/>
      <c r="AY622" s="47"/>
      <c r="AZ622" s="47"/>
      <c r="BA622" s="47"/>
      <c r="BB622" s="47"/>
      <c r="BC622" s="47"/>
      <c r="BD622" s="47"/>
      <c r="BE622" s="47"/>
      <c r="BF622" s="47"/>
    </row>
    <row r="623" spans="1:58" hidden="1">
      <c r="A623" s="46" t="s">
        <v>290</v>
      </c>
      <c r="B623" s="46" t="s">
        <v>69</v>
      </c>
      <c r="C623" s="47">
        <v>0</v>
      </c>
      <c r="D623" s="47">
        <v>0</v>
      </c>
      <c r="E623" s="47">
        <v>0</v>
      </c>
      <c r="F623" s="47">
        <v>0</v>
      </c>
      <c r="G623" s="47">
        <v>0</v>
      </c>
      <c r="H623" s="47">
        <v>0</v>
      </c>
      <c r="I623" s="47">
        <v>0</v>
      </c>
      <c r="J623" s="47">
        <v>0</v>
      </c>
      <c r="K623" s="47">
        <v>0</v>
      </c>
      <c r="L623" s="47">
        <v>0</v>
      </c>
      <c r="M623" s="47">
        <v>0</v>
      </c>
      <c r="N623" s="47">
        <v>0</v>
      </c>
      <c r="O623" s="47">
        <v>0</v>
      </c>
      <c r="P623" s="47">
        <v>0</v>
      </c>
      <c r="Q623" s="85"/>
      <c r="R623" s="85"/>
      <c r="S623" s="85"/>
      <c r="T623" s="85"/>
      <c r="U623" s="85"/>
      <c r="V623" s="85"/>
      <c r="W623" s="85"/>
      <c r="X623" s="85"/>
      <c r="Y623" s="85"/>
      <c r="Z623" s="85"/>
      <c r="AA623" s="85"/>
      <c r="AB623" s="85"/>
      <c r="AC623" s="85"/>
      <c r="AD623" s="85"/>
      <c r="AE623" s="47">
        <v>0</v>
      </c>
      <c r="AF623" s="47">
        <v>0</v>
      </c>
      <c r="AG623" s="47">
        <v>0</v>
      </c>
      <c r="AH623" s="47">
        <v>0</v>
      </c>
      <c r="AI623" s="47">
        <v>0</v>
      </c>
      <c r="AJ623" s="47">
        <v>0</v>
      </c>
      <c r="AK623" s="47">
        <v>0</v>
      </c>
      <c r="AL623" s="47">
        <v>0</v>
      </c>
      <c r="AM623" s="47">
        <v>0</v>
      </c>
      <c r="AN623" s="47">
        <v>0</v>
      </c>
      <c r="AO623" s="47">
        <v>0</v>
      </c>
      <c r="AP623" s="47">
        <v>0</v>
      </c>
      <c r="AQ623" s="47">
        <v>0</v>
      </c>
      <c r="AR623" s="47">
        <v>0</v>
      </c>
      <c r="AS623" s="47"/>
      <c r="AT623" s="47"/>
      <c r="AU623" s="47"/>
      <c r="AV623" s="47"/>
      <c r="AW623" s="47"/>
      <c r="AX623" s="47"/>
      <c r="AY623" s="47"/>
      <c r="AZ623" s="47"/>
      <c r="BA623" s="47"/>
      <c r="BB623" s="47"/>
      <c r="BC623" s="47"/>
      <c r="BD623" s="47"/>
      <c r="BE623" s="47"/>
      <c r="BF623" s="47"/>
    </row>
    <row r="624" spans="1:58" hidden="1">
      <c r="A624" s="46" t="s">
        <v>290</v>
      </c>
      <c r="B624" s="46" t="s">
        <v>70</v>
      </c>
      <c r="C624" s="47">
        <v>0</v>
      </c>
      <c r="D624" s="47">
        <v>0</v>
      </c>
      <c r="E624" s="47">
        <v>0</v>
      </c>
      <c r="F624" s="47">
        <v>0</v>
      </c>
      <c r="G624" s="47">
        <v>0</v>
      </c>
      <c r="H624" s="47">
        <v>0</v>
      </c>
      <c r="I624" s="47">
        <v>0</v>
      </c>
      <c r="J624" s="47">
        <v>0</v>
      </c>
      <c r="K624" s="47">
        <v>0</v>
      </c>
      <c r="L624" s="47">
        <v>0</v>
      </c>
      <c r="M624" s="47">
        <v>0</v>
      </c>
      <c r="N624" s="47">
        <v>0</v>
      </c>
      <c r="O624" s="47">
        <v>0</v>
      </c>
      <c r="P624" s="47">
        <v>0</v>
      </c>
      <c r="Q624" s="85"/>
      <c r="R624" s="85"/>
      <c r="S624" s="85"/>
      <c r="T624" s="85"/>
      <c r="U624" s="85"/>
      <c r="V624" s="85"/>
      <c r="W624" s="85"/>
      <c r="X624" s="85"/>
      <c r="Y624" s="85"/>
      <c r="Z624" s="85"/>
      <c r="AA624" s="85"/>
      <c r="AB624" s="85"/>
      <c r="AC624" s="85"/>
      <c r="AD624" s="85"/>
      <c r="AE624" s="47">
        <v>0</v>
      </c>
      <c r="AF624" s="47">
        <v>0</v>
      </c>
      <c r="AG624" s="47">
        <v>0</v>
      </c>
      <c r="AH624" s="47">
        <v>0</v>
      </c>
      <c r="AI624" s="47">
        <v>0</v>
      </c>
      <c r="AJ624" s="47">
        <v>0</v>
      </c>
      <c r="AK624" s="47">
        <v>0</v>
      </c>
      <c r="AL624" s="47">
        <v>0</v>
      </c>
      <c r="AM624" s="47">
        <v>0</v>
      </c>
      <c r="AN624" s="47">
        <v>0</v>
      </c>
      <c r="AO624" s="47">
        <v>0</v>
      </c>
      <c r="AP624" s="47">
        <v>0</v>
      </c>
      <c r="AQ624" s="47">
        <v>0</v>
      </c>
      <c r="AR624" s="47">
        <v>0</v>
      </c>
      <c r="AS624" s="47"/>
      <c r="AT624" s="47"/>
      <c r="AU624" s="47"/>
      <c r="AV624" s="47"/>
      <c r="AW624" s="47"/>
      <c r="AX624" s="47"/>
      <c r="AY624" s="47"/>
      <c r="AZ624" s="47"/>
      <c r="BA624" s="47"/>
      <c r="BB624" s="47"/>
      <c r="BC624" s="47"/>
      <c r="BD624" s="47"/>
      <c r="BE624" s="47"/>
      <c r="BF624" s="47"/>
    </row>
    <row r="625" spans="1:58" hidden="1">
      <c r="A625" s="46" t="s">
        <v>290</v>
      </c>
      <c r="B625" s="46" t="s">
        <v>71</v>
      </c>
      <c r="C625" s="47">
        <v>0</v>
      </c>
      <c r="D625" s="47">
        <v>0</v>
      </c>
      <c r="E625" s="47">
        <v>0</v>
      </c>
      <c r="F625" s="47">
        <v>0</v>
      </c>
      <c r="G625" s="47">
        <v>0</v>
      </c>
      <c r="H625" s="47">
        <v>5</v>
      </c>
      <c r="I625" s="47">
        <v>10</v>
      </c>
      <c r="J625" s="47">
        <v>12</v>
      </c>
      <c r="K625" s="47">
        <v>12</v>
      </c>
      <c r="L625" s="47">
        <v>13</v>
      </c>
      <c r="M625" s="47">
        <v>14</v>
      </c>
      <c r="N625" s="47">
        <v>10</v>
      </c>
      <c r="O625" s="47">
        <v>22</v>
      </c>
      <c r="P625" s="47">
        <v>15</v>
      </c>
      <c r="Q625" s="85"/>
      <c r="R625" s="85"/>
      <c r="S625" s="85"/>
      <c r="T625" s="85"/>
      <c r="U625" s="85"/>
      <c r="V625" s="85"/>
      <c r="W625" s="85"/>
      <c r="X625" s="85"/>
      <c r="Y625" s="85"/>
      <c r="Z625" s="85"/>
      <c r="AA625" s="85"/>
      <c r="AB625" s="85"/>
      <c r="AC625" s="85"/>
      <c r="AD625" s="85"/>
      <c r="AE625" s="47">
        <v>0</v>
      </c>
      <c r="AF625" s="47">
        <v>0</v>
      </c>
      <c r="AG625" s="47">
        <v>0</v>
      </c>
      <c r="AH625" s="47">
        <v>0</v>
      </c>
      <c r="AI625" s="47">
        <v>0</v>
      </c>
      <c r="AJ625" s="47">
        <v>75</v>
      </c>
      <c r="AK625" s="47">
        <v>150</v>
      </c>
      <c r="AL625" s="47">
        <v>180</v>
      </c>
      <c r="AM625" s="47">
        <v>180</v>
      </c>
      <c r="AN625" s="47">
        <v>195</v>
      </c>
      <c r="AO625" s="47">
        <v>210</v>
      </c>
      <c r="AP625" s="47">
        <v>150</v>
      </c>
      <c r="AQ625" s="47">
        <v>330</v>
      </c>
      <c r="AR625" s="47">
        <v>225</v>
      </c>
      <c r="AS625" s="47"/>
      <c r="AT625" s="47"/>
      <c r="AU625" s="47"/>
      <c r="AV625" s="47"/>
      <c r="AW625" s="47"/>
      <c r="AX625" s="47"/>
      <c r="AY625" s="47"/>
      <c r="AZ625" s="47"/>
      <c r="BA625" s="47"/>
      <c r="BB625" s="47"/>
      <c r="BC625" s="47"/>
      <c r="BD625" s="47"/>
      <c r="BE625" s="47"/>
      <c r="BF625" s="47"/>
    </row>
    <row r="626" spans="1:58" hidden="1">
      <c r="A626" s="46" t="s">
        <v>290</v>
      </c>
      <c r="B626" s="46" t="s">
        <v>72</v>
      </c>
      <c r="C626" s="47">
        <v>15</v>
      </c>
      <c r="D626" s="47">
        <v>13</v>
      </c>
      <c r="E626" s="47">
        <v>0</v>
      </c>
      <c r="F626" s="47">
        <v>0</v>
      </c>
      <c r="G626" s="47">
        <v>0</v>
      </c>
      <c r="H626" s="47">
        <v>5</v>
      </c>
      <c r="I626" s="47">
        <v>10</v>
      </c>
      <c r="J626" s="47">
        <v>12</v>
      </c>
      <c r="K626" s="47">
        <v>12</v>
      </c>
      <c r="L626" s="47">
        <v>13</v>
      </c>
      <c r="M626" s="47">
        <v>14</v>
      </c>
      <c r="N626" s="47">
        <v>10</v>
      </c>
      <c r="O626" s="47">
        <v>59</v>
      </c>
      <c r="P626" s="47">
        <v>40</v>
      </c>
      <c r="Q626" s="85">
        <v>18</v>
      </c>
      <c r="R626" s="85">
        <v>18</v>
      </c>
      <c r="S626" s="85"/>
      <c r="T626" s="85"/>
      <c r="U626" s="85"/>
      <c r="V626" s="85">
        <v>15</v>
      </c>
      <c r="W626" s="85">
        <v>15</v>
      </c>
      <c r="X626" s="85">
        <v>15</v>
      </c>
      <c r="Y626" s="85">
        <v>15</v>
      </c>
      <c r="Z626" s="85">
        <v>15</v>
      </c>
      <c r="AA626" s="85">
        <v>15</v>
      </c>
      <c r="AB626" s="85">
        <v>15</v>
      </c>
      <c r="AC626" s="85">
        <v>18.14</v>
      </c>
      <c r="AD626" s="85">
        <v>15</v>
      </c>
      <c r="AE626" s="47">
        <v>270</v>
      </c>
      <c r="AF626" s="47">
        <v>234</v>
      </c>
      <c r="AG626" s="47">
        <v>0</v>
      </c>
      <c r="AH626" s="47">
        <v>0</v>
      </c>
      <c r="AI626" s="47">
        <v>0</v>
      </c>
      <c r="AJ626" s="47">
        <v>75</v>
      </c>
      <c r="AK626" s="47">
        <v>150</v>
      </c>
      <c r="AL626" s="47">
        <v>180</v>
      </c>
      <c r="AM626" s="47">
        <v>180</v>
      </c>
      <c r="AN626" s="47">
        <v>195</v>
      </c>
      <c r="AO626" s="47">
        <v>210</v>
      </c>
      <c r="AP626" s="47">
        <v>150</v>
      </c>
      <c r="AQ626" s="47">
        <v>1070</v>
      </c>
      <c r="AR626" s="47">
        <v>600</v>
      </c>
      <c r="AS626" s="47"/>
      <c r="AT626" s="47"/>
      <c r="AU626" s="47"/>
      <c r="AV626" s="47"/>
      <c r="AW626" s="47"/>
      <c r="AX626" s="47"/>
      <c r="AY626" s="47"/>
      <c r="AZ626" s="47"/>
      <c r="BA626" s="47"/>
      <c r="BB626" s="47"/>
      <c r="BC626" s="47"/>
      <c r="BD626" s="47"/>
      <c r="BE626" s="47"/>
      <c r="BF626" s="47"/>
    </row>
    <row r="627" spans="1:58" hidden="1">
      <c r="A627" s="46" t="s">
        <v>290</v>
      </c>
      <c r="B627" s="46" t="s">
        <v>73</v>
      </c>
      <c r="C627" s="47">
        <v>0</v>
      </c>
      <c r="D627" s="47">
        <v>0</v>
      </c>
      <c r="E627" s="47">
        <v>0</v>
      </c>
      <c r="F627" s="47">
        <v>0</v>
      </c>
      <c r="G627" s="47">
        <v>0</v>
      </c>
      <c r="H627" s="47">
        <v>0</v>
      </c>
      <c r="I627" s="47">
        <v>0</v>
      </c>
      <c r="J627" s="47">
        <v>0</v>
      </c>
      <c r="K627" s="47">
        <v>0</v>
      </c>
      <c r="L627" s="47">
        <v>0</v>
      </c>
      <c r="M627" s="47">
        <v>0</v>
      </c>
      <c r="N627" s="47">
        <v>0</v>
      </c>
      <c r="O627" s="47">
        <v>0</v>
      </c>
      <c r="P627" s="47">
        <v>0</v>
      </c>
      <c r="Q627" s="85"/>
      <c r="R627" s="85"/>
      <c r="S627" s="85"/>
      <c r="T627" s="85"/>
      <c r="U627" s="85"/>
      <c r="V627" s="85"/>
      <c r="W627" s="85"/>
      <c r="X627" s="85"/>
      <c r="Y627" s="85"/>
      <c r="Z627" s="85"/>
      <c r="AA627" s="85"/>
      <c r="AB627" s="85"/>
      <c r="AC627" s="85"/>
      <c r="AD627" s="85"/>
      <c r="AE627" s="47">
        <v>0</v>
      </c>
      <c r="AF627" s="47">
        <v>0</v>
      </c>
      <c r="AG627" s="47">
        <v>0</v>
      </c>
      <c r="AH627" s="47">
        <v>0</v>
      </c>
      <c r="AI627" s="47">
        <v>0</v>
      </c>
      <c r="AJ627" s="47">
        <v>0</v>
      </c>
      <c r="AK627" s="47">
        <v>0</v>
      </c>
      <c r="AL627" s="47">
        <v>0</v>
      </c>
      <c r="AM627" s="47">
        <v>0</v>
      </c>
      <c r="AN627" s="47">
        <v>0</v>
      </c>
      <c r="AO627" s="47">
        <v>0</v>
      </c>
      <c r="AP627" s="47">
        <v>0</v>
      </c>
      <c r="AQ627" s="47">
        <v>0</v>
      </c>
      <c r="AR627" s="47">
        <v>0</v>
      </c>
      <c r="AS627" s="47"/>
      <c r="AT627" s="47"/>
      <c r="AU627" s="47"/>
      <c r="AV627" s="47"/>
      <c r="AW627" s="47"/>
      <c r="AX627" s="47"/>
      <c r="AY627" s="47"/>
      <c r="AZ627" s="47"/>
      <c r="BA627" s="47"/>
      <c r="BB627" s="47"/>
      <c r="BC627" s="47"/>
      <c r="BD627" s="47"/>
      <c r="BE627" s="47"/>
      <c r="BF627" s="47"/>
    </row>
    <row r="628" spans="1:58" hidden="1">
      <c r="A628" s="46" t="s">
        <v>290</v>
      </c>
      <c r="B628" s="46" t="s">
        <v>74</v>
      </c>
      <c r="C628" s="47">
        <v>35</v>
      </c>
      <c r="D628" s="47">
        <v>35</v>
      </c>
      <c r="E628" s="47">
        <v>10</v>
      </c>
      <c r="F628" s="47">
        <v>5</v>
      </c>
      <c r="G628" s="47">
        <v>10</v>
      </c>
      <c r="H628" s="47">
        <v>10</v>
      </c>
      <c r="I628" s="47">
        <v>25</v>
      </c>
      <c r="J628" s="47">
        <v>32</v>
      </c>
      <c r="K628" s="47">
        <v>5</v>
      </c>
      <c r="L628" s="47">
        <v>5</v>
      </c>
      <c r="M628" s="47">
        <v>5</v>
      </c>
      <c r="N628" s="47">
        <v>5</v>
      </c>
      <c r="O628" s="47">
        <v>5</v>
      </c>
      <c r="P628" s="47">
        <v>0</v>
      </c>
      <c r="Q628" s="85">
        <v>25</v>
      </c>
      <c r="R628" s="85">
        <v>25</v>
      </c>
      <c r="S628" s="85">
        <v>25</v>
      </c>
      <c r="T628" s="85">
        <v>20</v>
      </c>
      <c r="U628" s="85">
        <v>20</v>
      </c>
      <c r="V628" s="85">
        <v>20</v>
      </c>
      <c r="W628" s="85">
        <v>20</v>
      </c>
      <c r="X628" s="85">
        <v>20</v>
      </c>
      <c r="Y628" s="85">
        <v>20</v>
      </c>
      <c r="Z628" s="85">
        <v>23</v>
      </c>
      <c r="AA628" s="85">
        <v>23</v>
      </c>
      <c r="AB628" s="85">
        <v>25</v>
      </c>
      <c r="AC628" s="85">
        <v>25</v>
      </c>
      <c r="AD628" s="85"/>
      <c r="AE628" s="47">
        <v>875</v>
      </c>
      <c r="AF628" s="47">
        <v>875</v>
      </c>
      <c r="AG628" s="47">
        <v>250</v>
      </c>
      <c r="AH628" s="47">
        <v>100</v>
      </c>
      <c r="AI628" s="47">
        <v>200</v>
      </c>
      <c r="AJ628" s="47">
        <v>200</v>
      </c>
      <c r="AK628" s="47">
        <v>500</v>
      </c>
      <c r="AL628" s="47">
        <v>640</v>
      </c>
      <c r="AM628" s="47">
        <v>100</v>
      </c>
      <c r="AN628" s="47">
        <v>115</v>
      </c>
      <c r="AO628" s="47">
        <v>115</v>
      </c>
      <c r="AP628" s="47">
        <v>125</v>
      </c>
      <c r="AQ628" s="47">
        <v>125</v>
      </c>
      <c r="AR628" s="47">
        <v>0</v>
      </c>
      <c r="AS628" s="47"/>
      <c r="AT628" s="47"/>
      <c r="AU628" s="47"/>
      <c r="AV628" s="47"/>
      <c r="AW628" s="47"/>
      <c r="AX628" s="47"/>
      <c r="AY628" s="47"/>
      <c r="AZ628" s="47"/>
      <c r="BA628" s="47"/>
      <c r="BB628" s="47"/>
      <c r="BC628" s="47"/>
      <c r="BD628" s="47"/>
      <c r="BE628" s="47"/>
      <c r="BF628" s="47"/>
    </row>
    <row r="629" spans="1:58" hidden="1">
      <c r="A629" s="46" t="s">
        <v>290</v>
      </c>
      <c r="B629" s="46" t="s">
        <v>75</v>
      </c>
      <c r="C629" s="47">
        <v>0</v>
      </c>
      <c r="D629" s="47">
        <v>0</v>
      </c>
      <c r="E629" s="47">
        <v>0</v>
      </c>
      <c r="F629" s="47">
        <v>0</v>
      </c>
      <c r="G629" s="47">
        <v>0</v>
      </c>
      <c r="H629" s="47">
        <v>0</v>
      </c>
      <c r="I629" s="47">
        <v>0</v>
      </c>
      <c r="J629" s="47">
        <v>0</v>
      </c>
      <c r="K629" s="47">
        <v>0</v>
      </c>
      <c r="L629" s="47">
        <v>0</v>
      </c>
      <c r="M629" s="47">
        <v>0</v>
      </c>
      <c r="N629" s="47">
        <v>0</v>
      </c>
      <c r="O629" s="47">
        <v>0</v>
      </c>
      <c r="P629" s="47">
        <v>0</v>
      </c>
      <c r="Q629" s="85"/>
      <c r="R629" s="85"/>
      <c r="S629" s="85"/>
      <c r="T629" s="85"/>
      <c r="U629" s="85"/>
      <c r="V629" s="85"/>
      <c r="W629" s="85"/>
      <c r="X629" s="85"/>
      <c r="Y629" s="85"/>
      <c r="Z629" s="85"/>
      <c r="AA629" s="85"/>
      <c r="AB629" s="85"/>
      <c r="AC629" s="85"/>
      <c r="AD629" s="85"/>
      <c r="AE629" s="47">
        <v>0</v>
      </c>
      <c r="AF629" s="47">
        <v>0</v>
      </c>
      <c r="AG629" s="47">
        <v>0</v>
      </c>
      <c r="AH629" s="47">
        <v>0</v>
      </c>
      <c r="AI629" s="47">
        <v>0</v>
      </c>
      <c r="AJ629" s="47">
        <v>0</v>
      </c>
      <c r="AK629" s="47">
        <v>0</v>
      </c>
      <c r="AL629" s="47">
        <v>0</v>
      </c>
      <c r="AM629" s="47">
        <v>0</v>
      </c>
      <c r="AN629" s="47">
        <v>0</v>
      </c>
      <c r="AO629" s="47">
        <v>0</v>
      </c>
      <c r="AP629" s="47">
        <v>0</v>
      </c>
      <c r="AQ629" s="47">
        <v>0</v>
      </c>
      <c r="AR629" s="47">
        <v>0</v>
      </c>
      <c r="AS629" s="47"/>
      <c r="AT629" s="47"/>
      <c r="AU629" s="47"/>
      <c r="AV629" s="47"/>
      <c r="AW629" s="47"/>
      <c r="AX629" s="47"/>
      <c r="AY629" s="47"/>
      <c r="AZ629" s="47"/>
      <c r="BA629" s="47"/>
      <c r="BB629" s="47"/>
      <c r="BC629" s="47"/>
      <c r="BD629" s="47"/>
      <c r="BE629" s="47"/>
      <c r="BF629" s="47"/>
    </row>
    <row r="630" spans="1:58" hidden="1">
      <c r="A630" s="46" t="s">
        <v>290</v>
      </c>
      <c r="B630" s="46" t="s">
        <v>76</v>
      </c>
      <c r="C630" s="47">
        <v>0</v>
      </c>
      <c r="D630" s="47">
        <v>0</v>
      </c>
      <c r="E630" s="47">
        <v>0</v>
      </c>
      <c r="F630" s="47">
        <v>0</v>
      </c>
      <c r="G630" s="47">
        <v>0</v>
      </c>
      <c r="H630" s="47">
        <v>0</v>
      </c>
      <c r="I630" s="47">
        <v>0</v>
      </c>
      <c r="J630" s="47">
        <v>0</v>
      </c>
      <c r="K630" s="47">
        <v>0</v>
      </c>
      <c r="L630" s="47">
        <v>0</v>
      </c>
      <c r="M630" s="47">
        <v>0</v>
      </c>
      <c r="N630" s="47">
        <v>0</v>
      </c>
      <c r="O630" s="47">
        <v>0</v>
      </c>
      <c r="P630" s="47">
        <v>0</v>
      </c>
      <c r="Q630" s="85"/>
      <c r="R630" s="85"/>
      <c r="S630" s="85"/>
      <c r="T630" s="85"/>
      <c r="U630" s="85"/>
      <c r="V630" s="85"/>
      <c r="W630" s="85"/>
      <c r="X630" s="85"/>
      <c r="Y630" s="85"/>
      <c r="Z630" s="85"/>
      <c r="AA630" s="85"/>
      <c r="AB630" s="85"/>
      <c r="AC630" s="85"/>
      <c r="AD630" s="85"/>
      <c r="AE630" s="47">
        <v>0</v>
      </c>
      <c r="AF630" s="47">
        <v>0</v>
      </c>
      <c r="AG630" s="47">
        <v>0</v>
      </c>
      <c r="AH630" s="47">
        <v>0</v>
      </c>
      <c r="AI630" s="47">
        <v>0</v>
      </c>
      <c r="AJ630" s="47">
        <v>0</v>
      </c>
      <c r="AK630" s="47">
        <v>0</v>
      </c>
      <c r="AL630" s="47">
        <v>0</v>
      </c>
      <c r="AM630" s="47">
        <v>0</v>
      </c>
      <c r="AN630" s="47">
        <v>0</v>
      </c>
      <c r="AO630" s="47">
        <v>0</v>
      </c>
      <c r="AP630" s="47">
        <v>0</v>
      </c>
      <c r="AQ630" s="47">
        <v>0</v>
      </c>
      <c r="AR630" s="47">
        <v>0</v>
      </c>
      <c r="AS630" s="47"/>
      <c r="AT630" s="47"/>
      <c r="AU630" s="47"/>
      <c r="AV630" s="47"/>
      <c r="AW630" s="47"/>
      <c r="AX630" s="47"/>
      <c r="AY630" s="47"/>
      <c r="AZ630" s="47"/>
      <c r="BA630" s="47"/>
      <c r="BB630" s="47"/>
      <c r="BC630" s="47"/>
      <c r="BD630" s="47"/>
      <c r="BE630" s="47"/>
      <c r="BF630" s="47"/>
    </row>
    <row r="631" spans="1:58" hidden="1">
      <c r="A631" s="46" t="s">
        <v>290</v>
      </c>
      <c r="B631" s="46" t="s">
        <v>77</v>
      </c>
      <c r="C631" s="47">
        <v>13</v>
      </c>
      <c r="D631" s="47">
        <v>10</v>
      </c>
      <c r="E631" s="47">
        <v>5</v>
      </c>
      <c r="F631" s="47">
        <v>25</v>
      </c>
      <c r="G631" s="47">
        <v>25</v>
      </c>
      <c r="H631" s="47">
        <v>5</v>
      </c>
      <c r="I631" s="47">
        <v>5</v>
      </c>
      <c r="J631" s="47">
        <v>75</v>
      </c>
      <c r="K631" s="47">
        <v>5</v>
      </c>
      <c r="L631" s="47">
        <v>5</v>
      </c>
      <c r="M631" s="47">
        <v>5</v>
      </c>
      <c r="N631" s="47">
        <v>5</v>
      </c>
      <c r="O631" s="47">
        <v>5</v>
      </c>
      <c r="P631" s="47">
        <v>7</v>
      </c>
      <c r="Q631" s="85">
        <v>25.31</v>
      </c>
      <c r="R631" s="85">
        <v>20</v>
      </c>
      <c r="S631" s="85">
        <v>20</v>
      </c>
      <c r="T631" s="85">
        <v>25</v>
      </c>
      <c r="U631" s="85">
        <v>25</v>
      </c>
      <c r="V631" s="85">
        <v>20</v>
      </c>
      <c r="W631" s="85">
        <v>18</v>
      </c>
      <c r="X631" s="85">
        <v>18</v>
      </c>
      <c r="Y631" s="85">
        <v>18</v>
      </c>
      <c r="Z631" s="85">
        <v>18</v>
      </c>
      <c r="AA631" s="85">
        <v>18</v>
      </c>
      <c r="AB631" s="85">
        <v>18</v>
      </c>
      <c r="AC631" s="85">
        <v>18</v>
      </c>
      <c r="AD631" s="85">
        <v>19</v>
      </c>
      <c r="AE631" s="47">
        <v>329</v>
      </c>
      <c r="AF631" s="47">
        <v>200</v>
      </c>
      <c r="AG631" s="47">
        <v>100</v>
      </c>
      <c r="AH631" s="47">
        <v>625</v>
      </c>
      <c r="AI631" s="47">
        <v>625</v>
      </c>
      <c r="AJ631" s="47">
        <v>100</v>
      </c>
      <c r="AK631" s="47">
        <v>90</v>
      </c>
      <c r="AL631" s="47">
        <v>1350</v>
      </c>
      <c r="AM631" s="47">
        <v>90</v>
      </c>
      <c r="AN631" s="47">
        <v>90</v>
      </c>
      <c r="AO631" s="47">
        <v>90</v>
      </c>
      <c r="AP631" s="47">
        <v>90</v>
      </c>
      <c r="AQ631" s="47">
        <v>90</v>
      </c>
      <c r="AR631" s="47">
        <v>133</v>
      </c>
      <c r="AS631" s="47"/>
      <c r="AT631" s="47"/>
      <c r="AU631" s="47"/>
      <c r="AV631" s="47"/>
      <c r="AW631" s="47"/>
      <c r="AX631" s="47"/>
      <c r="AY631" s="47"/>
      <c r="AZ631" s="47"/>
      <c r="BA631" s="47"/>
      <c r="BB631" s="47"/>
      <c r="BC631" s="47"/>
      <c r="BD631" s="47"/>
      <c r="BE631" s="47"/>
      <c r="BF631" s="47"/>
    </row>
    <row r="632" spans="1:58" hidden="1">
      <c r="A632" s="46" t="s">
        <v>290</v>
      </c>
      <c r="B632" s="46" t="s">
        <v>78</v>
      </c>
      <c r="C632" s="47">
        <v>0</v>
      </c>
      <c r="D632" s="47">
        <v>0</v>
      </c>
      <c r="E632" s="47">
        <v>0</v>
      </c>
      <c r="F632" s="47">
        <v>0</v>
      </c>
      <c r="G632" s="47">
        <v>0</v>
      </c>
      <c r="H632" s="47">
        <v>0</v>
      </c>
      <c r="I632" s="47">
        <v>0</v>
      </c>
      <c r="J632" s="47">
        <v>0</v>
      </c>
      <c r="K632" s="47">
        <v>0</v>
      </c>
      <c r="L632" s="47">
        <v>0</v>
      </c>
      <c r="M632" s="47">
        <v>0</v>
      </c>
      <c r="N632" s="47">
        <v>0</v>
      </c>
      <c r="O632" s="47">
        <v>0</v>
      </c>
      <c r="P632" s="47">
        <v>0</v>
      </c>
      <c r="Q632" s="85"/>
      <c r="R632" s="85"/>
      <c r="S632" s="85"/>
      <c r="T632" s="85"/>
      <c r="U632" s="85"/>
      <c r="V632" s="85"/>
      <c r="W632" s="85"/>
      <c r="X632" s="85"/>
      <c r="Y632" s="85"/>
      <c r="Z632" s="85"/>
      <c r="AA632" s="85"/>
      <c r="AB632" s="85"/>
      <c r="AC632" s="85"/>
      <c r="AD632" s="85"/>
      <c r="AE632" s="47">
        <v>0</v>
      </c>
      <c r="AF632" s="47">
        <v>0</v>
      </c>
      <c r="AG632" s="47">
        <v>0</v>
      </c>
      <c r="AH632" s="47">
        <v>0</v>
      </c>
      <c r="AI632" s="47">
        <v>0</v>
      </c>
      <c r="AJ632" s="47">
        <v>0</v>
      </c>
      <c r="AK632" s="47">
        <v>0</v>
      </c>
      <c r="AL632" s="47">
        <v>0</v>
      </c>
      <c r="AM632" s="47">
        <v>0</v>
      </c>
      <c r="AN632" s="47">
        <v>0</v>
      </c>
      <c r="AO632" s="47">
        <v>0</v>
      </c>
      <c r="AP632" s="47">
        <v>0</v>
      </c>
      <c r="AQ632" s="47">
        <v>0</v>
      </c>
      <c r="AR632" s="47">
        <v>0</v>
      </c>
      <c r="AS632" s="47"/>
      <c r="AT632" s="47"/>
      <c r="AU632" s="47"/>
      <c r="AV632" s="47"/>
      <c r="AW632" s="47"/>
      <c r="AX632" s="47"/>
      <c r="AY632" s="47"/>
      <c r="AZ632" s="47"/>
      <c r="BA632" s="47"/>
      <c r="BB632" s="47"/>
      <c r="BC632" s="47"/>
      <c r="BD632" s="47"/>
      <c r="BE632" s="47"/>
      <c r="BF632" s="47"/>
    </row>
    <row r="633" spans="1:58" hidden="1">
      <c r="A633" s="46" t="s">
        <v>290</v>
      </c>
      <c r="B633" s="46" t="s">
        <v>79</v>
      </c>
      <c r="C633" s="47">
        <v>0</v>
      </c>
      <c r="D633" s="47">
        <v>0</v>
      </c>
      <c r="E633" s="47">
        <v>0</v>
      </c>
      <c r="F633" s="47">
        <v>0</v>
      </c>
      <c r="G633" s="47">
        <v>0</v>
      </c>
      <c r="H633" s="47">
        <v>0</v>
      </c>
      <c r="I633" s="47">
        <v>0</v>
      </c>
      <c r="J633" s="47">
        <v>0</v>
      </c>
      <c r="K633" s="47">
        <v>0</v>
      </c>
      <c r="L633" s="47">
        <v>0</v>
      </c>
      <c r="M633" s="47">
        <v>0</v>
      </c>
      <c r="N633" s="47">
        <v>0</v>
      </c>
      <c r="O633" s="47">
        <v>0</v>
      </c>
      <c r="P633" s="47">
        <v>0</v>
      </c>
      <c r="Q633" s="85"/>
      <c r="R633" s="85"/>
      <c r="S633" s="85"/>
      <c r="T633" s="85"/>
      <c r="U633" s="85"/>
      <c r="V633" s="85"/>
      <c r="W633" s="85"/>
      <c r="X633" s="85"/>
      <c r="Y633" s="85"/>
      <c r="Z633" s="85"/>
      <c r="AA633" s="85"/>
      <c r="AB633" s="85"/>
      <c r="AC633" s="85"/>
      <c r="AD633" s="85"/>
      <c r="AE633" s="47">
        <v>0</v>
      </c>
      <c r="AF633" s="47">
        <v>0</v>
      </c>
      <c r="AG633" s="47">
        <v>0</v>
      </c>
      <c r="AH633" s="47">
        <v>0</v>
      </c>
      <c r="AI633" s="47">
        <v>0</v>
      </c>
      <c r="AJ633" s="47">
        <v>0</v>
      </c>
      <c r="AK633" s="47">
        <v>0</v>
      </c>
      <c r="AL633" s="47">
        <v>0</v>
      </c>
      <c r="AM633" s="47">
        <v>0</v>
      </c>
      <c r="AN633" s="47">
        <v>0</v>
      </c>
      <c r="AO633" s="47">
        <v>0</v>
      </c>
      <c r="AP633" s="47">
        <v>0</v>
      </c>
      <c r="AQ633" s="47">
        <v>0</v>
      </c>
      <c r="AR633" s="47">
        <v>0</v>
      </c>
      <c r="AS633" s="47"/>
      <c r="AT633" s="47"/>
      <c r="AU633" s="47"/>
      <c r="AV633" s="47"/>
      <c r="AW633" s="47"/>
      <c r="AX633" s="47"/>
      <c r="AY633" s="47"/>
      <c r="AZ633" s="47"/>
      <c r="BA633" s="47"/>
      <c r="BB633" s="47"/>
      <c r="BC633" s="47"/>
      <c r="BD633" s="47"/>
      <c r="BE633" s="47"/>
      <c r="BF633" s="47"/>
    </row>
    <row r="634" spans="1:58" hidden="1">
      <c r="A634" s="46" t="s">
        <v>290</v>
      </c>
      <c r="B634" s="46" t="s">
        <v>80</v>
      </c>
      <c r="C634" s="47">
        <v>6</v>
      </c>
      <c r="D634" s="47">
        <v>6</v>
      </c>
      <c r="E634" s="47">
        <v>2</v>
      </c>
      <c r="F634" s="47">
        <v>2</v>
      </c>
      <c r="G634" s="47">
        <v>0</v>
      </c>
      <c r="H634" s="47">
        <v>0</v>
      </c>
      <c r="I634" s="47">
        <v>0</v>
      </c>
      <c r="J634" s="47">
        <v>0</v>
      </c>
      <c r="K634" s="47">
        <v>0</v>
      </c>
      <c r="L634" s="47">
        <v>0</v>
      </c>
      <c r="M634" s="47">
        <v>0</v>
      </c>
      <c r="N634" s="47">
        <v>0</v>
      </c>
      <c r="O634" s="47">
        <v>0</v>
      </c>
      <c r="P634" s="47">
        <v>0</v>
      </c>
      <c r="Q634" s="85">
        <v>20</v>
      </c>
      <c r="R634" s="85">
        <v>20</v>
      </c>
      <c r="S634" s="85">
        <v>20</v>
      </c>
      <c r="T634" s="85">
        <v>22</v>
      </c>
      <c r="U634" s="85"/>
      <c r="V634" s="85"/>
      <c r="W634" s="85"/>
      <c r="X634" s="85"/>
      <c r="Y634" s="85"/>
      <c r="Z634" s="85"/>
      <c r="AA634" s="85"/>
      <c r="AB634" s="85"/>
      <c r="AC634" s="85"/>
      <c r="AD634" s="85"/>
      <c r="AE634" s="47">
        <v>120</v>
      </c>
      <c r="AF634" s="47">
        <v>120</v>
      </c>
      <c r="AG634" s="47">
        <v>40</v>
      </c>
      <c r="AH634" s="47">
        <v>44</v>
      </c>
      <c r="AI634" s="47">
        <v>0</v>
      </c>
      <c r="AJ634" s="47">
        <v>0</v>
      </c>
      <c r="AK634" s="47">
        <v>0</v>
      </c>
      <c r="AL634" s="47">
        <v>0</v>
      </c>
      <c r="AM634" s="47">
        <v>0</v>
      </c>
      <c r="AN634" s="47">
        <v>0</v>
      </c>
      <c r="AO634" s="47">
        <v>0</v>
      </c>
      <c r="AP634" s="47">
        <v>0</v>
      </c>
      <c r="AQ634" s="47">
        <v>0</v>
      </c>
      <c r="AR634" s="47">
        <v>0</v>
      </c>
      <c r="AS634" s="47"/>
      <c r="AT634" s="47"/>
      <c r="AU634" s="47"/>
      <c r="AV634" s="47"/>
      <c r="AW634" s="47"/>
      <c r="AX634" s="47"/>
      <c r="AY634" s="47"/>
      <c r="AZ634" s="47"/>
      <c r="BA634" s="47"/>
      <c r="BB634" s="47"/>
      <c r="BC634" s="47"/>
      <c r="BD634" s="47"/>
      <c r="BE634" s="47"/>
      <c r="BF634" s="47"/>
    </row>
    <row r="635" spans="1:58" hidden="1">
      <c r="A635" s="46" t="s">
        <v>290</v>
      </c>
      <c r="B635" s="46" t="s">
        <v>81</v>
      </c>
      <c r="C635" s="47">
        <v>0</v>
      </c>
      <c r="D635" s="47">
        <v>0</v>
      </c>
      <c r="E635" s="47">
        <v>0</v>
      </c>
      <c r="F635" s="47">
        <v>0</v>
      </c>
      <c r="G635" s="47">
        <v>0</v>
      </c>
      <c r="H635" s="47">
        <v>0</v>
      </c>
      <c r="I635" s="47">
        <v>0</v>
      </c>
      <c r="J635" s="47">
        <v>0</v>
      </c>
      <c r="K635" s="47">
        <v>0</v>
      </c>
      <c r="L635" s="47">
        <v>0</v>
      </c>
      <c r="M635" s="47">
        <v>0</v>
      </c>
      <c r="N635" s="47">
        <v>0</v>
      </c>
      <c r="O635" s="47">
        <v>0</v>
      </c>
      <c r="P635" s="47">
        <v>27</v>
      </c>
      <c r="Q635" s="85"/>
      <c r="R635" s="85"/>
      <c r="S635" s="85"/>
      <c r="T635" s="85"/>
      <c r="U635" s="85"/>
      <c r="V635" s="85"/>
      <c r="W635" s="85"/>
      <c r="X635" s="85"/>
      <c r="Y635" s="85"/>
      <c r="Z635" s="85"/>
      <c r="AA635" s="85"/>
      <c r="AB635" s="85"/>
      <c r="AC635" s="85"/>
      <c r="AD635" s="85"/>
      <c r="AE635" s="47">
        <v>0</v>
      </c>
      <c r="AF635" s="47">
        <v>0</v>
      </c>
      <c r="AG635" s="47">
        <v>0</v>
      </c>
      <c r="AH635" s="47">
        <v>0</v>
      </c>
      <c r="AI635" s="47">
        <v>0</v>
      </c>
      <c r="AJ635" s="47">
        <v>0</v>
      </c>
      <c r="AK635" s="47">
        <v>0</v>
      </c>
      <c r="AL635" s="47">
        <v>0</v>
      </c>
      <c r="AM635" s="47">
        <v>0</v>
      </c>
      <c r="AN635" s="47">
        <v>0</v>
      </c>
      <c r="AO635" s="47">
        <v>0</v>
      </c>
      <c r="AP635" s="47">
        <v>0</v>
      </c>
      <c r="AQ635" s="47">
        <v>0</v>
      </c>
      <c r="AR635" s="47">
        <v>452</v>
      </c>
      <c r="AS635" s="47"/>
      <c r="AT635" s="47"/>
      <c r="AU635" s="47"/>
      <c r="AV635" s="47"/>
      <c r="AW635" s="47"/>
      <c r="AX635" s="47"/>
      <c r="AY635" s="47"/>
      <c r="AZ635" s="47"/>
      <c r="BA635" s="47"/>
      <c r="BB635" s="47"/>
      <c r="BC635" s="47"/>
      <c r="BD635" s="47"/>
      <c r="BE635" s="47"/>
      <c r="BF635" s="47"/>
    </row>
    <row r="636" spans="1:58" hidden="1">
      <c r="A636" s="46" t="s">
        <v>290</v>
      </c>
      <c r="B636" s="46" t="s">
        <v>82</v>
      </c>
      <c r="C636" s="47">
        <v>54</v>
      </c>
      <c r="D636" s="47">
        <v>51</v>
      </c>
      <c r="E636" s="47">
        <v>17</v>
      </c>
      <c r="F636" s="47">
        <v>32</v>
      </c>
      <c r="G636" s="47">
        <v>35</v>
      </c>
      <c r="H636" s="47">
        <v>15</v>
      </c>
      <c r="I636" s="47">
        <v>30</v>
      </c>
      <c r="J636" s="47">
        <v>107</v>
      </c>
      <c r="K636" s="47">
        <v>10</v>
      </c>
      <c r="L636" s="47">
        <v>10</v>
      </c>
      <c r="M636" s="47">
        <v>10</v>
      </c>
      <c r="N636" s="47">
        <v>10</v>
      </c>
      <c r="O636" s="47">
        <v>10</v>
      </c>
      <c r="P636" s="47">
        <v>34</v>
      </c>
      <c r="Q636" s="85">
        <v>24.52</v>
      </c>
      <c r="R636" s="85">
        <v>23.43</v>
      </c>
      <c r="S636" s="85">
        <v>22.94</v>
      </c>
      <c r="T636" s="85">
        <v>24.03</v>
      </c>
      <c r="U636" s="85">
        <v>23.57</v>
      </c>
      <c r="V636" s="85">
        <v>20</v>
      </c>
      <c r="W636" s="85">
        <v>19.670000000000002</v>
      </c>
      <c r="X636" s="85">
        <v>18.600000000000001</v>
      </c>
      <c r="Y636" s="85">
        <v>19</v>
      </c>
      <c r="Z636" s="85">
        <v>20.5</v>
      </c>
      <c r="AA636" s="85">
        <v>20.5</v>
      </c>
      <c r="AB636" s="85">
        <v>21.5</v>
      </c>
      <c r="AC636" s="85">
        <v>21.5</v>
      </c>
      <c r="AD636" s="85">
        <v>17.21</v>
      </c>
      <c r="AE636" s="47">
        <v>1324</v>
      </c>
      <c r="AF636" s="47">
        <v>1195</v>
      </c>
      <c r="AG636" s="47">
        <v>390</v>
      </c>
      <c r="AH636" s="47">
        <v>769</v>
      </c>
      <c r="AI636" s="47">
        <v>825</v>
      </c>
      <c r="AJ636" s="47">
        <v>300</v>
      </c>
      <c r="AK636" s="47">
        <v>590</v>
      </c>
      <c r="AL636" s="47">
        <v>1990</v>
      </c>
      <c r="AM636" s="47">
        <v>190</v>
      </c>
      <c r="AN636" s="47">
        <v>205</v>
      </c>
      <c r="AO636" s="47">
        <v>205</v>
      </c>
      <c r="AP636" s="47">
        <v>215</v>
      </c>
      <c r="AQ636" s="47">
        <v>215</v>
      </c>
      <c r="AR636" s="47">
        <v>585</v>
      </c>
      <c r="AS636" s="47"/>
      <c r="AT636" s="47"/>
      <c r="AU636" s="47"/>
      <c r="AV636" s="47"/>
      <c r="AW636" s="47"/>
      <c r="AX636" s="47"/>
      <c r="AY636" s="47"/>
      <c r="AZ636" s="47"/>
      <c r="BA636" s="47"/>
      <c r="BB636" s="47"/>
      <c r="BC636" s="47"/>
      <c r="BD636" s="47"/>
      <c r="BE636" s="47"/>
      <c r="BF636" s="47"/>
    </row>
    <row r="637" spans="1:58">
      <c r="A637" s="46" t="s">
        <v>83</v>
      </c>
      <c r="B637" s="46" t="s">
        <v>251</v>
      </c>
      <c r="C637" s="47">
        <v>0</v>
      </c>
      <c r="D637" s="47">
        <v>0</v>
      </c>
      <c r="E637" s="47">
        <v>0</v>
      </c>
      <c r="F637" s="47">
        <v>0</v>
      </c>
      <c r="G637" s="47">
        <v>0</v>
      </c>
      <c r="H637" s="47">
        <v>0</v>
      </c>
      <c r="I637" s="47">
        <v>0</v>
      </c>
      <c r="J637" s="47">
        <v>0</v>
      </c>
      <c r="K637" s="47">
        <v>0</v>
      </c>
      <c r="L637" s="47">
        <v>0</v>
      </c>
      <c r="M637" s="47">
        <v>0</v>
      </c>
      <c r="N637" s="47">
        <v>0</v>
      </c>
      <c r="O637" s="47">
        <v>0</v>
      </c>
      <c r="P637" s="47">
        <v>0</v>
      </c>
      <c r="Q637" s="85"/>
      <c r="R637" s="85"/>
      <c r="S637" s="85"/>
      <c r="T637" s="85"/>
      <c r="U637" s="85"/>
      <c r="V637" s="85"/>
      <c r="W637" s="85"/>
      <c r="X637" s="85"/>
      <c r="Y637" s="85"/>
      <c r="Z637" s="85"/>
      <c r="AA637" s="85"/>
      <c r="AB637" s="85"/>
      <c r="AC637" s="85"/>
      <c r="AD637" s="85"/>
      <c r="AE637" s="47">
        <v>0</v>
      </c>
      <c r="AF637" s="47">
        <v>0</v>
      </c>
      <c r="AG637" s="47">
        <v>0</v>
      </c>
      <c r="AH637" s="47">
        <v>0</v>
      </c>
      <c r="AI637" s="47">
        <v>0</v>
      </c>
      <c r="AJ637" s="47">
        <v>0</v>
      </c>
      <c r="AK637" s="47">
        <v>0</v>
      </c>
      <c r="AL637" s="47">
        <v>0</v>
      </c>
      <c r="AM637" s="47">
        <v>0</v>
      </c>
      <c r="AN637" s="47">
        <v>0</v>
      </c>
      <c r="AO637" s="47">
        <v>0</v>
      </c>
      <c r="AP637" s="47">
        <v>0</v>
      </c>
      <c r="AQ637" s="47">
        <v>0</v>
      </c>
      <c r="AR637" s="47">
        <v>0</v>
      </c>
      <c r="AS637" s="47"/>
      <c r="AT637" s="47"/>
      <c r="AU637" s="47"/>
      <c r="AV637" s="47"/>
      <c r="AW637" s="47"/>
      <c r="AX637" s="47"/>
      <c r="AY637" s="47"/>
      <c r="AZ637" s="47"/>
      <c r="BA637" s="47"/>
      <c r="BB637" s="47"/>
      <c r="BC637" s="47"/>
      <c r="BD637" s="47"/>
      <c r="BE637" s="47"/>
      <c r="BF637" s="47"/>
    </row>
    <row r="638" spans="1:58">
      <c r="A638" s="46" t="s">
        <v>83</v>
      </c>
      <c r="B638" s="46" t="s">
        <v>252</v>
      </c>
      <c r="C638" s="47">
        <v>0</v>
      </c>
      <c r="D638" s="47">
        <v>0</v>
      </c>
      <c r="E638" s="47">
        <v>0</v>
      </c>
      <c r="F638" s="47">
        <v>0</v>
      </c>
      <c r="G638" s="47">
        <v>0</v>
      </c>
      <c r="H638" s="47">
        <v>0</v>
      </c>
      <c r="I638" s="47">
        <v>0</v>
      </c>
      <c r="J638" s="47">
        <v>0</v>
      </c>
      <c r="K638" s="47">
        <v>0</v>
      </c>
      <c r="L638" s="47">
        <v>0</v>
      </c>
      <c r="M638" s="47">
        <v>0</v>
      </c>
      <c r="N638" s="47">
        <v>0</v>
      </c>
      <c r="O638" s="47">
        <v>0</v>
      </c>
      <c r="P638" s="47">
        <v>0</v>
      </c>
      <c r="Q638" s="85"/>
      <c r="R638" s="85"/>
      <c r="S638" s="85"/>
      <c r="T638" s="85"/>
      <c r="U638" s="85"/>
      <c r="V638" s="85"/>
      <c r="W638" s="85"/>
      <c r="X638" s="85"/>
      <c r="Y638" s="85"/>
      <c r="Z638" s="85"/>
      <c r="AA638" s="85"/>
      <c r="AB638" s="85"/>
      <c r="AC638" s="85"/>
      <c r="AD638" s="85"/>
      <c r="AE638" s="47">
        <v>0</v>
      </c>
      <c r="AF638" s="47">
        <v>0</v>
      </c>
      <c r="AG638" s="47">
        <v>0</v>
      </c>
      <c r="AH638" s="47">
        <v>0</v>
      </c>
      <c r="AI638" s="47">
        <v>0</v>
      </c>
      <c r="AJ638" s="47">
        <v>0</v>
      </c>
      <c r="AK638" s="47">
        <v>0</v>
      </c>
      <c r="AL638" s="47">
        <v>0</v>
      </c>
      <c r="AM638" s="47">
        <v>0</v>
      </c>
      <c r="AN638" s="47">
        <v>0</v>
      </c>
      <c r="AO638" s="47">
        <v>0</v>
      </c>
      <c r="AP638" s="47">
        <v>0</v>
      </c>
      <c r="AQ638" s="47">
        <v>0</v>
      </c>
      <c r="AR638" s="47">
        <v>0</v>
      </c>
      <c r="AS638" s="47"/>
      <c r="AT638" s="47"/>
      <c r="AU638" s="47"/>
      <c r="AV638" s="47"/>
      <c r="AW638" s="47"/>
      <c r="AX638" s="47"/>
      <c r="AY638" s="47"/>
      <c r="AZ638" s="47"/>
      <c r="BA638" s="47"/>
      <c r="BB638" s="47"/>
      <c r="BC638" s="47"/>
      <c r="BD638" s="47"/>
      <c r="BE638" s="47"/>
      <c r="BF638" s="47"/>
    </row>
    <row r="639" spans="1:58">
      <c r="A639" s="46" t="s">
        <v>83</v>
      </c>
      <c r="B639" s="46" t="s">
        <v>253</v>
      </c>
      <c r="C639" s="47">
        <v>0</v>
      </c>
      <c r="D639" s="47">
        <v>0</v>
      </c>
      <c r="E639" s="47">
        <v>0</v>
      </c>
      <c r="F639" s="47">
        <v>0</v>
      </c>
      <c r="G639" s="47">
        <v>0</v>
      </c>
      <c r="H639" s="47">
        <v>0</v>
      </c>
      <c r="I639" s="47">
        <v>0</v>
      </c>
      <c r="J639" s="47">
        <v>0</v>
      </c>
      <c r="K639" s="47">
        <v>0</v>
      </c>
      <c r="L639" s="47">
        <v>0</v>
      </c>
      <c r="M639" s="47">
        <v>0</v>
      </c>
      <c r="N639" s="47">
        <v>0</v>
      </c>
      <c r="O639" s="47">
        <v>0</v>
      </c>
      <c r="P639" s="47">
        <v>0</v>
      </c>
      <c r="Q639" s="85"/>
      <c r="R639" s="85"/>
      <c r="S639" s="85"/>
      <c r="T639" s="85"/>
      <c r="U639" s="85"/>
      <c r="V639" s="85"/>
      <c r="W639" s="85"/>
      <c r="X639" s="85"/>
      <c r="Y639" s="85"/>
      <c r="Z639" s="85"/>
      <c r="AA639" s="85"/>
      <c r="AB639" s="85"/>
      <c r="AC639" s="85"/>
      <c r="AD639" s="85"/>
      <c r="AE639" s="47">
        <v>0</v>
      </c>
      <c r="AF639" s="47">
        <v>0</v>
      </c>
      <c r="AG639" s="47">
        <v>0</v>
      </c>
      <c r="AH639" s="47">
        <v>0</v>
      </c>
      <c r="AI639" s="47">
        <v>0</v>
      </c>
      <c r="AJ639" s="47">
        <v>0</v>
      </c>
      <c r="AK639" s="47">
        <v>0</v>
      </c>
      <c r="AL639" s="47">
        <v>0</v>
      </c>
      <c r="AM639" s="47">
        <v>0</v>
      </c>
      <c r="AN639" s="47">
        <v>0</v>
      </c>
      <c r="AO639" s="47">
        <v>0</v>
      </c>
      <c r="AP639" s="47">
        <v>0</v>
      </c>
      <c r="AQ639" s="47">
        <v>0</v>
      </c>
      <c r="AR639" s="47">
        <v>0</v>
      </c>
      <c r="AS639" s="47"/>
      <c r="AT639" s="47"/>
      <c r="AU639" s="47"/>
      <c r="AV639" s="47"/>
      <c r="AW639" s="47"/>
      <c r="AX639" s="47"/>
      <c r="AY639" s="47"/>
      <c r="AZ639" s="47"/>
      <c r="BA639" s="47"/>
      <c r="BB639" s="47"/>
      <c r="BC639" s="47"/>
      <c r="BD639" s="47"/>
      <c r="BE639" s="47"/>
      <c r="BF639" s="47"/>
    </row>
    <row r="640" spans="1:58">
      <c r="A640" s="46" t="s">
        <v>83</v>
      </c>
      <c r="B640" s="46" t="s">
        <v>254</v>
      </c>
      <c r="C640" s="47">
        <v>0</v>
      </c>
      <c r="D640" s="47">
        <v>0</v>
      </c>
      <c r="E640" s="47">
        <v>0</v>
      </c>
      <c r="F640" s="47">
        <v>0</v>
      </c>
      <c r="G640" s="47">
        <v>0</v>
      </c>
      <c r="H640" s="47">
        <v>0</v>
      </c>
      <c r="I640" s="47">
        <v>0</v>
      </c>
      <c r="J640" s="47">
        <v>0</v>
      </c>
      <c r="K640" s="47">
        <v>0</v>
      </c>
      <c r="L640" s="47">
        <v>0</v>
      </c>
      <c r="M640" s="47">
        <v>0</v>
      </c>
      <c r="N640" s="47">
        <v>0</v>
      </c>
      <c r="O640" s="47">
        <v>0</v>
      </c>
      <c r="P640" s="47">
        <v>0</v>
      </c>
      <c r="Q640" s="85"/>
      <c r="R640" s="85"/>
      <c r="S640" s="85"/>
      <c r="T640" s="85"/>
      <c r="U640" s="85"/>
      <c r="V640" s="85"/>
      <c r="W640" s="85"/>
      <c r="X640" s="85"/>
      <c r="Y640" s="85"/>
      <c r="Z640" s="85"/>
      <c r="AA640" s="85"/>
      <c r="AB640" s="85"/>
      <c r="AC640" s="85"/>
      <c r="AD640" s="85"/>
      <c r="AE640" s="47">
        <v>0</v>
      </c>
      <c r="AF640" s="47">
        <v>0</v>
      </c>
      <c r="AG640" s="47">
        <v>0</v>
      </c>
      <c r="AH640" s="47">
        <v>0</v>
      </c>
      <c r="AI640" s="47">
        <v>0</v>
      </c>
      <c r="AJ640" s="47">
        <v>0</v>
      </c>
      <c r="AK640" s="47">
        <v>0</v>
      </c>
      <c r="AL640" s="47">
        <v>0</v>
      </c>
      <c r="AM640" s="47">
        <v>0</v>
      </c>
      <c r="AN640" s="47">
        <v>0</v>
      </c>
      <c r="AO640" s="47">
        <v>0</v>
      </c>
      <c r="AP640" s="47">
        <v>0</v>
      </c>
      <c r="AQ640" s="47">
        <v>0</v>
      </c>
      <c r="AR640" s="47">
        <v>0</v>
      </c>
      <c r="AS640" s="47"/>
      <c r="AT640" s="47"/>
      <c r="AU640" s="47"/>
      <c r="AV640" s="47"/>
      <c r="AW640" s="47"/>
      <c r="AX640" s="47"/>
      <c r="AY640" s="47"/>
      <c r="AZ640" s="47"/>
      <c r="BA640" s="47"/>
      <c r="BB640" s="47"/>
      <c r="BC640" s="47"/>
      <c r="BD640" s="47"/>
      <c r="BE640" s="47"/>
      <c r="BF640" s="47"/>
    </row>
    <row r="641" spans="1:58">
      <c r="A641" s="46" t="s">
        <v>83</v>
      </c>
      <c r="B641" s="46" t="s">
        <v>255</v>
      </c>
      <c r="C641" s="47">
        <v>0</v>
      </c>
      <c r="D641" s="47">
        <v>0</v>
      </c>
      <c r="E641" s="47">
        <v>0</v>
      </c>
      <c r="F641" s="47">
        <v>0</v>
      </c>
      <c r="G641" s="47">
        <v>0</v>
      </c>
      <c r="H641" s="47">
        <v>0</v>
      </c>
      <c r="I641" s="47">
        <v>0</v>
      </c>
      <c r="J641" s="47">
        <v>0</v>
      </c>
      <c r="K641" s="47">
        <v>0</v>
      </c>
      <c r="L641" s="47">
        <v>0</v>
      </c>
      <c r="M641" s="47">
        <v>0</v>
      </c>
      <c r="N641" s="47">
        <v>0</v>
      </c>
      <c r="O641" s="47">
        <v>0</v>
      </c>
      <c r="P641" s="47">
        <v>0</v>
      </c>
      <c r="Q641" s="85"/>
      <c r="R641" s="85"/>
      <c r="S641" s="85"/>
      <c r="T641" s="85"/>
      <c r="U641" s="85"/>
      <c r="V641" s="85"/>
      <c r="W641" s="85"/>
      <c r="X641" s="85"/>
      <c r="Y641" s="85"/>
      <c r="Z641" s="85"/>
      <c r="AA641" s="85"/>
      <c r="AB641" s="85"/>
      <c r="AC641" s="85"/>
      <c r="AD641" s="85"/>
      <c r="AE641" s="47">
        <v>0</v>
      </c>
      <c r="AF641" s="47">
        <v>0</v>
      </c>
      <c r="AG641" s="47">
        <v>0</v>
      </c>
      <c r="AH641" s="47">
        <v>0</v>
      </c>
      <c r="AI641" s="47">
        <v>0</v>
      </c>
      <c r="AJ641" s="47">
        <v>0</v>
      </c>
      <c r="AK641" s="47">
        <v>0</v>
      </c>
      <c r="AL641" s="47">
        <v>0</v>
      </c>
      <c r="AM641" s="47">
        <v>0</v>
      </c>
      <c r="AN641" s="47">
        <v>0</v>
      </c>
      <c r="AO641" s="47">
        <v>0</v>
      </c>
      <c r="AP641" s="47">
        <v>0</v>
      </c>
      <c r="AQ641" s="47">
        <v>0</v>
      </c>
      <c r="AR641" s="47">
        <v>0</v>
      </c>
      <c r="AS641" s="47"/>
      <c r="AT641" s="47"/>
      <c r="AU641" s="47"/>
      <c r="AV641" s="47"/>
      <c r="AW641" s="47"/>
      <c r="AX641" s="47"/>
      <c r="AY641" s="47"/>
      <c r="AZ641" s="47"/>
      <c r="BA641" s="47"/>
      <c r="BB641" s="47"/>
      <c r="BC641" s="47"/>
      <c r="BD641" s="47"/>
      <c r="BE641" s="47"/>
      <c r="BF641" s="47"/>
    </row>
    <row r="642" spans="1:58">
      <c r="A642" s="46" t="s">
        <v>83</v>
      </c>
      <c r="B642" s="46" t="s">
        <v>256</v>
      </c>
      <c r="C642" s="47">
        <v>0</v>
      </c>
      <c r="D642" s="47">
        <v>0</v>
      </c>
      <c r="E642" s="47">
        <v>0</v>
      </c>
      <c r="F642" s="47">
        <v>0</v>
      </c>
      <c r="G642" s="47">
        <v>0</v>
      </c>
      <c r="H642" s="47">
        <v>0</v>
      </c>
      <c r="I642" s="47">
        <v>0</v>
      </c>
      <c r="J642" s="47">
        <v>0</v>
      </c>
      <c r="K642" s="47">
        <v>0</v>
      </c>
      <c r="L642" s="47">
        <v>0</v>
      </c>
      <c r="M642" s="47">
        <v>0</v>
      </c>
      <c r="N642" s="47">
        <v>0</v>
      </c>
      <c r="O642" s="47">
        <v>0</v>
      </c>
      <c r="P642" s="47">
        <v>0</v>
      </c>
      <c r="Q642" s="85"/>
      <c r="R642" s="85"/>
      <c r="S642" s="85"/>
      <c r="T642" s="85"/>
      <c r="U642" s="85"/>
      <c r="V642" s="85"/>
      <c r="W642" s="85"/>
      <c r="X642" s="85"/>
      <c r="Y642" s="85"/>
      <c r="Z642" s="85"/>
      <c r="AA642" s="85"/>
      <c r="AB642" s="85"/>
      <c r="AC642" s="85"/>
      <c r="AD642" s="85"/>
      <c r="AE642" s="47">
        <v>0</v>
      </c>
      <c r="AF642" s="47">
        <v>0</v>
      </c>
      <c r="AG642" s="47">
        <v>0</v>
      </c>
      <c r="AH642" s="47">
        <v>0</v>
      </c>
      <c r="AI642" s="47">
        <v>0</v>
      </c>
      <c r="AJ642" s="47">
        <v>0</v>
      </c>
      <c r="AK642" s="47">
        <v>0</v>
      </c>
      <c r="AL642" s="47">
        <v>0</v>
      </c>
      <c r="AM642" s="47">
        <v>0</v>
      </c>
      <c r="AN642" s="47">
        <v>0</v>
      </c>
      <c r="AO642" s="47">
        <v>0</v>
      </c>
      <c r="AP642" s="47">
        <v>0</v>
      </c>
      <c r="AQ642" s="47">
        <v>0</v>
      </c>
      <c r="AR642" s="47">
        <v>0</v>
      </c>
      <c r="AS642" s="47"/>
      <c r="AT642" s="47"/>
      <c r="AU642" s="47"/>
      <c r="AV642" s="47"/>
      <c r="AW642" s="47"/>
      <c r="AX642" s="47"/>
      <c r="AY642" s="47"/>
      <c r="AZ642" s="47"/>
      <c r="BA642" s="47"/>
      <c r="BB642" s="47"/>
      <c r="BC642" s="47"/>
      <c r="BD642" s="47"/>
      <c r="BE642" s="47"/>
      <c r="BF642" s="47"/>
    </row>
    <row r="643" spans="1:58">
      <c r="A643" s="46" t="s">
        <v>83</v>
      </c>
      <c r="B643" s="46" t="s">
        <v>257</v>
      </c>
      <c r="C643" s="47">
        <v>0</v>
      </c>
      <c r="D643" s="47">
        <v>0</v>
      </c>
      <c r="E643" s="47">
        <v>0</v>
      </c>
      <c r="F643" s="47">
        <v>0</v>
      </c>
      <c r="G643" s="47">
        <v>0</v>
      </c>
      <c r="H643" s="47">
        <v>0</v>
      </c>
      <c r="I643" s="47">
        <v>0</v>
      </c>
      <c r="J643" s="47">
        <v>0</v>
      </c>
      <c r="K643" s="47">
        <v>0</v>
      </c>
      <c r="L643" s="47">
        <v>0</v>
      </c>
      <c r="M643" s="47">
        <v>0</v>
      </c>
      <c r="N643" s="47">
        <v>0</v>
      </c>
      <c r="O643" s="47">
        <v>0</v>
      </c>
      <c r="P643" s="47">
        <v>0</v>
      </c>
      <c r="Q643" s="85"/>
      <c r="R643" s="85"/>
      <c r="S643" s="85"/>
      <c r="T643" s="85"/>
      <c r="U643" s="85"/>
      <c r="V643" s="85"/>
      <c r="W643" s="85"/>
      <c r="X643" s="85"/>
      <c r="Y643" s="85"/>
      <c r="Z643" s="85"/>
      <c r="AA643" s="85"/>
      <c r="AB643" s="85"/>
      <c r="AC643" s="85"/>
      <c r="AD643" s="85"/>
      <c r="AE643" s="47">
        <v>0</v>
      </c>
      <c r="AF643" s="47">
        <v>0</v>
      </c>
      <c r="AG643" s="47">
        <v>0</v>
      </c>
      <c r="AH643" s="47">
        <v>0</v>
      </c>
      <c r="AI643" s="47">
        <v>0</v>
      </c>
      <c r="AJ643" s="47">
        <v>0</v>
      </c>
      <c r="AK643" s="47">
        <v>0</v>
      </c>
      <c r="AL643" s="47">
        <v>0</v>
      </c>
      <c r="AM643" s="47">
        <v>0</v>
      </c>
      <c r="AN643" s="47">
        <v>0</v>
      </c>
      <c r="AO643" s="47">
        <v>0</v>
      </c>
      <c r="AP643" s="47">
        <v>0</v>
      </c>
      <c r="AQ643" s="47">
        <v>0</v>
      </c>
      <c r="AR643" s="47">
        <v>0</v>
      </c>
      <c r="AS643" s="47"/>
      <c r="AT643" s="47"/>
      <c r="AU643" s="47"/>
      <c r="AV643" s="47"/>
      <c r="AW643" s="47"/>
      <c r="AX643" s="47"/>
      <c r="AY643" s="47"/>
      <c r="AZ643" s="47"/>
      <c r="BA643" s="47"/>
      <c r="BB643" s="47"/>
      <c r="BC643" s="47"/>
      <c r="BD643" s="47"/>
      <c r="BE643" s="47"/>
      <c r="BF643" s="47"/>
    </row>
    <row r="644" spans="1:58">
      <c r="A644" s="46" t="s">
        <v>83</v>
      </c>
      <c r="B644" s="46" t="s">
        <v>258</v>
      </c>
      <c r="C644" s="47">
        <v>0</v>
      </c>
      <c r="D644" s="47">
        <v>0</v>
      </c>
      <c r="E644" s="47">
        <v>0</v>
      </c>
      <c r="F644" s="47">
        <v>0</v>
      </c>
      <c r="G644" s="47">
        <v>0</v>
      </c>
      <c r="H644" s="47">
        <v>0</v>
      </c>
      <c r="I644" s="47">
        <v>0</v>
      </c>
      <c r="J644" s="47">
        <v>0</v>
      </c>
      <c r="K644" s="47">
        <v>0</v>
      </c>
      <c r="L644" s="47">
        <v>0</v>
      </c>
      <c r="M644" s="47">
        <v>0</v>
      </c>
      <c r="N644" s="47">
        <v>0</v>
      </c>
      <c r="O644" s="47">
        <v>0</v>
      </c>
      <c r="P644" s="47">
        <v>0</v>
      </c>
      <c r="Q644" s="85"/>
      <c r="R644" s="85"/>
      <c r="S644" s="85"/>
      <c r="T644" s="85"/>
      <c r="U644" s="85"/>
      <c r="V644" s="85"/>
      <c r="W644" s="85"/>
      <c r="X644" s="85"/>
      <c r="Y644" s="85"/>
      <c r="Z644" s="85"/>
      <c r="AA644" s="85"/>
      <c r="AB644" s="85"/>
      <c r="AC644" s="85"/>
      <c r="AD644" s="85"/>
      <c r="AE644" s="47">
        <v>0</v>
      </c>
      <c r="AF644" s="47">
        <v>0</v>
      </c>
      <c r="AG644" s="47">
        <v>0</v>
      </c>
      <c r="AH644" s="47">
        <v>0</v>
      </c>
      <c r="AI644" s="47">
        <v>0</v>
      </c>
      <c r="AJ644" s="47">
        <v>0</v>
      </c>
      <c r="AK644" s="47">
        <v>0</v>
      </c>
      <c r="AL644" s="47">
        <v>0</v>
      </c>
      <c r="AM644" s="47">
        <v>0</v>
      </c>
      <c r="AN644" s="47">
        <v>0</v>
      </c>
      <c r="AO644" s="47">
        <v>0</v>
      </c>
      <c r="AP644" s="47">
        <v>0</v>
      </c>
      <c r="AQ644" s="47">
        <v>0</v>
      </c>
      <c r="AR644" s="47">
        <v>0</v>
      </c>
      <c r="AS644" s="47"/>
      <c r="AT644" s="47"/>
      <c r="AU644" s="47"/>
      <c r="AV644" s="47"/>
      <c r="AW644" s="47"/>
      <c r="AX644" s="47"/>
      <c r="AY644" s="47"/>
      <c r="AZ644" s="47"/>
      <c r="BA644" s="47"/>
      <c r="BB644" s="47"/>
      <c r="BC644" s="47"/>
      <c r="BD644" s="47"/>
      <c r="BE644" s="47"/>
      <c r="BF644" s="47"/>
    </row>
    <row r="645" spans="1:58">
      <c r="A645" s="46" t="s">
        <v>83</v>
      </c>
      <c r="B645" s="46" t="s">
        <v>259</v>
      </c>
      <c r="C645" s="47">
        <v>0</v>
      </c>
      <c r="D645" s="47">
        <v>0</v>
      </c>
      <c r="E645" s="47">
        <v>0</v>
      </c>
      <c r="F645" s="47">
        <v>0</v>
      </c>
      <c r="G645" s="47">
        <v>0</v>
      </c>
      <c r="H645" s="47">
        <v>0</v>
      </c>
      <c r="I645" s="47">
        <v>0</v>
      </c>
      <c r="J645" s="47">
        <v>0</v>
      </c>
      <c r="K645" s="47">
        <v>0</v>
      </c>
      <c r="L645" s="47">
        <v>0</v>
      </c>
      <c r="M645" s="47">
        <v>0</v>
      </c>
      <c r="N645" s="47">
        <v>0</v>
      </c>
      <c r="O645" s="47">
        <v>0</v>
      </c>
      <c r="P645" s="47">
        <v>0</v>
      </c>
      <c r="Q645" s="85"/>
      <c r="R645" s="85"/>
      <c r="S645" s="85"/>
      <c r="T645" s="85"/>
      <c r="U645" s="85"/>
      <c r="V645" s="85"/>
      <c r="W645" s="85"/>
      <c r="X645" s="85"/>
      <c r="Y645" s="85"/>
      <c r="Z645" s="85"/>
      <c r="AA645" s="85"/>
      <c r="AB645" s="85"/>
      <c r="AC645" s="85"/>
      <c r="AD645" s="85"/>
      <c r="AE645" s="47">
        <v>0</v>
      </c>
      <c r="AF645" s="47">
        <v>0</v>
      </c>
      <c r="AG645" s="47">
        <v>0</v>
      </c>
      <c r="AH645" s="47">
        <v>0</v>
      </c>
      <c r="AI645" s="47">
        <v>0</v>
      </c>
      <c r="AJ645" s="47">
        <v>0</v>
      </c>
      <c r="AK645" s="47">
        <v>0</v>
      </c>
      <c r="AL645" s="47">
        <v>0</v>
      </c>
      <c r="AM645" s="47">
        <v>0</v>
      </c>
      <c r="AN645" s="47">
        <v>0</v>
      </c>
      <c r="AO645" s="47">
        <v>0</v>
      </c>
      <c r="AP645" s="47">
        <v>0</v>
      </c>
      <c r="AQ645" s="47">
        <v>0</v>
      </c>
      <c r="AR645" s="47">
        <v>0</v>
      </c>
      <c r="AS645" s="47"/>
      <c r="AT645" s="47"/>
      <c r="AU645" s="47"/>
      <c r="AV645" s="47"/>
      <c r="AW645" s="47"/>
      <c r="AX645" s="47"/>
      <c r="AY645" s="47"/>
      <c r="AZ645" s="47"/>
      <c r="BA645" s="47"/>
      <c r="BB645" s="47"/>
      <c r="BC645" s="47"/>
      <c r="BD645" s="47"/>
      <c r="BE645" s="47"/>
      <c r="BF645" s="47"/>
    </row>
    <row r="646" spans="1:58">
      <c r="A646" s="46" t="s">
        <v>83</v>
      </c>
      <c r="B646" s="46" t="s">
        <v>260</v>
      </c>
      <c r="C646" s="47">
        <v>0</v>
      </c>
      <c r="D646" s="47">
        <v>0</v>
      </c>
      <c r="E646" s="47">
        <v>0</v>
      </c>
      <c r="F646" s="47">
        <v>0</v>
      </c>
      <c r="G646" s="47">
        <v>0</v>
      </c>
      <c r="H646" s="47">
        <v>0</v>
      </c>
      <c r="I646" s="47">
        <v>0</v>
      </c>
      <c r="J646" s="47">
        <v>0</v>
      </c>
      <c r="K646" s="47">
        <v>0</v>
      </c>
      <c r="L646" s="47">
        <v>0</v>
      </c>
      <c r="M646" s="47">
        <v>0</v>
      </c>
      <c r="N646" s="47">
        <v>0</v>
      </c>
      <c r="O646" s="47">
        <v>0</v>
      </c>
      <c r="P646" s="47">
        <v>0</v>
      </c>
      <c r="Q646" s="85"/>
      <c r="R646" s="85"/>
      <c r="S646" s="85"/>
      <c r="T646" s="85"/>
      <c r="U646" s="85"/>
      <c r="V646" s="85"/>
      <c r="W646" s="85"/>
      <c r="X646" s="85"/>
      <c r="Y646" s="85"/>
      <c r="Z646" s="85"/>
      <c r="AA646" s="85"/>
      <c r="AB646" s="85"/>
      <c r="AC646" s="85"/>
      <c r="AD646" s="85"/>
      <c r="AE646" s="47">
        <v>0</v>
      </c>
      <c r="AF646" s="47">
        <v>0</v>
      </c>
      <c r="AG646" s="47">
        <v>0</v>
      </c>
      <c r="AH646" s="47">
        <v>0</v>
      </c>
      <c r="AI646" s="47">
        <v>0</v>
      </c>
      <c r="AJ646" s="47">
        <v>0</v>
      </c>
      <c r="AK646" s="47">
        <v>0</v>
      </c>
      <c r="AL646" s="47">
        <v>0</v>
      </c>
      <c r="AM646" s="47">
        <v>0</v>
      </c>
      <c r="AN646" s="47">
        <v>0</v>
      </c>
      <c r="AO646" s="47">
        <v>0</v>
      </c>
      <c r="AP646" s="47">
        <v>0</v>
      </c>
      <c r="AQ646" s="47">
        <v>0</v>
      </c>
      <c r="AR646" s="47">
        <v>0</v>
      </c>
      <c r="AS646" s="47"/>
      <c r="AT646" s="47"/>
      <c r="AU646" s="47"/>
      <c r="AV646" s="47"/>
      <c r="AW646" s="47"/>
      <c r="AX646" s="47"/>
      <c r="AY646" s="47"/>
      <c r="AZ646" s="47"/>
      <c r="BA646" s="47"/>
      <c r="BB646" s="47"/>
      <c r="BC646" s="47"/>
      <c r="BD646" s="47"/>
      <c r="BE646" s="47"/>
      <c r="BF646" s="47"/>
    </row>
    <row r="647" spans="1:58">
      <c r="A647" s="46" t="s">
        <v>83</v>
      </c>
      <c r="B647" s="46" t="s">
        <v>261</v>
      </c>
      <c r="C647" s="47">
        <v>0</v>
      </c>
      <c r="D647" s="47">
        <v>0</v>
      </c>
      <c r="E647" s="47">
        <v>0</v>
      </c>
      <c r="F647" s="47">
        <v>0</v>
      </c>
      <c r="G647" s="47">
        <v>0</v>
      </c>
      <c r="H647" s="47">
        <v>0</v>
      </c>
      <c r="I647" s="47">
        <v>0</v>
      </c>
      <c r="J647" s="47">
        <v>0</v>
      </c>
      <c r="K647" s="47">
        <v>0</v>
      </c>
      <c r="L647" s="47">
        <v>0</v>
      </c>
      <c r="M647" s="47">
        <v>0</v>
      </c>
      <c r="N647" s="47">
        <v>0</v>
      </c>
      <c r="O647" s="47">
        <v>0</v>
      </c>
      <c r="P647" s="47">
        <v>0</v>
      </c>
      <c r="Q647" s="85"/>
      <c r="R647" s="85"/>
      <c r="S647" s="85"/>
      <c r="T647" s="85"/>
      <c r="U647" s="85"/>
      <c r="V647" s="85"/>
      <c r="W647" s="85"/>
      <c r="X647" s="85"/>
      <c r="Y647" s="85"/>
      <c r="Z647" s="85"/>
      <c r="AA647" s="85"/>
      <c r="AB647" s="85"/>
      <c r="AC647" s="85"/>
      <c r="AD647" s="85"/>
      <c r="AE647" s="47">
        <v>0</v>
      </c>
      <c r="AF647" s="47">
        <v>0</v>
      </c>
      <c r="AG647" s="47">
        <v>0</v>
      </c>
      <c r="AH647" s="47">
        <v>0</v>
      </c>
      <c r="AI647" s="47">
        <v>0</v>
      </c>
      <c r="AJ647" s="47">
        <v>0</v>
      </c>
      <c r="AK647" s="47">
        <v>0</v>
      </c>
      <c r="AL647" s="47">
        <v>0</v>
      </c>
      <c r="AM647" s="47">
        <v>0</v>
      </c>
      <c r="AN647" s="47">
        <v>0</v>
      </c>
      <c r="AO647" s="47">
        <v>0</v>
      </c>
      <c r="AP647" s="47">
        <v>0</v>
      </c>
      <c r="AQ647" s="47">
        <v>0</v>
      </c>
      <c r="AR647" s="47">
        <v>0</v>
      </c>
      <c r="AS647" s="47"/>
      <c r="AT647" s="47"/>
      <c r="AU647" s="47"/>
      <c r="AV647" s="47"/>
      <c r="AW647" s="47"/>
      <c r="AX647" s="47"/>
      <c r="AY647" s="47"/>
      <c r="AZ647" s="47"/>
      <c r="BA647" s="47"/>
      <c r="BB647" s="47"/>
      <c r="BC647" s="47"/>
      <c r="BD647" s="47"/>
      <c r="BE647" s="47"/>
      <c r="BF647" s="47"/>
    </row>
    <row r="648" spans="1:58">
      <c r="A648" s="46" t="s">
        <v>83</v>
      </c>
      <c r="B648" s="46" t="s">
        <v>262</v>
      </c>
      <c r="C648" s="47">
        <v>0</v>
      </c>
      <c r="D648" s="47">
        <v>0</v>
      </c>
      <c r="E648" s="47">
        <v>0</v>
      </c>
      <c r="F648" s="47">
        <v>0</v>
      </c>
      <c r="G648" s="47">
        <v>0</v>
      </c>
      <c r="H648" s="47">
        <v>0</v>
      </c>
      <c r="I648" s="47">
        <v>0</v>
      </c>
      <c r="J648" s="47">
        <v>0</v>
      </c>
      <c r="K648" s="47">
        <v>0</v>
      </c>
      <c r="L648" s="47">
        <v>0</v>
      </c>
      <c r="M648" s="47">
        <v>0</v>
      </c>
      <c r="N648" s="47">
        <v>0</v>
      </c>
      <c r="O648" s="47">
        <v>0</v>
      </c>
      <c r="P648" s="47">
        <v>0</v>
      </c>
      <c r="Q648" s="85"/>
      <c r="R648" s="85"/>
      <c r="S648" s="85"/>
      <c r="T648" s="85"/>
      <c r="U648" s="85"/>
      <c r="V648" s="85"/>
      <c r="W648" s="85"/>
      <c r="X648" s="85"/>
      <c r="Y648" s="85"/>
      <c r="Z648" s="85"/>
      <c r="AA648" s="85"/>
      <c r="AB648" s="85"/>
      <c r="AC648" s="85"/>
      <c r="AD648" s="85"/>
      <c r="AE648" s="47">
        <v>0</v>
      </c>
      <c r="AF648" s="47">
        <v>0</v>
      </c>
      <c r="AG648" s="47">
        <v>0</v>
      </c>
      <c r="AH648" s="47">
        <v>0</v>
      </c>
      <c r="AI648" s="47">
        <v>0</v>
      </c>
      <c r="AJ648" s="47">
        <v>0</v>
      </c>
      <c r="AK648" s="47">
        <v>0</v>
      </c>
      <c r="AL648" s="47">
        <v>0</v>
      </c>
      <c r="AM648" s="47">
        <v>0</v>
      </c>
      <c r="AN648" s="47">
        <v>0</v>
      </c>
      <c r="AO648" s="47">
        <v>0</v>
      </c>
      <c r="AP648" s="47">
        <v>0</v>
      </c>
      <c r="AQ648" s="47">
        <v>0</v>
      </c>
      <c r="AR648" s="47">
        <v>0</v>
      </c>
      <c r="AS648" s="47"/>
      <c r="AT648" s="47"/>
      <c r="AU648" s="47"/>
      <c r="AV648" s="47"/>
      <c r="AW648" s="47"/>
      <c r="AX648" s="47"/>
      <c r="AY648" s="47"/>
      <c r="AZ648" s="47"/>
      <c r="BA648" s="47"/>
      <c r="BB648" s="47"/>
      <c r="BC648" s="47"/>
      <c r="BD648" s="47"/>
      <c r="BE648" s="47"/>
      <c r="BF648" s="47"/>
    </row>
    <row r="649" spans="1:58">
      <c r="A649" s="46" t="s">
        <v>83</v>
      </c>
      <c r="B649" s="46" t="s">
        <v>263</v>
      </c>
      <c r="C649" s="47">
        <v>0</v>
      </c>
      <c r="D649" s="47">
        <v>0</v>
      </c>
      <c r="E649" s="47">
        <v>0</v>
      </c>
      <c r="F649" s="47">
        <v>0</v>
      </c>
      <c r="G649" s="47">
        <v>0</v>
      </c>
      <c r="H649" s="47">
        <v>0</v>
      </c>
      <c r="I649" s="47">
        <v>0</v>
      </c>
      <c r="J649" s="47">
        <v>0</v>
      </c>
      <c r="K649" s="47">
        <v>0</v>
      </c>
      <c r="L649" s="47">
        <v>0</v>
      </c>
      <c r="M649" s="47">
        <v>0</v>
      </c>
      <c r="N649" s="47">
        <v>0</v>
      </c>
      <c r="O649" s="47">
        <v>0</v>
      </c>
      <c r="P649" s="47">
        <v>0</v>
      </c>
      <c r="Q649" s="85"/>
      <c r="R649" s="85"/>
      <c r="S649" s="85"/>
      <c r="T649" s="85"/>
      <c r="U649" s="85"/>
      <c r="V649" s="85"/>
      <c r="W649" s="85"/>
      <c r="X649" s="85"/>
      <c r="Y649" s="85"/>
      <c r="Z649" s="85"/>
      <c r="AA649" s="85"/>
      <c r="AB649" s="85"/>
      <c r="AC649" s="85"/>
      <c r="AD649" s="85"/>
      <c r="AE649" s="47">
        <v>0</v>
      </c>
      <c r="AF649" s="47">
        <v>0</v>
      </c>
      <c r="AG649" s="47">
        <v>0</v>
      </c>
      <c r="AH649" s="47">
        <v>0</v>
      </c>
      <c r="AI649" s="47">
        <v>0</v>
      </c>
      <c r="AJ649" s="47">
        <v>0</v>
      </c>
      <c r="AK649" s="47">
        <v>0</v>
      </c>
      <c r="AL649" s="47">
        <v>0</v>
      </c>
      <c r="AM649" s="47">
        <v>0</v>
      </c>
      <c r="AN649" s="47">
        <v>0</v>
      </c>
      <c r="AO649" s="47">
        <v>0</v>
      </c>
      <c r="AP649" s="47">
        <v>0</v>
      </c>
      <c r="AQ649" s="47">
        <v>0</v>
      </c>
      <c r="AR649" s="47">
        <v>0</v>
      </c>
      <c r="AS649" s="47"/>
      <c r="AT649" s="47"/>
      <c r="AU649" s="47"/>
      <c r="AV649" s="47"/>
      <c r="AW649" s="47"/>
      <c r="AX649" s="47"/>
      <c r="AY649" s="47"/>
      <c r="AZ649" s="47"/>
      <c r="BA649" s="47"/>
      <c r="BB649" s="47"/>
      <c r="BC649" s="47"/>
      <c r="BD649" s="47"/>
      <c r="BE649" s="47"/>
      <c r="BF649" s="47"/>
    </row>
    <row r="650" spans="1:58">
      <c r="A650" s="46" t="s">
        <v>83</v>
      </c>
      <c r="B650" s="46" t="s">
        <v>264</v>
      </c>
      <c r="C650" s="47">
        <v>97</v>
      </c>
      <c r="D650" s="47">
        <v>91</v>
      </c>
      <c r="E650" s="47">
        <v>84</v>
      </c>
      <c r="F650" s="47">
        <v>73</v>
      </c>
      <c r="G650" s="47">
        <v>62</v>
      </c>
      <c r="H650" s="47">
        <v>56</v>
      </c>
      <c r="I650" s="47">
        <v>150</v>
      </c>
      <c r="J650" s="47">
        <v>43</v>
      </c>
      <c r="K650" s="47">
        <v>37</v>
      </c>
      <c r="L650" s="47">
        <v>30</v>
      </c>
      <c r="M650" s="47">
        <v>24</v>
      </c>
      <c r="N650" s="47">
        <v>24</v>
      </c>
      <c r="O650" s="47">
        <v>24</v>
      </c>
      <c r="P650" s="47">
        <v>27</v>
      </c>
      <c r="Q650" s="85">
        <v>42</v>
      </c>
      <c r="R650" s="85">
        <v>38</v>
      </c>
      <c r="S650" s="85">
        <v>40</v>
      </c>
      <c r="T650" s="85">
        <v>40</v>
      </c>
      <c r="U650" s="85">
        <v>40</v>
      </c>
      <c r="V650" s="85">
        <v>40</v>
      </c>
      <c r="W650" s="85">
        <v>16.670000000000002</v>
      </c>
      <c r="X650" s="85">
        <v>40</v>
      </c>
      <c r="Y650" s="85">
        <v>40</v>
      </c>
      <c r="Z650" s="85">
        <v>40</v>
      </c>
      <c r="AA650" s="85">
        <v>30</v>
      </c>
      <c r="AB650" s="85">
        <v>30</v>
      </c>
      <c r="AC650" s="85">
        <v>30</v>
      </c>
      <c r="AD650" s="85">
        <v>30</v>
      </c>
      <c r="AE650" s="47">
        <v>4074</v>
      </c>
      <c r="AF650" s="47">
        <v>3458</v>
      </c>
      <c r="AG650" s="47">
        <v>3360</v>
      </c>
      <c r="AH650" s="47">
        <v>2920</v>
      </c>
      <c r="AI650" s="47">
        <v>2480</v>
      </c>
      <c r="AJ650" s="47">
        <v>2240</v>
      </c>
      <c r="AK650" s="47">
        <v>2500</v>
      </c>
      <c r="AL650" s="47">
        <v>1720</v>
      </c>
      <c r="AM650" s="47">
        <v>1480</v>
      </c>
      <c r="AN650" s="47">
        <v>1200</v>
      </c>
      <c r="AO650" s="47">
        <v>720</v>
      </c>
      <c r="AP650" s="47">
        <v>720</v>
      </c>
      <c r="AQ650" s="47">
        <v>720</v>
      </c>
      <c r="AR650" s="47">
        <v>810</v>
      </c>
      <c r="AS650" s="47"/>
      <c r="AT650" s="47"/>
      <c r="AU650" s="47"/>
      <c r="AV650" s="47"/>
      <c r="AW650" s="47"/>
      <c r="AX650" s="47"/>
      <c r="AY650" s="47"/>
      <c r="AZ650" s="47"/>
      <c r="BA650" s="47"/>
      <c r="BB650" s="47"/>
      <c r="BC650" s="47"/>
      <c r="BD650" s="47"/>
      <c r="BE650" s="47"/>
      <c r="BF650" s="47"/>
    </row>
    <row r="651" spans="1:58">
      <c r="A651" s="46" t="s">
        <v>83</v>
      </c>
      <c r="B651" s="46" t="s">
        <v>265</v>
      </c>
      <c r="C651" s="47">
        <v>358</v>
      </c>
      <c r="D651" s="47">
        <v>369</v>
      </c>
      <c r="E651" s="47">
        <v>381</v>
      </c>
      <c r="F651" s="47">
        <v>409</v>
      </c>
      <c r="G651" s="47">
        <v>322</v>
      </c>
      <c r="H651" s="47">
        <v>353</v>
      </c>
      <c r="I651" s="47">
        <v>317</v>
      </c>
      <c r="J651" s="47">
        <v>69</v>
      </c>
      <c r="K651" s="47">
        <v>51</v>
      </c>
      <c r="L651" s="47">
        <v>53</v>
      </c>
      <c r="M651" s="47">
        <v>55</v>
      </c>
      <c r="N651" s="47">
        <v>55</v>
      </c>
      <c r="O651" s="47">
        <v>55</v>
      </c>
      <c r="P651" s="47">
        <v>50</v>
      </c>
      <c r="Q651" s="85">
        <v>10.199999999999999</v>
      </c>
      <c r="R651" s="85">
        <v>10.23</v>
      </c>
      <c r="S651" s="85">
        <v>10.19</v>
      </c>
      <c r="T651" s="85">
        <v>10.16</v>
      </c>
      <c r="U651" s="85">
        <v>11.99</v>
      </c>
      <c r="V651" s="85">
        <v>11.46</v>
      </c>
      <c r="W651" s="85">
        <v>8.74</v>
      </c>
      <c r="X651" s="85">
        <v>50.38</v>
      </c>
      <c r="Y651" s="85">
        <v>83.2</v>
      </c>
      <c r="Z651" s="85">
        <v>83.34</v>
      </c>
      <c r="AA651" s="85">
        <v>1.51</v>
      </c>
      <c r="AB651" s="85">
        <v>1.51</v>
      </c>
      <c r="AC651" s="85">
        <v>14.55</v>
      </c>
      <c r="AD651" s="85">
        <v>14</v>
      </c>
      <c r="AE651" s="47">
        <v>3650</v>
      </c>
      <c r="AF651" s="47">
        <v>3776</v>
      </c>
      <c r="AG651" s="47">
        <v>3884</v>
      </c>
      <c r="AH651" s="47">
        <v>4155</v>
      </c>
      <c r="AI651" s="47">
        <v>3860</v>
      </c>
      <c r="AJ651" s="47">
        <v>4045</v>
      </c>
      <c r="AK651" s="47">
        <v>2772</v>
      </c>
      <c r="AL651" s="47">
        <v>3476</v>
      </c>
      <c r="AM651" s="47">
        <v>4243</v>
      </c>
      <c r="AN651" s="47">
        <v>4417</v>
      </c>
      <c r="AO651" s="47">
        <v>83</v>
      </c>
      <c r="AP651" s="47">
        <v>83</v>
      </c>
      <c r="AQ651" s="47">
        <v>800</v>
      </c>
      <c r="AR651" s="47">
        <v>700</v>
      </c>
      <c r="AS651" s="47"/>
      <c r="AT651" s="47"/>
      <c r="AU651" s="47"/>
      <c r="AV651" s="47"/>
      <c r="AW651" s="47"/>
      <c r="AX651" s="47"/>
      <c r="AY651" s="47"/>
      <c r="AZ651" s="47"/>
      <c r="BA651" s="47"/>
      <c r="BB651" s="47"/>
      <c r="BC651" s="47"/>
      <c r="BD651" s="47"/>
      <c r="BE651" s="47"/>
      <c r="BF651" s="47"/>
    </row>
    <row r="652" spans="1:58">
      <c r="A652" s="46" t="s">
        <v>83</v>
      </c>
      <c r="B652" s="46" t="s">
        <v>266</v>
      </c>
      <c r="C652" s="47">
        <v>0</v>
      </c>
      <c r="D652" s="47">
        <v>0</v>
      </c>
      <c r="E652" s="47">
        <v>0</v>
      </c>
      <c r="F652" s="47">
        <v>0</v>
      </c>
      <c r="G652" s="47">
        <v>1</v>
      </c>
      <c r="H652" s="47">
        <v>0</v>
      </c>
      <c r="I652" s="47">
        <v>0</v>
      </c>
      <c r="J652" s="47">
        <v>0</v>
      </c>
      <c r="K652" s="47">
        <v>0</v>
      </c>
      <c r="L652" s="47">
        <v>0</v>
      </c>
      <c r="M652" s="47">
        <v>0</v>
      </c>
      <c r="N652" s="47">
        <v>0</v>
      </c>
      <c r="O652" s="47">
        <v>0</v>
      </c>
      <c r="P652" s="47">
        <v>0</v>
      </c>
      <c r="Q652" s="85"/>
      <c r="R652" s="85"/>
      <c r="S652" s="85"/>
      <c r="T652" s="85"/>
      <c r="U652" s="85">
        <v>35</v>
      </c>
      <c r="V652" s="85"/>
      <c r="W652" s="85"/>
      <c r="X652" s="85"/>
      <c r="Y652" s="85"/>
      <c r="Z652" s="85"/>
      <c r="AA652" s="85"/>
      <c r="AB652" s="85"/>
      <c r="AC652" s="85"/>
      <c r="AD652" s="85"/>
      <c r="AE652" s="47">
        <v>0</v>
      </c>
      <c r="AF652" s="47">
        <v>0</v>
      </c>
      <c r="AG652" s="47">
        <v>0</v>
      </c>
      <c r="AH652" s="47">
        <v>0</v>
      </c>
      <c r="AI652" s="47">
        <v>35</v>
      </c>
      <c r="AJ652" s="47">
        <v>0</v>
      </c>
      <c r="AK652" s="47">
        <v>0</v>
      </c>
      <c r="AL652" s="47">
        <v>0</v>
      </c>
      <c r="AM652" s="47">
        <v>0</v>
      </c>
      <c r="AN652" s="47">
        <v>0</v>
      </c>
      <c r="AO652" s="47">
        <v>0</v>
      </c>
      <c r="AP652" s="47">
        <v>0</v>
      </c>
      <c r="AQ652" s="47">
        <v>0</v>
      </c>
      <c r="AR652" s="47">
        <v>0</v>
      </c>
      <c r="AS652" s="47"/>
      <c r="AT652" s="47"/>
      <c r="AU652" s="47"/>
      <c r="AV652" s="47"/>
      <c r="AW652" s="47"/>
      <c r="AX652" s="47"/>
      <c r="AY652" s="47"/>
      <c r="AZ652" s="47"/>
      <c r="BA652" s="47"/>
      <c r="BB652" s="47"/>
      <c r="BC652" s="47"/>
      <c r="BD652" s="47"/>
      <c r="BE652" s="47"/>
      <c r="BF652" s="47"/>
    </row>
    <row r="653" spans="1:58">
      <c r="A653" s="46" t="s">
        <v>83</v>
      </c>
      <c r="B653" s="46" t="s">
        <v>267</v>
      </c>
      <c r="C653" s="47">
        <v>455</v>
      </c>
      <c r="D653" s="47">
        <v>460</v>
      </c>
      <c r="E653" s="47">
        <v>465</v>
      </c>
      <c r="F653" s="47">
        <v>482</v>
      </c>
      <c r="G653" s="47">
        <v>385</v>
      </c>
      <c r="H653" s="47">
        <v>409</v>
      </c>
      <c r="I653" s="47">
        <v>467</v>
      </c>
      <c r="J653" s="47">
        <v>112</v>
      </c>
      <c r="K653" s="47">
        <v>88</v>
      </c>
      <c r="L653" s="47">
        <v>83</v>
      </c>
      <c r="M653" s="47">
        <v>79</v>
      </c>
      <c r="N653" s="47">
        <v>79</v>
      </c>
      <c r="O653" s="47">
        <v>79</v>
      </c>
      <c r="P653" s="47">
        <v>77</v>
      </c>
      <c r="Q653" s="85">
        <v>16.98</v>
      </c>
      <c r="R653" s="85">
        <v>15.73</v>
      </c>
      <c r="S653" s="85">
        <v>15.58</v>
      </c>
      <c r="T653" s="85">
        <v>14.68</v>
      </c>
      <c r="U653" s="85">
        <v>16.559999999999999</v>
      </c>
      <c r="V653" s="85">
        <v>15.37</v>
      </c>
      <c r="W653" s="85">
        <v>11.29</v>
      </c>
      <c r="X653" s="85">
        <v>46.39</v>
      </c>
      <c r="Y653" s="85">
        <v>65.03</v>
      </c>
      <c r="Z653" s="85">
        <v>67.67</v>
      </c>
      <c r="AA653" s="85">
        <v>10.16</v>
      </c>
      <c r="AB653" s="85">
        <v>10.16</v>
      </c>
      <c r="AC653" s="85">
        <v>19.239999999999998</v>
      </c>
      <c r="AD653" s="85">
        <v>19.61</v>
      </c>
      <c r="AE653" s="47">
        <v>7724</v>
      </c>
      <c r="AF653" s="47">
        <v>7234</v>
      </c>
      <c r="AG653" s="47">
        <v>7244</v>
      </c>
      <c r="AH653" s="47">
        <v>7075</v>
      </c>
      <c r="AI653" s="47">
        <v>6375</v>
      </c>
      <c r="AJ653" s="47">
        <v>6285</v>
      </c>
      <c r="AK653" s="47">
        <v>5272</v>
      </c>
      <c r="AL653" s="47">
        <v>5196</v>
      </c>
      <c r="AM653" s="47">
        <v>5723</v>
      </c>
      <c r="AN653" s="47">
        <v>5617</v>
      </c>
      <c r="AO653" s="47">
        <v>803</v>
      </c>
      <c r="AP653" s="47">
        <v>803</v>
      </c>
      <c r="AQ653" s="47">
        <v>1520</v>
      </c>
      <c r="AR653" s="47">
        <v>1510</v>
      </c>
      <c r="AS653" s="47"/>
      <c r="AT653" s="47"/>
      <c r="AU653" s="47"/>
      <c r="AV653" s="47"/>
      <c r="AW653" s="47"/>
      <c r="AX653" s="47"/>
      <c r="AY653" s="47"/>
      <c r="AZ653" s="47"/>
      <c r="BA653" s="47"/>
      <c r="BB653" s="47"/>
      <c r="BC653" s="47"/>
      <c r="BD653" s="47"/>
      <c r="BE653" s="47"/>
      <c r="BF653" s="47"/>
    </row>
    <row r="654" spans="1:58">
      <c r="A654" s="46" t="s">
        <v>83</v>
      </c>
      <c r="B654" s="46" t="s">
        <v>268</v>
      </c>
      <c r="C654" s="47">
        <v>0</v>
      </c>
      <c r="D654" s="47">
        <v>0</v>
      </c>
      <c r="E654" s="47">
        <v>0</v>
      </c>
      <c r="F654" s="47">
        <v>0</v>
      </c>
      <c r="G654" s="47">
        <v>0</v>
      </c>
      <c r="H654" s="47">
        <v>0</v>
      </c>
      <c r="I654" s="47">
        <v>0</v>
      </c>
      <c r="J654" s="47">
        <v>0</v>
      </c>
      <c r="K654" s="47">
        <v>0</v>
      </c>
      <c r="L654" s="47">
        <v>0</v>
      </c>
      <c r="M654" s="47">
        <v>0</v>
      </c>
      <c r="N654" s="47">
        <v>0</v>
      </c>
      <c r="O654" s="47">
        <v>0</v>
      </c>
      <c r="P654" s="47">
        <v>0</v>
      </c>
      <c r="Q654" s="85"/>
      <c r="R654" s="85"/>
      <c r="S654" s="85"/>
      <c r="T654" s="85"/>
      <c r="U654" s="85"/>
      <c r="V654" s="85"/>
      <c r="W654" s="85"/>
      <c r="X654" s="85"/>
      <c r="Y654" s="85"/>
      <c r="Z654" s="85"/>
      <c r="AA654" s="85"/>
      <c r="AB654" s="85"/>
      <c r="AC654" s="85"/>
      <c r="AD654" s="85"/>
      <c r="AE654" s="47">
        <v>0</v>
      </c>
      <c r="AF654" s="47">
        <v>0</v>
      </c>
      <c r="AG654" s="47">
        <v>0</v>
      </c>
      <c r="AH654" s="47">
        <v>0</v>
      </c>
      <c r="AI654" s="47">
        <v>0</v>
      </c>
      <c r="AJ654" s="47">
        <v>0</v>
      </c>
      <c r="AK654" s="47">
        <v>0</v>
      </c>
      <c r="AL654" s="47">
        <v>0</v>
      </c>
      <c r="AM654" s="47">
        <v>0</v>
      </c>
      <c r="AN654" s="47">
        <v>0</v>
      </c>
      <c r="AO654" s="47">
        <v>0</v>
      </c>
      <c r="AP654" s="47">
        <v>0</v>
      </c>
      <c r="AQ654" s="47">
        <v>0</v>
      </c>
      <c r="AR654" s="47">
        <v>0</v>
      </c>
      <c r="AS654" s="47"/>
      <c r="AT654" s="47"/>
      <c r="AU654" s="47"/>
      <c r="AV654" s="47"/>
      <c r="AW654" s="47"/>
      <c r="AX654" s="47"/>
      <c r="AY654" s="47"/>
      <c r="AZ654" s="47"/>
      <c r="BA654" s="47"/>
      <c r="BB654" s="47"/>
      <c r="BC654" s="47"/>
      <c r="BD654" s="47"/>
      <c r="BE654" s="47"/>
      <c r="BF654" s="47"/>
    </row>
    <row r="655" spans="1:58">
      <c r="A655" s="46" t="s">
        <v>83</v>
      </c>
      <c r="B655" s="46" t="s">
        <v>269</v>
      </c>
      <c r="C655" s="47">
        <v>0</v>
      </c>
      <c r="D655" s="47">
        <v>0</v>
      </c>
      <c r="E655" s="47">
        <v>0</v>
      </c>
      <c r="F655" s="47">
        <v>0</v>
      </c>
      <c r="G655" s="47">
        <v>0</v>
      </c>
      <c r="H655" s="47">
        <v>0</v>
      </c>
      <c r="I655" s="47">
        <v>0</v>
      </c>
      <c r="J655" s="47">
        <v>0</v>
      </c>
      <c r="K655" s="47">
        <v>0</v>
      </c>
      <c r="L655" s="47">
        <v>0</v>
      </c>
      <c r="M655" s="47">
        <v>0</v>
      </c>
      <c r="N655" s="47">
        <v>0</v>
      </c>
      <c r="O655" s="47">
        <v>0</v>
      </c>
      <c r="P655" s="47">
        <v>0</v>
      </c>
      <c r="Q655" s="85"/>
      <c r="R655" s="85"/>
      <c r="S655" s="85"/>
      <c r="T655" s="85"/>
      <c r="U655" s="85"/>
      <c r="V655" s="85"/>
      <c r="W655" s="85"/>
      <c r="X655" s="85"/>
      <c r="Y655" s="85"/>
      <c r="Z655" s="85"/>
      <c r="AA655" s="85"/>
      <c r="AB655" s="85"/>
      <c r="AC655" s="85"/>
      <c r="AD655" s="85"/>
      <c r="AE655" s="47">
        <v>0</v>
      </c>
      <c r="AF655" s="47">
        <v>0</v>
      </c>
      <c r="AG655" s="47">
        <v>0</v>
      </c>
      <c r="AH655" s="47">
        <v>0</v>
      </c>
      <c r="AI655" s="47">
        <v>0</v>
      </c>
      <c r="AJ655" s="47">
        <v>0</v>
      </c>
      <c r="AK655" s="47">
        <v>0</v>
      </c>
      <c r="AL655" s="47">
        <v>0</v>
      </c>
      <c r="AM655" s="47">
        <v>0</v>
      </c>
      <c r="AN655" s="47">
        <v>0</v>
      </c>
      <c r="AO655" s="47">
        <v>0</v>
      </c>
      <c r="AP655" s="47">
        <v>0</v>
      </c>
      <c r="AQ655" s="47">
        <v>0</v>
      </c>
      <c r="AR655" s="47">
        <v>0</v>
      </c>
      <c r="AS655" s="47"/>
      <c r="AT655" s="47"/>
      <c r="AU655" s="47"/>
      <c r="AV655" s="47"/>
      <c r="AW655" s="47"/>
      <c r="AX655" s="47"/>
      <c r="AY655" s="47"/>
      <c r="AZ655" s="47"/>
      <c r="BA655" s="47"/>
      <c r="BB655" s="47"/>
      <c r="BC655" s="47"/>
      <c r="BD655" s="47"/>
      <c r="BE655" s="47"/>
      <c r="BF655" s="47"/>
    </row>
    <row r="656" spans="1:58">
      <c r="A656" s="46" t="s">
        <v>83</v>
      </c>
      <c r="B656" s="46" t="s">
        <v>270</v>
      </c>
      <c r="C656" s="47">
        <v>0</v>
      </c>
      <c r="D656" s="47">
        <v>0</v>
      </c>
      <c r="E656" s="47">
        <v>0</v>
      </c>
      <c r="F656" s="47">
        <v>0</v>
      </c>
      <c r="G656" s="47">
        <v>0</v>
      </c>
      <c r="H656" s="47">
        <v>1</v>
      </c>
      <c r="I656" s="47">
        <v>4</v>
      </c>
      <c r="J656" s="47">
        <v>14</v>
      </c>
      <c r="K656" s="47">
        <v>9</v>
      </c>
      <c r="L656" s="47">
        <v>5</v>
      </c>
      <c r="M656" s="47">
        <v>1</v>
      </c>
      <c r="N656" s="47">
        <v>2</v>
      </c>
      <c r="O656" s="47">
        <v>1</v>
      </c>
      <c r="P656" s="47">
        <v>1</v>
      </c>
      <c r="Q656" s="85"/>
      <c r="R656" s="85"/>
      <c r="S656" s="85"/>
      <c r="T656" s="85"/>
      <c r="U656" s="85"/>
      <c r="V656" s="85"/>
      <c r="W656" s="85"/>
      <c r="X656" s="85"/>
      <c r="Y656" s="85"/>
      <c r="Z656" s="85"/>
      <c r="AA656" s="85"/>
      <c r="AB656" s="85"/>
      <c r="AC656" s="85"/>
      <c r="AD656" s="85"/>
      <c r="AE656" s="47">
        <v>0</v>
      </c>
      <c r="AF656" s="47">
        <v>0</v>
      </c>
      <c r="AG656" s="47">
        <v>0</v>
      </c>
      <c r="AH656" s="47">
        <v>0</v>
      </c>
      <c r="AI656" s="47">
        <v>0</v>
      </c>
      <c r="AJ656" s="47">
        <v>37</v>
      </c>
      <c r="AK656" s="47">
        <v>280</v>
      </c>
      <c r="AL656" s="47">
        <v>1121</v>
      </c>
      <c r="AM656" s="47">
        <v>701</v>
      </c>
      <c r="AN656" s="47">
        <v>369</v>
      </c>
      <c r="AO656" s="47">
        <v>20</v>
      </c>
      <c r="AP656" s="47">
        <v>98</v>
      </c>
      <c r="AQ656" s="47">
        <v>78</v>
      </c>
      <c r="AR656" s="47">
        <v>78</v>
      </c>
      <c r="AS656" s="47"/>
      <c r="AT656" s="47"/>
      <c r="AU656" s="47"/>
      <c r="AV656" s="47"/>
      <c r="AW656" s="47"/>
      <c r="AX656" s="47"/>
      <c r="AY656" s="47"/>
      <c r="AZ656" s="47"/>
      <c r="BA656" s="47"/>
      <c r="BB656" s="47"/>
      <c r="BC656" s="47"/>
      <c r="BD656" s="47"/>
      <c r="BE656" s="47"/>
      <c r="BF656" s="47"/>
    </row>
    <row r="657" spans="1:58">
      <c r="A657" s="46" t="s">
        <v>83</v>
      </c>
      <c r="B657" s="46" t="s">
        <v>271</v>
      </c>
      <c r="C657" s="47">
        <v>0</v>
      </c>
      <c r="D657" s="47">
        <v>0</v>
      </c>
      <c r="E657" s="47">
        <v>0</v>
      </c>
      <c r="F657" s="47">
        <v>0</v>
      </c>
      <c r="G657" s="47">
        <v>0</v>
      </c>
      <c r="H657" s="47">
        <v>0</v>
      </c>
      <c r="I657" s="47">
        <v>0</v>
      </c>
      <c r="J657" s="47">
        <v>0</v>
      </c>
      <c r="K657" s="47">
        <v>0</v>
      </c>
      <c r="L657" s="47">
        <v>0</v>
      </c>
      <c r="M657" s="47">
        <v>0</v>
      </c>
      <c r="N657" s="47">
        <v>0</v>
      </c>
      <c r="O657" s="47">
        <v>0</v>
      </c>
      <c r="P657" s="47">
        <v>0</v>
      </c>
      <c r="Q657" s="85"/>
      <c r="R657" s="85"/>
      <c r="S657" s="85"/>
      <c r="T657" s="85"/>
      <c r="U657" s="85"/>
      <c r="V657" s="85"/>
      <c r="W657" s="85"/>
      <c r="X657" s="85"/>
      <c r="Y657" s="85"/>
      <c r="Z657" s="85"/>
      <c r="AA657" s="85"/>
      <c r="AB657" s="85"/>
      <c r="AC657" s="85"/>
      <c r="AD657" s="85"/>
      <c r="AE657" s="47">
        <v>0</v>
      </c>
      <c r="AF657" s="47">
        <v>0</v>
      </c>
      <c r="AG657" s="47">
        <v>0</v>
      </c>
      <c r="AH657" s="47">
        <v>0</v>
      </c>
      <c r="AI657" s="47">
        <v>0</v>
      </c>
      <c r="AJ657" s="47">
        <v>0</v>
      </c>
      <c r="AK657" s="47">
        <v>0</v>
      </c>
      <c r="AL657" s="47">
        <v>0</v>
      </c>
      <c r="AM657" s="47">
        <v>0</v>
      </c>
      <c r="AN657" s="47">
        <v>0</v>
      </c>
      <c r="AO657" s="47">
        <v>0</v>
      </c>
      <c r="AP657" s="47">
        <v>0</v>
      </c>
      <c r="AQ657" s="47">
        <v>0</v>
      </c>
      <c r="AR657" s="47">
        <v>0</v>
      </c>
      <c r="AS657" s="47"/>
      <c r="AT657" s="47"/>
      <c r="AU657" s="47"/>
      <c r="AV657" s="47"/>
      <c r="AW657" s="47"/>
      <c r="AX657" s="47"/>
      <c r="AY657" s="47"/>
      <c r="AZ657" s="47"/>
      <c r="BA657" s="47"/>
      <c r="BB657" s="47"/>
      <c r="BC657" s="47"/>
      <c r="BD657" s="47"/>
      <c r="BE657" s="47"/>
      <c r="BF657" s="47"/>
    </row>
    <row r="658" spans="1:58">
      <c r="A658" s="46" t="s">
        <v>83</v>
      </c>
      <c r="B658" s="46" t="s">
        <v>272</v>
      </c>
      <c r="C658" s="47">
        <v>455</v>
      </c>
      <c r="D658" s="47">
        <v>460</v>
      </c>
      <c r="E658" s="47">
        <v>465</v>
      </c>
      <c r="F658" s="47">
        <v>482</v>
      </c>
      <c r="G658" s="47">
        <v>385</v>
      </c>
      <c r="H658" s="47">
        <v>410</v>
      </c>
      <c r="I658" s="47">
        <v>471</v>
      </c>
      <c r="J658" s="47">
        <v>126</v>
      </c>
      <c r="K658" s="47">
        <v>97</v>
      </c>
      <c r="L658" s="47">
        <v>88</v>
      </c>
      <c r="M658" s="47">
        <v>80</v>
      </c>
      <c r="N658" s="47">
        <v>81</v>
      </c>
      <c r="O658" s="47">
        <v>80</v>
      </c>
      <c r="P658" s="47">
        <v>78</v>
      </c>
      <c r="Q658" s="85">
        <v>16.98</v>
      </c>
      <c r="R658" s="85">
        <v>15.73</v>
      </c>
      <c r="S658" s="85">
        <v>15.58</v>
      </c>
      <c r="T658" s="85">
        <v>14.68</v>
      </c>
      <c r="U658" s="85">
        <v>16.559999999999999</v>
      </c>
      <c r="V658" s="85">
        <v>15.42</v>
      </c>
      <c r="W658" s="85">
        <v>11.79</v>
      </c>
      <c r="X658" s="85">
        <v>50.13</v>
      </c>
      <c r="Y658" s="85">
        <v>66.23</v>
      </c>
      <c r="Z658" s="85">
        <v>68.02</v>
      </c>
      <c r="AA658" s="85">
        <v>10.29</v>
      </c>
      <c r="AB658" s="85">
        <v>11.12</v>
      </c>
      <c r="AC658" s="85">
        <v>19.98</v>
      </c>
      <c r="AD658" s="85">
        <v>20.36</v>
      </c>
      <c r="AE658" s="47">
        <v>7724</v>
      </c>
      <c r="AF658" s="47">
        <v>7234</v>
      </c>
      <c r="AG658" s="47">
        <v>7244</v>
      </c>
      <c r="AH658" s="47">
        <v>7075</v>
      </c>
      <c r="AI658" s="47">
        <v>6375</v>
      </c>
      <c r="AJ658" s="47">
        <v>6322</v>
      </c>
      <c r="AK658" s="47">
        <v>5552</v>
      </c>
      <c r="AL658" s="47">
        <v>6317</v>
      </c>
      <c r="AM658" s="47">
        <v>6424</v>
      </c>
      <c r="AN658" s="47">
        <v>5986</v>
      </c>
      <c r="AO658" s="47">
        <v>823</v>
      </c>
      <c r="AP658" s="47">
        <v>901</v>
      </c>
      <c r="AQ658" s="47">
        <v>1598</v>
      </c>
      <c r="AR658" s="47">
        <v>1588</v>
      </c>
      <c r="AS658" s="47"/>
      <c r="AT658" s="47"/>
      <c r="AU658" s="47"/>
      <c r="AV658" s="47"/>
      <c r="AW658" s="47"/>
      <c r="AX658" s="47"/>
      <c r="AY658" s="47"/>
      <c r="AZ658" s="47"/>
      <c r="BA658" s="47"/>
      <c r="BB658" s="47"/>
      <c r="BC658" s="47"/>
      <c r="BD658" s="47"/>
      <c r="BE658" s="47"/>
      <c r="BF658" s="47"/>
    </row>
    <row r="659" spans="1:58">
      <c r="A659" s="46" t="s">
        <v>83</v>
      </c>
      <c r="B659" s="46" t="s">
        <v>273</v>
      </c>
      <c r="C659" s="47">
        <v>2162</v>
      </c>
      <c r="D659" s="47">
        <v>751</v>
      </c>
      <c r="E659" s="47">
        <v>502</v>
      </c>
      <c r="F659" s="47">
        <v>453</v>
      </c>
      <c r="G659" s="47">
        <v>674</v>
      </c>
      <c r="H659" s="47">
        <v>555</v>
      </c>
      <c r="I659" s="47">
        <v>618</v>
      </c>
      <c r="J659" s="47">
        <v>693</v>
      </c>
      <c r="K659" s="47">
        <v>420</v>
      </c>
      <c r="L659" s="47">
        <v>321</v>
      </c>
      <c r="M659" s="47">
        <v>272</v>
      </c>
      <c r="N659" s="47">
        <v>265</v>
      </c>
      <c r="O659" s="47">
        <v>256</v>
      </c>
      <c r="P659" s="47">
        <v>256</v>
      </c>
      <c r="Q659" s="85">
        <v>25</v>
      </c>
      <c r="R659" s="85">
        <v>25</v>
      </c>
      <c r="S659" s="85">
        <v>6</v>
      </c>
      <c r="T659" s="85">
        <v>5</v>
      </c>
      <c r="U659" s="85">
        <v>6</v>
      </c>
      <c r="V659" s="85">
        <v>5</v>
      </c>
      <c r="W659" s="85">
        <v>2.4300000000000002</v>
      </c>
      <c r="X659" s="85">
        <v>15.58</v>
      </c>
      <c r="Y659" s="85">
        <v>12.52</v>
      </c>
      <c r="Z659" s="85">
        <v>12.04</v>
      </c>
      <c r="AA659" s="85">
        <v>0.67</v>
      </c>
      <c r="AB659" s="85">
        <v>0.34</v>
      </c>
      <c r="AC659" s="85">
        <v>17.88</v>
      </c>
      <c r="AD659" s="85">
        <v>15.93</v>
      </c>
      <c r="AE659" s="47">
        <v>54050</v>
      </c>
      <c r="AF659" s="47">
        <v>18775</v>
      </c>
      <c r="AG659" s="47">
        <v>3012</v>
      </c>
      <c r="AH659" s="47">
        <v>2265</v>
      </c>
      <c r="AI659" s="47">
        <v>4044</v>
      </c>
      <c r="AJ659" s="47">
        <v>2775</v>
      </c>
      <c r="AK659" s="47">
        <v>1500</v>
      </c>
      <c r="AL659" s="47">
        <v>10794</v>
      </c>
      <c r="AM659" s="47">
        <v>5257</v>
      </c>
      <c r="AN659" s="47">
        <v>3865</v>
      </c>
      <c r="AO659" s="47">
        <v>181</v>
      </c>
      <c r="AP659" s="47">
        <v>90</v>
      </c>
      <c r="AQ659" s="47">
        <v>4578</v>
      </c>
      <c r="AR659" s="47">
        <v>4078</v>
      </c>
      <c r="AS659" s="47"/>
      <c r="AT659" s="47"/>
      <c r="AU659" s="47"/>
      <c r="AV659" s="47"/>
      <c r="AW659" s="47"/>
      <c r="AX659" s="47"/>
      <c r="AY659" s="47"/>
      <c r="AZ659" s="47"/>
      <c r="BA659" s="47"/>
      <c r="BB659" s="47"/>
      <c r="BC659" s="47"/>
      <c r="BD659" s="47"/>
      <c r="BE659" s="47"/>
      <c r="BF659" s="47"/>
    </row>
    <row r="660" spans="1:58">
      <c r="A660" s="46" t="s">
        <v>83</v>
      </c>
      <c r="B660" s="46" t="s">
        <v>274</v>
      </c>
      <c r="C660" s="47">
        <v>692</v>
      </c>
      <c r="D660" s="47">
        <v>650</v>
      </c>
      <c r="E660" s="47">
        <v>850</v>
      </c>
      <c r="F660" s="47">
        <v>900</v>
      </c>
      <c r="G660" s="47">
        <v>920</v>
      </c>
      <c r="H660" s="47">
        <v>800</v>
      </c>
      <c r="I660" s="47">
        <v>800</v>
      </c>
      <c r="J660" s="47">
        <v>800</v>
      </c>
      <c r="K660" s="47">
        <v>0</v>
      </c>
      <c r="L660" s="47">
        <v>0</v>
      </c>
      <c r="M660" s="47">
        <v>0</v>
      </c>
      <c r="N660" s="47">
        <v>0</v>
      </c>
      <c r="O660" s="47">
        <v>0</v>
      </c>
      <c r="P660" s="47">
        <v>0</v>
      </c>
      <c r="Q660" s="85">
        <v>54.8</v>
      </c>
      <c r="R660" s="85">
        <v>8</v>
      </c>
      <c r="S660" s="85">
        <v>6</v>
      </c>
      <c r="T660" s="85">
        <v>6</v>
      </c>
      <c r="U660" s="85">
        <v>5</v>
      </c>
      <c r="V660" s="85">
        <v>5</v>
      </c>
      <c r="W660" s="85">
        <v>2</v>
      </c>
      <c r="X660" s="85">
        <v>12.5</v>
      </c>
      <c r="Y660" s="85"/>
      <c r="Z660" s="85"/>
      <c r="AA660" s="85"/>
      <c r="AB660" s="85"/>
      <c r="AC660" s="85"/>
      <c r="AD660" s="85"/>
      <c r="AE660" s="47">
        <v>37920</v>
      </c>
      <c r="AF660" s="47">
        <v>5200</v>
      </c>
      <c r="AG660" s="47">
        <v>5100</v>
      </c>
      <c r="AH660" s="47">
        <v>5400</v>
      </c>
      <c r="AI660" s="47">
        <v>4600</v>
      </c>
      <c r="AJ660" s="47">
        <v>4000</v>
      </c>
      <c r="AK660" s="47">
        <v>1600</v>
      </c>
      <c r="AL660" s="47">
        <v>10000</v>
      </c>
      <c r="AM660" s="47">
        <v>0</v>
      </c>
      <c r="AN660" s="47">
        <v>0</v>
      </c>
      <c r="AO660" s="47">
        <v>0</v>
      </c>
      <c r="AP660" s="47">
        <v>0</v>
      </c>
      <c r="AQ660" s="47">
        <v>0</v>
      </c>
      <c r="AR660" s="47">
        <v>0</v>
      </c>
      <c r="AS660" s="47"/>
      <c r="AT660" s="47"/>
      <c r="AU660" s="47"/>
      <c r="AV660" s="47"/>
      <c r="AW660" s="47"/>
      <c r="AX660" s="47"/>
      <c r="AY660" s="47"/>
      <c r="AZ660" s="47"/>
      <c r="BA660" s="47"/>
      <c r="BB660" s="47"/>
      <c r="BC660" s="47"/>
      <c r="BD660" s="47"/>
      <c r="BE660" s="47"/>
      <c r="BF660" s="47"/>
    </row>
    <row r="661" spans="1:58">
      <c r="A661" s="46" t="s">
        <v>83</v>
      </c>
      <c r="B661" s="46" t="s">
        <v>275</v>
      </c>
      <c r="C661" s="47">
        <v>2854</v>
      </c>
      <c r="D661" s="47">
        <v>1401</v>
      </c>
      <c r="E661" s="47">
        <v>1352</v>
      </c>
      <c r="F661" s="47">
        <v>1353</v>
      </c>
      <c r="G661" s="47">
        <v>1594</v>
      </c>
      <c r="H661" s="47">
        <v>1355</v>
      </c>
      <c r="I661" s="47">
        <v>1418</v>
      </c>
      <c r="J661" s="47">
        <v>1493</v>
      </c>
      <c r="K661" s="47">
        <v>420</v>
      </c>
      <c r="L661" s="47">
        <v>321</v>
      </c>
      <c r="M661" s="47">
        <v>272</v>
      </c>
      <c r="N661" s="47">
        <v>265</v>
      </c>
      <c r="O661" s="47">
        <v>256</v>
      </c>
      <c r="P661" s="47">
        <v>256</v>
      </c>
      <c r="Q661" s="85">
        <v>32.22</v>
      </c>
      <c r="R661" s="85">
        <v>17.11</v>
      </c>
      <c r="S661" s="85">
        <v>6</v>
      </c>
      <c r="T661" s="85">
        <v>5.67</v>
      </c>
      <c r="U661" s="85">
        <v>5.42</v>
      </c>
      <c r="V661" s="85">
        <v>5</v>
      </c>
      <c r="W661" s="85">
        <v>2.19</v>
      </c>
      <c r="X661" s="85">
        <v>13.93</v>
      </c>
      <c r="Y661" s="85">
        <v>12.52</v>
      </c>
      <c r="Z661" s="85">
        <v>12.04</v>
      </c>
      <c r="AA661" s="85">
        <v>0.67</v>
      </c>
      <c r="AB661" s="85">
        <v>0.34</v>
      </c>
      <c r="AC661" s="85">
        <v>17.88</v>
      </c>
      <c r="AD661" s="85">
        <v>15.93</v>
      </c>
      <c r="AE661" s="47">
        <v>91970</v>
      </c>
      <c r="AF661" s="47">
        <v>23975</v>
      </c>
      <c r="AG661" s="47">
        <v>8112</v>
      </c>
      <c r="AH661" s="47">
        <v>7665</v>
      </c>
      <c r="AI661" s="47">
        <v>8644</v>
      </c>
      <c r="AJ661" s="47">
        <v>6775</v>
      </c>
      <c r="AK661" s="47">
        <v>3100</v>
      </c>
      <c r="AL661" s="47">
        <v>20794</v>
      </c>
      <c r="AM661" s="47">
        <v>5257</v>
      </c>
      <c r="AN661" s="47">
        <v>3865</v>
      </c>
      <c r="AO661" s="47">
        <v>181</v>
      </c>
      <c r="AP661" s="47">
        <v>90</v>
      </c>
      <c r="AQ661" s="47">
        <v>4578</v>
      </c>
      <c r="AR661" s="47">
        <v>4078</v>
      </c>
      <c r="AS661" s="47"/>
      <c r="AT661" s="47"/>
      <c r="AU661" s="47"/>
      <c r="AV661" s="47"/>
      <c r="AW661" s="47"/>
      <c r="AX661" s="47"/>
      <c r="AY661" s="47"/>
      <c r="AZ661" s="47"/>
      <c r="BA661" s="47"/>
      <c r="BB661" s="47"/>
      <c r="BC661" s="47"/>
      <c r="BD661" s="47"/>
      <c r="BE661" s="47"/>
      <c r="BF661" s="47"/>
    </row>
    <row r="662" spans="1:58">
      <c r="A662" s="46" t="s">
        <v>83</v>
      </c>
      <c r="B662" s="46" t="s">
        <v>276</v>
      </c>
      <c r="C662" s="47">
        <v>3309</v>
      </c>
      <c r="D662" s="47">
        <v>1861</v>
      </c>
      <c r="E662" s="47">
        <v>1817</v>
      </c>
      <c r="F662" s="47">
        <v>1835</v>
      </c>
      <c r="G662" s="47">
        <v>1979</v>
      </c>
      <c r="H662" s="47">
        <v>1765</v>
      </c>
      <c r="I662" s="47">
        <v>1889</v>
      </c>
      <c r="J662" s="47">
        <v>1619</v>
      </c>
      <c r="K662" s="47">
        <v>517</v>
      </c>
      <c r="L662" s="47">
        <v>409</v>
      </c>
      <c r="M662" s="47">
        <v>352</v>
      </c>
      <c r="N662" s="47">
        <v>346</v>
      </c>
      <c r="O662" s="47">
        <v>336</v>
      </c>
      <c r="P662" s="47">
        <v>334</v>
      </c>
      <c r="Q662" s="85">
        <v>30.13</v>
      </c>
      <c r="R662" s="85">
        <v>16.77</v>
      </c>
      <c r="S662" s="85">
        <v>8.4499999999999993</v>
      </c>
      <c r="T662" s="85">
        <v>8.0299999999999994</v>
      </c>
      <c r="U662" s="85">
        <v>7.59</v>
      </c>
      <c r="V662" s="85">
        <v>7.42</v>
      </c>
      <c r="W662" s="85">
        <v>4.58</v>
      </c>
      <c r="X662" s="85">
        <v>16.75</v>
      </c>
      <c r="Y662" s="85">
        <v>22.59</v>
      </c>
      <c r="Z662" s="85">
        <v>24.09</v>
      </c>
      <c r="AA662" s="85">
        <v>2.85</v>
      </c>
      <c r="AB662" s="85">
        <v>2.86</v>
      </c>
      <c r="AC662" s="85">
        <v>18.38</v>
      </c>
      <c r="AD662" s="85">
        <v>16.96</v>
      </c>
      <c r="AE662" s="47">
        <v>99694</v>
      </c>
      <c r="AF662" s="47">
        <v>31209</v>
      </c>
      <c r="AG662" s="47">
        <v>15356</v>
      </c>
      <c r="AH662" s="47">
        <v>14740</v>
      </c>
      <c r="AI662" s="47">
        <v>15019</v>
      </c>
      <c r="AJ662" s="47">
        <v>13097</v>
      </c>
      <c r="AK662" s="47">
        <v>8652</v>
      </c>
      <c r="AL662" s="47">
        <v>27111</v>
      </c>
      <c r="AM662" s="47">
        <v>11681</v>
      </c>
      <c r="AN662" s="47">
        <v>9851</v>
      </c>
      <c r="AO662" s="47">
        <v>1004</v>
      </c>
      <c r="AP662" s="47">
        <v>991</v>
      </c>
      <c r="AQ662" s="47">
        <v>6176</v>
      </c>
      <c r="AR662" s="47">
        <v>5666</v>
      </c>
      <c r="AS662" s="47"/>
      <c r="AT662" s="47"/>
      <c r="AU662" s="47"/>
      <c r="AV662" s="47"/>
      <c r="AW662" s="47"/>
      <c r="AX662" s="47"/>
      <c r="AY662" s="47"/>
      <c r="AZ662" s="47"/>
      <c r="BA662" s="47"/>
      <c r="BB662" s="47"/>
      <c r="BC662" s="47"/>
      <c r="BD662" s="47"/>
      <c r="BE662" s="47"/>
      <c r="BF662" s="47"/>
    </row>
    <row r="663" spans="1:58" hidden="1">
      <c r="A663" s="46" t="s">
        <v>83</v>
      </c>
      <c r="B663" s="46" t="s">
        <v>277</v>
      </c>
      <c r="C663" s="47"/>
      <c r="D663" s="47"/>
      <c r="E663" s="47"/>
      <c r="F663" s="47"/>
      <c r="G663" s="47"/>
      <c r="H663" s="47"/>
      <c r="I663" s="47"/>
      <c r="J663" s="47"/>
      <c r="K663" s="47"/>
      <c r="L663" s="47"/>
      <c r="M663" s="47"/>
      <c r="N663" s="47"/>
      <c r="O663" s="47"/>
      <c r="P663" s="47"/>
      <c r="Q663" s="85"/>
      <c r="R663" s="85"/>
      <c r="S663" s="85"/>
      <c r="T663" s="85"/>
      <c r="U663" s="85"/>
      <c r="V663" s="85"/>
      <c r="W663" s="85"/>
      <c r="X663" s="85"/>
      <c r="Y663" s="85"/>
      <c r="Z663" s="85"/>
      <c r="AA663" s="85"/>
      <c r="AB663" s="85"/>
      <c r="AC663" s="85"/>
      <c r="AD663" s="85"/>
      <c r="AE663" s="47">
        <v>0</v>
      </c>
      <c r="AF663" s="47">
        <v>0</v>
      </c>
      <c r="AG663" s="47">
        <v>0</v>
      </c>
      <c r="AH663" s="47">
        <v>0</v>
      </c>
      <c r="AI663" s="47">
        <v>0</v>
      </c>
      <c r="AJ663" s="47">
        <v>0</v>
      </c>
      <c r="AK663" s="47">
        <v>0</v>
      </c>
      <c r="AL663" s="47">
        <v>0</v>
      </c>
      <c r="AM663" s="47">
        <v>0</v>
      </c>
      <c r="AN663" s="47">
        <v>0</v>
      </c>
      <c r="AO663" s="47">
        <v>0</v>
      </c>
      <c r="AP663" s="47">
        <v>0</v>
      </c>
      <c r="AQ663" s="47">
        <v>0</v>
      </c>
      <c r="AR663" s="47">
        <v>0</v>
      </c>
      <c r="AS663" s="47"/>
      <c r="AT663" s="47"/>
      <c r="AU663" s="47"/>
      <c r="AV663" s="47"/>
      <c r="AW663" s="47"/>
      <c r="AX663" s="47"/>
      <c r="AY663" s="47"/>
      <c r="AZ663" s="47"/>
      <c r="BA663" s="47"/>
      <c r="BB663" s="47"/>
      <c r="BC663" s="47"/>
      <c r="BD663" s="47"/>
      <c r="BE663" s="47"/>
      <c r="BF663" s="47"/>
    </row>
    <row r="664" spans="1:58" hidden="1">
      <c r="A664" s="46" t="s">
        <v>83</v>
      </c>
      <c r="B664" s="46" t="s">
        <v>65</v>
      </c>
      <c r="C664" s="47">
        <v>0</v>
      </c>
      <c r="D664" s="47">
        <v>0</v>
      </c>
      <c r="E664" s="47">
        <v>0</v>
      </c>
      <c r="F664" s="47">
        <v>0</v>
      </c>
      <c r="G664" s="47">
        <v>0</v>
      </c>
      <c r="H664" s="47">
        <v>0</v>
      </c>
      <c r="I664" s="47">
        <v>0</v>
      </c>
      <c r="J664" s="47">
        <v>0</v>
      </c>
      <c r="K664" s="47">
        <v>0</v>
      </c>
      <c r="L664" s="47">
        <v>0</v>
      </c>
      <c r="M664" s="47">
        <v>0</v>
      </c>
      <c r="N664" s="47">
        <v>0</v>
      </c>
      <c r="O664" s="47">
        <v>0</v>
      </c>
      <c r="P664" s="47">
        <v>0</v>
      </c>
      <c r="Q664" s="85"/>
      <c r="R664" s="85"/>
      <c r="S664" s="85"/>
      <c r="T664" s="85"/>
      <c r="U664" s="85"/>
      <c r="V664" s="85"/>
      <c r="W664" s="85"/>
      <c r="X664" s="85"/>
      <c r="Y664" s="85"/>
      <c r="Z664" s="85"/>
      <c r="AA664" s="85"/>
      <c r="AB664" s="85"/>
      <c r="AC664" s="85"/>
      <c r="AD664" s="85"/>
      <c r="AE664" s="47">
        <v>0</v>
      </c>
      <c r="AF664" s="47">
        <v>0</v>
      </c>
      <c r="AG664" s="47">
        <v>0</v>
      </c>
      <c r="AH664" s="47">
        <v>0</v>
      </c>
      <c r="AI664" s="47">
        <v>0</v>
      </c>
      <c r="AJ664" s="47">
        <v>0</v>
      </c>
      <c r="AK664" s="47">
        <v>0</v>
      </c>
      <c r="AL664" s="47">
        <v>0</v>
      </c>
      <c r="AM664" s="47">
        <v>0</v>
      </c>
      <c r="AN664" s="47">
        <v>0</v>
      </c>
      <c r="AO664" s="47">
        <v>0</v>
      </c>
      <c r="AP664" s="47">
        <v>0</v>
      </c>
      <c r="AQ664" s="47">
        <v>0</v>
      </c>
      <c r="AR664" s="47">
        <v>0</v>
      </c>
      <c r="AS664" s="47"/>
      <c r="AT664" s="47"/>
      <c r="AU664" s="47"/>
      <c r="AV664" s="47"/>
      <c r="AW664" s="47"/>
      <c r="AX664" s="47"/>
      <c r="AY664" s="47"/>
      <c r="AZ664" s="47"/>
      <c r="BA664" s="47"/>
      <c r="BB664" s="47"/>
      <c r="BC664" s="47"/>
      <c r="BD664" s="47"/>
      <c r="BE664" s="47"/>
      <c r="BF664" s="47"/>
    </row>
    <row r="665" spans="1:58" hidden="1">
      <c r="A665" s="46" t="s">
        <v>83</v>
      </c>
      <c r="B665" s="46" t="s">
        <v>66</v>
      </c>
      <c r="C665" s="47">
        <v>0</v>
      </c>
      <c r="D665" s="47">
        <v>0</v>
      </c>
      <c r="E665" s="47">
        <v>0</v>
      </c>
      <c r="F665" s="47">
        <v>0</v>
      </c>
      <c r="G665" s="47">
        <v>0</v>
      </c>
      <c r="H665" s="47">
        <v>0</v>
      </c>
      <c r="I665" s="47">
        <v>0</v>
      </c>
      <c r="J665" s="47">
        <v>0</v>
      </c>
      <c r="K665" s="47">
        <v>0</v>
      </c>
      <c r="L665" s="47">
        <v>0</v>
      </c>
      <c r="M665" s="47">
        <v>0</v>
      </c>
      <c r="N665" s="47">
        <v>0</v>
      </c>
      <c r="O665" s="47">
        <v>0</v>
      </c>
      <c r="P665" s="47">
        <v>0</v>
      </c>
      <c r="Q665" s="85"/>
      <c r="R665" s="85"/>
      <c r="S665" s="85"/>
      <c r="T665" s="85"/>
      <c r="U665" s="85"/>
      <c r="V665" s="85"/>
      <c r="W665" s="85"/>
      <c r="X665" s="85"/>
      <c r="Y665" s="85"/>
      <c r="Z665" s="85"/>
      <c r="AA665" s="85"/>
      <c r="AB665" s="85"/>
      <c r="AC665" s="85"/>
      <c r="AD665" s="85"/>
      <c r="AE665" s="47">
        <v>0</v>
      </c>
      <c r="AF665" s="47">
        <v>0</v>
      </c>
      <c r="AG665" s="47">
        <v>0</v>
      </c>
      <c r="AH665" s="47">
        <v>0</v>
      </c>
      <c r="AI665" s="47">
        <v>0</v>
      </c>
      <c r="AJ665" s="47">
        <v>0</v>
      </c>
      <c r="AK665" s="47">
        <v>0</v>
      </c>
      <c r="AL665" s="47">
        <v>0</v>
      </c>
      <c r="AM665" s="47">
        <v>0</v>
      </c>
      <c r="AN665" s="47">
        <v>0</v>
      </c>
      <c r="AO665" s="47">
        <v>0</v>
      </c>
      <c r="AP665" s="47">
        <v>0</v>
      </c>
      <c r="AQ665" s="47">
        <v>0</v>
      </c>
      <c r="AR665" s="47">
        <v>0</v>
      </c>
      <c r="AS665" s="47"/>
      <c r="AT665" s="47"/>
      <c r="AU665" s="47"/>
      <c r="AV665" s="47"/>
      <c r="AW665" s="47"/>
      <c r="AX665" s="47"/>
      <c r="AY665" s="47"/>
      <c r="AZ665" s="47"/>
      <c r="BA665" s="47"/>
      <c r="BB665" s="47"/>
      <c r="BC665" s="47"/>
      <c r="BD665" s="47"/>
      <c r="BE665" s="47"/>
      <c r="BF665" s="47"/>
    </row>
    <row r="666" spans="1:58" hidden="1">
      <c r="A666" s="46" t="s">
        <v>83</v>
      </c>
      <c r="B666" s="46" t="s">
        <v>67</v>
      </c>
      <c r="C666" s="47">
        <v>0</v>
      </c>
      <c r="D666" s="47">
        <v>0</v>
      </c>
      <c r="E666" s="47">
        <v>0</v>
      </c>
      <c r="F666" s="47">
        <v>0</v>
      </c>
      <c r="G666" s="47">
        <v>0</v>
      </c>
      <c r="H666" s="47">
        <v>0</v>
      </c>
      <c r="I666" s="47">
        <v>0</v>
      </c>
      <c r="J666" s="47">
        <v>0</v>
      </c>
      <c r="K666" s="47">
        <v>0</v>
      </c>
      <c r="L666" s="47">
        <v>0</v>
      </c>
      <c r="M666" s="47">
        <v>0</v>
      </c>
      <c r="N666" s="47">
        <v>0</v>
      </c>
      <c r="O666" s="47">
        <v>0</v>
      </c>
      <c r="P666" s="47">
        <v>0</v>
      </c>
      <c r="Q666" s="85"/>
      <c r="R666" s="85"/>
      <c r="S666" s="85"/>
      <c r="T666" s="85"/>
      <c r="U666" s="85"/>
      <c r="V666" s="85"/>
      <c r="W666" s="85"/>
      <c r="X666" s="85"/>
      <c r="Y666" s="85"/>
      <c r="Z666" s="85"/>
      <c r="AA666" s="85"/>
      <c r="AB666" s="85"/>
      <c r="AC666" s="85"/>
      <c r="AD666" s="85"/>
      <c r="AE666" s="47">
        <v>0</v>
      </c>
      <c r="AF666" s="47">
        <v>0</v>
      </c>
      <c r="AG666" s="47">
        <v>0</v>
      </c>
      <c r="AH666" s="47">
        <v>0</v>
      </c>
      <c r="AI666" s="47">
        <v>0</v>
      </c>
      <c r="AJ666" s="47">
        <v>0</v>
      </c>
      <c r="AK666" s="47">
        <v>0</v>
      </c>
      <c r="AL666" s="47">
        <v>0</v>
      </c>
      <c r="AM666" s="47">
        <v>0</v>
      </c>
      <c r="AN666" s="47">
        <v>0</v>
      </c>
      <c r="AO666" s="47">
        <v>0</v>
      </c>
      <c r="AP666" s="47">
        <v>0</v>
      </c>
      <c r="AQ666" s="47">
        <v>0</v>
      </c>
      <c r="AR666" s="47">
        <v>0</v>
      </c>
      <c r="AS666" s="47"/>
      <c r="AT666" s="47"/>
      <c r="AU666" s="47"/>
      <c r="AV666" s="47"/>
      <c r="AW666" s="47"/>
      <c r="AX666" s="47"/>
      <c r="AY666" s="47"/>
      <c r="AZ666" s="47"/>
      <c r="BA666" s="47"/>
      <c r="BB666" s="47"/>
      <c r="BC666" s="47"/>
      <c r="BD666" s="47"/>
      <c r="BE666" s="47"/>
      <c r="BF666" s="47"/>
    </row>
    <row r="667" spans="1:58" hidden="1">
      <c r="A667" s="46" t="s">
        <v>83</v>
      </c>
      <c r="B667" s="46" t="s">
        <v>68</v>
      </c>
      <c r="C667" s="47">
        <v>0</v>
      </c>
      <c r="D667" s="47">
        <v>0</v>
      </c>
      <c r="E667" s="47">
        <v>0</v>
      </c>
      <c r="F667" s="47">
        <v>0</v>
      </c>
      <c r="G667" s="47">
        <v>0</v>
      </c>
      <c r="H667" s="47">
        <v>0</v>
      </c>
      <c r="I667" s="47">
        <v>0</v>
      </c>
      <c r="J667" s="47">
        <v>0</v>
      </c>
      <c r="K667" s="47">
        <v>0</v>
      </c>
      <c r="L667" s="47">
        <v>0</v>
      </c>
      <c r="M667" s="47">
        <v>0</v>
      </c>
      <c r="N667" s="47">
        <v>0</v>
      </c>
      <c r="O667" s="47">
        <v>0</v>
      </c>
      <c r="P667" s="47">
        <v>0</v>
      </c>
      <c r="Q667" s="85"/>
      <c r="R667" s="85"/>
      <c r="S667" s="85"/>
      <c r="T667" s="85"/>
      <c r="U667" s="85"/>
      <c r="V667" s="85"/>
      <c r="W667" s="85"/>
      <c r="X667" s="85"/>
      <c r="Y667" s="85"/>
      <c r="Z667" s="85"/>
      <c r="AA667" s="85"/>
      <c r="AB667" s="85"/>
      <c r="AC667" s="85"/>
      <c r="AD667" s="85"/>
      <c r="AE667" s="47">
        <v>0</v>
      </c>
      <c r="AF667" s="47">
        <v>0</v>
      </c>
      <c r="AG667" s="47">
        <v>0</v>
      </c>
      <c r="AH667" s="47">
        <v>0</v>
      </c>
      <c r="AI667" s="47">
        <v>0</v>
      </c>
      <c r="AJ667" s="47">
        <v>0</v>
      </c>
      <c r="AK667" s="47">
        <v>0</v>
      </c>
      <c r="AL667" s="47">
        <v>0</v>
      </c>
      <c r="AM667" s="47">
        <v>0</v>
      </c>
      <c r="AN667" s="47">
        <v>0</v>
      </c>
      <c r="AO667" s="47">
        <v>0</v>
      </c>
      <c r="AP667" s="47">
        <v>0</v>
      </c>
      <c r="AQ667" s="47">
        <v>0</v>
      </c>
      <c r="AR667" s="47">
        <v>0</v>
      </c>
      <c r="AS667" s="47"/>
      <c r="AT667" s="47"/>
      <c r="AU667" s="47"/>
      <c r="AV667" s="47"/>
      <c r="AW667" s="47"/>
      <c r="AX667" s="47"/>
      <c r="AY667" s="47"/>
      <c r="AZ667" s="47"/>
      <c r="BA667" s="47"/>
      <c r="BB667" s="47"/>
      <c r="BC667" s="47"/>
      <c r="BD667" s="47"/>
      <c r="BE667" s="47"/>
      <c r="BF667" s="47"/>
    </row>
    <row r="668" spans="1:58" hidden="1">
      <c r="A668" s="46" t="s">
        <v>83</v>
      </c>
      <c r="B668" s="46" t="s">
        <v>69</v>
      </c>
      <c r="C668" s="47">
        <v>0</v>
      </c>
      <c r="D668" s="47">
        <v>0</v>
      </c>
      <c r="E668" s="47">
        <v>0</v>
      </c>
      <c r="F668" s="47">
        <v>0</v>
      </c>
      <c r="G668" s="47">
        <v>0</v>
      </c>
      <c r="H668" s="47">
        <v>0</v>
      </c>
      <c r="I668" s="47">
        <v>0</v>
      </c>
      <c r="J668" s="47">
        <v>0</v>
      </c>
      <c r="K668" s="47">
        <v>0</v>
      </c>
      <c r="L668" s="47">
        <v>0</v>
      </c>
      <c r="M668" s="47">
        <v>0</v>
      </c>
      <c r="N668" s="47">
        <v>0</v>
      </c>
      <c r="O668" s="47">
        <v>0</v>
      </c>
      <c r="P668" s="47">
        <v>0</v>
      </c>
      <c r="Q668" s="85"/>
      <c r="R668" s="85"/>
      <c r="S668" s="85"/>
      <c r="T668" s="85"/>
      <c r="U668" s="85"/>
      <c r="V668" s="85"/>
      <c r="W668" s="85"/>
      <c r="X668" s="85"/>
      <c r="Y668" s="85"/>
      <c r="Z668" s="85"/>
      <c r="AA668" s="85"/>
      <c r="AB668" s="85"/>
      <c r="AC668" s="85"/>
      <c r="AD668" s="85"/>
      <c r="AE668" s="47">
        <v>0</v>
      </c>
      <c r="AF668" s="47">
        <v>0</v>
      </c>
      <c r="AG668" s="47">
        <v>0</v>
      </c>
      <c r="AH668" s="47">
        <v>0</v>
      </c>
      <c r="AI668" s="47">
        <v>0</v>
      </c>
      <c r="AJ668" s="47">
        <v>0</v>
      </c>
      <c r="AK668" s="47">
        <v>0</v>
      </c>
      <c r="AL668" s="47">
        <v>0</v>
      </c>
      <c r="AM668" s="47">
        <v>0</v>
      </c>
      <c r="AN668" s="47">
        <v>0</v>
      </c>
      <c r="AO668" s="47">
        <v>0</v>
      </c>
      <c r="AP668" s="47">
        <v>0</v>
      </c>
      <c r="AQ668" s="47">
        <v>0</v>
      </c>
      <c r="AR668" s="47">
        <v>0</v>
      </c>
      <c r="AS668" s="47"/>
      <c r="AT668" s="47"/>
      <c r="AU668" s="47"/>
      <c r="AV668" s="47"/>
      <c r="AW668" s="47"/>
      <c r="AX668" s="47"/>
      <c r="AY668" s="47"/>
      <c r="AZ668" s="47"/>
      <c r="BA668" s="47"/>
      <c r="BB668" s="47"/>
      <c r="BC668" s="47"/>
      <c r="BD668" s="47"/>
      <c r="BE668" s="47"/>
      <c r="BF668" s="47"/>
    </row>
    <row r="669" spans="1:58" hidden="1">
      <c r="A669" s="46" t="s">
        <v>83</v>
      </c>
      <c r="B669" s="46" t="s">
        <v>70</v>
      </c>
      <c r="C669" s="47">
        <v>0</v>
      </c>
      <c r="D669" s="47">
        <v>0</v>
      </c>
      <c r="E669" s="47">
        <v>0</v>
      </c>
      <c r="F669" s="47">
        <v>0</v>
      </c>
      <c r="G669" s="47">
        <v>0</v>
      </c>
      <c r="H669" s="47">
        <v>0</v>
      </c>
      <c r="I669" s="47">
        <v>0</v>
      </c>
      <c r="J669" s="47">
        <v>0</v>
      </c>
      <c r="K669" s="47">
        <v>0</v>
      </c>
      <c r="L669" s="47">
        <v>0</v>
      </c>
      <c r="M669" s="47">
        <v>0</v>
      </c>
      <c r="N669" s="47">
        <v>0</v>
      </c>
      <c r="O669" s="47">
        <v>0</v>
      </c>
      <c r="P669" s="47">
        <v>0</v>
      </c>
      <c r="Q669" s="85"/>
      <c r="R669" s="85"/>
      <c r="S669" s="85"/>
      <c r="T669" s="85"/>
      <c r="U669" s="85"/>
      <c r="V669" s="85"/>
      <c r="W669" s="85"/>
      <c r="X669" s="85"/>
      <c r="Y669" s="85"/>
      <c r="Z669" s="85"/>
      <c r="AA669" s="85"/>
      <c r="AB669" s="85"/>
      <c r="AC669" s="85"/>
      <c r="AD669" s="85"/>
      <c r="AE669" s="47">
        <v>0</v>
      </c>
      <c r="AF669" s="47">
        <v>0</v>
      </c>
      <c r="AG669" s="47">
        <v>0</v>
      </c>
      <c r="AH669" s="47">
        <v>0</v>
      </c>
      <c r="AI669" s="47">
        <v>0</v>
      </c>
      <c r="AJ669" s="47">
        <v>0</v>
      </c>
      <c r="AK669" s="47">
        <v>0</v>
      </c>
      <c r="AL669" s="47">
        <v>0</v>
      </c>
      <c r="AM669" s="47">
        <v>0</v>
      </c>
      <c r="AN669" s="47">
        <v>0</v>
      </c>
      <c r="AO669" s="47">
        <v>0</v>
      </c>
      <c r="AP669" s="47">
        <v>0</v>
      </c>
      <c r="AQ669" s="47">
        <v>0</v>
      </c>
      <c r="AR669" s="47">
        <v>0</v>
      </c>
      <c r="AS669" s="47"/>
      <c r="AT669" s="47"/>
      <c r="AU669" s="47"/>
      <c r="AV669" s="47"/>
      <c r="AW669" s="47"/>
      <c r="AX669" s="47"/>
      <c r="AY669" s="47"/>
      <c r="AZ669" s="47"/>
      <c r="BA669" s="47"/>
      <c r="BB669" s="47"/>
      <c r="BC669" s="47"/>
      <c r="BD669" s="47"/>
      <c r="BE669" s="47"/>
      <c r="BF669" s="47"/>
    </row>
    <row r="670" spans="1:58" hidden="1">
      <c r="A670" s="46" t="s">
        <v>83</v>
      </c>
      <c r="B670" s="46" t="s">
        <v>71</v>
      </c>
      <c r="C670" s="47">
        <v>198</v>
      </c>
      <c r="D670" s="47">
        <v>182</v>
      </c>
      <c r="E670" s="47">
        <v>166</v>
      </c>
      <c r="F670" s="47">
        <v>173</v>
      </c>
      <c r="G670" s="47">
        <v>161</v>
      </c>
      <c r="H670" s="47">
        <v>111</v>
      </c>
      <c r="I670" s="47">
        <v>91</v>
      </c>
      <c r="J670" s="47">
        <v>69</v>
      </c>
      <c r="K670" s="47">
        <v>48</v>
      </c>
      <c r="L670" s="47">
        <v>27</v>
      </c>
      <c r="M670" s="47">
        <v>6</v>
      </c>
      <c r="N670" s="47">
        <v>8</v>
      </c>
      <c r="O670" s="47">
        <v>9</v>
      </c>
      <c r="P670" s="47">
        <v>9</v>
      </c>
      <c r="Q670" s="85"/>
      <c r="R670" s="85"/>
      <c r="S670" s="85"/>
      <c r="T670" s="85"/>
      <c r="U670" s="85"/>
      <c r="V670" s="85"/>
      <c r="W670" s="85"/>
      <c r="X670" s="85"/>
      <c r="Y670" s="85"/>
      <c r="Z670" s="85"/>
      <c r="AA670" s="85"/>
      <c r="AB670" s="85"/>
      <c r="AC670" s="85"/>
      <c r="AD670" s="85"/>
      <c r="AE670" s="47">
        <v>2426</v>
      </c>
      <c r="AF670" s="47">
        <v>2016</v>
      </c>
      <c r="AG670" s="47">
        <v>1770</v>
      </c>
      <c r="AH670" s="47">
        <v>2090</v>
      </c>
      <c r="AI670" s="47">
        <v>1910</v>
      </c>
      <c r="AJ670" s="47">
        <v>1380</v>
      </c>
      <c r="AK670" s="47">
        <v>1149</v>
      </c>
      <c r="AL670" s="47">
        <v>4899</v>
      </c>
      <c r="AM670" s="47">
        <v>3149</v>
      </c>
      <c r="AN670" s="47">
        <v>1681</v>
      </c>
      <c r="AO670" s="47">
        <v>159</v>
      </c>
      <c r="AP670" s="47">
        <v>315</v>
      </c>
      <c r="AQ670" s="47">
        <v>311</v>
      </c>
      <c r="AR670" s="47">
        <v>301</v>
      </c>
      <c r="AS670" s="47"/>
      <c r="AT670" s="47"/>
      <c r="AU670" s="47"/>
      <c r="AV670" s="47"/>
      <c r="AW670" s="47"/>
      <c r="AX670" s="47"/>
      <c r="AY670" s="47"/>
      <c r="AZ670" s="47"/>
      <c r="BA670" s="47"/>
      <c r="BB670" s="47"/>
      <c r="BC670" s="47"/>
      <c r="BD670" s="47"/>
      <c r="BE670" s="47"/>
      <c r="BF670" s="47"/>
    </row>
    <row r="671" spans="1:58" hidden="1">
      <c r="A671" s="46" t="s">
        <v>83</v>
      </c>
      <c r="B671" s="46" t="s">
        <v>72</v>
      </c>
      <c r="C671" s="47">
        <v>198</v>
      </c>
      <c r="D671" s="47">
        <v>182</v>
      </c>
      <c r="E671" s="47">
        <v>166</v>
      </c>
      <c r="F671" s="47">
        <v>173</v>
      </c>
      <c r="G671" s="47">
        <v>161</v>
      </c>
      <c r="H671" s="47">
        <v>111</v>
      </c>
      <c r="I671" s="47">
        <v>91</v>
      </c>
      <c r="J671" s="47">
        <v>69</v>
      </c>
      <c r="K671" s="47">
        <v>48</v>
      </c>
      <c r="L671" s="47">
        <v>27</v>
      </c>
      <c r="M671" s="47">
        <v>6</v>
      </c>
      <c r="N671" s="47">
        <v>8</v>
      </c>
      <c r="O671" s="47">
        <v>9</v>
      </c>
      <c r="P671" s="47">
        <v>9</v>
      </c>
      <c r="Q671" s="85">
        <v>12.25</v>
      </c>
      <c r="R671" s="85">
        <v>11.08</v>
      </c>
      <c r="S671" s="85">
        <v>10.66</v>
      </c>
      <c r="T671" s="85">
        <v>12.08</v>
      </c>
      <c r="U671" s="85">
        <v>11.86</v>
      </c>
      <c r="V671" s="85">
        <v>12.43</v>
      </c>
      <c r="W671" s="85">
        <v>12.63</v>
      </c>
      <c r="X671" s="85">
        <v>71</v>
      </c>
      <c r="Y671" s="85">
        <v>65.599999999999994</v>
      </c>
      <c r="Z671" s="85">
        <v>62.26</v>
      </c>
      <c r="AA671" s="85">
        <v>26.5</v>
      </c>
      <c r="AB671" s="85">
        <v>39.380000000000003</v>
      </c>
      <c r="AC671" s="85">
        <v>34.56</v>
      </c>
      <c r="AD671" s="85">
        <v>33.44</v>
      </c>
      <c r="AE671" s="47">
        <v>2426</v>
      </c>
      <c r="AF671" s="47">
        <v>2016</v>
      </c>
      <c r="AG671" s="47">
        <v>1770</v>
      </c>
      <c r="AH671" s="47">
        <v>2090</v>
      </c>
      <c r="AI671" s="47">
        <v>1910</v>
      </c>
      <c r="AJ671" s="47">
        <v>1380</v>
      </c>
      <c r="AK671" s="47">
        <v>1149</v>
      </c>
      <c r="AL671" s="47">
        <v>4899</v>
      </c>
      <c r="AM671" s="47">
        <v>3149</v>
      </c>
      <c r="AN671" s="47">
        <v>1681</v>
      </c>
      <c r="AO671" s="47">
        <v>159</v>
      </c>
      <c r="AP671" s="47">
        <v>315</v>
      </c>
      <c r="AQ671" s="47">
        <v>311</v>
      </c>
      <c r="AR671" s="47">
        <v>301</v>
      </c>
      <c r="AS671" s="47"/>
      <c r="AT671" s="47"/>
      <c r="AU671" s="47"/>
      <c r="AV671" s="47"/>
      <c r="AW671" s="47"/>
      <c r="AX671" s="47"/>
      <c r="AY671" s="47"/>
      <c r="AZ671" s="47"/>
      <c r="BA671" s="47"/>
      <c r="BB671" s="47"/>
      <c r="BC671" s="47"/>
      <c r="BD671" s="47"/>
      <c r="BE671" s="47"/>
      <c r="BF671" s="47"/>
    </row>
    <row r="672" spans="1:58" hidden="1">
      <c r="A672" s="46" t="s">
        <v>83</v>
      </c>
      <c r="B672" s="46" t="s">
        <v>73</v>
      </c>
      <c r="C672" s="47">
        <v>15</v>
      </c>
      <c r="D672" s="47">
        <v>15</v>
      </c>
      <c r="E672" s="47">
        <v>14</v>
      </c>
      <c r="F672" s="47">
        <v>14</v>
      </c>
      <c r="G672" s="47">
        <v>14</v>
      </c>
      <c r="H672" s="47">
        <v>18</v>
      </c>
      <c r="I672" s="47">
        <v>802</v>
      </c>
      <c r="J672" s="47">
        <v>820</v>
      </c>
      <c r="K672" s="47">
        <v>813</v>
      </c>
      <c r="L672" s="47">
        <v>812</v>
      </c>
      <c r="M672" s="47">
        <v>801</v>
      </c>
      <c r="N672" s="47">
        <v>65</v>
      </c>
      <c r="O672" s="47">
        <v>27</v>
      </c>
      <c r="P672" s="47">
        <v>28</v>
      </c>
      <c r="Q672" s="85">
        <v>2</v>
      </c>
      <c r="R672" s="85">
        <v>2</v>
      </c>
      <c r="S672" s="85">
        <v>2</v>
      </c>
      <c r="T672" s="85">
        <v>2</v>
      </c>
      <c r="U672" s="85">
        <v>2</v>
      </c>
      <c r="V672" s="85">
        <v>1.94</v>
      </c>
      <c r="W672" s="85">
        <v>35.49</v>
      </c>
      <c r="X672" s="85">
        <v>34.840000000000003</v>
      </c>
      <c r="Y672" s="85">
        <v>35.08</v>
      </c>
      <c r="Z672" s="85">
        <v>35.119999999999997</v>
      </c>
      <c r="AA672" s="85">
        <v>35.56</v>
      </c>
      <c r="AB672" s="85">
        <v>30.08</v>
      </c>
      <c r="AC672" s="85">
        <v>21.74</v>
      </c>
      <c r="AD672" s="85">
        <v>20.96</v>
      </c>
      <c r="AE672" s="47">
        <v>30</v>
      </c>
      <c r="AF672" s="47">
        <v>30</v>
      </c>
      <c r="AG672" s="47">
        <v>28</v>
      </c>
      <c r="AH672" s="47">
        <v>28</v>
      </c>
      <c r="AI672" s="47">
        <v>28</v>
      </c>
      <c r="AJ672" s="47">
        <v>35</v>
      </c>
      <c r="AK672" s="47">
        <v>28463</v>
      </c>
      <c r="AL672" s="47">
        <v>28570</v>
      </c>
      <c r="AM672" s="47">
        <v>28521</v>
      </c>
      <c r="AN672" s="47">
        <v>28516</v>
      </c>
      <c r="AO672" s="47">
        <v>28485</v>
      </c>
      <c r="AP672" s="47">
        <v>1955</v>
      </c>
      <c r="AQ672" s="47">
        <v>587</v>
      </c>
      <c r="AR672" s="47">
        <v>587</v>
      </c>
      <c r="AS672" s="47"/>
      <c r="AT672" s="47"/>
      <c r="AU672" s="47"/>
      <c r="AV672" s="47"/>
      <c r="AW672" s="47"/>
      <c r="AX672" s="47"/>
      <c r="AY672" s="47"/>
      <c r="AZ672" s="47"/>
      <c r="BA672" s="47"/>
      <c r="BB672" s="47"/>
      <c r="BC672" s="47"/>
      <c r="BD672" s="47"/>
      <c r="BE672" s="47"/>
      <c r="BF672" s="47"/>
    </row>
    <row r="673" spans="1:58" hidden="1">
      <c r="A673" s="46" t="s">
        <v>83</v>
      </c>
      <c r="B673" s="46" t="s">
        <v>74</v>
      </c>
      <c r="C673" s="47">
        <v>0</v>
      </c>
      <c r="D673" s="47">
        <v>0</v>
      </c>
      <c r="E673" s="47">
        <v>0</v>
      </c>
      <c r="F673" s="47">
        <v>0</v>
      </c>
      <c r="G673" s="47">
        <v>0</v>
      </c>
      <c r="H673" s="47">
        <v>0</v>
      </c>
      <c r="I673" s="47">
        <v>0</v>
      </c>
      <c r="J673" s="47">
        <v>0</v>
      </c>
      <c r="K673" s="47">
        <v>0</v>
      </c>
      <c r="L673" s="47">
        <v>0</v>
      </c>
      <c r="M673" s="47">
        <v>0</v>
      </c>
      <c r="N673" s="47">
        <v>0</v>
      </c>
      <c r="O673" s="47">
        <v>0</v>
      </c>
      <c r="P673" s="47">
        <v>0</v>
      </c>
      <c r="Q673" s="85"/>
      <c r="R673" s="85"/>
      <c r="S673" s="85"/>
      <c r="T673" s="85"/>
      <c r="U673" s="85"/>
      <c r="V673" s="85"/>
      <c r="W673" s="85"/>
      <c r="X673" s="85"/>
      <c r="Y673" s="85"/>
      <c r="Z673" s="85"/>
      <c r="AA673" s="85"/>
      <c r="AB673" s="85"/>
      <c r="AC673" s="85"/>
      <c r="AD673" s="85"/>
      <c r="AE673" s="47">
        <v>0</v>
      </c>
      <c r="AF673" s="47">
        <v>0</v>
      </c>
      <c r="AG673" s="47">
        <v>0</v>
      </c>
      <c r="AH673" s="47">
        <v>0</v>
      </c>
      <c r="AI673" s="47">
        <v>0</v>
      </c>
      <c r="AJ673" s="47">
        <v>0</v>
      </c>
      <c r="AK673" s="47">
        <v>0</v>
      </c>
      <c r="AL673" s="47">
        <v>0</v>
      </c>
      <c r="AM673" s="47">
        <v>0</v>
      </c>
      <c r="AN673" s="47">
        <v>0</v>
      </c>
      <c r="AO673" s="47">
        <v>0</v>
      </c>
      <c r="AP673" s="47">
        <v>0</v>
      </c>
      <c r="AQ673" s="47">
        <v>0</v>
      </c>
      <c r="AR673" s="47">
        <v>0</v>
      </c>
      <c r="AS673" s="47"/>
      <c r="AT673" s="47"/>
      <c r="AU673" s="47"/>
      <c r="AV673" s="47"/>
      <c r="AW673" s="47"/>
      <c r="AX673" s="47"/>
      <c r="AY673" s="47"/>
      <c r="AZ673" s="47"/>
      <c r="BA673" s="47"/>
      <c r="BB673" s="47"/>
      <c r="BC673" s="47"/>
      <c r="BD673" s="47"/>
      <c r="BE673" s="47"/>
      <c r="BF673" s="47"/>
    </row>
    <row r="674" spans="1:58" hidden="1">
      <c r="A674" s="46" t="s">
        <v>83</v>
      </c>
      <c r="B674" s="46" t="s">
        <v>75</v>
      </c>
      <c r="C674" s="47">
        <v>176</v>
      </c>
      <c r="D674" s="47">
        <v>159</v>
      </c>
      <c r="E674" s="47">
        <v>141</v>
      </c>
      <c r="F674" s="47">
        <v>125</v>
      </c>
      <c r="G674" s="47">
        <v>107</v>
      </c>
      <c r="H674" s="47">
        <v>91</v>
      </c>
      <c r="I674" s="47">
        <v>74</v>
      </c>
      <c r="J674" s="47">
        <v>56</v>
      </c>
      <c r="K674" s="47">
        <v>40</v>
      </c>
      <c r="L674" s="47">
        <v>22</v>
      </c>
      <c r="M674" s="47">
        <v>5</v>
      </c>
      <c r="N674" s="47">
        <v>5</v>
      </c>
      <c r="O674" s="47">
        <v>4</v>
      </c>
      <c r="P674" s="47">
        <v>4</v>
      </c>
      <c r="Q674" s="85">
        <v>41.39</v>
      </c>
      <c r="R674" s="85">
        <v>37.32</v>
      </c>
      <c r="S674" s="85">
        <v>39.29</v>
      </c>
      <c r="T674" s="85">
        <v>39.200000000000003</v>
      </c>
      <c r="U674" s="85">
        <v>39.25</v>
      </c>
      <c r="V674" s="85">
        <v>38.880000000000003</v>
      </c>
      <c r="W674" s="85">
        <v>38.64</v>
      </c>
      <c r="X674" s="85">
        <v>38.57</v>
      </c>
      <c r="Y674" s="85">
        <v>38</v>
      </c>
      <c r="Z674" s="85">
        <v>37.32</v>
      </c>
      <c r="AA674" s="85">
        <v>16</v>
      </c>
      <c r="AB674" s="85">
        <v>16</v>
      </c>
      <c r="AC674" s="85">
        <v>15</v>
      </c>
      <c r="AD674" s="85">
        <v>15</v>
      </c>
      <c r="AE674" s="47">
        <v>7284</v>
      </c>
      <c r="AF674" s="47">
        <v>5934</v>
      </c>
      <c r="AG674" s="47">
        <v>5540</v>
      </c>
      <c r="AH674" s="47">
        <v>4900</v>
      </c>
      <c r="AI674" s="47">
        <v>4200</v>
      </c>
      <c r="AJ674" s="47">
        <v>3538</v>
      </c>
      <c r="AK674" s="47">
        <v>2859</v>
      </c>
      <c r="AL674" s="47">
        <v>2160</v>
      </c>
      <c r="AM674" s="47">
        <v>1520</v>
      </c>
      <c r="AN674" s="47">
        <v>821</v>
      </c>
      <c r="AO674" s="47">
        <v>80</v>
      </c>
      <c r="AP674" s="47">
        <v>80</v>
      </c>
      <c r="AQ674" s="47">
        <v>60</v>
      </c>
      <c r="AR674" s="47">
        <v>60</v>
      </c>
      <c r="AS674" s="47"/>
      <c r="AT674" s="47"/>
      <c r="AU674" s="47"/>
      <c r="AV674" s="47"/>
      <c r="AW674" s="47"/>
      <c r="AX674" s="47"/>
      <c r="AY674" s="47"/>
      <c r="AZ674" s="47"/>
      <c r="BA674" s="47"/>
      <c r="BB674" s="47"/>
      <c r="BC674" s="47"/>
      <c r="BD674" s="47"/>
      <c r="BE674" s="47"/>
      <c r="BF674" s="47"/>
    </row>
    <row r="675" spans="1:58" hidden="1">
      <c r="A675" s="46" t="s">
        <v>83</v>
      </c>
      <c r="B675" s="46" t="s">
        <v>76</v>
      </c>
      <c r="C675" s="47">
        <v>100</v>
      </c>
      <c r="D675" s="47">
        <v>100</v>
      </c>
      <c r="E675" s="47">
        <v>100</v>
      </c>
      <c r="F675" s="47">
        <v>105</v>
      </c>
      <c r="G675" s="47">
        <v>105</v>
      </c>
      <c r="H675" s="47">
        <v>110</v>
      </c>
      <c r="I675" s="47">
        <v>110</v>
      </c>
      <c r="J675" s="47">
        <v>113</v>
      </c>
      <c r="K675" s="47">
        <v>105</v>
      </c>
      <c r="L675" s="47">
        <v>105</v>
      </c>
      <c r="M675" s="47">
        <v>80</v>
      </c>
      <c r="N675" s="47">
        <v>80</v>
      </c>
      <c r="O675" s="47">
        <v>70</v>
      </c>
      <c r="P675" s="47">
        <v>80</v>
      </c>
      <c r="Q675" s="85">
        <v>6.5</v>
      </c>
      <c r="R675" s="85">
        <v>7</v>
      </c>
      <c r="S675" s="85">
        <v>9</v>
      </c>
      <c r="T675" s="85">
        <v>9.52</v>
      </c>
      <c r="U675" s="85">
        <v>8.57</v>
      </c>
      <c r="V675" s="85">
        <v>7.27</v>
      </c>
      <c r="W675" s="85">
        <v>8.18</v>
      </c>
      <c r="X675" s="85">
        <v>8.41</v>
      </c>
      <c r="Y675" s="85">
        <v>9.52</v>
      </c>
      <c r="Z675" s="85">
        <v>7.62</v>
      </c>
      <c r="AA675" s="85">
        <v>10</v>
      </c>
      <c r="AB675" s="85">
        <v>9.3800000000000008</v>
      </c>
      <c r="AC675" s="85">
        <v>10</v>
      </c>
      <c r="AD675" s="85">
        <v>6.25</v>
      </c>
      <c r="AE675" s="47">
        <v>650</v>
      </c>
      <c r="AF675" s="47">
        <v>700</v>
      </c>
      <c r="AG675" s="47">
        <v>900</v>
      </c>
      <c r="AH675" s="47">
        <v>1000</v>
      </c>
      <c r="AI675" s="47">
        <v>900</v>
      </c>
      <c r="AJ675" s="47">
        <v>800</v>
      </c>
      <c r="AK675" s="47">
        <v>900</v>
      </c>
      <c r="AL675" s="47">
        <v>950</v>
      </c>
      <c r="AM675" s="47">
        <v>1000</v>
      </c>
      <c r="AN675" s="47">
        <v>800</v>
      </c>
      <c r="AO675" s="47">
        <v>800</v>
      </c>
      <c r="AP675" s="47">
        <v>750</v>
      </c>
      <c r="AQ675" s="47">
        <v>700</v>
      </c>
      <c r="AR675" s="47">
        <v>500</v>
      </c>
      <c r="AS675" s="47"/>
      <c r="AT675" s="47"/>
      <c r="AU675" s="47"/>
      <c r="AV675" s="47"/>
      <c r="AW675" s="47"/>
      <c r="AX675" s="47"/>
      <c r="AY675" s="47"/>
      <c r="AZ675" s="47"/>
      <c r="BA675" s="47"/>
      <c r="BB675" s="47"/>
      <c r="BC675" s="47"/>
      <c r="BD675" s="47"/>
      <c r="BE675" s="47"/>
      <c r="BF675" s="47"/>
    </row>
    <row r="676" spans="1:58" hidden="1">
      <c r="A676" s="46" t="s">
        <v>83</v>
      </c>
      <c r="B676" s="46" t="s">
        <v>77</v>
      </c>
      <c r="C676" s="47">
        <v>0</v>
      </c>
      <c r="D676" s="47">
        <v>0</v>
      </c>
      <c r="E676" s="47">
        <v>0</v>
      </c>
      <c r="F676" s="47">
        <v>0</v>
      </c>
      <c r="G676" s="47">
        <v>0</v>
      </c>
      <c r="H676" s="47">
        <v>0</v>
      </c>
      <c r="I676" s="47">
        <v>0</v>
      </c>
      <c r="J676" s="47">
        <v>0</v>
      </c>
      <c r="K676" s="47">
        <v>0</v>
      </c>
      <c r="L676" s="47">
        <v>0</v>
      </c>
      <c r="M676" s="47">
        <v>0</v>
      </c>
      <c r="N676" s="47">
        <v>0</v>
      </c>
      <c r="O676" s="47">
        <v>0</v>
      </c>
      <c r="P676" s="47">
        <v>0</v>
      </c>
      <c r="Q676" s="85"/>
      <c r="R676" s="85"/>
      <c r="S676" s="85"/>
      <c r="T676" s="85"/>
      <c r="U676" s="85"/>
      <c r="V676" s="85"/>
      <c r="W676" s="85"/>
      <c r="X676" s="85"/>
      <c r="Y676" s="85"/>
      <c r="Z676" s="85"/>
      <c r="AA676" s="85"/>
      <c r="AB676" s="85"/>
      <c r="AC676" s="85"/>
      <c r="AD676" s="85"/>
      <c r="AE676" s="47">
        <v>0</v>
      </c>
      <c r="AF676" s="47">
        <v>0</v>
      </c>
      <c r="AG676" s="47">
        <v>0</v>
      </c>
      <c r="AH676" s="47">
        <v>0</v>
      </c>
      <c r="AI676" s="47">
        <v>0</v>
      </c>
      <c r="AJ676" s="47">
        <v>0</v>
      </c>
      <c r="AK676" s="47">
        <v>0</v>
      </c>
      <c r="AL676" s="47">
        <v>0</v>
      </c>
      <c r="AM676" s="47">
        <v>0</v>
      </c>
      <c r="AN676" s="47">
        <v>0</v>
      </c>
      <c r="AO676" s="47">
        <v>0</v>
      </c>
      <c r="AP676" s="47">
        <v>0</v>
      </c>
      <c r="AQ676" s="47">
        <v>0</v>
      </c>
      <c r="AR676" s="47">
        <v>0</v>
      </c>
      <c r="AS676" s="47"/>
      <c r="AT676" s="47"/>
      <c r="AU676" s="47"/>
      <c r="AV676" s="47"/>
      <c r="AW676" s="47"/>
      <c r="AX676" s="47"/>
      <c r="AY676" s="47"/>
      <c r="AZ676" s="47"/>
      <c r="BA676" s="47"/>
      <c r="BB676" s="47"/>
      <c r="BC676" s="47"/>
      <c r="BD676" s="47"/>
      <c r="BE676" s="47"/>
      <c r="BF676" s="47"/>
    </row>
    <row r="677" spans="1:58" hidden="1">
      <c r="A677" s="46" t="s">
        <v>83</v>
      </c>
      <c r="B677" s="46" t="s">
        <v>78</v>
      </c>
      <c r="C677" s="47">
        <v>0</v>
      </c>
      <c r="D677" s="47">
        <v>0</v>
      </c>
      <c r="E677" s="47">
        <v>0</v>
      </c>
      <c r="F677" s="47">
        <v>0</v>
      </c>
      <c r="G677" s="47">
        <v>0</v>
      </c>
      <c r="H677" s="47">
        <v>0</v>
      </c>
      <c r="I677" s="47">
        <v>0</v>
      </c>
      <c r="J677" s="47">
        <v>0</v>
      </c>
      <c r="K677" s="47">
        <v>0</v>
      </c>
      <c r="L677" s="47">
        <v>0</v>
      </c>
      <c r="M677" s="47">
        <v>0</v>
      </c>
      <c r="N677" s="47">
        <v>0</v>
      </c>
      <c r="O677" s="47">
        <v>0</v>
      </c>
      <c r="P677" s="47">
        <v>0</v>
      </c>
      <c r="Q677" s="85"/>
      <c r="R677" s="85"/>
      <c r="S677" s="85"/>
      <c r="T677" s="85"/>
      <c r="U677" s="85"/>
      <c r="V677" s="85"/>
      <c r="W677" s="85"/>
      <c r="X677" s="85"/>
      <c r="Y677" s="85"/>
      <c r="Z677" s="85"/>
      <c r="AA677" s="85"/>
      <c r="AB677" s="85"/>
      <c r="AC677" s="85"/>
      <c r="AD677" s="85"/>
      <c r="AE677" s="47">
        <v>0</v>
      </c>
      <c r="AF677" s="47">
        <v>0</v>
      </c>
      <c r="AG677" s="47">
        <v>0</v>
      </c>
      <c r="AH677" s="47">
        <v>0</v>
      </c>
      <c r="AI677" s="47">
        <v>0</v>
      </c>
      <c r="AJ677" s="47">
        <v>0</v>
      </c>
      <c r="AK677" s="47">
        <v>0</v>
      </c>
      <c r="AL677" s="47">
        <v>0</v>
      </c>
      <c r="AM677" s="47">
        <v>0</v>
      </c>
      <c r="AN677" s="47">
        <v>0</v>
      </c>
      <c r="AO677" s="47">
        <v>0</v>
      </c>
      <c r="AP677" s="47">
        <v>0</v>
      </c>
      <c r="AQ677" s="47">
        <v>0</v>
      </c>
      <c r="AR677" s="47">
        <v>0</v>
      </c>
      <c r="AS677" s="47"/>
      <c r="AT677" s="47"/>
      <c r="AU677" s="47"/>
      <c r="AV677" s="47"/>
      <c r="AW677" s="47"/>
      <c r="AX677" s="47"/>
      <c r="AY677" s="47"/>
      <c r="AZ677" s="47"/>
      <c r="BA677" s="47"/>
      <c r="BB677" s="47"/>
      <c r="BC677" s="47"/>
      <c r="BD677" s="47"/>
      <c r="BE677" s="47"/>
      <c r="BF677" s="47"/>
    </row>
    <row r="678" spans="1:58" hidden="1">
      <c r="A678" s="46" t="s">
        <v>83</v>
      </c>
      <c r="B678" s="46" t="s">
        <v>79</v>
      </c>
      <c r="C678" s="47">
        <v>0</v>
      </c>
      <c r="D678" s="47">
        <v>0</v>
      </c>
      <c r="E678" s="47">
        <v>0</v>
      </c>
      <c r="F678" s="47">
        <v>0</v>
      </c>
      <c r="G678" s="47">
        <v>0</v>
      </c>
      <c r="H678" s="47">
        <v>1</v>
      </c>
      <c r="I678" s="47">
        <v>1</v>
      </c>
      <c r="J678" s="47">
        <v>1</v>
      </c>
      <c r="K678" s="47">
        <v>1</v>
      </c>
      <c r="L678" s="47">
        <v>1</v>
      </c>
      <c r="M678" s="47">
        <v>1</v>
      </c>
      <c r="N678" s="47">
        <v>1</v>
      </c>
      <c r="O678" s="47">
        <v>1</v>
      </c>
      <c r="P678" s="47">
        <v>2</v>
      </c>
      <c r="Q678" s="85"/>
      <c r="R678" s="85"/>
      <c r="S678" s="85"/>
      <c r="T678" s="85"/>
      <c r="U678" s="85"/>
      <c r="V678" s="85">
        <v>18</v>
      </c>
      <c r="W678" s="85">
        <v>18</v>
      </c>
      <c r="X678" s="85">
        <v>17</v>
      </c>
      <c r="Y678" s="85">
        <v>14</v>
      </c>
      <c r="Z678" s="85">
        <v>15</v>
      </c>
      <c r="AA678" s="85">
        <v>20</v>
      </c>
      <c r="AB678" s="85">
        <v>13</v>
      </c>
      <c r="AC678" s="85">
        <v>11</v>
      </c>
      <c r="AD678" s="85">
        <v>11</v>
      </c>
      <c r="AE678" s="47">
        <v>0</v>
      </c>
      <c r="AF678" s="47">
        <v>0</v>
      </c>
      <c r="AG678" s="47">
        <v>0</v>
      </c>
      <c r="AH678" s="47">
        <v>0</v>
      </c>
      <c r="AI678" s="47">
        <v>0</v>
      </c>
      <c r="AJ678" s="47">
        <v>18</v>
      </c>
      <c r="AK678" s="47">
        <v>18</v>
      </c>
      <c r="AL678" s="47">
        <v>17</v>
      </c>
      <c r="AM678" s="47">
        <v>14</v>
      </c>
      <c r="AN678" s="47">
        <v>15</v>
      </c>
      <c r="AO678" s="47">
        <v>20</v>
      </c>
      <c r="AP678" s="47">
        <v>13</v>
      </c>
      <c r="AQ678" s="47">
        <v>11</v>
      </c>
      <c r="AR678" s="47">
        <v>22</v>
      </c>
      <c r="AS678" s="47"/>
      <c r="AT678" s="47"/>
      <c r="AU678" s="47"/>
      <c r="AV678" s="47"/>
      <c r="AW678" s="47"/>
      <c r="AX678" s="47"/>
      <c r="AY678" s="47"/>
      <c r="AZ678" s="47"/>
      <c r="BA678" s="47"/>
      <c r="BB678" s="47"/>
      <c r="BC678" s="47"/>
      <c r="BD678" s="47"/>
      <c r="BE678" s="47"/>
      <c r="BF678" s="47"/>
    </row>
    <row r="679" spans="1:58" hidden="1">
      <c r="A679" s="46" t="s">
        <v>83</v>
      </c>
      <c r="B679" s="46" t="s">
        <v>80</v>
      </c>
      <c r="C679" s="47">
        <v>0</v>
      </c>
      <c r="D679" s="47">
        <v>0</v>
      </c>
      <c r="E679" s="47">
        <v>0</v>
      </c>
      <c r="F679" s="47">
        <v>0</v>
      </c>
      <c r="G679" s="47">
        <v>0</v>
      </c>
      <c r="H679" s="47">
        <v>0</v>
      </c>
      <c r="I679" s="47">
        <v>0</v>
      </c>
      <c r="J679" s="47">
        <v>0</v>
      </c>
      <c r="K679" s="47">
        <v>0</v>
      </c>
      <c r="L679" s="47">
        <v>0</v>
      </c>
      <c r="M679" s="47">
        <v>0</v>
      </c>
      <c r="N679" s="47">
        <v>0</v>
      </c>
      <c r="O679" s="47">
        <v>0</v>
      </c>
      <c r="P679" s="47">
        <v>0</v>
      </c>
      <c r="Q679" s="85"/>
      <c r="R679" s="85"/>
      <c r="S679" s="85"/>
      <c r="T679" s="85"/>
      <c r="U679" s="85"/>
      <c r="V679" s="85"/>
      <c r="W679" s="85"/>
      <c r="X679" s="85"/>
      <c r="Y679" s="85"/>
      <c r="Z679" s="85"/>
      <c r="AA679" s="85"/>
      <c r="AB679" s="85"/>
      <c r="AC679" s="85"/>
      <c r="AD679" s="85"/>
      <c r="AE679" s="47">
        <v>0</v>
      </c>
      <c r="AF679" s="47">
        <v>0</v>
      </c>
      <c r="AG679" s="47">
        <v>0</v>
      </c>
      <c r="AH679" s="47">
        <v>0</v>
      </c>
      <c r="AI679" s="47">
        <v>0</v>
      </c>
      <c r="AJ679" s="47">
        <v>0</v>
      </c>
      <c r="AK679" s="47">
        <v>0</v>
      </c>
      <c r="AL679" s="47">
        <v>0</v>
      </c>
      <c r="AM679" s="47">
        <v>0</v>
      </c>
      <c r="AN679" s="47">
        <v>0</v>
      </c>
      <c r="AO679" s="47">
        <v>0</v>
      </c>
      <c r="AP679" s="47">
        <v>0</v>
      </c>
      <c r="AQ679" s="47">
        <v>0</v>
      </c>
      <c r="AR679" s="47">
        <v>0</v>
      </c>
      <c r="AS679" s="47"/>
      <c r="AT679" s="47"/>
      <c r="AU679" s="47"/>
      <c r="AV679" s="47"/>
      <c r="AW679" s="47"/>
      <c r="AX679" s="47"/>
      <c r="AY679" s="47"/>
      <c r="AZ679" s="47"/>
      <c r="BA679" s="47"/>
      <c r="BB679" s="47"/>
      <c r="BC679" s="47"/>
      <c r="BD679" s="47"/>
      <c r="BE679" s="47"/>
      <c r="BF679" s="47"/>
    </row>
    <row r="680" spans="1:58" hidden="1">
      <c r="A680" s="46" t="s">
        <v>83</v>
      </c>
      <c r="B680" s="46" t="s">
        <v>81</v>
      </c>
      <c r="C680" s="47">
        <v>0</v>
      </c>
      <c r="D680" s="47">
        <v>0</v>
      </c>
      <c r="E680" s="47">
        <v>0</v>
      </c>
      <c r="F680" s="47">
        <v>0</v>
      </c>
      <c r="G680" s="47">
        <v>0</v>
      </c>
      <c r="H680" s="47">
        <v>0</v>
      </c>
      <c r="I680" s="47">
        <v>0</v>
      </c>
      <c r="J680" s="47">
        <v>0</v>
      </c>
      <c r="K680" s="47">
        <v>0</v>
      </c>
      <c r="L680" s="47">
        <v>0</v>
      </c>
      <c r="M680" s="47">
        <v>32</v>
      </c>
      <c r="N680" s="47">
        <v>19</v>
      </c>
      <c r="O680" s="47">
        <v>10</v>
      </c>
      <c r="P680" s="47">
        <v>10</v>
      </c>
      <c r="Q680" s="85"/>
      <c r="R680" s="85"/>
      <c r="S680" s="85"/>
      <c r="T680" s="85"/>
      <c r="U680" s="85"/>
      <c r="V680" s="85"/>
      <c r="W680" s="85"/>
      <c r="X680" s="85"/>
      <c r="Y680" s="85"/>
      <c r="Z680" s="85"/>
      <c r="AA680" s="85"/>
      <c r="AB680" s="85"/>
      <c r="AC680" s="85"/>
      <c r="AD680" s="85"/>
      <c r="AE680" s="47">
        <v>0</v>
      </c>
      <c r="AF680" s="47">
        <v>0</v>
      </c>
      <c r="AG680" s="47">
        <v>0</v>
      </c>
      <c r="AH680" s="47">
        <v>0</v>
      </c>
      <c r="AI680" s="47">
        <v>0</v>
      </c>
      <c r="AJ680" s="47">
        <v>0</v>
      </c>
      <c r="AK680" s="47">
        <v>0</v>
      </c>
      <c r="AL680" s="47">
        <v>0</v>
      </c>
      <c r="AM680" s="47">
        <v>0</v>
      </c>
      <c r="AN680" s="47">
        <v>0</v>
      </c>
      <c r="AO680" s="47">
        <v>305</v>
      </c>
      <c r="AP680" s="47">
        <v>52</v>
      </c>
      <c r="AQ680" s="47">
        <v>185</v>
      </c>
      <c r="AR680" s="47">
        <v>175</v>
      </c>
      <c r="AS680" s="47"/>
      <c r="AT680" s="47"/>
      <c r="AU680" s="47"/>
      <c r="AV680" s="47"/>
      <c r="AW680" s="47"/>
      <c r="AX680" s="47"/>
      <c r="AY680" s="47"/>
      <c r="AZ680" s="47"/>
      <c r="BA680" s="47"/>
      <c r="BB680" s="47"/>
      <c r="BC680" s="47"/>
      <c r="BD680" s="47"/>
      <c r="BE680" s="47"/>
      <c r="BF680" s="47"/>
    </row>
    <row r="681" spans="1:58" hidden="1">
      <c r="A681" s="46" t="s">
        <v>83</v>
      </c>
      <c r="B681" s="46" t="s">
        <v>82</v>
      </c>
      <c r="C681" s="47">
        <v>291</v>
      </c>
      <c r="D681" s="47">
        <v>274</v>
      </c>
      <c r="E681" s="47">
        <v>255</v>
      </c>
      <c r="F681" s="47">
        <v>244</v>
      </c>
      <c r="G681" s="47">
        <v>226</v>
      </c>
      <c r="H681" s="47">
        <v>220</v>
      </c>
      <c r="I681" s="47">
        <v>987</v>
      </c>
      <c r="J681" s="47">
        <v>990</v>
      </c>
      <c r="K681" s="47">
        <v>959</v>
      </c>
      <c r="L681" s="47">
        <v>940</v>
      </c>
      <c r="M681" s="47">
        <v>919</v>
      </c>
      <c r="N681" s="47">
        <v>170</v>
      </c>
      <c r="O681" s="47">
        <v>112</v>
      </c>
      <c r="P681" s="47">
        <v>124</v>
      </c>
      <c r="Q681" s="85">
        <v>27.37</v>
      </c>
      <c r="R681" s="85">
        <v>24.32</v>
      </c>
      <c r="S681" s="85">
        <v>25.36</v>
      </c>
      <c r="T681" s="85">
        <v>24.3</v>
      </c>
      <c r="U681" s="85">
        <v>22.69</v>
      </c>
      <c r="V681" s="85">
        <v>19.96</v>
      </c>
      <c r="W681" s="85">
        <v>32.659999999999997</v>
      </c>
      <c r="X681" s="85">
        <v>32.020000000000003</v>
      </c>
      <c r="Y681" s="85">
        <v>32.380000000000003</v>
      </c>
      <c r="Z681" s="85">
        <v>32.08</v>
      </c>
      <c r="AA681" s="85">
        <v>32.31</v>
      </c>
      <c r="AB681" s="85">
        <v>16.760000000000002</v>
      </c>
      <c r="AC681" s="85">
        <v>13.78</v>
      </c>
      <c r="AD681" s="85">
        <v>10.84</v>
      </c>
      <c r="AE681" s="47">
        <v>7964</v>
      </c>
      <c r="AF681" s="47">
        <v>6664</v>
      </c>
      <c r="AG681" s="47">
        <v>6468</v>
      </c>
      <c r="AH681" s="47">
        <v>5928</v>
      </c>
      <c r="AI681" s="47">
        <v>5128</v>
      </c>
      <c r="AJ681" s="47">
        <v>4391</v>
      </c>
      <c r="AK681" s="47">
        <v>32240</v>
      </c>
      <c r="AL681" s="47">
        <v>31697</v>
      </c>
      <c r="AM681" s="47">
        <v>31055</v>
      </c>
      <c r="AN681" s="47">
        <v>30152</v>
      </c>
      <c r="AO681" s="47">
        <v>29690</v>
      </c>
      <c r="AP681" s="47">
        <v>2850</v>
      </c>
      <c r="AQ681" s="47">
        <v>1543</v>
      </c>
      <c r="AR681" s="47">
        <v>1344</v>
      </c>
      <c r="AS681" s="47"/>
      <c r="AT681" s="47"/>
      <c r="AU681" s="47"/>
      <c r="AV681" s="47"/>
      <c r="AW681" s="47"/>
      <c r="AX681" s="47"/>
      <c r="AY681" s="47"/>
      <c r="AZ681" s="47"/>
      <c r="BA681" s="47"/>
      <c r="BB681" s="47"/>
      <c r="BC681" s="47"/>
      <c r="BD681" s="47"/>
      <c r="BE681" s="47"/>
      <c r="BF681" s="47"/>
    </row>
    <row r="682" spans="1:58" hidden="1">
      <c r="A682" s="46" t="s">
        <v>291</v>
      </c>
      <c r="B682" s="46" t="s">
        <v>251</v>
      </c>
      <c r="C682" s="47">
        <v>0</v>
      </c>
      <c r="D682" s="47">
        <v>0</v>
      </c>
      <c r="E682" s="47">
        <v>0</v>
      </c>
      <c r="F682" s="47">
        <v>0</v>
      </c>
      <c r="G682" s="47">
        <v>0</v>
      </c>
      <c r="H682" s="47">
        <v>0</v>
      </c>
      <c r="I682" s="47">
        <v>0</v>
      </c>
      <c r="J682" s="47">
        <v>0</v>
      </c>
      <c r="K682" s="47">
        <v>0</v>
      </c>
      <c r="L682" s="47">
        <v>0</v>
      </c>
      <c r="M682" s="47">
        <v>0</v>
      </c>
      <c r="N682" s="47">
        <v>0</v>
      </c>
      <c r="O682" s="47">
        <v>0</v>
      </c>
      <c r="P682" s="47">
        <v>0</v>
      </c>
      <c r="Q682" s="85"/>
      <c r="R682" s="85"/>
      <c r="S682" s="85"/>
      <c r="T682" s="85"/>
      <c r="U682" s="85"/>
      <c r="V682" s="85"/>
      <c r="W682" s="85"/>
      <c r="X682" s="85"/>
      <c r="Y682" s="85"/>
      <c r="Z682" s="85"/>
      <c r="AA682" s="85"/>
      <c r="AB682" s="85"/>
      <c r="AC682" s="85"/>
      <c r="AD682" s="85"/>
      <c r="AE682" s="47">
        <v>0</v>
      </c>
      <c r="AF682" s="47">
        <v>0</v>
      </c>
      <c r="AG682" s="47">
        <v>0</v>
      </c>
      <c r="AH682" s="47">
        <v>0</v>
      </c>
      <c r="AI682" s="47">
        <v>0</v>
      </c>
      <c r="AJ682" s="47">
        <v>0</v>
      </c>
      <c r="AK682" s="47">
        <v>0</v>
      </c>
      <c r="AL682" s="47">
        <v>0</v>
      </c>
      <c r="AM682" s="47">
        <v>0</v>
      </c>
      <c r="AN682" s="47">
        <v>0</v>
      </c>
      <c r="AO682" s="47">
        <v>0</v>
      </c>
      <c r="AP682" s="47">
        <v>0</v>
      </c>
      <c r="AQ682" s="47">
        <v>0</v>
      </c>
      <c r="AR682" s="47">
        <v>0</v>
      </c>
      <c r="AS682" s="47"/>
      <c r="AT682" s="47"/>
      <c r="AU682" s="47"/>
      <c r="AV682" s="47"/>
      <c r="AW682" s="47"/>
      <c r="AX682" s="47"/>
      <c r="AY682" s="47"/>
      <c r="AZ682" s="47"/>
      <c r="BA682" s="47"/>
      <c r="BB682" s="47"/>
      <c r="BC682" s="47"/>
      <c r="BD682" s="47"/>
      <c r="BE682" s="47"/>
      <c r="BF682" s="47"/>
    </row>
    <row r="683" spans="1:58" hidden="1">
      <c r="A683" s="46" t="s">
        <v>291</v>
      </c>
      <c r="B683" s="46" t="s">
        <v>252</v>
      </c>
      <c r="C683" s="47">
        <v>0</v>
      </c>
      <c r="D683" s="47">
        <v>0</v>
      </c>
      <c r="E683" s="47">
        <v>0</v>
      </c>
      <c r="F683" s="47">
        <v>0</v>
      </c>
      <c r="G683" s="47">
        <v>0</v>
      </c>
      <c r="H683" s="47">
        <v>0</v>
      </c>
      <c r="I683" s="47">
        <v>0</v>
      </c>
      <c r="J683" s="47">
        <v>0</v>
      </c>
      <c r="K683" s="47">
        <v>0</v>
      </c>
      <c r="L683" s="47">
        <v>0</v>
      </c>
      <c r="M683" s="47">
        <v>0</v>
      </c>
      <c r="N683" s="47">
        <v>0</v>
      </c>
      <c r="O683" s="47">
        <v>0</v>
      </c>
      <c r="P683" s="47">
        <v>0</v>
      </c>
      <c r="Q683" s="85"/>
      <c r="R683" s="85"/>
      <c r="S683" s="85"/>
      <c r="T683" s="85"/>
      <c r="U683" s="85"/>
      <c r="V683" s="85"/>
      <c r="W683" s="85"/>
      <c r="X683" s="85"/>
      <c r="Y683" s="85"/>
      <c r="Z683" s="85"/>
      <c r="AA683" s="85"/>
      <c r="AB683" s="85"/>
      <c r="AC683" s="85"/>
      <c r="AD683" s="85"/>
      <c r="AE683" s="47">
        <v>0</v>
      </c>
      <c r="AF683" s="47">
        <v>0</v>
      </c>
      <c r="AG683" s="47">
        <v>0</v>
      </c>
      <c r="AH683" s="47">
        <v>0</v>
      </c>
      <c r="AI683" s="47">
        <v>0</v>
      </c>
      <c r="AJ683" s="47">
        <v>0</v>
      </c>
      <c r="AK683" s="47">
        <v>0</v>
      </c>
      <c r="AL683" s="47">
        <v>0</v>
      </c>
      <c r="AM683" s="47">
        <v>0</v>
      </c>
      <c r="AN683" s="47">
        <v>0</v>
      </c>
      <c r="AO683" s="47">
        <v>0</v>
      </c>
      <c r="AP683" s="47">
        <v>0</v>
      </c>
      <c r="AQ683" s="47">
        <v>0</v>
      </c>
      <c r="AR683" s="47">
        <v>0</v>
      </c>
      <c r="AS683" s="47"/>
      <c r="AT683" s="47"/>
      <c r="AU683" s="47"/>
      <c r="AV683" s="47"/>
      <c r="AW683" s="47"/>
      <c r="AX683" s="47"/>
      <c r="AY683" s="47"/>
      <c r="AZ683" s="47"/>
      <c r="BA683" s="47"/>
      <c r="BB683" s="47"/>
      <c r="BC683" s="47"/>
      <c r="BD683" s="47"/>
      <c r="BE683" s="47"/>
      <c r="BF683" s="47"/>
    </row>
    <row r="684" spans="1:58" hidden="1">
      <c r="A684" s="46" t="s">
        <v>291</v>
      </c>
      <c r="B684" s="46" t="s">
        <v>253</v>
      </c>
      <c r="C684" s="47">
        <v>0</v>
      </c>
      <c r="D684" s="47">
        <v>0</v>
      </c>
      <c r="E684" s="47">
        <v>0</v>
      </c>
      <c r="F684" s="47">
        <v>0</v>
      </c>
      <c r="G684" s="47">
        <v>0</v>
      </c>
      <c r="H684" s="47">
        <v>0</v>
      </c>
      <c r="I684" s="47">
        <v>0</v>
      </c>
      <c r="J684" s="47">
        <v>0</v>
      </c>
      <c r="K684" s="47">
        <v>0</v>
      </c>
      <c r="L684" s="47">
        <v>0</v>
      </c>
      <c r="M684" s="47">
        <v>0</v>
      </c>
      <c r="N684" s="47">
        <v>0</v>
      </c>
      <c r="O684" s="47">
        <v>0</v>
      </c>
      <c r="P684" s="47">
        <v>0</v>
      </c>
      <c r="Q684" s="85"/>
      <c r="R684" s="85"/>
      <c r="S684" s="85"/>
      <c r="T684" s="85"/>
      <c r="U684" s="85"/>
      <c r="V684" s="85"/>
      <c r="W684" s="85"/>
      <c r="X684" s="85"/>
      <c r="Y684" s="85"/>
      <c r="Z684" s="85"/>
      <c r="AA684" s="85"/>
      <c r="AB684" s="85"/>
      <c r="AC684" s="85"/>
      <c r="AD684" s="85"/>
      <c r="AE684" s="47">
        <v>0</v>
      </c>
      <c r="AF684" s="47">
        <v>0</v>
      </c>
      <c r="AG684" s="47">
        <v>0</v>
      </c>
      <c r="AH684" s="47">
        <v>0</v>
      </c>
      <c r="AI684" s="47">
        <v>0</v>
      </c>
      <c r="AJ684" s="47">
        <v>0</v>
      </c>
      <c r="AK684" s="47">
        <v>0</v>
      </c>
      <c r="AL684" s="47">
        <v>0</v>
      </c>
      <c r="AM684" s="47">
        <v>0</v>
      </c>
      <c r="AN684" s="47">
        <v>0</v>
      </c>
      <c r="AO684" s="47">
        <v>0</v>
      </c>
      <c r="AP684" s="47">
        <v>0</v>
      </c>
      <c r="AQ684" s="47">
        <v>0</v>
      </c>
      <c r="AR684" s="47">
        <v>0</v>
      </c>
      <c r="AS684" s="47"/>
      <c r="AT684" s="47"/>
      <c r="AU684" s="47"/>
      <c r="AV684" s="47"/>
      <c r="AW684" s="47"/>
      <c r="AX684" s="47"/>
      <c r="AY684" s="47"/>
      <c r="AZ684" s="47"/>
      <c r="BA684" s="47"/>
      <c r="BB684" s="47"/>
      <c r="BC684" s="47"/>
      <c r="BD684" s="47"/>
      <c r="BE684" s="47"/>
      <c r="BF684" s="47"/>
    </row>
    <row r="685" spans="1:58" hidden="1">
      <c r="A685" s="46" t="s">
        <v>291</v>
      </c>
      <c r="B685" s="46" t="s">
        <v>254</v>
      </c>
      <c r="C685" s="47">
        <v>0</v>
      </c>
      <c r="D685" s="47">
        <v>0</v>
      </c>
      <c r="E685" s="47">
        <v>0</v>
      </c>
      <c r="F685" s="47">
        <v>0</v>
      </c>
      <c r="G685" s="47">
        <v>0</v>
      </c>
      <c r="H685" s="47">
        <v>0</v>
      </c>
      <c r="I685" s="47">
        <v>0</v>
      </c>
      <c r="J685" s="47">
        <v>0</v>
      </c>
      <c r="K685" s="47">
        <v>0</v>
      </c>
      <c r="L685" s="47">
        <v>0</v>
      </c>
      <c r="M685" s="47">
        <v>0</v>
      </c>
      <c r="N685" s="47">
        <v>0</v>
      </c>
      <c r="O685" s="47">
        <v>0</v>
      </c>
      <c r="P685" s="47">
        <v>0</v>
      </c>
      <c r="Q685" s="85"/>
      <c r="R685" s="85"/>
      <c r="S685" s="85"/>
      <c r="T685" s="85"/>
      <c r="U685" s="85"/>
      <c r="V685" s="85"/>
      <c r="W685" s="85"/>
      <c r="X685" s="85"/>
      <c r="Y685" s="85"/>
      <c r="Z685" s="85"/>
      <c r="AA685" s="85"/>
      <c r="AB685" s="85"/>
      <c r="AC685" s="85"/>
      <c r="AD685" s="85"/>
      <c r="AE685" s="47">
        <v>0</v>
      </c>
      <c r="AF685" s="47">
        <v>0</v>
      </c>
      <c r="AG685" s="47">
        <v>0</v>
      </c>
      <c r="AH685" s="47">
        <v>0</v>
      </c>
      <c r="AI685" s="47">
        <v>0</v>
      </c>
      <c r="AJ685" s="47">
        <v>0</v>
      </c>
      <c r="AK685" s="47">
        <v>0</v>
      </c>
      <c r="AL685" s="47">
        <v>0</v>
      </c>
      <c r="AM685" s="47">
        <v>0</v>
      </c>
      <c r="AN685" s="47">
        <v>0</v>
      </c>
      <c r="AO685" s="47">
        <v>0</v>
      </c>
      <c r="AP685" s="47">
        <v>0</v>
      </c>
      <c r="AQ685" s="47">
        <v>0</v>
      </c>
      <c r="AR685" s="47">
        <v>0</v>
      </c>
      <c r="AS685" s="47"/>
      <c r="AT685" s="47"/>
      <c r="AU685" s="47"/>
      <c r="AV685" s="47"/>
      <c r="AW685" s="47"/>
      <c r="AX685" s="47"/>
      <c r="AY685" s="47"/>
      <c r="AZ685" s="47"/>
      <c r="BA685" s="47"/>
      <c r="BB685" s="47"/>
      <c r="BC685" s="47"/>
      <c r="BD685" s="47"/>
      <c r="BE685" s="47"/>
      <c r="BF685" s="47"/>
    </row>
    <row r="686" spans="1:58" hidden="1">
      <c r="A686" s="46" t="s">
        <v>291</v>
      </c>
      <c r="B686" s="46" t="s">
        <v>255</v>
      </c>
      <c r="C686" s="47">
        <v>0</v>
      </c>
      <c r="D686" s="47">
        <v>0</v>
      </c>
      <c r="E686" s="47">
        <v>0</v>
      </c>
      <c r="F686" s="47">
        <v>0</v>
      </c>
      <c r="G686" s="47">
        <v>0</v>
      </c>
      <c r="H686" s="47">
        <v>0</v>
      </c>
      <c r="I686" s="47">
        <v>0</v>
      </c>
      <c r="J686" s="47">
        <v>0</v>
      </c>
      <c r="K686" s="47">
        <v>0</v>
      </c>
      <c r="L686" s="47">
        <v>0</v>
      </c>
      <c r="M686" s="47">
        <v>0</v>
      </c>
      <c r="N686" s="47">
        <v>0</v>
      </c>
      <c r="O686" s="47">
        <v>0</v>
      </c>
      <c r="P686" s="47">
        <v>0</v>
      </c>
      <c r="Q686" s="85"/>
      <c r="R686" s="85"/>
      <c r="S686" s="85"/>
      <c r="T686" s="85"/>
      <c r="U686" s="85"/>
      <c r="V686" s="85"/>
      <c r="W686" s="85"/>
      <c r="X686" s="85"/>
      <c r="Y686" s="85"/>
      <c r="Z686" s="85"/>
      <c r="AA686" s="85"/>
      <c r="AB686" s="85"/>
      <c r="AC686" s="85"/>
      <c r="AD686" s="85"/>
      <c r="AE686" s="47">
        <v>0</v>
      </c>
      <c r="AF686" s="47">
        <v>0</v>
      </c>
      <c r="AG686" s="47">
        <v>0</v>
      </c>
      <c r="AH686" s="47">
        <v>0</v>
      </c>
      <c r="AI686" s="47">
        <v>0</v>
      </c>
      <c r="AJ686" s="47">
        <v>0</v>
      </c>
      <c r="AK686" s="47">
        <v>0</v>
      </c>
      <c r="AL686" s="47">
        <v>0</v>
      </c>
      <c r="AM686" s="47">
        <v>0</v>
      </c>
      <c r="AN686" s="47">
        <v>0</v>
      </c>
      <c r="AO686" s="47">
        <v>0</v>
      </c>
      <c r="AP686" s="47">
        <v>0</v>
      </c>
      <c r="AQ686" s="47">
        <v>0</v>
      </c>
      <c r="AR686" s="47">
        <v>0</v>
      </c>
      <c r="AS686" s="47"/>
      <c r="AT686" s="47"/>
      <c r="AU686" s="47"/>
      <c r="AV686" s="47"/>
      <c r="AW686" s="47"/>
      <c r="AX686" s="47"/>
      <c r="AY686" s="47"/>
      <c r="AZ686" s="47"/>
      <c r="BA686" s="47"/>
      <c r="BB686" s="47"/>
      <c r="BC686" s="47"/>
      <c r="BD686" s="47"/>
      <c r="BE686" s="47"/>
      <c r="BF686" s="47"/>
    </row>
    <row r="687" spans="1:58" hidden="1">
      <c r="A687" s="46" t="s">
        <v>291</v>
      </c>
      <c r="B687" s="46" t="s">
        <v>256</v>
      </c>
      <c r="C687" s="47">
        <v>0</v>
      </c>
      <c r="D687" s="47">
        <v>0</v>
      </c>
      <c r="E687" s="47">
        <v>0</v>
      </c>
      <c r="F687" s="47">
        <v>0</v>
      </c>
      <c r="G687" s="47">
        <v>0</v>
      </c>
      <c r="H687" s="47">
        <v>0</v>
      </c>
      <c r="I687" s="47">
        <v>0</v>
      </c>
      <c r="J687" s="47">
        <v>0</v>
      </c>
      <c r="K687" s="47">
        <v>0</v>
      </c>
      <c r="L687" s="47">
        <v>0</v>
      </c>
      <c r="M687" s="47">
        <v>0</v>
      </c>
      <c r="N687" s="47">
        <v>0</v>
      </c>
      <c r="O687" s="47">
        <v>0</v>
      </c>
      <c r="P687" s="47">
        <v>0</v>
      </c>
      <c r="Q687" s="85"/>
      <c r="R687" s="85"/>
      <c r="S687" s="85"/>
      <c r="T687" s="85"/>
      <c r="U687" s="85"/>
      <c r="V687" s="85"/>
      <c r="W687" s="85"/>
      <c r="X687" s="85"/>
      <c r="Y687" s="85"/>
      <c r="Z687" s="85"/>
      <c r="AA687" s="85"/>
      <c r="AB687" s="85"/>
      <c r="AC687" s="85"/>
      <c r="AD687" s="85"/>
      <c r="AE687" s="47">
        <v>0</v>
      </c>
      <c r="AF687" s="47">
        <v>0</v>
      </c>
      <c r="AG687" s="47">
        <v>0</v>
      </c>
      <c r="AH687" s="47">
        <v>0</v>
      </c>
      <c r="AI687" s="47">
        <v>0</v>
      </c>
      <c r="AJ687" s="47">
        <v>0</v>
      </c>
      <c r="AK687" s="47">
        <v>0</v>
      </c>
      <c r="AL687" s="47">
        <v>0</v>
      </c>
      <c r="AM687" s="47">
        <v>0</v>
      </c>
      <c r="AN687" s="47">
        <v>0</v>
      </c>
      <c r="AO687" s="47">
        <v>0</v>
      </c>
      <c r="AP687" s="47">
        <v>0</v>
      </c>
      <c r="AQ687" s="47">
        <v>0</v>
      </c>
      <c r="AR687" s="47">
        <v>0</v>
      </c>
      <c r="AS687" s="47"/>
      <c r="AT687" s="47"/>
      <c r="AU687" s="47"/>
      <c r="AV687" s="47"/>
      <c r="AW687" s="47"/>
      <c r="AX687" s="47"/>
      <c r="AY687" s="47"/>
      <c r="AZ687" s="47"/>
      <c r="BA687" s="47"/>
      <c r="BB687" s="47"/>
      <c r="BC687" s="47"/>
      <c r="BD687" s="47"/>
      <c r="BE687" s="47"/>
      <c r="BF687" s="47"/>
    </row>
    <row r="688" spans="1:58" hidden="1">
      <c r="A688" s="46" t="s">
        <v>291</v>
      </c>
      <c r="B688" s="46" t="s">
        <v>257</v>
      </c>
      <c r="C688" s="47">
        <v>0</v>
      </c>
      <c r="D688" s="47">
        <v>0</v>
      </c>
      <c r="E688" s="47">
        <v>0</v>
      </c>
      <c r="F688" s="47">
        <v>0</v>
      </c>
      <c r="G688" s="47">
        <v>0</v>
      </c>
      <c r="H688" s="47">
        <v>0</v>
      </c>
      <c r="I688" s="47">
        <v>0</v>
      </c>
      <c r="J688" s="47">
        <v>0</v>
      </c>
      <c r="K688" s="47">
        <v>0</v>
      </c>
      <c r="L688" s="47">
        <v>0</v>
      </c>
      <c r="M688" s="47">
        <v>0</v>
      </c>
      <c r="N688" s="47">
        <v>0</v>
      </c>
      <c r="O688" s="47">
        <v>0</v>
      </c>
      <c r="P688" s="47">
        <v>0</v>
      </c>
      <c r="Q688" s="85"/>
      <c r="R688" s="85"/>
      <c r="S688" s="85"/>
      <c r="T688" s="85"/>
      <c r="U688" s="85"/>
      <c r="V688" s="85"/>
      <c r="W688" s="85"/>
      <c r="X688" s="85"/>
      <c r="Y688" s="85"/>
      <c r="Z688" s="85"/>
      <c r="AA688" s="85"/>
      <c r="AB688" s="85"/>
      <c r="AC688" s="85"/>
      <c r="AD688" s="85"/>
      <c r="AE688" s="47">
        <v>0</v>
      </c>
      <c r="AF688" s="47">
        <v>0</v>
      </c>
      <c r="AG688" s="47">
        <v>0</v>
      </c>
      <c r="AH688" s="47">
        <v>0</v>
      </c>
      <c r="AI688" s="47">
        <v>0</v>
      </c>
      <c r="AJ688" s="47">
        <v>0</v>
      </c>
      <c r="AK688" s="47">
        <v>0</v>
      </c>
      <c r="AL688" s="47">
        <v>0</v>
      </c>
      <c r="AM688" s="47">
        <v>0</v>
      </c>
      <c r="AN688" s="47">
        <v>0</v>
      </c>
      <c r="AO688" s="47">
        <v>0</v>
      </c>
      <c r="AP688" s="47">
        <v>0</v>
      </c>
      <c r="AQ688" s="47">
        <v>0</v>
      </c>
      <c r="AR688" s="47">
        <v>0</v>
      </c>
      <c r="AS688" s="47"/>
      <c r="AT688" s="47"/>
      <c r="AU688" s="47"/>
      <c r="AV688" s="47"/>
      <c r="AW688" s="47"/>
      <c r="AX688" s="47"/>
      <c r="AY688" s="47"/>
      <c r="AZ688" s="47"/>
      <c r="BA688" s="47"/>
      <c r="BB688" s="47"/>
      <c r="BC688" s="47"/>
      <c r="BD688" s="47"/>
      <c r="BE688" s="47"/>
      <c r="BF688" s="47"/>
    </row>
    <row r="689" spans="1:58" hidden="1">
      <c r="A689" s="46" t="s">
        <v>291</v>
      </c>
      <c r="B689" s="46" t="s">
        <v>258</v>
      </c>
      <c r="C689" s="47">
        <v>0</v>
      </c>
      <c r="D689" s="47">
        <v>0</v>
      </c>
      <c r="E689" s="47">
        <v>0</v>
      </c>
      <c r="F689" s="47">
        <v>0</v>
      </c>
      <c r="G689" s="47">
        <v>0</v>
      </c>
      <c r="H689" s="47">
        <v>0</v>
      </c>
      <c r="I689" s="47">
        <v>0</v>
      </c>
      <c r="J689" s="47">
        <v>0</v>
      </c>
      <c r="K689" s="47">
        <v>0</v>
      </c>
      <c r="L689" s="47">
        <v>0</v>
      </c>
      <c r="M689" s="47">
        <v>0</v>
      </c>
      <c r="N689" s="47">
        <v>0</v>
      </c>
      <c r="O689" s="47">
        <v>0</v>
      </c>
      <c r="P689" s="47">
        <v>0</v>
      </c>
      <c r="Q689" s="85"/>
      <c r="R689" s="85"/>
      <c r="S689" s="85"/>
      <c r="T689" s="85"/>
      <c r="U689" s="85"/>
      <c r="V689" s="85"/>
      <c r="W689" s="85"/>
      <c r="X689" s="85"/>
      <c r="Y689" s="85"/>
      <c r="Z689" s="85"/>
      <c r="AA689" s="85"/>
      <c r="AB689" s="85"/>
      <c r="AC689" s="85"/>
      <c r="AD689" s="85"/>
      <c r="AE689" s="47">
        <v>0</v>
      </c>
      <c r="AF689" s="47">
        <v>0</v>
      </c>
      <c r="AG689" s="47">
        <v>0</v>
      </c>
      <c r="AH689" s="47">
        <v>0</v>
      </c>
      <c r="AI689" s="47">
        <v>0</v>
      </c>
      <c r="AJ689" s="47">
        <v>0</v>
      </c>
      <c r="AK689" s="47">
        <v>0</v>
      </c>
      <c r="AL689" s="47">
        <v>0</v>
      </c>
      <c r="AM689" s="47">
        <v>0</v>
      </c>
      <c r="AN689" s="47">
        <v>0</v>
      </c>
      <c r="AO689" s="47">
        <v>0</v>
      </c>
      <c r="AP689" s="47">
        <v>0</v>
      </c>
      <c r="AQ689" s="47">
        <v>0</v>
      </c>
      <c r="AR689" s="47">
        <v>0</v>
      </c>
      <c r="AS689" s="47"/>
      <c r="AT689" s="47"/>
      <c r="AU689" s="47"/>
      <c r="AV689" s="47"/>
      <c r="AW689" s="47"/>
      <c r="AX689" s="47"/>
      <c r="AY689" s="47"/>
      <c r="AZ689" s="47"/>
      <c r="BA689" s="47"/>
      <c r="BB689" s="47"/>
      <c r="BC689" s="47"/>
      <c r="BD689" s="47"/>
      <c r="BE689" s="47"/>
      <c r="BF689" s="47"/>
    </row>
    <row r="690" spans="1:58" hidden="1">
      <c r="A690" s="46" t="s">
        <v>291</v>
      </c>
      <c r="B690" s="46" t="s">
        <v>259</v>
      </c>
      <c r="C690" s="47">
        <v>0</v>
      </c>
      <c r="D690" s="47">
        <v>0</v>
      </c>
      <c r="E690" s="47">
        <v>0</v>
      </c>
      <c r="F690" s="47">
        <v>0</v>
      </c>
      <c r="G690" s="47">
        <v>0</v>
      </c>
      <c r="H690" s="47">
        <v>0</v>
      </c>
      <c r="I690" s="47">
        <v>0</v>
      </c>
      <c r="J690" s="47">
        <v>0</v>
      </c>
      <c r="K690" s="47">
        <v>0</v>
      </c>
      <c r="L690" s="47">
        <v>0</v>
      </c>
      <c r="M690" s="47">
        <v>0</v>
      </c>
      <c r="N690" s="47">
        <v>0</v>
      </c>
      <c r="O690" s="47">
        <v>0</v>
      </c>
      <c r="P690" s="47">
        <v>0</v>
      </c>
      <c r="Q690" s="85"/>
      <c r="R690" s="85"/>
      <c r="S690" s="85"/>
      <c r="T690" s="85"/>
      <c r="U690" s="85"/>
      <c r="V690" s="85"/>
      <c r="W690" s="85"/>
      <c r="X690" s="85"/>
      <c r="Y690" s="85"/>
      <c r="Z690" s="85"/>
      <c r="AA690" s="85"/>
      <c r="AB690" s="85"/>
      <c r="AC690" s="85"/>
      <c r="AD690" s="85"/>
      <c r="AE690" s="47">
        <v>0</v>
      </c>
      <c r="AF690" s="47">
        <v>0</v>
      </c>
      <c r="AG690" s="47">
        <v>0</v>
      </c>
      <c r="AH690" s="47">
        <v>0</v>
      </c>
      <c r="AI690" s="47">
        <v>0</v>
      </c>
      <c r="AJ690" s="47">
        <v>0</v>
      </c>
      <c r="AK690" s="47">
        <v>0</v>
      </c>
      <c r="AL690" s="47">
        <v>0</v>
      </c>
      <c r="AM690" s="47">
        <v>0</v>
      </c>
      <c r="AN690" s="47">
        <v>0</v>
      </c>
      <c r="AO690" s="47">
        <v>0</v>
      </c>
      <c r="AP690" s="47">
        <v>0</v>
      </c>
      <c r="AQ690" s="47">
        <v>0</v>
      </c>
      <c r="AR690" s="47">
        <v>0</v>
      </c>
      <c r="AS690" s="47"/>
      <c r="AT690" s="47"/>
      <c r="AU690" s="47"/>
      <c r="AV690" s="47"/>
      <c r="AW690" s="47"/>
      <c r="AX690" s="47"/>
      <c r="AY690" s="47"/>
      <c r="AZ690" s="47"/>
      <c r="BA690" s="47"/>
      <c r="BB690" s="47"/>
      <c r="BC690" s="47"/>
      <c r="BD690" s="47"/>
      <c r="BE690" s="47"/>
      <c r="BF690" s="47"/>
    </row>
    <row r="691" spans="1:58" hidden="1">
      <c r="A691" s="46" t="s">
        <v>291</v>
      </c>
      <c r="B691" s="46" t="s">
        <v>260</v>
      </c>
      <c r="C691" s="47">
        <v>0</v>
      </c>
      <c r="D691" s="47">
        <v>0</v>
      </c>
      <c r="E691" s="47">
        <v>0</v>
      </c>
      <c r="F691" s="47">
        <v>0</v>
      </c>
      <c r="G691" s="47">
        <v>0</v>
      </c>
      <c r="H691" s="47">
        <v>0</v>
      </c>
      <c r="I691" s="47">
        <v>0</v>
      </c>
      <c r="J691" s="47">
        <v>0</v>
      </c>
      <c r="K691" s="47">
        <v>0</v>
      </c>
      <c r="L691" s="47">
        <v>0</v>
      </c>
      <c r="M691" s="47">
        <v>0</v>
      </c>
      <c r="N691" s="47">
        <v>0</v>
      </c>
      <c r="O691" s="47">
        <v>0</v>
      </c>
      <c r="P691" s="47">
        <v>0</v>
      </c>
      <c r="Q691" s="85"/>
      <c r="R691" s="85"/>
      <c r="S691" s="85"/>
      <c r="T691" s="85"/>
      <c r="U691" s="85"/>
      <c r="V691" s="85"/>
      <c r="W691" s="85"/>
      <c r="X691" s="85"/>
      <c r="Y691" s="85"/>
      <c r="Z691" s="85"/>
      <c r="AA691" s="85"/>
      <c r="AB691" s="85"/>
      <c r="AC691" s="85"/>
      <c r="AD691" s="85"/>
      <c r="AE691" s="47">
        <v>0</v>
      </c>
      <c r="AF691" s="47">
        <v>0</v>
      </c>
      <c r="AG691" s="47">
        <v>0</v>
      </c>
      <c r="AH691" s="47">
        <v>0</v>
      </c>
      <c r="AI691" s="47">
        <v>0</v>
      </c>
      <c r="AJ691" s="47">
        <v>0</v>
      </c>
      <c r="AK691" s="47">
        <v>0</v>
      </c>
      <c r="AL691" s="47">
        <v>0</v>
      </c>
      <c r="AM691" s="47">
        <v>0</v>
      </c>
      <c r="AN691" s="47">
        <v>0</v>
      </c>
      <c r="AO691" s="47">
        <v>0</v>
      </c>
      <c r="AP691" s="47">
        <v>0</v>
      </c>
      <c r="AQ691" s="47">
        <v>0</v>
      </c>
      <c r="AR691" s="47">
        <v>0</v>
      </c>
      <c r="AS691" s="47"/>
      <c r="AT691" s="47"/>
      <c r="AU691" s="47"/>
      <c r="AV691" s="47"/>
      <c r="AW691" s="47"/>
      <c r="AX691" s="47"/>
      <c r="AY691" s="47"/>
      <c r="AZ691" s="47"/>
      <c r="BA691" s="47"/>
      <c r="BB691" s="47"/>
      <c r="BC691" s="47"/>
      <c r="BD691" s="47"/>
      <c r="BE691" s="47"/>
      <c r="BF691" s="47"/>
    </row>
    <row r="692" spans="1:58" hidden="1">
      <c r="A692" s="46" t="s">
        <v>291</v>
      </c>
      <c r="B692" s="46" t="s">
        <v>261</v>
      </c>
      <c r="C692" s="47">
        <v>0</v>
      </c>
      <c r="D692" s="47">
        <v>0</v>
      </c>
      <c r="E692" s="47">
        <v>0</v>
      </c>
      <c r="F692" s="47">
        <v>0</v>
      </c>
      <c r="G692" s="47">
        <v>0</v>
      </c>
      <c r="H692" s="47">
        <v>0</v>
      </c>
      <c r="I692" s="47">
        <v>0</v>
      </c>
      <c r="J692" s="47">
        <v>0</v>
      </c>
      <c r="K692" s="47">
        <v>0</v>
      </c>
      <c r="L692" s="47">
        <v>0</v>
      </c>
      <c r="M692" s="47">
        <v>0</v>
      </c>
      <c r="N692" s="47">
        <v>0</v>
      </c>
      <c r="O692" s="47">
        <v>0</v>
      </c>
      <c r="P692" s="47">
        <v>0</v>
      </c>
      <c r="Q692" s="85"/>
      <c r="R692" s="85"/>
      <c r="S692" s="85"/>
      <c r="T692" s="85"/>
      <c r="U692" s="85"/>
      <c r="V692" s="85"/>
      <c r="W692" s="85"/>
      <c r="X692" s="85"/>
      <c r="Y692" s="85"/>
      <c r="Z692" s="85"/>
      <c r="AA692" s="85"/>
      <c r="AB692" s="85"/>
      <c r="AC692" s="85"/>
      <c r="AD692" s="85"/>
      <c r="AE692" s="47">
        <v>0</v>
      </c>
      <c r="AF692" s="47">
        <v>0</v>
      </c>
      <c r="AG692" s="47">
        <v>0</v>
      </c>
      <c r="AH692" s="47">
        <v>0</v>
      </c>
      <c r="AI692" s="47">
        <v>0</v>
      </c>
      <c r="AJ692" s="47">
        <v>0</v>
      </c>
      <c r="AK692" s="47">
        <v>0</v>
      </c>
      <c r="AL692" s="47">
        <v>0</v>
      </c>
      <c r="AM692" s="47">
        <v>0</v>
      </c>
      <c r="AN692" s="47">
        <v>0</v>
      </c>
      <c r="AO692" s="47">
        <v>0</v>
      </c>
      <c r="AP692" s="47">
        <v>0</v>
      </c>
      <c r="AQ692" s="47">
        <v>0</v>
      </c>
      <c r="AR692" s="47">
        <v>0</v>
      </c>
      <c r="AS692" s="47"/>
      <c r="AT692" s="47"/>
      <c r="AU692" s="47"/>
      <c r="AV692" s="47"/>
      <c r="AW692" s="47"/>
      <c r="AX692" s="47"/>
      <c r="AY692" s="47"/>
      <c r="AZ692" s="47"/>
      <c r="BA692" s="47"/>
      <c r="BB692" s="47"/>
      <c r="BC692" s="47"/>
      <c r="BD692" s="47"/>
      <c r="BE692" s="47"/>
      <c r="BF692" s="47"/>
    </row>
    <row r="693" spans="1:58" hidden="1">
      <c r="A693" s="46" t="s">
        <v>291</v>
      </c>
      <c r="B693" s="46" t="s">
        <v>262</v>
      </c>
      <c r="C693" s="47">
        <v>0</v>
      </c>
      <c r="D693" s="47">
        <v>0</v>
      </c>
      <c r="E693" s="47">
        <v>0</v>
      </c>
      <c r="F693" s="47">
        <v>0</v>
      </c>
      <c r="G693" s="47">
        <v>0</v>
      </c>
      <c r="H693" s="47">
        <v>0</v>
      </c>
      <c r="I693" s="47">
        <v>0</v>
      </c>
      <c r="J693" s="47">
        <v>0</v>
      </c>
      <c r="K693" s="47">
        <v>0</v>
      </c>
      <c r="L693" s="47">
        <v>0</v>
      </c>
      <c r="M693" s="47">
        <v>0</v>
      </c>
      <c r="N693" s="47">
        <v>0</v>
      </c>
      <c r="O693" s="47">
        <v>0</v>
      </c>
      <c r="P693" s="47">
        <v>0</v>
      </c>
      <c r="Q693" s="85"/>
      <c r="R693" s="85"/>
      <c r="S693" s="85"/>
      <c r="T693" s="85"/>
      <c r="U693" s="85"/>
      <c r="V693" s="85"/>
      <c r="W693" s="85"/>
      <c r="X693" s="85"/>
      <c r="Y693" s="85"/>
      <c r="Z693" s="85"/>
      <c r="AA693" s="85"/>
      <c r="AB693" s="85"/>
      <c r="AC693" s="85"/>
      <c r="AD693" s="85"/>
      <c r="AE693" s="47">
        <v>0</v>
      </c>
      <c r="AF693" s="47">
        <v>0</v>
      </c>
      <c r="AG693" s="47">
        <v>0</v>
      </c>
      <c r="AH693" s="47">
        <v>0</v>
      </c>
      <c r="AI693" s="47">
        <v>0</v>
      </c>
      <c r="AJ693" s="47">
        <v>0</v>
      </c>
      <c r="AK693" s="47">
        <v>0</v>
      </c>
      <c r="AL693" s="47">
        <v>0</v>
      </c>
      <c r="AM693" s="47">
        <v>0</v>
      </c>
      <c r="AN693" s="47">
        <v>0</v>
      </c>
      <c r="AO693" s="47">
        <v>0</v>
      </c>
      <c r="AP693" s="47">
        <v>0</v>
      </c>
      <c r="AQ693" s="47">
        <v>0</v>
      </c>
      <c r="AR693" s="47">
        <v>0</v>
      </c>
      <c r="AS693" s="47"/>
      <c r="AT693" s="47"/>
      <c r="AU693" s="47"/>
      <c r="AV693" s="47"/>
      <c r="AW693" s="47"/>
      <c r="AX693" s="47"/>
      <c r="AY693" s="47"/>
      <c r="AZ693" s="47"/>
      <c r="BA693" s="47"/>
      <c r="BB693" s="47"/>
      <c r="BC693" s="47"/>
      <c r="BD693" s="47"/>
      <c r="BE693" s="47"/>
      <c r="BF693" s="47"/>
    </row>
    <row r="694" spans="1:58" hidden="1">
      <c r="A694" s="46" t="s">
        <v>291</v>
      </c>
      <c r="B694" s="46" t="s">
        <v>263</v>
      </c>
      <c r="C694" s="47">
        <v>0</v>
      </c>
      <c r="D694" s="47">
        <v>0</v>
      </c>
      <c r="E694" s="47">
        <v>0</v>
      </c>
      <c r="F694" s="47">
        <v>0</v>
      </c>
      <c r="G694" s="47">
        <v>0</v>
      </c>
      <c r="H694" s="47">
        <v>0</v>
      </c>
      <c r="I694" s="47">
        <v>0</v>
      </c>
      <c r="J694" s="47">
        <v>0</v>
      </c>
      <c r="K694" s="47">
        <v>0</v>
      </c>
      <c r="L694" s="47">
        <v>0</v>
      </c>
      <c r="M694" s="47">
        <v>0</v>
      </c>
      <c r="N694" s="47">
        <v>0</v>
      </c>
      <c r="O694" s="47">
        <v>0</v>
      </c>
      <c r="P694" s="47">
        <v>0</v>
      </c>
      <c r="Q694" s="85"/>
      <c r="R694" s="85"/>
      <c r="S694" s="85"/>
      <c r="T694" s="85"/>
      <c r="U694" s="85"/>
      <c r="V694" s="85"/>
      <c r="W694" s="85"/>
      <c r="X694" s="85"/>
      <c r="Y694" s="85"/>
      <c r="Z694" s="85"/>
      <c r="AA694" s="85"/>
      <c r="AB694" s="85"/>
      <c r="AC694" s="85"/>
      <c r="AD694" s="85"/>
      <c r="AE694" s="47">
        <v>0</v>
      </c>
      <c r="AF694" s="47">
        <v>0</v>
      </c>
      <c r="AG694" s="47">
        <v>0</v>
      </c>
      <c r="AH694" s="47">
        <v>0</v>
      </c>
      <c r="AI694" s="47">
        <v>0</v>
      </c>
      <c r="AJ694" s="47">
        <v>0</v>
      </c>
      <c r="AK694" s="47">
        <v>0</v>
      </c>
      <c r="AL694" s="47">
        <v>0</v>
      </c>
      <c r="AM694" s="47">
        <v>0</v>
      </c>
      <c r="AN694" s="47">
        <v>0</v>
      </c>
      <c r="AO694" s="47">
        <v>0</v>
      </c>
      <c r="AP694" s="47">
        <v>0</v>
      </c>
      <c r="AQ694" s="47">
        <v>0</v>
      </c>
      <c r="AR694" s="47">
        <v>0</v>
      </c>
      <c r="AS694" s="47"/>
      <c r="AT694" s="47"/>
      <c r="AU694" s="47"/>
      <c r="AV694" s="47"/>
      <c r="AW694" s="47"/>
      <c r="AX694" s="47"/>
      <c r="AY694" s="47"/>
      <c r="AZ694" s="47"/>
      <c r="BA694" s="47"/>
      <c r="BB694" s="47"/>
      <c r="BC694" s="47"/>
      <c r="BD694" s="47"/>
      <c r="BE694" s="47"/>
      <c r="BF694" s="47"/>
    </row>
    <row r="695" spans="1:58" hidden="1">
      <c r="A695" s="46" t="s">
        <v>291</v>
      </c>
      <c r="B695" s="46" t="s">
        <v>264</v>
      </c>
      <c r="C695" s="47">
        <v>0</v>
      </c>
      <c r="D695" s="47">
        <v>0</v>
      </c>
      <c r="E695" s="47">
        <v>0</v>
      </c>
      <c r="F695" s="47">
        <v>0</v>
      </c>
      <c r="G695" s="47">
        <v>0</v>
      </c>
      <c r="H695" s="47">
        <v>0</v>
      </c>
      <c r="I695" s="47">
        <v>0</v>
      </c>
      <c r="J695" s="47">
        <v>0</v>
      </c>
      <c r="K695" s="47">
        <v>0</v>
      </c>
      <c r="L695" s="47">
        <v>0</v>
      </c>
      <c r="M695" s="47">
        <v>0</v>
      </c>
      <c r="N695" s="47">
        <v>0</v>
      </c>
      <c r="O695" s="47">
        <v>0</v>
      </c>
      <c r="P695" s="47">
        <v>0</v>
      </c>
      <c r="Q695" s="85"/>
      <c r="R695" s="85"/>
      <c r="S695" s="85"/>
      <c r="T695" s="85"/>
      <c r="U695" s="85"/>
      <c r="V695" s="85"/>
      <c r="W695" s="85"/>
      <c r="X695" s="85"/>
      <c r="Y695" s="85"/>
      <c r="Z695" s="85"/>
      <c r="AA695" s="85"/>
      <c r="AB695" s="85"/>
      <c r="AC695" s="85"/>
      <c r="AD695" s="85"/>
      <c r="AE695" s="47">
        <v>0</v>
      </c>
      <c r="AF695" s="47">
        <v>0</v>
      </c>
      <c r="AG695" s="47">
        <v>0</v>
      </c>
      <c r="AH695" s="47">
        <v>0</v>
      </c>
      <c r="AI695" s="47">
        <v>0</v>
      </c>
      <c r="AJ695" s="47">
        <v>0</v>
      </c>
      <c r="AK695" s="47">
        <v>0</v>
      </c>
      <c r="AL695" s="47">
        <v>0</v>
      </c>
      <c r="AM695" s="47">
        <v>0</v>
      </c>
      <c r="AN695" s="47">
        <v>0</v>
      </c>
      <c r="AO695" s="47">
        <v>0</v>
      </c>
      <c r="AP695" s="47">
        <v>0</v>
      </c>
      <c r="AQ695" s="47">
        <v>0</v>
      </c>
      <c r="AR695" s="47">
        <v>0</v>
      </c>
      <c r="AS695" s="47"/>
      <c r="AT695" s="47"/>
      <c r="AU695" s="47"/>
      <c r="AV695" s="47"/>
      <c r="AW695" s="47"/>
      <c r="AX695" s="47"/>
      <c r="AY695" s="47"/>
      <c r="AZ695" s="47"/>
      <c r="BA695" s="47"/>
      <c r="BB695" s="47"/>
      <c r="BC695" s="47"/>
      <c r="BD695" s="47"/>
      <c r="BE695" s="47"/>
      <c r="BF695" s="47"/>
    </row>
    <row r="696" spans="1:58" hidden="1">
      <c r="A696" s="46" t="s">
        <v>291</v>
      </c>
      <c r="B696" s="46" t="s">
        <v>265</v>
      </c>
      <c r="C696" s="47">
        <v>1</v>
      </c>
      <c r="D696" s="47">
        <v>1</v>
      </c>
      <c r="E696" s="47">
        <v>1</v>
      </c>
      <c r="F696" s="47">
        <v>1</v>
      </c>
      <c r="G696" s="47">
        <v>1</v>
      </c>
      <c r="H696" s="47">
        <v>1</v>
      </c>
      <c r="I696" s="47">
        <v>1</v>
      </c>
      <c r="J696" s="47">
        <v>0</v>
      </c>
      <c r="K696" s="47">
        <v>0</v>
      </c>
      <c r="L696" s="47">
        <v>0</v>
      </c>
      <c r="M696" s="47">
        <v>0</v>
      </c>
      <c r="N696" s="47">
        <v>0</v>
      </c>
      <c r="O696" s="47">
        <v>0</v>
      </c>
      <c r="P696" s="47">
        <v>0</v>
      </c>
      <c r="Q696" s="85">
        <v>80</v>
      </c>
      <c r="R696" s="85">
        <v>96</v>
      </c>
      <c r="S696" s="85">
        <v>84</v>
      </c>
      <c r="T696" s="85">
        <v>75</v>
      </c>
      <c r="U696" s="85">
        <v>100</v>
      </c>
      <c r="V696" s="85">
        <v>75</v>
      </c>
      <c r="W696" s="85">
        <v>71</v>
      </c>
      <c r="X696" s="85"/>
      <c r="Y696" s="85"/>
      <c r="Z696" s="85"/>
      <c r="AA696" s="85"/>
      <c r="AB696" s="85"/>
      <c r="AC696" s="85"/>
      <c r="AD696" s="85"/>
      <c r="AE696" s="47">
        <v>80</v>
      </c>
      <c r="AF696" s="47">
        <v>96</v>
      </c>
      <c r="AG696" s="47">
        <v>84</v>
      </c>
      <c r="AH696" s="47">
        <v>75</v>
      </c>
      <c r="AI696" s="47">
        <v>100</v>
      </c>
      <c r="AJ696" s="47">
        <v>75</v>
      </c>
      <c r="AK696" s="47">
        <v>71</v>
      </c>
      <c r="AL696" s="47">
        <v>0</v>
      </c>
      <c r="AM696" s="47">
        <v>0</v>
      </c>
      <c r="AN696" s="47">
        <v>0</v>
      </c>
      <c r="AO696" s="47">
        <v>0</v>
      </c>
      <c r="AP696" s="47">
        <v>0</v>
      </c>
      <c r="AQ696" s="47">
        <v>0</v>
      </c>
      <c r="AR696" s="47">
        <v>0</v>
      </c>
      <c r="AS696" s="47"/>
      <c r="AT696" s="47"/>
      <c r="AU696" s="47"/>
      <c r="AV696" s="47"/>
      <c r="AW696" s="47"/>
      <c r="AX696" s="47"/>
      <c r="AY696" s="47"/>
      <c r="AZ696" s="47"/>
      <c r="BA696" s="47"/>
      <c r="BB696" s="47"/>
      <c r="BC696" s="47"/>
      <c r="BD696" s="47"/>
      <c r="BE696" s="47"/>
      <c r="BF696" s="47"/>
    </row>
    <row r="697" spans="1:58" hidden="1">
      <c r="A697" s="46" t="s">
        <v>291</v>
      </c>
      <c r="B697" s="46" t="s">
        <v>266</v>
      </c>
      <c r="C697" s="47">
        <v>0</v>
      </c>
      <c r="D697" s="47">
        <v>0</v>
      </c>
      <c r="E697" s="47">
        <v>0</v>
      </c>
      <c r="F697" s="47">
        <v>0</v>
      </c>
      <c r="G697" s="47">
        <v>0</v>
      </c>
      <c r="H697" s="47">
        <v>0</v>
      </c>
      <c r="I697" s="47">
        <v>0</v>
      </c>
      <c r="J697" s="47">
        <v>0</v>
      </c>
      <c r="K697" s="47">
        <v>0</v>
      </c>
      <c r="L697" s="47">
        <v>0</v>
      </c>
      <c r="M697" s="47">
        <v>0</v>
      </c>
      <c r="N697" s="47">
        <v>0</v>
      </c>
      <c r="O697" s="47">
        <v>0</v>
      </c>
      <c r="P697" s="47">
        <v>0</v>
      </c>
      <c r="Q697" s="85"/>
      <c r="R697" s="85"/>
      <c r="S697" s="85"/>
      <c r="T697" s="85"/>
      <c r="U697" s="85"/>
      <c r="V697" s="85"/>
      <c r="W697" s="85"/>
      <c r="X697" s="85"/>
      <c r="Y697" s="85"/>
      <c r="Z697" s="85"/>
      <c r="AA697" s="85"/>
      <c r="AB697" s="85"/>
      <c r="AC697" s="85"/>
      <c r="AD697" s="85"/>
      <c r="AE697" s="47">
        <v>0</v>
      </c>
      <c r="AF697" s="47">
        <v>0</v>
      </c>
      <c r="AG697" s="47">
        <v>0</v>
      </c>
      <c r="AH697" s="47">
        <v>0</v>
      </c>
      <c r="AI697" s="47">
        <v>0</v>
      </c>
      <c r="AJ697" s="47">
        <v>0</v>
      </c>
      <c r="AK697" s="47">
        <v>0</v>
      </c>
      <c r="AL697" s="47">
        <v>0</v>
      </c>
      <c r="AM697" s="47">
        <v>0</v>
      </c>
      <c r="AN697" s="47">
        <v>0</v>
      </c>
      <c r="AO697" s="47">
        <v>0</v>
      </c>
      <c r="AP697" s="47">
        <v>0</v>
      </c>
      <c r="AQ697" s="47">
        <v>0</v>
      </c>
      <c r="AR697" s="47">
        <v>0</v>
      </c>
      <c r="AS697" s="47"/>
      <c r="AT697" s="47"/>
      <c r="AU697" s="47"/>
      <c r="AV697" s="47"/>
      <c r="AW697" s="47"/>
      <c r="AX697" s="47"/>
      <c r="AY697" s="47"/>
      <c r="AZ697" s="47"/>
      <c r="BA697" s="47"/>
      <c r="BB697" s="47"/>
      <c r="BC697" s="47"/>
      <c r="BD697" s="47"/>
      <c r="BE697" s="47"/>
      <c r="BF697" s="47"/>
    </row>
    <row r="698" spans="1:58" hidden="1">
      <c r="A698" s="46" t="s">
        <v>291</v>
      </c>
      <c r="B698" s="46" t="s">
        <v>267</v>
      </c>
      <c r="C698" s="47">
        <v>1</v>
      </c>
      <c r="D698" s="47">
        <v>1</v>
      </c>
      <c r="E698" s="47">
        <v>1</v>
      </c>
      <c r="F698" s="47">
        <v>1</v>
      </c>
      <c r="G698" s="47">
        <v>1</v>
      </c>
      <c r="H698" s="47">
        <v>1</v>
      </c>
      <c r="I698" s="47">
        <v>1</v>
      </c>
      <c r="J698" s="47">
        <v>0</v>
      </c>
      <c r="K698" s="47">
        <v>0</v>
      </c>
      <c r="L698" s="47">
        <v>0</v>
      </c>
      <c r="M698" s="47">
        <v>0</v>
      </c>
      <c r="N698" s="47">
        <v>0</v>
      </c>
      <c r="O698" s="47">
        <v>0</v>
      </c>
      <c r="P698" s="47">
        <v>0</v>
      </c>
      <c r="Q698" s="85">
        <v>80</v>
      </c>
      <c r="R698" s="85">
        <v>96</v>
      </c>
      <c r="S698" s="85">
        <v>84</v>
      </c>
      <c r="T698" s="85">
        <v>75</v>
      </c>
      <c r="U698" s="85">
        <v>100</v>
      </c>
      <c r="V698" s="85">
        <v>75</v>
      </c>
      <c r="W698" s="85">
        <v>71</v>
      </c>
      <c r="X698" s="85"/>
      <c r="Y698" s="85"/>
      <c r="Z698" s="85"/>
      <c r="AA698" s="85"/>
      <c r="AB698" s="85"/>
      <c r="AC698" s="85"/>
      <c r="AD698" s="85"/>
      <c r="AE698" s="47">
        <v>80</v>
      </c>
      <c r="AF698" s="47">
        <v>96</v>
      </c>
      <c r="AG698" s="47">
        <v>84</v>
      </c>
      <c r="AH698" s="47">
        <v>75</v>
      </c>
      <c r="AI698" s="47">
        <v>100</v>
      </c>
      <c r="AJ698" s="47">
        <v>75</v>
      </c>
      <c r="AK698" s="47">
        <v>71</v>
      </c>
      <c r="AL698" s="47">
        <v>0</v>
      </c>
      <c r="AM698" s="47">
        <v>0</v>
      </c>
      <c r="AN698" s="47">
        <v>0</v>
      </c>
      <c r="AO698" s="47">
        <v>0</v>
      </c>
      <c r="AP698" s="47">
        <v>0</v>
      </c>
      <c r="AQ698" s="47">
        <v>0</v>
      </c>
      <c r="AR698" s="47">
        <v>0</v>
      </c>
      <c r="AS698" s="47"/>
      <c r="AT698" s="47"/>
      <c r="AU698" s="47"/>
      <c r="AV698" s="47"/>
      <c r="AW698" s="47"/>
      <c r="AX698" s="47"/>
      <c r="AY698" s="47"/>
      <c r="AZ698" s="47"/>
      <c r="BA698" s="47"/>
      <c r="BB698" s="47"/>
      <c r="BC698" s="47"/>
      <c r="BD698" s="47"/>
      <c r="BE698" s="47"/>
      <c r="BF698" s="47"/>
    </row>
    <row r="699" spans="1:58" hidden="1">
      <c r="A699" s="46" t="s">
        <v>291</v>
      </c>
      <c r="B699" s="46" t="s">
        <v>268</v>
      </c>
      <c r="C699" s="47">
        <v>0</v>
      </c>
      <c r="D699" s="47">
        <v>0</v>
      </c>
      <c r="E699" s="47">
        <v>0</v>
      </c>
      <c r="F699" s="47">
        <v>0</v>
      </c>
      <c r="G699" s="47">
        <v>0</v>
      </c>
      <c r="H699" s="47">
        <v>0</v>
      </c>
      <c r="I699" s="47">
        <v>0</v>
      </c>
      <c r="J699" s="47">
        <v>0</v>
      </c>
      <c r="K699" s="47">
        <v>0</v>
      </c>
      <c r="L699" s="47">
        <v>0</v>
      </c>
      <c r="M699" s="47">
        <v>0</v>
      </c>
      <c r="N699" s="47">
        <v>0</v>
      </c>
      <c r="O699" s="47">
        <v>0</v>
      </c>
      <c r="P699" s="47">
        <v>0</v>
      </c>
      <c r="Q699" s="85"/>
      <c r="R699" s="85"/>
      <c r="S699" s="85"/>
      <c r="T699" s="85"/>
      <c r="U699" s="85"/>
      <c r="V699" s="85"/>
      <c r="W699" s="85"/>
      <c r="X699" s="85"/>
      <c r="Y699" s="85"/>
      <c r="Z699" s="85"/>
      <c r="AA699" s="85"/>
      <c r="AB699" s="85"/>
      <c r="AC699" s="85"/>
      <c r="AD699" s="85"/>
      <c r="AE699" s="47">
        <v>0</v>
      </c>
      <c r="AF699" s="47">
        <v>0</v>
      </c>
      <c r="AG699" s="47">
        <v>0</v>
      </c>
      <c r="AH699" s="47">
        <v>0</v>
      </c>
      <c r="AI699" s="47">
        <v>0</v>
      </c>
      <c r="AJ699" s="47">
        <v>0</v>
      </c>
      <c r="AK699" s="47">
        <v>0</v>
      </c>
      <c r="AL699" s="47">
        <v>0</v>
      </c>
      <c r="AM699" s="47">
        <v>0</v>
      </c>
      <c r="AN699" s="47">
        <v>0</v>
      </c>
      <c r="AO699" s="47">
        <v>0</v>
      </c>
      <c r="AP699" s="47">
        <v>0</v>
      </c>
      <c r="AQ699" s="47">
        <v>0</v>
      </c>
      <c r="AR699" s="47">
        <v>0</v>
      </c>
      <c r="AS699" s="47"/>
      <c r="AT699" s="47"/>
      <c r="AU699" s="47"/>
      <c r="AV699" s="47"/>
      <c r="AW699" s="47"/>
      <c r="AX699" s="47"/>
      <c r="AY699" s="47"/>
      <c r="AZ699" s="47"/>
      <c r="BA699" s="47"/>
      <c r="BB699" s="47"/>
      <c r="BC699" s="47"/>
      <c r="BD699" s="47"/>
      <c r="BE699" s="47"/>
      <c r="BF699" s="47"/>
    </row>
    <row r="700" spans="1:58" hidden="1">
      <c r="A700" s="46" t="s">
        <v>291</v>
      </c>
      <c r="B700" s="46" t="s">
        <v>269</v>
      </c>
      <c r="C700" s="47">
        <v>0</v>
      </c>
      <c r="D700" s="47">
        <v>0</v>
      </c>
      <c r="E700" s="47">
        <v>0</v>
      </c>
      <c r="F700" s="47">
        <v>0</v>
      </c>
      <c r="G700" s="47">
        <v>0</v>
      </c>
      <c r="H700" s="47">
        <v>0</v>
      </c>
      <c r="I700" s="47">
        <v>0</v>
      </c>
      <c r="J700" s="47">
        <v>0</v>
      </c>
      <c r="K700" s="47">
        <v>0</v>
      </c>
      <c r="L700" s="47">
        <v>0</v>
      </c>
      <c r="M700" s="47">
        <v>0</v>
      </c>
      <c r="N700" s="47">
        <v>0</v>
      </c>
      <c r="O700" s="47">
        <v>0</v>
      </c>
      <c r="P700" s="47">
        <v>0</v>
      </c>
      <c r="Q700" s="85"/>
      <c r="R700" s="85"/>
      <c r="S700" s="85"/>
      <c r="T700" s="85"/>
      <c r="U700" s="85"/>
      <c r="V700" s="85"/>
      <c r="W700" s="85"/>
      <c r="X700" s="85"/>
      <c r="Y700" s="85"/>
      <c r="Z700" s="85"/>
      <c r="AA700" s="85"/>
      <c r="AB700" s="85"/>
      <c r="AC700" s="85"/>
      <c r="AD700" s="85"/>
      <c r="AE700" s="47">
        <v>0</v>
      </c>
      <c r="AF700" s="47">
        <v>0</v>
      </c>
      <c r="AG700" s="47">
        <v>0</v>
      </c>
      <c r="AH700" s="47">
        <v>0</v>
      </c>
      <c r="AI700" s="47">
        <v>0</v>
      </c>
      <c r="AJ700" s="47">
        <v>0</v>
      </c>
      <c r="AK700" s="47">
        <v>0</v>
      </c>
      <c r="AL700" s="47">
        <v>0</v>
      </c>
      <c r="AM700" s="47">
        <v>0</v>
      </c>
      <c r="AN700" s="47">
        <v>0</v>
      </c>
      <c r="AO700" s="47">
        <v>0</v>
      </c>
      <c r="AP700" s="47">
        <v>0</v>
      </c>
      <c r="AQ700" s="47">
        <v>0</v>
      </c>
      <c r="AR700" s="47">
        <v>0</v>
      </c>
      <c r="AS700" s="47"/>
      <c r="AT700" s="47"/>
      <c r="AU700" s="47"/>
      <c r="AV700" s="47"/>
      <c r="AW700" s="47"/>
      <c r="AX700" s="47"/>
      <c r="AY700" s="47"/>
      <c r="AZ700" s="47"/>
      <c r="BA700" s="47"/>
      <c r="BB700" s="47"/>
      <c r="BC700" s="47"/>
      <c r="BD700" s="47"/>
      <c r="BE700" s="47"/>
      <c r="BF700" s="47"/>
    </row>
    <row r="701" spans="1:58" hidden="1">
      <c r="A701" s="46" t="s">
        <v>291</v>
      </c>
      <c r="B701" s="46" t="s">
        <v>270</v>
      </c>
      <c r="C701" s="47">
        <v>0</v>
      </c>
      <c r="D701" s="47">
        <v>0</v>
      </c>
      <c r="E701" s="47">
        <v>0</v>
      </c>
      <c r="F701" s="47">
        <v>0</v>
      </c>
      <c r="G701" s="47">
        <v>0</v>
      </c>
      <c r="H701" s="47">
        <v>0</v>
      </c>
      <c r="I701" s="47">
        <v>0</v>
      </c>
      <c r="J701" s="47">
        <v>0</v>
      </c>
      <c r="K701" s="47">
        <v>0</v>
      </c>
      <c r="L701" s="47">
        <v>0</v>
      </c>
      <c r="M701" s="47">
        <v>0</v>
      </c>
      <c r="N701" s="47">
        <v>0</v>
      </c>
      <c r="O701" s="47">
        <v>0</v>
      </c>
      <c r="P701" s="47">
        <v>0</v>
      </c>
      <c r="Q701" s="85"/>
      <c r="R701" s="85"/>
      <c r="S701" s="85"/>
      <c r="T701" s="85"/>
      <c r="U701" s="85"/>
      <c r="V701" s="85"/>
      <c r="W701" s="85"/>
      <c r="X701" s="85"/>
      <c r="Y701" s="85"/>
      <c r="Z701" s="85"/>
      <c r="AA701" s="85"/>
      <c r="AB701" s="85"/>
      <c r="AC701" s="85"/>
      <c r="AD701" s="85"/>
      <c r="AE701" s="47">
        <v>0</v>
      </c>
      <c r="AF701" s="47">
        <v>0</v>
      </c>
      <c r="AG701" s="47">
        <v>0</v>
      </c>
      <c r="AH701" s="47">
        <v>0</v>
      </c>
      <c r="AI701" s="47">
        <v>0</v>
      </c>
      <c r="AJ701" s="47">
        <v>0</v>
      </c>
      <c r="AK701" s="47">
        <v>0</v>
      </c>
      <c r="AL701" s="47">
        <v>0</v>
      </c>
      <c r="AM701" s="47">
        <v>0</v>
      </c>
      <c r="AN701" s="47">
        <v>0</v>
      </c>
      <c r="AO701" s="47">
        <v>0</v>
      </c>
      <c r="AP701" s="47">
        <v>0</v>
      </c>
      <c r="AQ701" s="47">
        <v>0</v>
      </c>
      <c r="AR701" s="47">
        <v>0</v>
      </c>
      <c r="AS701" s="47"/>
      <c r="AT701" s="47"/>
      <c r="AU701" s="47"/>
      <c r="AV701" s="47"/>
      <c r="AW701" s="47"/>
      <c r="AX701" s="47"/>
      <c r="AY701" s="47"/>
      <c r="AZ701" s="47"/>
      <c r="BA701" s="47"/>
      <c r="BB701" s="47"/>
      <c r="BC701" s="47"/>
      <c r="BD701" s="47"/>
      <c r="BE701" s="47"/>
      <c r="BF701" s="47"/>
    </row>
    <row r="702" spans="1:58" hidden="1">
      <c r="A702" s="46" t="s">
        <v>291</v>
      </c>
      <c r="B702" s="46" t="s">
        <v>271</v>
      </c>
      <c r="C702" s="47">
        <v>0</v>
      </c>
      <c r="D702" s="47">
        <v>0</v>
      </c>
      <c r="E702" s="47">
        <v>0</v>
      </c>
      <c r="F702" s="47">
        <v>0</v>
      </c>
      <c r="G702" s="47">
        <v>0</v>
      </c>
      <c r="H702" s="47">
        <v>0</v>
      </c>
      <c r="I702" s="47">
        <v>0</v>
      </c>
      <c r="J702" s="47">
        <v>0</v>
      </c>
      <c r="K702" s="47">
        <v>0</v>
      </c>
      <c r="L702" s="47">
        <v>0</v>
      </c>
      <c r="M702" s="47">
        <v>0</v>
      </c>
      <c r="N702" s="47">
        <v>0</v>
      </c>
      <c r="O702" s="47">
        <v>0</v>
      </c>
      <c r="P702" s="47">
        <v>0</v>
      </c>
      <c r="Q702" s="85"/>
      <c r="R702" s="85"/>
      <c r="S702" s="85"/>
      <c r="T702" s="85"/>
      <c r="U702" s="85"/>
      <c r="V702" s="85"/>
      <c r="W702" s="85"/>
      <c r="X702" s="85"/>
      <c r="Y702" s="85"/>
      <c r="Z702" s="85"/>
      <c r="AA702" s="85"/>
      <c r="AB702" s="85"/>
      <c r="AC702" s="85"/>
      <c r="AD702" s="85"/>
      <c r="AE702" s="47">
        <v>0</v>
      </c>
      <c r="AF702" s="47">
        <v>0</v>
      </c>
      <c r="AG702" s="47">
        <v>0</v>
      </c>
      <c r="AH702" s="47">
        <v>0</v>
      </c>
      <c r="AI702" s="47">
        <v>0</v>
      </c>
      <c r="AJ702" s="47">
        <v>0</v>
      </c>
      <c r="AK702" s="47">
        <v>0</v>
      </c>
      <c r="AL702" s="47">
        <v>0</v>
      </c>
      <c r="AM702" s="47">
        <v>0</v>
      </c>
      <c r="AN702" s="47">
        <v>0</v>
      </c>
      <c r="AO702" s="47">
        <v>0</v>
      </c>
      <c r="AP702" s="47">
        <v>0</v>
      </c>
      <c r="AQ702" s="47">
        <v>0</v>
      </c>
      <c r="AR702" s="47">
        <v>0</v>
      </c>
      <c r="AS702" s="47"/>
      <c r="AT702" s="47"/>
      <c r="AU702" s="47"/>
      <c r="AV702" s="47"/>
      <c r="AW702" s="47"/>
      <c r="AX702" s="47"/>
      <c r="AY702" s="47"/>
      <c r="AZ702" s="47"/>
      <c r="BA702" s="47"/>
      <c r="BB702" s="47"/>
      <c r="BC702" s="47"/>
      <c r="BD702" s="47"/>
      <c r="BE702" s="47"/>
      <c r="BF702" s="47"/>
    </row>
    <row r="703" spans="1:58" hidden="1">
      <c r="A703" s="46" t="s">
        <v>291</v>
      </c>
      <c r="B703" s="46" t="s">
        <v>272</v>
      </c>
      <c r="C703" s="47">
        <v>1</v>
      </c>
      <c r="D703" s="47">
        <v>1</v>
      </c>
      <c r="E703" s="47">
        <v>1</v>
      </c>
      <c r="F703" s="47">
        <v>1</v>
      </c>
      <c r="G703" s="47">
        <v>1</v>
      </c>
      <c r="H703" s="47">
        <v>1</v>
      </c>
      <c r="I703" s="47">
        <v>1</v>
      </c>
      <c r="J703" s="47">
        <v>0</v>
      </c>
      <c r="K703" s="47">
        <v>0</v>
      </c>
      <c r="L703" s="47">
        <v>0</v>
      </c>
      <c r="M703" s="47">
        <v>0</v>
      </c>
      <c r="N703" s="47">
        <v>0</v>
      </c>
      <c r="O703" s="47">
        <v>0</v>
      </c>
      <c r="P703" s="47">
        <v>0</v>
      </c>
      <c r="Q703" s="85">
        <v>80</v>
      </c>
      <c r="R703" s="85">
        <v>96</v>
      </c>
      <c r="S703" s="85">
        <v>84</v>
      </c>
      <c r="T703" s="85">
        <v>75</v>
      </c>
      <c r="U703" s="85">
        <v>100</v>
      </c>
      <c r="V703" s="85">
        <v>75</v>
      </c>
      <c r="W703" s="85">
        <v>71</v>
      </c>
      <c r="X703" s="85"/>
      <c r="Y703" s="85"/>
      <c r="Z703" s="85"/>
      <c r="AA703" s="85"/>
      <c r="AB703" s="85"/>
      <c r="AC703" s="85"/>
      <c r="AD703" s="85"/>
      <c r="AE703" s="47">
        <v>80</v>
      </c>
      <c r="AF703" s="47">
        <v>96</v>
      </c>
      <c r="AG703" s="47">
        <v>84</v>
      </c>
      <c r="AH703" s="47">
        <v>75</v>
      </c>
      <c r="AI703" s="47">
        <v>100</v>
      </c>
      <c r="AJ703" s="47">
        <v>75</v>
      </c>
      <c r="AK703" s="47">
        <v>71</v>
      </c>
      <c r="AL703" s="47">
        <v>0</v>
      </c>
      <c r="AM703" s="47">
        <v>0</v>
      </c>
      <c r="AN703" s="47">
        <v>0</v>
      </c>
      <c r="AO703" s="47">
        <v>0</v>
      </c>
      <c r="AP703" s="47">
        <v>0</v>
      </c>
      <c r="AQ703" s="47">
        <v>0</v>
      </c>
      <c r="AR703" s="47">
        <v>0</v>
      </c>
      <c r="AS703" s="47"/>
      <c r="AT703" s="47"/>
      <c r="AU703" s="47"/>
      <c r="AV703" s="47"/>
      <c r="AW703" s="47"/>
      <c r="AX703" s="47"/>
      <c r="AY703" s="47"/>
      <c r="AZ703" s="47"/>
      <c r="BA703" s="47"/>
      <c r="BB703" s="47"/>
      <c r="BC703" s="47"/>
      <c r="BD703" s="47"/>
      <c r="BE703" s="47"/>
      <c r="BF703" s="47"/>
    </row>
    <row r="704" spans="1:58" hidden="1">
      <c r="A704" s="46" t="s">
        <v>291</v>
      </c>
      <c r="B704" s="46" t="s">
        <v>273</v>
      </c>
      <c r="C704" s="47">
        <v>0</v>
      </c>
      <c r="D704" s="47">
        <v>0</v>
      </c>
      <c r="E704" s="47">
        <v>0</v>
      </c>
      <c r="F704" s="47">
        <v>0</v>
      </c>
      <c r="G704" s="47">
        <v>0</v>
      </c>
      <c r="H704" s="47">
        <v>0</v>
      </c>
      <c r="I704" s="47">
        <v>0</v>
      </c>
      <c r="J704" s="47">
        <v>0</v>
      </c>
      <c r="K704" s="47">
        <v>0</v>
      </c>
      <c r="L704" s="47">
        <v>0</v>
      </c>
      <c r="M704" s="47">
        <v>0</v>
      </c>
      <c r="N704" s="47">
        <v>0</v>
      </c>
      <c r="O704" s="47">
        <v>0</v>
      </c>
      <c r="P704" s="47">
        <v>0</v>
      </c>
      <c r="Q704" s="85"/>
      <c r="R704" s="85"/>
      <c r="S704" s="85"/>
      <c r="T704" s="85"/>
      <c r="U704" s="85"/>
      <c r="V704" s="85"/>
      <c r="W704" s="85"/>
      <c r="X704" s="85"/>
      <c r="Y704" s="85"/>
      <c r="Z704" s="85"/>
      <c r="AA704" s="85"/>
      <c r="AB704" s="85"/>
      <c r="AC704" s="85"/>
      <c r="AD704" s="85"/>
      <c r="AE704" s="47">
        <v>0</v>
      </c>
      <c r="AF704" s="47">
        <v>0</v>
      </c>
      <c r="AG704" s="47">
        <v>0</v>
      </c>
      <c r="AH704" s="47">
        <v>0</v>
      </c>
      <c r="AI704" s="47">
        <v>0</v>
      </c>
      <c r="AJ704" s="47">
        <v>0</v>
      </c>
      <c r="AK704" s="47">
        <v>0</v>
      </c>
      <c r="AL704" s="47">
        <v>0</v>
      </c>
      <c r="AM704" s="47">
        <v>0</v>
      </c>
      <c r="AN704" s="47">
        <v>0</v>
      </c>
      <c r="AO704" s="47">
        <v>0</v>
      </c>
      <c r="AP704" s="47">
        <v>0</v>
      </c>
      <c r="AQ704" s="47">
        <v>0</v>
      </c>
      <c r="AR704" s="47">
        <v>0</v>
      </c>
      <c r="AS704" s="47"/>
      <c r="AT704" s="47"/>
      <c r="AU704" s="47"/>
      <c r="AV704" s="47"/>
      <c r="AW704" s="47"/>
      <c r="AX704" s="47"/>
      <c r="AY704" s="47"/>
      <c r="AZ704" s="47"/>
      <c r="BA704" s="47"/>
      <c r="BB704" s="47"/>
      <c r="BC704" s="47"/>
      <c r="BD704" s="47"/>
      <c r="BE704" s="47"/>
      <c r="BF704" s="47"/>
    </row>
    <row r="705" spans="1:58" hidden="1">
      <c r="A705" s="46" t="s">
        <v>291</v>
      </c>
      <c r="B705" s="46" t="s">
        <v>274</v>
      </c>
      <c r="C705" s="47">
        <v>0</v>
      </c>
      <c r="D705" s="47">
        <v>0</v>
      </c>
      <c r="E705" s="47">
        <v>0</v>
      </c>
      <c r="F705" s="47">
        <v>0</v>
      </c>
      <c r="G705" s="47">
        <v>0</v>
      </c>
      <c r="H705" s="47">
        <v>0</v>
      </c>
      <c r="I705" s="47">
        <v>0</v>
      </c>
      <c r="J705" s="47">
        <v>0</v>
      </c>
      <c r="K705" s="47">
        <v>0</v>
      </c>
      <c r="L705" s="47">
        <v>0</v>
      </c>
      <c r="M705" s="47">
        <v>0</v>
      </c>
      <c r="N705" s="47">
        <v>0</v>
      </c>
      <c r="O705" s="47">
        <v>0</v>
      </c>
      <c r="P705" s="47">
        <v>0</v>
      </c>
      <c r="Q705" s="85"/>
      <c r="R705" s="85"/>
      <c r="S705" s="85"/>
      <c r="T705" s="85"/>
      <c r="U705" s="85"/>
      <c r="V705" s="85"/>
      <c r="W705" s="85"/>
      <c r="X705" s="85"/>
      <c r="Y705" s="85"/>
      <c r="Z705" s="85"/>
      <c r="AA705" s="85"/>
      <c r="AB705" s="85"/>
      <c r="AC705" s="85"/>
      <c r="AD705" s="85"/>
      <c r="AE705" s="47">
        <v>0</v>
      </c>
      <c r="AF705" s="47">
        <v>0</v>
      </c>
      <c r="AG705" s="47">
        <v>0</v>
      </c>
      <c r="AH705" s="47">
        <v>0</v>
      </c>
      <c r="AI705" s="47">
        <v>0</v>
      </c>
      <c r="AJ705" s="47">
        <v>0</v>
      </c>
      <c r="AK705" s="47">
        <v>0</v>
      </c>
      <c r="AL705" s="47">
        <v>0</v>
      </c>
      <c r="AM705" s="47">
        <v>0</v>
      </c>
      <c r="AN705" s="47">
        <v>0</v>
      </c>
      <c r="AO705" s="47">
        <v>0</v>
      </c>
      <c r="AP705" s="47">
        <v>0</v>
      </c>
      <c r="AQ705" s="47">
        <v>0</v>
      </c>
      <c r="AR705" s="47">
        <v>0</v>
      </c>
      <c r="AS705" s="47"/>
      <c r="AT705" s="47"/>
      <c r="AU705" s="47"/>
      <c r="AV705" s="47"/>
      <c r="AW705" s="47"/>
      <c r="AX705" s="47"/>
      <c r="AY705" s="47"/>
      <c r="AZ705" s="47"/>
      <c r="BA705" s="47"/>
      <c r="BB705" s="47"/>
      <c r="BC705" s="47"/>
      <c r="BD705" s="47"/>
      <c r="BE705" s="47"/>
      <c r="BF705" s="47"/>
    </row>
    <row r="706" spans="1:58" hidden="1">
      <c r="A706" s="46" t="s">
        <v>291</v>
      </c>
      <c r="B706" s="46" t="s">
        <v>275</v>
      </c>
      <c r="C706" s="47">
        <v>0</v>
      </c>
      <c r="D706" s="47">
        <v>0</v>
      </c>
      <c r="E706" s="47">
        <v>0</v>
      </c>
      <c r="F706" s="47">
        <v>0</v>
      </c>
      <c r="G706" s="47">
        <v>0</v>
      </c>
      <c r="H706" s="47">
        <v>0</v>
      </c>
      <c r="I706" s="47">
        <v>0</v>
      </c>
      <c r="J706" s="47">
        <v>0</v>
      </c>
      <c r="K706" s="47">
        <v>0</v>
      </c>
      <c r="L706" s="47">
        <v>0</v>
      </c>
      <c r="M706" s="47">
        <v>0</v>
      </c>
      <c r="N706" s="47">
        <v>0</v>
      </c>
      <c r="O706" s="47">
        <v>0</v>
      </c>
      <c r="P706" s="47">
        <v>0</v>
      </c>
      <c r="Q706" s="85"/>
      <c r="R706" s="85"/>
      <c r="S706" s="85"/>
      <c r="T706" s="85"/>
      <c r="U706" s="85"/>
      <c r="V706" s="85"/>
      <c r="W706" s="85"/>
      <c r="X706" s="85"/>
      <c r="Y706" s="85"/>
      <c r="Z706" s="85"/>
      <c r="AA706" s="85"/>
      <c r="AB706" s="85"/>
      <c r="AC706" s="85"/>
      <c r="AD706" s="85"/>
      <c r="AE706" s="47">
        <v>0</v>
      </c>
      <c r="AF706" s="47">
        <v>0</v>
      </c>
      <c r="AG706" s="47">
        <v>0</v>
      </c>
      <c r="AH706" s="47">
        <v>0</v>
      </c>
      <c r="AI706" s="47">
        <v>0</v>
      </c>
      <c r="AJ706" s="47">
        <v>0</v>
      </c>
      <c r="AK706" s="47">
        <v>0</v>
      </c>
      <c r="AL706" s="47">
        <v>0</v>
      </c>
      <c r="AM706" s="47">
        <v>0</v>
      </c>
      <c r="AN706" s="47">
        <v>0</v>
      </c>
      <c r="AO706" s="47">
        <v>0</v>
      </c>
      <c r="AP706" s="47">
        <v>0</v>
      </c>
      <c r="AQ706" s="47">
        <v>0</v>
      </c>
      <c r="AR706" s="47">
        <v>0</v>
      </c>
      <c r="AS706" s="47"/>
      <c r="AT706" s="47"/>
      <c r="AU706" s="47"/>
      <c r="AV706" s="47"/>
      <c r="AW706" s="47"/>
      <c r="AX706" s="47"/>
      <c r="AY706" s="47"/>
      <c r="AZ706" s="47"/>
      <c r="BA706" s="47"/>
      <c r="BB706" s="47"/>
      <c r="BC706" s="47"/>
      <c r="BD706" s="47"/>
      <c r="BE706" s="47"/>
      <c r="BF706" s="47"/>
    </row>
    <row r="707" spans="1:58" hidden="1">
      <c r="A707" s="46" t="s">
        <v>291</v>
      </c>
      <c r="B707" s="46" t="s">
        <v>276</v>
      </c>
      <c r="C707" s="47">
        <v>1</v>
      </c>
      <c r="D707" s="47">
        <v>1</v>
      </c>
      <c r="E707" s="47">
        <v>1</v>
      </c>
      <c r="F707" s="47">
        <v>1</v>
      </c>
      <c r="G707" s="47">
        <v>1</v>
      </c>
      <c r="H707" s="47">
        <v>1</v>
      </c>
      <c r="I707" s="47">
        <v>1</v>
      </c>
      <c r="J707" s="47">
        <v>0</v>
      </c>
      <c r="K707" s="47">
        <v>0</v>
      </c>
      <c r="L707" s="47">
        <v>0</v>
      </c>
      <c r="M707" s="47">
        <v>0</v>
      </c>
      <c r="N707" s="47">
        <v>0</v>
      </c>
      <c r="O707" s="47">
        <v>0</v>
      </c>
      <c r="P707" s="47">
        <v>0</v>
      </c>
      <c r="Q707" s="85">
        <v>80</v>
      </c>
      <c r="R707" s="85">
        <v>96</v>
      </c>
      <c r="S707" s="85">
        <v>84</v>
      </c>
      <c r="T707" s="85">
        <v>75</v>
      </c>
      <c r="U707" s="85">
        <v>100</v>
      </c>
      <c r="V707" s="85">
        <v>75</v>
      </c>
      <c r="W707" s="85">
        <v>71</v>
      </c>
      <c r="X707" s="85"/>
      <c r="Y707" s="85"/>
      <c r="Z707" s="85"/>
      <c r="AA707" s="85"/>
      <c r="AB707" s="85"/>
      <c r="AC707" s="85"/>
      <c r="AD707" s="85"/>
      <c r="AE707" s="47">
        <v>80</v>
      </c>
      <c r="AF707" s="47">
        <v>96</v>
      </c>
      <c r="AG707" s="47">
        <v>84</v>
      </c>
      <c r="AH707" s="47">
        <v>75</v>
      </c>
      <c r="AI707" s="47">
        <v>100</v>
      </c>
      <c r="AJ707" s="47">
        <v>75</v>
      </c>
      <c r="AK707" s="47">
        <v>71</v>
      </c>
      <c r="AL707" s="47">
        <v>0</v>
      </c>
      <c r="AM707" s="47">
        <v>0</v>
      </c>
      <c r="AN707" s="47">
        <v>0</v>
      </c>
      <c r="AO707" s="47">
        <v>0</v>
      </c>
      <c r="AP707" s="47">
        <v>0</v>
      </c>
      <c r="AQ707" s="47">
        <v>0</v>
      </c>
      <c r="AR707" s="47">
        <v>0</v>
      </c>
      <c r="AS707" s="47"/>
      <c r="AT707" s="47"/>
      <c r="AU707" s="47"/>
      <c r="AV707" s="47"/>
      <c r="AW707" s="47"/>
      <c r="AX707" s="47"/>
      <c r="AY707" s="47"/>
      <c r="AZ707" s="47"/>
      <c r="BA707" s="47"/>
      <c r="BB707" s="47"/>
      <c r="BC707" s="47"/>
      <c r="BD707" s="47"/>
      <c r="BE707" s="47"/>
      <c r="BF707" s="47"/>
    </row>
    <row r="708" spans="1:58" hidden="1">
      <c r="A708" s="46" t="s">
        <v>291</v>
      </c>
      <c r="B708" s="46" t="s">
        <v>277</v>
      </c>
      <c r="C708" s="47"/>
      <c r="D708" s="47"/>
      <c r="E708" s="47"/>
      <c r="F708" s="47"/>
      <c r="G708" s="47"/>
      <c r="H708" s="47"/>
      <c r="I708" s="47"/>
      <c r="J708" s="47"/>
      <c r="K708" s="47"/>
      <c r="L708" s="47"/>
      <c r="M708" s="47"/>
      <c r="N708" s="47"/>
      <c r="O708" s="47"/>
      <c r="P708" s="47"/>
      <c r="Q708" s="85"/>
      <c r="R708" s="85"/>
      <c r="S708" s="85"/>
      <c r="T708" s="85"/>
      <c r="U708" s="85"/>
      <c r="V708" s="85"/>
      <c r="W708" s="85"/>
      <c r="X708" s="85"/>
      <c r="Y708" s="85"/>
      <c r="Z708" s="85"/>
      <c r="AA708" s="85"/>
      <c r="AB708" s="85"/>
      <c r="AC708" s="85"/>
      <c r="AD708" s="85"/>
      <c r="AE708" s="47">
        <v>0</v>
      </c>
      <c r="AF708" s="47">
        <v>0</v>
      </c>
      <c r="AG708" s="47">
        <v>0</v>
      </c>
      <c r="AH708" s="47">
        <v>0</v>
      </c>
      <c r="AI708" s="47">
        <v>0</v>
      </c>
      <c r="AJ708" s="47">
        <v>0</v>
      </c>
      <c r="AK708" s="47">
        <v>0</v>
      </c>
      <c r="AL708" s="47">
        <v>0</v>
      </c>
      <c r="AM708" s="47">
        <v>0</v>
      </c>
      <c r="AN708" s="47">
        <v>0</v>
      </c>
      <c r="AO708" s="47">
        <v>0</v>
      </c>
      <c r="AP708" s="47">
        <v>0</v>
      </c>
      <c r="AQ708" s="47">
        <v>0</v>
      </c>
      <c r="AR708" s="47">
        <v>0</v>
      </c>
      <c r="AS708" s="47"/>
      <c r="AT708" s="47"/>
      <c r="AU708" s="47"/>
      <c r="AV708" s="47"/>
      <c r="AW708" s="47"/>
      <c r="AX708" s="47"/>
      <c r="AY708" s="47"/>
      <c r="AZ708" s="47"/>
      <c r="BA708" s="47"/>
      <c r="BB708" s="47"/>
      <c r="BC708" s="47"/>
      <c r="BD708" s="47"/>
      <c r="BE708" s="47"/>
      <c r="BF708" s="47"/>
    </row>
    <row r="709" spans="1:58" hidden="1">
      <c r="A709" s="46" t="s">
        <v>291</v>
      </c>
      <c r="B709" s="46" t="s">
        <v>65</v>
      </c>
      <c r="C709" s="47">
        <v>0</v>
      </c>
      <c r="D709" s="47">
        <v>0</v>
      </c>
      <c r="E709" s="47">
        <v>0</v>
      </c>
      <c r="F709" s="47">
        <v>0</v>
      </c>
      <c r="G709" s="47">
        <v>0</v>
      </c>
      <c r="H709" s="47">
        <v>0</v>
      </c>
      <c r="I709" s="47">
        <v>0</v>
      </c>
      <c r="J709" s="47">
        <v>0</v>
      </c>
      <c r="K709" s="47">
        <v>0</v>
      </c>
      <c r="L709" s="47">
        <v>0</v>
      </c>
      <c r="M709" s="47">
        <v>0</v>
      </c>
      <c r="N709" s="47">
        <v>0</v>
      </c>
      <c r="O709" s="47">
        <v>0</v>
      </c>
      <c r="P709" s="47">
        <v>0</v>
      </c>
      <c r="Q709" s="85"/>
      <c r="R709" s="85"/>
      <c r="S709" s="85"/>
      <c r="T709" s="85"/>
      <c r="U709" s="85"/>
      <c r="V709" s="85"/>
      <c r="W709" s="85"/>
      <c r="X709" s="85"/>
      <c r="Y709" s="85"/>
      <c r="Z709" s="85"/>
      <c r="AA709" s="85"/>
      <c r="AB709" s="85"/>
      <c r="AC709" s="85"/>
      <c r="AD709" s="85"/>
      <c r="AE709" s="47">
        <v>0</v>
      </c>
      <c r="AF709" s="47">
        <v>0</v>
      </c>
      <c r="AG709" s="47">
        <v>0</v>
      </c>
      <c r="AH709" s="47">
        <v>0</v>
      </c>
      <c r="AI709" s="47">
        <v>0</v>
      </c>
      <c r="AJ709" s="47">
        <v>0</v>
      </c>
      <c r="AK709" s="47">
        <v>0</v>
      </c>
      <c r="AL709" s="47">
        <v>0</v>
      </c>
      <c r="AM709" s="47">
        <v>0</v>
      </c>
      <c r="AN709" s="47">
        <v>0</v>
      </c>
      <c r="AO709" s="47">
        <v>0</v>
      </c>
      <c r="AP709" s="47">
        <v>0</v>
      </c>
      <c r="AQ709" s="47">
        <v>0</v>
      </c>
      <c r="AR709" s="47">
        <v>0</v>
      </c>
      <c r="AS709" s="47"/>
      <c r="AT709" s="47"/>
      <c r="AU709" s="47"/>
      <c r="AV709" s="47"/>
      <c r="AW709" s="47"/>
      <c r="AX709" s="47"/>
      <c r="AY709" s="47"/>
      <c r="AZ709" s="47"/>
      <c r="BA709" s="47"/>
      <c r="BB709" s="47"/>
      <c r="BC709" s="47"/>
      <c r="BD709" s="47"/>
      <c r="BE709" s="47"/>
      <c r="BF709" s="47"/>
    </row>
    <row r="710" spans="1:58" hidden="1">
      <c r="A710" s="46" t="s">
        <v>291</v>
      </c>
      <c r="B710" s="46" t="s">
        <v>66</v>
      </c>
      <c r="C710" s="47">
        <v>0</v>
      </c>
      <c r="D710" s="47">
        <v>0</v>
      </c>
      <c r="E710" s="47">
        <v>0</v>
      </c>
      <c r="F710" s="47">
        <v>0</v>
      </c>
      <c r="G710" s="47">
        <v>0</v>
      </c>
      <c r="H710" s="47">
        <v>0</v>
      </c>
      <c r="I710" s="47">
        <v>0</v>
      </c>
      <c r="J710" s="47">
        <v>0</v>
      </c>
      <c r="K710" s="47">
        <v>0</v>
      </c>
      <c r="L710" s="47">
        <v>0</v>
      </c>
      <c r="M710" s="47">
        <v>0</v>
      </c>
      <c r="N710" s="47">
        <v>0</v>
      </c>
      <c r="O710" s="47">
        <v>0</v>
      </c>
      <c r="P710" s="47">
        <v>0</v>
      </c>
      <c r="Q710" s="85"/>
      <c r="R710" s="85"/>
      <c r="S710" s="85"/>
      <c r="T710" s="85"/>
      <c r="U710" s="85"/>
      <c r="V710" s="85"/>
      <c r="W710" s="85"/>
      <c r="X710" s="85"/>
      <c r="Y710" s="85"/>
      <c r="Z710" s="85"/>
      <c r="AA710" s="85"/>
      <c r="AB710" s="85"/>
      <c r="AC710" s="85"/>
      <c r="AD710" s="85"/>
      <c r="AE710" s="47">
        <v>0</v>
      </c>
      <c r="AF710" s="47">
        <v>0</v>
      </c>
      <c r="AG710" s="47">
        <v>0</v>
      </c>
      <c r="AH710" s="47">
        <v>0</v>
      </c>
      <c r="AI710" s="47">
        <v>0</v>
      </c>
      <c r="AJ710" s="47">
        <v>0</v>
      </c>
      <c r="AK710" s="47">
        <v>0</v>
      </c>
      <c r="AL710" s="47">
        <v>0</v>
      </c>
      <c r="AM710" s="47">
        <v>0</v>
      </c>
      <c r="AN710" s="47">
        <v>0</v>
      </c>
      <c r="AO710" s="47">
        <v>0</v>
      </c>
      <c r="AP710" s="47">
        <v>0</v>
      </c>
      <c r="AQ710" s="47">
        <v>0</v>
      </c>
      <c r="AR710" s="47">
        <v>0</v>
      </c>
      <c r="AS710" s="47"/>
      <c r="AT710" s="47"/>
      <c r="AU710" s="47"/>
      <c r="AV710" s="47"/>
      <c r="AW710" s="47"/>
      <c r="AX710" s="47"/>
      <c r="AY710" s="47"/>
      <c r="AZ710" s="47"/>
      <c r="BA710" s="47"/>
      <c r="BB710" s="47"/>
      <c r="BC710" s="47"/>
      <c r="BD710" s="47"/>
      <c r="BE710" s="47"/>
      <c r="BF710" s="47"/>
    </row>
    <row r="711" spans="1:58" hidden="1">
      <c r="A711" s="46" t="s">
        <v>291</v>
      </c>
      <c r="B711" s="46" t="s">
        <v>67</v>
      </c>
      <c r="C711" s="47">
        <v>0</v>
      </c>
      <c r="D711" s="47">
        <v>0</v>
      </c>
      <c r="E711" s="47">
        <v>0</v>
      </c>
      <c r="F711" s="47">
        <v>0</v>
      </c>
      <c r="G711" s="47">
        <v>0</v>
      </c>
      <c r="H711" s="47">
        <v>0</v>
      </c>
      <c r="I711" s="47">
        <v>0</v>
      </c>
      <c r="J711" s="47">
        <v>0</v>
      </c>
      <c r="K711" s="47">
        <v>0</v>
      </c>
      <c r="L711" s="47">
        <v>0</v>
      </c>
      <c r="M711" s="47">
        <v>0</v>
      </c>
      <c r="N711" s="47">
        <v>0</v>
      </c>
      <c r="O711" s="47">
        <v>0</v>
      </c>
      <c r="P711" s="47">
        <v>0</v>
      </c>
      <c r="Q711" s="85"/>
      <c r="R711" s="85"/>
      <c r="S711" s="85"/>
      <c r="T711" s="85"/>
      <c r="U711" s="85"/>
      <c r="V711" s="85"/>
      <c r="W711" s="85"/>
      <c r="X711" s="85"/>
      <c r="Y711" s="85"/>
      <c r="Z711" s="85"/>
      <c r="AA711" s="85"/>
      <c r="AB711" s="85"/>
      <c r="AC711" s="85"/>
      <c r="AD711" s="85"/>
      <c r="AE711" s="47">
        <v>0</v>
      </c>
      <c r="AF711" s="47">
        <v>0</v>
      </c>
      <c r="AG711" s="47">
        <v>0</v>
      </c>
      <c r="AH711" s="47">
        <v>0</v>
      </c>
      <c r="AI711" s="47">
        <v>0</v>
      </c>
      <c r="AJ711" s="47">
        <v>0</v>
      </c>
      <c r="AK711" s="47">
        <v>0</v>
      </c>
      <c r="AL711" s="47">
        <v>0</v>
      </c>
      <c r="AM711" s="47">
        <v>0</v>
      </c>
      <c r="AN711" s="47">
        <v>0</v>
      </c>
      <c r="AO711" s="47">
        <v>0</v>
      </c>
      <c r="AP711" s="47">
        <v>0</v>
      </c>
      <c r="AQ711" s="47">
        <v>0</v>
      </c>
      <c r="AR711" s="47">
        <v>0</v>
      </c>
      <c r="AS711" s="47"/>
      <c r="AT711" s="47"/>
      <c r="AU711" s="47"/>
      <c r="AV711" s="47"/>
      <c r="AW711" s="47"/>
      <c r="AX711" s="47"/>
      <c r="AY711" s="47"/>
      <c r="AZ711" s="47"/>
      <c r="BA711" s="47"/>
      <c r="BB711" s="47"/>
      <c r="BC711" s="47"/>
      <c r="BD711" s="47"/>
      <c r="BE711" s="47"/>
      <c r="BF711" s="47"/>
    </row>
    <row r="712" spans="1:58" hidden="1">
      <c r="A712" s="46" t="s">
        <v>291</v>
      </c>
      <c r="B712" s="46" t="s">
        <v>68</v>
      </c>
      <c r="C712" s="47">
        <v>0</v>
      </c>
      <c r="D712" s="47">
        <v>0</v>
      </c>
      <c r="E712" s="47">
        <v>0</v>
      </c>
      <c r="F712" s="47">
        <v>0</v>
      </c>
      <c r="G712" s="47">
        <v>0</v>
      </c>
      <c r="H712" s="47">
        <v>0</v>
      </c>
      <c r="I712" s="47">
        <v>0</v>
      </c>
      <c r="J712" s="47">
        <v>0</v>
      </c>
      <c r="K712" s="47">
        <v>0</v>
      </c>
      <c r="L712" s="47">
        <v>0</v>
      </c>
      <c r="M712" s="47">
        <v>0</v>
      </c>
      <c r="N712" s="47">
        <v>0</v>
      </c>
      <c r="O712" s="47">
        <v>0</v>
      </c>
      <c r="P712" s="47">
        <v>0</v>
      </c>
      <c r="Q712" s="85"/>
      <c r="R712" s="85"/>
      <c r="S712" s="85"/>
      <c r="T712" s="85"/>
      <c r="U712" s="85"/>
      <c r="V712" s="85"/>
      <c r="W712" s="85"/>
      <c r="X712" s="85"/>
      <c r="Y712" s="85"/>
      <c r="Z712" s="85"/>
      <c r="AA712" s="85"/>
      <c r="AB712" s="85"/>
      <c r="AC712" s="85"/>
      <c r="AD712" s="85"/>
      <c r="AE712" s="47">
        <v>0</v>
      </c>
      <c r="AF712" s="47">
        <v>0</v>
      </c>
      <c r="AG712" s="47">
        <v>0</v>
      </c>
      <c r="AH712" s="47">
        <v>0</v>
      </c>
      <c r="AI712" s="47">
        <v>0</v>
      </c>
      <c r="AJ712" s="47">
        <v>0</v>
      </c>
      <c r="AK712" s="47">
        <v>0</v>
      </c>
      <c r="AL712" s="47">
        <v>0</v>
      </c>
      <c r="AM712" s="47">
        <v>0</v>
      </c>
      <c r="AN712" s="47">
        <v>0</v>
      </c>
      <c r="AO712" s="47">
        <v>0</v>
      </c>
      <c r="AP712" s="47">
        <v>0</v>
      </c>
      <c r="AQ712" s="47">
        <v>0</v>
      </c>
      <c r="AR712" s="47">
        <v>0</v>
      </c>
      <c r="AS712" s="47"/>
      <c r="AT712" s="47"/>
      <c r="AU712" s="47"/>
      <c r="AV712" s="47"/>
      <c r="AW712" s="47"/>
      <c r="AX712" s="47"/>
      <c r="AY712" s="47"/>
      <c r="AZ712" s="47"/>
      <c r="BA712" s="47"/>
      <c r="BB712" s="47"/>
      <c r="BC712" s="47"/>
      <c r="BD712" s="47"/>
      <c r="BE712" s="47"/>
      <c r="BF712" s="47"/>
    </row>
    <row r="713" spans="1:58" hidden="1">
      <c r="A713" s="46" t="s">
        <v>291</v>
      </c>
      <c r="B713" s="46" t="s">
        <v>69</v>
      </c>
      <c r="C713" s="47">
        <v>0</v>
      </c>
      <c r="D713" s="47">
        <v>0</v>
      </c>
      <c r="E713" s="47">
        <v>0</v>
      </c>
      <c r="F713" s="47">
        <v>0</v>
      </c>
      <c r="G713" s="47">
        <v>0</v>
      </c>
      <c r="H713" s="47">
        <v>0</v>
      </c>
      <c r="I713" s="47">
        <v>0</v>
      </c>
      <c r="J713" s="47">
        <v>0</v>
      </c>
      <c r="K713" s="47">
        <v>0</v>
      </c>
      <c r="L713" s="47">
        <v>0</v>
      </c>
      <c r="M713" s="47">
        <v>0</v>
      </c>
      <c r="N713" s="47">
        <v>0</v>
      </c>
      <c r="O713" s="47">
        <v>0</v>
      </c>
      <c r="P713" s="47">
        <v>0</v>
      </c>
      <c r="Q713" s="85"/>
      <c r="R713" s="85"/>
      <c r="S713" s="85"/>
      <c r="T713" s="85"/>
      <c r="U713" s="85"/>
      <c r="V713" s="85"/>
      <c r="W713" s="85"/>
      <c r="X713" s="85"/>
      <c r="Y713" s="85"/>
      <c r="Z713" s="85"/>
      <c r="AA713" s="85"/>
      <c r="AB713" s="85"/>
      <c r="AC713" s="85"/>
      <c r="AD713" s="85"/>
      <c r="AE713" s="47">
        <v>0</v>
      </c>
      <c r="AF713" s="47">
        <v>0</v>
      </c>
      <c r="AG713" s="47">
        <v>0</v>
      </c>
      <c r="AH713" s="47">
        <v>0</v>
      </c>
      <c r="AI713" s="47">
        <v>0</v>
      </c>
      <c r="AJ713" s="47">
        <v>0</v>
      </c>
      <c r="AK713" s="47">
        <v>0</v>
      </c>
      <c r="AL713" s="47">
        <v>0</v>
      </c>
      <c r="AM713" s="47">
        <v>0</v>
      </c>
      <c r="AN713" s="47">
        <v>0</v>
      </c>
      <c r="AO713" s="47">
        <v>0</v>
      </c>
      <c r="AP713" s="47">
        <v>0</v>
      </c>
      <c r="AQ713" s="47">
        <v>0</v>
      </c>
      <c r="AR713" s="47">
        <v>0</v>
      </c>
      <c r="AS713" s="47"/>
      <c r="AT713" s="47"/>
      <c r="AU713" s="47"/>
      <c r="AV713" s="47"/>
      <c r="AW713" s="47"/>
      <c r="AX713" s="47"/>
      <c r="AY713" s="47"/>
      <c r="AZ713" s="47"/>
      <c r="BA713" s="47"/>
      <c r="BB713" s="47"/>
      <c r="BC713" s="47"/>
      <c r="BD713" s="47"/>
      <c r="BE713" s="47"/>
      <c r="BF713" s="47"/>
    </row>
    <row r="714" spans="1:58" hidden="1">
      <c r="A714" s="46" t="s">
        <v>291</v>
      </c>
      <c r="B714" s="46" t="s">
        <v>70</v>
      </c>
      <c r="C714" s="47">
        <v>0</v>
      </c>
      <c r="D714" s="47">
        <v>0</v>
      </c>
      <c r="E714" s="47">
        <v>0</v>
      </c>
      <c r="F714" s="47">
        <v>0</v>
      </c>
      <c r="G714" s="47">
        <v>0</v>
      </c>
      <c r="H714" s="47">
        <v>0</v>
      </c>
      <c r="I714" s="47">
        <v>0</v>
      </c>
      <c r="J714" s="47">
        <v>0</v>
      </c>
      <c r="K714" s="47">
        <v>0</v>
      </c>
      <c r="L714" s="47">
        <v>0</v>
      </c>
      <c r="M714" s="47">
        <v>0</v>
      </c>
      <c r="N714" s="47">
        <v>0</v>
      </c>
      <c r="O714" s="47">
        <v>0</v>
      </c>
      <c r="P714" s="47">
        <v>0</v>
      </c>
      <c r="Q714" s="85"/>
      <c r="R714" s="85"/>
      <c r="S714" s="85"/>
      <c r="T714" s="85"/>
      <c r="U714" s="85"/>
      <c r="V714" s="85"/>
      <c r="W714" s="85"/>
      <c r="X714" s="85"/>
      <c r="Y714" s="85"/>
      <c r="Z714" s="85"/>
      <c r="AA714" s="85"/>
      <c r="AB714" s="85"/>
      <c r="AC714" s="85"/>
      <c r="AD714" s="85"/>
      <c r="AE714" s="47">
        <v>0</v>
      </c>
      <c r="AF714" s="47">
        <v>0</v>
      </c>
      <c r="AG714" s="47">
        <v>0</v>
      </c>
      <c r="AH714" s="47">
        <v>0</v>
      </c>
      <c r="AI714" s="47">
        <v>0</v>
      </c>
      <c r="AJ714" s="47">
        <v>0</v>
      </c>
      <c r="AK714" s="47">
        <v>0</v>
      </c>
      <c r="AL714" s="47">
        <v>0</v>
      </c>
      <c r="AM714" s="47">
        <v>0</v>
      </c>
      <c r="AN714" s="47">
        <v>0</v>
      </c>
      <c r="AO714" s="47">
        <v>0</v>
      </c>
      <c r="AP714" s="47">
        <v>0</v>
      </c>
      <c r="AQ714" s="47">
        <v>0</v>
      </c>
      <c r="AR714" s="47">
        <v>0</v>
      </c>
      <c r="AS714" s="47"/>
      <c r="AT714" s="47"/>
      <c r="AU714" s="47"/>
      <c r="AV714" s="47"/>
      <c r="AW714" s="47"/>
      <c r="AX714" s="47"/>
      <c r="AY714" s="47"/>
      <c r="AZ714" s="47"/>
      <c r="BA714" s="47"/>
      <c r="BB714" s="47"/>
      <c r="BC714" s="47"/>
      <c r="BD714" s="47"/>
      <c r="BE714" s="47"/>
      <c r="BF714" s="47"/>
    </row>
    <row r="715" spans="1:58" hidden="1">
      <c r="A715" s="46" t="s">
        <v>291</v>
      </c>
      <c r="B715" s="46" t="s">
        <v>71</v>
      </c>
      <c r="C715" s="47">
        <v>0</v>
      </c>
      <c r="D715" s="47">
        <v>0</v>
      </c>
      <c r="E715" s="47">
        <v>0</v>
      </c>
      <c r="F715" s="47">
        <v>0</v>
      </c>
      <c r="G715" s="47">
        <v>0</v>
      </c>
      <c r="H715" s="47">
        <v>0</v>
      </c>
      <c r="I715" s="47">
        <v>0</v>
      </c>
      <c r="J715" s="47">
        <v>0</v>
      </c>
      <c r="K715" s="47">
        <v>0</v>
      </c>
      <c r="L715" s="47">
        <v>0</v>
      </c>
      <c r="M715" s="47">
        <v>0</v>
      </c>
      <c r="N715" s="47">
        <v>0</v>
      </c>
      <c r="O715" s="47">
        <v>0</v>
      </c>
      <c r="P715" s="47">
        <v>0</v>
      </c>
      <c r="Q715" s="85"/>
      <c r="R715" s="85"/>
      <c r="S715" s="85"/>
      <c r="T715" s="85"/>
      <c r="U715" s="85"/>
      <c r="V715" s="85"/>
      <c r="W715" s="85"/>
      <c r="X715" s="85"/>
      <c r="Y715" s="85"/>
      <c r="Z715" s="85"/>
      <c r="AA715" s="85"/>
      <c r="AB715" s="85"/>
      <c r="AC715" s="85"/>
      <c r="AD715" s="85"/>
      <c r="AE715" s="47">
        <v>0</v>
      </c>
      <c r="AF715" s="47">
        <v>0</v>
      </c>
      <c r="AG715" s="47">
        <v>0</v>
      </c>
      <c r="AH715" s="47">
        <v>0</v>
      </c>
      <c r="AI715" s="47">
        <v>0</v>
      </c>
      <c r="AJ715" s="47">
        <v>0</v>
      </c>
      <c r="AK715" s="47">
        <v>0</v>
      </c>
      <c r="AL715" s="47">
        <v>0</v>
      </c>
      <c r="AM715" s="47">
        <v>0</v>
      </c>
      <c r="AN715" s="47">
        <v>0</v>
      </c>
      <c r="AO715" s="47">
        <v>0</v>
      </c>
      <c r="AP715" s="47">
        <v>0</v>
      </c>
      <c r="AQ715" s="47">
        <v>0</v>
      </c>
      <c r="AR715" s="47">
        <v>0</v>
      </c>
      <c r="AS715" s="47"/>
      <c r="AT715" s="47"/>
      <c r="AU715" s="47"/>
      <c r="AV715" s="47"/>
      <c r="AW715" s="47"/>
      <c r="AX715" s="47"/>
      <c r="AY715" s="47"/>
      <c r="AZ715" s="47"/>
      <c r="BA715" s="47"/>
      <c r="BB715" s="47"/>
      <c r="BC715" s="47"/>
      <c r="BD715" s="47"/>
      <c r="BE715" s="47"/>
      <c r="BF715" s="47"/>
    </row>
    <row r="716" spans="1:58" hidden="1">
      <c r="A716" s="46" t="s">
        <v>291</v>
      </c>
      <c r="B716" s="46" t="s">
        <v>72</v>
      </c>
      <c r="C716" s="47">
        <v>0</v>
      </c>
      <c r="D716" s="47">
        <v>0</v>
      </c>
      <c r="E716" s="47">
        <v>0</v>
      </c>
      <c r="F716" s="47">
        <v>0</v>
      </c>
      <c r="G716" s="47">
        <v>0</v>
      </c>
      <c r="H716" s="47">
        <v>0</v>
      </c>
      <c r="I716" s="47">
        <v>0</v>
      </c>
      <c r="J716" s="47">
        <v>0</v>
      </c>
      <c r="K716" s="47">
        <v>0</v>
      </c>
      <c r="L716" s="47">
        <v>0</v>
      </c>
      <c r="M716" s="47">
        <v>0</v>
      </c>
      <c r="N716" s="47">
        <v>0</v>
      </c>
      <c r="O716" s="47">
        <v>0</v>
      </c>
      <c r="P716" s="47">
        <v>0</v>
      </c>
      <c r="Q716" s="85"/>
      <c r="R716" s="85"/>
      <c r="S716" s="85"/>
      <c r="T716" s="85"/>
      <c r="U716" s="85"/>
      <c r="V716" s="85"/>
      <c r="W716" s="85"/>
      <c r="X716" s="85"/>
      <c r="Y716" s="85"/>
      <c r="Z716" s="85"/>
      <c r="AA716" s="85"/>
      <c r="AB716" s="85"/>
      <c r="AC716" s="85"/>
      <c r="AD716" s="85"/>
      <c r="AE716" s="47">
        <v>0</v>
      </c>
      <c r="AF716" s="47">
        <v>0</v>
      </c>
      <c r="AG716" s="47">
        <v>0</v>
      </c>
      <c r="AH716" s="47">
        <v>0</v>
      </c>
      <c r="AI716" s="47">
        <v>0</v>
      </c>
      <c r="AJ716" s="47">
        <v>0</v>
      </c>
      <c r="AK716" s="47">
        <v>0</v>
      </c>
      <c r="AL716" s="47">
        <v>0</v>
      </c>
      <c r="AM716" s="47">
        <v>0</v>
      </c>
      <c r="AN716" s="47">
        <v>0</v>
      </c>
      <c r="AO716" s="47">
        <v>0</v>
      </c>
      <c r="AP716" s="47">
        <v>0</v>
      </c>
      <c r="AQ716" s="47">
        <v>0</v>
      </c>
      <c r="AR716" s="47">
        <v>0</v>
      </c>
      <c r="AS716" s="47"/>
      <c r="AT716" s="47"/>
      <c r="AU716" s="47"/>
      <c r="AV716" s="47"/>
      <c r="AW716" s="47"/>
      <c r="AX716" s="47"/>
      <c r="AY716" s="47"/>
      <c r="AZ716" s="47"/>
      <c r="BA716" s="47"/>
      <c r="BB716" s="47"/>
      <c r="BC716" s="47"/>
      <c r="BD716" s="47"/>
      <c r="BE716" s="47"/>
      <c r="BF716" s="47"/>
    </row>
    <row r="717" spans="1:58" hidden="1">
      <c r="A717" s="46" t="s">
        <v>291</v>
      </c>
      <c r="B717" s="46" t="s">
        <v>73</v>
      </c>
      <c r="C717" s="47">
        <v>15</v>
      </c>
      <c r="D717" s="47">
        <v>15</v>
      </c>
      <c r="E717" s="47">
        <v>14</v>
      </c>
      <c r="F717" s="47">
        <v>14</v>
      </c>
      <c r="G717" s="47">
        <v>13</v>
      </c>
      <c r="H717" s="47">
        <v>13</v>
      </c>
      <c r="I717" s="47">
        <v>12</v>
      </c>
      <c r="J717" s="47">
        <v>12</v>
      </c>
      <c r="K717" s="47">
        <v>11</v>
      </c>
      <c r="L717" s="47">
        <v>11</v>
      </c>
      <c r="M717" s="47">
        <v>10</v>
      </c>
      <c r="N717" s="47">
        <v>23</v>
      </c>
      <c r="O717" s="47">
        <v>23</v>
      </c>
      <c r="P717" s="47">
        <v>23</v>
      </c>
      <c r="Q717" s="85">
        <v>2</v>
      </c>
      <c r="R717" s="85">
        <v>2</v>
      </c>
      <c r="S717" s="85">
        <v>2</v>
      </c>
      <c r="T717" s="85">
        <v>2</v>
      </c>
      <c r="U717" s="85">
        <v>2</v>
      </c>
      <c r="V717" s="85">
        <v>1.92</v>
      </c>
      <c r="W717" s="85">
        <v>1.92</v>
      </c>
      <c r="X717" s="85">
        <v>1.83</v>
      </c>
      <c r="Y717" s="85">
        <v>1.91</v>
      </c>
      <c r="Z717" s="85">
        <v>1.91</v>
      </c>
      <c r="AA717" s="85">
        <v>1.9</v>
      </c>
      <c r="AB717" s="85">
        <v>19.7</v>
      </c>
      <c r="AC717" s="85">
        <v>19.7</v>
      </c>
      <c r="AD717" s="85">
        <v>19.7</v>
      </c>
      <c r="AE717" s="47">
        <v>30</v>
      </c>
      <c r="AF717" s="47">
        <v>30</v>
      </c>
      <c r="AG717" s="47">
        <v>28</v>
      </c>
      <c r="AH717" s="47">
        <v>28</v>
      </c>
      <c r="AI717" s="47">
        <v>26</v>
      </c>
      <c r="AJ717" s="47">
        <v>25</v>
      </c>
      <c r="AK717" s="47">
        <v>23</v>
      </c>
      <c r="AL717" s="47">
        <v>22</v>
      </c>
      <c r="AM717" s="47">
        <v>21</v>
      </c>
      <c r="AN717" s="47">
        <v>21</v>
      </c>
      <c r="AO717" s="47">
        <v>19</v>
      </c>
      <c r="AP717" s="47">
        <v>453</v>
      </c>
      <c r="AQ717" s="47">
        <v>453</v>
      </c>
      <c r="AR717" s="47">
        <v>453</v>
      </c>
      <c r="AS717" s="47"/>
      <c r="AT717" s="47"/>
      <c r="AU717" s="47"/>
      <c r="AV717" s="47"/>
      <c r="AW717" s="47"/>
      <c r="AX717" s="47"/>
      <c r="AY717" s="47"/>
      <c r="AZ717" s="47"/>
      <c r="BA717" s="47"/>
      <c r="BB717" s="47"/>
      <c r="BC717" s="47"/>
      <c r="BD717" s="47"/>
      <c r="BE717" s="47"/>
      <c r="BF717" s="47"/>
    </row>
    <row r="718" spans="1:58" hidden="1">
      <c r="A718" s="46" t="s">
        <v>291</v>
      </c>
      <c r="B718" s="46" t="s">
        <v>74</v>
      </c>
      <c r="C718" s="47">
        <v>0</v>
      </c>
      <c r="D718" s="47">
        <v>0</v>
      </c>
      <c r="E718" s="47">
        <v>0</v>
      </c>
      <c r="F718" s="47">
        <v>0</v>
      </c>
      <c r="G718" s="47">
        <v>0</v>
      </c>
      <c r="H718" s="47">
        <v>0</v>
      </c>
      <c r="I718" s="47">
        <v>0</v>
      </c>
      <c r="J718" s="47">
        <v>0</v>
      </c>
      <c r="K718" s="47">
        <v>0</v>
      </c>
      <c r="L718" s="47">
        <v>0</v>
      </c>
      <c r="M718" s="47">
        <v>0</v>
      </c>
      <c r="N718" s="47">
        <v>0</v>
      </c>
      <c r="O718" s="47">
        <v>0</v>
      </c>
      <c r="P718" s="47">
        <v>0</v>
      </c>
      <c r="Q718" s="85"/>
      <c r="R718" s="85"/>
      <c r="S718" s="85"/>
      <c r="T718" s="85"/>
      <c r="U718" s="85"/>
      <c r="V718" s="85"/>
      <c r="W718" s="85"/>
      <c r="X718" s="85"/>
      <c r="Y718" s="85"/>
      <c r="Z718" s="85"/>
      <c r="AA718" s="85"/>
      <c r="AB718" s="85"/>
      <c r="AC718" s="85"/>
      <c r="AD718" s="85"/>
      <c r="AE718" s="47">
        <v>0</v>
      </c>
      <c r="AF718" s="47">
        <v>0</v>
      </c>
      <c r="AG718" s="47">
        <v>0</v>
      </c>
      <c r="AH718" s="47">
        <v>0</v>
      </c>
      <c r="AI718" s="47">
        <v>0</v>
      </c>
      <c r="AJ718" s="47">
        <v>0</v>
      </c>
      <c r="AK718" s="47">
        <v>0</v>
      </c>
      <c r="AL718" s="47">
        <v>0</v>
      </c>
      <c r="AM718" s="47">
        <v>0</v>
      </c>
      <c r="AN718" s="47">
        <v>0</v>
      </c>
      <c r="AO718" s="47">
        <v>0</v>
      </c>
      <c r="AP718" s="47">
        <v>0</v>
      </c>
      <c r="AQ718" s="47">
        <v>0</v>
      </c>
      <c r="AR718" s="47">
        <v>0</v>
      </c>
      <c r="AS718" s="47"/>
      <c r="AT718" s="47"/>
      <c r="AU718" s="47"/>
      <c r="AV718" s="47"/>
      <c r="AW718" s="47"/>
      <c r="AX718" s="47"/>
      <c r="AY718" s="47"/>
      <c r="AZ718" s="47"/>
      <c r="BA718" s="47"/>
      <c r="BB718" s="47"/>
      <c r="BC718" s="47"/>
      <c r="BD718" s="47"/>
      <c r="BE718" s="47"/>
      <c r="BF718" s="47"/>
    </row>
    <row r="719" spans="1:58" hidden="1">
      <c r="A719" s="46" t="s">
        <v>291</v>
      </c>
      <c r="B719" s="46" t="s">
        <v>75</v>
      </c>
      <c r="C719" s="47">
        <v>6</v>
      </c>
      <c r="D719" s="47">
        <v>6</v>
      </c>
      <c r="E719" s="47">
        <v>5</v>
      </c>
      <c r="F719" s="47">
        <v>5</v>
      </c>
      <c r="G719" s="47">
        <v>4</v>
      </c>
      <c r="H719" s="47">
        <v>4</v>
      </c>
      <c r="I719" s="47">
        <v>4</v>
      </c>
      <c r="J719" s="47">
        <v>3</v>
      </c>
      <c r="K719" s="47">
        <v>3</v>
      </c>
      <c r="L719" s="47">
        <v>2</v>
      </c>
      <c r="M719" s="47">
        <v>2</v>
      </c>
      <c r="N719" s="47">
        <v>2</v>
      </c>
      <c r="O719" s="47">
        <v>2</v>
      </c>
      <c r="P719" s="47">
        <v>2</v>
      </c>
      <c r="Q719" s="85">
        <v>24</v>
      </c>
      <c r="R719" s="85">
        <v>20</v>
      </c>
      <c r="S719" s="85">
        <v>20</v>
      </c>
      <c r="T719" s="85">
        <v>20</v>
      </c>
      <c r="U719" s="85">
        <v>20</v>
      </c>
      <c r="V719" s="85">
        <v>19</v>
      </c>
      <c r="W719" s="85">
        <v>19.5</v>
      </c>
      <c r="X719" s="85">
        <v>18.670000000000002</v>
      </c>
      <c r="Y719" s="85">
        <v>19.329999999999998</v>
      </c>
      <c r="Z719" s="85">
        <v>19.5</v>
      </c>
      <c r="AA719" s="85">
        <v>10</v>
      </c>
      <c r="AB719" s="85">
        <v>10</v>
      </c>
      <c r="AC719" s="85">
        <v>10</v>
      </c>
      <c r="AD719" s="85">
        <v>10</v>
      </c>
      <c r="AE719" s="47">
        <v>144</v>
      </c>
      <c r="AF719" s="47">
        <v>120</v>
      </c>
      <c r="AG719" s="47">
        <v>100</v>
      </c>
      <c r="AH719" s="47">
        <v>100</v>
      </c>
      <c r="AI719" s="47">
        <v>80</v>
      </c>
      <c r="AJ719" s="47">
        <v>76</v>
      </c>
      <c r="AK719" s="47">
        <v>78</v>
      </c>
      <c r="AL719" s="47">
        <v>56</v>
      </c>
      <c r="AM719" s="47">
        <v>58</v>
      </c>
      <c r="AN719" s="47">
        <v>39</v>
      </c>
      <c r="AO719" s="47">
        <v>20</v>
      </c>
      <c r="AP719" s="47">
        <v>20</v>
      </c>
      <c r="AQ719" s="47">
        <v>20</v>
      </c>
      <c r="AR719" s="47">
        <v>20</v>
      </c>
      <c r="AS719" s="47"/>
      <c r="AT719" s="47"/>
      <c r="AU719" s="47"/>
      <c r="AV719" s="47"/>
      <c r="AW719" s="47"/>
      <c r="AX719" s="47"/>
      <c r="AY719" s="47"/>
      <c r="AZ719" s="47"/>
      <c r="BA719" s="47"/>
      <c r="BB719" s="47"/>
      <c r="BC719" s="47"/>
      <c r="BD719" s="47"/>
      <c r="BE719" s="47"/>
      <c r="BF719" s="47"/>
    </row>
    <row r="720" spans="1:58" hidden="1">
      <c r="A720" s="46" t="s">
        <v>291</v>
      </c>
      <c r="B720" s="46" t="s">
        <v>76</v>
      </c>
      <c r="C720" s="47">
        <v>0</v>
      </c>
      <c r="D720" s="47">
        <v>0</v>
      </c>
      <c r="E720" s="47">
        <v>0</v>
      </c>
      <c r="F720" s="47">
        <v>0</v>
      </c>
      <c r="G720" s="47">
        <v>0</v>
      </c>
      <c r="H720" s="47">
        <v>0</v>
      </c>
      <c r="I720" s="47">
        <v>0</v>
      </c>
      <c r="J720" s="47">
        <v>0</v>
      </c>
      <c r="K720" s="47">
        <v>0</v>
      </c>
      <c r="L720" s="47">
        <v>0</v>
      </c>
      <c r="M720" s="47">
        <v>0</v>
      </c>
      <c r="N720" s="47">
        <v>0</v>
      </c>
      <c r="O720" s="47">
        <v>0</v>
      </c>
      <c r="P720" s="47">
        <v>0</v>
      </c>
      <c r="Q720" s="85"/>
      <c r="R720" s="85"/>
      <c r="S720" s="85"/>
      <c r="T720" s="85"/>
      <c r="U720" s="85"/>
      <c r="V720" s="85"/>
      <c r="W720" s="85"/>
      <c r="X720" s="85"/>
      <c r="Y720" s="85"/>
      <c r="Z720" s="85"/>
      <c r="AA720" s="85"/>
      <c r="AB720" s="85"/>
      <c r="AC720" s="85"/>
      <c r="AD720" s="85"/>
      <c r="AE720" s="47">
        <v>0</v>
      </c>
      <c r="AF720" s="47">
        <v>0</v>
      </c>
      <c r="AG720" s="47">
        <v>0</v>
      </c>
      <c r="AH720" s="47">
        <v>0</v>
      </c>
      <c r="AI720" s="47">
        <v>0</v>
      </c>
      <c r="AJ720" s="47">
        <v>0</v>
      </c>
      <c r="AK720" s="47">
        <v>0</v>
      </c>
      <c r="AL720" s="47">
        <v>0</v>
      </c>
      <c r="AM720" s="47">
        <v>0</v>
      </c>
      <c r="AN720" s="47">
        <v>0</v>
      </c>
      <c r="AO720" s="47">
        <v>0</v>
      </c>
      <c r="AP720" s="47">
        <v>0</v>
      </c>
      <c r="AQ720" s="47">
        <v>0</v>
      </c>
      <c r="AR720" s="47">
        <v>0</v>
      </c>
      <c r="AS720" s="47"/>
      <c r="AT720" s="47"/>
      <c r="AU720" s="47"/>
      <c r="AV720" s="47"/>
      <c r="AW720" s="47"/>
      <c r="AX720" s="47"/>
      <c r="AY720" s="47"/>
      <c r="AZ720" s="47"/>
      <c r="BA720" s="47"/>
      <c r="BB720" s="47"/>
      <c r="BC720" s="47"/>
      <c r="BD720" s="47"/>
      <c r="BE720" s="47"/>
      <c r="BF720" s="47"/>
    </row>
    <row r="721" spans="1:58" hidden="1">
      <c r="A721" s="46" t="s">
        <v>291</v>
      </c>
      <c r="B721" s="46" t="s">
        <v>77</v>
      </c>
      <c r="C721" s="47">
        <v>0</v>
      </c>
      <c r="D721" s="47">
        <v>0</v>
      </c>
      <c r="E721" s="47">
        <v>0</v>
      </c>
      <c r="F721" s="47">
        <v>0</v>
      </c>
      <c r="G721" s="47">
        <v>0</v>
      </c>
      <c r="H721" s="47">
        <v>0</v>
      </c>
      <c r="I721" s="47">
        <v>0</v>
      </c>
      <c r="J721" s="47">
        <v>0</v>
      </c>
      <c r="K721" s="47">
        <v>0</v>
      </c>
      <c r="L721" s="47">
        <v>0</v>
      </c>
      <c r="M721" s="47">
        <v>0</v>
      </c>
      <c r="N721" s="47">
        <v>0</v>
      </c>
      <c r="O721" s="47">
        <v>0</v>
      </c>
      <c r="P721" s="47">
        <v>0</v>
      </c>
      <c r="Q721" s="85"/>
      <c r="R721" s="85"/>
      <c r="S721" s="85"/>
      <c r="T721" s="85"/>
      <c r="U721" s="85"/>
      <c r="V721" s="85"/>
      <c r="W721" s="85"/>
      <c r="X721" s="85"/>
      <c r="Y721" s="85"/>
      <c r="Z721" s="85"/>
      <c r="AA721" s="85"/>
      <c r="AB721" s="85"/>
      <c r="AC721" s="85"/>
      <c r="AD721" s="85"/>
      <c r="AE721" s="47">
        <v>0</v>
      </c>
      <c r="AF721" s="47">
        <v>0</v>
      </c>
      <c r="AG721" s="47">
        <v>0</v>
      </c>
      <c r="AH721" s="47">
        <v>0</v>
      </c>
      <c r="AI721" s="47">
        <v>0</v>
      </c>
      <c r="AJ721" s="47">
        <v>0</v>
      </c>
      <c r="AK721" s="47">
        <v>0</v>
      </c>
      <c r="AL721" s="47">
        <v>0</v>
      </c>
      <c r="AM721" s="47">
        <v>0</v>
      </c>
      <c r="AN721" s="47">
        <v>0</v>
      </c>
      <c r="AO721" s="47">
        <v>0</v>
      </c>
      <c r="AP721" s="47">
        <v>0</v>
      </c>
      <c r="AQ721" s="47">
        <v>0</v>
      </c>
      <c r="AR721" s="47">
        <v>0</v>
      </c>
      <c r="AS721" s="47"/>
      <c r="AT721" s="47"/>
      <c r="AU721" s="47"/>
      <c r="AV721" s="47"/>
      <c r="AW721" s="47"/>
      <c r="AX721" s="47"/>
      <c r="AY721" s="47"/>
      <c r="AZ721" s="47"/>
      <c r="BA721" s="47"/>
      <c r="BB721" s="47"/>
      <c r="BC721" s="47"/>
      <c r="BD721" s="47"/>
      <c r="BE721" s="47"/>
      <c r="BF721" s="47"/>
    </row>
    <row r="722" spans="1:58" hidden="1">
      <c r="A722" s="46" t="s">
        <v>291</v>
      </c>
      <c r="B722" s="46" t="s">
        <v>78</v>
      </c>
      <c r="C722" s="47">
        <v>0</v>
      </c>
      <c r="D722" s="47">
        <v>0</v>
      </c>
      <c r="E722" s="47">
        <v>0</v>
      </c>
      <c r="F722" s="47">
        <v>0</v>
      </c>
      <c r="G722" s="47">
        <v>0</v>
      </c>
      <c r="H722" s="47">
        <v>0</v>
      </c>
      <c r="I722" s="47">
        <v>0</v>
      </c>
      <c r="J722" s="47">
        <v>0</v>
      </c>
      <c r="K722" s="47">
        <v>0</v>
      </c>
      <c r="L722" s="47">
        <v>0</v>
      </c>
      <c r="M722" s="47">
        <v>0</v>
      </c>
      <c r="N722" s="47">
        <v>0</v>
      </c>
      <c r="O722" s="47">
        <v>0</v>
      </c>
      <c r="P722" s="47">
        <v>0</v>
      </c>
      <c r="Q722" s="85"/>
      <c r="R722" s="85"/>
      <c r="S722" s="85"/>
      <c r="T722" s="85"/>
      <c r="U722" s="85"/>
      <c r="V722" s="85"/>
      <c r="W722" s="85"/>
      <c r="X722" s="85"/>
      <c r="Y722" s="85"/>
      <c r="Z722" s="85"/>
      <c r="AA722" s="85"/>
      <c r="AB722" s="85"/>
      <c r="AC722" s="85"/>
      <c r="AD722" s="85"/>
      <c r="AE722" s="47">
        <v>0</v>
      </c>
      <c r="AF722" s="47">
        <v>0</v>
      </c>
      <c r="AG722" s="47">
        <v>0</v>
      </c>
      <c r="AH722" s="47">
        <v>0</v>
      </c>
      <c r="AI722" s="47">
        <v>0</v>
      </c>
      <c r="AJ722" s="47">
        <v>0</v>
      </c>
      <c r="AK722" s="47">
        <v>0</v>
      </c>
      <c r="AL722" s="47">
        <v>0</v>
      </c>
      <c r="AM722" s="47">
        <v>0</v>
      </c>
      <c r="AN722" s="47">
        <v>0</v>
      </c>
      <c r="AO722" s="47">
        <v>0</v>
      </c>
      <c r="AP722" s="47">
        <v>0</v>
      </c>
      <c r="AQ722" s="47">
        <v>0</v>
      </c>
      <c r="AR722" s="47">
        <v>0</v>
      </c>
      <c r="AS722" s="47"/>
      <c r="AT722" s="47"/>
      <c r="AU722" s="47"/>
      <c r="AV722" s="47"/>
      <c r="AW722" s="47"/>
      <c r="AX722" s="47"/>
      <c r="AY722" s="47"/>
      <c r="AZ722" s="47"/>
      <c r="BA722" s="47"/>
      <c r="BB722" s="47"/>
      <c r="BC722" s="47"/>
      <c r="BD722" s="47"/>
      <c r="BE722" s="47"/>
      <c r="BF722" s="47"/>
    </row>
    <row r="723" spans="1:58" hidden="1">
      <c r="A723" s="46" t="s">
        <v>291</v>
      </c>
      <c r="B723" s="46" t="s">
        <v>79</v>
      </c>
      <c r="C723" s="47">
        <v>0</v>
      </c>
      <c r="D723" s="47">
        <v>0</v>
      </c>
      <c r="E723" s="47">
        <v>0</v>
      </c>
      <c r="F723" s="47">
        <v>0</v>
      </c>
      <c r="G723" s="47">
        <v>0</v>
      </c>
      <c r="H723" s="47">
        <v>0</v>
      </c>
      <c r="I723" s="47">
        <v>0</v>
      </c>
      <c r="J723" s="47">
        <v>0</v>
      </c>
      <c r="K723" s="47">
        <v>0</v>
      </c>
      <c r="L723" s="47">
        <v>0</v>
      </c>
      <c r="M723" s="47">
        <v>0</v>
      </c>
      <c r="N723" s="47">
        <v>0</v>
      </c>
      <c r="O723" s="47">
        <v>0</v>
      </c>
      <c r="P723" s="47">
        <v>0</v>
      </c>
      <c r="Q723" s="85"/>
      <c r="R723" s="85"/>
      <c r="S723" s="85"/>
      <c r="T723" s="85"/>
      <c r="U723" s="85"/>
      <c r="V723" s="85"/>
      <c r="W723" s="85"/>
      <c r="X723" s="85"/>
      <c r="Y723" s="85"/>
      <c r="Z723" s="85"/>
      <c r="AA723" s="85"/>
      <c r="AB723" s="85"/>
      <c r="AC723" s="85"/>
      <c r="AD723" s="85"/>
      <c r="AE723" s="47">
        <v>0</v>
      </c>
      <c r="AF723" s="47">
        <v>0</v>
      </c>
      <c r="AG723" s="47">
        <v>0</v>
      </c>
      <c r="AH723" s="47">
        <v>0</v>
      </c>
      <c r="AI723" s="47">
        <v>0</v>
      </c>
      <c r="AJ723" s="47">
        <v>0</v>
      </c>
      <c r="AK723" s="47">
        <v>0</v>
      </c>
      <c r="AL723" s="47">
        <v>0</v>
      </c>
      <c r="AM723" s="47">
        <v>0</v>
      </c>
      <c r="AN723" s="47">
        <v>0</v>
      </c>
      <c r="AO723" s="47">
        <v>0</v>
      </c>
      <c r="AP723" s="47">
        <v>0</v>
      </c>
      <c r="AQ723" s="47">
        <v>0</v>
      </c>
      <c r="AR723" s="47">
        <v>0</v>
      </c>
      <c r="AS723" s="47"/>
      <c r="AT723" s="47"/>
      <c r="AU723" s="47"/>
      <c r="AV723" s="47"/>
      <c r="AW723" s="47"/>
      <c r="AX723" s="47"/>
      <c r="AY723" s="47"/>
      <c r="AZ723" s="47"/>
      <c r="BA723" s="47"/>
      <c r="BB723" s="47"/>
      <c r="BC723" s="47"/>
      <c r="BD723" s="47"/>
      <c r="BE723" s="47"/>
      <c r="BF723" s="47"/>
    </row>
    <row r="724" spans="1:58" hidden="1">
      <c r="A724" s="46" t="s">
        <v>291</v>
      </c>
      <c r="B724" s="46" t="s">
        <v>80</v>
      </c>
      <c r="C724" s="47">
        <v>0</v>
      </c>
      <c r="D724" s="47">
        <v>0</v>
      </c>
      <c r="E724" s="47">
        <v>0</v>
      </c>
      <c r="F724" s="47">
        <v>0</v>
      </c>
      <c r="G724" s="47">
        <v>0</v>
      </c>
      <c r="H724" s="47">
        <v>0</v>
      </c>
      <c r="I724" s="47">
        <v>0</v>
      </c>
      <c r="J724" s="47">
        <v>0</v>
      </c>
      <c r="K724" s="47">
        <v>0</v>
      </c>
      <c r="L724" s="47">
        <v>0</v>
      </c>
      <c r="M724" s="47">
        <v>0</v>
      </c>
      <c r="N724" s="47">
        <v>0</v>
      </c>
      <c r="O724" s="47">
        <v>0</v>
      </c>
      <c r="P724" s="47">
        <v>0</v>
      </c>
      <c r="Q724" s="85"/>
      <c r="R724" s="85"/>
      <c r="S724" s="85"/>
      <c r="T724" s="85"/>
      <c r="U724" s="85"/>
      <c r="V724" s="85"/>
      <c r="W724" s="85"/>
      <c r="X724" s="85"/>
      <c r="Y724" s="85"/>
      <c r="Z724" s="85"/>
      <c r="AA724" s="85"/>
      <c r="AB724" s="85"/>
      <c r="AC724" s="85"/>
      <c r="AD724" s="85"/>
      <c r="AE724" s="47">
        <v>0</v>
      </c>
      <c r="AF724" s="47">
        <v>0</v>
      </c>
      <c r="AG724" s="47">
        <v>0</v>
      </c>
      <c r="AH724" s="47">
        <v>0</v>
      </c>
      <c r="AI724" s="47">
        <v>0</v>
      </c>
      <c r="AJ724" s="47">
        <v>0</v>
      </c>
      <c r="AK724" s="47">
        <v>0</v>
      </c>
      <c r="AL724" s="47">
        <v>0</v>
      </c>
      <c r="AM724" s="47">
        <v>0</v>
      </c>
      <c r="AN724" s="47">
        <v>0</v>
      </c>
      <c r="AO724" s="47">
        <v>0</v>
      </c>
      <c r="AP724" s="47">
        <v>0</v>
      </c>
      <c r="AQ724" s="47">
        <v>0</v>
      </c>
      <c r="AR724" s="47">
        <v>0</v>
      </c>
      <c r="AS724" s="47"/>
      <c r="AT724" s="47"/>
      <c r="AU724" s="47"/>
      <c r="AV724" s="47"/>
      <c r="AW724" s="47"/>
      <c r="AX724" s="47"/>
      <c r="AY724" s="47"/>
      <c r="AZ724" s="47"/>
      <c r="BA724" s="47"/>
      <c r="BB724" s="47"/>
      <c r="BC724" s="47"/>
      <c r="BD724" s="47"/>
      <c r="BE724" s="47"/>
      <c r="BF724" s="47"/>
    </row>
    <row r="725" spans="1:58" hidden="1">
      <c r="A725" s="46" t="s">
        <v>291</v>
      </c>
      <c r="B725" s="46" t="s">
        <v>81</v>
      </c>
      <c r="C725" s="47">
        <v>0</v>
      </c>
      <c r="D725" s="47">
        <v>0</v>
      </c>
      <c r="E725" s="47">
        <v>0</v>
      </c>
      <c r="F725" s="47">
        <v>0</v>
      </c>
      <c r="G725" s="47">
        <v>0</v>
      </c>
      <c r="H725" s="47">
        <v>0</v>
      </c>
      <c r="I725" s="47">
        <v>0</v>
      </c>
      <c r="J725" s="47">
        <v>0</v>
      </c>
      <c r="K725" s="47">
        <v>0</v>
      </c>
      <c r="L725" s="47">
        <v>0</v>
      </c>
      <c r="M725" s="47">
        <v>13</v>
      </c>
      <c r="N725" s="47">
        <v>0</v>
      </c>
      <c r="O725" s="47">
        <v>0</v>
      </c>
      <c r="P725" s="47">
        <v>0</v>
      </c>
      <c r="Q725" s="85"/>
      <c r="R725" s="85"/>
      <c r="S725" s="85"/>
      <c r="T725" s="85"/>
      <c r="U725" s="85"/>
      <c r="V725" s="85"/>
      <c r="W725" s="85"/>
      <c r="X725" s="85"/>
      <c r="Y725" s="85"/>
      <c r="Z725" s="85"/>
      <c r="AA725" s="85"/>
      <c r="AB725" s="85"/>
      <c r="AC725" s="85"/>
      <c r="AD725" s="85"/>
      <c r="AE725" s="47">
        <v>0</v>
      </c>
      <c r="AF725" s="47">
        <v>0</v>
      </c>
      <c r="AG725" s="47">
        <v>0</v>
      </c>
      <c r="AH725" s="47">
        <v>0</v>
      </c>
      <c r="AI725" s="47">
        <v>0</v>
      </c>
      <c r="AJ725" s="47">
        <v>0</v>
      </c>
      <c r="AK725" s="47">
        <v>0</v>
      </c>
      <c r="AL725" s="47">
        <v>0</v>
      </c>
      <c r="AM725" s="47">
        <v>0</v>
      </c>
      <c r="AN725" s="47">
        <v>0</v>
      </c>
      <c r="AO725" s="47">
        <v>253</v>
      </c>
      <c r="AP725" s="47">
        <v>0</v>
      </c>
      <c r="AQ725" s="47">
        <v>0</v>
      </c>
      <c r="AR725" s="47">
        <v>0</v>
      </c>
      <c r="AS725" s="47"/>
      <c r="AT725" s="47"/>
      <c r="AU725" s="47"/>
      <c r="AV725" s="47"/>
      <c r="AW725" s="47"/>
      <c r="AX725" s="47"/>
      <c r="AY725" s="47"/>
      <c r="AZ725" s="47"/>
      <c r="BA725" s="47"/>
      <c r="BB725" s="47"/>
      <c r="BC725" s="47"/>
      <c r="BD725" s="47"/>
      <c r="BE725" s="47"/>
      <c r="BF725" s="47"/>
    </row>
    <row r="726" spans="1:58" hidden="1">
      <c r="A726" s="46" t="s">
        <v>291</v>
      </c>
      <c r="B726" s="46" t="s">
        <v>82</v>
      </c>
      <c r="C726" s="47">
        <v>21</v>
      </c>
      <c r="D726" s="47">
        <v>21</v>
      </c>
      <c r="E726" s="47">
        <v>19</v>
      </c>
      <c r="F726" s="47">
        <v>19</v>
      </c>
      <c r="G726" s="47">
        <v>17</v>
      </c>
      <c r="H726" s="47">
        <v>17</v>
      </c>
      <c r="I726" s="47">
        <v>16</v>
      </c>
      <c r="J726" s="47">
        <v>15</v>
      </c>
      <c r="K726" s="47">
        <v>14</v>
      </c>
      <c r="L726" s="47">
        <v>13</v>
      </c>
      <c r="M726" s="47">
        <v>25</v>
      </c>
      <c r="N726" s="47">
        <v>25</v>
      </c>
      <c r="O726" s="47">
        <v>25</v>
      </c>
      <c r="P726" s="47">
        <v>25</v>
      </c>
      <c r="Q726" s="85">
        <v>8.2899999999999991</v>
      </c>
      <c r="R726" s="85">
        <v>7.14</v>
      </c>
      <c r="S726" s="85">
        <v>6.74</v>
      </c>
      <c r="T726" s="85">
        <v>6.74</v>
      </c>
      <c r="U726" s="85">
        <v>6.24</v>
      </c>
      <c r="V726" s="85">
        <v>5.94</v>
      </c>
      <c r="W726" s="85">
        <v>6.31</v>
      </c>
      <c r="X726" s="85">
        <v>5.2</v>
      </c>
      <c r="Y726" s="85">
        <v>5.64</v>
      </c>
      <c r="Z726" s="85">
        <v>4.62</v>
      </c>
      <c r="AA726" s="85">
        <v>11.68</v>
      </c>
      <c r="AB726" s="85">
        <v>18.920000000000002</v>
      </c>
      <c r="AC726" s="85">
        <v>18.920000000000002</v>
      </c>
      <c r="AD726" s="85">
        <v>18.920000000000002</v>
      </c>
      <c r="AE726" s="47">
        <v>174</v>
      </c>
      <c r="AF726" s="47">
        <v>150</v>
      </c>
      <c r="AG726" s="47">
        <v>128</v>
      </c>
      <c r="AH726" s="47">
        <v>128</v>
      </c>
      <c r="AI726" s="47">
        <v>106</v>
      </c>
      <c r="AJ726" s="47">
        <v>101</v>
      </c>
      <c r="AK726" s="47">
        <v>101</v>
      </c>
      <c r="AL726" s="47">
        <v>78</v>
      </c>
      <c r="AM726" s="47">
        <v>79</v>
      </c>
      <c r="AN726" s="47">
        <v>60</v>
      </c>
      <c r="AO726" s="47">
        <v>292</v>
      </c>
      <c r="AP726" s="47">
        <v>473</v>
      </c>
      <c r="AQ726" s="47">
        <v>473</v>
      </c>
      <c r="AR726" s="47">
        <v>473</v>
      </c>
      <c r="AS726" s="47"/>
      <c r="AT726" s="47"/>
      <c r="AU726" s="47"/>
      <c r="AV726" s="47"/>
      <c r="AW726" s="47"/>
      <c r="AX726" s="47"/>
      <c r="AY726" s="47"/>
      <c r="AZ726" s="47"/>
      <c r="BA726" s="47"/>
      <c r="BB726" s="47"/>
      <c r="BC726" s="47"/>
      <c r="BD726" s="47"/>
      <c r="BE726" s="47"/>
      <c r="BF726" s="47"/>
    </row>
    <row r="727" spans="1:58" hidden="1">
      <c r="A727" s="46" t="s">
        <v>292</v>
      </c>
      <c r="B727" s="46" t="s">
        <v>251</v>
      </c>
      <c r="C727" s="47">
        <v>0</v>
      </c>
      <c r="D727" s="47">
        <v>0</v>
      </c>
      <c r="E727" s="47">
        <v>0</v>
      </c>
      <c r="F727" s="47">
        <v>0</v>
      </c>
      <c r="G727" s="47">
        <v>0</v>
      </c>
      <c r="H727" s="47">
        <v>0</v>
      </c>
      <c r="I727" s="47">
        <v>0</v>
      </c>
      <c r="J727" s="47">
        <v>0</v>
      </c>
      <c r="K727" s="47">
        <v>0</v>
      </c>
      <c r="L727" s="47">
        <v>0</v>
      </c>
      <c r="M727" s="47">
        <v>0</v>
      </c>
      <c r="N727" s="47">
        <v>0</v>
      </c>
      <c r="O727" s="47">
        <v>0</v>
      </c>
      <c r="P727" s="47">
        <v>0</v>
      </c>
      <c r="Q727" s="85"/>
      <c r="R727" s="85"/>
      <c r="S727" s="85"/>
      <c r="T727" s="85"/>
      <c r="U727" s="85"/>
      <c r="V727" s="85"/>
      <c r="W727" s="85"/>
      <c r="X727" s="85"/>
      <c r="Y727" s="85"/>
      <c r="Z727" s="85"/>
      <c r="AA727" s="85"/>
      <c r="AB727" s="85"/>
      <c r="AC727" s="85"/>
      <c r="AD727" s="85"/>
      <c r="AE727" s="47">
        <v>0</v>
      </c>
      <c r="AF727" s="47">
        <v>0</v>
      </c>
      <c r="AG727" s="47">
        <v>0</v>
      </c>
      <c r="AH727" s="47">
        <v>0</v>
      </c>
      <c r="AI727" s="47">
        <v>0</v>
      </c>
      <c r="AJ727" s="47">
        <v>0</v>
      </c>
      <c r="AK727" s="47">
        <v>0</v>
      </c>
      <c r="AL727" s="47">
        <v>0</v>
      </c>
      <c r="AM727" s="47">
        <v>0</v>
      </c>
      <c r="AN727" s="47">
        <v>0</v>
      </c>
      <c r="AO727" s="47">
        <v>0</v>
      </c>
      <c r="AP727" s="47">
        <v>0</v>
      </c>
      <c r="AQ727" s="47">
        <v>0</v>
      </c>
      <c r="AR727" s="47">
        <v>0</v>
      </c>
      <c r="AS727" s="47"/>
      <c r="AT727" s="47"/>
      <c r="AU727" s="47"/>
      <c r="AV727" s="47"/>
      <c r="AW727" s="47"/>
      <c r="AX727" s="47"/>
      <c r="AY727" s="47"/>
      <c r="AZ727" s="47"/>
      <c r="BA727" s="47"/>
      <c r="BB727" s="47"/>
      <c r="BC727" s="47"/>
      <c r="BD727" s="47"/>
      <c r="BE727" s="47"/>
      <c r="BF727" s="47"/>
    </row>
    <row r="728" spans="1:58" hidden="1">
      <c r="A728" s="46" t="s">
        <v>292</v>
      </c>
      <c r="B728" s="46" t="s">
        <v>252</v>
      </c>
      <c r="C728" s="47">
        <v>0</v>
      </c>
      <c r="D728" s="47">
        <v>0</v>
      </c>
      <c r="E728" s="47">
        <v>0</v>
      </c>
      <c r="F728" s="47">
        <v>0</v>
      </c>
      <c r="G728" s="47">
        <v>0</v>
      </c>
      <c r="H728" s="47">
        <v>0</v>
      </c>
      <c r="I728" s="47">
        <v>0</v>
      </c>
      <c r="J728" s="47">
        <v>0</v>
      </c>
      <c r="K728" s="47">
        <v>0</v>
      </c>
      <c r="L728" s="47">
        <v>0</v>
      </c>
      <c r="M728" s="47">
        <v>0</v>
      </c>
      <c r="N728" s="47">
        <v>0</v>
      </c>
      <c r="O728" s="47">
        <v>0</v>
      </c>
      <c r="P728" s="47">
        <v>0</v>
      </c>
      <c r="Q728" s="85"/>
      <c r="R728" s="85"/>
      <c r="S728" s="85"/>
      <c r="T728" s="85"/>
      <c r="U728" s="85"/>
      <c r="V728" s="85"/>
      <c r="W728" s="85"/>
      <c r="X728" s="85"/>
      <c r="Y728" s="85"/>
      <c r="Z728" s="85"/>
      <c r="AA728" s="85"/>
      <c r="AB728" s="85"/>
      <c r="AC728" s="85"/>
      <c r="AD728" s="85"/>
      <c r="AE728" s="47">
        <v>0</v>
      </c>
      <c r="AF728" s="47">
        <v>0</v>
      </c>
      <c r="AG728" s="47">
        <v>0</v>
      </c>
      <c r="AH728" s="47">
        <v>0</v>
      </c>
      <c r="AI728" s="47">
        <v>0</v>
      </c>
      <c r="AJ728" s="47">
        <v>0</v>
      </c>
      <c r="AK728" s="47">
        <v>0</v>
      </c>
      <c r="AL728" s="47">
        <v>0</v>
      </c>
      <c r="AM728" s="47">
        <v>0</v>
      </c>
      <c r="AN728" s="47">
        <v>0</v>
      </c>
      <c r="AO728" s="47">
        <v>0</v>
      </c>
      <c r="AP728" s="47">
        <v>0</v>
      </c>
      <c r="AQ728" s="47">
        <v>0</v>
      </c>
      <c r="AR728" s="47">
        <v>0</v>
      </c>
      <c r="AS728" s="47"/>
      <c r="AT728" s="47"/>
      <c r="AU728" s="47"/>
      <c r="AV728" s="47"/>
      <c r="AW728" s="47"/>
      <c r="AX728" s="47"/>
      <c r="AY728" s="47"/>
      <c r="AZ728" s="47"/>
      <c r="BA728" s="47"/>
      <c r="BB728" s="47"/>
      <c r="BC728" s="47"/>
      <c r="BD728" s="47"/>
      <c r="BE728" s="47"/>
      <c r="BF728" s="47"/>
    </row>
    <row r="729" spans="1:58" hidden="1">
      <c r="A729" s="46" t="s">
        <v>292</v>
      </c>
      <c r="B729" s="46" t="s">
        <v>253</v>
      </c>
      <c r="C729" s="47">
        <v>0</v>
      </c>
      <c r="D729" s="47">
        <v>0</v>
      </c>
      <c r="E729" s="47">
        <v>0</v>
      </c>
      <c r="F729" s="47">
        <v>0</v>
      </c>
      <c r="G729" s="47">
        <v>0</v>
      </c>
      <c r="H729" s="47">
        <v>0</v>
      </c>
      <c r="I729" s="47">
        <v>0</v>
      </c>
      <c r="J729" s="47">
        <v>0</v>
      </c>
      <c r="K729" s="47">
        <v>0</v>
      </c>
      <c r="L729" s="47">
        <v>0</v>
      </c>
      <c r="M729" s="47">
        <v>0</v>
      </c>
      <c r="N729" s="47">
        <v>0</v>
      </c>
      <c r="O729" s="47">
        <v>0</v>
      </c>
      <c r="P729" s="47">
        <v>0</v>
      </c>
      <c r="Q729" s="85"/>
      <c r="R729" s="85"/>
      <c r="S729" s="85"/>
      <c r="T729" s="85"/>
      <c r="U729" s="85"/>
      <c r="V729" s="85"/>
      <c r="W729" s="85"/>
      <c r="X729" s="85"/>
      <c r="Y729" s="85"/>
      <c r="Z729" s="85"/>
      <c r="AA729" s="85"/>
      <c r="AB729" s="85"/>
      <c r="AC729" s="85"/>
      <c r="AD729" s="85"/>
      <c r="AE729" s="47">
        <v>0</v>
      </c>
      <c r="AF729" s="47">
        <v>0</v>
      </c>
      <c r="AG729" s="47">
        <v>0</v>
      </c>
      <c r="AH729" s="47">
        <v>0</v>
      </c>
      <c r="AI729" s="47">
        <v>0</v>
      </c>
      <c r="AJ729" s="47">
        <v>0</v>
      </c>
      <c r="AK729" s="47">
        <v>0</v>
      </c>
      <c r="AL729" s="47">
        <v>0</v>
      </c>
      <c r="AM729" s="47">
        <v>0</v>
      </c>
      <c r="AN729" s="47">
        <v>0</v>
      </c>
      <c r="AO729" s="47">
        <v>0</v>
      </c>
      <c r="AP729" s="47">
        <v>0</v>
      </c>
      <c r="AQ729" s="47">
        <v>0</v>
      </c>
      <c r="AR729" s="47">
        <v>0</v>
      </c>
      <c r="AS729" s="47"/>
      <c r="AT729" s="47"/>
      <c r="AU729" s="47"/>
      <c r="AV729" s="47"/>
      <c r="AW729" s="47"/>
      <c r="AX729" s="47"/>
      <c r="AY729" s="47"/>
      <c r="AZ729" s="47"/>
      <c r="BA729" s="47"/>
      <c r="BB729" s="47"/>
      <c r="BC729" s="47"/>
      <c r="BD729" s="47"/>
      <c r="BE729" s="47"/>
      <c r="BF729" s="47"/>
    </row>
    <row r="730" spans="1:58" hidden="1">
      <c r="A730" s="46" t="s">
        <v>292</v>
      </c>
      <c r="B730" s="46" t="s">
        <v>254</v>
      </c>
      <c r="C730" s="47">
        <v>0</v>
      </c>
      <c r="D730" s="47">
        <v>0</v>
      </c>
      <c r="E730" s="47">
        <v>0</v>
      </c>
      <c r="F730" s="47">
        <v>0</v>
      </c>
      <c r="G730" s="47">
        <v>0</v>
      </c>
      <c r="H730" s="47">
        <v>0</v>
      </c>
      <c r="I730" s="47">
        <v>0</v>
      </c>
      <c r="J730" s="47">
        <v>0</v>
      </c>
      <c r="K730" s="47">
        <v>0</v>
      </c>
      <c r="L730" s="47">
        <v>0</v>
      </c>
      <c r="M730" s="47">
        <v>0</v>
      </c>
      <c r="N730" s="47">
        <v>0</v>
      </c>
      <c r="O730" s="47">
        <v>0</v>
      </c>
      <c r="P730" s="47">
        <v>0</v>
      </c>
      <c r="Q730" s="85"/>
      <c r="R730" s="85"/>
      <c r="S730" s="85"/>
      <c r="T730" s="85"/>
      <c r="U730" s="85"/>
      <c r="V730" s="85"/>
      <c r="W730" s="85"/>
      <c r="X730" s="85"/>
      <c r="Y730" s="85"/>
      <c r="Z730" s="85"/>
      <c r="AA730" s="85"/>
      <c r="AB730" s="85"/>
      <c r="AC730" s="85"/>
      <c r="AD730" s="85"/>
      <c r="AE730" s="47">
        <v>0</v>
      </c>
      <c r="AF730" s="47">
        <v>0</v>
      </c>
      <c r="AG730" s="47">
        <v>0</v>
      </c>
      <c r="AH730" s="47">
        <v>0</v>
      </c>
      <c r="AI730" s="47">
        <v>0</v>
      </c>
      <c r="AJ730" s="47">
        <v>0</v>
      </c>
      <c r="AK730" s="47">
        <v>0</v>
      </c>
      <c r="AL730" s="47">
        <v>0</v>
      </c>
      <c r="AM730" s="47">
        <v>0</v>
      </c>
      <c r="AN730" s="47">
        <v>0</v>
      </c>
      <c r="AO730" s="47">
        <v>0</v>
      </c>
      <c r="AP730" s="47">
        <v>0</v>
      </c>
      <c r="AQ730" s="47">
        <v>0</v>
      </c>
      <c r="AR730" s="47">
        <v>0</v>
      </c>
      <c r="AS730" s="47"/>
      <c r="AT730" s="47"/>
      <c r="AU730" s="47"/>
      <c r="AV730" s="47"/>
      <c r="AW730" s="47"/>
      <c r="AX730" s="47"/>
      <c r="AY730" s="47"/>
      <c r="AZ730" s="47"/>
      <c r="BA730" s="47"/>
      <c r="BB730" s="47"/>
      <c r="BC730" s="47"/>
      <c r="BD730" s="47"/>
      <c r="BE730" s="47"/>
      <c r="BF730" s="47"/>
    </row>
    <row r="731" spans="1:58" hidden="1">
      <c r="A731" s="46" t="s">
        <v>292</v>
      </c>
      <c r="B731" s="46" t="s">
        <v>255</v>
      </c>
      <c r="C731" s="47">
        <v>0</v>
      </c>
      <c r="D731" s="47">
        <v>0</v>
      </c>
      <c r="E731" s="47">
        <v>0</v>
      </c>
      <c r="F731" s="47">
        <v>0</v>
      </c>
      <c r="G731" s="47">
        <v>0</v>
      </c>
      <c r="H731" s="47">
        <v>0</v>
      </c>
      <c r="I731" s="47">
        <v>0</v>
      </c>
      <c r="J731" s="47">
        <v>0</v>
      </c>
      <c r="K731" s="47">
        <v>0</v>
      </c>
      <c r="L731" s="47">
        <v>0</v>
      </c>
      <c r="M731" s="47">
        <v>0</v>
      </c>
      <c r="N731" s="47">
        <v>0</v>
      </c>
      <c r="O731" s="47">
        <v>0</v>
      </c>
      <c r="P731" s="47">
        <v>0</v>
      </c>
      <c r="Q731" s="85"/>
      <c r="R731" s="85"/>
      <c r="S731" s="85"/>
      <c r="T731" s="85"/>
      <c r="U731" s="85"/>
      <c r="V731" s="85"/>
      <c r="W731" s="85"/>
      <c r="X731" s="85"/>
      <c r="Y731" s="85"/>
      <c r="Z731" s="85"/>
      <c r="AA731" s="85"/>
      <c r="AB731" s="85"/>
      <c r="AC731" s="85"/>
      <c r="AD731" s="85"/>
      <c r="AE731" s="47">
        <v>0</v>
      </c>
      <c r="AF731" s="47">
        <v>0</v>
      </c>
      <c r="AG731" s="47">
        <v>0</v>
      </c>
      <c r="AH731" s="47">
        <v>0</v>
      </c>
      <c r="AI731" s="47">
        <v>0</v>
      </c>
      <c r="AJ731" s="47">
        <v>0</v>
      </c>
      <c r="AK731" s="47">
        <v>0</v>
      </c>
      <c r="AL731" s="47">
        <v>0</v>
      </c>
      <c r="AM731" s="47">
        <v>0</v>
      </c>
      <c r="AN731" s="47">
        <v>0</v>
      </c>
      <c r="AO731" s="47">
        <v>0</v>
      </c>
      <c r="AP731" s="47">
        <v>0</v>
      </c>
      <c r="AQ731" s="47">
        <v>0</v>
      </c>
      <c r="AR731" s="47">
        <v>0</v>
      </c>
      <c r="AS731" s="47"/>
      <c r="AT731" s="47"/>
      <c r="AU731" s="47"/>
      <c r="AV731" s="47"/>
      <c r="AW731" s="47"/>
      <c r="AX731" s="47"/>
      <c r="AY731" s="47"/>
      <c r="AZ731" s="47"/>
      <c r="BA731" s="47"/>
      <c r="BB731" s="47"/>
      <c r="BC731" s="47"/>
      <c r="BD731" s="47"/>
      <c r="BE731" s="47"/>
      <c r="BF731" s="47"/>
    </row>
    <row r="732" spans="1:58" hidden="1">
      <c r="A732" s="46" t="s">
        <v>292</v>
      </c>
      <c r="B732" s="46" t="s">
        <v>256</v>
      </c>
      <c r="C732" s="47">
        <v>0</v>
      </c>
      <c r="D732" s="47">
        <v>0</v>
      </c>
      <c r="E732" s="47">
        <v>0</v>
      </c>
      <c r="F732" s="47">
        <v>0</v>
      </c>
      <c r="G732" s="47">
        <v>0</v>
      </c>
      <c r="H732" s="47">
        <v>0</v>
      </c>
      <c r="I732" s="47">
        <v>0</v>
      </c>
      <c r="J732" s="47">
        <v>0</v>
      </c>
      <c r="K732" s="47">
        <v>0</v>
      </c>
      <c r="L732" s="47">
        <v>0</v>
      </c>
      <c r="M732" s="47">
        <v>0</v>
      </c>
      <c r="N732" s="47">
        <v>0</v>
      </c>
      <c r="O732" s="47">
        <v>0</v>
      </c>
      <c r="P732" s="47">
        <v>0</v>
      </c>
      <c r="Q732" s="85"/>
      <c r="R732" s="85"/>
      <c r="S732" s="85"/>
      <c r="T732" s="85"/>
      <c r="U732" s="85"/>
      <c r="V732" s="85"/>
      <c r="W732" s="85"/>
      <c r="X732" s="85"/>
      <c r="Y732" s="85"/>
      <c r="Z732" s="85"/>
      <c r="AA732" s="85"/>
      <c r="AB732" s="85"/>
      <c r="AC732" s="85"/>
      <c r="AD732" s="85"/>
      <c r="AE732" s="47">
        <v>0</v>
      </c>
      <c r="AF732" s="47">
        <v>0</v>
      </c>
      <c r="AG732" s="47">
        <v>0</v>
      </c>
      <c r="AH732" s="47">
        <v>0</v>
      </c>
      <c r="AI732" s="47">
        <v>0</v>
      </c>
      <c r="AJ732" s="47">
        <v>0</v>
      </c>
      <c r="AK732" s="47">
        <v>0</v>
      </c>
      <c r="AL732" s="47">
        <v>0</v>
      </c>
      <c r="AM732" s="47">
        <v>0</v>
      </c>
      <c r="AN732" s="47">
        <v>0</v>
      </c>
      <c r="AO732" s="47">
        <v>0</v>
      </c>
      <c r="AP732" s="47">
        <v>0</v>
      </c>
      <c r="AQ732" s="47">
        <v>0</v>
      </c>
      <c r="AR732" s="47">
        <v>0</v>
      </c>
      <c r="AS732" s="47"/>
      <c r="AT732" s="47"/>
      <c r="AU732" s="47"/>
      <c r="AV732" s="47"/>
      <c r="AW732" s="47"/>
      <c r="AX732" s="47"/>
      <c r="AY732" s="47"/>
      <c r="AZ732" s="47"/>
      <c r="BA732" s="47"/>
      <c r="BB732" s="47"/>
      <c r="BC732" s="47"/>
      <c r="BD732" s="47"/>
      <c r="BE732" s="47"/>
      <c r="BF732" s="47"/>
    </row>
    <row r="733" spans="1:58" hidden="1">
      <c r="A733" s="46" t="s">
        <v>292</v>
      </c>
      <c r="B733" s="46" t="s">
        <v>257</v>
      </c>
      <c r="C733" s="47">
        <v>0</v>
      </c>
      <c r="D733" s="47">
        <v>0</v>
      </c>
      <c r="E733" s="47">
        <v>0</v>
      </c>
      <c r="F733" s="47">
        <v>0</v>
      </c>
      <c r="G733" s="47">
        <v>0</v>
      </c>
      <c r="H733" s="47">
        <v>0</v>
      </c>
      <c r="I733" s="47">
        <v>0</v>
      </c>
      <c r="J733" s="47">
        <v>0</v>
      </c>
      <c r="K733" s="47">
        <v>0</v>
      </c>
      <c r="L733" s="47">
        <v>0</v>
      </c>
      <c r="M733" s="47">
        <v>0</v>
      </c>
      <c r="N733" s="47">
        <v>0</v>
      </c>
      <c r="O733" s="47">
        <v>0</v>
      </c>
      <c r="P733" s="47">
        <v>0</v>
      </c>
      <c r="Q733" s="85"/>
      <c r="R733" s="85"/>
      <c r="S733" s="85"/>
      <c r="T733" s="85"/>
      <c r="U733" s="85"/>
      <c r="V733" s="85"/>
      <c r="W733" s="85"/>
      <c r="X733" s="85"/>
      <c r="Y733" s="85"/>
      <c r="Z733" s="85"/>
      <c r="AA733" s="85"/>
      <c r="AB733" s="85"/>
      <c r="AC733" s="85"/>
      <c r="AD733" s="85"/>
      <c r="AE733" s="47">
        <v>0</v>
      </c>
      <c r="AF733" s="47">
        <v>0</v>
      </c>
      <c r="AG733" s="47">
        <v>0</v>
      </c>
      <c r="AH733" s="47">
        <v>0</v>
      </c>
      <c r="AI733" s="47">
        <v>0</v>
      </c>
      <c r="AJ733" s="47">
        <v>0</v>
      </c>
      <c r="AK733" s="47">
        <v>0</v>
      </c>
      <c r="AL733" s="47">
        <v>0</v>
      </c>
      <c r="AM733" s="47">
        <v>0</v>
      </c>
      <c r="AN733" s="47">
        <v>0</v>
      </c>
      <c r="AO733" s="47">
        <v>0</v>
      </c>
      <c r="AP733" s="47">
        <v>0</v>
      </c>
      <c r="AQ733" s="47">
        <v>0</v>
      </c>
      <c r="AR733" s="47">
        <v>0</v>
      </c>
      <c r="AS733" s="47"/>
      <c r="AT733" s="47"/>
      <c r="AU733" s="47"/>
      <c r="AV733" s="47"/>
      <c r="AW733" s="47"/>
      <c r="AX733" s="47"/>
      <c r="AY733" s="47"/>
      <c r="AZ733" s="47"/>
      <c r="BA733" s="47"/>
      <c r="BB733" s="47"/>
      <c r="BC733" s="47"/>
      <c r="BD733" s="47"/>
      <c r="BE733" s="47"/>
      <c r="BF733" s="47"/>
    </row>
    <row r="734" spans="1:58" hidden="1">
      <c r="A734" s="46" t="s">
        <v>292</v>
      </c>
      <c r="B734" s="46" t="s">
        <v>258</v>
      </c>
      <c r="C734" s="47">
        <v>0</v>
      </c>
      <c r="D734" s="47">
        <v>0</v>
      </c>
      <c r="E734" s="47">
        <v>0</v>
      </c>
      <c r="F734" s="47">
        <v>0</v>
      </c>
      <c r="G734" s="47">
        <v>0</v>
      </c>
      <c r="H734" s="47">
        <v>0</v>
      </c>
      <c r="I734" s="47">
        <v>0</v>
      </c>
      <c r="J734" s="47">
        <v>0</v>
      </c>
      <c r="K734" s="47">
        <v>0</v>
      </c>
      <c r="L734" s="47">
        <v>0</v>
      </c>
      <c r="M734" s="47">
        <v>0</v>
      </c>
      <c r="N734" s="47">
        <v>0</v>
      </c>
      <c r="O734" s="47">
        <v>0</v>
      </c>
      <c r="P734" s="47">
        <v>0</v>
      </c>
      <c r="Q734" s="85"/>
      <c r="R734" s="85"/>
      <c r="S734" s="85"/>
      <c r="T734" s="85"/>
      <c r="U734" s="85"/>
      <c r="V734" s="85"/>
      <c r="W734" s="85"/>
      <c r="X734" s="85"/>
      <c r="Y734" s="85"/>
      <c r="Z734" s="85"/>
      <c r="AA734" s="85"/>
      <c r="AB734" s="85"/>
      <c r="AC734" s="85"/>
      <c r="AD734" s="85"/>
      <c r="AE734" s="47">
        <v>0</v>
      </c>
      <c r="AF734" s="47">
        <v>0</v>
      </c>
      <c r="AG734" s="47">
        <v>0</v>
      </c>
      <c r="AH734" s="47">
        <v>0</v>
      </c>
      <c r="AI734" s="47">
        <v>0</v>
      </c>
      <c r="AJ734" s="47">
        <v>0</v>
      </c>
      <c r="AK734" s="47">
        <v>0</v>
      </c>
      <c r="AL734" s="47">
        <v>0</v>
      </c>
      <c r="AM734" s="47">
        <v>0</v>
      </c>
      <c r="AN734" s="47">
        <v>0</v>
      </c>
      <c r="AO734" s="47">
        <v>0</v>
      </c>
      <c r="AP734" s="47">
        <v>0</v>
      </c>
      <c r="AQ734" s="47">
        <v>0</v>
      </c>
      <c r="AR734" s="47">
        <v>0</v>
      </c>
      <c r="AS734" s="47"/>
      <c r="AT734" s="47"/>
      <c r="AU734" s="47"/>
      <c r="AV734" s="47"/>
      <c r="AW734" s="47"/>
      <c r="AX734" s="47"/>
      <c r="AY734" s="47"/>
      <c r="AZ734" s="47"/>
      <c r="BA734" s="47"/>
      <c r="BB734" s="47"/>
      <c r="BC734" s="47"/>
      <c r="BD734" s="47"/>
      <c r="BE734" s="47"/>
      <c r="BF734" s="47"/>
    </row>
    <row r="735" spans="1:58" hidden="1">
      <c r="A735" s="46" t="s">
        <v>292</v>
      </c>
      <c r="B735" s="46" t="s">
        <v>259</v>
      </c>
      <c r="C735" s="47">
        <v>0</v>
      </c>
      <c r="D735" s="47">
        <v>0</v>
      </c>
      <c r="E735" s="47">
        <v>0</v>
      </c>
      <c r="F735" s="47">
        <v>0</v>
      </c>
      <c r="G735" s="47">
        <v>0</v>
      </c>
      <c r="H735" s="47">
        <v>0</v>
      </c>
      <c r="I735" s="47">
        <v>0</v>
      </c>
      <c r="J735" s="47">
        <v>0</v>
      </c>
      <c r="K735" s="47">
        <v>0</v>
      </c>
      <c r="L735" s="47">
        <v>0</v>
      </c>
      <c r="M735" s="47">
        <v>0</v>
      </c>
      <c r="N735" s="47">
        <v>0</v>
      </c>
      <c r="O735" s="47">
        <v>0</v>
      </c>
      <c r="P735" s="47">
        <v>0</v>
      </c>
      <c r="Q735" s="85"/>
      <c r="R735" s="85"/>
      <c r="S735" s="85"/>
      <c r="T735" s="85"/>
      <c r="U735" s="85"/>
      <c r="V735" s="85"/>
      <c r="W735" s="85"/>
      <c r="X735" s="85"/>
      <c r="Y735" s="85"/>
      <c r="Z735" s="85"/>
      <c r="AA735" s="85"/>
      <c r="AB735" s="85"/>
      <c r="AC735" s="85"/>
      <c r="AD735" s="85"/>
      <c r="AE735" s="47">
        <v>0</v>
      </c>
      <c r="AF735" s="47">
        <v>0</v>
      </c>
      <c r="AG735" s="47">
        <v>0</v>
      </c>
      <c r="AH735" s="47">
        <v>0</v>
      </c>
      <c r="AI735" s="47">
        <v>0</v>
      </c>
      <c r="AJ735" s="47">
        <v>0</v>
      </c>
      <c r="AK735" s="47">
        <v>0</v>
      </c>
      <c r="AL735" s="47">
        <v>0</v>
      </c>
      <c r="AM735" s="47">
        <v>0</v>
      </c>
      <c r="AN735" s="47">
        <v>0</v>
      </c>
      <c r="AO735" s="47">
        <v>0</v>
      </c>
      <c r="AP735" s="47">
        <v>0</v>
      </c>
      <c r="AQ735" s="47">
        <v>0</v>
      </c>
      <c r="AR735" s="47">
        <v>0</v>
      </c>
      <c r="AS735" s="47"/>
      <c r="AT735" s="47"/>
      <c r="AU735" s="47"/>
      <c r="AV735" s="47"/>
      <c r="AW735" s="47"/>
      <c r="AX735" s="47"/>
      <c r="AY735" s="47"/>
      <c r="AZ735" s="47"/>
      <c r="BA735" s="47"/>
      <c r="BB735" s="47"/>
      <c r="BC735" s="47"/>
      <c r="BD735" s="47"/>
      <c r="BE735" s="47"/>
      <c r="BF735" s="47"/>
    </row>
    <row r="736" spans="1:58" hidden="1">
      <c r="A736" s="46" t="s">
        <v>292</v>
      </c>
      <c r="B736" s="46" t="s">
        <v>260</v>
      </c>
      <c r="C736" s="47">
        <v>0</v>
      </c>
      <c r="D736" s="47">
        <v>0</v>
      </c>
      <c r="E736" s="47">
        <v>0</v>
      </c>
      <c r="F736" s="47">
        <v>0</v>
      </c>
      <c r="G736" s="47">
        <v>0</v>
      </c>
      <c r="H736" s="47">
        <v>0</v>
      </c>
      <c r="I736" s="47">
        <v>0</v>
      </c>
      <c r="J736" s="47">
        <v>0</v>
      </c>
      <c r="K736" s="47">
        <v>0</v>
      </c>
      <c r="L736" s="47">
        <v>0</v>
      </c>
      <c r="M736" s="47">
        <v>0</v>
      </c>
      <c r="N736" s="47">
        <v>0</v>
      </c>
      <c r="O736" s="47">
        <v>0</v>
      </c>
      <c r="P736" s="47">
        <v>0</v>
      </c>
      <c r="Q736" s="85"/>
      <c r="R736" s="85"/>
      <c r="S736" s="85"/>
      <c r="T736" s="85"/>
      <c r="U736" s="85"/>
      <c r="V736" s="85"/>
      <c r="W736" s="85"/>
      <c r="X736" s="85"/>
      <c r="Y736" s="85"/>
      <c r="Z736" s="85"/>
      <c r="AA736" s="85"/>
      <c r="AB736" s="85"/>
      <c r="AC736" s="85"/>
      <c r="AD736" s="85"/>
      <c r="AE736" s="47">
        <v>0</v>
      </c>
      <c r="AF736" s="47">
        <v>0</v>
      </c>
      <c r="AG736" s="47">
        <v>0</v>
      </c>
      <c r="AH736" s="47">
        <v>0</v>
      </c>
      <c r="AI736" s="47">
        <v>0</v>
      </c>
      <c r="AJ736" s="47">
        <v>0</v>
      </c>
      <c r="AK736" s="47">
        <v>0</v>
      </c>
      <c r="AL736" s="47">
        <v>0</v>
      </c>
      <c r="AM736" s="47">
        <v>0</v>
      </c>
      <c r="AN736" s="47">
        <v>0</v>
      </c>
      <c r="AO736" s="47">
        <v>0</v>
      </c>
      <c r="AP736" s="47">
        <v>0</v>
      </c>
      <c r="AQ736" s="47">
        <v>0</v>
      </c>
      <c r="AR736" s="47">
        <v>0</v>
      </c>
      <c r="AS736" s="47"/>
      <c r="AT736" s="47"/>
      <c r="AU736" s="47"/>
      <c r="AV736" s="47"/>
      <c r="AW736" s="47"/>
      <c r="AX736" s="47"/>
      <c r="AY736" s="47"/>
      <c r="AZ736" s="47"/>
      <c r="BA736" s="47"/>
      <c r="BB736" s="47"/>
      <c r="BC736" s="47"/>
      <c r="BD736" s="47"/>
      <c r="BE736" s="47"/>
      <c r="BF736" s="47"/>
    </row>
    <row r="737" spans="1:58" hidden="1">
      <c r="A737" s="46" t="s">
        <v>292</v>
      </c>
      <c r="B737" s="46" t="s">
        <v>261</v>
      </c>
      <c r="C737" s="47">
        <v>0</v>
      </c>
      <c r="D737" s="47">
        <v>0</v>
      </c>
      <c r="E737" s="47">
        <v>0</v>
      </c>
      <c r="F737" s="47">
        <v>0</v>
      </c>
      <c r="G737" s="47">
        <v>0</v>
      </c>
      <c r="H737" s="47">
        <v>0</v>
      </c>
      <c r="I737" s="47">
        <v>0</v>
      </c>
      <c r="J737" s="47">
        <v>0</v>
      </c>
      <c r="K737" s="47">
        <v>0</v>
      </c>
      <c r="L737" s="47">
        <v>0</v>
      </c>
      <c r="M737" s="47">
        <v>0</v>
      </c>
      <c r="N737" s="47">
        <v>0</v>
      </c>
      <c r="O737" s="47">
        <v>0</v>
      </c>
      <c r="P737" s="47">
        <v>0</v>
      </c>
      <c r="Q737" s="85"/>
      <c r="R737" s="85"/>
      <c r="S737" s="85"/>
      <c r="T737" s="85"/>
      <c r="U737" s="85"/>
      <c r="V737" s="85"/>
      <c r="W737" s="85"/>
      <c r="X737" s="85"/>
      <c r="Y737" s="85"/>
      <c r="Z737" s="85"/>
      <c r="AA737" s="85"/>
      <c r="AB737" s="85"/>
      <c r="AC737" s="85"/>
      <c r="AD737" s="85"/>
      <c r="AE737" s="47">
        <v>0</v>
      </c>
      <c r="AF737" s="47">
        <v>0</v>
      </c>
      <c r="AG737" s="47">
        <v>0</v>
      </c>
      <c r="AH737" s="47">
        <v>0</v>
      </c>
      <c r="AI737" s="47">
        <v>0</v>
      </c>
      <c r="AJ737" s="47">
        <v>0</v>
      </c>
      <c r="AK737" s="47">
        <v>0</v>
      </c>
      <c r="AL737" s="47">
        <v>0</v>
      </c>
      <c r="AM737" s="47">
        <v>0</v>
      </c>
      <c r="AN737" s="47">
        <v>0</v>
      </c>
      <c r="AO737" s="47">
        <v>0</v>
      </c>
      <c r="AP737" s="47">
        <v>0</v>
      </c>
      <c r="AQ737" s="47">
        <v>0</v>
      </c>
      <c r="AR737" s="47">
        <v>0</v>
      </c>
      <c r="AS737" s="47"/>
      <c r="AT737" s="47"/>
      <c r="AU737" s="47"/>
      <c r="AV737" s="47"/>
      <c r="AW737" s="47"/>
      <c r="AX737" s="47"/>
      <c r="AY737" s="47"/>
      <c r="AZ737" s="47"/>
      <c r="BA737" s="47"/>
      <c r="BB737" s="47"/>
      <c r="BC737" s="47"/>
      <c r="BD737" s="47"/>
      <c r="BE737" s="47"/>
      <c r="BF737" s="47"/>
    </row>
    <row r="738" spans="1:58" hidden="1">
      <c r="A738" s="46" t="s">
        <v>292</v>
      </c>
      <c r="B738" s="46" t="s">
        <v>262</v>
      </c>
      <c r="C738" s="47">
        <v>0</v>
      </c>
      <c r="D738" s="47">
        <v>0</v>
      </c>
      <c r="E738" s="47">
        <v>0</v>
      </c>
      <c r="F738" s="47">
        <v>0</v>
      </c>
      <c r="G738" s="47">
        <v>0</v>
      </c>
      <c r="H738" s="47">
        <v>0</v>
      </c>
      <c r="I738" s="47">
        <v>0</v>
      </c>
      <c r="J738" s="47">
        <v>0</v>
      </c>
      <c r="K738" s="47">
        <v>0</v>
      </c>
      <c r="L738" s="47">
        <v>0</v>
      </c>
      <c r="M738" s="47">
        <v>0</v>
      </c>
      <c r="N738" s="47">
        <v>0</v>
      </c>
      <c r="O738" s="47">
        <v>0</v>
      </c>
      <c r="P738" s="47">
        <v>0</v>
      </c>
      <c r="Q738" s="85"/>
      <c r="R738" s="85"/>
      <c r="S738" s="85"/>
      <c r="T738" s="85"/>
      <c r="U738" s="85"/>
      <c r="V738" s="85"/>
      <c r="W738" s="85"/>
      <c r="X738" s="85"/>
      <c r="Y738" s="85"/>
      <c r="Z738" s="85"/>
      <c r="AA738" s="85"/>
      <c r="AB738" s="85"/>
      <c r="AC738" s="85"/>
      <c r="AD738" s="85"/>
      <c r="AE738" s="47">
        <v>0</v>
      </c>
      <c r="AF738" s="47">
        <v>0</v>
      </c>
      <c r="AG738" s="47">
        <v>0</v>
      </c>
      <c r="AH738" s="47">
        <v>0</v>
      </c>
      <c r="AI738" s="47">
        <v>0</v>
      </c>
      <c r="AJ738" s="47">
        <v>0</v>
      </c>
      <c r="AK738" s="47">
        <v>0</v>
      </c>
      <c r="AL738" s="47">
        <v>0</v>
      </c>
      <c r="AM738" s="47">
        <v>0</v>
      </c>
      <c r="AN738" s="47">
        <v>0</v>
      </c>
      <c r="AO738" s="47">
        <v>0</v>
      </c>
      <c r="AP738" s="47">
        <v>0</v>
      </c>
      <c r="AQ738" s="47">
        <v>0</v>
      </c>
      <c r="AR738" s="47">
        <v>0</v>
      </c>
      <c r="AS738" s="47"/>
      <c r="AT738" s="47"/>
      <c r="AU738" s="47"/>
      <c r="AV738" s="47"/>
      <c r="AW738" s="47"/>
      <c r="AX738" s="47"/>
      <c r="AY738" s="47"/>
      <c r="AZ738" s="47"/>
      <c r="BA738" s="47"/>
      <c r="BB738" s="47"/>
      <c r="BC738" s="47"/>
      <c r="BD738" s="47"/>
      <c r="BE738" s="47"/>
      <c r="BF738" s="47"/>
    </row>
    <row r="739" spans="1:58" hidden="1">
      <c r="A739" s="46" t="s">
        <v>292</v>
      </c>
      <c r="B739" s="46" t="s">
        <v>263</v>
      </c>
      <c r="C739" s="47">
        <v>0</v>
      </c>
      <c r="D739" s="47">
        <v>0</v>
      </c>
      <c r="E739" s="47">
        <v>0</v>
      </c>
      <c r="F739" s="47">
        <v>0</v>
      </c>
      <c r="G739" s="47">
        <v>0</v>
      </c>
      <c r="H739" s="47">
        <v>0</v>
      </c>
      <c r="I739" s="47">
        <v>0</v>
      </c>
      <c r="J739" s="47">
        <v>0</v>
      </c>
      <c r="K739" s="47">
        <v>0</v>
      </c>
      <c r="L739" s="47">
        <v>0</v>
      </c>
      <c r="M739" s="47">
        <v>0</v>
      </c>
      <c r="N739" s="47">
        <v>0</v>
      </c>
      <c r="O739" s="47">
        <v>0</v>
      </c>
      <c r="P739" s="47">
        <v>0</v>
      </c>
      <c r="Q739" s="85"/>
      <c r="R739" s="85"/>
      <c r="S739" s="85"/>
      <c r="T739" s="85"/>
      <c r="U739" s="85"/>
      <c r="V739" s="85"/>
      <c r="W739" s="85"/>
      <c r="X739" s="85"/>
      <c r="Y739" s="85"/>
      <c r="Z739" s="85"/>
      <c r="AA739" s="85"/>
      <c r="AB739" s="85"/>
      <c r="AC739" s="85"/>
      <c r="AD739" s="85"/>
      <c r="AE739" s="47">
        <v>0</v>
      </c>
      <c r="AF739" s="47">
        <v>0</v>
      </c>
      <c r="AG739" s="47">
        <v>0</v>
      </c>
      <c r="AH739" s="47">
        <v>0</v>
      </c>
      <c r="AI739" s="47">
        <v>0</v>
      </c>
      <c r="AJ739" s="47">
        <v>0</v>
      </c>
      <c r="AK739" s="47">
        <v>0</v>
      </c>
      <c r="AL739" s="47">
        <v>0</v>
      </c>
      <c r="AM739" s="47">
        <v>0</v>
      </c>
      <c r="AN739" s="47">
        <v>0</v>
      </c>
      <c r="AO739" s="47">
        <v>0</v>
      </c>
      <c r="AP739" s="47">
        <v>0</v>
      </c>
      <c r="AQ739" s="47">
        <v>0</v>
      </c>
      <c r="AR739" s="47">
        <v>0</v>
      </c>
      <c r="AS739" s="47"/>
      <c r="AT739" s="47"/>
      <c r="AU739" s="47"/>
      <c r="AV739" s="47"/>
      <c r="AW739" s="47"/>
      <c r="AX739" s="47"/>
      <c r="AY739" s="47"/>
      <c r="AZ739" s="47"/>
      <c r="BA739" s="47"/>
      <c r="BB739" s="47"/>
      <c r="BC739" s="47"/>
      <c r="BD739" s="47"/>
      <c r="BE739" s="47"/>
      <c r="BF739" s="47"/>
    </row>
    <row r="740" spans="1:58" hidden="1">
      <c r="A740" s="46" t="s">
        <v>292</v>
      </c>
      <c r="B740" s="46" t="s">
        <v>264</v>
      </c>
      <c r="C740" s="47">
        <v>0</v>
      </c>
      <c r="D740" s="47">
        <v>0</v>
      </c>
      <c r="E740" s="47">
        <v>0</v>
      </c>
      <c r="F740" s="47">
        <v>0</v>
      </c>
      <c r="G740" s="47">
        <v>0</v>
      </c>
      <c r="H740" s="47">
        <v>0</v>
      </c>
      <c r="I740" s="47">
        <v>0</v>
      </c>
      <c r="J740" s="47">
        <v>0</v>
      </c>
      <c r="K740" s="47">
        <v>0</v>
      </c>
      <c r="L740" s="47">
        <v>0</v>
      </c>
      <c r="M740" s="47">
        <v>0</v>
      </c>
      <c r="N740" s="47">
        <v>0</v>
      </c>
      <c r="O740" s="47">
        <v>0</v>
      </c>
      <c r="P740" s="47">
        <v>0</v>
      </c>
      <c r="Q740" s="85"/>
      <c r="R740" s="85"/>
      <c r="S740" s="85"/>
      <c r="T740" s="85"/>
      <c r="U740" s="85"/>
      <c r="V740" s="85"/>
      <c r="W740" s="85"/>
      <c r="X740" s="85"/>
      <c r="Y740" s="85"/>
      <c r="Z740" s="85"/>
      <c r="AA740" s="85"/>
      <c r="AB740" s="85"/>
      <c r="AC740" s="85"/>
      <c r="AD740" s="85"/>
      <c r="AE740" s="47">
        <v>0</v>
      </c>
      <c r="AF740" s="47">
        <v>0</v>
      </c>
      <c r="AG740" s="47">
        <v>0</v>
      </c>
      <c r="AH740" s="47">
        <v>0</v>
      </c>
      <c r="AI740" s="47">
        <v>0</v>
      </c>
      <c r="AJ740" s="47">
        <v>0</v>
      </c>
      <c r="AK740" s="47">
        <v>0</v>
      </c>
      <c r="AL740" s="47">
        <v>0</v>
      </c>
      <c r="AM740" s="47">
        <v>0</v>
      </c>
      <c r="AN740" s="47">
        <v>0</v>
      </c>
      <c r="AO740" s="47">
        <v>0</v>
      </c>
      <c r="AP740" s="47">
        <v>0</v>
      </c>
      <c r="AQ740" s="47">
        <v>0</v>
      </c>
      <c r="AR740" s="47">
        <v>0</v>
      </c>
      <c r="AS740" s="47"/>
      <c r="AT740" s="47"/>
      <c r="AU740" s="47"/>
      <c r="AV740" s="47"/>
      <c r="AW740" s="47"/>
      <c r="AX740" s="47"/>
      <c r="AY740" s="47"/>
      <c r="AZ740" s="47"/>
      <c r="BA740" s="47"/>
      <c r="BB740" s="47"/>
      <c r="BC740" s="47"/>
      <c r="BD740" s="47"/>
      <c r="BE740" s="47"/>
      <c r="BF740" s="47"/>
    </row>
    <row r="741" spans="1:58" hidden="1">
      <c r="A741" s="46" t="s">
        <v>292</v>
      </c>
      <c r="B741" s="46" t="s">
        <v>265</v>
      </c>
      <c r="C741" s="47">
        <v>0</v>
      </c>
      <c r="D741" s="47">
        <v>0</v>
      </c>
      <c r="E741" s="47">
        <v>0</v>
      </c>
      <c r="F741" s="47">
        <v>0</v>
      </c>
      <c r="G741" s="47">
        <v>11</v>
      </c>
      <c r="H741" s="47">
        <v>9</v>
      </c>
      <c r="I741" s="47">
        <v>1</v>
      </c>
      <c r="J741" s="47">
        <v>1</v>
      </c>
      <c r="K741" s="47">
        <v>1</v>
      </c>
      <c r="L741" s="47">
        <v>0</v>
      </c>
      <c r="M741" s="47">
        <v>0</v>
      </c>
      <c r="N741" s="47">
        <v>0</v>
      </c>
      <c r="O741" s="47">
        <v>0</v>
      </c>
      <c r="P741" s="47">
        <v>0</v>
      </c>
      <c r="Q741" s="85"/>
      <c r="R741" s="85"/>
      <c r="S741" s="85"/>
      <c r="T741" s="85"/>
      <c r="U741" s="85">
        <v>60</v>
      </c>
      <c r="V741" s="85">
        <v>60</v>
      </c>
      <c r="W741" s="85">
        <v>76</v>
      </c>
      <c r="X741" s="85">
        <v>76</v>
      </c>
      <c r="Y741" s="85">
        <v>76</v>
      </c>
      <c r="Z741" s="85"/>
      <c r="AA741" s="85"/>
      <c r="AB741" s="85"/>
      <c r="AC741" s="85"/>
      <c r="AD741" s="85"/>
      <c r="AE741" s="47">
        <v>0</v>
      </c>
      <c r="AF741" s="47">
        <v>0</v>
      </c>
      <c r="AG741" s="47">
        <v>0</v>
      </c>
      <c r="AH741" s="47">
        <v>0</v>
      </c>
      <c r="AI741" s="47">
        <v>660</v>
      </c>
      <c r="AJ741" s="47">
        <v>540</v>
      </c>
      <c r="AK741" s="47">
        <v>76</v>
      </c>
      <c r="AL741" s="47">
        <v>76</v>
      </c>
      <c r="AM741" s="47">
        <v>76</v>
      </c>
      <c r="AN741" s="47">
        <v>0</v>
      </c>
      <c r="AO741" s="47">
        <v>0</v>
      </c>
      <c r="AP741" s="47">
        <v>0</v>
      </c>
      <c r="AQ741" s="47">
        <v>0</v>
      </c>
      <c r="AR741" s="47">
        <v>0</v>
      </c>
      <c r="AS741" s="47"/>
      <c r="AT741" s="47"/>
      <c r="AU741" s="47"/>
      <c r="AV741" s="47"/>
      <c r="AW741" s="47"/>
      <c r="AX741" s="47"/>
      <c r="AY741" s="47"/>
      <c r="AZ741" s="47"/>
      <c r="BA741" s="47"/>
      <c r="BB741" s="47"/>
      <c r="BC741" s="47"/>
      <c r="BD741" s="47"/>
      <c r="BE741" s="47"/>
      <c r="BF741" s="47"/>
    </row>
    <row r="742" spans="1:58" hidden="1">
      <c r="A742" s="46" t="s">
        <v>292</v>
      </c>
      <c r="B742" s="46" t="s">
        <v>266</v>
      </c>
      <c r="C742" s="47">
        <v>0</v>
      </c>
      <c r="D742" s="47">
        <v>0</v>
      </c>
      <c r="E742" s="47">
        <v>0</v>
      </c>
      <c r="F742" s="47">
        <v>0</v>
      </c>
      <c r="G742" s="47">
        <v>1</v>
      </c>
      <c r="H742" s="47">
        <v>0</v>
      </c>
      <c r="I742" s="47">
        <v>0</v>
      </c>
      <c r="J742" s="47">
        <v>0</v>
      </c>
      <c r="K742" s="47">
        <v>0</v>
      </c>
      <c r="L742" s="47">
        <v>0</v>
      </c>
      <c r="M742" s="47">
        <v>0</v>
      </c>
      <c r="N742" s="47">
        <v>0</v>
      </c>
      <c r="O742" s="47">
        <v>0</v>
      </c>
      <c r="P742" s="47">
        <v>0</v>
      </c>
      <c r="Q742" s="85"/>
      <c r="R742" s="85"/>
      <c r="S742" s="85"/>
      <c r="T742" s="85"/>
      <c r="U742" s="85">
        <v>35</v>
      </c>
      <c r="V742" s="85"/>
      <c r="W742" s="85"/>
      <c r="X742" s="85"/>
      <c r="Y742" s="85"/>
      <c r="Z742" s="85"/>
      <c r="AA742" s="85"/>
      <c r="AB742" s="85"/>
      <c r="AC742" s="85"/>
      <c r="AD742" s="85"/>
      <c r="AE742" s="47">
        <v>0</v>
      </c>
      <c r="AF742" s="47">
        <v>0</v>
      </c>
      <c r="AG742" s="47">
        <v>0</v>
      </c>
      <c r="AH742" s="47">
        <v>0</v>
      </c>
      <c r="AI742" s="47">
        <v>35</v>
      </c>
      <c r="AJ742" s="47">
        <v>0</v>
      </c>
      <c r="AK742" s="47">
        <v>0</v>
      </c>
      <c r="AL742" s="47">
        <v>0</v>
      </c>
      <c r="AM742" s="47">
        <v>0</v>
      </c>
      <c r="AN742" s="47">
        <v>0</v>
      </c>
      <c r="AO742" s="47">
        <v>0</v>
      </c>
      <c r="AP742" s="47">
        <v>0</v>
      </c>
      <c r="AQ742" s="47">
        <v>0</v>
      </c>
      <c r="AR742" s="47">
        <v>0</v>
      </c>
      <c r="AS742" s="47"/>
      <c r="AT742" s="47"/>
      <c r="AU742" s="47"/>
      <c r="AV742" s="47"/>
      <c r="AW742" s="47"/>
      <c r="AX742" s="47"/>
      <c r="AY742" s="47"/>
      <c r="AZ742" s="47"/>
      <c r="BA742" s="47"/>
      <c r="BB742" s="47"/>
      <c r="BC742" s="47"/>
      <c r="BD742" s="47"/>
      <c r="BE742" s="47"/>
      <c r="BF742" s="47"/>
    </row>
    <row r="743" spans="1:58" hidden="1">
      <c r="A743" s="46" t="s">
        <v>292</v>
      </c>
      <c r="B743" s="46" t="s">
        <v>267</v>
      </c>
      <c r="C743" s="47">
        <v>0</v>
      </c>
      <c r="D743" s="47">
        <v>0</v>
      </c>
      <c r="E743" s="47">
        <v>0</v>
      </c>
      <c r="F743" s="47">
        <v>0</v>
      </c>
      <c r="G743" s="47">
        <v>12</v>
      </c>
      <c r="H743" s="47">
        <v>9</v>
      </c>
      <c r="I743" s="47">
        <v>1</v>
      </c>
      <c r="J743" s="47">
        <v>1</v>
      </c>
      <c r="K743" s="47">
        <v>1</v>
      </c>
      <c r="L743" s="47">
        <v>0</v>
      </c>
      <c r="M743" s="47">
        <v>0</v>
      </c>
      <c r="N743" s="47">
        <v>0</v>
      </c>
      <c r="O743" s="47">
        <v>0</v>
      </c>
      <c r="P743" s="47">
        <v>0</v>
      </c>
      <c r="Q743" s="85"/>
      <c r="R743" s="85"/>
      <c r="S743" s="85"/>
      <c r="T743" s="85"/>
      <c r="U743" s="85">
        <v>57.92</v>
      </c>
      <c r="V743" s="85">
        <v>60</v>
      </c>
      <c r="W743" s="85">
        <v>76</v>
      </c>
      <c r="X743" s="85">
        <v>76</v>
      </c>
      <c r="Y743" s="85">
        <v>76</v>
      </c>
      <c r="Z743" s="85"/>
      <c r="AA743" s="85"/>
      <c r="AB743" s="85"/>
      <c r="AC743" s="85"/>
      <c r="AD743" s="85"/>
      <c r="AE743" s="47">
        <v>0</v>
      </c>
      <c r="AF743" s="47">
        <v>0</v>
      </c>
      <c r="AG743" s="47">
        <v>0</v>
      </c>
      <c r="AH743" s="47">
        <v>0</v>
      </c>
      <c r="AI743" s="47">
        <v>695</v>
      </c>
      <c r="AJ743" s="47">
        <v>540</v>
      </c>
      <c r="AK743" s="47">
        <v>76</v>
      </c>
      <c r="AL743" s="47">
        <v>76</v>
      </c>
      <c r="AM743" s="47">
        <v>76</v>
      </c>
      <c r="AN743" s="47">
        <v>0</v>
      </c>
      <c r="AO743" s="47">
        <v>0</v>
      </c>
      <c r="AP743" s="47">
        <v>0</v>
      </c>
      <c r="AQ743" s="47">
        <v>0</v>
      </c>
      <c r="AR743" s="47">
        <v>0</v>
      </c>
      <c r="AS743" s="47"/>
      <c r="AT743" s="47"/>
      <c r="AU743" s="47"/>
      <c r="AV743" s="47"/>
      <c r="AW743" s="47"/>
      <c r="AX743" s="47"/>
      <c r="AY743" s="47"/>
      <c r="AZ743" s="47"/>
      <c r="BA743" s="47"/>
      <c r="BB743" s="47"/>
      <c r="BC743" s="47"/>
      <c r="BD743" s="47"/>
      <c r="BE743" s="47"/>
      <c r="BF743" s="47"/>
    </row>
    <row r="744" spans="1:58" hidden="1">
      <c r="A744" s="46" t="s">
        <v>292</v>
      </c>
      <c r="B744" s="46" t="s">
        <v>268</v>
      </c>
      <c r="C744" s="47">
        <v>0</v>
      </c>
      <c r="D744" s="47">
        <v>0</v>
      </c>
      <c r="E744" s="47">
        <v>0</v>
      </c>
      <c r="F744" s="47">
        <v>0</v>
      </c>
      <c r="G744" s="47">
        <v>0</v>
      </c>
      <c r="H744" s="47">
        <v>0</v>
      </c>
      <c r="I744" s="47">
        <v>0</v>
      </c>
      <c r="J744" s="47">
        <v>0</v>
      </c>
      <c r="K744" s="47">
        <v>0</v>
      </c>
      <c r="L744" s="47">
        <v>0</v>
      </c>
      <c r="M744" s="47">
        <v>0</v>
      </c>
      <c r="N744" s="47">
        <v>0</v>
      </c>
      <c r="O744" s="47">
        <v>0</v>
      </c>
      <c r="P744" s="47">
        <v>0</v>
      </c>
      <c r="Q744" s="85"/>
      <c r="R744" s="85"/>
      <c r="S744" s="85"/>
      <c r="T744" s="85"/>
      <c r="U744" s="85"/>
      <c r="V744" s="85"/>
      <c r="W744" s="85"/>
      <c r="X744" s="85"/>
      <c r="Y744" s="85"/>
      <c r="Z744" s="85"/>
      <c r="AA744" s="85"/>
      <c r="AB744" s="85"/>
      <c r="AC744" s="85"/>
      <c r="AD744" s="85"/>
      <c r="AE744" s="47">
        <v>0</v>
      </c>
      <c r="AF744" s="47">
        <v>0</v>
      </c>
      <c r="AG744" s="47">
        <v>0</v>
      </c>
      <c r="AH744" s="47">
        <v>0</v>
      </c>
      <c r="AI744" s="47">
        <v>0</v>
      </c>
      <c r="AJ744" s="47">
        <v>0</v>
      </c>
      <c r="AK744" s="47">
        <v>0</v>
      </c>
      <c r="AL744" s="47">
        <v>0</v>
      </c>
      <c r="AM744" s="47">
        <v>0</v>
      </c>
      <c r="AN744" s="47">
        <v>0</v>
      </c>
      <c r="AO744" s="47">
        <v>0</v>
      </c>
      <c r="AP744" s="47">
        <v>0</v>
      </c>
      <c r="AQ744" s="47">
        <v>0</v>
      </c>
      <c r="AR744" s="47">
        <v>0</v>
      </c>
      <c r="AS744" s="47"/>
      <c r="AT744" s="47"/>
      <c r="AU744" s="47"/>
      <c r="AV744" s="47"/>
      <c r="AW744" s="47"/>
      <c r="AX744" s="47"/>
      <c r="AY744" s="47"/>
      <c r="AZ744" s="47"/>
      <c r="BA744" s="47"/>
      <c r="BB744" s="47"/>
      <c r="BC744" s="47"/>
      <c r="BD744" s="47"/>
      <c r="BE744" s="47"/>
      <c r="BF744" s="47"/>
    </row>
    <row r="745" spans="1:58" hidden="1">
      <c r="A745" s="46" t="s">
        <v>292</v>
      </c>
      <c r="B745" s="46" t="s">
        <v>269</v>
      </c>
      <c r="C745" s="47">
        <v>0</v>
      </c>
      <c r="D745" s="47">
        <v>0</v>
      </c>
      <c r="E745" s="47">
        <v>0</v>
      </c>
      <c r="F745" s="47">
        <v>0</v>
      </c>
      <c r="G745" s="47">
        <v>0</v>
      </c>
      <c r="H745" s="47">
        <v>0</v>
      </c>
      <c r="I745" s="47">
        <v>0</v>
      </c>
      <c r="J745" s="47">
        <v>0</v>
      </c>
      <c r="K745" s="47">
        <v>0</v>
      </c>
      <c r="L745" s="47">
        <v>0</v>
      </c>
      <c r="M745" s="47">
        <v>0</v>
      </c>
      <c r="N745" s="47">
        <v>0</v>
      </c>
      <c r="O745" s="47">
        <v>0</v>
      </c>
      <c r="P745" s="47">
        <v>0</v>
      </c>
      <c r="Q745" s="85"/>
      <c r="R745" s="85"/>
      <c r="S745" s="85"/>
      <c r="T745" s="85"/>
      <c r="U745" s="85"/>
      <c r="V745" s="85"/>
      <c r="W745" s="85"/>
      <c r="X745" s="85"/>
      <c r="Y745" s="85"/>
      <c r="Z745" s="85"/>
      <c r="AA745" s="85"/>
      <c r="AB745" s="85"/>
      <c r="AC745" s="85"/>
      <c r="AD745" s="85"/>
      <c r="AE745" s="47">
        <v>0</v>
      </c>
      <c r="AF745" s="47">
        <v>0</v>
      </c>
      <c r="AG745" s="47">
        <v>0</v>
      </c>
      <c r="AH745" s="47">
        <v>0</v>
      </c>
      <c r="AI745" s="47">
        <v>0</v>
      </c>
      <c r="AJ745" s="47">
        <v>0</v>
      </c>
      <c r="AK745" s="47">
        <v>0</v>
      </c>
      <c r="AL745" s="47">
        <v>0</v>
      </c>
      <c r="AM745" s="47">
        <v>0</v>
      </c>
      <c r="AN745" s="47">
        <v>0</v>
      </c>
      <c r="AO745" s="47">
        <v>0</v>
      </c>
      <c r="AP745" s="47">
        <v>0</v>
      </c>
      <c r="AQ745" s="47">
        <v>0</v>
      </c>
      <c r="AR745" s="47">
        <v>0</v>
      </c>
      <c r="AS745" s="47"/>
      <c r="AT745" s="47"/>
      <c r="AU745" s="47"/>
      <c r="AV745" s="47"/>
      <c r="AW745" s="47"/>
      <c r="AX745" s="47"/>
      <c r="AY745" s="47"/>
      <c r="AZ745" s="47"/>
      <c r="BA745" s="47"/>
      <c r="BB745" s="47"/>
      <c r="BC745" s="47"/>
      <c r="BD745" s="47"/>
      <c r="BE745" s="47"/>
      <c r="BF745" s="47"/>
    </row>
    <row r="746" spans="1:58" hidden="1">
      <c r="A746" s="46" t="s">
        <v>292</v>
      </c>
      <c r="B746" s="46" t="s">
        <v>270</v>
      </c>
      <c r="C746" s="47">
        <v>0</v>
      </c>
      <c r="D746" s="47">
        <v>0</v>
      </c>
      <c r="E746" s="47">
        <v>0</v>
      </c>
      <c r="F746" s="47">
        <v>0</v>
      </c>
      <c r="G746" s="47">
        <v>0</v>
      </c>
      <c r="H746" s="47">
        <v>0</v>
      </c>
      <c r="I746" s="47">
        <v>3</v>
      </c>
      <c r="J746" s="47">
        <v>13</v>
      </c>
      <c r="K746" s="47">
        <v>8</v>
      </c>
      <c r="L746" s="47">
        <v>4</v>
      </c>
      <c r="M746" s="47">
        <v>0</v>
      </c>
      <c r="N746" s="47">
        <v>0</v>
      </c>
      <c r="O746" s="47">
        <v>0</v>
      </c>
      <c r="P746" s="47">
        <v>0</v>
      </c>
      <c r="Q746" s="85"/>
      <c r="R746" s="85"/>
      <c r="S746" s="85"/>
      <c r="T746" s="85"/>
      <c r="U746" s="85"/>
      <c r="V746" s="85"/>
      <c r="W746" s="85"/>
      <c r="X746" s="85"/>
      <c r="Y746" s="85"/>
      <c r="Z746" s="85"/>
      <c r="AA746" s="85"/>
      <c r="AB746" s="85"/>
      <c r="AC746" s="85"/>
      <c r="AD746" s="85"/>
      <c r="AE746" s="47">
        <v>0</v>
      </c>
      <c r="AF746" s="47">
        <v>0</v>
      </c>
      <c r="AG746" s="47">
        <v>0</v>
      </c>
      <c r="AH746" s="47">
        <v>0</v>
      </c>
      <c r="AI746" s="47">
        <v>0</v>
      </c>
      <c r="AJ746" s="47">
        <v>0</v>
      </c>
      <c r="AK746" s="47">
        <v>251</v>
      </c>
      <c r="AL746" s="47">
        <v>1086</v>
      </c>
      <c r="AM746" s="47">
        <v>669</v>
      </c>
      <c r="AN746" s="47">
        <v>334</v>
      </c>
      <c r="AO746" s="47">
        <v>0</v>
      </c>
      <c r="AP746" s="47">
        <v>0</v>
      </c>
      <c r="AQ746" s="47">
        <v>0</v>
      </c>
      <c r="AR746" s="47">
        <v>0</v>
      </c>
      <c r="AS746" s="47"/>
      <c r="AT746" s="47"/>
      <c r="AU746" s="47"/>
      <c r="AV746" s="47"/>
      <c r="AW746" s="47"/>
      <c r="AX746" s="47"/>
      <c r="AY746" s="47"/>
      <c r="AZ746" s="47"/>
      <c r="BA746" s="47"/>
      <c r="BB746" s="47"/>
      <c r="BC746" s="47"/>
      <c r="BD746" s="47"/>
      <c r="BE746" s="47"/>
      <c r="BF746" s="47"/>
    </row>
    <row r="747" spans="1:58" hidden="1">
      <c r="A747" s="46" t="s">
        <v>292</v>
      </c>
      <c r="B747" s="46" t="s">
        <v>271</v>
      </c>
      <c r="C747" s="47">
        <v>0</v>
      </c>
      <c r="D747" s="47">
        <v>0</v>
      </c>
      <c r="E747" s="47">
        <v>0</v>
      </c>
      <c r="F747" s="47">
        <v>0</v>
      </c>
      <c r="G747" s="47">
        <v>0</v>
      </c>
      <c r="H747" s="47">
        <v>0</v>
      </c>
      <c r="I747" s="47">
        <v>0</v>
      </c>
      <c r="J747" s="47">
        <v>0</v>
      </c>
      <c r="K747" s="47">
        <v>0</v>
      </c>
      <c r="L747" s="47">
        <v>0</v>
      </c>
      <c r="M747" s="47">
        <v>0</v>
      </c>
      <c r="N747" s="47">
        <v>0</v>
      </c>
      <c r="O747" s="47">
        <v>0</v>
      </c>
      <c r="P747" s="47">
        <v>0</v>
      </c>
      <c r="Q747" s="85"/>
      <c r="R747" s="85"/>
      <c r="S747" s="85"/>
      <c r="T747" s="85"/>
      <c r="U747" s="85"/>
      <c r="V747" s="85"/>
      <c r="W747" s="85"/>
      <c r="X747" s="85"/>
      <c r="Y747" s="85"/>
      <c r="Z747" s="85"/>
      <c r="AA747" s="85"/>
      <c r="AB747" s="85"/>
      <c r="AC747" s="85"/>
      <c r="AD747" s="85"/>
      <c r="AE747" s="47">
        <v>0</v>
      </c>
      <c r="AF747" s="47">
        <v>0</v>
      </c>
      <c r="AG747" s="47">
        <v>0</v>
      </c>
      <c r="AH747" s="47">
        <v>0</v>
      </c>
      <c r="AI747" s="47">
        <v>0</v>
      </c>
      <c r="AJ747" s="47">
        <v>0</v>
      </c>
      <c r="AK747" s="47">
        <v>0</v>
      </c>
      <c r="AL747" s="47">
        <v>0</v>
      </c>
      <c r="AM747" s="47">
        <v>0</v>
      </c>
      <c r="AN747" s="47">
        <v>0</v>
      </c>
      <c r="AO747" s="47">
        <v>0</v>
      </c>
      <c r="AP747" s="47">
        <v>0</v>
      </c>
      <c r="AQ747" s="47">
        <v>0</v>
      </c>
      <c r="AR747" s="47">
        <v>0</v>
      </c>
      <c r="AS747" s="47"/>
      <c r="AT747" s="47"/>
      <c r="AU747" s="47"/>
      <c r="AV747" s="47"/>
      <c r="AW747" s="47"/>
      <c r="AX747" s="47"/>
      <c r="AY747" s="47"/>
      <c r="AZ747" s="47"/>
      <c r="BA747" s="47"/>
      <c r="BB747" s="47"/>
      <c r="BC747" s="47"/>
      <c r="BD747" s="47"/>
      <c r="BE747" s="47"/>
      <c r="BF747" s="47"/>
    </row>
    <row r="748" spans="1:58" hidden="1">
      <c r="A748" s="46" t="s">
        <v>292</v>
      </c>
      <c r="B748" s="46" t="s">
        <v>272</v>
      </c>
      <c r="C748" s="47">
        <v>0</v>
      </c>
      <c r="D748" s="47">
        <v>0</v>
      </c>
      <c r="E748" s="47">
        <v>0</v>
      </c>
      <c r="F748" s="47">
        <v>0</v>
      </c>
      <c r="G748" s="47">
        <v>12</v>
      </c>
      <c r="H748" s="47">
        <v>9</v>
      </c>
      <c r="I748" s="47">
        <v>4</v>
      </c>
      <c r="J748" s="47">
        <v>14</v>
      </c>
      <c r="K748" s="47">
        <v>9</v>
      </c>
      <c r="L748" s="47">
        <v>4</v>
      </c>
      <c r="M748" s="47">
        <v>0</v>
      </c>
      <c r="N748" s="47">
        <v>0</v>
      </c>
      <c r="O748" s="47">
        <v>0</v>
      </c>
      <c r="P748" s="47">
        <v>0</v>
      </c>
      <c r="Q748" s="85"/>
      <c r="R748" s="85"/>
      <c r="S748" s="85"/>
      <c r="T748" s="85"/>
      <c r="U748" s="85">
        <v>57.92</v>
      </c>
      <c r="V748" s="85">
        <v>60</v>
      </c>
      <c r="W748" s="85">
        <v>81.75</v>
      </c>
      <c r="X748" s="85">
        <v>83</v>
      </c>
      <c r="Y748" s="85">
        <v>82.78</v>
      </c>
      <c r="Z748" s="85">
        <v>83.5</v>
      </c>
      <c r="AA748" s="85"/>
      <c r="AB748" s="85"/>
      <c r="AC748" s="85"/>
      <c r="AD748" s="85"/>
      <c r="AE748" s="47">
        <v>0</v>
      </c>
      <c r="AF748" s="47">
        <v>0</v>
      </c>
      <c r="AG748" s="47">
        <v>0</v>
      </c>
      <c r="AH748" s="47">
        <v>0</v>
      </c>
      <c r="AI748" s="47">
        <v>695</v>
      </c>
      <c r="AJ748" s="47">
        <v>540</v>
      </c>
      <c r="AK748" s="47">
        <v>327</v>
      </c>
      <c r="AL748" s="47">
        <v>1162</v>
      </c>
      <c r="AM748" s="47">
        <v>745</v>
      </c>
      <c r="AN748" s="47">
        <v>334</v>
      </c>
      <c r="AO748" s="47">
        <v>0</v>
      </c>
      <c r="AP748" s="47">
        <v>0</v>
      </c>
      <c r="AQ748" s="47">
        <v>0</v>
      </c>
      <c r="AR748" s="47">
        <v>0</v>
      </c>
      <c r="AS748" s="47"/>
      <c r="AT748" s="47"/>
      <c r="AU748" s="47"/>
      <c r="AV748" s="47"/>
      <c r="AW748" s="47"/>
      <c r="AX748" s="47"/>
      <c r="AY748" s="47"/>
      <c r="AZ748" s="47"/>
      <c r="BA748" s="47"/>
      <c r="BB748" s="47"/>
      <c r="BC748" s="47"/>
      <c r="BD748" s="47"/>
      <c r="BE748" s="47"/>
      <c r="BF748" s="47"/>
    </row>
    <row r="749" spans="1:58" hidden="1">
      <c r="A749" s="46" t="s">
        <v>292</v>
      </c>
      <c r="B749" s="46" t="s">
        <v>273</v>
      </c>
      <c r="C749" s="47">
        <v>0</v>
      </c>
      <c r="D749" s="47">
        <v>0</v>
      </c>
      <c r="E749" s="47">
        <v>0</v>
      </c>
      <c r="F749" s="47">
        <v>0</v>
      </c>
      <c r="G749" s="47">
        <v>0</v>
      </c>
      <c r="H749" s="47">
        <v>0</v>
      </c>
      <c r="I749" s="47">
        <v>0</v>
      </c>
      <c r="J749" s="47">
        <v>0</v>
      </c>
      <c r="K749" s="47">
        <v>0</v>
      </c>
      <c r="L749" s="47">
        <v>0</v>
      </c>
      <c r="M749" s="47">
        <v>0</v>
      </c>
      <c r="N749" s="47">
        <v>0</v>
      </c>
      <c r="O749" s="47">
        <v>0</v>
      </c>
      <c r="P749" s="47">
        <v>0</v>
      </c>
      <c r="Q749" s="85"/>
      <c r="R749" s="85"/>
      <c r="S749" s="85"/>
      <c r="T749" s="85"/>
      <c r="U749" s="85"/>
      <c r="V749" s="85"/>
      <c r="W749" s="85"/>
      <c r="X749" s="85"/>
      <c r="Y749" s="85"/>
      <c r="Z749" s="85"/>
      <c r="AA749" s="85"/>
      <c r="AB749" s="85"/>
      <c r="AC749" s="85"/>
      <c r="AD749" s="85"/>
      <c r="AE749" s="47">
        <v>0</v>
      </c>
      <c r="AF749" s="47">
        <v>0</v>
      </c>
      <c r="AG749" s="47">
        <v>0</v>
      </c>
      <c r="AH749" s="47">
        <v>0</v>
      </c>
      <c r="AI749" s="47">
        <v>0</v>
      </c>
      <c r="AJ749" s="47">
        <v>0</v>
      </c>
      <c r="AK749" s="47">
        <v>0</v>
      </c>
      <c r="AL749" s="47">
        <v>0</v>
      </c>
      <c r="AM749" s="47">
        <v>0</v>
      </c>
      <c r="AN749" s="47">
        <v>0</v>
      </c>
      <c r="AO749" s="47">
        <v>0</v>
      </c>
      <c r="AP749" s="47">
        <v>0</v>
      </c>
      <c r="AQ749" s="47">
        <v>0</v>
      </c>
      <c r="AR749" s="47">
        <v>0</v>
      </c>
      <c r="AS749" s="47"/>
      <c r="AT749" s="47"/>
      <c r="AU749" s="47"/>
      <c r="AV749" s="47"/>
      <c r="AW749" s="47"/>
      <c r="AX749" s="47"/>
      <c r="AY749" s="47"/>
      <c r="AZ749" s="47"/>
      <c r="BA749" s="47"/>
      <c r="BB749" s="47"/>
      <c r="BC749" s="47"/>
      <c r="BD749" s="47"/>
      <c r="BE749" s="47"/>
      <c r="BF749" s="47"/>
    </row>
    <row r="750" spans="1:58" hidden="1">
      <c r="A750" s="46" t="s">
        <v>292</v>
      </c>
      <c r="B750" s="46" t="s">
        <v>274</v>
      </c>
      <c r="C750" s="47">
        <v>0</v>
      </c>
      <c r="D750" s="47">
        <v>0</v>
      </c>
      <c r="E750" s="47">
        <v>0</v>
      </c>
      <c r="F750" s="47">
        <v>0</v>
      </c>
      <c r="G750" s="47">
        <v>0</v>
      </c>
      <c r="H750" s="47">
        <v>0</v>
      </c>
      <c r="I750" s="47">
        <v>0</v>
      </c>
      <c r="J750" s="47">
        <v>0</v>
      </c>
      <c r="K750" s="47">
        <v>0</v>
      </c>
      <c r="L750" s="47">
        <v>0</v>
      </c>
      <c r="M750" s="47">
        <v>0</v>
      </c>
      <c r="N750" s="47">
        <v>0</v>
      </c>
      <c r="O750" s="47">
        <v>0</v>
      </c>
      <c r="P750" s="47">
        <v>0</v>
      </c>
      <c r="Q750" s="85"/>
      <c r="R750" s="85"/>
      <c r="S750" s="85"/>
      <c r="T750" s="85"/>
      <c r="U750" s="85"/>
      <c r="V750" s="85"/>
      <c r="W750" s="85"/>
      <c r="X750" s="85"/>
      <c r="Y750" s="85"/>
      <c r="Z750" s="85"/>
      <c r="AA750" s="85"/>
      <c r="AB750" s="85"/>
      <c r="AC750" s="85"/>
      <c r="AD750" s="85"/>
      <c r="AE750" s="47">
        <v>0</v>
      </c>
      <c r="AF750" s="47">
        <v>0</v>
      </c>
      <c r="AG750" s="47">
        <v>0</v>
      </c>
      <c r="AH750" s="47">
        <v>0</v>
      </c>
      <c r="AI750" s="47">
        <v>0</v>
      </c>
      <c r="AJ750" s="47">
        <v>0</v>
      </c>
      <c r="AK750" s="47">
        <v>0</v>
      </c>
      <c r="AL750" s="47">
        <v>0</v>
      </c>
      <c r="AM750" s="47">
        <v>0</v>
      </c>
      <c r="AN750" s="47">
        <v>0</v>
      </c>
      <c r="AO750" s="47">
        <v>0</v>
      </c>
      <c r="AP750" s="47">
        <v>0</v>
      </c>
      <c r="AQ750" s="47">
        <v>0</v>
      </c>
      <c r="AR750" s="47">
        <v>0</v>
      </c>
      <c r="AS750" s="47"/>
      <c r="AT750" s="47"/>
      <c r="AU750" s="47"/>
      <c r="AV750" s="47"/>
      <c r="AW750" s="47"/>
      <c r="AX750" s="47"/>
      <c r="AY750" s="47"/>
      <c r="AZ750" s="47"/>
      <c r="BA750" s="47"/>
      <c r="BB750" s="47"/>
      <c r="BC750" s="47"/>
      <c r="BD750" s="47"/>
      <c r="BE750" s="47"/>
      <c r="BF750" s="47"/>
    </row>
    <row r="751" spans="1:58" hidden="1">
      <c r="A751" s="46" t="s">
        <v>292</v>
      </c>
      <c r="B751" s="46" t="s">
        <v>275</v>
      </c>
      <c r="C751" s="47">
        <v>0</v>
      </c>
      <c r="D751" s="47">
        <v>0</v>
      </c>
      <c r="E751" s="47">
        <v>0</v>
      </c>
      <c r="F751" s="47">
        <v>0</v>
      </c>
      <c r="G751" s="47">
        <v>0</v>
      </c>
      <c r="H751" s="47">
        <v>0</v>
      </c>
      <c r="I751" s="47">
        <v>0</v>
      </c>
      <c r="J751" s="47">
        <v>0</v>
      </c>
      <c r="K751" s="47">
        <v>0</v>
      </c>
      <c r="L751" s="47">
        <v>0</v>
      </c>
      <c r="M751" s="47">
        <v>0</v>
      </c>
      <c r="N751" s="47">
        <v>0</v>
      </c>
      <c r="O751" s="47">
        <v>0</v>
      </c>
      <c r="P751" s="47">
        <v>0</v>
      </c>
      <c r="Q751" s="85"/>
      <c r="R751" s="85"/>
      <c r="S751" s="85"/>
      <c r="T751" s="85"/>
      <c r="U751" s="85"/>
      <c r="V751" s="85"/>
      <c r="W751" s="85"/>
      <c r="X751" s="85"/>
      <c r="Y751" s="85"/>
      <c r="Z751" s="85"/>
      <c r="AA751" s="85"/>
      <c r="AB751" s="85"/>
      <c r="AC751" s="85"/>
      <c r="AD751" s="85"/>
      <c r="AE751" s="47">
        <v>0</v>
      </c>
      <c r="AF751" s="47">
        <v>0</v>
      </c>
      <c r="AG751" s="47">
        <v>0</v>
      </c>
      <c r="AH751" s="47">
        <v>0</v>
      </c>
      <c r="AI751" s="47">
        <v>0</v>
      </c>
      <c r="AJ751" s="47">
        <v>0</v>
      </c>
      <c r="AK751" s="47">
        <v>0</v>
      </c>
      <c r="AL751" s="47">
        <v>0</v>
      </c>
      <c r="AM751" s="47">
        <v>0</v>
      </c>
      <c r="AN751" s="47">
        <v>0</v>
      </c>
      <c r="AO751" s="47">
        <v>0</v>
      </c>
      <c r="AP751" s="47">
        <v>0</v>
      </c>
      <c r="AQ751" s="47">
        <v>0</v>
      </c>
      <c r="AR751" s="47">
        <v>0</v>
      </c>
      <c r="AS751" s="47"/>
      <c r="AT751" s="47"/>
      <c r="AU751" s="47"/>
      <c r="AV751" s="47"/>
      <c r="AW751" s="47"/>
      <c r="AX751" s="47"/>
      <c r="AY751" s="47"/>
      <c r="AZ751" s="47"/>
      <c r="BA751" s="47"/>
      <c r="BB751" s="47"/>
      <c r="BC751" s="47"/>
      <c r="BD751" s="47"/>
      <c r="BE751" s="47"/>
      <c r="BF751" s="47"/>
    </row>
    <row r="752" spans="1:58" hidden="1">
      <c r="A752" s="46" t="s">
        <v>292</v>
      </c>
      <c r="B752" s="46" t="s">
        <v>276</v>
      </c>
      <c r="C752" s="47">
        <v>0</v>
      </c>
      <c r="D752" s="47">
        <v>0</v>
      </c>
      <c r="E752" s="47">
        <v>0</v>
      </c>
      <c r="F752" s="47">
        <v>0</v>
      </c>
      <c r="G752" s="47">
        <v>12</v>
      </c>
      <c r="H752" s="47">
        <v>9</v>
      </c>
      <c r="I752" s="47">
        <v>4</v>
      </c>
      <c r="J752" s="47">
        <v>14</v>
      </c>
      <c r="K752" s="47">
        <v>9</v>
      </c>
      <c r="L752" s="47">
        <v>4</v>
      </c>
      <c r="M752" s="47">
        <v>0</v>
      </c>
      <c r="N752" s="47">
        <v>0</v>
      </c>
      <c r="O752" s="47">
        <v>0</v>
      </c>
      <c r="P752" s="47">
        <v>0</v>
      </c>
      <c r="Q752" s="85"/>
      <c r="R752" s="85"/>
      <c r="S752" s="85"/>
      <c r="T752" s="85"/>
      <c r="U752" s="85">
        <v>57.92</v>
      </c>
      <c r="V752" s="85">
        <v>60</v>
      </c>
      <c r="W752" s="85">
        <v>81.75</v>
      </c>
      <c r="X752" s="85">
        <v>83</v>
      </c>
      <c r="Y752" s="85">
        <v>82.78</v>
      </c>
      <c r="Z752" s="85">
        <v>83.5</v>
      </c>
      <c r="AA752" s="85"/>
      <c r="AB752" s="85"/>
      <c r="AC752" s="85"/>
      <c r="AD752" s="85"/>
      <c r="AE752" s="47">
        <v>0</v>
      </c>
      <c r="AF752" s="47">
        <v>0</v>
      </c>
      <c r="AG752" s="47">
        <v>0</v>
      </c>
      <c r="AH752" s="47">
        <v>0</v>
      </c>
      <c r="AI752" s="47">
        <v>695</v>
      </c>
      <c r="AJ752" s="47">
        <v>540</v>
      </c>
      <c r="AK752" s="47">
        <v>327</v>
      </c>
      <c r="AL752" s="47">
        <v>1162</v>
      </c>
      <c r="AM752" s="47">
        <v>745</v>
      </c>
      <c r="AN752" s="47">
        <v>334</v>
      </c>
      <c r="AO752" s="47">
        <v>0</v>
      </c>
      <c r="AP752" s="47">
        <v>0</v>
      </c>
      <c r="AQ752" s="47">
        <v>0</v>
      </c>
      <c r="AR752" s="47">
        <v>0</v>
      </c>
      <c r="AS752" s="47"/>
      <c r="AT752" s="47"/>
      <c r="AU752" s="47"/>
      <c r="AV752" s="47"/>
      <c r="AW752" s="47"/>
      <c r="AX752" s="47"/>
      <c r="AY752" s="47"/>
      <c r="AZ752" s="47"/>
      <c r="BA752" s="47"/>
      <c r="BB752" s="47"/>
      <c r="BC752" s="47"/>
      <c r="BD752" s="47"/>
      <c r="BE752" s="47"/>
      <c r="BF752" s="47"/>
    </row>
    <row r="753" spans="1:58" hidden="1">
      <c r="A753" s="46" t="s">
        <v>292</v>
      </c>
      <c r="B753" s="46" t="s">
        <v>277</v>
      </c>
      <c r="C753" s="47"/>
      <c r="D753" s="47"/>
      <c r="E753" s="47"/>
      <c r="F753" s="47"/>
      <c r="G753" s="47"/>
      <c r="H753" s="47"/>
      <c r="I753" s="47"/>
      <c r="J753" s="47"/>
      <c r="K753" s="47"/>
      <c r="L753" s="47"/>
      <c r="M753" s="47"/>
      <c r="N753" s="47"/>
      <c r="O753" s="47"/>
      <c r="P753" s="47"/>
      <c r="Q753" s="85"/>
      <c r="R753" s="85"/>
      <c r="S753" s="85"/>
      <c r="T753" s="85"/>
      <c r="U753" s="85"/>
      <c r="V753" s="85"/>
      <c r="W753" s="85"/>
      <c r="X753" s="85"/>
      <c r="Y753" s="85"/>
      <c r="Z753" s="85"/>
      <c r="AA753" s="85"/>
      <c r="AB753" s="85"/>
      <c r="AC753" s="85"/>
      <c r="AD753" s="85"/>
      <c r="AE753" s="47">
        <v>0</v>
      </c>
      <c r="AF753" s="47">
        <v>0</v>
      </c>
      <c r="AG753" s="47">
        <v>0</v>
      </c>
      <c r="AH753" s="47">
        <v>0</v>
      </c>
      <c r="AI753" s="47">
        <v>0</v>
      </c>
      <c r="AJ753" s="47">
        <v>0</v>
      </c>
      <c r="AK753" s="47">
        <v>0</v>
      </c>
      <c r="AL753" s="47">
        <v>0</v>
      </c>
      <c r="AM753" s="47">
        <v>0</v>
      </c>
      <c r="AN753" s="47">
        <v>0</v>
      </c>
      <c r="AO753" s="47">
        <v>0</v>
      </c>
      <c r="AP753" s="47">
        <v>0</v>
      </c>
      <c r="AQ753" s="47">
        <v>0</v>
      </c>
      <c r="AR753" s="47">
        <v>0</v>
      </c>
      <c r="AS753" s="47"/>
      <c r="AT753" s="47"/>
      <c r="AU753" s="47"/>
      <c r="AV753" s="47"/>
      <c r="AW753" s="47"/>
      <c r="AX753" s="47"/>
      <c r="AY753" s="47"/>
      <c r="AZ753" s="47"/>
      <c r="BA753" s="47"/>
      <c r="BB753" s="47"/>
      <c r="BC753" s="47"/>
      <c r="BD753" s="47"/>
      <c r="BE753" s="47"/>
      <c r="BF753" s="47"/>
    </row>
    <row r="754" spans="1:58" hidden="1">
      <c r="A754" s="46" t="s">
        <v>292</v>
      </c>
      <c r="B754" s="46" t="s">
        <v>65</v>
      </c>
      <c r="C754" s="47">
        <v>0</v>
      </c>
      <c r="D754" s="47">
        <v>0</v>
      </c>
      <c r="E754" s="47">
        <v>0</v>
      </c>
      <c r="F754" s="47">
        <v>0</v>
      </c>
      <c r="G754" s="47">
        <v>0</v>
      </c>
      <c r="H754" s="47">
        <v>0</v>
      </c>
      <c r="I754" s="47">
        <v>0</v>
      </c>
      <c r="J754" s="47">
        <v>0</v>
      </c>
      <c r="K754" s="47">
        <v>0</v>
      </c>
      <c r="L754" s="47">
        <v>0</v>
      </c>
      <c r="M754" s="47">
        <v>0</v>
      </c>
      <c r="N754" s="47">
        <v>0</v>
      </c>
      <c r="O754" s="47">
        <v>0</v>
      </c>
      <c r="P754" s="47">
        <v>0</v>
      </c>
      <c r="Q754" s="85"/>
      <c r="R754" s="85"/>
      <c r="S754" s="85"/>
      <c r="T754" s="85"/>
      <c r="U754" s="85"/>
      <c r="V754" s="85"/>
      <c r="W754" s="85"/>
      <c r="X754" s="85"/>
      <c r="Y754" s="85"/>
      <c r="Z754" s="85"/>
      <c r="AA754" s="85"/>
      <c r="AB754" s="85"/>
      <c r="AC754" s="85"/>
      <c r="AD754" s="85"/>
      <c r="AE754" s="47">
        <v>0</v>
      </c>
      <c r="AF754" s="47">
        <v>0</v>
      </c>
      <c r="AG754" s="47">
        <v>0</v>
      </c>
      <c r="AH754" s="47">
        <v>0</v>
      </c>
      <c r="AI754" s="47">
        <v>0</v>
      </c>
      <c r="AJ754" s="47">
        <v>0</v>
      </c>
      <c r="AK754" s="47">
        <v>0</v>
      </c>
      <c r="AL754" s="47">
        <v>0</v>
      </c>
      <c r="AM754" s="47">
        <v>0</v>
      </c>
      <c r="AN754" s="47">
        <v>0</v>
      </c>
      <c r="AO754" s="47">
        <v>0</v>
      </c>
      <c r="AP754" s="47">
        <v>0</v>
      </c>
      <c r="AQ754" s="47">
        <v>0</v>
      </c>
      <c r="AR754" s="47">
        <v>0</v>
      </c>
      <c r="AS754" s="47"/>
      <c r="AT754" s="47"/>
      <c r="AU754" s="47"/>
      <c r="AV754" s="47"/>
      <c r="AW754" s="47"/>
      <c r="AX754" s="47"/>
      <c r="AY754" s="47"/>
      <c r="AZ754" s="47"/>
      <c r="BA754" s="47"/>
      <c r="BB754" s="47"/>
      <c r="BC754" s="47"/>
      <c r="BD754" s="47"/>
      <c r="BE754" s="47"/>
      <c r="BF754" s="47"/>
    </row>
    <row r="755" spans="1:58" hidden="1">
      <c r="A755" s="46" t="s">
        <v>292</v>
      </c>
      <c r="B755" s="46" t="s">
        <v>66</v>
      </c>
      <c r="C755" s="47">
        <v>0</v>
      </c>
      <c r="D755" s="47">
        <v>0</v>
      </c>
      <c r="E755" s="47">
        <v>0</v>
      </c>
      <c r="F755" s="47">
        <v>0</v>
      </c>
      <c r="G755" s="47">
        <v>0</v>
      </c>
      <c r="H755" s="47">
        <v>0</v>
      </c>
      <c r="I755" s="47">
        <v>0</v>
      </c>
      <c r="J755" s="47">
        <v>0</v>
      </c>
      <c r="K755" s="47">
        <v>0</v>
      </c>
      <c r="L755" s="47">
        <v>0</v>
      </c>
      <c r="M755" s="47">
        <v>0</v>
      </c>
      <c r="N755" s="47">
        <v>0</v>
      </c>
      <c r="O755" s="47">
        <v>0</v>
      </c>
      <c r="P755" s="47">
        <v>0</v>
      </c>
      <c r="Q755" s="85"/>
      <c r="R755" s="85"/>
      <c r="S755" s="85"/>
      <c r="T755" s="85"/>
      <c r="U755" s="85"/>
      <c r="V755" s="85"/>
      <c r="W755" s="85"/>
      <c r="X755" s="85"/>
      <c r="Y755" s="85"/>
      <c r="Z755" s="85"/>
      <c r="AA755" s="85"/>
      <c r="AB755" s="85"/>
      <c r="AC755" s="85"/>
      <c r="AD755" s="85"/>
      <c r="AE755" s="47">
        <v>0</v>
      </c>
      <c r="AF755" s="47">
        <v>0</v>
      </c>
      <c r="AG755" s="47">
        <v>0</v>
      </c>
      <c r="AH755" s="47">
        <v>0</v>
      </c>
      <c r="AI755" s="47">
        <v>0</v>
      </c>
      <c r="AJ755" s="47">
        <v>0</v>
      </c>
      <c r="AK755" s="47">
        <v>0</v>
      </c>
      <c r="AL755" s="47">
        <v>0</v>
      </c>
      <c r="AM755" s="47">
        <v>0</v>
      </c>
      <c r="AN755" s="47">
        <v>0</v>
      </c>
      <c r="AO755" s="47">
        <v>0</v>
      </c>
      <c r="AP755" s="47">
        <v>0</v>
      </c>
      <c r="AQ755" s="47">
        <v>0</v>
      </c>
      <c r="AR755" s="47">
        <v>0</v>
      </c>
      <c r="AS755" s="47"/>
      <c r="AT755" s="47"/>
      <c r="AU755" s="47"/>
      <c r="AV755" s="47"/>
      <c r="AW755" s="47"/>
      <c r="AX755" s="47"/>
      <c r="AY755" s="47"/>
      <c r="AZ755" s="47"/>
      <c r="BA755" s="47"/>
      <c r="BB755" s="47"/>
      <c r="BC755" s="47"/>
      <c r="BD755" s="47"/>
      <c r="BE755" s="47"/>
      <c r="BF755" s="47"/>
    </row>
    <row r="756" spans="1:58" hidden="1">
      <c r="A756" s="46" t="s">
        <v>292</v>
      </c>
      <c r="B756" s="46" t="s">
        <v>67</v>
      </c>
      <c r="C756" s="47">
        <v>0</v>
      </c>
      <c r="D756" s="47">
        <v>0</v>
      </c>
      <c r="E756" s="47">
        <v>0</v>
      </c>
      <c r="F756" s="47">
        <v>0</v>
      </c>
      <c r="G756" s="47">
        <v>0</v>
      </c>
      <c r="H756" s="47">
        <v>0</v>
      </c>
      <c r="I756" s="47">
        <v>0</v>
      </c>
      <c r="J756" s="47">
        <v>0</v>
      </c>
      <c r="K756" s="47">
        <v>0</v>
      </c>
      <c r="L756" s="47">
        <v>0</v>
      </c>
      <c r="M756" s="47">
        <v>0</v>
      </c>
      <c r="N756" s="47">
        <v>0</v>
      </c>
      <c r="O756" s="47">
        <v>0</v>
      </c>
      <c r="P756" s="47">
        <v>0</v>
      </c>
      <c r="Q756" s="85"/>
      <c r="R756" s="85"/>
      <c r="S756" s="85"/>
      <c r="T756" s="85"/>
      <c r="U756" s="85"/>
      <c r="V756" s="85"/>
      <c r="W756" s="85"/>
      <c r="X756" s="85"/>
      <c r="Y756" s="85"/>
      <c r="Z756" s="85"/>
      <c r="AA756" s="85"/>
      <c r="AB756" s="85"/>
      <c r="AC756" s="85"/>
      <c r="AD756" s="85"/>
      <c r="AE756" s="47">
        <v>0</v>
      </c>
      <c r="AF756" s="47">
        <v>0</v>
      </c>
      <c r="AG756" s="47">
        <v>0</v>
      </c>
      <c r="AH756" s="47">
        <v>0</v>
      </c>
      <c r="AI756" s="47">
        <v>0</v>
      </c>
      <c r="AJ756" s="47">
        <v>0</v>
      </c>
      <c r="AK756" s="47">
        <v>0</v>
      </c>
      <c r="AL756" s="47">
        <v>0</v>
      </c>
      <c r="AM756" s="47">
        <v>0</v>
      </c>
      <c r="AN756" s="47">
        <v>0</v>
      </c>
      <c r="AO756" s="47">
        <v>0</v>
      </c>
      <c r="AP756" s="47">
        <v>0</v>
      </c>
      <c r="AQ756" s="47">
        <v>0</v>
      </c>
      <c r="AR756" s="47">
        <v>0</v>
      </c>
      <c r="AS756" s="47"/>
      <c r="AT756" s="47"/>
      <c r="AU756" s="47"/>
      <c r="AV756" s="47"/>
      <c r="AW756" s="47"/>
      <c r="AX756" s="47"/>
      <c r="AY756" s="47"/>
      <c r="AZ756" s="47"/>
      <c r="BA756" s="47"/>
      <c r="BB756" s="47"/>
      <c r="BC756" s="47"/>
      <c r="BD756" s="47"/>
      <c r="BE756" s="47"/>
      <c r="BF756" s="47"/>
    </row>
    <row r="757" spans="1:58" hidden="1">
      <c r="A757" s="46" t="s">
        <v>292</v>
      </c>
      <c r="B757" s="46" t="s">
        <v>68</v>
      </c>
      <c r="C757" s="47">
        <v>0</v>
      </c>
      <c r="D757" s="47">
        <v>0</v>
      </c>
      <c r="E757" s="47">
        <v>0</v>
      </c>
      <c r="F757" s="47">
        <v>0</v>
      </c>
      <c r="G757" s="47">
        <v>0</v>
      </c>
      <c r="H757" s="47">
        <v>0</v>
      </c>
      <c r="I757" s="47">
        <v>0</v>
      </c>
      <c r="J757" s="47">
        <v>0</v>
      </c>
      <c r="K757" s="47">
        <v>0</v>
      </c>
      <c r="L757" s="47">
        <v>0</v>
      </c>
      <c r="M757" s="47">
        <v>0</v>
      </c>
      <c r="N757" s="47">
        <v>0</v>
      </c>
      <c r="O757" s="47">
        <v>0</v>
      </c>
      <c r="P757" s="47">
        <v>0</v>
      </c>
      <c r="Q757" s="85"/>
      <c r="R757" s="85"/>
      <c r="S757" s="85"/>
      <c r="T757" s="85"/>
      <c r="U757" s="85"/>
      <c r="V757" s="85"/>
      <c r="W757" s="85"/>
      <c r="X757" s="85"/>
      <c r="Y757" s="85"/>
      <c r="Z757" s="85"/>
      <c r="AA757" s="85"/>
      <c r="AB757" s="85"/>
      <c r="AC757" s="85"/>
      <c r="AD757" s="85"/>
      <c r="AE757" s="47">
        <v>0</v>
      </c>
      <c r="AF757" s="47">
        <v>0</v>
      </c>
      <c r="AG757" s="47">
        <v>0</v>
      </c>
      <c r="AH757" s="47">
        <v>0</v>
      </c>
      <c r="AI757" s="47">
        <v>0</v>
      </c>
      <c r="AJ757" s="47">
        <v>0</v>
      </c>
      <c r="AK757" s="47">
        <v>0</v>
      </c>
      <c r="AL757" s="47">
        <v>0</v>
      </c>
      <c r="AM757" s="47">
        <v>0</v>
      </c>
      <c r="AN757" s="47">
        <v>0</v>
      </c>
      <c r="AO757" s="47">
        <v>0</v>
      </c>
      <c r="AP757" s="47">
        <v>0</v>
      </c>
      <c r="AQ757" s="47">
        <v>0</v>
      </c>
      <c r="AR757" s="47">
        <v>0</v>
      </c>
      <c r="AS757" s="47"/>
      <c r="AT757" s="47"/>
      <c r="AU757" s="47"/>
      <c r="AV757" s="47"/>
      <c r="AW757" s="47"/>
      <c r="AX757" s="47"/>
      <c r="AY757" s="47"/>
      <c r="AZ757" s="47"/>
      <c r="BA757" s="47"/>
      <c r="BB757" s="47"/>
      <c r="BC757" s="47"/>
      <c r="BD757" s="47"/>
      <c r="BE757" s="47"/>
      <c r="BF757" s="47"/>
    </row>
    <row r="758" spans="1:58" hidden="1">
      <c r="A758" s="46" t="s">
        <v>292</v>
      </c>
      <c r="B758" s="46" t="s">
        <v>69</v>
      </c>
      <c r="C758" s="47">
        <v>0</v>
      </c>
      <c r="D758" s="47">
        <v>0</v>
      </c>
      <c r="E758" s="47">
        <v>0</v>
      </c>
      <c r="F758" s="47">
        <v>0</v>
      </c>
      <c r="G758" s="47">
        <v>0</v>
      </c>
      <c r="H758" s="47">
        <v>0</v>
      </c>
      <c r="I758" s="47">
        <v>0</v>
      </c>
      <c r="J758" s="47">
        <v>0</v>
      </c>
      <c r="K758" s="47">
        <v>0</v>
      </c>
      <c r="L758" s="47">
        <v>0</v>
      </c>
      <c r="M758" s="47">
        <v>0</v>
      </c>
      <c r="N758" s="47">
        <v>0</v>
      </c>
      <c r="O758" s="47">
        <v>0</v>
      </c>
      <c r="P758" s="47">
        <v>0</v>
      </c>
      <c r="Q758" s="85"/>
      <c r="R758" s="85"/>
      <c r="S758" s="85"/>
      <c r="T758" s="85"/>
      <c r="U758" s="85"/>
      <c r="V758" s="85"/>
      <c r="W758" s="85"/>
      <c r="X758" s="85"/>
      <c r="Y758" s="85"/>
      <c r="Z758" s="85"/>
      <c r="AA758" s="85"/>
      <c r="AB758" s="85"/>
      <c r="AC758" s="85"/>
      <c r="AD758" s="85"/>
      <c r="AE758" s="47">
        <v>0</v>
      </c>
      <c r="AF758" s="47">
        <v>0</v>
      </c>
      <c r="AG758" s="47">
        <v>0</v>
      </c>
      <c r="AH758" s="47">
        <v>0</v>
      </c>
      <c r="AI758" s="47">
        <v>0</v>
      </c>
      <c r="AJ758" s="47">
        <v>0</v>
      </c>
      <c r="AK758" s="47">
        <v>0</v>
      </c>
      <c r="AL758" s="47">
        <v>0</v>
      </c>
      <c r="AM758" s="47">
        <v>0</v>
      </c>
      <c r="AN758" s="47">
        <v>0</v>
      </c>
      <c r="AO758" s="47">
        <v>0</v>
      </c>
      <c r="AP758" s="47">
        <v>0</v>
      </c>
      <c r="AQ758" s="47">
        <v>0</v>
      </c>
      <c r="AR758" s="47">
        <v>0</v>
      </c>
      <c r="AS758" s="47"/>
      <c r="AT758" s="47"/>
      <c r="AU758" s="47"/>
      <c r="AV758" s="47"/>
      <c r="AW758" s="47"/>
      <c r="AX758" s="47"/>
      <c r="AY758" s="47"/>
      <c r="AZ758" s="47"/>
      <c r="BA758" s="47"/>
      <c r="BB758" s="47"/>
      <c r="BC758" s="47"/>
      <c r="BD758" s="47"/>
      <c r="BE758" s="47"/>
      <c r="BF758" s="47"/>
    </row>
    <row r="759" spans="1:58" hidden="1">
      <c r="A759" s="46" t="s">
        <v>292</v>
      </c>
      <c r="B759" s="46" t="s">
        <v>70</v>
      </c>
      <c r="C759" s="47">
        <v>0</v>
      </c>
      <c r="D759" s="47">
        <v>0</v>
      </c>
      <c r="E759" s="47">
        <v>0</v>
      </c>
      <c r="F759" s="47">
        <v>0</v>
      </c>
      <c r="G759" s="47">
        <v>0</v>
      </c>
      <c r="H759" s="47">
        <v>0</v>
      </c>
      <c r="I759" s="47">
        <v>0</v>
      </c>
      <c r="J759" s="47">
        <v>0</v>
      </c>
      <c r="K759" s="47">
        <v>0</v>
      </c>
      <c r="L759" s="47">
        <v>0</v>
      </c>
      <c r="M759" s="47">
        <v>0</v>
      </c>
      <c r="N759" s="47">
        <v>0</v>
      </c>
      <c r="O759" s="47">
        <v>0</v>
      </c>
      <c r="P759" s="47">
        <v>0</v>
      </c>
      <c r="Q759" s="85"/>
      <c r="R759" s="85"/>
      <c r="S759" s="85"/>
      <c r="T759" s="85"/>
      <c r="U759" s="85"/>
      <c r="V759" s="85"/>
      <c r="W759" s="85"/>
      <c r="X759" s="85"/>
      <c r="Y759" s="85"/>
      <c r="Z759" s="85"/>
      <c r="AA759" s="85"/>
      <c r="AB759" s="85"/>
      <c r="AC759" s="85"/>
      <c r="AD759" s="85"/>
      <c r="AE759" s="47">
        <v>0</v>
      </c>
      <c r="AF759" s="47">
        <v>0</v>
      </c>
      <c r="AG759" s="47">
        <v>0</v>
      </c>
      <c r="AH759" s="47">
        <v>0</v>
      </c>
      <c r="AI759" s="47">
        <v>0</v>
      </c>
      <c r="AJ759" s="47">
        <v>0</v>
      </c>
      <c r="AK759" s="47">
        <v>0</v>
      </c>
      <c r="AL759" s="47">
        <v>0</v>
      </c>
      <c r="AM759" s="47">
        <v>0</v>
      </c>
      <c r="AN759" s="47">
        <v>0</v>
      </c>
      <c r="AO759" s="47">
        <v>0</v>
      </c>
      <c r="AP759" s="47">
        <v>0</v>
      </c>
      <c r="AQ759" s="47">
        <v>0</v>
      </c>
      <c r="AR759" s="47">
        <v>0</v>
      </c>
      <c r="AS759" s="47"/>
      <c r="AT759" s="47"/>
      <c r="AU759" s="47"/>
      <c r="AV759" s="47"/>
      <c r="AW759" s="47"/>
      <c r="AX759" s="47"/>
      <c r="AY759" s="47"/>
      <c r="AZ759" s="47"/>
      <c r="BA759" s="47"/>
      <c r="BB759" s="47"/>
      <c r="BC759" s="47"/>
      <c r="BD759" s="47"/>
      <c r="BE759" s="47"/>
      <c r="BF759" s="47"/>
    </row>
    <row r="760" spans="1:58" hidden="1">
      <c r="A760" s="46" t="s">
        <v>292</v>
      </c>
      <c r="B760" s="46" t="s">
        <v>71</v>
      </c>
      <c r="C760" s="47">
        <v>0</v>
      </c>
      <c r="D760" s="47">
        <v>0</v>
      </c>
      <c r="E760" s="47">
        <v>0</v>
      </c>
      <c r="F760" s="47">
        <v>0</v>
      </c>
      <c r="G760" s="47">
        <v>0</v>
      </c>
      <c r="H760" s="47">
        <v>0</v>
      </c>
      <c r="I760" s="47">
        <v>1</v>
      </c>
      <c r="J760" s="47">
        <v>1</v>
      </c>
      <c r="K760" s="47">
        <v>1</v>
      </c>
      <c r="L760" s="47">
        <v>1</v>
      </c>
      <c r="M760" s="47">
        <v>1</v>
      </c>
      <c r="N760" s="47">
        <v>1</v>
      </c>
      <c r="O760" s="47">
        <v>0</v>
      </c>
      <c r="P760" s="47">
        <v>0</v>
      </c>
      <c r="Q760" s="85"/>
      <c r="R760" s="85"/>
      <c r="S760" s="85"/>
      <c r="T760" s="85"/>
      <c r="U760" s="85"/>
      <c r="V760" s="85"/>
      <c r="W760" s="85"/>
      <c r="X760" s="85"/>
      <c r="Y760" s="85"/>
      <c r="Z760" s="85"/>
      <c r="AA760" s="85"/>
      <c r="AB760" s="85"/>
      <c r="AC760" s="85"/>
      <c r="AD760" s="85"/>
      <c r="AE760" s="47">
        <v>0</v>
      </c>
      <c r="AF760" s="47">
        <v>0</v>
      </c>
      <c r="AG760" s="47">
        <v>0</v>
      </c>
      <c r="AH760" s="47">
        <v>0</v>
      </c>
      <c r="AI760" s="47">
        <v>0</v>
      </c>
      <c r="AJ760" s="47">
        <v>0</v>
      </c>
      <c r="AK760" s="47">
        <v>9</v>
      </c>
      <c r="AL760" s="47">
        <v>9</v>
      </c>
      <c r="AM760" s="47">
        <v>9</v>
      </c>
      <c r="AN760" s="47">
        <v>9</v>
      </c>
      <c r="AO760" s="47">
        <v>9</v>
      </c>
      <c r="AP760" s="47">
        <v>9</v>
      </c>
      <c r="AQ760" s="47">
        <v>0</v>
      </c>
      <c r="AR760" s="47">
        <v>0</v>
      </c>
      <c r="AS760" s="47"/>
      <c r="AT760" s="47"/>
      <c r="AU760" s="47"/>
      <c r="AV760" s="47"/>
      <c r="AW760" s="47"/>
      <c r="AX760" s="47"/>
      <c r="AY760" s="47"/>
      <c r="AZ760" s="47"/>
      <c r="BA760" s="47"/>
      <c r="BB760" s="47"/>
      <c r="BC760" s="47"/>
      <c r="BD760" s="47"/>
      <c r="BE760" s="47"/>
      <c r="BF760" s="47"/>
    </row>
    <row r="761" spans="1:58" hidden="1">
      <c r="A761" s="46" t="s">
        <v>292</v>
      </c>
      <c r="B761" s="46" t="s">
        <v>72</v>
      </c>
      <c r="C761" s="47">
        <v>0</v>
      </c>
      <c r="D761" s="47">
        <v>0</v>
      </c>
      <c r="E761" s="47">
        <v>0</v>
      </c>
      <c r="F761" s="47">
        <v>0</v>
      </c>
      <c r="G761" s="47">
        <v>0</v>
      </c>
      <c r="H761" s="47">
        <v>0</v>
      </c>
      <c r="I761" s="47">
        <v>1</v>
      </c>
      <c r="J761" s="47">
        <v>1</v>
      </c>
      <c r="K761" s="47">
        <v>1</v>
      </c>
      <c r="L761" s="47">
        <v>1</v>
      </c>
      <c r="M761" s="47">
        <v>1</v>
      </c>
      <c r="N761" s="47">
        <v>1</v>
      </c>
      <c r="O761" s="47">
        <v>0</v>
      </c>
      <c r="P761" s="47">
        <v>0</v>
      </c>
      <c r="Q761" s="85"/>
      <c r="R761" s="85"/>
      <c r="S761" s="85"/>
      <c r="T761" s="85"/>
      <c r="U761" s="85"/>
      <c r="V761" s="85"/>
      <c r="W761" s="85">
        <v>9</v>
      </c>
      <c r="X761" s="85">
        <v>9</v>
      </c>
      <c r="Y761" s="85">
        <v>9</v>
      </c>
      <c r="Z761" s="85">
        <v>9</v>
      </c>
      <c r="AA761" s="85">
        <v>9</v>
      </c>
      <c r="AB761" s="85">
        <v>9</v>
      </c>
      <c r="AC761" s="85"/>
      <c r="AD761" s="85"/>
      <c r="AE761" s="47">
        <v>0</v>
      </c>
      <c r="AF761" s="47">
        <v>0</v>
      </c>
      <c r="AG761" s="47">
        <v>0</v>
      </c>
      <c r="AH761" s="47">
        <v>0</v>
      </c>
      <c r="AI761" s="47">
        <v>0</v>
      </c>
      <c r="AJ761" s="47">
        <v>0</v>
      </c>
      <c r="AK761" s="47">
        <v>9</v>
      </c>
      <c r="AL761" s="47">
        <v>9</v>
      </c>
      <c r="AM761" s="47">
        <v>9</v>
      </c>
      <c r="AN761" s="47">
        <v>9</v>
      </c>
      <c r="AO761" s="47">
        <v>9</v>
      </c>
      <c r="AP761" s="47">
        <v>9</v>
      </c>
      <c r="AQ761" s="47">
        <v>0</v>
      </c>
      <c r="AR761" s="47">
        <v>0</v>
      </c>
      <c r="AS761" s="47"/>
      <c r="AT761" s="47"/>
      <c r="AU761" s="47"/>
      <c r="AV761" s="47"/>
      <c r="AW761" s="47"/>
      <c r="AX761" s="47"/>
      <c r="AY761" s="47"/>
      <c r="AZ761" s="47"/>
      <c r="BA761" s="47"/>
      <c r="BB761" s="47"/>
      <c r="BC761" s="47"/>
      <c r="BD761" s="47"/>
      <c r="BE761" s="47"/>
      <c r="BF761" s="47"/>
    </row>
    <row r="762" spans="1:58" hidden="1">
      <c r="A762" s="46" t="s">
        <v>292</v>
      </c>
      <c r="B762" s="46" t="s">
        <v>73</v>
      </c>
      <c r="C762" s="47">
        <v>0</v>
      </c>
      <c r="D762" s="47">
        <v>0</v>
      </c>
      <c r="E762" s="47">
        <v>0</v>
      </c>
      <c r="F762" s="47">
        <v>0</v>
      </c>
      <c r="G762" s="47">
        <v>0</v>
      </c>
      <c r="H762" s="47">
        <v>0</v>
      </c>
      <c r="I762" s="47">
        <v>0</v>
      </c>
      <c r="J762" s="47">
        <v>0</v>
      </c>
      <c r="K762" s="47">
        <v>0</v>
      </c>
      <c r="L762" s="47">
        <v>0</v>
      </c>
      <c r="M762" s="47">
        <v>0</v>
      </c>
      <c r="N762" s="47">
        <v>0</v>
      </c>
      <c r="O762" s="47">
        <v>0</v>
      </c>
      <c r="P762" s="47">
        <v>0</v>
      </c>
      <c r="Q762" s="85"/>
      <c r="R762" s="85"/>
      <c r="S762" s="85"/>
      <c r="T762" s="85"/>
      <c r="U762" s="85"/>
      <c r="V762" s="85"/>
      <c r="W762" s="85"/>
      <c r="X762" s="85"/>
      <c r="Y762" s="85"/>
      <c r="Z762" s="85"/>
      <c r="AA762" s="85"/>
      <c r="AB762" s="85"/>
      <c r="AC762" s="85"/>
      <c r="AD762" s="85"/>
      <c r="AE762" s="47">
        <v>0</v>
      </c>
      <c r="AF762" s="47">
        <v>0</v>
      </c>
      <c r="AG762" s="47">
        <v>0</v>
      </c>
      <c r="AH762" s="47">
        <v>0</v>
      </c>
      <c r="AI762" s="47">
        <v>0</v>
      </c>
      <c r="AJ762" s="47">
        <v>0</v>
      </c>
      <c r="AK762" s="47">
        <v>0</v>
      </c>
      <c r="AL762" s="47">
        <v>0</v>
      </c>
      <c r="AM762" s="47">
        <v>0</v>
      </c>
      <c r="AN762" s="47">
        <v>0</v>
      </c>
      <c r="AO762" s="47">
        <v>0</v>
      </c>
      <c r="AP762" s="47">
        <v>0</v>
      </c>
      <c r="AQ762" s="47">
        <v>0</v>
      </c>
      <c r="AR762" s="47">
        <v>0</v>
      </c>
      <c r="AS762" s="47"/>
      <c r="AT762" s="47"/>
      <c r="AU762" s="47"/>
      <c r="AV762" s="47"/>
      <c r="AW762" s="47"/>
      <c r="AX762" s="47"/>
      <c r="AY762" s="47"/>
      <c r="AZ762" s="47"/>
      <c r="BA762" s="47"/>
      <c r="BB762" s="47"/>
      <c r="BC762" s="47"/>
      <c r="BD762" s="47"/>
      <c r="BE762" s="47"/>
      <c r="BF762" s="47"/>
    </row>
    <row r="763" spans="1:58" hidden="1">
      <c r="A763" s="46" t="s">
        <v>292</v>
      </c>
      <c r="B763" s="46" t="s">
        <v>74</v>
      </c>
      <c r="C763" s="47">
        <v>0</v>
      </c>
      <c r="D763" s="47">
        <v>0</v>
      </c>
      <c r="E763" s="47">
        <v>0</v>
      </c>
      <c r="F763" s="47">
        <v>0</v>
      </c>
      <c r="G763" s="47">
        <v>0</v>
      </c>
      <c r="H763" s="47">
        <v>0</v>
      </c>
      <c r="I763" s="47">
        <v>0</v>
      </c>
      <c r="J763" s="47">
        <v>0</v>
      </c>
      <c r="K763" s="47">
        <v>0</v>
      </c>
      <c r="L763" s="47">
        <v>0</v>
      </c>
      <c r="M763" s="47">
        <v>0</v>
      </c>
      <c r="N763" s="47">
        <v>0</v>
      </c>
      <c r="O763" s="47">
        <v>0</v>
      </c>
      <c r="P763" s="47">
        <v>0</v>
      </c>
      <c r="Q763" s="85"/>
      <c r="R763" s="85"/>
      <c r="S763" s="85"/>
      <c r="T763" s="85"/>
      <c r="U763" s="85"/>
      <c r="V763" s="85"/>
      <c r="W763" s="85"/>
      <c r="X763" s="85"/>
      <c r="Y763" s="85"/>
      <c r="Z763" s="85"/>
      <c r="AA763" s="85"/>
      <c r="AB763" s="85"/>
      <c r="AC763" s="85"/>
      <c r="AD763" s="85"/>
      <c r="AE763" s="47">
        <v>0</v>
      </c>
      <c r="AF763" s="47">
        <v>0</v>
      </c>
      <c r="AG763" s="47">
        <v>0</v>
      </c>
      <c r="AH763" s="47">
        <v>0</v>
      </c>
      <c r="AI763" s="47">
        <v>0</v>
      </c>
      <c r="AJ763" s="47">
        <v>0</v>
      </c>
      <c r="AK763" s="47">
        <v>0</v>
      </c>
      <c r="AL763" s="47">
        <v>0</v>
      </c>
      <c r="AM763" s="47">
        <v>0</v>
      </c>
      <c r="AN763" s="47">
        <v>0</v>
      </c>
      <c r="AO763" s="47">
        <v>0</v>
      </c>
      <c r="AP763" s="47">
        <v>0</v>
      </c>
      <c r="AQ763" s="47">
        <v>0</v>
      </c>
      <c r="AR763" s="47">
        <v>0</v>
      </c>
      <c r="AS763" s="47"/>
      <c r="AT763" s="47"/>
      <c r="AU763" s="47"/>
      <c r="AV763" s="47"/>
      <c r="AW763" s="47"/>
      <c r="AX763" s="47"/>
      <c r="AY763" s="47"/>
      <c r="AZ763" s="47"/>
      <c r="BA763" s="47"/>
      <c r="BB763" s="47"/>
      <c r="BC763" s="47"/>
      <c r="BD763" s="47"/>
      <c r="BE763" s="47"/>
      <c r="BF763" s="47"/>
    </row>
    <row r="764" spans="1:58" hidden="1">
      <c r="A764" s="46" t="s">
        <v>292</v>
      </c>
      <c r="B764" s="46" t="s">
        <v>75</v>
      </c>
      <c r="C764" s="47">
        <v>0</v>
      </c>
      <c r="D764" s="47">
        <v>0</v>
      </c>
      <c r="E764" s="47">
        <v>0</v>
      </c>
      <c r="F764" s="47">
        <v>0</v>
      </c>
      <c r="G764" s="47">
        <v>0</v>
      </c>
      <c r="H764" s="47">
        <v>0</v>
      </c>
      <c r="I764" s="47">
        <v>0</v>
      </c>
      <c r="J764" s="47">
        <v>0</v>
      </c>
      <c r="K764" s="47">
        <v>0</v>
      </c>
      <c r="L764" s="47">
        <v>0</v>
      </c>
      <c r="M764" s="47">
        <v>0</v>
      </c>
      <c r="N764" s="47">
        <v>0</v>
      </c>
      <c r="O764" s="47">
        <v>0</v>
      </c>
      <c r="P764" s="47">
        <v>0</v>
      </c>
      <c r="Q764" s="85"/>
      <c r="R764" s="85"/>
      <c r="S764" s="85"/>
      <c r="T764" s="85"/>
      <c r="U764" s="85"/>
      <c r="V764" s="85"/>
      <c r="W764" s="85"/>
      <c r="X764" s="85"/>
      <c r="Y764" s="85"/>
      <c r="Z764" s="85"/>
      <c r="AA764" s="85"/>
      <c r="AB764" s="85"/>
      <c r="AC764" s="85"/>
      <c r="AD764" s="85"/>
      <c r="AE764" s="47">
        <v>0</v>
      </c>
      <c r="AF764" s="47">
        <v>0</v>
      </c>
      <c r="AG764" s="47">
        <v>0</v>
      </c>
      <c r="AH764" s="47">
        <v>0</v>
      </c>
      <c r="AI764" s="47">
        <v>0</v>
      </c>
      <c r="AJ764" s="47">
        <v>0</v>
      </c>
      <c r="AK764" s="47">
        <v>0</v>
      </c>
      <c r="AL764" s="47">
        <v>0</v>
      </c>
      <c r="AM764" s="47">
        <v>0</v>
      </c>
      <c r="AN764" s="47">
        <v>0</v>
      </c>
      <c r="AO764" s="47">
        <v>0</v>
      </c>
      <c r="AP764" s="47">
        <v>0</v>
      </c>
      <c r="AQ764" s="47">
        <v>0</v>
      </c>
      <c r="AR764" s="47">
        <v>0</v>
      </c>
      <c r="AS764" s="47"/>
      <c r="AT764" s="47"/>
      <c r="AU764" s="47"/>
      <c r="AV764" s="47"/>
      <c r="AW764" s="47"/>
      <c r="AX764" s="47"/>
      <c r="AY764" s="47"/>
      <c r="AZ764" s="47"/>
      <c r="BA764" s="47"/>
      <c r="BB764" s="47"/>
      <c r="BC764" s="47"/>
      <c r="BD764" s="47"/>
      <c r="BE764" s="47"/>
      <c r="BF764" s="47"/>
    </row>
    <row r="765" spans="1:58" hidden="1">
      <c r="A765" s="46" t="s">
        <v>292</v>
      </c>
      <c r="B765" s="46" t="s">
        <v>76</v>
      </c>
      <c r="C765" s="47">
        <v>0</v>
      </c>
      <c r="D765" s="47">
        <v>0</v>
      </c>
      <c r="E765" s="47">
        <v>0</v>
      </c>
      <c r="F765" s="47">
        <v>0</v>
      </c>
      <c r="G765" s="47">
        <v>0</v>
      </c>
      <c r="H765" s="47">
        <v>0</v>
      </c>
      <c r="I765" s="47">
        <v>0</v>
      </c>
      <c r="J765" s="47">
        <v>0</v>
      </c>
      <c r="K765" s="47">
        <v>0</v>
      </c>
      <c r="L765" s="47">
        <v>0</v>
      </c>
      <c r="M765" s="47">
        <v>0</v>
      </c>
      <c r="N765" s="47">
        <v>0</v>
      </c>
      <c r="O765" s="47">
        <v>0</v>
      </c>
      <c r="P765" s="47">
        <v>0</v>
      </c>
      <c r="Q765" s="85"/>
      <c r="R765" s="85"/>
      <c r="S765" s="85"/>
      <c r="T765" s="85"/>
      <c r="U765" s="85"/>
      <c r="V765" s="85"/>
      <c r="W765" s="85"/>
      <c r="X765" s="85"/>
      <c r="Y765" s="85"/>
      <c r="Z765" s="85"/>
      <c r="AA765" s="85"/>
      <c r="AB765" s="85"/>
      <c r="AC765" s="85"/>
      <c r="AD765" s="85"/>
      <c r="AE765" s="47">
        <v>0</v>
      </c>
      <c r="AF765" s="47">
        <v>0</v>
      </c>
      <c r="AG765" s="47">
        <v>0</v>
      </c>
      <c r="AH765" s="47">
        <v>0</v>
      </c>
      <c r="AI765" s="47">
        <v>0</v>
      </c>
      <c r="AJ765" s="47">
        <v>0</v>
      </c>
      <c r="AK765" s="47">
        <v>0</v>
      </c>
      <c r="AL765" s="47">
        <v>0</v>
      </c>
      <c r="AM765" s="47">
        <v>0</v>
      </c>
      <c r="AN765" s="47">
        <v>0</v>
      </c>
      <c r="AO765" s="47">
        <v>0</v>
      </c>
      <c r="AP765" s="47">
        <v>0</v>
      </c>
      <c r="AQ765" s="47">
        <v>0</v>
      </c>
      <c r="AR765" s="47">
        <v>0</v>
      </c>
      <c r="AS765" s="47"/>
      <c r="AT765" s="47"/>
      <c r="AU765" s="47"/>
      <c r="AV765" s="47"/>
      <c r="AW765" s="47"/>
      <c r="AX765" s="47"/>
      <c r="AY765" s="47"/>
      <c r="AZ765" s="47"/>
      <c r="BA765" s="47"/>
      <c r="BB765" s="47"/>
      <c r="BC765" s="47"/>
      <c r="BD765" s="47"/>
      <c r="BE765" s="47"/>
      <c r="BF765" s="47"/>
    </row>
    <row r="766" spans="1:58" hidden="1">
      <c r="A766" s="46" t="s">
        <v>292</v>
      </c>
      <c r="B766" s="46" t="s">
        <v>77</v>
      </c>
      <c r="C766" s="47">
        <v>0</v>
      </c>
      <c r="D766" s="47">
        <v>0</v>
      </c>
      <c r="E766" s="47">
        <v>0</v>
      </c>
      <c r="F766" s="47">
        <v>0</v>
      </c>
      <c r="G766" s="47">
        <v>0</v>
      </c>
      <c r="H766" s="47">
        <v>0</v>
      </c>
      <c r="I766" s="47">
        <v>0</v>
      </c>
      <c r="J766" s="47">
        <v>0</v>
      </c>
      <c r="K766" s="47">
        <v>0</v>
      </c>
      <c r="L766" s="47">
        <v>0</v>
      </c>
      <c r="M766" s="47">
        <v>0</v>
      </c>
      <c r="N766" s="47">
        <v>0</v>
      </c>
      <c r="O766" s="47">
        <v>0</v>
      </c>
      <c r="P766" s="47">
        <v>0</v>
      </c>
      <c r="Q766" s="85"/>
      <c r="R766" s="85"/>
      <c r="S766" s="85"/>
      <c r="T766" s="85"/>
      <c r="U766" s="85"/>
      <c r="V766" s="85"/>
      <c r="W766" s="85"/>
      <c r="X766" s="85"/>
      <c r="Y766" s="85"/>
      <c r="Z766" s="85"/>
      <c r="AA766" s="85"/>
      <c r="AB766" s="85"/>
      <c r="AC766" s="85"/>
      <c r="AD766" s="85"/>
      <c r="AE766" s="47">
        <v>0</v>
      </c>
      <c r="AF766" s="47">
        <v>0</v>
      </c>
      <c r="AG766" s="47">
        <v>0</v>
      </c>
      <c r="AH766" s="47">
        <v>0</v>
      </c>
      <c r="AI766" s="47">
        <v>0</v>
      </c>
      <c r="AJ766" s="47">
        <v>0</v>
      </c>
      <c r="AK766" s="47">
        <v>0</v>
      </c>
      <c r="AL766" s="47">
        <v>0</v>
      </c>
      <c r="AM766" s="47">
        <v>0</v>
      </c>
      <c r="AN766" s="47">
        <v>0</v>
      </c>
      <c r="AO766" s="47">
        <v>0</v>
      </c>
      <c r="AP766" s="47">
        <v>0</v>
      </c>
      <c r="AQ766" s="47">
        <v>0</v>
      </c>
      <c r="AR766" s="47">
        <v>0</v>
      </c>
      <c r="AS766" s="47"/>
      <c r="AT766" s="47"/>
      <c r="AU766" s="47"/>
      <c r="AV766" s="47"/>
      <c r="AW766" s="47"/>
      <c r="AX766" s="47"/>
      <c r="AY766" s="47"/>
      <c r="AZ766" s="47"/>
      <c r="BA766" s="47"/>
      <c r="BB766" s="47"/>
      <c r="BC766" s="47"/>
      <c r="BD766" s="47"/>
      <c r="BE766" s="47"/>
      <c r="BF766" s="47"/>
    </row>
    <row r="767" spans="1:58" hidden="1">
      <c r="A767" s="46" t="s">
        <v>292</v>
      </c>
      <c r="B767" s="46" t="s">
        <v>78</v>
      </c>
      <c r="C767" s="47">
        <v>0</v>
      </c>
      <c r="D767" s="47">
        <v>0</v>
      </c>
      <c r="E767" s="47">
        <v>0</v>
      </c>
      <c r="F767" s="47">
        <v>0</v>
      </c>
      <c r="G767" s="47">
        <v>0</v>
      </c>
      <c r="H767" s="47">
        <v>0</v>
      </c>
      <c r="I767" s="47">
        <v>0</v>
      </c>
      <c r="J767" s="47">
        <v>0</v>
      </c>
      <c r="K767" s="47">
        <v>0</v>
      </c>
      <c r="L767" s="47">
        <v>0</v>
      </c>
      <c r="M767" s="47">
        <v>0</v>
      </c>
      <c r="N767" s="47">
        <v>0</v>
      </c>
      <c r="O767" s="47">
        <v>0</v>
      </c>
      <c r="P767" s="47">
        <v>0</v>
      </c>
      <c r="Q767" s="85"/>
      <c r="R767" s="85"/>
      <c r="S767" s="85"/>
      <c r="T767" s="85"/>
      <c r="U767" s="85"/>
      <c r="V767" s="85"/>
      <c r="W767" s="85"/>
      <c r="X767" s="85"/>
      <c r="Y767" s="85"/>
      <c r="Z767" s="85"/>
      <c r="AA767" s="85"/>
      <c r="AB767" s="85"/>
      <c r="AC767" s="85"/>
      <c r="AD767" s="85"/>
      <c r="AE767" s="47">
        <v>0</v>
      </c>
      <c r="AF767" s="47">
        <v>0</v>
      </c>
      <c r="AG767" s="47">
        <v>0</v>
      </c>
      <c r="AH767" s="47">
        <v>0</v>
      </c>
      <c r="AI767" s="47">
        <v>0</v>
      </c>
      <c r="AJ767" s="47">
        <v>0</v>
      </c>
      <c r="AK767" s="47">
        <v>0</v>
      </c>
      <c r="AL767" s="47">
        <v>0</v>
      </c>
      <c r="AM767" s="47">
        <v>0</v>
      </c>
      <c r="AN767" s="47">
        <v>0</v>
      </c>
      <c r="AO767" s="47">
        <v>0</v>
      </c>
      <c r="AP767" s="47">
        <v>0</v>
      </c>
      <c r="AQ767" s="47">
        <v>0</v>
      </c>
      <c r="AR767" s="47">
        <v>0</v>
      </c>
      <c r="AS767" s="47"/>
      <c r="AT767" s="47"/>
      <c r="AU767" s="47"/>
      <c r="AV767" s="47"/>
      <c r="AW767" s="47"/>
      <c r="AX767" s="47"/>
      <c r="AY767" s="47"/>
      <c r="AZ767" s="47"/>
      <c r="BA767" s="47"/>
      <c r="BB767" s="47"/>
      <c r="BC767" s="47"/>
      <c r="BD767" s="47"/>
      <c r="BE767" s="47"/>
      <c r="BF767" s="47"/>
    </row>
    <row r="768" spans="1:58" hidden="1">
      <c r="A768" s="46" t="s">
        <v>292</v>
      </c>
      <c r="B768" s="46" t="s">
        <v>79</v>
      </c>
      <c r="C768" s="47">
        <v>0</v>
      </c>
      <c r="D768" s="47">
        <v>0</v>
      </c>
      <c r="E768" s="47">
        <v>0</v>
      </c>
      <c r="F768" s="47">
        <v>0</v>
      </c>
      <c r="G768" s="47">
        <v>0</v>
      </c>
      <c r="H768" s="47">
        <v>0</v>
      </c>
      <c r="I768" s="47">
        <v>0</v>
      </c>
      <c r="J768" s="47">
        <v>0</v>
      </c>
      <c r="K768" s="47">
        <v>0</v>
      </c>
      <c r="L768" s="47">
        <v>0</v>
      </c>
      <c r="M768" s="47">
        <v>0</v>
      </c>
      <c r="N768" s="47">
        <v>0</v>
      </c>
      <c r="O768" s="47">
        <v>0</v>
      </c>
      <c r="P768" s="47">
        <v>0</v>
      </c>
      <c r="Q768" s="85"/>
      <c r="R768" s="85"/>
      <c r="S768" s="85"/>
      <c r="T768" s="85"/>
      <c r="U768" s="85"/>
      <c r="V768" s="85"/>
      <c r="W768" s="85"/>
      <c r="X768" s="85"/>
      <c r="Y768" s="85"/>
      <c r="Z768" s="85"/>
      <c r="AA768" s="85"/>
      <c r="AB768" s="85"/>
      <c r="AC768" s="85"/>
      <c r="AD768" s="85"/>
      <c r="AE768" s="47">
        <v>0</v>
      </c>
      <c r="AF768" s="47">
        <v>0</v>
      </c>
      <c r="AG768" s="47">
        <v>0</v>
      </c>
      <c r="AH768" s="47">
        <v>0</v>
      </c>
      <c r="AI768" s="47">
        <v>0</v>
      </c>
      <c r="AJ768" s="47">
        <v>0</v>
      </c>
      <c r="AK768" s="47">
        <v>0</v>
      </c>
      <c r="AL768" s="47">
        <v>0</v>
      </c>
      <c r="AM768" s="47">
        <v>0</v>
      </c>
      <c r="AN768" s="47">
        <v>0</v>
      </c>
      <c r="AO768" s="47">
        <v>0</v>
      </c>
      <c r="AP768" s="47">
        <v>0</v>
      </c>
      <c r="AQ768" s="47">
        <v>0</v>
      </c>
      <c r="AR768" s="47">
        <v>0</v>
      </c>
      <c r="AS768" s="47"/>
      <c r="AT768" s="47"/>
      <c r="AU768" s="47"/>
      <c r="AV768" s="47"/>
      <c r="AW768" s="47"/>
      <c r="AX768" s="47"/>
      <c r="AY768" s="47"/>
      <c r="AZ768" s="47"/>
      <c r="BA768" s="47"/>
      <c r="BB768" s="47"/>
      <c r="BC768" s="47"/>
      <c r="BD768" s="47"/>
      <c r="BE768" s="47"/>
      <c r="BF768" s="47"/>
    </row>
    <row r="769" spans="1:58" hidden="1">
      <c r="A769" s="46" t="s">
        <v>292</v>
      </c>
      <c r="B769" s="46" t="s">
        <v>80</v>
      </c>
      <c r="C769" s="47">
        <v>0</v>
      </c>
      <c r="D769" s="47">
        <v>0</v>
      </c>
      <c r="E769" s="47">
        <v>0</v>
      </c>
      <c r="F769" s="47">
        <v>0</v>
      </c>
      <c r="G769" s="47">
        <v>0</v>
      </c>
      <c r="H769" s="47">
        <v>0</v>
      </c>
      <c r="I769" s="47">
        <v>0</v>
      </c>
      <c r="J769" s="47">
        <v>0</v>
      </c>
      <c r="K769" s="47">
        <v>0</v>
      </c>
      <c r="L769" s="47">
        <v>0</v>
      </c>
      <c r="M769" s="47">
        <v>0</v>
      </c>
      <c r="N769" s="47">
        <v>0</v>
      </c>
      <c r="O769" s="47">
        <v>0</v>
      </c>
      <c r="P769" s="47">
        <v>0</v>
      </c>
      <c r="Q769" s="85"/>
      <c r="R769" s="85"/>
      <c r="S769" s="85"/>
      <c r="T769" s="85"/>
      <c r="U769" s="85"/>
      <c r="V769" s="85"/>
      <c r="W769" s="85"/>
      <c r="X769" s="85"/>
      <c r="Y769" s="85"/>
      <c r="Z769" s="85"/>
      <c r="AA769" s="85"/>
      <c r="AB769" s="85"/>
      <c r="AC769" s="85"/>
      <c r="AD769" s="85"/>
      <c r="AE769" s="47">
        <v>0</v>
      </c>
      <c r="AF769" s="47">
        <v>0</v>
      </c>
      <c r="AG769" s="47">
        <v>0</v>
      </c>
      <c r="AH769" s="47">
        <v>0</v>
      </c>
      <c r="AI769" s="47">
        <v>0</v>
      </c>
      <c r="AJ769" s="47">
        <v>0</v>
      </c>
      <c r="AK769" s="47">
        <v>0</v>
      </c>
      <c r="AL769" s="47">
        <v>0</v>
      </c>
      <c r="AM769" s="47">
        <v>0</v>
      </c>
      <c r="AN769" s="47">
        <v>0</v>
      </c>
      <c r="AO769" s="47">
        <v>0</v>
      </c>
      <c r="AP769" s="47">
        <v>0</v>
      </c>
      <c r="AQ769" s="47">
        <v>0</v>
      </c>
      <c r="AR769" s="47">
        <v>0</v>
      </c>
      <c r="AS769" s="47"/>
      <c r="AT769" s="47"/>
      <c r="AU769" s="47"/>
      <c r="AV769" s="47"/>
      <c r="AW769" s="47"/>
      <c r="AX769" s="47"/>
      <c r="AY769" s="47"/>
      <c r="AZ769" s="47"/>
      <c r="BA769" s="47"/>
      <c r="BB769" s="47"/>
      <c r="BC769" s="47"/>
      <c r="BD769" s="47"/>
      <c r="BE769" s="47"/>
      <c r="BF769" s="47"/>
    </row>
    <row r="770" spans="1:58" hidden="1">
      <c r="A770" s="46" t="s">
        <v>292</v>
      </c>
      <c r="B770" s="46" t="s">
        <v>81</v>
      </c>
      <c r="C770" s="47">
        <v>0</v>
      </c>
      <c r="D770" s="47">
        <v>0</v>
      </c>
      <c r="E770" s="47">
        <v>0</v>
      </c>
      <c r="F770" s="47">
        <v>0</v>
      </c>
      <c r="G770" s="47">
        <v>0</v>
      </c>
      <c r="H770" s="47">
        <v>0</v>
      </c>
      <c r="I770" s="47">
        <v>0</v>
      </c>
      <c r="J770" s="47">
        <v>0</v>
      </c>
      <c r="K770" s="47">
        <v>0</v>
      </c>
      <c r="L770" s="47">
        <v>0</v>
      </c>
      <c r="M770" s="47">
        <v>0</v>
      </c>
      <c r="N770" s="47">
        <v>0</v>
      </c>
      <c r="O770" s="47">
        <v>0</v>
      </c>
      <c r="P770" s="47">
        <v>0</v>
      </c>
      <c r="Q770" s="85"/>
      <c r="R770" s="85"/>
      <c r="S770" s="85"/>
      <c r="T770" s="85"/>
      <c r="U770" s="85"/>
      <c r="V770" s="85"/>
      <c r="W770" s="85"/>
      <c r="X770" s="85"/>
      <c r="Y770" s="85"/>
      <c r="Z770" s="85"/>
      <c r="AA770" s="85"/>
      <c r="AB770" s="85"/>
      <c r="AC770" s="85"/>
      <c r="AD770" s="85"/>
      <c r="AE770" s="47">
        <v>0</v>
      </c>
      <c r="AF770" s="47">
        <v>0</v>
      </c>
      <c r="AG770" s="47">
        <v>0</v>
      </c>
      <c r="AH770" s="47">
        <v>0</v>
      </c>
      <c r="AI770" s="47">
        <v>0</v>
      </c>
      <c r="AJ770" s="47">
        <v>0</v>
      </c>
      <c r="AK770" s="47">
        <v>0</v>
      </c>
      <c r="AL770" s="47">
        <v>0</v>
      </c>
      <c r="AM770" s="47">
        <v>0</v>
      </c>
      <c r="AN770" s="47">
        <v>0</v>
      </c>
      <c r="AO770" s="47">
        <v>0</v>
      </c>
      <c r="AP770" s="47">
        <v>0</v>
      </c>
      <c r="AQ770" s="47">
        <v>0</v>
      </c>
      <c r="AR770" s="47">
        <v>0</v>
      </c>
      <c r="AS770" s="47"/>
      <c r="AT770" s="47"/>
      <c r="AU770" s="47"/>
      <c r="AV770" s="47"/>
      <c r="AW770" s="47"/>
      <c r="AX770" s="47"/>
      <c r="AY770" s="47"/>
      <c r="AZ770" s="47"/>
      <c r="BA770" s="47"/>
      <c r="BB770" s="47"/>
      <c r="BC770" s="47"/>
      <c r="BD770" s="47"/>
      <c r="BE770" s="47"/>
      <c r="BF770" s="47"/>
    </row>
    <row r="771" spans="1:58" hidden="1">
      <c r="A771" s="46" t="s">
        <v>292</v>
      </c>
      <c r="B771" s="46" t="s">
        <v>82</v>
      </c>
      <c r="C771" s="47">
        <v>0</v>
      </c>
      <c r="D771" s="47">
        <v>0</v>
      </c>
      <c r="E771" s="47">
        <v>0</v>
      </c>
      <c r="F771" s="47">
        <v>0</v>
      </c>
      <c r="G771" s="47">
        <v>0</v>
      </c>
      <c r="H771" s="47">
        <v>0</v>
      </c>
      <c r="I771" s="47">
        <v>0</v>
      </c>
      <c r="J771" s="47">
        <v>0</v>
      </c>
      <c r="K771" s="47">
        <v>0</v>
      </c>
      <c r="L771" s="47">
        <v>0</v>
      </c>
      <c r="M771" s="47">
        <v>0</v>
      </c>
      <c r="N771" s="47">
        <v>0</v>
      </c>
      <c r="O771" s="47">
        <v>0</v>
      </c>
      <c r="P771" s="47">
        <v>0</v>
      </c>
      <c r="Q771" s="85"/>
      <c r="R771" s="85"/>
      <c r="S771" s="85"/>
      <c r="T771" s="85"/>
      <c r="U771" s="85"/>
      <c r="V771" s="85"/>
      <c r="W771" s="85"/>
      <c r="X771" s="85"/>
      <c r="Y771" s="85"/>
      <c r="Z771" s="85"/>
      <c r="AA771" s="85"/>
      <c r="AB771" s="85"/>
      <c r="AC771" s="85"/>
      <c r="AD771" s="85"/>
      <c r="AE771" s="47">
        <v>0</v>
      </c>
      <c r="AF771" s="47">
        <v>0</v>
      </c>
      <c r="AG771" s="47">
        <v>0</v>
      </c>
      <c r="AH771" s="47">
        <v>0</v>
      </c>
      <c r="AI771" s="47">
        <v>0</v>
      </c>
      <c r="AJ771" s="47">
        <v>0</v>
      </c>
      <c r="AK771" s="47">
        <v>0</v>
      </c>
      <c r="AL771" s="47">
        <v>0</v>
      </c>
      <c r="AM771" s="47">
        <v>0</v>
      </c>
      <c r="AN771" s="47">
        <v>0</v>
      </c>
      <c r="AO771" s="47">
        <v>0</v>
      </c>
      <c r="AP771" s="47">
        <v>0</v>
      </c>
      <c r="AQ771" s="47">
        <v>0</v>
      </c>
      <c r="AR771" s="47">
        <v>0</v>
      </c>
      <c r="AS771" s="47"/>
      <c r="AT771" s="47"/>
      <c r="AU771" s="47"/>
      <c r="AV771" s="47"/>
      <c r="AW771" s="47"/>
      <c r="AX771" s="47"/>
      <c r="AY771" s="47"/>
      <c r="AZ771" s="47"/>
      <c r="BA771" s="47"/>
      <c r="BB771" s="47"/>
      <c r="BC771" s="47"/>
      <c r="BD771" s="47"/>
      <c r="BE771" s="47"/>
      <c r="BF771" s="47"/>
    </row>
    <row r="772" spans="1:58" hidden="1">
      <c r="A772" s="46" t="s">
        <v>293</v>
      </c>
      <c r="B772" s="46" t="s">
        <v>251</v>
      </c>
      <c r="C772" s="47">
        <v>0</v>
      </c>
      <c r="D772" s="47">
        <v>0</v>
      </c>
      <c r="E772" s="47">
        <v>0</v>
      </c>
      <c r="F772" s="47">
        <v>0</v>
      </c>
      <c r="G772" s="47">
        <v>0</v>
      </c>
      <c r="H772" s="47">
        <v>0</v>
      </c>
      <c r="I772" s="47">
        <v>0</v>
      </c>
      <c r="J772" s="47">
        <v>0</v>
      </c>
      <c r="K772" s="47">
        <v>0</v>
      </c>
      <c r="L772" s="47">
        <v>0</v>
      </c>
      <c r="M772" s="47">
        <v>0</v>
      </c>
      <c r="N772" s="47">
        <v>0</v>
      </c>
      <c r="O772" s="47">
        <v>0</v>
      </c>
      <c r="P772" s="47">
        <v>0</v>
      </c>
      <c r="Q772" s="85"/>
      <c r="R772" s="85"/>
      <c r="S772" s="85"/>
      <c r="T772" s="85"/>
      <c r="U772" s="85"/>
      <c r="V772" s="85"/>
      <c r="W772" s="85"/>
      <c r="X772" s="85"/>
      <c r="Y772" s="85"/>
      <c r="Z772" s="85"/>
      <c r="AA772" s="85"/>
      <c r="AB772" s="85"/>
      <c r="AC772" s="85"/>
      <c r="AD772" s="85"/>
      <c r="AE772" s="47">
        <v>0</v>
      </c>
      <c r="AF772" s="47">
        <v>0</v>
      </c>
      <c r="AG772" s="47">
        <v>0</v>
      </c>
      <c r="AH772" s="47">
        <v>0</v>
      </c>
      <c r="AI772" s="47">
        <v>0</v>
      </c>
      <c r="AJ772" s="47">
        <v>0</v>
      </c>
      <c r="AK772" s="47">
        <v>0</v>
      </c>
      <c r="AL772" s="47">
        <v>0</v>
      </c>
      <c r="AM772" s="47">
        <v>0</v>
      </c>
      <c r="AN772" s="47">
        <v>0</v>
      </c>
      <c r="AO772" s="47">
        <v>0</v>
      </c>
      <c r="AP772" s="47">
        <v>0</v>
      </c>
      <c r="AQ772" s="47">
        <v>0</v>
      </c>
      <c r="AR772" s="47">
        <v>0</v>
      </c>
      <c r="AS772" s="47"/>
      <c r="AT772" s="47"/>
      <c r="AU772" s="47"/>
      <c r="AV772" s="47"/>
      <c r="AW772" s="47"/>
      <c r="AX772" s="47"/>
      <c r="AY772" s="47"/>
      <c r="AZ772" s="47"/>
      <c r="BA772" s="47"/>
      <c r="BB772" s="47"/>
      <c r="BC772" s="47"/>
      <c r="BD772" s="47"/>
      <c r="BE772" s="47"/>
      <c r="BF772" s="47"/>
    </row>
    <row r="773" spans="1:58" hidden="1">
      <c r="A773" s="46" t="s">
        <v>293</v>
      </c>
      <c r="B773" s="46" t="s">
        <v>252</v>
      </c>
      <c r="C773" s="47">
        <v>0</v>
      </c>
      <c r="D773" s="47">
        <v>0</v>
      </c>
      <c r="E773" s="47">
        <v>0</v>
      </c>
      <c r="F773" s="47">
        <v>0</v>
      </c>
      <c r="G773" s="47">
        <v>0</v>
      </c>
      <c r="H773" s="47">
        <v>0</v>
      </c>
      <c r="I773" s="47">
        <v>0</v>
      </c>
      <c r="J773" s="47">
        <v>0</v>
      </c>
      <c r="K773" s="47">
        <v>0</v>
      </c>
      <c r="L773" s="47">
        <v>0</v>
      </c>
      <c r="M773" s="47">
        <v>0</v>
      </c>
      <c r="N773" s="47">
        <v>0</v>
      </c>
      <c r="O773" s="47">
        <v>0</v>
      </c>
      <c r="P773" s="47">
        <v>0</v>
      </c>
      <c r="Q773" s="85"/>
      <c r="R773" s="85"/>
      <c r="S773" s="85"/>
      <c r="T773" s="85"/>
      <c r="U773" s="85"/>
      <c r="V773" s="85"/>
      <c r="W773" s="85"/>
      <c r="X773" s="85"/>
      <c r="Y773" s="85"/>
      <c r="Z773" s="85"/>
      <c r="AA773" s="85"/>
      <c r="AB773" s="85"/>
      <c r="AC773" s="85"/>
      <c r="AD773" s="85"/>
      <c r="AE773" s="47">
        <v>0</v>
      </c>
      <c r="AF773" s="47">
        <v>0</v>
      </c>
      <c r="AG773" s="47">
        <v>0</v>
      </c>
      <c r="AH773" s="47">
        <v>0</v>
      </c>
      <c r="AI773" s="47">
        <v>0</v>
      </c>
      <c r="AJ773" s="47">
        <v>0</v>
      </c>
      <c r="AK773" s="47">
        <v>0</v>
      </c>
      <c r="AL773" s="47">
        <v>0</v>
      </c>
      <c r="AM773" s="47">
        <v>0</v>
      </c>
      <c r="AN773" s="47">
        <v>0</v>
      </c>
      <c r="AO773" s="47">
        <v>0</v>
      </c>
      <c r="AP773" s="47">
        <v>0</v>
      </c>
      <c r="AQ773" s="47">
        <v>0</v>
      </c>
      <c r="AR773" s="47">
        <v>0</v>
      </c>
      <c r="AS773" s="47"/>
      <c r="AT773" s="47"/>
      <c r="AU773" s="47"/>
      <c r="AV773" s="47"/>
      <c r="AW773" s="47"/>
      <c r="AX773" s="47"/>
      <c r="AY773" s="47"/>
      <c r="AZ773" s="47"/>
      <c r="BA773" s="47"/>
      <c r="BB773" s="47"/>
      <c r="BC773" s="47"/>
      <c r="BD773" s="47"/>
      <c r="BE773" s="47"/>
      <c r="BF773" s="47"/>
    </row>
    <row r="774" spans="1:58" hidden="1">
      <c r="A774" s="46" t="s">
        <v>293</v>
      </c>
      <c r="B774" s="46" t="s">
        <v>253</v>
      </c>
      <c r="C774" s="47">
        <v>0</v>
      </c>
      <c r="D774" s="47">
        <v>0</v>
      </c>
      <c r="E774" s="47">
        <v>0</v>
      </c>
      <c r="F774" s="47">
        <v>0</v>
      </c>
      <c r="G774" s="47">
        <v>0</v>
      </c>
      <c r="H774" s="47">
        <v>0</v>
      </c>
      <c r="I774" s="47">
        <v>0</v>
      </c>
      <c r="J774" s="47">
        <v>0</v>
      </c>
      <c r="K774" s="47">
        <v>0</v>
      </c>
      <c r="L774" s="47">
        <v>0</v>
      </c>
      <c r="M774" s="47">
        <v>0</v>
      </c>
      <c r="N774" s="47">
        <v>0</v>
      </c>
      <c r="O774" s="47">
        <v>0</v>
      </c>
      <c r="P774" s="47">
        <v>0</v>
      </c>
      <c r="Q774" s="85"/>
      <c r="R774" s="85"/>
      <c r="S774" s="85"/>
      <c r="T774" s="85"/>
      <c r="U774" s="85"/>
      <c r="V774" s="85"/>
      <c r="W774" s="85"/>
      <c r="X774" s="85"/>
      <c r="Y774" s="85"/>
      <c r="Z774" s="85"/>
      <c r="AA774" s="85"/>
      <c r="AB774" s="85"/>
      <c r="AC774" s="85"/>
      <c r="AD774" s="85"/>
      <c r="AE774" s="47">
        <v>0</v>
      </c>
      <c r="AF774" s="47">
        <v>0</v>
      </c>
      <c r="AG774" s="47">
        <v>0</v>
      </c>
      <c r="AH774" s="47">
        <v>0</v>
      </c>
      <c r="AI774" s="47">
        <v>0</v>
      </c>
      <c r="AJ774" s="47">
        <v>0</v>
      </c>
      <c r="AK774" s="47">
        <v>0</v>
      </c>
      <c r="AL774" s="47">
        <v>0</v>
      </c>
      <c r="AM774" s="47">
        <v>0</v>
      </c>
      <c r="AN774" s="47">
        <v>0</v>
      </c>
      <c r="AO774" s="47">
        <v>0</v>
      </c>
      <c r="AP774" s="47">
        <v>0</v>
      </c>
      <c r="AQ774" s="47">
        <v>0</v>
      </c>
      <c r="AR774" s="47">
        <v>0</v>
      </c>
      <c r="AS774" s="47"/>
      <c r="AT774" s="47"/>
      <c r="AU774" s="47"/>
      <c r="AV774" s="47"/>
      <c r="AW774" s="47"/>
      <c r="AX774" s="47"/>
      <c r="AY774" s="47"/>
      <c r="AZ774" s="47"/>
      <c r="BA774" s="47"/>
      <c r="BB774" s="47"/>
      <c r="BC774" s="47"/>
      <c r="BD774" s="47"/>
      <c r="BE774" s="47"/>
      <c r="BF774" s="47"/>
    </row>
    <row r="775" spans="1:58" hidden="1">
      <c r="A775" s="46" t="s">
        <v>293</v>
      </c>
      <c r="B775" s="46" t="s">
        <v>254</v>
      </c>
      <c r="C775" s="47">
        <v>0</v>
      </c>
      <c r="D775" s="47">
        <v>0</v>
      </c>
      <c r="E775" s="47">
        <v>0</v>
      </c>
      <c r="F775" s="47">
        <v>0</v>
      </c>
      <c r="G775" s="47">
        <v>0</v>
      </c>
      <c r="H775" s="47">
        <v>0</v>
      </c>
      <c r="I775" s="47">
        <v>0</v>
      </c>
      <c r="J775" s="47">
        <v>0</v>
      </c>
      <c r="K775" s="47">
        <v>0</v>
      </c>
      <c r="L775" s="47">
        <v>0</v>
      </c>
      <c r="M775" s="47">
        <v>0</v>
      </c>
      <c r="N775" s="47">
        <v>0</v>
      </c>
      <c r="O775" s="47">
        <v>0</v>
      </c>
      <c r="P775" s="47">
        <v>0</v>
      </c>
      <c r="Q775" s="85"/>
      <c r="R775" s="85"/>
      <c r="S775" s="85"/>
      <c r="T775" s="85"/>
      <c r="U775" s="85"/>
      <c r="V775" s="85"/>
      <c r="W775" s="85"/>
      <c r="X775" s="85"/>
      <c r="Y775" s="85"/>
      <c r="Z775" s="85"/>
      <c r="AA775" s="85"/>
      <c r="AB775" s="85"/>
      <c r="AC775" s="85"/>
      <c r="AD775" s="85"/>
      <c r="AE775" s="47">
        <v>0</v>
      </c>
      <c r="AF775" s="47">
        <v>0</v>
      </c>
      <c r="AG775" s="47">
        <v>0</v>
      </c>
      <c r="AH775" s="47">
        <v>0</v>
      </c>
      <c r="AI775" s="47">
        <v>0</v>
      </c>
      <c r="AJ775" s="47">
        <v>0</v>
      </c>
      <c r="AK775" s="47">
        <v>0</v>
      </c>
      <c r="AL775" s="47">
        <v>0</v>
      </c>
      <c r="AM775" s="47">
        <v>0</v>
      </c>
      <c r="AN775" s="47">
        <v>0</v>
      </c>
      <c r="AO775" s="47">
        <v>0</v>
      </c>
      <c r="AP775" s="47">
        <v>0</v>
      </c>
      <c r="AQ775" s="47">
        <v>0</v>
      </c>
      <c r="AR775" s="47">
        <v>0</v>
      </c>
      <c r="AS775" s="47"/>
      <c r="AT775" s="47"/>
      <c r="AU775" s="47"/>
      <c r="AV775" s="47"/>
      <c r="AW775" s="47"/>
      <c r="AX775" s="47"/>
      <c r="AY775" s="47"/>
      <c r="AZ775" s="47"/>
      <c r="BA775" s="47"/>
      <c r="BB775" s="47"/>
      <c r="BC775" s="47"/>
      <c r="BD775" s="47"/>
      <c r="BE775" s="47"/>
      <c r="BF775" s="47"/>
    </row>
    <row r="776" spans="1:58" hidden="1">
      <c r="A776" s="46" t="s">
        <v>293</v>
      </c>
      <c r="B776" s="46" t="s">
        <v>255</v>
      </c>
      <c r="C776" s="47">
        <v>0</v>
      </c>
      <c r="D776" s="47">
        <v>0</v>
      </c>
      <c r="E776" s="47">
        <v>0</v>
      </c>
      <c r="F776" s="47">
        <v>0</v>
      </c>
      <c r="G776" s="47">
        <v>0</v>
      </c>
      <c r="H776" s="47">
        <v>0</v>
      </c>
      <c r="I776" s="47">
        <v>0</v>
      </c>
      <c r="J776" s="47">
        <v>0</v>
      </c>
      <c r="K776" s="47">
        <v>0</v>
      </c>
      <c r="L776" s="47">
        <v>0</v>
      </c>
      <c r="M776" s="47">
        <v>0</v>
      </c>
      <c r="N776" s="47">
        <v>0</v>
      </c>
      <c r="O776" s="47">
        <v>0</v>
      </c>
      <c r="P776" s="47">
        <v>0</v>
      </c>
      <c r="Q776" s="85"/>
      <c r="R776" s="85"/>
      <c r="S776" s="85"/>
      <c r="T776" s="85"/>
      <c r="U776" s="85"/>
      <c r="V776" s="85"/>
      <c r="W776" s="85"/>
      <c r="X776" s="85"/>
      <c r="Y776" s="85"/>
      <c r="Z776" s="85"/>
      <c r="AA776" s="85"/>
      <c r="AB776" s="85"/>
      <c r="AC776" s="85"/>
      <c r="AD776" s="85"/>
      <c r="AE776" s="47">
        <v>0</v>
      </c>
      <c r="AF776" s="47">
        <v>0</v>
      </c>
      <c r="AG776" s="47">
        <v>0</v>
      </c>
      <c r="AH776" s="47">
        <v>0</v>
      </c>
      <c r="AI776" s="47">
        <v>0</v>
      </c>
      <c r="AJ776" s="47">
        <v>0</v>
      </c>
      <c r="AK776" s="47">
        <v>0</v>
      </c>
      <c r="AL776" s="47">
        <v>0</v>
      </c>
      <c r="AM776" s="47">
        <v>0</v>
      </c>
      <c r="AN776" s="47">
        <v>0</v>
      </c>
      <c r="AO776" s="47">
        <v>0</v>
      </c>
      <c r="AP776" s="47">
        <v>0</v>
      </c>
      <c r="AQ776" s="47">
        <v>0</v>
      </c>
      <c r="AR776" s="47">
        <v>0</v>
      </c>
      <c r="AS776" s="47"/>
      <c r="AT776" s="47"/>
      <c r="AU776" s="47"/>
      <c r="AV776" s="47"/>
      <c r="AW776" s="47"/>
      <c r="AX776" s="47"/>
      <c r="AY776" s="47"/>
      <c r="AZ776" s="47"/>
      <c r="BA776" s="47"/>
      <c r="BB776" s="47"/>
      <c r="BC776" s="47"/>
      <c r="BD776" s="47"/>
      <c r="BE776" s="47"/>
      <c r="BF776" s="47"/>
    </row>
    <row r="777" spans="1:58" hidden="1">
      <c r="A777" s="46" t="s">
        <v>293</v>
      </c>
      <c r="B777" s="46" t="s">
        <v>256</v>
      </c>
      <c r="C777" s="47">
        <v>0</v>
      </c>
      <c r="D777" s="47">
        <v>0</v>
      </c>
      <c r="E777" s="47">
        <v>0</v>
      </c>
      <c r="F777" s="47">
        <v>0</v>
      </c>
      <c r="G777" s="47">
        <v>0</v>
      </c>
      <c r="H777" s="47">
        <v>0</v>
      </c>
      <c r="I777" s="47">
        <v>0</v>
      </c>
      <c r="J777" s="47">
        <v>0</v>
      </c>
      <c r="K777" s="47">
        <v>0</v>
      </c>
      <c r="L777" s="47">
        <v>0</v>
      </c>
      <c r="M777" s="47">
        <v>0</v>
      </c>
      <c r="N777" s="47">
        <v>0</v>
      </c>
      <c r="O777" s="47">
        <v>0</v>
      </c>
      <c r="P777" s="47">
        <v>0</v>
      </c>
      <c r="Q777" s="85"/>
      <c r="R777" s="85"/>
      <c r="S777" s="85"/>
      <c r="T777" s="85"/>
      <c r="U777" s="85"/>
      <c r="V777" s="85"/>
      <c r="W777" s="85"/>
      <c r="X777" s="85"/>
      <c r="Y777" s="85"/>
      <c r="Z777" s="85"/>
      <c r="AA777" s="85"/>
      <c r="AB777" s="85"/>
      <c r="AC777" s="85"/>
      <c r="AD777" s="85"/>
      <c r="AE777" s="47">
        <v>0</v>
      </c>
      <c r="AF777" s="47">
        <v>0</v>
      </c>
      <c r="AG777" s="47">
        <v>0</v>
      </c>
      <c r="AH777" s="47">
        <v>0</v>
      </c>
      <c r="AI777" s="47">
        <v>0</v>
      </c>
      <c r="AJ777" s="47">
        <v>0</v>
      </c>
      <c r="AK777" s="47">
        <v>0</v>
      </c>
      <c r="AL777" s="47">
        <v>0</v>
      </c>
      <c r="AM777" s="47">
        <v>0</v>
      </c>
      <c r="AN777" s="47">
        <v>0</v>
      </c>
      <c r="AO777" s="47">
        <v>0</v>
      </c>
      <c r="AP777" s="47">
        <v>0</v>
      </c>
      <c r="AQ777" s="47">
        <v>0</v>
      </c>
      <c r="AR777" s="47">
        <v>0</v>
      </c>
      <c r="AS777" s="47"/>
      <c r="AT777" s="47"/>
      <c r="AU777" s="47"/>
      <c r="AV777" s="47"/>
      <c r="AW777" s="47"/>
      <c r="AX777" s="47"/>
      <c r="AY777" s="47"/>
      <c r="AZ777" s="47"/>
      <c r="BA777" s="47"/>
      <c r="BB777" s="47"/>
      <c r="BC777" s="47"/>
      <c r="BD777" s="47"/>
      <c r="BE777" s="47"/>
      <c r="BF777" s="47"/>
    </row>
    <row r="778" spans="1:58" hidden="1">
      <c r="A778" s="46" t="s">
        <v>293</v>
      </c>
      <c r="B778" s="46" t="s">
        <v>257</v>
      </c>
      <c r="C778" s="47">
        <v>0</v>
      </c>
      <c r="D778" s="47">
        <v>0</v>
      </c>
      <c r="E778" s="47">
        <v>0</v>
      </c>
      <c r="F778" s="47">
        <v>0</v>
      </c>
      <c r="G778" s="47">
        <v>0</v>
      </c>
      <c r="H778" s="47">
        <v>0</v>
      </c>
      <c r="I778" s="47">
        <v>0</v>
      </c>
      <c r="J778" s="47">
        <v>0</v>
      </c>
      <c r="K778" s="47">
        <v>0</v>
      </c>
      <c r="L778" s="47">
        <v>0</v>
      </c>
      <c r="M778" s="47">
        <v>0</v>
      </c>
      <c r="N778" s="47">
        <v>0</v>
      </c>
      <c r="O778" s="47">
        <v>0</v>
      </c>
      <c r="P778" s="47">
        <v>0</v>
      </c>
      <c r="Q778" s="85"/>
      <c r="R778" s="85"/>
      <c r="S778" s="85"/>
      <c r="T778" s="85"/>
      <c r="U778" s="85"/>
      <c r="V778" s="85"/>
      <c r="W778" s="85"/>
      <c r="X778" s="85"/>
      <c r="Y778" s="85"/>
      <c r="Z778" s="85"/>
      <c r="AA778" s="85"/>
      <c r="AB778" s="85"/>
      <c r="AC778" s="85"/>
      <c r="AD778" s="85"/>
      <c r="AE778" s="47">
        <v>0</v>
      </c>
      <c r="AF778" s="47">
        <v>0</v>
      </c>
      <c r="AG778" s="47">
        <v>0</v>
      </c>
      <c r="AH778" s="47">
        <v>0</v>
      </c>
      <c r="AI778" s="47">
        <v>0</v>
      </c>
      <c r="AJ778" s="47">
        <v>0</v>
      </c>
      <c r="AK778" s="47">
        <v>0</v>
      </c>
      <c r="AL778" s="47">
        <v>0</v>
      </c>
      <c r="AM778" s="47">
        <v>0</v>
      </c>
      <c r="AN778" s="47">
        <v>0</v>
      </c>
      <c r="AO778" s="47">
        <v>0</v>
      </c>
      <c r="AP778" s="47">
        <v>0</v>
      </c>
      <c r="AQ778" s="47">
        <v>0</v>
      </c>
      <c r="AR778" s="47">
        <v>0</v>
      </c>
      <c r="AS778" s="47"/>
      <c r="AT778" s="47"/>
      <c r="AU778" s="47"/>
      <c r="AV778" s="47"/>
      <c r="AW778" s="47"/>
      <c r="AX778" s="47"/>
      <c r="AY778" s="47"/>
      <c r="AZ778" s="47"/>
      <c r="BA778" s="47"/>
      <c r="BB778" s="47"/>
      <c r="BC778" s="47"/>
      <c r="BD778" s="47"/>
      <c r="BE778" s="47"/>
      <c r="BF778" s="47"/>
    </row>
    <row r="779" spans="1:58" hidden="1">
      <c r="A779" s="46" t="s">
        <v>293</v>
      </c>
      <c r="B779" s="46" t="s">
        <v>258</v>
      </c>
      <c r="C779" s="47">
        <v>0</v>
      </c>
      <c r="D779" s="47">
        <v>0</v>
      </c>
      <c r="E779" s="47">
        <v>0</v>
      </c>
      <c r="F779" s="47">
        <v>0</v>
      </c>
      <c r="G779" s="47">
        <v>0</v>
      </c>
      <c r="H779" s="47">
        <v>0</v>
      </c>
      <c r="I779" s="47">
        <v>0</v>
      </c>
      <c r="J779" s="47">
        <v>0</v>
      </c>
      <c r="K779" s="47">
        <v>0</v>
      </c>
      <c r="L779" s="47">
        <v>0</v>
      </c>
      <c r="M779" s="47">
        <v>0</v>
      </c>
      <c r="N779" s="47">
        <v>0</v>
      </c>
      <c r="O779" s="47">
        <v>0</v>
      </c>
      <c r="P779" s="47">
        <v>0</v>
      </c>
      <c r="Q779" s="85"/>
      <c r="R779" s="85"/>
      <c r="S779" s="85"/>
      <c r="T779" s="85"/>
      <c r="U779" s="85"/>
      <c r="V779" s="85"/>
      <c r="W779" s="85"/>
      <c r="X779" s="85"/>
      <c r="Y779" s="85"/>
      <c r="Z779" s="85"/>
      <c r="AA779" s="85"/>
      <c r="AB779" s="85"/>
      <c r="AC779" s="85"/>
      <c r="AD779" s="85"/>
      <c r="AE779" s="47">
        <v>0</v>
      </c>
      <c r="AF779" s="47">
        <v>0</v>
      </c>
      <c r="AG779" s="47">
        <v>0</v>
      </c>
      <c r="AH779" s="47">
        <v>0</v>
      </c>
      <c r="AI779" s="47">
        <v>0</v>
      </c>
      <c r="AJ779" s="47">
        <v>0</v>
      </c>
      <c r="AK779" s="47">
        <v>0</v>
      </c>
      <c r="AL779" s="47">
        <v>0</v>
      </c>
      <c r="AM779" s="47">
        <v>0</v>
      </c>
      <c r="AN779" s="47">
        <v>0</v>
      </c>
      <c r="AO779" s="47">
        <v>0</v>
      </c>
      <c r="AP779" s="47">
        <v>0</v>
      </c>
      <c r="AQ779" s="47">
        <v>0</v>
      </c>
      <c r="AR779" s="47">
        <v>0</v>
      </c>
      <c r="AS779" s="47"/>
      <c r="AT779" s="47"/>
      <c r="AU779" s="47"/>
      <c r="AV779" s="47"/>
      <c r="AW779" s="47"/>
      <c r="AX779" s="47"/>
      <c r="AY779" s="47"/>
      <c r="AZ779" s="47"/>
      <c r="BA779" s="47"/>
      <c r="BB779" s="47"/>
      <c r="BC779" s="47"/>
      <c r="BD779" s="47"/>
      <c r="BE779" s="47"/>
      <c r="BF779" s="47"/>
    </row>
    <row r="780" spans="1:58" hidden="1">
      <c r="A780" s="46" t="s">
        <v>293</v>
      </c>
      <c r="B780" s="46" t="s">
        <v>259</v>
      </c>
      <c r="C780" s="47">
        <v>0</v>
      </c>
      <c r="D780" s="47">
        <v>0</v>
      </c>
      <c r="E780" s="47">
        <v>0</v>
      </c>
      <c r="F780" s="47">
        <v>0</v>
      </c>
      <c r="G780" s="47">
        <v>0</v>
      </c>
      <c r="H780" s="47">
        <v>0</v>
      </c>
      <c r="I780" s="47">
        <v>0</v>
      </c>
      <c r="J780" s="47">
        <v>0</v>
      </c>
      <c r="K780" s="47">
        <v>0</v>
      </c>
      <c r="L780" s="47">
        <v>0</v>
      </c>
      <c r="M780" s="47">
        <v>0</v>
      </c>
      <c r="N780" s="47">
        <v>0</v>
      </c>
      <c r="O780" s="47">
        <v>0</v>
      </c>
      <c r="P780" s="47">
        <v>0</v>
      </c>
      <c r="Q780" s="85"/>
      <c r="R780" s="85"/>
      <c r="S780" s="85"/>
      <c r="T780" s="85"/>
      <c r="U780" s="85"/>
      <c r="V780" s="85"/>
      <c r="W780" s="85"/>
      <c r="X780" s="85"/>
      <c r="Y780" s="85"/>
      <c r="Z780" s="85"/>
      <c r="AA780" s="85"/>
      <c r="AB780" s="85"/>
      <c r="AC780" s="85"/>
      <c r="AD780" s="85"/>
      <c r="AE780" s="47">
        <v>0</v>
      </c>
      <c r="AF780" s="47">
        <v>0</v>
      </c>
      <c r="AG780" s="47">
        <v>0</v>
      </c>
      <c r="AH780" s="47">
        <v>0</v>
      </c>
      <c r="AI780" s="47">
        <v>0</v>
      </c>
      <c r="AJ780" s="47">
        <v>0</v>
      </c>
      <c r="AK780" s="47">
        <v>0</v>
      </c>
      <c r="AL780" s="47">
        <v>0</v>
      </c>
      <c r="AM780" s="47">
        <v>0</v>
      </c>
      <c r="AN780" s="47">
        <v>0</v>
      </c>
      <c r="AO780" s="47">
        <v>0</v>
      </c>
      <c r="AP780" s="47">
        <v>0</v>
      </c>
      <c r="AQ780" s="47">
        <v>0</v>
      </c>
      <c r="AR780" s="47">
        <v>0</v>
      </c>
      <c r="AS780" s="47"/>
      <c r="AT780" s="47"/>
      <c r="AU780" s="47"/>
      <c r="AV780" s="47"/>
      <c r="AW780" s="47"/>
      <c r="AX780" s="47"/>
      <c r="AY780" s="47"/>
      <c r="AZ780" s="47"/>
      <c r="BA780" s="47"/>
      <c r="BB780" s="47"/>
      <c r="BC780" s="47"/>
      <c r="BD780" s="47"/>
      <c r="BE780" s="47"/>
      <c r="BF780" s="47"/>
    </row>
    <row r="781" spans="1:58" hidden="1">
      <c r="A781" s="46" t="s">
        <v>293</v>
      </c>
      <c r="B781" s="46" t="s">
        <v>260</v>
      </c>
      <c r="C781" s="47">
        <v>0</v>
      </c>
      <c r="D781" s="47">
        <v>0</v>
      </c>
      <c r="E781" s="47">
        <v>0</v>
      </c>
      <c r="F781" s="47">
        <v>0</v>
      </c>
      <c r="G781" s="47">
        <v>0</v>
      </c>
      <c r="H781" s="47">
        <v>0</v>
      </c>
      <c r="I781" s="47">
        <v>0</v>
      </c>
      <c r="J781" s="47">
        <v>0</v>
      </c>
      <c r="K781" s="47">
        <v>0</v>
      </c>
      <c r="L781" s="47">
        <v>0</v>
      </c>
      <c r="M781" s="47">
        <v>0</v>
      </c>
      <c r="N781" s="47">
        <v>0</v>
      </c>
      <c r="O781" s="47">
        <v>0</v>
      </c>
      <c r="P781" s="47">
        <v>0</v>
      </c>
      <c r="Q781" s="85"/>
      <c r="R781" s="85"/>
      <c r="S781" s="85"/>
      <c r="T781" s="85"/>
      <c r="U781" s="85"/>
      <c r="V781" s="85"/>
      <c r="W781" s="85"/>
      <c r="X781" s="85"/>
      <c r="Y781" s="85"/>
      <c r="Z781" s="85"/>
      <c r="AA781" s="85"/>
      <c r="AB781" s="85"/>
      <c r="AC781" s="85"/>
      <c r="AD781" s="85"/>
      <c r="AE781" s="47">
        <v>0</v>
      </c>
      <c r="AF781" s="47">
        <v>0</v>
      </c>
      <c r="AG781" s="47">
        <v>0</v>
      </c>
      <c r="AH781" s="47">
        <v>0</v>
      </c>
      <c r="AI781" s="47">
        <v>0</v>
      </c>
      <c r="AJ781" s="47">
        <v>0</v>
      </c>
      <c r="AK781" s="47">
        <v>0</v>
      </c>
      <c r="AL781" s="47">
        <v>0</v>
      </c>
      <c r="AM781" s="47">
        <v>0</v>
      </c>
      <c r="AN781" s="47">
        <v>0</v>
      </c>
      <c r="AO781" s="47">
        <v>0</v>
      </c>
      <c r="AP781" s="47">
        <v>0</v>
      </c>
      <c r="AQ781" s="47">
        <v>0</v>
      </c>
      <c r="AR781" s="47">
        <v>0</v>
      </c>
      <c r="AS781" s="47"/>
      <c r="AT781" s="47"/>
      <c r="AU781" s="47"/>
      <c r="AV781" s="47"/>
      <c r="AW781" s="47"/>
      <c r="AX781" s="47"/>
      <c r="AY781" s="47"/>
      <c r="AZ781" s="47"/>
      <c r="BA781" s="47"/>
      <c r="BB781" s="47"/>
      <c r="BC781" s="47"/>
      <c r="BD781" s="47"/>
      <c r="BE781" s="47"/>
      <c r="BF781" s="47"/>
    </row>
    <row r="782" spans="1:58" hidden="1">
      <c r="A782" s="46" t="s">
        <v>293</v>
      </c>
      <c r="B782" s="46" t="s">
        <v>261</v>
      </c>
      <c r="C782" s="47">
        <v>0</v>
      </c>
      <c r="D782" s="47">
        <v>0</v>
      </c>
      <c r="E782" s="47">
        <v>0</v>
      </c>
      <c r="F782" s="47">
        <v>0</v>
      </c>
      <c r="G782" s="47">
        <v>0</v>
      </c>
      <c r="H782" s="47">
        <v>0</v>
      </c>
      <c r="I782" s="47">
        <v>0</v>
      </c>
      <c r="J782" s="47">
        <v>0</v>
      </c>
      <c r="K782" s="47">
        <v>0</v>
      </c>
      <c r="L782" s="47">
        <v>0</v>
      </c>
      <c r="M782" s="47">
        <v>0</v>
      </c>
      <c r="N782" s="47">
        <v>0</v>
      </c>
      <c r="O782" s="47">
        <v>0</v>
      </c>
      <c r="P782" s="47">
        <v>0</v>
      </c>
      <c r="Q782" s="85"/>
      <c r="R782" s="85"/>
      <c r="S782" s="85"/>
      <c r="T782" s="85"/>
      <c r="U782" s="85"/>
      <c r="V782" s="85"/>
      <c r="W782" s="85"/>
      <c r="X782" s="85"/>
      <c r="Y782" s="85"/>
      <c r="Z782" s="85"/>
      <c r="AA782" s="85"/>
      <c r="AB782" s="85"/>
      <c r="AC782" s="85"/>
      <c r="AD782" s="85"/>
      <c r="AE782" s="47">
        <v>0</v>
      </c>
      <c r="AF782" s="47">
        <v>0</v>
      </c>
      <c r="AG782" s="47">
        <v>0</v>
      </c>
      <c r="AH782" s="47">
        <v>0</v>
      </c>
      <c r="AI782" s="47">
        <v>0</v>
      </c>
      <c r="AJ782" s="47">
        <v>0</v>
      </c>
      <c r="AK782" s="47">
        <v>0</v>
      </c>
      <c r="AL782" s="47">
        <v>0</v>
      </c>
      <c r="AM782" s="47">
        <v>0</v>
      </c>
      <c r="AN782" s="47">
        <v>0</v>
      </c>
      <c r="AO782" s="47">
        <v>0</v>
      </c>
      <c r="AP782" s="47">
        <v>0</v>
      </c>
      <c r="AQ782" s="47">
        <v>0</v>
      </c>
      <c r="AR782" s="47">
        <v>0</v>
      </c>
      <c r="AS782" s="47"/>
      <c r="AT782" s="47"/>
      <c r="AU782" s="47"/>
      <c r="AV782" s="47"/>
      <c r="AW782" s="47"/>
      <c r="AX782" s="47"/>
      <c r="AY782" s="47"/>
      <c r="AZ782" s="47"/>
      <c r="BA782" s="47"/>
      <c r="BB782" s="47"/>
      <c r="BC782" s="47"/>
      <c r="BD782" s="47"/>
      <c r="BE782" s="47"/>
      <c r="BF782" s="47"/>
    </row>
    <row r="783" spans="1:58" hidden="1">
      <c r="A783" s="46" t="s">
        <v>293</v>
      </c>
      <c r="B783" s="46" t="s">
        <v>262</v>
      </c>
      <c r="C783" s="47">
        <v>0</v>
      </c>
      <c r="D783" s="47">
        <v>0</v>
      </c>
      <c r="E783" s="47">
        <v>0</v>
      </c>
      <c r="F783" s="47">
        <v>0</v>
      </c>
      <c r="G783" s="47">
        <v>0</v>
      </c>
      <c r="H783" s="47">
        <v>0</v>
      </c>
      <c r="I783" s="47">
        <v>0</v>
      </c>
      <c r="J783" s="47">
        <v>0</v>
      </c>
      <c r="K783" s="47">
        <v>0</v>
      </c>
      <c r="L783" s="47">
        <v>0</v>
      </c>
      <c r="M783" s="47">
        <v>0</v>
      </c>
      <c r="N783" s="47">
        <v>0</v>
      </c>
      <c r="O783" s="47">
        <v>0</v>
      </c>
      <c r="P783" s="47">
        <v>0</v>
      </c>
      <c r="Q783" s="85"/>
      <c r="R783" s="85"/>
      <c r="S783" s="85"/>
      <c r="T783" s="85"/>
      <c r="U783" s="85"/>
      <c r="V783" s="85"/>
      <c r="W783" s="85"/>
      <c r="X783" s="85"/>
      <c r="Y783" s="85"/>
      <c r="Z783" s="85"/>
      <c r="AA783" s="85"/>
      <c r="AB783" s="85"/>
      <c r="AC783" s="85"/>
      <c r="AD783" s="85"/>
      <c r="AE783" s="47">
        <v>0</v>
      </c>
      <c r="AF783" s="47">
        <v>0</v>
      </c>
      <c r="AG783" s="47">
        <v>0</v>
      </c>
      <c r="AH783" s="47">
        <v>0</v>
      </c>
      <c r="AI783" s="47">
        <v>0</v>
      </c>
      <c r="AJ783" s="47">
        <v>0</v>
      </c>
      <c r="AK783" s="47">
        <v>0</v>
      </c>
      <c r="AL783" s="47">
        <v>0</v>
      </c>
      <c r="AM783" s="47">
        <v>0</v>
      </c>
      <c r="AN783" s="47">
        <v>0</v>
      </c>
      <c r="AO783" s="47">
        <v>0</v>
      </c>
      <c r="AP783" s="47">
        <v>0</v>
      </c>
      <c r="AQ783" s="47">
        <v>0</v>
      </c>
      <c r="AR783" s="47">
        <v>0</v>
      </c>
      <c r="AS783" s="47"/>
      <c r="AT783" s="47"/>
      <c r="AU783" s="47"/>
      <c r="AV783" s="47"/>
      <c r="AW783" s="47"/>
      <c r="AX783" s="47"/>
      <c r="AY783" s="47"/>
      <c r="AZ783" s="47"/>
      <c r="BA783" s="47"/>
      <c r="BB783" s="47"/>
      <c r="BC783" s="47"/>
      <c r="BD783" s="47"/>
      <c r="BE783" s="47"/>
      <c r="BF783" s="47"/>
    </row>
    <row r="784" spans="1:58" hidden="1">
      <c r="A784" s="46" t="s">
        <v>293</v>
      </c>
      <c r="B784" s="46" t="s">
        <v>263</v>
      </c>
      <c r="C784" s="47">
        <v>0</v>
      </c>
      <c r="D784" s="47">
        <v>0</v>
      </c>
      <c r="E784" s="47">
        <v>0</v>
      </c>
      <c r="F784" s="47">
        <v>0</v>
      </c>
      <c r="G784" s="47">
        <v>0</v>
      </c>
      <c r="H784" s="47">
        <v>0</v>
      </c>
      <c r="I784" s="47">
        <v>0</v>
      </c>
      <c r="J784" s="47">
        <v>0</v>
      </c>
      <c r="K784" s="47">
        <v>0</v>
      </c>
      <c r="L784" s="47">
        <v>0</v>
      </c>
      <c r="M784" s="47">
        <v>0</v>
      </c>
      <c r="N784" s="47">
        <v>0</v>
      </c>
      <c r="O784" s="47">
        <v>0</v>
      </c>
      <c r="P784" s="47">
        <v>0</v>
      </c>
      <c r="Q784" s="85"/>
      <c r="R784" s="85"/>
      <c r="S784" s="85"/>
      <c r="T784" s="85"/>
      <c r="U784" s="85"/>
      <c r="V784" s="85"/>
      <c r="W784" s="85"/>
      <c r="X784" s="85"/>
      <c r="Y784" s="85"/>
      <c r="Z784" s="85"/>
      <c r="AA784" s="85"/>
      <c r="AB784" s="85"/>
      <c r="AC784" s="85"/>
      <c r="AD784" s="85"/>
      <c r="AE784" s="47">
        <v>0</v>
      </c>
      <c r="AF784" s="47">
        <v>0</v>
      </c>
      <c r="AG784" s="47">
        <v>0</v>
      </c>
      <c r="AH784" s="47">
        <v>0</v>
      </c>
      <c r="AI784" s="47">
        <v>0</v>
      </c>
      <c r="AJ784" s="47">
        <v>0</v>
      </c>
      <c r="AK784" s="47">
        <v>0</v>
      </c>
      <c r="AL784" s="47">
        <v>0</v>
      </c>
      <c r="AM784" s="47">
        <v>0</v>
      </c>
      <c r="AN784" s="47">
        <v>0</v>
      </c>
      <c r="AO784" s="47">
        <v>0</v>
      </c>
      <c r="AP784" s="47">
        <v>0</v>
      </c>
      <c r="AQ784" s="47">
        <v>0</v>
      </c>
      <c r="AR784" s="47">
        <v>0</v>
      </c>
      <c r="AS784" s="47"/>
      <c r="AT784" s="47"/>
      <c r="AU784" s="47"/>
      <c r="AV784" s="47"/>
      <c r="AW784" s="47"/>
      <c r="AX784" s="47"/>
      <c r="AY784" s="47"/>
      <c r="AZ784" s="47"/>
      <c r="BA784" s="47"/>
      <c r="BB784" s="47"/>
      <c r="BC784" s="47"/>
      <c r="BD784" s="47"/>
      <c r="BE784" s="47"/>
      <c r="BF784" s="47"/>
    </row>
    <row r="785" spans="1:58" hidden="1">
      <c r="A785" s="46" t="s">
        <v>293</v>
      </c>
      <c r="B785" s="46" t="s">
        <v>264</v>
      </c>
      <c r="C785" s="47">
        <v>0</v>
      </c>
      <c r="D785" s="47">
        <v>0</v>
      </c>
      <c r="E785" s="47">
        <v>0</v>
      </c>
      <c r="F785" s="47">
        <v>0</v>
      </c>
      <c r="G785" s="47">
        <v>0</v>
      </c>
      <c r="H785" s="47">
        <v>0</v>
      </c>
      <c r="I785" s="47">
        <v>100</v>
      </c>
      <c r="J785" s="47">
        <v>0</v>
      </c>
      <c r="K785" s="47">
        <v>0</v>
      </c>
      <c r="L785" s="47">
        <v>0</v>
      </c>
      <c r="M785" s="47">
        <v>0</v>
      </c>
      <c r="N785" s="47">
        <v>0</v>
      </c>
      <c r="O785" s="47">
        <v>0</v>
      </c>
      <c r="P785" s="47">
        <v>0</v>
      </c>
      <c r="Q785" s="85"/>
      <c r="R785" s="85"/>
      <c r="S785" s="85"/>
      <c r="T785" s="85"/>
      <c r="U785" s="85"/>
      <c r="V785" s="85"/>
      <c r="W785" s="85">
        <v>5</v>
      </c>
      <c r="X785" s="85"/>
      <c r="Y785" s="85"/>
      <c r="Z785" s="85"/>
      <c r="AA785" s="85"/>
      <c r="AB785" s="85"/>
      <c r="AC785" s="85"/>
      <c r="AD785" s="85"/>
      <c r="AE785" s="47">
        <v>0</v>
      </c>
      <c r="AF785" s="47">
        <v>0</v>
      </c>
      <c r="AG785" s="47">
        <v>0</v>
      </c>
      <c r="AH785" s="47">
        <v>0</v>
      </c>
      <c r="AI785" s="47">
        <v>0</v>
      </c>
      <c r="AJ785" s="47">
        <v>0</v>
      </c>
      <c r="AK785" s="47">
        <v>500</v>
      </c>
      <c r="AL785" s="47">
        <v>0</v>
      </c>
      <c r="AM785" s="47">
        <v>0</v>
      </c>
      <c r="AN785" s="47">
        <v>0</v>
      </c>
      <c r="AO785" s="47">
        <v>0</v>
      </c>
      <c r="AP785" s="47">
        <v>0</v>
      </c>
      <c r="AQ785" s="47">
        <v>0</v>
      </c>
      <c r="AR785" s="47">
        <v>0</v>
      </c>
      <c r="AS785" s="47"/>
      <c r="AT785" s="47"/>
      <c r="AU785" s="47"/>
      <c r="AV785" s="47"/>
      <c r="AW785" s="47"/>
      <c r="AX785" s="47"/>
      <c r="AY785" s="47"/>
      <c r="AZ785" s="47"/>
      <c r="BA785" s="47"/>
      <c r="BB785" s="47"/>
      <c r="BC785" s="47"/>
      <c r="BD785" s="47"/>
      <c r="BE785" s="47"/>
      <c r="BF785" s="47"/>
    </row>
    <row r="786" spans="1:58" hidden="1">
      <c r="A786" s="46" t="s">
        <v>293</v>
      </c>
      <c r="B786" s="46" t="s">
        <v>265</v>
      </c>
      <c r="C786" s="47">
        <v>357</v>
      </c>
      <c r="D786" s="47">
        <v>368</v>
      </c>
      <c r="E786" s="47">
        <v>380</v>
      </c>
      <c r="F786" s="47">
        <v>408</v>
      </c>
      <c r="G786" s="47">
        <v>310</v>
      </c>
      <c r="H786" s="47">
        <v>343</v>
      </c>
      <c r="I786" s="47">
        <v>315</v>
      </c>
      <c r="J786" s="47">
        <v>68</v>
      </c>
      <c r="K786" s="47">
        <v>50</v>
      </c>
      <c r="L786" s="47">
        <v>53</v>
      </c>
      <c r="M786" s="47">
        <v>55</v>
      </c>
      <c r="N786" s="47">
        <v>55</v>
      </c>
      <c r="O786" s="47">
        <v>55</v>
      </c>
      <c r="P786" s="47">
        <v>50</v>
      </c>
      <c r="Q786" s="85">
        <v>10</v>
      </c>
      <c r="R786" s="85">
        <v>10</v>
      </c>
      <c r="S786" s="85">
        <v>10</v>
      </c>
      <c r="T786" s="85">
        <v>10</v>
      </c>
      <c r="U786" s="85">
        <v>10</v>
      </c>
      <c r="V786" s="85">
        <v>10</v>
      </c>
      <c r="W786" s="85">
        <v>8.33</v>
      </c>
      <c r="X786" s="85">
        <v>50</v>
      </c>
      <c r="Y786" s="85">
        <v>83.34</v>
      </c>
      <c r="Z786" s="85">
        <v>83.34</v>
      </c>
      <c r="AA786" s="85">
        <v>1.51</v>
      </c>
      <c r="AB786" s="85">
        <v>1.51</v>
      </c>
      <c r="AC786" s="85">
        <v>14.55</v>
      </c>
      <c r="AD786" s="85">
        <v>14</v>
      </c>
      <c r="AE786" s="47">
        <v>3570</v>
      </c>
      <c r="AF786" s="47">
        <v>3680</v>
      </c>
      <c r="AG786" s="47">
        <v>3800</v>
      </c>
      <c r="AH786" s="47">
        <v>4080</v>
      </c>
      <c r="AI786" s="47">
        <v>3100</v>
      </c>
      <c r="AJ786" s="47">
        <v>3430</v>
      </c>
      <c r="AK786" s="47">
        <v>2625</v>
      </c>
      <c r="AL786" s="47">
        <v>3400</v>
      </c>
      <c r="AM786" s="47">
        <v>4167</v>
      </c>
      <c r="AN786" s="47">
        <v>4417</v>
      </c>
      <c r="AO786" s="47">
        <v>83</v>
      </c>
      <c r="AP786" s="47">
        <v>83</v>
      </c>
      <c r="AQ786" s="47">
        <v>800</v>
      </c>
      <c r="AR786" s="47">
        <v>700</v>
      </c>
      <c r="AS786" s="47"/>
      <c r="AT786" s="47"/>
      <c r="AU786" s="47"/>
      <c r="AV786" s="47"/>
      <c r="AW786" s="47"/>
      <c r="AX786" s="47"/>
      <c r="AY786" s="47"/>
      <c r="AZ786" s="47"/>
      <c r="BA786" s="47"/>
      <c r="BB786" s="47"/>
      <c r="BC786" s="47"/>
      <c r="BD786" s="47"/>
      <c r="BE786" s="47"/>
      <c r="BF786" s="47"/>
    </row>
    <row r="787" spans="1:58" hidden="1">
      <c r="A787" s="46" t="s">
        <v>293</v>
      </c>
      <c r="B787" s="46" t="s">
        <v>266</v>
      </c>
      <c r="C787" s="47">
        <v>0</v>
      </c>
      <c r="D787" s="47">
        <v>0</v>
      </c>
      <c r="E787" s="47">
        <v>0</v>
      </c>
      <c r="F787" s="47">
        <v>0</v>
      </c>
      <c r="G787" s="47">
        <v>0</v>
      </c>
      <c r="H787" s="47">
        <v>0</v>
      </c>
      <c r="I787" s="47">
        <v>0</v>
      </c>
      <c r="J787" s="47">
        <v>0</v>
      </c>
      <c r="K787" s="47">
        <v>0</v>
      </c>
      <c r="L787" s="47">
        <v>0</v>
      </c>
      <c r="M787" s="47">
        <v>0</v>
      </c>
      <c r="N787" s="47">
        <v>0</v>
      </c>
      <c r="O787" s="47">
        <v>0</v>
      </c>
      <c r="P787" s="47">
        <v>0</v>
      </c>
      <c r="Q787" s="85"/>
      <c r="R787" s="85"/>
      <c r="S787" s="85"/>
      <c r="T787" s="85"/>
      <c r="U787" s="85"/>
      <c r="V787" s="85"/>
      <c r="W787" s="85"/>
      <c r="X787" s="85"/>
      <c r="Y787" s="85"/>
      <c r="Z787" s="85"/>
      <c r="AA787" s="85"/>
      <c r="AB787" s="85"/>
      <c r="AC787" s="85"/>
      <c r="AD787" s="85"/>
      <c r="AE787" s="47">
        <v>0</v>
      </c>
      <c r="AF787" s="47">
        <v>0</v>
      </c>
      <c r="AG787" s="47">
        <v>0</v>
      </c>
      <c r="AH787" s="47">
        <v>0</v>
      </c>
      <c r="AI787" s="47">
        <v>0</v>
      </c>
      <c r="AJ787" s="47">
        <v>0</v>
      </c>
      <c r="AK787" s="47">
        <v>0</v>
      </c>
      <c r="AL787" s="47">
        <v>0</v>
      </c>
      <c r="AM787" s="47">
        <v>0</v>
      </c>
      <c r="AN787" s="47">
        <v>0</v>
      </c>
      <c r="AO787" s="47">
        <v>0</v>
      </c>
      <c r="AP787" s="47">
        <v>0</v>
      </c>
      <c r="AQ787" s="47">
        <v>0</v>
      </c>
      <c r="AR787" s="47">
        <v>0</v>
      </c>
      <c r="AS787" s="47"/>
      <c r="AT787" s="47"/>
      <c r="AU787" s="47"/>
      <c r="AV787" s="47"/>
      <c r="AW787" s="47"/>
      <c r="AX787" s="47"/>
      <c r="AY787" s="47"/>
      <c r="AZ787" s="47"/>
      <c r="BA787" s="47"/>
      <c r="BB787" s="47"/>
      <c r="BC787" s="47"/>
      <c r="BD787" s="47"/>
      <c r="BE787" s="47"/>
      <c r="BF787" s="47"/>
    </row>
    <row r="788" spans="1:58" hidden="1">
      <c r="A788" s="46" t="s">
        <v>293</v>
      </c>
      <c r="B788" s="46" t="s">
        <v>267</v>
      </c>
      <c r="C788" s="47">
        <v>357</v>
      </c>
      <c r="D788" s="47">
        <v>368</v>
      </c>
      <c r="E788" s="47">
        <v>380</v>
      </c>
      <c r="F788" s="47">
        <v>408</v>
      </c>
      <c r="G788" s="47">
        <v>310</v>
      </c>
      <c r="H788" s="47">
        <v>343</v>
      </c>
      <c r="I788" s="47">
        <v>415</v>
      </c>
      <c r="J788" s="47">
        <v>68</v>
      </c>
      <c r="K788" s="47">
        <v>50</v>
      </c>
      <c r="L788" s="47">
        <v>53</v>
      </c>
      <c r="M788" s="47">
        <v>55</v>
      </c>
      <c r="N788" s="47">
        <v>55</v>
      </c>
      <c r="O788" s="47">
        <v>55</v>
      </c>
      <c r="P788" s="47">
        <v>50</v>
      </c>
      <c r="Q788" s="85">
        <v>10</v>
      </c>
      <c r="R788" s="85">
        <v>10</v>
      </c>
      <c r="S788" s="85">
        <v>10</v>
      </c>
      <c r="T788" s="85">
        <v>10</v>
      </c>
      <c r="U788" s="85">
        <v>10</v>
      </c>
      <c r="V788" s="85">
        <v>10</v>
      </c>
      <c r="W788" s="85">
        <v>7.53</v>
      </c>
      <c r="X788" s="85">
        <v>50</v>
      </c>
      <c r="Y788" s="85">
        <v>83.34</v>
      </c>
      <c r="Z788" s="85">
        <v>83.34</v>
      </c>
      <c r="AA788" s="85">
        <v>1.51</v>
      </c>
      <c r="AB788" s="85">
        <v>1.51</v>
      </c>
      <c r="AC788" s="85">
        <v>14.55</v>
      </c>
      <c r="AD788" s="85">
        <v>14</v>
      </c>
      <c r="AE788" s="47">
        <v>3570</v>
      </c>
      <c r="AF788" s="47">
        <v>3680</v>
      </c>
      <c r="AG788" s="47">
        <v>3800</v>
      </c>
      <c r="AH788" s="47">
        <v>4080</v>
      </c>
      <c r="AI788" s="47">
        <v>3100</v>
      </c>
      <c r="AJ788" s="47">
        <v>3430</v>
      </c>
      <c r="AK788" s="47">
        <v>3125</v>
      </c>
      <c r="AL788" s="47">
        <v>3400</v>
      </c>
      <c r="AM788" s="47">
        <v>4167</v>
      </c>
      <c r="AN788" s="47">
        <v>4417</v>
      </c>
      <c r="AO788" s="47">
        <v>83</v>
      </c>
      <c r="AP788" s="47">
        <v>83</v>
      </c>
      <c r="AQ788" s="47">
        <v>800</v>
      </c>
      <c r="AR788" s="47">
        <v>700</v>
      </c>
      <c r="AS788" s="47"/>
      <c r="AT788" s="47"/>
      <c r="AU788" s="47"/>
      <c r="AV788" s="47"/>
      <c r="AW788" s="47"/>
      <c r="AX788" s="47"/>
      <c r="AY788" s="47"/>
      <c r="AZ788" s="47"/>
      <c r="BA788" s="47"/>
      <c r="BB788" s="47"/>
      <c r="BC788" s="47"/>
      <c r="BD788" s="47"/>
      <c r="BE788" s="47"/>
      <c r="BF788" s="47"/>
    </row>
    <row r="789" spans="1:58" hidden="1">
      <c r="A789" s="46" t="s">
        <v>293</v>
      </c>
      <c r="B789" s="46" t="s">
        <v>268</v>
      </c>
      <c r="C789" s="47">
        <v>0</v>
      </c>
      <c r="D789" s="47">
        <v>0</v>
      </c>
      <c r="E789" s="47">
        <v>0</v>
      </c>
      <c r="F789" s="47">
        <v>0</v>
      </c>
      <c r="G789" s="47">
        <v>0</v>
      </c>
      <c r="H789" s="47">
        <v>0</v>
      </c>
      <c r="I789" s="47">
        <v>0</v>
      </c>
      <c r="J789" s="47">
        <v>0</v>
      </c>
      <c r="K789" s="47">
        <v>0</v>
      </c>
      <c r="L789" s="47">
        <v>0</v>
      </c>
      <c r="M789" s="47">
        <v>0</v>
      </c>
      <c r="N789" s="47">
        <v>0</v>
      </c>
      <c r="O789" s="47">
        <v>0</v>
      </c>
      <c r="P789" s="47">
        <v>0</v>
      </c>
      <c r="Q789" s="85"/>
      <c r="R789" s="85"/>
      <c r="S789" s="85"/>
      <c r="T789" s="85"/>
      <c r="U789" s="85"/>
      <c r="V789" s="85"/>
      <c r="W789" s="85"/>
      <c r="X789" s="85"/>
      <c r="Y789" s="85"/>
      <c r="Z789" s="85"/>
      <c r="AA789" s="85"/>
      <c r="AB789" s="85"/>
      <c r="AC789" s="85"/>
      <c r="AD789" s="85"/>
      <c r="AE789" s="47">
        <v>0</v>
      </c>
      <c r="AF789" s="47">
        <v>0</v>
      </c>
      <c r="AG789" s="47">
        <v>0</v>
      </c>
      <c r="AH789" s="47">
        <v>0</v>
      </c>
      <c r="AI789" s="47">
        <v>0</v>
      </c>
      <c r="AJ789" s="47">
        <v>0</v>
      </c>
      <c r="AK789" s="47">
        <v>0</v>
      </c>
      <c r="AL789" s="47">
        <v>0</v>
      </c>
      <c r="AM789" s="47">
        <v>0</v>
      </c>
      <c r="AN789" s="47">
        <v>0</v>
      </c>
      <c r="AO789" s="47">
        <v>0</v>
      </c>
      <c r="AP789" s="47">
        <v>0</v>
      </c>
      <c r="AQ789" s="47">
        <v>0</v>
      </c>
      <c r="AR789" s="47">
        <v>0</v>
      </c>
      <c r="AS789" s="47"/>
      <c r="AT789" s="47"/>
      <c r="AU789" s="47"/>
      <c r="AV789" s="47"/>
      <c r="AW789" s="47"/>
      <c r="AX789" s="47"/>
      <c r="AY789" s="47"/>
      <c r="AZ789" s="47"/>
      <c r="BA789" s="47"/>
      <c r="BB789" s="47"/>
      <c r="BC789" s="47"/>
      <c r="BD789" s="47"/>
      <c r="BE789" s="47"/>
      <c r="BF789" s="47"/>
    </row>
    <row r="790" spans="1:58" hidden="1">
      <c r="A790" s="46" t="s">
        <v>293</v>
      </c>
      <c r="B790" s="46" t="s">
        <v>269</v>
      </c>
      <c r="C790" s="47">
        <v>0</v>
      </c>
      <c r="D790" s="47">
        <v>0</v>
      </c>
      <c r="E790" s="47">
        <v>0</v>
      </c>
      <c r="F790" s="47">
        <v>0</v>
      </c>
      <c r="G790" s="47">
        <v>0</v>
      </c>
      <c r="H790" s="47">
        <v>0</v>
      </c>
      <c r="I790" s="47">
        <v>0</v>
      </c>
      <c r="J790" s="47">
        <v>0</v>
      </c>
      <c r="K790" s="47">
        <v>0</v>
      </c>
      <c r="L790" s="47">
        <v>0</v>
      </c>
      <c r="M790" s="47">
        <v>0</v>
      </c>
      <c r="N790" s="47">
        <v>0</v>
      </c>
      <c r="O790" s="47">
        <v>0</v>
      </c>
      <c r="P790" s="47">
        <v>0</v>
      </c>
      <c r="Q790" s="85"/>
      <c r="R790" s="85"/>
      <c r="S790" s="85"/>
      <c r="T790" s="85"/>
      <c r="U790" s="85"/>
      <c r="V790" s="85"/>
      <c r="W790" s="85"/>
      <c r="X790" s="85"/>
      <c r="Y790" s="85"/>
      <c r="Z790" s="85"/>
      <c r="AA790" s="85"/>
      <c r="AB790" s="85"/>
      <c r="AC790" s="85"/>
      <c r="AD790" s="85"/>
      <c r="AE790" s="47">
        <v>0</v>
      </c>
      <c r="AF790" s="47">
        <v>0</v>
      </c>
      <c r="AG790" s="47">
        <v>0</v>
      </c>
      <c r="AH790" s="47">
        <v>0</v>
      </c>
      <c r="AI790" s="47">
        <v>0</v>
      </c>
      <c r="AJ790" s="47">
        <v>0</v>
      </c>
      <c r="AK790" s="47">
        <v>0</v>
      </c>
      <c r="AL790" s="47">
        <v>0</v>
      </c>
      <c r="AM790" s="47">
        <v>0</v>
      </c>
      <c r="AN790" s="47">
        <v>0</v>
      </c>
      <c r="AO790" s="47">
        <v>0</v>
      </c>
      <c r="AP790" s="47">
        <v>0</v>
      </c>
      <c r="AQ790" s="47">
        <v>0</v>
      </c>
      <c r="AR790" s="47">
        <v>0</v>
      </c>
      <c r="AS790" s="47"/>
      <c r="AT790" s="47"/>
      <c r="AU790" s="47"/>
      <c r="AV790" s="47"/>
      <c r="AW790" s="47"/>
      <c r="AX790" s="47"/>
      <c r="AY790" s="47"/>
      <c r="AZ790" s="47"/>
      <c r="BA790" s="47"/>
      <c r="BB790" s="47"/>
      <c r="BC790" s="47"/>
      <c r="BD790" s="47"/>
      <c r="BE790" s="47"/>
      <c r="BF790" s="47"/>
    </row>
    <row r="791" spans="1:58" hidden="1">
      <c r="A791" s="46" t="s">
        <v>293</v>
      </c>
      <c r="B791" s="46" t="s">
        <v>270</v>
      </c>
      <c r="C791" s="47">
        <v>0</v>
      </c>
      <c r="D791" s="47">
        <v>0</v>
      </c>
      <c r="E791" s="47">
        <v>0</v>
      </c>
      <c r="F791" s="47">
        <v>0</v>
      </c>
      <c r="G791" s="47">
        <v>0</v>
      </c>
      <c r="H791" s="47">
        <v>1</v>
      </c>
      <c r="I791" s="47">
        <v>1</v>
      </c>
      <c r="J791" s="47">
        <v>1</v>
      </c>
      <c r="K791" s="47">
        <v>1</v>
      </c>
      <c r="L791" s="47">
        <v>1</v>
      </c>
      <c r="M791" s="47">
        <v>1</v>
      </c>
      <c r="N791" s="47">
        <v>1</v>
      </c>
      <c r="O791" s="47">
        <v>0</v>
      </c>
      <c r="P791" s="47">
        <v>0</v>
      </c>
      <c r="Q791" s="85"/>
      <c r="R791" s="85"/>
      <c r="S791" s="85"/>
      <c r="T791" s="85"/>
      <c r="U791" s="85"/>
      <c r="V791" s="85"/>
      <c r="W791" s="85"/>
      <c r="X791" s="85"/>
      <c r="Y791" s="85"/>
      <c r="Z791" s="85"/>
      <c r="AA791" s="85"/>
      <c r="AB791" s="85"/>
      <c r="AC791" s="85"/>
      <c r="AD791" s="85"/>
      <c r="AE791" s="47">
        <v>0</v>
      </c>
      <c r="AF791" s="47">
        <v>0</v>
      </c>
      <c r="AG791" s="47">
        <v>0</v>
      </c>
      <c r="AH791" s="47">
        <v>0</v>
      </c>
      <c r="AI791" s="47">
        <v>0</v>
      </c>
      <c r="AJ791" s="47">
        <v>37</v>
      </c>
      <c r="AK791" s="47">
        <v>29</v>
      </c>
      <c r="AL791" s="47">
        <v>35</v>
      </c>
      <c r="AM791" s="47">
        <v>32</v>
      </c>
      <c r="AN791" s="47">
        <v>35</v>
      </c>
      <c r="AO791" s="47">
        <v>20</v>
      </c>
      <c r="AP791" s="47">
        <v>20</v>
      </c>
      <c r="AQ791" s="47">
        <v>0</v>
      </c>
      <c r="AR791" s="47">
        <v>0</v>
      </c>
      <c r="AS791" s="47"/>
      <c r="AT791" s="47"/>
      <c r="AU791" s="47"/>
      <c r="AV791" s="47"/>
      <c r="AW791" s="47"/>
      <c r="AX791" s="47"/>
      <c r="AY791" s="47"/>
      <c r="AZ791" s="47"/>
      <c r="BA791" s="47"/>
      <c r="BB791" s="47"/>
      <c r="BC791" s="47"/>
      <c r="BD791" s="47"/>
      <c r="BE791" s="47"/>
      <c r="BF791" s="47"/>
    </row>
    <row r="792" spans="1:58" hidden="1">
      <c r="A792" s="46" t="s">
        <v>293</v>
      </c>
      <c r="B792" s="46" t="s">
        <v>271</v>
      </c>
      <c r="C792" s="47">
        <v>0</v>
      </c>
      <c r="D792" s="47">
        <v>0</v>
      </c>
      <c r="E792" s="47">
        <v>0</v>
      </c>
      <c r="F792" s="47">
        <v>0</v>
      </c>
      <c r="G792" s="47">
        <v>0</v>
      </c>
      <c r="H792" s="47">
        <v>0</v>
      </c>
      <c r="I792" s="47">
        <v>0</v>
      </c>
      <c r="J792" s="47">
        <v>0</v>
      </c>
      <c r="K792" s="47">
        <v>0</v>
      </c>
      <c r="L792" s="47">
        <v>0</v>
      </c>
      <c r="M792" s="47">
        <v>0</v>
      </c>
      <c r="N792" s="47">
        <v>0</v>
      </c>
      <c r="O792" s="47">
        <v>0</v>
      </c>
      <c r="P792" s="47">
        <v>0</v>
      </c>
      <c r="Q792" s="85"/>
      <c r="R792" s="85"/>
      <c r="S792" s="85"/>
      <c r="T792" s="85"/>
      <c r="U792" s="85"/>
      <c r="V792" s="85"/>
      <c r="W792" s="85"/>
      <c r="X792" s="85"/>
      <c r="Y792" s="85"/>
      <c r="Z792" s="85"/>
      <c r="AA792" s="85"/>
      <c r="AB792" s="85"/>
      <c r="AC792" s="85"/>
      <c r="AD792" s="85"/>
      <c r="AE792" s="47">
        <v>0</v>
      </c>
      <c r="AF792" s="47">
        <v>0</v>
      </c>
      <c r="AG792" s="47">
        <v>0</v>
      </c>
      <c r="AH792" s="47">
        <v>0</v>
      </c>
      <c r="AI792" s="47">
        <v>0</v>
      </c>
      <c r="AJ792" s="47">
        <v>0</v>
      </c>
      <c r="AK792" s="47">
        <v>0</v>
      </c>
      <c r="AL792" s="47">
        <v>0</v>
      </c>
      <c r="AM792" s="47">
        <v>0</v>
      </c>
      <c r="AN792" s="47">
        <v>0</v>
      </c>
      <c r="AO792" s="47">
        <v>0</v>
      </c>
      <c r="AP792" s="47">
        <v>0</v>
      </c>
      <c r="AQ792" s="47">
        <v>0</v>
      </c>
      <c r="AR792" s="47">
        <v>0</v>
      </c>
      <c r="AS792" s="47"/>
      <c r="AT792" s="47"/>
      <c r="AU792" s="47"/>
      <c r="AV792" s="47"/>
      <c r="AW792" s="47"/>
      <c r="AX792" s="47"/>
      <c r="AY792" s="47"/>
      <c r="AZ792" s="47"/>
      <c r="BA792" s="47"/>
      <c r="BB792" s="47"/>
      <c r="BC792" s="47"/>
      <c r="BD792" s="47"/>
      <c r="BE792" s="47"/>
      <c r="BF792" s="47"/>
    </row>
    <row r="793" spans="1:58" hidden="1">
      <c r="A793" s="46" t="s">
        <v>293</v>
      </c>
      <c r="B793" s="46" t="s">
        <v>272</v>
      </c>
      <c r="C793" s="47">
        <v>357</v>
      </c>
      <c r="D793" s="47">
        <v>368</v>
      </c>
      <c r="E793" s="47">
        <v>380</v>
      </c>
      <c r="F793" s="47">
        <v>408</v>
      </c>
      <c r="G793" s="47">
        <v>310</v>
      </c>
      <c r="H793" s="47">
        <v>344</v>
      </c>
      <c r="I793" s="47">
        <v>416</v>
      </c>
      <c r="J793" s="47">
        <v>69</v>
      </c>
      <c r="K793" s="47">
        <v>51</v>
      </c>
      <c r="L793" s="47">
        <v>54</v>
      </c>
      <c r="M793" s="47">
        <v>56</v>
      </c>
      <c r="N793" s="47">
        <v>56</v>
      </c>
      <c r="O793" s="47">
        <v>55</v>
      </c>
      <c r="P793" s="47">
        <v>50</v>
      </c>
      <c r="Q793" s="85">
        <v>10</v>
      </c>
      <c r="R793" s="85">
        <v>10</v>
      </c>
      <c r="S793" s="85">
        <v>10</v>
      </c>
      <c r="T793" s="85">
        <v>10</v>
      </c>
      <c r="U793" s="85">
        <v>10</v>
      </c>
      <c r="V793" s="85">
        <v>10.08</v>
      </c>
      <c r="W793" s="85">
        <v>7.58</v>
      </c>
      <c r="X793" s="85">
        <v>49.78</v>
      </c>
      <c r="Y793" s="85">
        <v>82.33</v>
      </c>
      <c r="Z793" s="85">
        <v>82.44</v>
      </c>
      <c r="AA793" s="85">
        <v>1.84</v>
      </c>
      <c r="AB793" s="85">
        <v>1.84</v>
      </c>
      <c r="AC793" s="85">
        <v>14.55</v>
      </c>
      <c r="AD793" s="85">
        <v>14</v>
      </c>
      <c r="AE793" s="47">
        <v>3570</v>
      </c>
      <c r="AF793" s="47">
        <v>3680</v>
      </c>
      <c r="AG793" s="47">
        <v>3800</v>
      </c>
      <c r="AH793" s="47">
        <v>4080</v>
      </c>
      <c r="AI793" s="47">
        <v>3100</v>
      </c>
      <c r="AJ793" s="47">
        <v>3467</v>
      </c>
      <c r="AK793" s="47">
        <v>3154</v>
      </c>
      <c r="AL793" s="47">
        <v>3435</v>
      </c>
      <c r="AM793" s="47">
        <v>4199</v>
      </c>
      <c r="AN793" s="47">
        <v>4452</v>
      </c>
      <c r="AO793" s="47">
        <v>103</v>
      </c>
      <c r="AP793" s="47">
        <v>103</v>
      </c>
      <c r="AQ793" s="47">
        <v>800</v>
      </c>
      <c r="AR793" s="47">
        <v>700</v>
      </c>
      <c r="AS793" s="47"/>
      <c r="AT793" s="47"/>
      <c r="AU793" s="47"/>
      <c r="AV793" s="47"/>
      <c r="AW793" s="47"/>
      <c r="AX793" s="47"/>
      <c r="AY793" s="47"/>
      <c r="AZ793" s="47"/>
      <c r="BA793" s="47"/>
      <c r="BB793" s="47"/>
      <c r="BC793" s="47"/>
      <c r="BD793" s="47"/>
      <c r="BE793" s="47"/>
      <c r="BF793" s="47"/>
    </row>
    <row r="794" spans="1:58" hidden="1">
      <c r="A794" s="46" t="s">
        <v>293</v>
      </c>
      <c r="B794" s="46" t="s">
        <v>273</v>
      </c>
      <c r="C794" s="47">
        <v>2162</v>
      </c>
      <c r="D794" s="47">
        <v>751</v>
      </c>
      <c r="E794" s="47">
        <v>502</v>
      </c>
      <c r="F794" s="47">
        <v>453</v>
      </c>
      <c r="G794" s="47">
        <v>674</v>
      </c>
      <c r="H794" s="47">
        <v>555</v>
      </c>
      <c r="I794" s="47">
        <v>605</v>
      </c>
      <c r="J794" s="47">
        <v>680</v>
      </c>
      <c r="K794" s="47">
        <v>407</v>
      </c>
      <c r="L794" s="47">
        <v>308</v>
      </c>
      <c r="M794" s="47">
        <v>259</v>
      </c>
      <c r="N794" s="47">
        <v>259</v>
      </c>
      <c r="O794" s="47">
        <v>250</v>
      </c>
      <c r="P794" s="47">
        <v>250</v>
      </c>
      <c r="Q794" s="85">
        <v>25</v>
      </c>
      <c r="R794" s="85">
        <v>25</v>
      </c>
      <c r="S794" s="85">
        <v>6</v>
      </c>
      <c r="T794" s="85">
        <v>5</v>
      </c>
      <c r="U794" s="85">
        <v>6</v>
      </c>
      <c r="V794" s="85">
        <v>5</v>
      </c>
      <c r="W794" s="85">
        <v>2.2000000000000002</v>
      </c>
      <c r="X794" s="85">
        <v>15.62</v>
      </c>
      <c r="Y794" s="85">
        <v>12.5</v>
      </c>
      <c r="Z794" s="85">
        <v>12</v>
      </c>
      <c r="AA794" s="85">
        <v>0.05</v>
      </c>
      <c r="AB794" s="85">
        <v>0.05</v>
      </c>
      <c r="AC794" s="85">
        <v>18</v>
      </c>
      <c r="AD794" s="85">
        <v>16</v>
      </c>
      <c r="AE794" s="47">
        <v>54050</v>
      </c>
      <c r="AF794" s="47">
        <v>18775</v>
      </c>
      <c r="AG794" s="47">
        <v>3012</v>
      </c>
      <c r="AH794" s="47">
        <v>2265</v>
      </c>
      <c r="AI794" s="47">
        <v>4044</v>
      </c>
      <c r="AJ794" s="47">
        <v>2775</v>
      </c>
      <c r="AK794" s="47">
        <v>1331</v>
      </c>
      <c r="AL794" s="47">
        <v>10625</v>
      </c>
      <c r="AM794" s="47">
        <v>5088</v>
      </c>
      <c r="AN794" s="47">
        <v>3696</v>
      </c>
      <c r="AO794" s="47">
        <v>12</v>
      </c>
      <c r="AP794" s="47">
        <v>12</v>
      </c>
      <c r="AQ794" s="47">
        <v>4500</v>
      </c>
      <c r="AR794" s="47">
        <v>4000</v>
      </c>
      <c r="AS794" s="47"/>
      <c r="AT794" s="47"/>
      <c r="AU794" s="47"/>
      <c r="AV794" s="47"/>
      <c r="AW794" s="47"/>
      <c r="AX794" s="47"/>
      <c r="AY794" s="47"/>
      <c r="AZ794" s="47"/>
      <c r="BA794" s="47"/>
      <c r="BB794" s="47"/>
      <c r="BC794" s="47"/>
      <c r="BD794" s="47"/>
      <c r="BE794" s="47"/>
      <c r="BF794" s="47"/>
    </row>
    <row r="795" spans="1:58" hidden="1">
      <c r="A795" s="46" t="s">
        <v>293</v>
      </c>
      <c r="B795" s="46" t="s">
        <v>274</v>
      </c>
      <c r="C795" s="47">
        <v>692</v>
      </c>
      <c r="D795" s="47">
        <v>650</v>
      </c>
      <c r="E795" s="47">
        <v>850</v>
      </c>
      <c r="F795" s="47">
        <v>900</v>
      </c>
      <c r="G795" s="47">
        <v>920</v>
      </c>
      <c r="H795" s="47">
        <v>800</v>
      </c>
      <c r="I795" s="47">
        <v>800</v>
      </c>
      <c r="J795" s="47">
        <v>800</v>
      </c>
      <c r="K795" s="47">
        <v>0</v>
      </c>
      <c r="L795" s="47">
        <v>0</v>
      </c>
      <c r="M795" s="47">
        <v>0</v>
      </c>
      <c r="N795" s="47">
        <v>0</v>
      </c>
      <c r="O795" s="47">
        <v>0</v>
      </c>
      <c r="P795" s="47">
        <v>0</v>
      </c>
      <c r="Q795" s="85">
        <v>54.8</v>
      </c>
      <c r="R795" s="85">
        <v>8</v>
      </c>
      <c r="S795" s="85">
        <v>6</v>
      </c>
      <c r="T795" s="85">
        <v>6</v>
      </c>
      <c r="U795" s="85">
        <v>5</v>
      </c>
      <c r="V795" s="85">
        <v>5</v>
      </c>
      <c r="W795" s="85">
        <v>2</v>
      </c>
      <c r="X795" s="85">
        <v>12.5</v>
      </c>
      <c r="Y795" s="85"/>
      <c r="Z795" s="85"/>
      <c r="AA795" s="85"/>
      <c r="AB795" s="85"/>
      <c r="AC795" s="85"/>
      <c r="AD795" s="85"/>
      <c r="AE795" s="47">
        <v>37920</v>
      </c>
      <c r="AF795" s="47">
        <v>5200</v>
      </c>
      <c r="AG795" s="47">
        <v>5100</v>
      </c>
      <c r="AH795" s="47">
        <v>5400</v>
      </c>
      <c r="AI795" s="47">
        <v>4600</v>
      </c>
      <c r="AJ795" s="47">
        <v>4000</v>
      </c>
      <c r="AK795" s="47">
        <v>1600</v>
      </c>
      <c r="AL795" s="47">
        <v>10000</v>
      </c>
      <c r="AM795" s="47">
        <v>0</v>
      </c>
      <c r="AN795" s="47">
        <v>0</v>
      </c>
      <c r="AO795" s="47">
        <v>0</v>
      </c>
      <c r="AP795" s="47">
        <v>0</v>
      </c>
      <c r="AQ795" s="47">
        <v>0</v>
      </c>
      <c r="AR795" s="47">
        <v>0</v>
      </c>
      <c r="AS795" s="47"/>
      <c r="AT795" s="47"/>
      <c r="AU795" s="47"/>
      <c r="AV795" s="47"/>
      <c r="AW795" s="47"/>
      <c r="AX795" s="47"/>
      <c r="AY795" s="47"/>
      <c r="AZ795" s="47"/>
      <c r="BA795" s="47"/>
      <c r="BB795" s="47"/>
      <c r="BC795" s="47"/>
      <c r="BD795" s="47"/>
      <c r="BE795" s="47"/>
      <c r="BF795" s="47"/>
    </row>
    <row r="796" spans="1:58" hidden="1">
      <c r="A796" s="46" t="s">
        <v>293</v>
      </c>
      <c r="B796" s="46" t="s">
        <v>275</v>
      </c>
      <c r="C796" s="47">
        <v>2854</v>
      </c>
      <c r="D796" s="47">
        <v>1401</v>
      </c>
      <c r="E796" s="47">
        <v>1352</v>
      </c>
      <c r="F796" s="47">
        <v>1353</v>
      </c>
      <c r="G796" s="47">
        <v>1594</v>
      </c>
      <c r="H796" s="47">
        <v>1355</v>
      </c>
      <c r="I796" s="47">
        <v>1405</v>
      </c>
      <c r="J796" s="47">
        <v>1480</v>
      </c>
      <c r="K796" s="47">
        <v>407</v>
      </c>
      <c r="L796" s="47">
        <v>308</v>
      </c>
      <c r="M796" s="47">
        <v>259</v>
      </c>
      <c r="N796" s="47">
        <v>259</v>
      </c>
      <c r="O796" s="47">
        <v>250</v>
      </c>
      <c r="P796" s="47">
        <v>250</v>
      </c>
      <c r="Q796" s="85">
        <v>32.22</v>
      </c>
      <c r="R796" s="85">
        <v>17.11</v>
      </c>
      <c r="S796" s="85">
        <v>6</v>
      </c>
      <c r="T796" s="85">
        <v>5.67</v>
      </c>
      <c r="U796" s="85">
        <v>5.42</v>
      </c>
      <c r="V796" s="85">
        <v>5</v>
      </c>
      <c r="W796" s="85">
        <v>2.09</v>
      </c>
      <c r="X796" s="85">
        <v>13.94</v>
      </c>
      <c r="Y796" s="85">
        <v>12.5</v>
      </c>
      <c r="Z796" s="85">
        <v>12</v>
      </c>
      <c r="AA796" s="85">
        <v>0.05</v>
      </c>
      <c r="AB796" s="85">
        <v>0.05</v>
      </c>
      <c r="AC796" s="85">
        <v>18</v>
      </c>
      <c r="AD796" s="85">
        <v>16</v>
      </c>
      <c r="AE796" s="47">
        <v>91970</v>
      </c>
      <c r="AF796" s="47">
        <v>23975</v>
      </c>
      <c r="AG796" s="47">
        <v>8112</v>
      </c>
      <c r="AH796" s="47">
        <v>7665</v>
      </c>
      <c r="AI796" s="47">
        <v>8644</v>
      </c>
      <c r="AJ796" s="47">
        <v>6775</v>
      </c>
      <c r="AK796" s="47">
        <v>2931</v>
      </c>
      <c r="AL796" s="47">
        <v>20625</v>
      </c>
      <c r="AM796" s="47">
        <v>5088</v>
      </c>
      <c r="AN796" s="47">
        <v>3696</v>
      </c>
      <c r="AO796" s="47">
        <v>12</v>
      </c>
      <c r="AP796" s="47">
        <v>12</v>
      </c>
      <c r="AQ796" s="47">
        <v>4500</v>
      </c>
      <c r="AR796" s="47">
        <v>4000</v>
      </c>
      <c r="AS796" s="47"/>
      <c r="AT796" s="47"/>
      <c r="AU796" s="47"/>
      <c r="AV796" s="47"/>
      <c r="AW796" s="47"/>
      <c r="AX796" s="47"/>
      <c r="AY796" s="47"/>
      <c r="AZ796" s="47"/>
      <c r="BA796" s="47"/>
      <c r="BB796" s="47"/>
      <c r="BC796" s="47"/>
      <c r="BD796" s="47"/>
      <c r="BE796" s="47"/>
      <c r="BF796" s="47"/>
    </row>
    <row r="797" spans="1:58" hidden="1">
      <c r="A797" s="46" t="s">
        <v>293</v>
      </c>
      <c r="B797" s="46" t="s">
        <v>276</v>
      </c>
      <c r="C797" s="47">
        <v>3211</v>
      </c>
      <c r="D797" s="47">
        <v>1769</v>
      </c>
      <c r="E797" s="47">
        <v>1732</v>
      </c>
      <c r="F797" s="47">
        <v>1761</v>
      </c>
      <c r="G797" s="47">
        <v>1904</v>
      </c>
      <c r="H797" s="47">
        <v>1699</v>
      </c>
      <c r="I797" s="47">
        <v>1821</v>
      </c>
      <c r="J797" s="47">
        <v>1549</v>
      </c>
      <c r="K797" s="47">
        <v>458</v>
      </c>
      <c r="L797" s="47">
        <v>362</v>
      </c>
      <c r="M797" s="47">
        <v>315</v>
      </c>
      <c r="N797" s="47">
        <v>315</v>
      </c>
      <c r="O797" s="47">
        <v>305</v>
      </c>
      <c r="P797" s="47">
        <v>300</v>
      </c>
      <c r="Q797" s="85">
        <v>29.75</v>
      </c>
      <c r="R797" s="85">
        <v>15.63</v>
      </c>
      <c r="S797" s="85">
        <v>6.88</v>
      </c>
      <c r="T797" s="85">
        <v>6.67</v>
      </c>
      <c r="U797" s="85">
        <v>6.17</v>
      </c>
      <c r="V797" s="85">
        <v>6.03</v>
      </c>
      <c r="W797" s="85">
        <v>3.34</v>
      </c>
      <c r="X797" s="85">
        <v>15.53</v>
      </c>
      <c r="Y797" s="85">
        <v>20.28</v>
      </c>
      <c r="Z797" s="85">
        <v>22.51</v>
      </c>
      <c r="AA797" s="85">
        <v>0.37</v>
      </c>
      <c r="AB797" s="85">
        <v>0.37</v>
      </c>
      <c r="AC797" s="85">
        <v>17.38</v>
      </c>
      <c r="AD797" s="85">
        <v>15.67</v>
      </c>
      <c r="AE797" s="47">
        <v>95540</v>
      </c>
      <c r="AF797" s="47">
        <v>27655</v>
      </c>
      <c r="AG797" s="47">
        <v>11912</v>
      </c>
      <c r="AH797" s="47">
        <v>11745</v>
      </c>
      <c r="AI797" s="47">
        <v>11744</v>
      </c>
      <c r="AJ797" s="47">
        <v>10242</v>
      </c>
      <c r="AK797" s="47">
        <v>6085</v>
      </c>
      <c r="AL797" s="47">
        <v>24060</v>
      </c>
      <c r="AM797" s="47">
        <v>9287</v>
      </c>
      <c r="AN797" s="47">
        <v>8148</v>
      </c>
      <c r="AO797" s="47">
        <v>115</v>
      </c>
      <c r="AP797" s="47">
        <v>115</v>
      </c>
      <c r="AQ797" s="47">
        <v>5300</v>
      </c>
      <c r="AR797" s="47">
        <v>4700</v>
      </c>
      <c r="AS797" s="47"/>
      <c r="AT797" s="47"/>
      <c r="AU797" s="47"/>
      <c r="AV797" s="47"/>
      <c r="AW797" s="47"/>
      <c r="AX797" s="47"/>
      <c r="AY797" s="47"/>
      <c r="AZ797" s="47"/>
      <c r="BA797" s="47"/>
      <c r="BB797" s="47"/>
      <c r="BC797" s="47"/>
      <c r="BD797" s="47"/>
      <c r="BE797" s="47"/>
      <c r="BF797" s="47"/>
    </row>
    <row r="798" spans="1:58" hidden="1">
      <c r="A798" s="46" t="s">
        <v>293</v>
      </c>
      <c r="B798" s="46" t="s">
        <v>277</v>
      </c>
      <c r="C798" s="47"/>
      <c r="D798" s="47"/>
      <c r="E798" s="47"/>
      <c r="F798" s="47"/>
      <c r="G798" s="47"/>
      <c r="H798" s="47"/>
      <c r="I798" s="47"/>
      <c r="J798" s="47"/>
      <c r="K798" s="47"/>
      <c r="L798" s="47"/>
      <c r="M798" s="47"/>
      <c r="N798" s="47"/>
      <c r="O798" s="47"/>
      <c r="P798" s="47"/>
      <c r="Q798" s="85"/>
      <c r="R798" s="85"/>
      <c r="S798" s="85"/>
      <c r="T798" s="85"/>
      <c r="U798" s="85"/>
      <c r="V798" s="85"/>
      <c r="W798" s="85"/>
      <c r="X798" s="85"/>
      <c r="Y798" s="85"/>
      <c r="Z798" s="85"/>
      <c r="AA798" s="85"/>
      <c r="AB798" s="85"/>
      <c r="AC798" s="85"/>
      <c r="AD798" s="85"/>
      <c r="AE798" s="47">
        <v>0</v>
      </c>
      <c r="AF798" s="47">
        <v>0</v>
      </c>
      <c r="AG798" s="47">
        <v>0</v>
      </c>
      <c r="AH798" s="47">
        <v>0</v>
      </c>
      <c r="AI798" s="47">
        <v>0</v>
      </c>
      <c r="AJ798" s="47">
        <v>0</v>
      </c>
      <c r="AK798" s="47">
        <v>0</v>
      </c>
      <c r="AL798" s="47">
        <v>0</v>
      </c>
      <c r="AM798" s="47">
        <v>0</v>
      </c>
      <c r="AN798" s="47">
        <v>0</v>
      </c>
      <c r="AO798" s="47">
        <v>0</v>
      </c>
      <c r="AP798" s="47">
        <v>0</v>
      </c>
      <c r="AQ798" s="47">
        <v>0</v>
      </c>
      <c r="AR798" s="47">
        <v>0</v>
      </c>
      <c r="AS798" s="47"/>
      <c r="AT798" s="47"/>
      <c r="AU798" s="47"/>
      <c r="AV798" s="47"/>
      <c r="AW798" s="47"/>
      <c r="AX798" s="47"/>
      <c r="AY798" s="47"/>
      <c r="AZ798" s="47"/>
      <c r="BA798" s="47"/>
      <c r="BB798" s="47"/>
      <c r="BC798" s="47"/>
      <c r="BD798" s="47"/>
      <c r="BE798" s="47"/>
      <c r="BF798" s="47"/>
    </row>
    <row r="799" spans="1:58" hidden="1">
      <c r="A799" s="46" t="s">
        <v>293</v>
      </c>
      <c r="B799" s="46" t="s">
        <v>65</v>
      </c>
      <c r="C799" s="47">
        <v>0</v>
      </c>
      <c r="D799" s="47">
        <v>0</v>
      </c>
      <c r="E799" s="47">
        <v>0</v>
      </c>
      <c r="F799" s="47">
        <v>0</v>
      </c>
      <c r="G799" s="47">
        <v>0</v>
      </c>
      <c r="H799" s="47">
        <v>0</v>
      </c>
      <c r="I799" s="47">
        <v>0</v>
      </c>
      <c r="J799" s="47">
        <v>0</v>
      </c>
      <c r="K799" s="47">
        <v>0</v>
      </c>
      <c r="L799" s="47">
        <v>0</v>
      </c>
      <c r="M799" s="47">
        <v>0</v>
      </c>
      <c r="N799" s="47">
        <v>0</v>
      </c>
      <c r="O799" s="47">
        <v>0</v>
      </c>
      <c r="P799" s="47">
        <v>0</v>
      </c>
      <c r="Q799" s="85"/>
      <c r="R799" s="85"/>
      <c r="S799" s="85"/>
      <c r="T799" s="85"/>
      <c r="U799" s="85"/>
      <c r="V799" s="85"/>
      <c r="W799" s="85"/>
      <c r="X799" s="85"/>
      <c r="Y799" s="85"/>
      <c r="Z799" s="85"/>
      <c r="AA799" s="85"/>
      <c r="AB799" s="85"/>
      <c r="AC799" s="85"/>
      <c r="AD799" s="85"/>
      <c r="AE799" s="47">
        <v>0</v>
      </c>
      <c r="AF799" s="47">
        <v>0</v>
      </c>
      <c r="AG799" s="47">
        <v>0</v>
      </c>
      <c r="AH799" s="47">
        <v>0</v>
      </c>
      <c r="AI799" s="47">
        <v>0</v>
      </c>
      <c r="AJ799" s="47">
        <v>0</v>
      </c>
      <c r="AK799" s="47">
        <v>0</v>
      </c>
      <c r="AL799" s="47">
        <v>0</v>
      </c>
      <c r="AM799" s="47">
        <v>0</v>
      </c>
      <c r="AN799" s="47">
        <v>0</v>
      </c>
      <c r="AO799" s="47">
        <v>0</v>
      </c>
      <c r="AP799" s="47">
        <v>0</v>
      </c>
      <c r="AQ799" s="47">
        <v>0</v>
      </c>
      <c r="AR799" s="47">
        <v>0</v>
      </c>
      <c r="AS799" s="47"/>
      <c r="AT799" s="47"/>
      <c r="AU799" s="47"/>
      <c r="AV799" s="47"/>
      <c r="AW799" s="47"/>
      <c r="AX799" s="47"/>
      <c r="AY799" s="47"/>
      <c r="AZ799" s="47"/>
      <c r="BA799" s="47"/>
      <c r="BB799" s="47"/>
      <c r="BC799" s="47"/>
      <c r="BD799" s="47"/>
      <c r="BE799" s="47"/>
      <c r="BF799" s="47"/>
    </row>
    <row r="800" spans="1:58" hidden="1">
      <c r="A800" s="46" t="s">
        <v>293</v>
      </c>
      <c r="B800" s="46" t="s">
        <v>66</v>
      </c>
      <c r="C800" s="47">
        <v>0</v>
      </c>
      <c r="D800" s="47">
        <v>0</v>
      </c>
      <c r="E800" s="47">
        <v>0</v>
      </c>
      <c r="F800" s="47">
        <v>0</v>
      </c>
      <c r="G800" s="47">
        <v>0</v>
      </c>
      <c r="H800" s="47">
        <v>0</v>
      </c>
      <c r="I800" s="47">
        <v>0</v>
      </c>
      <c r="J800" s="47">
        <v>0</v>
      </c>
      <c r="K800" s="47">
        <v>0</v>
      </c>
      <c r="L800" s="47">
        <v>0</v>
      </c>
      <c r="M800" s="47">
        <v>0</v>
      </c>
      <c r="N800" s="47">
        <v>0</v>
      </c>
      <c r="O800" s="47">
        <v>0</v>
      </c>
      <c r="P800" s="47">
        <v>0</v>
      </c>
      <c r="Q800" s="85"/>
      <c r="R800" s="85"/>
      <c r="S800" s="85"/>
      <c r="T800" s="85"/>
      <c r="U800" s="85"/>
      <c r="V800" s="85"/>
      <c r="W800" s="85"/>
      <c r="X800" s="85"/>
      <c r="Y800" s="85"/>
      <c r="Z800" s="85"/>
      <c r="AA800" s="85"/>
      <c r="AB800" s="85"/>
      <c r="AC800" s="85"/>
      <c r="AD800" s="85"/>
      <c r="AE800" s="47">
        <v>0</v>
      </c>
      <c r="AF800" s="47">
        <v>0</v>
      </c>
      <c r="AG800" s="47">
        <v>0</v>
      </c>
      <c r="AH800" s="47">
        <v>0</v>
      </c>
      <c r="AI800" s="47">
        <v>0</v>
      </c>
      <c r="AJ800" s="47">
        <v>0</v>
      </c>
      <c r="AK800" s="47">
        <v>0</v>
      </c>
      <c r="AL800" s="47">
        <v>0</v>
      </c>
      <c r="AM800" s="47">
        <v>0</v>
      </c>
      <c r="AN800" s="47">
        <v>0</v>
      </c>
      <c r="AO800" s="47">
        <v>0</v>
      </c>
      <c r="AP800" s="47">
        <v>0</v>
      </c>
      <c r="AQ800" s="47">
        <v>0</v>
      </c>
      <c r="AR800" s="47">
        <v>0</v>
      </c>
      <c r="AS800" s="47"/>
      <c r="AT800" s="47"/>
      <c r="AU800" s="47"/>
      <c r="AV800" s="47"/>
      <c r="AW800" s="47"/>
      <c r="AX800" s="47"/>
      <c r="AY800" s="47"/>
      <c r="AZ800" s="47"/>
      <c r="BA800" s="47"/>
      <c r="BB800" s="47"/>
      <c r="BC800" s="47"/>
      <c r="BD800" s="47"/>
      <c r="BE800" s="47"/>
      <c r="BF800" s="47"/>
    </row>
    <row r="801" spans="1:58" hidden="1">
      <c r="A801" s="46" t="s">
        <v>293</v>
      </c>
      <c r="B801" s="46" t="s">
        <v>67</v>
      </c>
      <c r="C801" s="47">
        <v>0</v>
      </c>
      <c r="D801" s="47">
        <v>0</v>
      </c>
      <c r="E801" s="47">
        <v>0</v>
      </c>
      <c r="F801" s="47">
        <v>0</v>
      </c>
      <c r="G801" s="47">
        <v>0</v>
      </c>
      <c r="H801" s="47">
        <v>0</v>
      </c>
      <c r="I801" s="47">
        <v>0</v>
      </c>
      <c r="J801" s="47">
        <v>0</v>
      </c>
      <c r="K801" s="47">
        <v>0</v>
      </c>
      <c r="L801" s="47">
        <v>0</v>
      </c>
      <c r="M801" s="47">
        <v>0</v>
      </c>
      <c r="N801" s="47">
        <v>0</v>
      </c>
      <c r="O801" s="47">
        <v>0</v>
      </c>
      <c r="P801" s="47">
        <v>0</v>
      </c>
      <c r="Q801" s="85"/>
      <c r="R801" s="85"/>
      <c r="S801" s="85"/>
      <c r="T801" s="85"/>
      <c r="U801" s="85"/>
      <c r="V801" s="85"/>
      <c r="W801" s="85"/>
      <c r="X801" s="85"/>
      <c r="Y801" s="85"/>
      <c r="Z801" s="85"/>
      <c r="AA801" s="85"/>
      <c r="AB801" s="85"/>
      <c r="AC801" s="85"/>
      <c r="AD801" s="85"/>
      <c r="AE801" s="47">
        <v>0</v>
      </c>
      <c r="AF801" s="47">
        <v>0</v>
      </c>
      <c r="AG801" s="47">
        <v>0</v>
      </c>
      <c r="AH801" s="47">
        <v>0</v>
      </c>
      <c r="AI801" s="47">
        <v>0</v>
      </c>
      <c r="AJ801" s="47">
        <v>0</v>
      </c>
      <c r="AK801" s="47">
        <v>0</v>
      </c>
      <c r="AL801" s="47">
        <v>0</v>
      </c>
      <c r="AM801" s="47">
        <v>0</v>
      </c>
      <c r="AN801" s="47">
        <v>0</v>
      </c>
      <c r="AO801" s="47">
        <v>0</v>
      </c>
      <c r="AP801" s="47">
        <v>0</v>
      </c>
      <c r="AQ801" s="47">
        <v>0</v>
      </c>
      <c r="AR801" s="47">
        <v>0</v>
      </c>
      <c r="AS801" s="47"/>
      <c r="AT801" s="47"/>
      <c r="AU801" s="47"/>
      <c r="AV801" s="47"/>
      <c r="AW801" s="47"/>
      <c r="AX801" s="47"/>
      <c r="AY801" s="47"/>
      <c r="AZ801" s="47"/>
      <c r="BA801" s="47"/>
      <c r="BB801" s="47"/>
      <c r="BC801" s="47"/>
      <c r="BD801" s="47"/>
      <c r="BE801" s="47"/>
      <c r="BF801" s="47"/>
    </row>
    <row r="802" spans="1:58" hidden="1">
      <c r="A802" s="46" t="s">
        <v>293</v>
      </c>
      <c r="B802" s="46" t="s">
        <v>68</v>
      </c>
      <c r="C802" s="47">
        <v>0</v>
      </c>
      <c r="D802" s="47">
        <v>0</v>
      </c>
      <c r="E802" s="47">
        <v>0</v>
      </c>
      <c r="F802" s="47">
        <v>0</v>
      </c>
      <c r="G802" s="47">
        <v>0</v>
      </c>
      <c r="H802" s="47">
        <v>0</v>
      </c>
      <c r="I802" s="47">
        <v>0</v>
      </c>
      <c r="J802" s="47">
        <v>0</v>
      </c>
      <c r="K802" s="47">
        <v>0</v>
      </c>
      <c r="L802" s="47">
        <v>0</v>
      </c>
      <c r="M802" s="47">
        <v>0</v>
      </c>
      <c r="N802" s="47">
        <v>0</v>
      </c>
      <c r="O802" s="47">
        <v>0</v>
      </c>
      <c r="P802" s="47">
        <v>0</v>
      </c>
      <c r="Q802" s="85"/>
      <c r="R802" s="85"/>
      <c r="S802" s="85"/>
      <c r="T802" s="85"/>
      <c r="U802" s="85"/>
      <c r="V802" s="85"/>
      <c r="W802" s="85"/>
      <c r="X802" s="85"/>
      <c r="Y802" s="85"/>
      <c r="Z802" s="85"/>
      <c r="AA802" s="85"/>
      <c r="AB802" s="85"/>
      <c r="AC802" s="85"/>
      <c r="AD802" s="85"/>
      <c r="AE802" s="47">
        <v>0</v>
      </c>
      <c r="AF802" s="47">
        <v>0</v>
      </c>
      <c r="AG802" s="47">
        <v>0</v>
      </c>
      <c r="AH802" s="47">
        <v>0</v>
      </c>
      <c r="AI802" s="47">
        <v>0</v>
      </c>
      <c r="AJ802" s="47">
        <v>0</v>
      </c>
      <c r="AK802" s="47">
        <v>0</v>
      </c>
      <c r="AL802" s="47">
        <v>0</v>
      </c>
      <c r="AM802" s="47">
        <v>0</v>
      </c>
      <c r="AN802" s="47">
        <v>0</v>
      </c>
      <c r="AO802" s="47">
        <v>0</v>
      </c>
      <c r="AP802" s="47">
        <v>0</v>
      </c>
      <c r="AQ802" s="47">
        <v>0</v>
      </c>
      <c r="AR802" s="47">
        <v>0</v>
      </c>
      <c r="AS802" s="47"/>
      <c r="AT802" s="47"/>
      <c r="AU802" s="47"/>
      <c r="AV802" s="47"/>
      <c r="AW802" s="47"/>
      <c r="AX802" s="47"/>
      <c r="AY802" s="47"/>
      <c r="AZ802" s="47"/>
      <c r="BA802" s="47"/>
      <c r="BB802" s="47"/>
      <c r="BC802" s="47"/>
      <c r="BD802" s="47"/>
      <c r="BE802" s="47"/>
      <c r="BF802" s="47"/>
    </row>
    <row r="803" spans="1:58" hidden="1">
      <c r="A803" s="46" t="s">
        <v>293</v>
      </c>
      <c r="B803" s="46" t="s">
        <v>69</v>
      </c>
      <c r="C803" s="47">
        <v>0</v>
      </c>
      <c r="D803" s="47">
        <v>0</v>
      </c>
      <c r="E803" s="47">
        <v>0</v>
      </c>
      <c r="F803" s="47">
        <v>0</v>
      </c>
      <c r="G803" s="47">
        <v>0</v>
      </c>
      <c r="H803" s="47">
        <v>0</v>
      </c>
      <c r="I803" s="47">
        <v>0</v>
      </c>
      <c r="J803" s="47">
        <v>0</v>
      </c>
      <c r="K803" s="47">
        <v>0</v>
      </c>
      <c r="L803" s="47">
        <v>0</v>
      </c>
      <c r="M803" s="47">
        <v>0</v>
      </c>
      <c r="N803" s="47">
        <v>0</v>
      </c>
      <c r="O803" s="47">
        <v>0</v>
      </c>
      <c r="P803" s="47">
        <v>0</v>
      </c>
      <c r="Q803" s="85"/>
      <c r="R803" s="85"/>
      <c r="S803" s="85"/>
      <c r="T803" s="85"/>
      <c r="U803" s="85"/>
      <c r="V803" s="85"/>
      <c r="W803" s="85"/>
      <c r="X803" s="85"/>
      <c r="Y803" s="85"/>
      <c r="Z803" s="85"/>
      <c r="AA803" s="85"/>
      <c r="AB803" s="85"/>
      <c r="AC803" s="85"/>
      <c r="AD803" s="85"/>
      <c r="AE803" s="47">
        <v>0</v>
      </c>
      <c r="AF803" s="47">
        <v>0</v>
      </c>
      <c r="AG803" s="47">
        <v>0</v>
      </c>
      <c r="AH803" s="47">
        <v>0</v>
      </c>
      <c r="AI803" s="47">
        <v>0</v>
      </c>
      <c r="AJ803" s="47">
        <v>0</v>
      </c>
      <c r="AK803" s="47">
        <v>0</v>
      </c>
      <c r="AL803" s="47">
        <v>0</v>
      </c>
      <c r="AM803" s="47">
        <v>0</v>
      </c>
      <c r="AN803" s="47">
        <v>0</v>
      </c>
      <c r="AO803" s="47">
        <v>0</v>
      </c>
      <c r="AP803" s="47">
        <v>0</v>
      </c>
      <c r="AQ803" s="47">
        <v>0</v>
      </c>
      <c r="AR803" s="47">
        <v>0</v>
      </c>
      <c r="AS803" s="47"/>
      <c r="AT803" s="47"/>
      <c r="AU803" s="47"/>
      <c r="AV803" s="47"/>
      <c r="AW803" s="47"/>
      <c r="AX803" s="47"/>
      <c r="AY803" s="47"/>
      <c r="AZ803" s="47"/>
      <c r="BA803" s="47"/>
      <c r="BB803" s="47"/>
      <c r="BC803" s="47"/>
      <c r="BD803" s="47"/>
      <c r="BE803" s="47"/>
      <c r="BF803" s="47"/>
    </row>
    <row r="804" spans="1:58" hidden="1">
      <c r="A804" s="46" t="s">
        <v>293</v>
      </c>
      <c r="B804" s="46" t="s">
        <v>70</v>
      </c>
      <c r="C804" s="47">
        <v>0</v>
      </c>
      <c r="D804" s="47">
        <v>0</v>
      </c>
      <c r="E804" s="47">
        <v>0</v>
      </c>
      <c r="F804" s="47">
        <v>0</v>
      </c>
      <c r="G804" s="47">
        <v>0</v>
      </c>
      <c r="H804" s="47">
        <v>0</v>
      </c>
      <c r="I804" s="47">
        <v>0</v>
      </c>
      <c r="J804" s="47">
        <v>0</v>
      </c>
      <c r="K804" s="47">
        <v>0</v>
      </c>
      <c r="L804" s="47">
        <v>0</v>
      </c>
      <c r="M804" s="47">
        <v>0</v>
      </c>
      <c r="N804" s="47">
        <v>0</v>
      </c>
      <c r="O804" s="47">
        <v>0</v>
      </c>
      <c r="P804" s="47">
        <v>0</v>
      </c>
      <c r="Q804" s="85"/>
      <c r="R804" s="85"/>
      <c r="S804" s="85"/>
      <c r="T804" s="85"/>
      <c r="U804" s="85"/>
      <c r="V804" s="85"/>
      <c r="W804" s="85"/>
      <c r="X804" s="85"/>
      <c r="Y804" s="85"/>
      <c r="Z804" s="85"/>
      <c r="AA804" s="85"/>
      <c r="AB804" s="85"/>
      <c r="AC804" s="85"/>
      <c r="AD804" s="85"/>
      <c r="AE804" s="47">
        <v>0</v>
      </c>
      <c r="AF804" s="47">
        <v>0</v>
      </c>
      <c r="AG804" s="47">
        <v>0</v>
      </c>
      <c r="AH804" s="47">
        <v>0</v>
      </c>
      <c r="AI804" s="47">
        <v>0</v>
      </c>
      <c r="AJ804" s="47">
        <v>0</v>
      </c>
      <c r="AK804" s="47">
        <v>0</v>
      </c>
      <c r="AL804" s="47">
        <v>0</v>
      </c>
      <c r="AM804" s="47">
        <v>0</v>
      </c>
      <c r="AN804" s="47">
        <v>0</v>
      </c>
      <c r="AO804" s="47">
        <v>0</v>
      </c>
      <c r="AP804" s="47">
        <v>0</v>
      </c>
      <c r="AQ804" s="47">
        <v>0</v>
      </c>
      <c r="AR804" s="47">
        <v>0</v>
      </c>
      <c r="AS804" s="47"/>
      <c r="AT804" s="47"/>
      <c r="AU804" s="47"/>
      <c r="AV804" s="47"/>
      <c r="AW804" s="47"/>
      <c r="AX804" s="47"/>
      <c r="AY804" s="47"/>
      <c r="AZ804" s="47"/>
      <c r="BA804" s="47"/>
      <c r="BB804" s="47"/>
      <c r="BC804" s="47"/>
      <c r="BD804" s="47"/>
      <c r="BE804" s="47"/>
      <c r="BF804" s="47"/>
    </row>
    <row r="805" spans="1:58" hidden="1">
      <c r="A805" s="46" t="s">
        <v>293</v>
      </c>
      <c r="B805" s="46" t="s">
        <v>71</v>
      </c>
      <c r="C805" s="47">
        <v>190</v>
      </c>
      <c r="D805" s="47">
        <v>175</v>
      </c>
      <c r="E805" s="47">
        <v>161</v>
      </c>
      <c r="F805" s="47">
        <v>161</v>
      </c>
      <c r="G805" s="47">
        <v>151</v>
      </c>
      <c r="H805" s="47">
        <v>102</v>
      </c>
      <c r="I805" s="47">
        <v>82</v>
      </c>
      <c r="J805" s="47">
        <v>62</v>
      </c>
      <c r="K805" s="47">
        <v>42</v>
      </c>
      <c r="L805" s="47">
        <v>23</v>
      </c>
      <c r="M805" s="47">
        <v>3</v>
      </c>
      <c r="N805" s="47">
        <v>3</v>
      </c>
      <c r="O805" s="47">
        <v>5</v>
      </c>
      <c r="P805" s="47">
        <v>5</v>
      </c>
      <c r="Q805" s="85"/>
      <c r="R805" s="85"/>
      <c r="S805" s="85"/>
      <c r="T805" s="85"/>
      <c r="U805" s="85"/>
      <c r="V805" s="85"/>
      <c r="W805" s="85"/>
      <c r="X805" s="85"/>
      <c r="Y805" s="85"/>
      <c r="Z805" s="85"/>
      <c r="AA805" s="85"/>
      <c r="AB805" s="85"/>
      <c r="AC805" s="85"/>
      <c r="AD805" s="85"/>
      <c r="AE805" s="47">
        <v>2090</v>
      </c>
      <c r="AF805" s="47">
        <v>1750</v>
      </c>
      <c r="AG805" s="47">
        <v>1570</v>
      </c>
      <c r="AH805" s="47">
        <v>1610</v>
      </c>
      <c r="AI805" s="47">
        <v>1510</v>
      </c>
      <c r="AJ805" s="47">
        <v>1020</v>
      </c>
      <c r="AK805" s="47">
        <v>820</v>
      </c>
      <c r="AL805" s="47">
        <v>4650</v>
      </c>
      <c r="AM805" s="47">
        <v>2940</v>
      </c>
      <c r="AN805" s="47">
        <v>1552</v>
      </c>
      <c r="AO805" s="47">
        <v>70</v>
      </c>
      <c r="AP805" s="47">
        <v>70</v>
      </c>
      <c r="AQ805" s="47">
        <v>75</v>
      </c>
      <c r="AR805" s="47">
        <v>65</v>
      </c>
      <c r="AS805" s="47"/>
      <c r="AT805" s="47"/>
      <c r="AU805" s="47"/>
      <c r="AV805" s="47"/>
      <c r="AW805" s="47"/>
      <c r="AX805" s="47"/>
      <c r="AY805" s="47"/>
      <c r="AZ805" s="47"/>
      <c r="BA805" s="47"/>
      <c r="BB805" s="47"/>
      <c r="BC805" s="47"/>
      <c r="BD805" s="47"/>
      <c r="BE805" s="47"/>
      <c r="BF805" s="47"/>
    </row>
    <row r="806" spans="1:58" hidden="1">
      <c r="A806" s="46" t="s">
        <v>293</v>
      </c>
      <c r="B806" s="46" t="s">
        <v>72</v>
      </c>
      <c r="C806" s="47">
        <v>190</v>
      </c>
      <c r="D806" s="47">
        <v>175</v>
      </c>
      <c r="E806" s="47">
        <v>161</v>
      </c>
      <c r="F806" s="47">
        <v>161</v>
      </c>
      <c r="G806" s="47">
        <v>151</v>
      </c>
      <c r="H806" s="47">
        <v>102</v>
      </c>
      <c r="I806" s="47">
        <v>82</v>
      </c>
      <c r="J806" s="47">
        <v>62</v>
      </c>
      <c r="K806" s="47">
        <v>42</v>
      </c>
      <c r="L806" s="47">
        <v>23</v>
      </c>
      <c r="M806" s="47">
        <v>3</v>
      </c>
      <c r="N806" s="47">
        <v>3</v>
      </c>
      <c r="O806" s="47">
        <v>5</v>
      </c>
      <c r="P806" s="47">
        <v>5</v>
      </c>
      <c r="Q806" s="85">
        <v>11</v>
      </c>
      <c r="R806" s="85">
        <v>10</v>
      </c>
      <c r="S806" s="85">
        <v>9.75</v>
      </c>
      <c r="T806" s="85">
        <v>10</v>
      </c>
      <c r="U806" s="85">
        <v>10</v>
      </c>
      <c r="V806" s="85">
        <v>10</v>
      </c>
      <c r="W806" s="85">
        <v>10</v>
      </c>
      <c r="X806" s="85">
        <v>75</v>
      </c>
      <c r="Y806" s="85">
        <v>70</v>
      </c>
      <c r="Z806" s="85">
        <v>67.48</v>
      </c>
      <c r="AA806" s="85">
        <v>23.33</v>
      </c>
      <c r="AB806" s="85">
        <v>23.33</v>
      </c>
      <c r="AC806" s="85">
        <v>15</v>
      </c>
      <c r="AD806" s="85">
        <v>13</v>
      </c>
      <c r="AE806" s="47">
        <v>2090</v>
      </c>
      <c r="AF806" s="47">
        <v>1750</v>
      </c>
      <c r="AG806" s="47">
        <v>1570</v>
      </c>
      <c r="AH806" s="47">
        <v>1610</v>
      </c>
      <c r="AI806" s="47">
        <v>1510</v>
      </c>
      <c r="AJ806" s="47">
        <v>1020</v>
      </c>
      <c r="AK806" s="47">
        <v>820</v>
      </c>
      <c r="AL806" s="47">
        <v>4650</v>
      </c>
      <c r="AM806" s="47">
        <v>2940</v>
      </c>
      <c r="AN806" s="47">
        <v>1552</v>
      </c>
      <c r="AO806" s="47">
        <v>70</v>
      </c>
      <c r="AP806" s="47">
        <v>70</v>
      </c>
      <c r="AQ806" s="47">
        <v>75</v>
      </c>
      <c r="AR806" s="47">
        <v>65</v>
      </c>
      <c r="AS806" s="47"/>
      <c r="AT806" s="47"/>
      <c r="AU806" s="47"/>
      <c r="AV806" s="47"/>
      <c r="AW806" s="47"/>
      <c r="AX806" s="47"/>
      <c r="AY806" s="47"/>
      <c r="AZ806" s="47"/>
      <c r="BA806" s="47"/>
      <c r="BB806" s="47"/>
      <c r="BC806" s="47"/>
      <c r="BD806" s="47"/>
      <c r="BE806" s="47"/>
      <c r="BF806" s="47"/>
    </row>
    <row r="807" spans="1:58" hidden="1">
      <c r="A807" s="46" t="s">
        <v>293</v>
      </c>
      <c r="B807" s="46" t="s">
        <v>73</v>
      </c>
      <c r="C807" s="47">
        <v>0</v>
      </c>
      <c r="D807" s="47">
        <v>0</v>
      </c>
      <c r="E807" s="47">
        <v>0</v>
      </c>
      <c r="F807" s="47">
        <v>0</v>
      </c>
      <c r="G807" s="47">
        <v>1</v>
      </c>
      <c r="H807" s="47">
        <v>5</v>
      </c>
      <c r="I807" s="47">
        <v>0</v>
      </c>
      <c r="J807" s="47">
        <v>18</v>
      </c>
      <c r="K807" s="47">
        <v>12</v>
      </c>
      <c r="L807" s="47">
        <v>11</v>
      </c>
      <c r="M807" s="47">
        <v>0</v>
      </c>
      <c r="N807" s="47">
        <v>0</v>
      </c>
      <c r="O807" s="47">
        <v>0</v>
      </c>
      <c r="P807" s="47">
        <v>0</v>
      </c>
      <c r="Q807" s="85"/>
      <c r="R807" s="85"/>
      <c r="S807" s="85"/>
      <c r="T807" s="85"/>
      <c r="U807" s="85">
        <v>2</v>
      </c>
      <c r="V807" s="85">
        <v>2</v>
      </c>
      <c r="W807" s="85"/>
      <c r="X807" s="85">
        <v>6</v>
      </c>
      <c r="Y807" s="85">
        <v>5</v>
      </c>
      <c r="Z807" s="85">
        <v>5</v>
      </c>
      <c r="AA807" s="85"/>
      <c r="AB807" s="85"/>
      <c r="AC807" s="85"/>
      <c r="AD807" s="85"/>
      <c r="AE807" s="47">
        <v>0</v>
      </c>
      <c r="AF807" s="47">
        <v>0</v>
      </c>
      <c r="AG807" s="47">
        <v>0</v>
      </c>
      <c r="AH807" s="47">
        <v>0</v>
      </c>
      <c r="AI807" s="47">
        <v>2</v>
      </c>
      <c r="AJ807" s="47">
        <v>10</v>
      </c>
      <c r="AK807" s="47">
        <v>0</v>
      </c>
      <c r="AL807" s="47">
        <v>108</v>
      </c>
      <c r="AM807" s="47">
        <v>60</v>
      </c>
      <c r="AN807" s="47">
        <v>55</v>
      </c>
      <c r="AO807" s="47">
        <v>0</v>
      </c>
      <c r="AP807" s="47">
        <v>0</v>
      </c>
      <c r="AQ807" s="47">
        <v>0</v>
      </c>
      <c r="AR807" s="47">
        <v>0</v>
      </c>
      <c r="AS807" s="47"/>
      <c r="AT807" s="47"/>
      <c r="AU807" s="47"/>
      <c r="AV807" s="47"/>
      <c r="AW807" s="47"/>
      <c r="AX807" s="47"/>
      <c r="AY807" s="47"/>
      <c r="AZ807" s="47"/>
      <c r="BA807" s="47"/>
      <c r="BB807" s="47"/>
      <c r="BC807" s="47"/>
      <c r="BD807" s="47"/>
      <c r="BE807" s="47"/>
      <c r="BF807" s="47"/>
    </row>
    <row r="808" spans="1:58" hidden="1">
      <c r="A808" s="46" t="s">
        <v>293</v>
      </c>
      <c r="B808" s="46" t="s">
        <v>74</v>
      </c>
      <c r="C808" s="47">
        <v>0</v>
      </c>
      <c r="D808" s="47">
        <v>0</v>
      </c>
      <c r="E808" s="47">
        <v>0</v>
      </c>
      <c r="F808" s="47">
        <v>0</v>
      </c>
      <c r="G808" s="47">
        <v>0</v>
      </c>
      <c r="H808" s="47">
        <v>0</v>
      </c>
      <c r="I808" s="47">
        <v>0</v>
      </c>
      <c r="J808" s="47">
        <v>0</v>
      </c>
      <c r="K808" s="47">
        <v>0</v>
      </c>
      <c r="L808" s="47">
        <v>0</v>
      </c>
      <c r="M808" s="47">
        <v>0</v>
      </c>
      <c r="N808" s="47">
        <v>0</v>
      </c>
      <c r="O808" s="47">
        <v>0</v>
      </c>
      <c r="P808" s="47">
        <v>0</v>
      </c>
      <c r="Q808" s="85"/>
      <c r="R808" s="85"/>
      <c r="S808" s="85"/>
      <c r="T808" s="85"/>
      <c r="U808" s="85"/>
      <c r="V808" s="85"/>
      <c r="W808" s="85"/>
      <c r="X808" s="85"/>
      <c r="Y808" s="85"/>
      <c r="Z808" s="85"/>
      <c r="AA808" s="85"/>
      <c r="AB808" s="85"/>
      <c r="AC808" s="85"/>
      <c r="AD808" s="85"/>
      <c r="AE808" s="47">
        <v>0</v>
      </c>
      <c r="AF808" s="47">
        <v>0</v>
      </c>
      <c r="AG808" s="47">
        <v>0</v>
      </c>
      <c r="AH808" s="47">
        <v>0</v>
      </c>
      <c r="AI808" s="47">
        <v>0</v>
      </c>
      <c r="AJ808" s="47">
        <v>0</v>
      </c>
      <c r="AK808" s="47">
        <v>0</v>
      </c>
      <c r="AL808" s="47">
        <v>0</v>
      </c>
      <c r="AM808" s="47">
        <v>0</v>
      </c>
      <c r="AN808" s="47">
        <v>0</v>
      </c>
      <c r="AO808" s="47">
        <v>0</v>
      </c>
      <c r="AP808" s="47">
        <v>0</v>
      </c>
      <c r="AQ808" s="47">
        <v>0</v>
      </c>
      <c r="AR808" s="47">
        <v>0</v>
      </c>
      <c r="AS808" s="47"/>
      <c r="AT808" s="47"/>
      <c r="AU808" s="47"/>
      <c r="AV808" s="47"/>
      <c r="AW808" s="47"/>
      <c r="AX808" s="47"/>
      <c r="AY808" s="47"/>
      <c r="AZ808" s="47"/>
      <c r="BA808" s="47"/>
      <c r="BB808" s="47"/>
      <c r="BC808" s="47"/>
      <c r="BD808" s="47"/>
      <c r="BE808" s="47"/>
      <c r="BF808" s="47"/>
    </row>
    <row r="809" spans="1:58" hidden="1">
      <c r="A809" s="46" t="s">
        <v>293</v>
      </c>
      <c r="B809" s="46" t="s">
        <v>75</v>
      </c>
      <c r="C809" s="47">
        <v>0</v>
      </c>
      <c r="D809" s="47">
        <v>0</v>
      </c>
      <c r="E809" s="47">
        <v>0</v>
      </c>
      <c r="F809" s="47">
        <v>0</v>
      </c>
      <c r="G809" s="47">
        <v>0</v>
      </c>
      <c r="H809" s="47">
        <v>1</v>
      </c>
      <c r="I809" s="47">
        <v>1</v>
      </c>
      <c r="J809" s="47">
        <v>1</v>
      </c>
      <c r="K809" s="47">
        <v>1</v>
      </c>
      <c r="L809" s="47">
        <v>1</v>
      </c>
      <c r="M809" s="47">
        <v>1</v>
      </c>
      <c r="N809" s="47">
        <v>1</v>
      </c>
      <c r="O809" s="47">
        <v>0</v>
      </c>
      <c r="P809" s="47">
        <v>0</v>
      </c>
      <c r="Q809" s="85"/>
      <c r="R809" s="85"/>
      <c r="S809" s="85"/>
      <c r="T809" s="85"/>
      <c r="U809" s="85"/>
      <c r="V809" s="85">
        <v>22</v>
      </c>
      <c r="W809" s="85">
        <v>21</v>
      </c>
      <c r="X809" s="85">
        <v>24</v>
      </c>
      <c r="Y809" s="85">
        <v>22</v>
      </c>
      <c r="Z809" s="85">
        <v>22</v>
      </c>
      <c r="AA809" s="85">
        <v>20</v>
      </c>
      <c r="AB809" s="85">
        <v>20</v>
      </c>
      <c r="AC809" s="85"/>
      <c r="AD809" s="85"/>
      <c r="AE809" s="47">
        <v>0</v>
      </c>
      <c r="AF809" s="47">
        <v>0</v>
      </c>
      <c r="AG809" s="47">
        <v>0</v>
      </c>
      <c r="AH809" s="47">
        <v>0</v>
      </c>
      <c r="AI809" s="47">
        <v>0</v>
      </c>
      <c r="AJ809" s="47">
        <v>22</v>
      </c>
      <c r="AK809" s="47">
        <v>21</v>
      </c>
      <c r="AL809" s="47">
        <v>24</v>
      </c>
      <c r="AM809" s="47">
        <v>22</v>
      </c>
      <c r="AN809" s="47">
        <v>22</v>
      </c>
      <c r="AO809" s="47">
        <v>20</v>
      </c>
      <c r="AP809" s="47">
        <v>20</v>
      </c>
      <c r="AQ809" s="47">
        <v>0</v>
      </c>
      <c r="AR809" s="47">
        <v>0</v>
      </c>
      <c r="AS809" s="47"/>
      <c r="AT809" s="47"/>
      <c r="AU809" s="47"/>
      <c r="AV809" s="47"/>
      <c r="AW809" s="47"/>
      <c r="AX809" s="47"/>
      <c r="AY809" s="47"/>
      <c r="AZ809" s="47"/>
      <c r="BA809" s="47"/>
      <c r="BB809" s="47"/>
      <c r="BC809" s="47"/>
      <c r="BD809" s="47"/>
      <c r="BE809" s="47"/>
      <c r="BF809" s="47"/>
    </row>
    <row r="810" spans="1:58" hidden="1">
      <c r="A810" s="46" t="s">
        <v>293</v>
      </c>
      <c r="B810" s="46" t="s">
        <v>76</v>
      </c>
      <c r="C810" s="47">
        <v>0</v>
      </c>
      <c r="D810" s="47">
        <v>0</v>
      </c>
      <c r="E810" s="47">
        <v>0</v>
      </c>
      <c r="F810" s="47">
        <v>0</v>
      </c>
      <c r="G810" s="47">
        <v>0</v>
      </c>
      <c r="H810" s="47">
        <v>0</v>
      </c>
      <c r="I810" s="47">
        <v>0</v>
      </c>
      <c r="J810" s="47">
        <v>0</v>
      </c>
      <c r="K810" s="47">
        <v>0</v>
      </c>
      <c r="L810" s="47">
        <v>0</v>
      </c>
      <c r="M810" s="47">
        <v>0</v>
      </c>
      <c r="N810" s="47">
        <v>0</v>
      </c>
      <c r="O810" s="47">
        <v>0</v>
      </c>
      <c r="P810" s="47">
        <v>0</v>
      </c>
      <c r="Q810" s="85"/>
      <c r="R810" s="85"/>
      <c r="S810" s="85"/>
      <c r="T810" s="85"/>
      <c r="U810" s="85"/>
      <c r="V810" s="85"/>
      <c r="W810" s="85"/>
      <c r="X810" s="85"/>
      <c r="Y810" s="85"/>
      <c r="Z810" s="85"/>
      <c r="AA810" s="85"/>
      <c r="AB810" s="85"/>
      <c r="AC810" s="85"/>
      <c r="AD810" s="85"/>
      <c r="AE810" s="47">
        <v>0</v>
      </c>
      <c r="AF810" s="47">
        <v>0</v>
      </c>
      <c r="AG810" s="47">
        <v>0</v>
      </c>
      <c r="AH810" s="47">
        <v>0</v>
      </c>
      <c r="AI810" s="47">
        <v>0</v>
      </c>
      <c r="AJ810" s="47">
        <v>0</v>
      </c>
      <c r="AK810" s="47">
        <v>0</v>
      </c>
      <c r="AL810" s="47">
        <v>0</v>
      </c>
      <c r="AM810" s="47">
        <v>0</v>
      </c>
      <c r="AN810" s="47">
        <v>0</v>
      </c>
      <c r="AO810" s="47">
        <v>0</v>
      </c>
      <c r="AP810" s="47">
        <v>0</v>
      </c>
      <c r="AQ810" s="47">
        <v>0</v>
      </c>
      <c r="AR810" s="47">
        <v>0</v>
      </c>
      <c r="AS810" s="47"/>
      <c r="AT810" s="47"/>
      <c r="AU810" s="47"/>
      <c r="AV810" s="47"/>
      <c r="AW810" s="47"/>
      <c r="AX810" s="47"/>
      <c r="AY810" s="47"/>
      <c r="AZ810" s="47"/>
      <c r="BA810" s="47"/>
      <c r="BB810" s="47"/>
      <c r="BC810" s="47"/>
      <c r="BD810" s="47"/>
      <c r="BE810" s="47"/>
      <c r="BF810" s="47"/>
    </row>
    <row r="811" spans="1:58" hidden="1">
      <c r="A811" s="46" t="s">
        <v>293</v>
      </c>
      <c r="B811" s="46" t="s">
        <v>77</v>
      </c>
      <c r="C811" s="47">
        <v>0</v>
      </c>
      <c r="D811" s="47">
        <v>0</v>
      </c>
      <c r="E811" s="47">
        <v>0</v>
      </c>
      <c r="F811" s="47">
        <v>0</v>
      </c>
      <c r="G811" s="47">
        <v>0</v>
      </c>
      <c r="H811" s="47">
        <v>0</v>
      </c>
      <c r="I811" s="47">
        <v>0</v>
      </c>
      <c r="J811" s="47">
        <v>0</v>
      </c>
      <c r="K811" s="47">
        <v>0</v>
      </c>
      <c r="L811" s="47">
        <v>0</v>
      </c>
      <c r="M811" s="47">
        <v>0</v>
      </c>
      <c r="N811" s="47">
        <v>0</v>
      </c>
      <c r="O811" s="47">
        <v>0</v>
      </c>
      <c r="P811" s="47">
        <v>0</v>
      </c>
      <c r="Q811" s="85"/>
      <c r="R811" s="85"/>
      <c r="S811" s="85"/>
      <c r="T811" s="85"/>
      <c r="U811" s="85"/>
      <c r="V811" s="85"/>
      <c r="W811" s="85"/>
      <c r="X811" s="85"/>
      <c r="Y811" s="85"/>
      <c r="Z811" s="85"/>
      <c r="AA811" s="85"/>
      <c r="AB811" s="85"/>
      <c r="AC811" s="85"/>
      <c r="AD811" s="85"/>
      <c r="AE811" s="47">
        <v>0</v>
      </c>
      <c r="AF811" s="47">
        <v>0</v>
      </c>
      <c r="AG811" s="47">
        <v>0</v>
      </c>
      <c r="AH811" s="47">
        <v>0</v>
      </c>
      <c r="AI811" s="47">
        <v>0</v>
      </c>
      <c r="AJ811" s="47">
        <v>0</v>
      </c>
      <c r="AK811" s="47">
        <v>0</v>
      </c>
      <c r="AL811" s="47">
        <v>0</v>
      </c>
      <c r="AM811" s="47">
        <v>0</v>
      </c>
      <c r="AN811" s="47">
        <v>0</v>
      </c>
      <c r="AO811" s="47">
        <v>0</v>
      </c>
      <c r="AP811" s="47">
        <v>0</v>
      </c>
      <c r="AQ811" s="47">
        <v>0</v>
      </c>
      <c r="AR811" s="47">
        <v>0</v>
      </c>
      <c r="AS811" s="47"/>
      <c r="AT811" s="47"/>
      <c r="AU811" s="47"/>
      <c r="AV811" s="47"/>
      <c r="AW811" s="47"/>
      <c r="AX811" s="47"/>
      <c r="AY811" s="47"/>
      <c r="AZ811" s="47"/>
      <c r="BA811" s="47"/>
      <c r="BB811" s="47"/>
      <c r="BC811" s="47"/>
      <c r="BD811" s="47"/>
      <c r="BE811" s="47"/>
      <c r="BF811" s="47"/>
    </row>
    <row r="812" spans="1:58" hidden="1">
      <c r="A812" s="46" t="s">
        <v>293</v>
      </c>
      <c r="B812" s="46" t="s">
        <v>78</v>
      </c>
      <c r="C812" s="47">
        <v>0</v>
      </c>
      <c r="D812" s="47">
        <v>0</v>
      </c>
      <c r="E812" s="47">
        <v>0</v>
      </c>
      <c r="F812" s="47">
        <v>0</v>
      </c>
      <c r="G812" s="47">
        <v>0</v>
      </c>
      <c r="H812" s="47">
        <v>0</v>
      </c>
      <c r="I812" s="47">
        <v>0</v>
      </c>
      <c r="J812" s="47">
        <v>0</v>
      </c>
      <c r="K812" s="47">
        <v>0</v>
      </c>
      <c r="L812" s="47">
        <v>0</v>
      </c>
      <c r="M812" s="47">
        <v>0</v>
      </c>
      <c r="N812" s="47">
        <v>0</v>
      </c>
      <c r="O812" s="47">
        <v>0</v>
      </c>
      <c r="P812" s="47">
        <v>0</v>
      </c>
      <c r="Q812" s="85"/>
      <c r="R812" s="85"/>
      <c r="S812" s="85"/>
      <c r="T812" s="85"/>
      <c r="U812" s="85"/>
      <c r="V812" s="85"/>
      <c r="W812" s="85"/>
      <c r="X812" s="85"/>
      <c r="Y812" s="85"/>
      <c r="Z812" s="85"/>
      <c r="AA812" s="85"/>
      <c r="AB812" s="85"/>
      <c r="AC812" s="85"/>
      <c r="AD812" s="85"/>
      <c r="AE812" s="47">
        <v>0</v>
      </c>
      <c r="AF812" s="47">
        <v>0</v>
      </c>
      <c r="AG812" s="47">
        <v>0</v>
      </c>
      <c r="AH812" s="47">
        <v>0</v>
      </c>
      <c r="AI812" s="47">
        <v>0</v>
      </c>
      <c r="AJ812" s="47">
        <v>0</v>
      </c>
      <c r="AK812" s="47">
        <v>0</v>
      </c>
      <c r="AL812" s="47">
        <v>0</v>
      </c>
      <c r="AM812" s="47">
        <v>0</v>
      </c>
      <c r="AN812" s="47">
        <v>0</v>
      </c>
      <c r="AO812" s="47">
        <v>0</v>
      </c>
      <c r="AP812" s="47">
        <v>0</v>
      </c>
      <c r="AQ812" s="47">
        <v>0</v>
      </c>
      <c r="AR812" s="47">
        <v>0</v>
      </c>
      <c r="AS812" s="47"/>
      <c r="AT812" s="47"/>
      <c r="AU812" s="47"/>
      <c r="AV812" s="47"/>
      <c r="AW812" s="47"/>
      <c r="AX812" s="47"/>
      <c r="AY812" s="47"/>
      <c r="AZ812" s="47"/>
      <c r="BA812" s="47"/>
      <c r="BB812" s="47"/>
      <c r="BC812" s="47"/>
      <c r="BD812" s="47"/>
      <c r="BE812" s="47"/>
      <c r="BF812" s="47"/>
    </row>
    <row r="813" spans="1:58" hidden="1">
      <c r="A813" s="46" t="s">
        <v>293</v>
      </c>
      <c r="B813" s="46" t="s">
        <v>79</v>
      </c>
      <c r="C813" s="47">
        <v>0</v>
      </c>
      <c r="D813" s="47">
        <v>0</v>
      </c>
      <c r="E813" s="47">
        <v>0</v>
      </c>
      <c r="F813" s="47">
        <v>0</v>
      </c>
      <c r="G813" s="47">
        <v>0</v>
      </c>
      <c r="H813" s="47">
        <v>1</v>
      </c>
      <c r="I813" s="47">
        <v>1</v>
      </c>
      <c r="J813" s="47">
        <v>1</v>
      </c>
      <c r="K813" s="47">
        <v>1</v>
      </c>
      <c r="L813" s="47">
        <v>1</v>
      </c>
      <c r="M813" s="47">
        <v>1</v>
      </c>
      <c r="N813" s="47">
        <v>1</v>
      </c>
      <c r="O813" s="47">
        <v>1</v>
      </c>
      <c r="P813" s="47">
        <v>2</v>
      </c>
      <c r="Q813" s="85"/>
      <c r="R813" s="85"/>
      <c r="S813" s="85"/>
      <c r="T813" s="85"/>
      <c r="U813" s="85"/>
      <c r="V813" s="85">
        <v>18</v>
      </c>
      <c r="W813" s="85">
        <v>18</v>
      </c>
      <c r="X813" s="85">
        <v>17</v>
      </c>
      <c r="Y813" s="85">
        <v>14</v>
      </c>
      <c r="Z813" s="85">
        <v>15</v>
      </c>
      <c r="AA813" s="85">
        <v>20</v>
      </c>
      <c r="AB813" s="85">
        <v>13</v>
      </c>
      <c r="AC813" s="85">
        <v>11</v>
      </c>
      <c r="AD813" s="85">
        <v>11</v>
      </c>
      <c r="AE813" s="47">
        <v>0</v>
      </c>
      <c r="AF813" s="47">
        <v>0</v>
      </c>
      <c r="AG813" s="47">
        <v>0</v>
      </c>
      <c r="AH813" s="47">
        <v>0</v>
      </c>
      <c r="AI813" s="47">
        <v>0</v>
      </c>
      <c r="AJ813" s="47">
        <v>18</v>
      </c>
      <c r="AK813" s="47">
        <v>18</v>
      </c>
      <c r="AL813" s="47">
        <v>17</v>
      </c>
      <c r="AM813" s="47">
        <v>14</v>
      </c>
      <c r="AN813" s="47">
        <v>15</v>
      </c>
      <c r="AO813" s="47">
        <v>20</v>
      </c>
      <c r="AP813" s="47">
        <v>13</v>
      </c>
      <c r="AQ813" s="47">
        <v>11</v>
      </c>
      <c r="AR813" s="47">
        <v>22</v>
      </c>
      <c r="AS813" s="47"/>
      <c r="AT813" s="47"/>
      <c r="AU813" s="47"/>
      <c r="AV813" s="47"/>
      <c r="AW813" s="47"/>
      <c r="AX813" s="47"/>
      <c r="AY813" s="47"/>
      <c r="AZ813" s="47"/>
      <c r="BA813" s="47"/>
      <c r="BB813" s="47"/>
      <c r="BC813" s="47"/>
      <c r="BD813" s="47"/>
      <c r="BE813" s="47"/>
      <c r="BF813" s="47"/>
    </row>
    <row r="814" spans="1:58" hidden="1">
      <c r="A814" s="46" t="s">
        <v>293</v>
      </c>
      <c r="B814" s="46" t="s">
        <v>80</v>
      </c>
      <c r="C814" s="47">
        <v>0</v>
      </c>
      <c r="D814" s="47">
        <v>0</v>
      </c>
      <c r="E814" s="47">
        <v>0</v>
      </c>
      <c r="F814" s="47">
        <v>0</v>
      </c>
      <c r="G814" s="47">
        <v>0</v>
      </c>
      <c r="H814" s="47">
        <v>0</v>
      </c>
      <c r="I814" s="47">
        <v>0</v>
      </c>
      <c r="J814" s="47">
        <v>0</v>
      </c>
      <c r="K814" s="47">
        <v>0</v>
      </c>
      <c r="L814" s="47">
        <v>0</v>
      </c>
      <c r="M814" s="47">
        <v>0</v>
      </c>
      <c r="N814" s="47">
        <v>0</v>
      </c>
      <c r="O814" s="47">
        <v>0</v>
      </c>
      <c r="P814" s="47">
        <v>0</v>
      </c>
      <c r="Q814" s="85"/>
      <c r="R814" s="85"/>
      <c r="S814" s="85"/>
      <c r="T814" s="85"/>
      <c r="U814" s="85"/>
      <c r="V814" s="85"/>
      <c r="W814" s="85"/>
      <c r="X814" s="85"/>
      <c r="Y814" s="85"/>
      <c r="Z814" s="85"/>
      <c r="AA814" s="85"/>
      <c r="AB814" s="85"/>
      <c r="AC814" s="85"/>
      <c r="AD814" s="85"/>
      <c r="AE814" s="47">
        <v>0</v>
      </c>
      <c r="AF814" s="47">
        <v>0</v>
      </c>
      <c r="AG814" s="47">
        <v>0</v>
      </c>
      <c r="AH814" s="47">
        <v>0</v>
      </c>
      <c r="AI814" s="47">
        <v>0</v>
      </c>
      <c r="AJ814" s="47">
        <v>0</v>
      </c>
      <c r="AK814" s="47">
        <v>0</v>
      </c>
      <c r="AL814" s="47">
        <v>0</v>
      </c>
      <c r="AM814" s="47">
        <v>0</v>
      </c>
      <c r="AN814" s="47">
        <v>0</v>
      </c>
      <c r="AO814" s="47">
        <v>0</v>
      </c>
      <c r="AP814" s="47">
        <v>0</v>
      </c>
      <c r="AQ814" s="47">
        <v>0</v>
      </c>
      <c r="AR814" s="47">
        <v>0</v>
      </c>
      <c r="AS814" s="47"/>
      <c r="AT814" s="47"/>
      <c r="AU814" s="47"/>
      <c r="AV814" s="47"/>
      <c r="AW814" s="47"/>
      <c r="AX814" s="47"/>
      <c r="AY814" s="47"/>
      <c r="AZ814" s="47"/>
      <c r="BA814" s="47"/>
      <c r="BB814" s="47"/>
      <c r="BC814" s="47"/>
      <c r="BD814" s="47"/>
      <c r="BE814" s="47"/>
      <c r="BF814" s="47"/>
    </row>
    <row r="815" spans="1:58" hidden="1">
      <c r="A815" s="46" t="s">
        <v>293</v>
      </c>
      <c r="B815" s="46" t="s">
        <v>81</v>
      </c>
      <c r="C815" s="47">
        <v>0</v>
      </c>
      <c r="D815" s="47">
        <v>0</v>
      </c>
      <c r="E815" s="47">
        <v>0</v>
      </c>
      <c r="F815" s="47">
        <v>0</v>
      </c>
      <c r="G815" s="47">
        <v>0</v>
      </c>
      <c r="H815" s="47">
        <v>0</v>
      </c>
      <c r="I815" s="47">
        <v>0</v>
      </c>
      <c r="J815" s="47">
        <v>0</v>
      </c>
      <c r="K815" s="47">
        <v>0</v>
      </c>
      <c r="L815" s="47">
        <v>0</v>
      </c>
      <c r="M815" s="47">
        <v>17</v>
      </c>
      <c r="N815" s="47">
        <v>17</v>
      </c>
      <c r="O815" s="47">
        <v>5</v>
      </c>
      <c r="P815" s="47">
        <v>5</v>
      </c>
      <c r="Q815" s="85"/>
      <c r="R815" s="85"/>
      <c r="S815" s="85"/>
      <c r="T815" s="85"/>
      <c r="U815" s="85"/>
      <c r="V815" s="85"/>
      <c r="W815" s="85"/>
      <c r="X815" s="85"/>
      <c r="Y815" s="85"/>
      <c r="Z815" s="85"/>
      <c r="AA815" s="85"/>
      <c r="AB815" s="85"/>
      <c r="AC815" s="85"/>
      <c r="AD815" s="85"/>
      <c r="AE815" s="47">
        <v>0</v>
      </c>
      <c r="AF815" s="47">
        <v>0</v>
      </c>
      <c r="AG815" s="47">
        <v>0</v>
      </c>
      <c r="AH815" s="47">
        <v>0</v>
      </c>
      <c r="AI815" s="47">
        <v>0</v>
      </c>
      <c r="AJ815" s="47">
        <v>0</v>
      </c>
      <c r="AK815" s="47">
        <v>0</v>
      </c>
      <c r="AL815" s="47">
        <v>0</v>
      </c>
      <c r="AM815" s="47">
        <v>0</v>
      </c>
      <c r="AN815" s="47">
        <v>0</v>
      </c>
      <c r="AO815" s="47">
        <v>50</v>
      </c>
      <c r="AP815" s="47">
        <v>50</v>
      </c>
      <c r="AQ815" s="47">
        <v>75</v>
      </c>
      <c r="AR815" s="47">
        <v>65</v>
      </c>
      <c r="AS815" s="47"/>
      <c r="AT815" s="47"/>
      <c r="AU815" s="47"/>
      <c r="AV815" s="47"/>
      <c r="AW815" s="47"/>
      <c r="AX815" s="47"/>
      <c r="AY815" s="47"/>
      <c r="AZ815" s="47"/>
      <c r="BA815" s="47"/>
      <c r="BB815" s="47"/>
      <c r="BC815" s="47"/>
      <c r="BD815" s="47"/>
      <c r="BE815" s="47"/>
      <c r="BF815" s="47"/>
    </row>
    <row r="816" spans="1:58" hidden="1">
      <c r="A816" s="46" t="s">
        <v>293</v>
      </c>
      <c r="B816" s="46" t="s">
        <v>82</v>
      </c>
      <c r="C816" s="47">
        <v>0</v>
      </c>
      <c r="D816" s="47">
        <v>0</v>
      </c>
      <c r="E816" s="47">
        <v>0</v>
      </c>
      <c r="F816" s="47">
        <v>0</v>
      </c>
      <c r="G816" s="47">
        <v>1</v>
      </c>
      <c r="H816" s="47">
        <v>7</v>
      </c>
      <c r="I816" s="47">
        <v>2</v>
      </c>
      <c r="J816" s="47">
        <v>20</v>
      </c>
      <c r="K816" s="47">
        <v>14</v>
      </c>
      <c r="L816" s="47">
        <v>13</v>
      </c>
      <c r="M816" s="47">
        <v>19</v>
      </c>
      <c r="N816" s="47">
        <v>19</v>
      </c>
      <c r="O816" s="47">
        <v>6</v>
      </c>
      <c r="P816" s="47">
        <v>7</v>
      </c>
      <c r="Q816" s="85"/>
      <c r="R816" s="85"/>
      <c r="S816" s="85"/>
      <c r="T816" s="85"/>
      <c r="U816" s="85">
        <v>2</v>
      </c>
      <c r="V816" s="85">
        <v>7.14</v>
      </c>
      <c r="W816" s="85">
        <v>19.5</v>
      </c>
      <c r="X816" s="85">
        <v>7.45</v>
      </c>
      <c r="Y816" s="85">
        <v>6.86</v>
      </c>
      <c r="Z816" s="85">
        <v>7.08</v>
      </c>
      <c r="AA816" s="85">
        <v>4.74</v>
      </c>
      <c r="AB816" s="85">
        <v>4.37</v>
      </c>
      <c r="AC816" s="85">
        <v>14.33</v>
      </c>
      <c r="AD816" s="85">
        <v>12.43</v>
      </c>
      <c r="AE816" s="47">
        <v>0</v>
      </c>
      <c r="AF816" s="47">
        <v>0</v>
      </c>
      <c r="AG816" s="47">
        <v>0</v>
      </c>
      <c r="AH816" s="47">
        <v>0</v>
      </c>
      <c r="AI816" s="47">
        <v>2</v>
      </c>
      <c r="AJ816" s="47">
        <v>50</v>
      </c>
      <c r="AK816" s="47">
        <v>39</v>
      </c>
      <c r="AL816" s="47">
        <v>149</v>
      </c>
      <c r="AM816" s="47">
        <v>96</v>
      </c>
      <c r="AN816" s="47">
        <v>92</v>
      </c>
      <c r="AO816" s="47">
        <v>90</v>
      </c>
      <c r="AP816" s="47">
        <v>83</v>
      </c>
      <c r="AQ816" s="47">
        <v>86</v>
      </c>
      <c r="AR816" s="47">
        <v>87</v>
      </c>
      <c r="AS816" s="47"/>
      <c r="AT816" s="47"/>
      <c r="AU816" s="47"/>
      <c r="AV816" s="47"/>
      <c r="AW816" s="47"/>
      <c r="AX816" s="47"/>
      <c r="AY816" s="47"/>
      <c r="AZ816" s="47"/>
      <c r="BA816" s="47"/>
      <c r="BB816" s="47"/>
      <c r="BC816" s="47"/>
      <c r="BD816" s="47"/>
      <c r="BE816" s="47"/>
      <c r="BF816" s="47"/>
    </row>
    <row r="817" spans="1:58" hidden="1">
      <c r="A817" s="46" t="s">
        <v>294</v>
      </c>
      <c r="B817" s="46" t="s">
        <v>251</v>
      </c>
      <c r="C817" s="47">
        <v>0</v>
      </c>
      <c r="D817" s="47">
        <v>0</v>
      </c>
      <c r="E817" s="47">
        <v>0</v>
      </c>
      <c r="F817" s="47">
        <v>0</v>
      </c>
      <c r="G817" s="47">
        <v>0</v>
      </c>
      <c r="H817" s="47">
        <v>0</v>
      </c>
      <c r="I817" s="47">
        <v>0</v>
      </c>
      <c r="J817" s="47">
        <v>0</v>
      </c>
      <c r="K817" s="47">
        <v>0</v>
      </c>
      <c r="L817" s="47">
        <v>0</v>
      </c>
      <c r="M817" s="47">
        <v>0</v>
      </c>
      <c r="N817" s="47">
        <v>0</v>
      </c>
      <c r="O817" s="47">
        <v>0</v>
      </c>
      <c r="P817" s="47">
        <v>0</v>
      </c>
      <c r="Q817" s="85"/>
      <c r="R817" s="85"/>
      <c r="S817" s="85"/>
      <c r="T817" s="85"/>
      <c r="U817" s="85"/>
      <c r="V817" s="85"/>
      <c r="W817" s="85"/>
      <c r="X817" s="85"/>
      <c r="Y817" s="85"/>
      <c r="Z817" s="85"/>
      <c r="AA817" s="85"/>
      <c r="AB817" s="85"/>
      <c r="AC817" s="85"/>
      <c r="AD817" s="85"/>
      <c r="AE817" s="47">
        <v>0</v>
      </c>
      <c r="AF817" s="47">
        <v>0</v>
      </c>
      <c r="AG817" s="47">
        <v>0</v>
      </c>
      <c r="AH817" s="47">
        <v>0</v>
      </c>
      <c r="AI817" s="47">
        <v>0</v>
      </c>
      <c r="AJ817" s="47">
        <v>0</v>
      </c>
      <c r="AK817" s="47">
        <v>0</v>
      </c>
      <c r="AL817" s="47">
        <v>0</v>
      </c>
      <c r="AM817" s="47">
        <v>0</v>
      </c>
      <c r="AN817" s="47">
        <v>0</v>
      </c>
      <c r="AO817" s="47">
        <v>0</v>
      </c>
      <c r="AP817" s="47">
        <v>0</v>
      </c>
      <c r="AQ817" s="47">
        <v>0</v>
      </c>
      <c r="AR817" s="47">
        <v>0</v>
      </c>
      <c r="AS817" s="47"/>
      <c r="AT817" s="47"/>
      <c r="AU817" s="47"/>
      <c r="AV817" s="47"/>
      <c r="AW817" s="47"/>
      <c r="AX817" s="47"/>
      <c r="AY817" s="47"/>
      <c r="AZ817" s="47"/>
      <c r="BA817" s="47"/>
      <c r="BB817" s="47"/>
      <c r="BC817" s="47"/>
      <c r="BD817" s="47"/>
      <c r="BE817" s="47"/>
      <c r="BF817" s="47"/>
    </row>
    <row r="818" spans="1:58" hidden="1">
      <c r="A818" s="46" t="s">
        <v>294</v>
      </c>
      <c r="B818" s="46" t="s">
        <v>252</v>
      </c>
      <c r="C818" s="47">
        <v>0</v>
      </c>
      <c r="D818" s="47">
        <v>0</v>
      </c>
      <c r="E818" s="47">
        <v>0</v>
      </c>
      <c r="F818" s="47">
        <v>0</v>
      </c>
      <c r="G818" s="47">
        <v>0</v>
      </c>
      <c r="H818" s="47">
        <v>0</v>
      </c>
      <c r="I818" s="47">
        <v>0</v>
      </c>
      <c r="J818" s="47">
        <v>0</v>
      </c>
      <c r="K818" s="47">
        <v>0</v>
      </c>
      <c r="L818" s="47">
        <v>0</v>
      </c>
      <c r="M818" s="47">
        <v>0</v>
      </c>
      <c r="N818" s="47">
        <v>0</v>
      </c>
      <c r="O818" s="47">
        <v>0</v>
      </c>
      <c r="P818" s="47">
        <v>0</v>
      </c>
      <c r="Q818" s="85"/>
      <c r="R818" s="85"/>
      <c r="S818" s="85"/>
      <c r="T818" s="85"/>
      <c r="U818" s="85"/>
      <c r="V818" s="85"/>
      <c r="W818" s="85"/>
      <c r="X818" s="85"/>
      <c r="Y818" s="85"/>
      <c r="Z818" s="85"/>
      <c r="AA818" s="85"/>
      <c r="AB818" s="85"/>
      <c r="AC818" s="85"/>
      <c r="AD818" s="85"/>
      <c r="AE818" s="47">
        <v>0</v>
      </c>
      <c r="AF818" s="47">
        <v>0</v>
      </c>
      <c r="AG818" s="47">
        <v>0</v>
      </c>
      <c r="AH818" s="47">
        <v>0</v>
      </c>
      <c r="AI818" s="47">
        <v>0</v>
      </c>
      <c r="AJ818" s="47">
        <v>0</v>
      </c>
      <c r="AK818" s="47">
        <v>0</v>
      </c>
      <c r="AL818" s="47">
        <v>0</v>
      </c>
      <c r="AM818" s="47">
        <v>0</v>
      </c>
      <c r="AN818" s="47">
        <v>0</v>
      </c>
      <c r="AO818" s="47">
        <v>0</v>
      </c>
      <c r="AP818" s="47">
        <v>0</v>
      </c>
      <c r="AQ818" s="47">
        <v>0</v>
      </c>
      <c r="AR818" s="47">
        <v>0</v>
      </c>
      <c r="AS818" s="47"/>
      <c r="AT818" s="47"/>
      <c r="AU818" s="47"/>
      <c r="AV818" s="47"/>
      <c r="AW818" s="47"/>
      <c r="AX818" s="47"/>
      <c r="AY818" s="47"/>
      <c r="AZ818" s="47"/>
      <c r="BA818" s="47"/>
      <c r="BB818" s="47"/>
      <c r="BC818" s="47"/>
      <c r="BD818" s="47"/>
      <c r="BE818" s="47"/>
      <c r="BF818" s="47"/>
    </row>
    <row r="819" spans="1:58" hidden="1">
      <c r="A819" s="46" t="s">
        <v>294</v>
      </c>
      <c r="B819" s="46" t="s">
        <v>253</v>
      </c>
      <c r="C819" s="47">
        <v>0</v>
      </c>
      <c r="D819" s="47">
        <v>0</v>
      </c>
      <c r="E819" s="47">
        <v>0</v>
      </c>
      <c r="F819" s="47">
        <v>0</v>
      </c>
      <c r="G819" s="47">
        <v>0</v>
      </c>
      <c r="H819" s="47">
        <v>0</v>
      </c>
      <c r="I819" s="47">
        <v>0</v>
      </c>
      <c r="J819" s="47">
        <v>0</v>
      </c>
      <c r="K819" s="47">
        <v>0</v>
      </c>
      <c r="L819" s="47">
        <v>0</v>
      </c>
      <c r="M819" s="47">
        <v>0</v>
      </c>
      <c r="N819" s="47">
        <v>0</v>
      </c>
      <c r="O819" s="47">
        <v>0</v>
      </c>
      <c r="P819" s="47">
        <v>0</v>
      </c>
      <c r="Q819" s="85"/>
      <c r="R819" s="85"/>
      <c r="S819" s="85"/>
      <c r="T819" s="85"/>
      <c r="U819" s="85"/>
      <c r="V819" s="85"/>
      <c r="W819" s="85"/>
      <c r="X819" s="85"/>
      <c r="Y819" s="85"/>
      <c r="Z819" s="85"/>
      <c r="AA819" s="85"/>
      <c r="AB819" s="85"/>
      <c r="AC819" s="85"/>
      <c r="AD819" s="85"/>
      <c r="AE819" s="47">
        <v>0</v>
      </c>
      <c r="AF819" s="47">
        <v>0</v>
      </c>
      <c r="AG819" s="47">
        <v>0</v>
      </c>
      <c r="AH819" s="47">
        <v>0</v>
      </c>
      <c r="AI819" s="47">
        <v>0</v>
      </c>
      <c r="AJ819" s="47">
        <v>0</v>
      </c>
      <c r="AK819" s="47">
        <v>0</v>
      </c>
      <c r="AL819" s="47">
        <v>0</v>
      </c>
      <c r="AM819" s="47">
        <v>0</v>
      </c>
      <c r="AN819" s="47">
        <v>0</v>
      </c>
      <c r="AO819" s="47">
        <v>0</v>
      </c>
      <c r="AP819" s="47">
        <v>0</v>
      </c>
      <c r="AQ819" s="47">
        <v>0</v>
      </c>
      <c r="AR819" s="47">
        <v>0</v>
      </c>
      <c r="AS819" s="47"/>
      <c r="AT819" s="47"/>
      <c r="AU819" s="47"/>
      <c r="AV819" s="47"/>
      <c r="AW819" s="47"/>
      <c r="AX819" s="47"/>
      <c r="AY819" s="47"/>
      <c r="AZ819" s="47"/>
      <c r="BA819" s="47"/>
      <c r="BB819" s="47"/>
      <c r="BC819" s="47"/>
      <c r="BD819" s="47"/>
      <c r="BE819" s="47"/>
      <c r="BF819" s="47"/>
    </row>
    <row r="820" spans="1:58" hidden="1">
      <c r="A820" s="46" t="s">
        <v>294</v>
      </c>
      <c r="B820" s="46" t="s">
        <v>254</v>
      </c>
      <c r="C820" s="47">
        <v>0</v>
      </c>
      <c r="D820" s="47">
        <v>0</v>
      </c>
      <c r="E820" s="47">
        <v>0</v>
      </c>
      <c r="F820" s="47">
        <v>0</v>
      </c>
      <c r="G820" s="47">
        <v>0</v>
      </c>
      <c r="H820" s="47">
        <v>0</v>
      </c>
      <c r="I820" s="47">
        <v>0</v>
      </c>
      <c r="J820" s="47">
        <v>0</v>
      </c>
      <c r="K820" s="47">
        <v>0</v>
      </c>
      <c r="L820" s="47">
        <v>0</v>
      </c>
      <c r="M820" s="47">
        <v>0</v>
      </c>
      <c r="N820" s="47">
        <v>0</v>
      </c>
      <c r="O820" s="47">
        <v>0</v>
      </c>
      <c r="P820" s="47">
        <v>0</v>
      </c>
      <c r="Q820" s="85"/>
      <c r="R820" s="85"/>
      <c r="S820" s="85"/>
      <c r="T820" s="85"/>
      <c r="U820" s="85"/>
      <c r="V820" s="85"/>
      <c r="W820" s="85"/>
      <c r="X820" s="85"/>
      <c r="Y820" s="85"/>
      <c r="Z820" s="85"/>
      <c r="AA820" s="85"/>
      <c r="AB820" s="85"/>
      <c r="AC820" s="85"/>
      <c r="AD820" s="85"/>
      <c r="AE820" s="47">
        <v>0</v>
      </c>
      <c r="AF820" s="47">
        <v>0</v>
      </c>
      <c r="AG820" s="47">
        <v>0</v>
      </c>
      <c r="AH820" s="47">
        <v>0</v>
      </c>
      <c r="AI820" s="47">
        <v>0</v>
      </c>
      <c r="AJ820" s="47">
        <v>0</v>
      </c>
      <c r="AK820" s="47">
        <v>0</v>
      </c>
      <c r="AL820" s="47">
        <v>0</v>
      </c>
      <c r="AM820" s="47">
        <v>0</v>
      </c>
      <c r="AN820" s="47">
        <v>0</v>
      </c>
      <c r="AO820" s="47">
        <v>0</v>
      </c>
      <c r="AP820" s="47">
        <v>0</v>
      </c>
      <c r="AQ820" s="47">
        <v>0</v>
      </c>
      <c r="AR820" s="47">
        <v>0</v>
      </c>
      <c r="AS820" s="47"/>
      <c r="AT820" s="47"/>
      <c r="AU820" s="47"/>
      <c r="AV820" s="47"/>
      <c r="AW820" s="47"/>
      <c r="AX820" s="47"/>
      <c r="AY820" s="47"/>
      <c r="AZ820" s="47"/>
      <c r="BA820" s="47"/>
      <c r="BB820" s="47"/>
      <c r="BC820" s="47"/>
      <c r="BD820" s="47"/>
      <c r="BE820" s="47"/>
      <c r="BF820" s="47"/>
    </row>
    <row r="821" spans="1:58" hidden="1">
      <c r="A821" s="46" t="s">
        <v>294</v>
      </c>
      <c r="B821" s="46" t="s">
        <v>255</v>
      </c>
      <c r="C821" s="47">
        <v>0</v>
      </c>
      <c r="D821" s="47">
        <v>0</v>
      </c>
      <c r="E821" s="47">
        <v>0</v>
      </c>
      <c r="F821" s="47">
        <v>0</v>
      </c>
      <c r="G821" s="47">
        <v>0</v>
      </c>
      <c r="H821" s="47">
        <v>0</v>
      </c>
      <c r="I821" s="47">
        <v>0</v>
      </c>
      <c r="J821" s="47">
        <v>0</v>
      </c>
      <c r="K821" s="47">
        <v>0</v>
      </c>
      <c r="L821" s="47">
        <v>0</v>
      </c>
      <c r="M821" s="47">
        <v>0</v>
      </c>
      <c r="N821" s="47">
        <v>0</v>
      </c>
      <c r="O821" s="47">
        <v>0</v>
      </c>
      <c r="P821" s="47">
        <v>0</v>
      </c>
      <c r="Q821" s="85"/>
      <c r="R821" s="85"/>
      <c r="S821" s="85"/>
      <c r="T821" s="85"/>
      <c r="U821" s="85"/>
      <c r="V821" s="85"/>
      <c r="W821" s="85"/>
      <c r="X821" s="85"/>
      <c r="Y821" s="85"/>
      <c r="Z821" s="85"/>
      <c r="AA821" s="85"/>
      <c r="AB821" s="85"/>
      <c r="AC821" s="85"/>
      <c r="AD821" s="85"/>
      <c r="AE821" s="47">
        <v>0</v>
      </c>
      <c r="AF821" s="47">
        <v>0</v>
      </c>
      <c r="AG821" s="47">
        <v>0</v>
      </c>
      <c r="AH821" s="47">
        <v>0</v>
      </c>
      <c r="AI821" s="47">
        <v>0</v>
      </c>
      <c r="AJ821" s="47">
        <v>0</v>
      </c>
      <c r="AK821" s="47">
        <v>0</v>
      </c>
      <c r="AL821" s="47">
        <v>0</v>
      </c>
      <c r="AM821" s="47">
        <v>0</v>
      </c>
      <c r="AN821" s="47">
        <v>0</v>
      </c>
      <c r="AO821" s="47">
        <v>0</v>
      </c>
      <c r="AP821" s="47">
        <v>0</v>
      </c>
      <c r="AQ821" s="47">
        <v>0</v>
      </c>
      <c r="AR821" s="47">
        <v>0</v>
      </c>
      <c r="AS821" s="47"/>
      <c r="AT821" s="47"/>
      <c r="AU821" s="47"/>
      <c r="AV821" s="47"/>
      <c r="AW821" s="47"/>
      <c r="AX821" s="47"/>
      <c r="AY821" s="47"/>
      <c r="AZ821" s="47"/>
      <c r="BA821" s="47"/>
      <c r="BB821" s="47"/>
      <c r="BC821" s="47"/>
      <c r="BD821" s="47"/>
      <c r="BE821" s="47"/>
      <c r="BF821" s="47"/>
    </row>
    <row r="822" spans="1:58" hidden="1">
      <c r="A822" s="46" t="s">
        <v>294</v>
      </c>
      <c r="B822" s="46" t="s">
        <v>256</v>
      </c>
      <c r="C822" s="47">
        <v>0</v>
      </c>
      <c r="D822" s="47">
        <v>0</v>
      </c>
      <c r="E822" s="47">
        <v>0</v>
      </c>
      <c r="F822" s="47">
        <v>0</v>
      </c>
      <c r="G822" s="47">
        <v>0</v>
      </c>
      <c r="H822" s="47">
        <v>0</v>
      </c>
      <c r="I822" s="47">
        <v>0</v>
      </c>
      <c r="J822" s="47">
        <v>0</v>
      </c>
      <c r="K822" s="47">
        <v>0</v>
      </c>
      <c r="L822" s="47">
        <v>0</v>
      </c>
      <c r="M822" s="47">
        <v>0</v>
      </c>
      <c r="N822" s="47">
        <v>0</v>
      </c>
      <c r="O822" s="47">
        <v>0</v>
      </c>
      <c r="P822" s="47">
        <v>0</v>
      </c>
      <c r="Q822" s="85"/>
      <c r="R822" s="85"/>
      <c r="S822" s="85"/>
      <c r="T822" s="85"/>
      <c r="U822" s="85"/>
      <c r="V822" s="85"/>
      <c r="W822" s="85"/>
      <c r="X822" s="85"/>
      <c r="Y822" s="85"/>
      <c r="Z822" s="85"/>
      <c r="AA822" s="85"/>
      <c r="AB822" s="85"/>
      <c r="AC822" s="85"/>
      <c r="AD822" s="85"/>
      <c r="AE822" s="47">
        <v>0</v>
      </c>
      <c r="AF822" s="47">
        <v>0</v>
      </c>
      <c r="AG822" s="47">
        <v>0</v>
      </c>
      <c r="AH822" s="47">
        <v>0</v>
      </c>
      <c r="AI822" s="47">
        <v>0</v>
      </c>
      <c r="AJ822" s="47">
        <v>0</v>
      </c>
      <c r="AK822" s="47">
        <v>0</v>
      </c>
      <c r="AL822" s="47">
        <v>0</v>
      </c>
      <c r="AM822" s="47">
        <v>0</v>
      </c>
      <c r="AN822" s="47">
        <v>0</v>
      </c>
      <c r="AO822" s="47">
        <v>0</v>
      </c>
      <c r="AP822" s="47">
        <v>0</v>
      </c>
      <c r="AQ822" s="47">
        <v>0</v>
      </c>
      <c r="AR822" s="47">
        <v>0</v>
      </c>
      <c r="AS822" s="47"/>
      <c r="AT822" s="47"/>
      <c r="AU822" s="47"/>
      <c r="AV822" s="47"/>
      <c r="AW822" s="47"/>
      <c r="AX822" s="47"/>
      <c r="AY822" s="47"/>
      <c r="AZ822" s="47"/>
      <c r="BA822" s="47"/>
      <c r="BB822" s="47"/>
      <c r="BC822" s="47"/>
      <c r="BD822" s="47"/>
      <c r="BE822" s="47"/>
      <c r="BF822" s="47"/>
    </row>
    <row r="823" spans="1:58" hidden="1">
      <c r="A823" s="46" t="s">
        <v>294</v>
      </c>
      <c r="B823" s="46" t="s">
        <v>257</v>
      </c>
      <c r="C823" s="47">
        <v>0</v>
      </c>
      <c r="D823" s="47">
        <v>0</v>
      </c>
      <c r="E823" s="47">
        <v>0</v>
      </c>
      <c r="F823" s="47">
        <v>0</v>
      </c>
      <c r="G823" s="47">
        <v>0</v>
      </c>
      <c r="H823" s="47">
        <v>0</v>
      </c>
      <c r="I823" s="47">
        <v>0</v>
      </c>
      <c r="J823" s="47">
        <v>0</v>
      </c>
      <c r="K823" s="47">
        <v>0</v>
      </c>
      <c r="L823" s="47">
        <v>0</v>
      </c>
      <c r="M823" s="47">
        <v>0</v>
      </c>
      <c r="N823" s="47">
        <v>0</v>
      </c>
      <c r="O823" s="47">
        <v>0</v>
      </c>
      <c r="P823" s="47">
        <v>0</v>
      </c>
      <c r="Q823" s="85"/>
      <c r="R823" s="85"/>
      <c r="S823" s="85"/>
      <c r="T823" s="85"/>
      <c r="U823" s="85"/>
      <c r="V823" s="85"/>
      <c r="W823" s="85"/>
      <c r="X823" s="85"/>
      <c r="Y823" s="85"/>
      <c r="Z823" s="85"/>
      <c r="AA823" s="85"/>
      <c r="AB823" s="85"/>
      <c r="AC823" s="85"/>
      <c r="AD823" s="85"/>
      <c r="AE823" s="47">
        <v>0</v>
      </c>
      <c r="AF823" s="47">
        <v>0</v>
      </c>
      <c r="AG823" s="47">
        <v>0</v>
      </c>
      <c r="AH823" s="47">
        <v>0</v>
      </c>
      <c r="AI823" s="47">
        <v>0</v>
      </c>
      <c r="AJ823" s="47">
        <v>0</v>
      </c>
      <c r="AK823" s="47">
        <v>0</v>
      </c>
      <c r="AL823" s="47">
        <v>0</v>
      </c>
      <c r="AM823" s="47">
        <v>0</v>
      </c>
      <c r="AN823" s="47">
        <v>0</v>
      </c>
      <c r="AO823" s="47">
        <v>0</v>
      </c>
      <c r="AP823" s="47">
        <v>0</v>
      </c>
      <c r="AQ823" s="47">
        <v>0</v>
      </c>
      <c r="AR823" s="47">
        <v>0</v>
      </c>
      <c r="AS823" s="47"/>
      <c r="AT823" s="47"/>
      <c r="AU823" s="47"/>
      <c r="AV823" s="47"/>
      <c r="AW823" s="47"/>
      <c r="AX823" s="47"/>
      <c r="AY823" s="47"/>
      <c r="AZ823" s="47"/>
      <c r="BA823" s="47"/>
      <c r="BB823" s="47"/>
      <c r="BC823" s="47"/>
      <c r="BD823" s="47"/>
      <c r="BE823" s="47"/>
      <c r="BF823" s="47"/>
    </row>
    <row r="824" spans="1:58" hidden="1">
      <c r="A824" s="46" t="s">
        <v>294</v>
      </c>
      <c r="B824" s="46" t="s">
        <v>258</v>
      </c>
      <c r="C824" s="47">
        <v>0</v>
      </c>
      <c r="D824" s="47">
        <v>0</v>
      </c>
      <c r="E824" s="47">
        <v>0</v>
      </c>
      <c r="F824" s="47">
        <v>0</v>
      </c>
      <c r="G824" s="47">
        <v>0</v>
      </c>
      <c r="H824" s="47">
        <v>0</v>
      </c>
      <c r="I824" s="47">
        <v>0</v>
      </c>
      <c r="J824" s="47">
        <v>0</v>
      </c>
      <c r="K824" s="47">
        <v>0</v>
      </c>
      <c r="L824" s="47">
        <v>0</v>
      </c>
      <c r="M824" s="47">
        <v>0</v>
      </c>
      <c r="N824" s="47">
        <v>0</v>
      </c>
      <c r="O824" s="47">
        <v>0</v>
      </c>
      <c r="P824" s="47">
        <v>0</v>
      </c>
      <c r="Q824" s="85"/>
      <c r="R824" s="85"/>
      <c r="S824" s="85"/>
      <c r="T824" s="85"/>
      <c r="U824" s="85"/>
      <c r="V824" s="85"/>
      <c r="W824" s="85"/>
      <c r="X824" s="85"/>
      <c r="Y824" s="85"/>
      <c r="Z824" s="85"/>
      <c r="AA824" s="85"/>
      <c r="AB824" s="85"/>
      <c r="AC824" s="85"/>
      <c r="AD824" s="85"/>
      <c r="AE824" s="47">
        <v>0</v>
      </c>
      <c r="AF824" s="47">
        <v>0</v>
      </c>
      <c r="AG824" s="47">
        <v>0</v>
      </c>
      <c r="AH824" s="47">
        <v>0</v>
      </c>
      <c r="AI824" s="47">
        <v>0</v>
      </c>
      <c r="AJ824" s="47">
        <v>0</v>
      </c>
      <c r="AK824" s="47">
        <v>0</v>
      </c>
      <c r="AL824" s="47">
        <v>0</v>
      </c>
      <c r="AM824" s="47">
        <v>0</v>
      </c>
      <c r="AN824" s="47">
        <v>0</v>
      </c>
      <c r="AO824" s="47">
        <v>0</v>
      </c>
      <c r="AP824" s="47">
        <v>0</v>
      </c>
      <c r="AQ824" s="47">
        <v>0</v>
      </c>
      <c r="AR824" s="47">
        <v>0</v>
      </c>
      <c r="AS824" s="47"/>
      <c r="AT824" s="47"/>
      <c r="AU824" s="47"/>
      <c r="AV824" s="47"/>
      <c r="AW824" s="47"/>
      <c r="AX824" s="47"/>
      <c r="AY824" s="47"/>
      <c r="AZ824" s="47"/>
      <c r="BA824" s="47"/>
      <c r="BB824" s="47"/>
      <c r="BC824" s="47"/>
      <c r="BD824" s="47"/>
      <c r="BE824" s="47"/>
      <c r="BF824" s="47"/>
    </row>
    <row r="825" spans="1:58" hidden="1">
      <c r="A825" s="46" t="s">
        <v>294</v>
      </c>
      <c r="B825" s="46" t="s">
        <v>259</v>
      </c>
      <c r="C825" s="47">
        <v>0</v>
      </c>
      <c r="D825" s="47">
        <v>0</v>
      </c>
      <c r="E825" s="47">
        <v>0</v>
      </c>
      <c r="F825" s="47">
        <v>0</v>
      </c>
      <c r="G825" s="47">
        <v>0</v>
      </c>
      <c r="H825" s="47">
        <v>0</v>
      </c>
      <c r="I825" s="47">
        <v>0</v>
      </c>
      <c r="J825" s="47">
        <v>0</v>
      </c>
      <c r="K825" s="47">
        <v>0</v>
      </c>
      <c r="L825" s="47">
        <v>0</v>
      </c>
      <c r="M825" s="47">
        <v>0</v>
      </c>
      <c r="N825" s="47">
        <v>0</v>
      </c>
      <c r="O825" s="47">
        <v>0</v>
      </c>
      <c r="P825" s="47">
        <v>0</v>
      </c>
      <c r="Q825" s="85"/>
      <c r="R825" s="85"/>
      <c r="S825" s="85"/>
      <c r="T825" s="85"/>
      <c r="U825" s="85"/>
      <c r="V825" s="85"/>
      <c r="W825" s="85"/>
      <c r="X825" s="85"/>
      <c r="Y825" s="85"/>
      <c r="Z825" s="85"/>
      <c r="AA825" s="85"/>
      <c r="AB825" s="85"/>
      <c r="AC825" s="85"/>
      <c r="AD825" s="85"/>
      <c r="AE825" s="47">
        <v>0</v>
      </c>
      <c r="AF825" s="47">
        <v>0</v>
      </c>
      <c r="AG825" s="47">
        <v>0</v>
      </c>
      <c r="AH825" s="47">
        <v>0</v>
      </c>
      <c r="AI825" s="47">
        <v>0</v>
      </c>
      <c r="AJ825" s="47">
        <v>0</v>
      </c>
      <c r="AK825" s="47">
        <v>0</v>
      </c>
      <c r="AL825" s="47">
        <v>0</v>
      </c>
      <c r="AM825" s="47">
        <v>0</v>
      </c>
      <c r="AN825" s="47">
        <v>0</v>
      </c>
      <c r="AO825" s="47">
        <v>0</v>
      </c>
      <c r="AP825" s="47">
        <v>0</v>
      </c>
      <c r="AQ825" s="47">
        <v>0</v>
      </c>
      <c r="AR825" s="47">
        <v>0</v>
      </c>
      <c r="AS825" s="47"/>
      <c r="AT825" s="47"/>
      <c r="AU825" s="47"/>
      <c r="AV825" s="47"/>
      <c r="AW825" s="47"/>
      <c r="AX825" s="47"/>
      <c r="AY825" s="47"/>
      <c r="AZ825" s="47"/>
      <c r="BA825" s="47"/>
      <c r="BB825" s="47"/>
      <c r="BC825" s="47"/>
      <c r="BD825" s="47"/>
      <c r="BE825" s="47"/>
      <c r="BF825" s="47"/>
    </row>
    <row r="826" spans="1:58" hidden="1">
      <c r="A826" s="46" t="s">
        <v>294</v>
      </c>
      <c r="B826" s="46" t="s">
        <v>260</v>
      </c>
      <c r="C826" s="47">
        <v>0</v>
      </c>
      <c r="D826" s="47">
        <v>0</v>
      </c>
      <c r="E826" s="47">
        <v>0</v>
      </c>
      <c r="F826" s="47">
        <v>0</v>
      </c>
      <c r="G826" s="47">
        <v>0</v>
      </c>
      <c r="H826" s="47">
        <v>0</v>
      </c>
      <c r="I826" s="47">
        <v>0</v>
      </c>
      <c r="J826" s="47">
        <v>0</v>
      </c>
      <c r="K826" s="47">
        <v>0</v>
      </c>
      <c r="L826" s="47">
        <v>0</v>
      </c>
      <c r="M826" s="47">
        <v>0</v>
      </c>
      <c r="N826" s="47">
        <v>0</v>
      </c>
      <c r="O826" s="47">
        <v>0</v>
      </c>
      <c r="P826" s="47">
        <v>0</v>
      </c>
      <c r="Q826" s="85"/>
      <c r="R826" s="85"/>
      <c r="S826" s="85"/>
      <c r="T826" s="85"/>
      <c r="U826" s="85"/>
      <c r="V826" s="85"/>
      <c r="W826" s="85"/>
      <c r="X826" s="85"/>
      <c r="Y826" s="85"/>
      <c r="Z826" s="85"/>
      <c r="AA826" s="85"/>
      <c r="AB826" s="85"/>
      <c r="AC826" s="85"/>
      <c r="AD826" s="85"/>
      <c r="AE826" s="47">
        <v>0</v>
      </c>
      <c r="AF826" s="47">
        <v>0</v>
      </c>
      <c r="AG826" s="47">
        <v>0</v>
      </c>
      <c r="AH826" s="47">
        <v>0</v>
      </c>
      <c r="AI826" s="47">
        <v>0</v>
      </c>
      <c r="AJ826" s="47">
        <v>0</v>
      </c>
      <c r="AK826" s="47">
        <v>0</v>
      </c>
      <c r="AL826" s="47">
        <v>0</v>
      </c>
      <c r="AM826" s="47">
        <v>0</v>
      </c>
      <c r="AN826" s="47">
        <v>0</v>
      </c>
      <c r="AO826" s="47">
        <v>0</v>
      </c>
      <c r="AP826" s="47">
        <v>0</v>
      </c>
      <c r="AQ826" s="47">
        <v>0</v>
      </c>
      <c r="AR826" s="47">
        <v>0</v>
      </c>
      <c r="AS826" s="47"/>
      <c r="AT826" s="47"/>
      <c r="AU826" s="47"/>
      <c r="AV826" s="47"/>
      <c r="AW826" s="47"/>
      <c r="AX826" s="47"/>
      <c r="AY826" s="47"/>
      <c r="AZ826" s="47"/>
      <c r="BA826" s="47"/>
      <c r="BB826" s="47"/>
      <c r="BC826" s="47"/>
      <c r="BD826" s="47"/>
      <c r="BE826" s="47"/>
      <c r="BF826" s="47"/>
    </row>
    <row r="827" spans="1:58" hidden="1">
      <c r="A827" s="46" t="s">
        <v>294</v>
      </c>
      <c r="B827" s="46" t="s">
        <v>261</v>
      </c>
      <c r="C827" s="47">
        <v>0</v>
      </c>
      <c r="D827" s="47">
        <v>0</v>
      </c>
      <c r="E827" s="47">
        <v>0</v>
      </c>
      <c r="F827" s="47">
        <v>0</v>
      </c>
      <c r="G827" s="47">
        <v>0</v>
      </c>
      <c r="H827" s="47">
        <v>0</v>
      </c>
      <c r="I827" s="47">
        <v>0</v>
      </c>
      <c r="J827" s="47">
        <v>0</v>
      </c>
      <c r="K827" s="47">
        <v>0</v>
      </c>
      <c r="L827" s="47">
        <v>0</v>
      </c>
      <c r="M827" s="47">
        <v>0</v>
      </c>
      <c r="N827" s="47">
        <v>0</v>
      </c>
      <c r="O827" s="47">
        <v>0</v>
      </c>
      <c r="P827" s="47">
        <v>0</v>
      </c>
      <c r="Q827" s="85"/>
      <c r="R827" s="85"/>
      <c r="S827" s="85"/>
      <c r="T827" s="85"/>
      <c r="U827" s="85"/>
      <c r="V827" s="85"/>
      <c r="W827" s="85"/>
      <c r="X827" s="85"/>
      <c r="Y827" s="85"/>
      <c r="Z827" s="85"/>
      <c r="AA827" s="85"/>
      <c r="AB827" s="85"/>
      <c r="AC827" s="85"/>
      <c r="AD827" s="85"/>
      <c r="AE827" s="47">
        <v>0</v>
      </c>
      <c r="AF827" s="47">
        <v>0</v>
      </c>
      <c r="AG827" s="47">
        <v>0</v>
      </c>
      <c r="AH827" s="47">
        <v>0</v>
      </c>
      <c r="AI827" s="47">
        <v>0</v>
      </c>
      <c r="AJ827" s="47">
        <v>0</v>
      </c>
      <c r="AK827" s="47">
        <v>0</v>
      </c>
      <c r="AL827" s="47">
        <v>0</v>
      </c>
      <c r="AM827" s="47">
        <v>0</v>
      </c>
      <c r="AN827" s="47">
        <v>0</v>
      </c>
      <c r="AO827" s="47">
        <v>0</v>
      </c>
      <c r="AP827" s="47">
        <v>0</v>
      </c>
      <c r="AQ827" s="47">
        <v>0</v>
      </c>
      <c r="AR827" s="47">
        <v>0</v>
      </c>
      <c r="AS827" s="47"/>
      <c r="AT827" s="47"/>
      <c r="AU827" s="47"/>
      <c r="AV827" s="47"/>
      <c r="AW827" s="47"/>
      <c r="AX827" s="47"/>
      <c r="AY827" s="47"/>
      <c r="AZ827" s="47"/>
      <c r="BA827" s="47"/>
      <c r="BB827" s="47"/>
      <c r="BC827" s="47"/>
      <c r="BD827" s="47"/>
      <c r="BE827" s="47"/>
      <c r="BF827" s="47"/>
    </row>
    <row r="828" spans="1:58" hidden="1">
      <c r="A828" s="46" t="s">
        <v>294</v>
      </c>
      <c r="B828" s="46" t="s">
        <v>262</v>
      </c>
      <c r="C828" s="47">
        <v>0</v>
      </c>
      <c r="D828" s="47">
        <v>0</v>
      </c>
      <c r="E828" s="47">
        <v>0</v>
      </c>
      <c r="F828" s="47">
        <v>0</v>
      </c>
      <c r="G828" s="47">
        <v>0</v>
      </c>
      <c r="H828" s="47">
        <v>0</v>
      </c>
      <c r="I828" s="47">
        <v>0</v>
      </c>
      <c r="J828" s="47">
        <v>0</v>
      </c>
      <c r="K828" s="47">
        <v>0</v>
      </c>
      <c r="L828" s="47">
        <v>0</v>
      </c>
      <c r="M828" s="47">
        <v>0</v>
      </c>
      <c r="N828" s="47">
        <v>0</v>
      </c>
      <c r="O828" s="47">
        <v>0</v>
      </c>
      <c r="P828" s="47">
        <v>0</v>
      </c>
      <c r="Q828" s="85"/>
      <c r="R828" s="85"/>
      <c r="S828" s="85"/>
      <c r="T828" s="85"/>
      <c r="U828" s="85"/>
      <c r="V828" s="85"/>
      <c r="W828" s="85"/>
      <c r="X828" s="85"/>
      <c r="Y828" s="85"/>
      <c r="Z828" s="85"/>
      <c r="AA828" s="85"/>
      <c r="AB828" s="85"/>
      <c r="AC828" s="85"/>
      <c r="AD828" s="85"/>
      <c r="AE828" s="47">
        <v>0</v>
      </c>
      <c r="AF828" s="47">
        <v>0</v>
      </c>
      <c r="AG828" s="47">
        <v>0</v>
      </c>
      <c r="AH828" s="47">
        <v>0</v>
      </c>
      <c r="AI828" s="47">
        <v>0</v>
      </c>
      <c r="AJ828" s="47">
        <v>0</v>
      </c>
      <c r="AK828" s="47">
        <v>0</v>
      </c>
      <c r="AL828" s="47">
        <v>0</v>
      </c>
      <c r="AM828" s="47">
        <v>0</v>
      </c>
      <c r="AN828" s="47">
        <v>0</v>
      </c>
      <c r="AO828" s="47">
        <v>0</v>
      </c>
      <c r="AP828" s="47">
        <v>0</v>
      </c>
      <c r="AQ828" s="47">
        <v>0</v>
      </c>
      <c r="AR828" s="47">
        <v>0</v>
      </c>
      <c r="AS828" s="47"/>
      <c r="AT828" s="47"/>
      <c r="AU828" s="47"/>
      <c r="AV828" s="47"/>
      <c r="AW828" s="47"/>
      <c r="AX828" s="47"/>
      <c r="AY828" s="47"/>
      <c r="AZ828" s="47"/>
      <c r="BA828" s="47"/>
      <c r="BB828" s="47"/>
      <c r="BC828" s="47"/>
      <c r="BD828" s="47"/>
      <c r="BE828" s="47"/>
      <c r="BF828" s="47"/>
    </row>
    <row r="829" spans="1:58" hidden="1">
      <c r="A829" s="46" t="s">
        <v>294</v>
      </c>
      <c r="B829" s="46" t="s">
        <v>263</v>
      </c>
      <c r="C829" s="47">
        <v>0</v>
      </c>
      <c r="D829" s="47">
        <v>0</v>
      </c>
      <c r="E829" s="47">
        <v>0</v>
      </c>
      <c r="F829" s="47">
        <v>0</v>
      </c>
      <c r="G829" s="47">
        <v>0</v>
      </c>
      <c r="H829" s="47">
        <v>0</v>
      </c>
      <c r="I829" s="47">
        <v>0</v>
      </c>
      <c r="J829" s="47">
        <v>0</v>
      </c>
      <c r="K829" s="47">
        <v>0</v>
      </c>
      <c r="L829" s="47">
        <v>0</v>
      </c>
      <c r="M829" s="47">
        <v>0</v>
      </c>
      <c r="N829" s="47">
        <v>0</v>
      </c>
      <c r="O829" s="47">
        <v>0</v>
      </c>
      <c r="P829" s="47">
        <v>0</v>
      </c>
      <c r="Q829" s="85"/>
      <c r="R829" s="85"/>
      <c r="S829" s="85"/>
      <c r="T829" s="85"/>
      <c r="U829" s="85"/>
      <c r="V829" s="85"/>
      <c r="W829" s="85"/>
      <c r="X829" s="85"/>
      <c r="Y829" s="85"/>
      <c r="Z829" s="85"/>
      <c r="AA829" s="85"/>
      <c r="AB829" s="85"/>
      <c r="AC829" s="85"/>
      <c r="AD829" s="85"/>
      <c r="AE829" s="47">
        <v>0</v>
      </c>
      <c r="AF829" s="47">
        <v>0</v>
      </c>
      <c r="AG829" s="47">
        <v>0</v>
      </c>
      <c r="AH829" s="47">
        <v>0</v>
      </c>
      <c r="AI829" s="47">
        <v>0</v>
      </c>
      <c r="AJ829" s="47">
        <v>0</v>
      </c>
      <c r="AK829" s="47">
        <v>0</v>
      </c>
      <c r="AL829" s="47">
        <v>0</v>
      </c>
      <c r="AM829" s="47">
        <v>0</v>
      </c>
      <c r="AN829" s="47">
        <v>0</v>
      </c>
      <c r="AO829" s="47">
        <v>0</v>
      </c>
      <c r="AP829" s="47">
        <v>0</v>
      </c>
      <c r="AQ829" s="47">
        <v>0</v>
      </c>
      <c r="AR829" s="47">
        <v>0</v>
      </c>
      <c r="AS829" s="47"/>
      <c r="AT829" s="47"/>
      <c r="AU829" s="47"/>
      <c r="AV829" s="47"/>
      <c r="AW829" s="47"/>
      <c r="AX829" s="47"/>
      <c r="AY829" s="47"/>
      <c r="AZ829" s="47"/>
      <c r="BA829" s="47"/>
      <c r="BB829" s="47"/>
      <c r="BC829" s="47"/>
      <c r="BD829" s="47"/>
      <c r="BE829" s="47"/>
      <c r="BF829" s="47"/>
    </row>
    <row r="830" spans="1:58" hidden="1">
      <c r="A830" s="46" t="s">
        <v>294</v>
      </c>
      <c r="B830" s="46" t="s">
        <v>264</v>
      </c>
      <c r="C830" s="47">
        <v>97</v>
      </c>
      <c r="D830" s="47">
        <v>91</v>
      </c>
      <c r="E830" s="47">
        <v>84</v>
      </c>
      <c r="F830" s="47">
        <v>73</v>
      </c>
      <c r="G830" s="47">
        <v>62</v>
      </c>
      <c r="H830" s="47">
        <v>56</v>
      </c>
      <c r="I830" s="47">
        <v>50</v>
      </c>
      <c r="J830" s="47">
        <v>43</v>
      </c>
      <c r="K830" s="47">
        <v>37</v>
      </c>
      <c r="L830" s="47">
        <v>30</v>
      </c>
      <c r="M830" s="47">
        <v>24</v>
      </c>
      <c r="N830" s="47">
        <v>24</v>
      </c>
      <c r="O830" s="47">
        <v>24</v>
      </c>
      <c r="P830" s="47">
        <v>27</v>
      </c>
      <c r="Q830" s="85">
        <v>42</v>
      </c>
      <c r="R830" s="85">
        <v>38</v>
      </c>
      <c r="S830" s="85">
        <v>40</v>
      </c>
      <c r="T830" s="85">
        <v>40</v>
      </c>
      <c r="U830" s="85">
        <v>40</v>
      </c>
      <c r="V830" s="85">
        <v>40</v>
      </c>
      <c r="W830" s="85">
        <v>40</v>
      </c>
      <c r="X830" s="85">
        <v>40</v>
      </c>
      <c r="Y830" s="85">
        <v>40</v>
      </c>
      <c r="Z830" s="85">
        <v>40</v>
      </c>
      <c r="AA830" s="85">
        <v>30</v>
      </c>
      <c r="AB830" s="85">
        <v>30</v>
      </c>
      <c r="AC830" s="85">
        <v>30</v>
      </c>
      <c r="AD830" s="85">
        <v>30</v>
      </c>
      <c r="AE830" s="47">
        <v>4074</v>
      </c>
      <c r="AF830" s="47">
        <v>3458</v>
      </c>
      <c r="AG830" s="47">
        <v>3360</v>
      </c>
      <c r="AH830" s="47">
        <v>2920</v>
      </c>
      <c r="AI830" s="47">
        <v>2480</v>
      </c>
      <c r="AJ830" s="47">
        <v>2240</v>
      </c>
      <c r="AK830" s="47">
        <v>2000</v>
      </c>
      <c r="AL830" s="47">
        <v>1720</v>
      </c>
      <c r="AM830" s="47">
        <v>1480</v>
      </c>
      <c r="AN830" s="47">
        <v>1200</v>
      </c>
      <c r="AO830" s="47">
        <v>720</v>
      </c>
      <c r="AP830" s="47">
        <v>720</v>
      </c>
      <c r="AQ830" s="47">
        <v>720</v>
      </c>
      <c r="AR830" s="47">
        <v>810</v>
      </c>
      <c r="AS830" s="47"/>
      <c r="AT830" s="47"/>
      <c r="AU830" s="47"/>
      <c r="AV830" s="47"/>
      <c r="AW830" s="47"/>
      <c r="AX830" s="47"/>
      <c r="AY830" s="47"/>
      <c r="AZ830" s="47"/>
      <c r="BA830" s="47"/>
      <c r="BB830" s="47"/>
      <c r="BC830" s="47"/>
      <c r="BD830" s="47"/>
      <c r="BE830" s="47"/>
      <c r="BF830" s="47"/>
    </row>
    <row r="831" spans="1:58" hidden="1">
      <c r="A831" s="46" t="s">
        <v>294</v>
      </c>
      <c r="B831" s="46" t="s">
        <v>265</v>
      </c>
      <c r="C831" s="47">
        <v>0</v>
      </c>
      <c r="D831" s="47">
        <v>0</v>
      </c>
      <c r="E831" s="47">
        <v>0</v>
      </c>
      <c r="F831" s="47">
        <v>0</v>
      </c>
      <c r="G831" s="47">
        <v>0</v>
      </c>
      <c r="H831" s="47">
        <v>0</v>
      </c>
      <c r="I831" s="47">
        <v>0</v>
      </c>
      <c r="J831" s="47">
        <v>0</v>
      </c>
      <c r="K831" s="47">
        <v>0</v>
      </c>
      <c r="L831" s="47">
        <v>0</v>
      </c>
      <c r="M831" s="47">
        <v>0</v>
      </c>
      <c r="N831" s="47">
        <v>0</v>
      </c>
      <c r="O831" s="47">
        <v>0</v>
      </c>
      <c r="P831" s="47">
        <v>0</v>
      </c>
      <c r="Q831" s="85"/>
      <c r="R831" s="85"/>
      <c r="S831" s="85"/>
      <c r="T831" s="85"/>
      <c r="U831" s="85"/>
      <c r="V831" s="85"/>
      <c r="W831" s="85"/>
      <c r="X831" s="85"/>
      <c r="Y831" s="85"/>
      <c r="Z831" s="85"/>
      <c r="AA831" s="85"/>
      <c r="AB831" s="85"/>
      <c r="AC831" s="85"/>
      <c r="AD831" s="85"/>
      <c r="AE831" s="47">
        <v>0</v>
      </c>
      <c r="AF831" s="47">
        <v>0</v>
      </c>
      <c r="AG831" s="47">
        <v>0</v>
      </c>
      <c r="AH831" s="47">
        <v>0</v>
      </c>
      <c r="AI831" s="47">
        <v>0</v>
      </c>
      <c r="AJ831" s="47">
        <v>0</v>
      </c>
      <c r="AK831" s="47">
        <v>0</v>
      </c>
      <c r="AL831" s="47">
        <v>0</v>
      </c>
      <c r="AM831" s="47">
        <v>0</v>
      </c>
      <c r="AN831" s="47">
        <v>0</v>
      </c>
      <c r="AO831" s="47">
        <v>0</v>
      </c>
      <c r="AP831" s="47">
        <v>0</v>
      </c>
      <c r="AQ831" s="47">
        <v>0</v>
      </c>
      <c r="AR831" s="47">
        <v>0</v>
      </c>
      <c r="AS831" s="47"/>
      <c r="AT831" s="47"/>
      <c r="AU831" s="47"/>
      <c r="AV831" s="47"/>
      <c r="AW831" s="47"/>
      <c r="AX831" s="47"/>
      <c r="AY831" s="47"/>
      <c r="AZ831" s="47"/>
      <c r="BA831" s="47"/>
      <c r="BB831" s="47"/>
      <c r="BC831" s="47"/>
      <c r="BD831" s="47"/>
      <c r="BE831" s="47"/>
      <c r="BF831" s="47"/>
    </row>
    <row r="832" spans="1:58" hidden="1">
      <c r="A832" s="46" t="s">
        <v>294</v>
      </c>
      <c r="B832" s="46" t="s">
        <v>266</v>
      </c>
      <c r="C832" s="47">
        <v>0</v>
      </c>
      <c r="D832" s="47">
        <v>0</v>
      </c>
      <c r="E832" s="47">
        <v>0</v>
      </c>
      <c r="F832" s="47">
        <v>0</v>
      </c>
      <c r="G832" s="47">
        <v>0</v>
      </c>
      <c r="H832" s="47">
        <v>0</v>
      </c>
      <c r="I832" s="47">
        <v>0</v>
      </c>
      <c r="J832" s="47">
        <v>0</v>
      </c>
      <c r="K832" s="47">
        <v>0</v>
      </c>
      <c r="L832" s="47">
        <v>0</v>
      </c>
      <c r="M832" s="47">
        <v>0</v>
      </c>
      <c r="N832" s="47">
        <v>0</v>
      </c>
      <c r="O832" s="47">
        <v>0</v>
      </c>
      <c r="P832" s="47">
        <v>0</v>
      </c>
      <c r="Q832" s="85"/>
      <c r="R832" s="85"/>
      <c r="S832" s="85"/>
      <c r="T832" s="85"/>
      <c r="U832" s="85"/>
      <c r="V832" s="85"/>
      <c r="W832" s="85"/>
      <c r="X832" s="85"/>
      <c r="Y832" s="85"/>
      <c r="Z832" s="85"/>
      <c r="AA832" s="85"/>
      <c r="AB832" s="85"/>
      <c r="AC832" s="85"/>
      <c r="AD832" s="85"/>
      <c r="AE832" s="47">
        <v>0</v>
      </c>
      <c r="AF832" s="47">
        <v>0</v>
      </c>
      <c r="AG832" s="47">
        <v>0</v>
      </c>
      <c r="AH832" s="47">
        <v>0</v>
      </c>
      <c r="AI832" s="47">
        <v>0</v>
      </c>
      <c r="AJ832" s="47">
        <v>0</v>
      </c>
      <c r="AK832" s="47">
        <v>0</v>
      </c>
      <c r="AL832" s="47">
        <v>0</v>
      </c>
      <c r="AM832" s="47">
        <v>0</v>
      </c>
      <c r="AN832" s="47">
        <v>0</v>
      </c>
      <c r="AO832" s="47">
        <v>0</v>
      </c>
      <c r="AP832" s="47">
        <v>0</v>
      </c>
      <c r="AQ832" s="47">
        <v>0</v>
      </c>
      <c r="AR832" s="47">
        <v>0</v>
      </c>
      <c r="AS832" s="47"/>
      <c r="AT832" s="47"/>
      <c r="AU832" s="47"/>
      <c r="AV832" s="47"/>
      <c r="AW832" s="47"/>
      <c r="AX832" s="47"/>
      <c r="AY832" s="47"/>
      <c r="AZ832" s="47"/>
      <c r="BA832" s="47"/>
      <c r="BB832" s="47"/>
      <c r="BC832" s="47"/>
      <c r="BD832" s="47"/>
      <c r="BE832" s="47"/>
      <c r="BF832" s="47"/>
    </row>
    <row r="833" spans="1:58" hidden="1">
      <c r="A833" s="46" t="s">
        <v>294</v>
      </c>
      <c r="B833" s="46" t="s">
        <v>267</v>
      </c>
      <c r="C833" s="47">
        <v>97</v>
      </c>
      <c r="D833" s="47">
        <v>91</v>
      </c>
      <c r="E833" s="47">
        <v>84</v>
      </c>
      <c r="F833" s="47">
        <v>73</v>
      </c>
      <c r="G833" s="47">
        <v>62</v>
      </c>
      <c r="H833" s="47">
        <v>56</v>
      </c>
      <c r="I833" s="47">
        <v>50</v>
      </c>
      <c r="J833" s="47">
        <v>43</v>
      </c>
      <c r="K833" s="47">
        <v>37</v>
      </c>
      <c r="L833" s="47">
        <v>30</v>
      </c>
      <c r="M833" s="47">
        <v>24</v>
      </c>
      <c r="N833" s="47">
        <v>24</v>
      </c>
      <c r="O833" s="47">
        <v>24</v>
      </c>
      <c r="P833" s="47">
        <v>27</v>
      </c>
      <c r="Q833" s="85">
        <v>42</v>
      </c>
      <c r="R833" s="85">
        <v>38</v>
      </c>
      <c r="S833" s="85">
        <v>40</v>
      </c>
      <c r="T833" s="85">
        <v>40</v>
      </c>
      <c r="U833" s="85">
        <v>40</v>
      </c>
      <c r="V833" s="85">
        <v>40</v>
      </c>
      <c r="W833" s="85">
        <v>40</v>
      </c>
      <c r="X833" s="85">
        <v>40</v>
      </c>
      <c r="Y833" s="85">
        <v>40</v>
      </c>
      <c r="Z833" s="85">
        <v>40</v>
      </c>
      <c r="AA833" s="85">
        <v>30</v>
      </c>
      <c r="AB833" s="85">
        <v>30</v>
      </c>
      <c r="AC833" s="85">
        <v>30</v>
      </c>
      <c r="AD833" s="85">
        <v>30</v>
      </c>
      <c r="AE833" s="47">
        <v>4074</v>
      </c>
      <c r="AF833" s="47">
        <v>3458</v>
      </c>
      <c r="AG833" s="47">
        <v>3360</v>
      </c>
      <c r="AH833" s="47">
        <v>2920</v>
      </c>
      <c r="AI833" s="47">
        <v>2480</v>
      </c>
      <c r="AJ833" s="47">
        <v>2240</v>
      </c>
      <c r="AK833" s="47">
        <v>2000</v>
      </c>
      <c r="AL833" s="47">
        <v>1720</v>
      </c>
      <c r="AM833" s="47">
        <v>1480</v>
      </c>
      <c r="AN833" s="47">
        <v>1200</v>
      </c>
      <c r="AO833" s="47">
        <v>720</v>
      </c>
      <c r="AP833" s="47">
        <v>720</v>
      </c>
      <c r="AQ833" s="47">
        <v>720</v>
      </c>
      <c r="AR833" s="47">
        <v>810</v>
      </c>
      <c r="AS833" s="47"/>
      <c r="AT833" s="47"/>
      <c r="AU833" s="47"/>
      <c r="AV833" s="47"/>
      <c r="AW833" s="47"/>
      <c r="AX833" s="47"/>
      <c r="AY833" s="47"/>
      <c r="AZ833" s="47"/>
      <c r="BA833" s="47"/>
      <c r="BB833" s="47"/>
      <c r="BC833" s="47"/>
      <c r="BD833" s="47"/>
      <c r="BE833" s="47"/>
      <c r="BF833" s="47"/>
    </row>
    <row r="834" spans="1:58" hidden="1">
      <c r="A834" s="46" t="s">
        <v>294</v>
      </c>
      <c r="B834" s="46" t="s">
        <v>268</v>
      </c>
      <c r="C834" s="47">
        <v>0</v>
      </c>
      <c r="D834" s="47">
        <v>0</v>
      </c>
      <c r="E834" s="47">
        <v>0</v>
      </c>
      <c r="F834" s="47">
        <v>0</v>
      </c>
      <c r="G834" s="47">
        <v>0</v>
      </c>
      <c r="H834" s="47">
        <v>0</v>
      </c>
      <c r="I834" s="47">
        <v>0</v>
      </c>
      <c r="J834" s="47">
        <v>0</v>
      </c>
      <c r="K834" s="47">
        <v>0</v>
      </c>
      <c r="L834" s="47">
        <v>0</v>
      </c>
      <c r="M834" s="47">
        <v>0</v>
      </c>
      <c r="N834" s="47">
        <v>0</v>
      </c>
      <c r="O834" s="47">
        <v>0</v>
      </c>
      <c r="P834" s="47">
        <v>0</v>
      </c>
      <c r="Q834" s="85"/>
      <c r="R834" s="85"/>
      <c r="S834" s="85"/>
      <c r="T834" s="85"/>
      <c r="U834" s="85"/>
      <c r="V834" s="85"/>
      <c r="W834" s="85"/>
      <c r="X834" s="85"/>
      <c r="Y834" s="85"/>
      <c r="Z834" s="85"/>
      <c r="AA834" s="85"/>
      <c r="AB834" s="85"/>
      <c r="AC834" s="85"/>
      <c r="AD834" s="85"/>
      <c r="AE834" s="47">
        <v>0</v>
      </c>
      <c r="AF834" s="47">
        <v>0</v>
      </c>
      <c r="AG834" s="47">
        <v>0</v>
      </c>
      <c r="AH834" s="47">
        <v>0</v>
      </c>
      <c r="AI834" s="47">
        <v>0</v>
      </c>
      <c r="AJ834" s="47">
        <v>0</v>
      </c>
      <c r="AK834" s="47">
        <v>0</v>
      </c>
      <c r="AL834" s="47">
        <v>0</v>
      </c>
      <c r="AM834" s="47">
        <v>0</v>
      </c>
      <c r="AN834" s="47">
        <v>0</v>
      </c>
      <c r="AO834" s="47">
        <v>0</v>
      </c>
      <c r="AP834" s="47">
        <v>0</v>
      </c>
      <c r="AQ834" s="47">
        <v>0</v>
      </c>
      <c r="AR834" s="47">
        <v>0</v>
      </c>
      <c r="AS834" s="47"/>
      <c r="AT834" s="47"/>
      <c r="AU834" s="47"/>
      <c r="AV834" s="47"/>
      <c r="AW834" s="47"/>
      <c r="AX834" s="47"/>
      <c r="AY834" s="47"/>
      <c r="AZ834" s="47"/>
      <c r="BA834" s="47"/>
      <c r="BB834" s="47"/>
      <c r="BC834" s="47"/>
      <c r="BD834" s="47"/>
      <c r="BE834" s="47"/>
      <c r="BF834" s="47"/>
    </row>
    <row r="835" spans="1:58" hidden="1">
      <c r="A835" s="46" t="s">
        <v>294</v>
      </c>
      <c r="B835" s="46" t="s">
        <v>269</v>
      </c>
      <c r="C835" s="47">
        <v>0</v>
      </c>
      <c r="D835" s="47">
        <v>0</v>
      </c>
      <c r="E835" s="47">
        <v>0</v>
      </c>
      <c r="F835" s="47">
        <v>0</v>
      </c>
      <c r="G835" s="47">
        <v>0</v>
      </c>
      <c r="H835" s="47">
        <v>0</v>
      </c>
      <c r="I835" s="47">
        <v>0</v>
      </c>
      <c r="J835" s="47">
        <v>0</v>
      </c>
      <c r="K835" s="47">
        <v>0</v>
      </c>
      <c r="L835" s="47">
        <v>0</v>
      </c>
      <c r="M835" s="47">
        <v>0</v>
      </c>
      <c r="N835" s="47">
        <v>0</v>
      </c>
      <c r="O835" s="47">
        <v>0</v>
      </c>
      <c r="P835" s="47">
        <v>0</v>
      </c>
      <c r="Q835" s="85"/>
      <c r="R835" s="85"/>
      <c r="S835" s="85"/>
      <c r="T835" s="85"/>
      <c r="U835" s="85"/>
      <c r="V835" s="85"/>
      <c r="W835" s="85"/>
      <c r="X835" s="85"/>
      <c r="Y835" s="85"/>
      <c r="Z835" s="85"/>
      <c r="AA835" s="85"/>
      <c r="AB835" s="85"/>
      <c r="AC835" s="85"/>
      <c r="AD835" s="85"/>
      <c r="AE835" s="47">
        <v>0</v>
      </c>
      <c r="AF835" s="47">
        <v>0</v>
      </c>
      <c r="AG835" s="47">
        <v>0</v>
      </c>
      <c r="AH835" s="47">
        <v>0</v>
      </c>
      <c r="AI835" s="47">
        <v>0</v>
      </c>
      <c r="AJ835" s="47">
        <v>0</v>
      </c>
      <c r="AK835" s="47">
        <v>0</v>
      </c>
      <c r="AL835" s="47">
        <v>0</v>
      </c>
      <c r="AM835" s="47">
        <v>0</v>
      </c>
      <c r="AN835" s="47">
        <v>0</v>
      </c>
      <c r="AO835" s="47">
        <v>0</v>
      </c>
      <c r="AP835" s="47">
        <v>0</v>
      </c>
      <c r="AQ835" s="47">
        <v>0</v>
      </c>
      <c r="AR835" s="47">
        <v>0</v>
      </c>
      <c r="AS835" s="47"/>
      <c r="AT835" s="47"/>
      <c r="AU835" s="47"/>
      <c r="AV835" s="47"/>
      <c r="AW835" s="47"/>
      <c r="AX835" s="47"/>
      <c r="AY835" s="47"/>
      <c r="AZ835" s="47"/>
      <c r="BA835" s="47"/>
      <c r="BB835" s="47"/>
      <c r="BC835" s="47"/>
      <c r="BD835" s="47"/>
      <c r="BE835" s="47"/>
      <c r="BF835" s="47"/>
    </row>
    <row r="836" spans="1:58" hidden="1">
      <c r="A836" s="46" t="s">
        <v>294</v>
      </c>
      <c r="B836" s="46" t="s">
        <v>270</v>
      </c>
      <c r="C836" s="47">
        <v>0</v>
      </c>
      <c r="D836" s="47">
        <v>0</v>
      </c>
      <c r="E836" s="47">
        <v>0</v>
      </c>
      <c r="F836" s="47">
        <v>0</v>
      </c>
      <c r="G836" s="47">
        <v>0</v>
      </c>
      <c r="H836" s="47">
        <v>0</v>
      </c>
      <c r="I836" s="47">
        <v>0</v>
      </c>
      <c r="J836" s="47">
        <v>0</v>
      </c>
      <c r="K836" s="47">
        <v>0</v>
      </c>
      <c r="L836" s="47">
        <v>0</v>
      </c>
      <c r="M836" s="47">
        <v>0</v>
      </c>
      <c r="N836" s="47">
        <v>0</v>
      </c>
      <c r="O836" s="47">
        <v>0</v>
      </c>
      <c r="P836" s="47">
        <v>0</v>
      </c>
      <c r="Q836" s="85"/>
      <c r="R836" s="85"/>
      <c r="S836" s="85"/>
      <c r="T836" s="85"/>
      <c r="U836" s="85"/>
      <c r="V836" s="85"/>
      <c r="W836" s="85"/>
      <c r="X836" s="85"/>
      <c r="Y836" s="85"/>
      <c r="Z836" s="85"/>
      <c r="AA836" s="85"/>
      <c r="AB836" s="85"/>
      <c r="AC836" s="85"/>
      <c r="AD836" s="85"/>
      <c r="AE836" s="47">
        <v>0</v>
      </c>
      <c r="AF836" s="47">
        <v>0</v>
      </c>
      <c r="AG836" s="47">
        <v>0</v>
      </c>
      <c r="AH836" s="47">
        <v>0</v>
      </c>
      <c r="AI836" s="47">
        <v>0</v>
      </c>
      <c r="AJ836" s="47">
        <v>0</v>
      </c>
      <c r="AK836" s="47">
        <v>0</v>
      </c>
      <c r="AL836" s="47">
        <v>0</v>
      </c>
      <c r="AM836" s="47">
        <v>0</v>
      </c>
      <c r="AN836" s="47">
        <v>0</v>
      </c>
      <c r="AO836" s="47">
        <v>0</v>
      </c>
      <c r="AP836" s="47">
        <v>0</v>
      </c>
      <c r="AQ836" s="47">
        <v>0</v>
      </c>
      <c r="AR836" s="47">
        <v>0</v>
      </c>
      <c r="AS836" s="47"/>
      <c r="AT836" s="47"/>
      <c r="AU836" s="47"/>
      <c r="AV836" s="47"/>
      <c r="AW836" s="47"/>
      <c r="AX836" s="47"/>
      <c r="AY836" s="47"/>
      <c r="AZ836" s="47"/>
      <c r="BA836" s="47"/>
      <c r="BB836" s="47"/>
      <c r="BC836" s="47"/>
      <c r="BD836" s="47"/>
      <c r="BE836" s="47"/>
      <c r="BF836" s="47"/>
    </row>
    <row r="837" spans="1:58" hidden="1">
      <c r="A837" s="46" t="s">
        <v>294</v>
      </c>
      <c r="B837" s="46" t="s">
        <v>271</v>
      </c>
      <c r="C837" s="47">
        <v>0</v>
      </c>
      <c r="D837" s="47">
        <v>0</v>
      </c>
      <c r="E837" s="47">
        <v>0</v>
      </c>
      <c r="F837" s="47">
        <v>0</v>
      </c>
      <c r="G837" s="47">
        <v>0</v>
      </c>
      <c r="H837" s="47">
        <v>0</v>
      </c>
      <c r="I837" s="47">
        <v>0</v>
      </c>
      <c r="J837" s="47">
        <v>0</v>
      </c>
      <c r="K837" s="47">
        <v>0</v>
      </c>
      <c r="L837" s="47">
        <v>0</v>
      </c>
      <c r="M837" s="47">
        <v>0</v>
      </c>
      <c r="N837" s="47">
        <v>0</v>
      </c>
      <c r="O837" s="47">
        <v>0</v>
      </c>
      <c r="P837" s="47">
        <v>0</v>
      </c>
      <c r="Q837" s="85"/>
      <c r="R837" s="85"/>
      <c r="S837" s="85"/>
      <c r="T837" s="85"/>
      <c r="U837" s="85"/>
      <c r="V837" s="85"/>
      <c r="W837" s="85"/>
      <c r="X837" s="85"/>
      <c r="Y837" s="85"/>
      <c r="Z837" s="85"/>
      <c r="AA837" s="85"/>
      <c r="AB837" s="85"/>
      <c r="AC837" s="85"/>
      <c r="AD837" s="85"/>
      <c r="AE837" s="47">
        <v>0</v>
      </c>
      <c r="AF837" s="47">
        <v>0</v>
      </c>
      <c r="AG837" s="47">
        <v>0</v>
      </c>
      <c r="AH837" s="47">
        <v>0</v>
      </c>
      <c r="AI837" s="47">
        <v>0</v>
      </c>
      <c r="AJ837" s="47">
        <v>0</v>
      </c>
      <c r="AK837" s="47">
        <v>0</v>
      </c>
      <c r="AL837" s="47">
        <v>0</v>
      </c>
      <c r="AM837" s="47">
        <v>0</v>
      </c>
      <c r="AN837" s="47">
        <v>0</v>
      </c>
      <c r="AO837" s="47">
        <v>0</v>
      </c>
      <c r="AP837" s="47">
        <v>0</v>
      </c>
      <c r="AQ837" s="47">
        <v>0</v>
      </c>
      <c r="AR837" s="47">
        <v>0</v>
      </c>
      <c r="AS837" s="47"/>
      <c r="AT837" s="47"/>
      <c r="AU837" s="47"/>
      <c r="AV837" s="47"/>
      <c r="AW837" s="47"/>
      <c r="AX837" s="47"/>
      <c r="AY837" s="47"/>
      <c r="AZ837" s="47"/>
      <c r="BA837" s="47"/>
      <c r="BB837" s="47"/>
      <c r="BC837" s="47"/>
      <c r="BD837" s="47"/>
      <c r="BE837" s="47"/>
      <c r="BF837" s="47"/>
    </row>
    <row r="838" spans="1:58" hidden="1">
      <c r="A838" s="46" t="s">
        <v>294</v>
      </c>
      <c r="B838" s="46" t="s">
        <v>272</v>
      </c>
      <c r="C838" s="47">
        <v>97</v>
      </c>
      <c r="D838" s="47">
        <v>91</v>
      </c>
      <c r="E838" s="47">
        <v>84</v>
      </c>
      <c r="F838" s="47">
        <v>73</v>
      </c>
      <c r="G838" s="47">
        <v>62</v>
      </c>
      <c r="H838" s="47">
        <v>56</v>
      </c>
      <c r="I838" s="47">
        <v>50</v>
      </c>
      <c r="J838" s="47">
        <v>43</v>
      </c>
      <c r="K838" s="47">
        <v>37</v>
      </c>
      <c r="L838" s="47">
        <v>30</v>
      </c>
      <c r="M838" s="47">
        <v>24</v>
      </c>
      <c r="N838" s="47">
        <v>24</v>
      </c>
      <c r="O838" s="47">
        <v>24</v>
      </c>
      <c r="P838" s="47">
        <v>27</v>
      </c>
      <c r="Q838" s="85">
        <v>42</v>
      </c>
      <c r="R838" s="85">
        <v>38</v>
      </c>
      <c r="S838" s="85">
        <v>40</v>
      </c>
      <c r="T838" s="85">
        <v>40</v>
      </c>
      <c r="U838" s="85">
        <v>40</v>
      </c>
      <c r="V838" s="85">
        <v>40</v>
      </c>
      <c r="W838" s="85">
        <v>40</v>
      </c>
      <c r="X838" s="85">
        <v>40</v>
      </c>
      <c r="Y838" s="85">
        <v>40</v>
      </c>
      <c r="Z838" s="85">
        <v>40</v>
      </c>
      <c r="AA838" s="85">
        <v>30</v>
      </c>
      <c r="AB838" s="85">
        <v>30</v>
      </c>
      <c r="AC838" s="85">
        <v>30</v>
      </c>
      <c r="AD838" s="85">
        <v>30</v>
      </c>
      <c r="AE838" s="47">
        <v>4074</v>
      </c>
      <c r="AF838" s="47">
        <v>3458</v>
      </c>
      <c r="AG838" s="47">
        <v>3360</v>
      </c>
      <c r="AH838" s="47">
        <v>2920</v>
      </c>
      <c r="AI838" s="47">
        <v>2480</v>
      </c>
      <c r="AJ838" s="47">
        <v>2240</v>
      </c>
      <c r="AK838" s="47">
        <v>2000</v>
      </c>
      <c r="AL838" s="47">
        <v>1720</v>
      </c>
      <c r="AM838" s="47">
        <v>1480</v>
      </c>
      <c r="AN838" s="47">
        <v>1200</v>
      </c>
      <c r="AO838" s="47">
        <v>720</v>
      </c>
      <c r="AP838" s="47">
        <v>720</v>
      </c>
      <c r="AQ838" s="47">
        <v>720</v>
      </c>
      <c r="AR838" s="47">
        <v>810</v>
      </c>
      <c r="AS838" s="47"/>
      <c r="AT838" s="47"/>
      <c r="AU838" s="47"/>
      <c r="AV838" s="47"/>
      <c r="AW838" s="47"/>
      <c r="AX838" s="47"/>
      <c r="AY838" s="47"/>
      <c r="AZ838" s="47"/>
      <c r="BA838" s="47"/>
      <c r="BB838" s="47"/>
      <c r="BC838" s="47"/>
      <c r="BD838" s="47"/>
      <c r="BE838" s="47"/>
      <c r="BF838" s="47"/>
    </row>
    <row r="839" spans="1:58" hidden="1">
      <c r="A839" s="46" t="s">
        <v>294</v>
      </c>
      <c r="B839" s="46" t="s">
        <v>273</v>
      </c>
      <c r="C839" s="47">
        <v>0</v>
      </c>
      <c r="D839" s="47">
        <v>0</v>
      </c>
      <c r="E839" s="47">
        <v>0</v>
      </c>
      <c r="F839" s="47">
        <v>0</v>
      </c>
      <c r="G839" s="47">
        <v>0</v>
      </c>
      <c r="H839" s="47">
        <v>0</v>
      </c>
      <c r="I839" s="47">
        <v>0</v>
      </c>
      <c r="J839" s="47">
        <v>0</v>
      </c>
      <c r="K839" s="47">
        <v>0</v>
      </c>
      <c r="L839" s="47">
        <v>0</v>
      </c>
      <c r="M839" s="47">
        <v>0</v>
      </c>
      <c r="N839" s="47">
        <v>0</v>
      </c>
      <c r="O839" s="47">
        <v>0</v>
      </c>
      <c r="P839" s="47">
        <v>0</v>
      </c>
      <c r="Q839" s="85"/>
      <c r="R839" s="85"/>
      <c r="S839" s="85"/>
      <c r="T839" s="85"/>
      <c r="U839" s="85"/>
      <c r="V839" s="85"/>
      <c r="W839" s="85"/>
      <c r="X839" s="85"/>
      <c r="Y839" s="85"/>
      <c r="Z839" s="85"/>
      <c r="AA839" s="85"/>
      <c r="AB839" s="85"/>
      <c r="AC839" s="85"/>
      <c r="AD839" s="85"/>
      <c r="AE839" s="47">
        <v>0</v>
      </c>
      <c r="AF839" s="47">
        <v>0</v>
      </c>
      <c r="AG839" s="47">
        <v>0</v>
      </c>
      <c r="AH839" s="47">
        <v>0</v>
      </c>
      <c r="AI839" s="47">
        <v>0</v>
      </c>
      <c r="AJ839" s="47">
        <v>0</v>
      </c>
      <c r="AK839" s="47">
        <v>0</v>
      </c>
      <c r="AL839" s="47">
        <v>0</v>
      </c>
      <c r="AM839" s="47">
        <v>0</v>
      </c>
      <c r="AN839" s="47">
        <v>0</v>
      </c>
      <c r="AO839" s="47">
        <v>0</v>
      </c>
      <c r="AP839" s="47">
        <v>0</v>
      </c>
      <c r="AQ839" s="47">
        <v>0</v>
      </c>
      <c r="AR839" s="47">
        <v>0</v>
      </c>
      <c r="AS839" s="47"/>
      <c r="AT839" s="47"/>
      <c r="AU839" s="47"/>
      <c r="AV839" s="47"/>
      <c r="AW839" s="47"/>
      <c r="AX839" s="47"/>
      <c r="AY839" s="47"/>
      <c r="AZ839" s="47"/>
      <c r="BA839" s="47"/>
      <c r="BB839" s="47"/>
      <c r="BC839" s="47"/>
      <c r="BD839" s="47"/>
      <c r="BE839" s="47"/>
      <c r="BF839" s="47"/>
    </row>
    <row r="840" spans="1:58" hidden="1">
      <c r="A840" s="46" t="s">
        <v>294</v>
      </c>
      <c r="B840" s="46" t="s">
        <v>274</v>
      </c>
      <c r="C840" s="47">
        <v>0</v>
      </c>
      <c r="D840" s="47">
        <v>0</v>
      </c>
      <c r="E840" s="47">
        <v>0</v>
      </c>
      <c r="F840" s="47">
        <v>0</v>
      </c>
      <c r="G840" s="47">
        <v>0</v>
      </c>
      <c r="H840" s="47">
        <v>0</v>
      </c>
      <c r="I840" s="47">
        <v>0</v>
      </c>
      <c r="J840" s="47">
        <v>0</v>
      </c>
      <c r="K840" s="47">
        <v>0</v>
      </c>
      <c r="L840" s="47">
        <v>0</v>
      </c>
      <c r="M840" s="47">
        <v>0</v>
      </c>
      <c r="N840" s="47">
        <v>0</v>
      </c>
      <c r="O840" s="47">
        <v>0</v>
      </c>
      <c r="P840" s="47">
        <v>0</v>
      </c>
      <c r="Q840" s="85"/>
      <c r="R840" s="85"/>
      <c r="S840" s="85"/>
      <c r="T840" s="85"/>
      <c r="U840" s="85"/>
      <c r="V840" s="85"/>
      <c r="W840" s="85"/>
      <c r="X840" s="85"/>
      <c r="Y840" s="85"/>
      <c r="Z840" s="85"/>
      <c r="AA840" s="85"/>
      <c r="AB840" s="85"/>
      <c r="AC840" s="85"/>
      <c r="AD840" s="85"/>
      <c r="AE840" s="47">
        <v>0</v>
      </c>
      <c r="AF840" s="47">
        <v>0</v>
      </c>
      <c r="AG840" s="47">
        <v>0</v>
      </c>
      <c r="AH840" s="47">
        <v>0</v>
      </c>
      <c r="AI840" s="47">
        <v>0</v>
      </c>
      <c r="AJ840" s="47">
        <v>0</v>
      </c>
      <c r="AK840" s="47">
        <v>0</v>
      </c>
      <c r="AL840" s="47">
        <v>0</v>
      </c>
      <c r="AM840" s="47">
        <v>0</v>
      </c>
      <c r="AN840" s="47">
        <v>0</v>
      </c>
      <c r="AO840" s="47">
        <v>0</v>
      </c>
      <c r="AP840" s="47">
        <v>0</v>
      </c>
      <c r="AQ840" s="47">
        <v>0</v>
      </c>
      <c r="AR840" s="47">
        <v>0</v>
      </c>
      <c r="AS840" s="47"/>
      <c r="AT840" s="47"/>
      <c r="AU840" s="47"/>
      <c r="AV840" s="47"/>
      <c r="AW840" s="47"/>
      <c r="AX840" s="47"/>
      <c r="AY840" s="47"/>
      <c r="AZ840" s="47"/>
      <c r="BA840" s="47"/>
      <c r="BB840" s="47"/>
      <c r="BC840" s="47"/>
      <c r="BD840" s="47"/>
      <c r="BE840" s="47"/>
      <c r="BF840" s="47"/>
    </row>
    <row r="841" spans="1:58" hidden="1">
      <c r="A841" s="46" t="s">
        <v>294</v>
      </c>
      <c r="B841" s="46" t="s">
        <v>275</v>
      </c>
      <c r="C841" s="47">
        <v>0</v>
      </c>
      <c r="D841" s="47">
        <v>0</v>
      </c>
      <c r="E841" s="47">
        <v>0</v>
      </c>
      <c r="F841" s="47">
        <v>0</v>
      </c>
      <c r="G841" s="47">
        <v>0</v>
      </c>
      <c r="H841" s="47">
        <v>0</v>
      </c>
      <c r="I841" s="47">
        <v>0</v>
      </c>
      <c r="J841" s="47">
        <v>0</v>
      </c>
      <c r="K841" s="47">
        <v>0</v>
      </c>
      <c r="L841" s="47">
        <v>0</v>
      </c>
      <c r="M841" s="47">
        <v>0</v>
      </c>
      <c r="N841" s="47">
        <v>0</v>
      </c>
      <c r="O841" s="47">
        <v>0</v>
      </c>
      <c r="P841" s="47">
        <v>0</v>
      </c>
      <c r="Q841" s="85"/>
      <c r="R841" s="85"/>
      <c r="S841" s="85"/>
      <c r="T841" s="85"/>
      <c r="U841" s="85"/>
      <c r="V841" s="85"/>
      <c r="W841" s="85"/>
      <c r="X841" s="85"/>
      <c r="Y841" s="85"/>
      <c r="Z841" s="85"/>
      <c r="AA841" s="85"/>
      <c r="AB841" s="85"/>
      <c r="AC841" s="85"/>
      <c r="AD841" s="85"/>
      <c r="AE841" s="47">
        <v>0</v>
      </c>
      <c r="AF841" s="47">
        <v>0</v>
      </c>
      <c r="AG841" s="47">
        <v>0</v>
      </c>
      <c r="AH841" s="47">
        <v>0</v>
      </c>
      <c r="AI841" s="47">
        <v>0</v>
      </c>
      <c r="AJ841" s="47">
        <v>0</v>
      </c>
      <c r="AK841" s="47">
        <v>0</v>
      </c>
      <c r="AL841" s="47">
        <v>0</v>
      </c>
      <c r="AM841" s="47">
        <v>0</v>
      </c>
      <c r="AN841" s="47">
        <v>0</v>
      </c>
      <c r="AO841" s="47">
        <v>0</v>
      </c>
      <c r="AP841" s="47">
        <v>0</v>
      </c>
      <c r="AQ841" s="47">
        <v>0</v>
      </c>
      <c r="AR841" s="47">
        <v>0</v>
      </c>
      <c r="AS841" s="47"/>
      <c r="AT841" s="47"/>
      <c r="AU841" s="47"/>
      <c r="AV841" s="47"/>
      <c r="AW841" s="47"/>
      <c r="AX841" s="47"/>
      <c r="AY841" s="47"/>
      <c r="AZ841" s="47"/>
      <c r="BA841" s="47"/>
      <c r="BB841" s="47"/>
      <c r="BC841" s="47"/>
      <c r="BD841" s="47"/>
      <c r="BE841" s="47"/>
      <c r="BF841" s="47"/>
    </row>
    <row r="842" spans="1:58" hidden="1">
      <c r="A842" s="46" t="s">
        <v>294</v>
      </c>
      <c r="B842" s="46" t="s">
        <v>276</v>
      </c>
      <c r="C842" s="47">
        <v>97</v>
      </c>
      <c r="D842" s="47">
        <v>91</v>
      </c>
      <c r="E842" s="47">
        <v>84</v>
      </c>
      <c r="F842" s="47">
        <v>73</v>
      </c>
      <c r="G842" s="47">
        <v>62</v>
      </c>
      <c r="H842" s="47">
        <v>56</v>
      </c>
      <c r="I842" s="47">
        <v>50</v>
      </c>
      <c r="J842" s="47">
        <v>43</v>
      </c>
      <c r="K842" s="47">
        <v>37</v>
      </c>
      <c r="L842" s="47">
        <v>30</v>
      </c>
      <c r="M842" s="47">
        <v>24</v>
      </c>
      <c r="N842" s="47">
        <v>24</v>
      </c>
      <c r="O842" s="47">
        <v>24</v>
      </c>
      <c r="P842" s="47">
        <v>27</v>
      </c>
      <c r="Q842" s="85">
        <v>42</v>
      </c>
      <c r="R842" s="85">
        <v>38</v>
      </c>
      <c r="S842" s="85">
        <v>40</v>
      </c>
      <c r="T842" s="85">
        <v>40</v>
      </c>
      <c r="U842" s="85">
        <v>40</v>
      </c>
      <c r="V842" s="85">
        <v>40</v>
      </c>
      <c r="W842" s="85">
        <v>40</v>
      </c>
      <c r="X842" s="85">
        <v>40</v>
      </c>
      <c r="Y842" s="85">
        <v>40</v>
      </c>
      <c r="Z842" s="85">
        <v>40</v>
      </c>
      <c r="AA842" s="85">
        <v>30</v>
      </c>
      <c r="AB842" s="85">
        <v>30</v>
      </c>
      <c r="AC842" s="85">
        <v>30</v>
      </c>
      <c r="AD842" s="85">
        <v>30</v>
      </c>
      <c r="AE842" s="47">
        <v>4074</v>
      </c>
      <c r="AF842" s="47">
        <v>3458</v>
      </c>
      <c r="AG842" s="47">
        <v>3360</v>
      </c>
      <c r="AH842" s="47">
        <v>2920</v>
      </c>
      <c r="AI842" s="47">
        <v>2480</v>
      </c>
      <c r="AJ842" s="47">
        <v>2240</v>
      </c>
      <c r="AK842" s="47">
        <v>2000</v>
      </c>
      <c r="AL842" s="47">
        <v>1720</v>
      </c>
      <c r="AM842" s="47">
        <v>1480</v>
      </c>
      <c r="AN842" s="47">
        <v>1200</v>
      </c>
      <c r="AO842" s="47">
        <v>720</v>
      </c>
      <c r="AP842" s="47">
        <v>720</v>
      </c>
      <c r="AQ842" s="47">
        <v>720</v>
      </c>
      <c r="AR842" s="47">
        <v>810</v>
      </c>
      <c r="AS842" s="47"/>
      <c r="AT842" s="47"/>
      <c r="AU842" s="47"/>
      <c r="AV842" s="47"/>
      <c r="AW842" s="47"/>
      <c r="AX842" s="47"/>
      <c r="AY842" s="47"/>
      <c r="AZ842" s="47"/>
      <c r="BA842" s="47"/>
      <c r="BB842" s="47"/>
      <c r="BC842" s="47"/>
      <c r="BD842" s="47"/>
      <c r="BE842" s="47"/>
      <c r="BF842" s="47"/>
    </row>
    <row r="843" spans="1:58" hidden="1">
      <c r="A843" s="46" t="s">
        <v>294</v>
      </c>
      <c r="B843" s="46" t="s">
        <v>277</v>
      </c>
      <c r="C843" s="47"/>
      <c r="D843" s="47"/>
      <c r="E843" s="47"/>
      <c r="F843" s="47"/>
      <c r="G843" s="47"/>
      <c r="H843" s="47"/>
      <c r="I843" s="47"/>
      <c r="J843" s="47"/>
      <c r="K843" s="47"/>
      <c r="L843" s="47"/>
      <c r="M843" s="47"/>
      <c r="N843" s="47"/>
      <c r="O843" s="47"/>
      <c r="P843" s="47"/>
      <c r="Q843" s="85"/>
      <c r="R843" s="85"/>
      <c r="S843" s="85"/>
      <c r="T843" s="85"/>
      <c r="U843" s="85"/>
      <c r="V843" s="85"/>
      <c r="W843" s="85"/>
      <c r="X843" s="85"/>
      <c r="Y843" s="85"/>
      <c r="Z843" s="85"/>
      <c r="AA843" s="85"/>
      <c r="AB843" s="85"/>
      <c r="AC843" s="85"/>
      <c r="AD843" s="85"/>
      <c r="AE843" s="47">
        <v>0</v>
      </c>
      <c r="AF843" s="47">
        <v>0</v>
      </c>
      <c r="AG843" s="47">
        <v>0</v>
      </c>
      <c r="AH843" s="47">
        <v>0</v>
      </c>
      <c r="AI843" s="47">
        <v>0</v>
      </c>
      <c r="AJ843" s="47">
        <v>0</v>
      </c>
      <c r="AK843" s="47">
        <v>0</v>
      </c>
      <c r="AL843" s="47">
        <v>0</v>
      </c>
      <c r="AM843" s="47">
        <v>0</v>
      </c>
      <c r="AN843" s="47">
        <v>0</v>
      </c>
      <c r="AO843" s="47">
        <v>0</v>
      </c>
      <c r="AP843" s="47">
        <v>0</v>
      </c>
      <c r="AQ843" s="47">
        <v>0</v>
      </c>
      <c r="AR843" s="47">
        <v>0</v>
      </c>
      <c r="AS843" s="47"/>
      <c r="AT843" s="47"/>
      <c r="AU843" s="47"/>
      <c r="AV843" s="47"/>
      <c r="AW843" s="47"/>
      <c r="AX843" s="47"/>
      <c r="AY843" s="47"/>
      <c r="AZ843" s="47"/>
      <c r="BA843" s="47"/>
      <c r="BB843" s="47"/>
      <c r="BC843" s="47"/>
      <c r="BD843" s="47"/>
      <c r="BE843" s="47"/>
      <c r="BF843" s="47"/>
    </row>
    <row r="844" spans="1:58" hidden="1">
      <c r="A844" s="46" t="s">
        <v>294</v>
      </c>
      <c r="B844" s="46" t="s">
        <v>65</v>
      </c>
      <c r="C844" s="47">
        <v>0</v>
      </c>
      <c r="D844" s="47">
        <v>0</v>
      </c>
      <c r="E844" s="47">
        <v>0</v>
      </c>
      <c r="F844" s="47">
        <v>0</v>
      </c>
      <c r="G844" s="47">
        <v>0</v>
      </c>
      <c r="H844" s="47">
        <v>0</v>
      </c>
      <c r="I844" s="47">
        <v>0</v>
      </c>
      <c r="J844" s="47">
        <v>0</v>
      </c>
      <c r="K844" s="47">
        <v>0</v>
      </c>
      <c r="L844" s="47">
        <v>0</v>
      </c>
      <c r="M844" s="47">
        <v>0</v>
      </c>
      <c r="N844" s="47">
        <v>0</v>
      </c>
      <c r="O844" s="47">
        <v>0</v>
      </c>
      <c r="P844" s="47">
        <v>0</v>
      </c>
      <c r="Q844" s="85"/>
      <c r="R844" s="85"/>
      <c r="S844" s="85"/>
      <c r="T844" s="85"/>
      <c r="U844" s="85"/>
      <c r="V844" s="85"/>
      <c r="W844" s="85"/>
      <c r="X844" s="85"/>
      <c r="Y844" s="85"/>
      <c r="Z844" s="85"/>
      <c r="AA844" s="85"/>
      <c r="AB844" s="85"/>
      <c r="AC844" s="85"/>
      <c r="AD844" s="85"/>
      <c r="AE844" s="47">
        <v>0</v>
      </c>
      <c r="AF844" s="47">
        <v>0</v>
      </c>
      <c r="AG844" s="47">
        <v>0</v>
      </c>
      <c r="AH844" s="47">
        <v>0</v>
      </c>
      <c r="AI844" s="47">
        <v>0</v>
      </c>
      <c r="AJ844" s="47">
        <v>0</v>
      </c>
      <c r="AK844" s="47">
        <v>0</v>
      </c>
      <c r="AL844" s="47">
        <v>0</v>
      </c>
      <c r="AM844" s="47">
        <v>0</v>
      </c>
      <c r="AN844" s="47">
        <v>0</v>
      </c>
      <c r="AO844" s="47">
        <v>0</v>
      </c>
      <c r="AP844" s="47">
        <v>0</v>
      </c>
      <c r="AQ844" s="47">
        <v>0</v>
      </c>
      <c r="AR844" s="47">
        <v>0</v>
      </c>
      <c r="AS844" s="47"/>
      <c r="AT844" s="47"/>
      <c r="AU844" s="47"/>
      <c r="AV844" s="47"/>
      <c r="AW844" s="47"/>
      <c r="AX844" s="47"/>
      <c r="AY844" s="47"/>
      <c r="AZ844" s="47"/>
      <c r="BA844" s="47"/>
      <c r="BB844" s="47"/>
      <c r="BC844" s="47"/>
      <c r="BD844" s="47"/>
      <c r="BE844" s="47"/>
      <c r="BF844" s="47"/>
    </row>
    <row r="845" spans="1:58" hidden="1">
      <c r="A845" s="46" t="s">
        <v>294</v>
      </c>
      <c r="B845" s="46" t="s">
        <v>66</v>
      </c>
      <c r="C845" s="47">
        <v>0</v>
      </c>
      <c r="D845" s="47">
        <v>0</v>
      </c>
      <c r="E845" s="47">
        <v>0</v>
      </c>
      <c r="F845" s="47">
        <v>0</v>
      </c>
      <c r="G845" s="47">
        <v>0</v>
      </c>
      <c r="H845" s="47">
        <v>0</v>
      </c>
      <c r="I845" s="47">
        <v>0</v>
      </c>
      <c r="J845" s="47">
        <v>0</v>
      </c>
      <c r="K845" s="47">
        <v>0</v>
      </c>
      <c r="L845" s="47">
        <v>0</v>
      </c>
      <c r="M845" s="47">
        <v>0</v>
      </c>
      <c r="N845" s="47">
        <v>0</v>
      </c>
      <c r="O845" s="47">
        <v>0</v>
      </c>
      <c r="P845" s="47">
        <v>0</v>
      </c>
      <c r="Q845" s="85"/>
      <c r="R845" s="85"/>
      <c r="S845" s="85"/>
      <c r="T845" s="85"/>
      <c r="U845" s="85"/>
      <c r="V845" s="85"/>
      <c r="W845" s="85"/>
      <c r="X845" s="85"/>
      <c r="Y845" s="85"/>
      <c r="Z845" s="85"/>
      <c r="AA845" s="85"/>
      <c r="AB845" s="85"/>
      <c r="AC845" s="85"/>
      <c r="AD845" s="85"/>
      <c r="AE845" s="47">
        <v>0</v>
      </c>
      <c r="AF845" s="47">
        <v>0</v>
      </c>
      <c r="AG845" s="47">
        <v>0</v>
      </c>
      <c r="AH845" s="47">
        <v>0</v>
      </c>
      <c r="AI845" s="47">
        <v>0</v>
      </c>
      <c r="AJ845" s="47">
        <v>0</v>
      </c>
      <c r="AK845" s="47">
        <v>0</v>
      </c>
      <c r="AL845" s="47">
        <v>0</v>
      </c>
      <c r="AM845" s="47">
        <v>0</v>
      </c>
      <c r="AN845" s="47">
        <v>0</v>
      </c>
      <c r="AO845" s="47">
        <v>0</v>
      </c>
      <c r="AP845" s="47">
        <v>0</v>
      </c>
      <c r="AQ845" s="47">
        <v>0</v>
      </c>
      <c r="AR845" s="47">
        <v>0</v>
      </c>
      <c r="AS845" s="47"/>
      <c r="AT845" s="47"/>
      <c r="AU845" s="47"/>
      <c r="AV845" s="47"/>
      <c r="AW845" s="47"/>
      <c r="AX845" s="47"/>
      <c r="AY845" s="47"/>
      <c r="AZ845" s="47"/>
      <c r="BA845" s="47"/>
      <c r="BB845" s="47"/>
      <c r="BC845" s="47"/>
      <c r="BD845" s="47"/>
      <c r="BE845" s="47"/>
      <c r="BF845" s="47"/>
    </row>
    <row r="846" spans="1:58" hidden="1">
      <c r="A846" s="46" t="s">
        <v>294</v>
      </c>
      <c r="B846" s="46" t="s">
        <v>67</v>
      </c>
      <c r="C846" s="47">
        <v>0</v>
      </c>
      <c r="D846" s="47">
        <v>0</v>
      </c>
      <c r="E846" s="47">
        <v>0</v>
      </c>
      <c r="F846" s="47">
        <v>0</v>
      </c>
      <c r="G846" s="47">
        <v>0</v>
      </c>
      <c r="H846" s="47">
        <v>0</v>
      </c>
      <c r="I846" s="47">
        <v>0</v>
      </c>
      <c r="J846" s="47">
        <v>0</v>
      </c>
      <c r="K846" s="47">
        <v>0</v>
      </c>
      <c r="L846" s="47">
        <v>0</v>
      </c>
      <c r="M846" s="47">
        <v>0</v>
      </c>
      <c r="N846" s="47">
        <v>0</v>
      </c>
      <c r="O846" s="47">
        <v>0</v>
      </c>
      <c r="P846" s="47">
        <v>0</v>
      </c>
      <c r="Q846" s="85"/>
      <c r="R846" s="85"/>
      <c r="S846" s="85"/>
      <c r="T846" s="85"/>
      <c r="U846" s="85"/>
      <c r="V846" s="85"/>
      <c r="W846" s="85"/>
      <c r="X846" s="85"/>
      <c r="Y846" s="85"/>
      <c r="Z846" s="85"/>
      <c r="AA846" s="85"/>
      <c r="AB846" s="85"/>
      <c r="AC846" s="85"/>
      <c r="AD846" s="85"/>
      <c r="AE846" s="47">
        <v>0</v>
      </c>
      <c r="AF846" s="47">
        <v>0</v>
      </c>
      <c r="AG846" s="47">
        <v>0</v>
      </c>
      <c r="AH846" s="47">
        <v>0</v>
      </c>
      <c r="AI846" s="47">
        <v>0</v>
      </c>
      <c r="AJ846" s="47">
        <v>0</v>
      </c>
      <c r="AK846" s="47">
        <v>0</v>
      </c>
      <c r="AL846" s="47">
        <v>0</v>
      </c>
      <c r="AM846" s="47">
        <v>0</v>
      </c>
      <c r="AN846" s="47">
        <v>0</v>
      </c>
      <c r="AO846" s="47">
        <v>0</v>
      </c>
      <c r="AP846" s="47">
        <v>0</v>
      </c>
      <c r="AQ846" s="47">
        <v>0</v>
      </c>
      <c r="AR846" s="47">
        <v>0</v>
      </c>
      <c r="AS846" s="47"/>
      <c r="AT846" s="47"/>
      <c r="AU846" s="47"/>
      <c r="AV846" s="47"/>
      <c r="AW846" s="47"/>
      <c r="AX846" s="47"/>
      <c r="AY846" s="47"/>
      <c r="AZ846" s="47"/>
      <c r="BA846" s="47"/>
      <c r="BB846" s="47"/>
      <c r="BC846" s="47"/>
      <c r="BD846" s="47"/>
      <c r="BE846" s="47"/>
      <c r="BF846" s="47"/>
    </row>
    <row r="847" spans="1:58" hidden="1">
      <c r="A847" s="46" t="s">
        <v>294</v>
      </c>
      <c r="B847" s="46" t="s">
        <v>68</v>
      </c>
      <c r="C847" s="47">
        <v>0</v>
      </c>
      <c r="D847" s="47">
        <v>0</v>
      </c>
      <c r="E847" s="47">
        <v>0</v>
      </c>
      <c r="F847" s="47">
        <v>0</v>
      </c>
      <c r="G847" s="47">
        <v>0</v>
      </c>
      <c r="H847" s="47">
        <v>0</v>
      </c>
      <c r="I847" s="47">
        <v>0</v>
      </c>
      <c r="J847" s="47">
        <v>0</v>
      </c>
      <c r="K847" s="47">
        <v>0</v>
      </c>
      <c r="L847" s="47">
        <v>0</v>
      </c>
      <c r="M847" s="47">
        <v>0</v>
      </c>
      <c r="N847" s="47">
        <v>0</v>
      </c>
      <c r="O847" s="47">
        <v>0</v>
      </c>
      <c r="P847" s="47">
        <v>0</v>
      </c>
      <c r="Q847" s="85"/>
      <c r="R847" s="85"/>
      <c r="S847" s="85"/>
      <c r="T847" s="85"/>
      <c r="U847" s="85"/>
      <c r="V847" s="85"/>
      <c r="W847" s="85"/>
      <c r="X847" s="85"/>
      <c r="Y847" s="85"/>
      <c r="Z847" s="85"/>
      <c r="AA847" s="85"/>
      <c r="AB847" s="85"/>
      <c r="AC847" s="85"/>
      <c r="AD847" s="85"/>
      <c r="AE847" s="47">
        <v>0</v>
      </c>
      <c r="AF847" s="47">
        <v>0</v>
      </c>
      <c r="AG847" s="47">
        <v>0</v>
      </c>
      <c r="AH847" s="47">
        <v>0</v>
      </c>
      <c r="AI847" s="47">
        <v>0</v>
      </c>
      <c r="AJ847" s="47">
        <v>0</v>
      </c>
      <c r="AK847" s="47">
        <v>0</v>
      </c>
      <c r="AL847" s="47">
        <v>0</v>
      </c>
      <c r="AM847" s="47">
        <v>0</v>
      </c>
      <c r="AN847" s="47">
        <v>0</v>
      </c>
      <c r="AO847" s="47">
        <v>0</v>
      </c>
      <c r="AP847" s="47">
        <v>0</v>
      </c>
      <c r="AQ847" s="47">
        <v>0</v>
      </c>
      <c r="AR847" s="47">
        <v>0</v>
      </c>
      <c r="AS847" s="47"/>
      <c r="AT847" s="47"/>
      <c r="AU847" s="47"/>
      <c r="AV847" s="47"/>
      <c r="AW847" s="47"/>
      <c r="AX847" s="47"/>
      <c r="AY847" s="47"/>
      <c r="AZ847" s="47"/>
      <c r="BA847" s="47"/>
      <c r="BB847" s="47"/>
      <c r="BC847" s="47"/>
      <c r="BD847" s="47"/>
      <c r="BE847" s="47"/>
      <c r="BF847" s="47"/>
    </row>
    <row r="848" spans="1:58" hidden="1">
      <c r="A848" s="46" t="s">
        <v>294</v>
      </c>
      <c r="B848" s="46" t="s">
        <v>69</v>
      </c>
      <c r="C848" s="47">
        <v>0</v>
      </c>
      <c r="D848" s="47">
        <v>0</v>
      </c>
      <c r="E848" s="47">
        <v>0</v>
      </c>
      <c r="F848" s="47">
        <v>0</v>
      </c>
      <c r="G848" s="47">
        <v>0</v>
      </c>
      <c r="H848" s="47">
        <v>0</v>
      </c>
      <c r="I848" s="47">
        <v>0</v>
      </c>
      <c r="J848" s="47">
        <v>0</v>
      </c>
      <c r="K848" s="47">
        <v>0</v>
      </c>
      <c r="L848" s="47">
        <v>0</v>
      </c>
      <c r="M848" s="47">
        <v>0</v>
      </c>
      <c r="N848" s="47">
        <v>0</v>
      </c>
      <c r="O848" s="47">
        <v>0</v>
      </c>
      <c r="P848" s="47">
        <v>0</v>
      </c>
      <c r="Q848" s="85"/>
      <c r="R848" s="85"/>
      <c r="S848" s="85"/>
      <c r="T848" s="85"/>
      <c r="U848" s="85"/>
      <c r="V848" s="85"/>
      <c r="W848" s="85"/>
      <c r="X848" s="85"/>
      <c r="Y848" s="85"/>
      <c r="Z848" s="85"/>
      <c r="AA848" s="85"/>
      <c r="AB848" s="85"/>
      <c r="AC848" s="85"/>
      <c r="AD848" s="85"/>
      <c r="AE848" s="47">
        <v>0</v>
      </c>
      <c r="AF848" s="47">
        <v>0</v>
      </c>
      <c r="AG848" s="47">
        <v>0</v>
      </c>
      <c r="AH848" s="47">
        <v>0</v>
      </c>
      <c r="AI848" s="47">
        <v>0</v>
      </c>
      <c r="AJ848" s="47">
        <v>0</v>
      </c>
      <c r="AK848" s="47">
        <v>0</v>
      </c>
      <c r="AL848" s="47">
        <v>0</v>
      </c>
      <c r="AM848" s="47">
        <v>0</v>
      </c>
      <c r="AN848" s="47">
        <v>0</v>
      </c>
      <c r="AO848" s="47">
        <v>0</v>
      </c>
      <c r="AP848" s="47">
        <v>0</v>
      </c>
      <c r="AQ848" s="47">
        <v>0</v>
      </c>
      <c r="AR848" s="47">
        <v>0</v>
      </c>
      <c r="AS848" s="47"/>
      <c r="AT848" s="47"/>
      <c r="AU848" s="47"/>
      <c r="AV848" s="47"/>
      <c r="AW848" s="47"/>
      <c r="AX848" s="47"/>
      <c r="AY848" s="47"/>
      <c r="AZ848" s="47"/>
      <c r="BA848" s="47"/>
      <c r="BB848" s="47"/>
      <c r="BC848" s="47"/>
      <c r="BD848" s="47"/>
      <c r="BE848" s="47"/>
      <c r="BF848" s="47"/>
    </row>
    <row r="849" spans="1:58" hidden="1">
      <c r="A849" s="46" t="s">
        <v>294</v>
      </c>
      <c r="B849" s="46" t="s">
        <v>70</v>
      </c>
      <c r="C849" s="47">
        <v>0</v>
      </c>
      <c r="D849" s="47">
        <v>0</v>
      </c>
      <c r="E849" s="47">
        <v>0</v>
      </c>
      <c r="F849" s="47">
        <v>0</v>
      </c>
      <c r="G849" s="47">
        <v>0</v>
      </c>
      <c r="H849" s="47">
        <v>0</v>
      </c>
      <c r="I849" s="47">
        <v>0</v>
      </c>
      <c r="J849" s="47">
        <v>0</v>
      </c>
      <c r="K849" s="47">
        <v>0</v>
      </c>
      <c r="L849" s="47">
        <v>0</v>
      </c>
      <c r="M849" s="47">
        <v>0</v>
      </c>
      <c r="N849" s="47">
        <v>0</v>
      </c>
      <c r="O849" s="47">
        <v>0</v>
      </c>
      <c r="P849" s="47">
        <v>0</v>
      </c>
      <c r="Q849" s="85"/>
      <c r="R849" s="85"/>
      <c r="S849" s="85"/>
      <c r="T849" s="85"/>
      <c r="U849" s="85"/>
      <c r="V849" s="85"/>
      <c r="W849" s="85"/>
      <c r="X849" s="85"/>
      <c r="Y849" s="85"/>
      <c r="Z849" s="85"/>
      <c r="AA849" s="85"/>
      <c r="AB849" s="85"/>
      <c r="AC849" s="85"/>
      <c r="AD849" s="85"/>
      <c r="AE849" s="47">
        <v>0</v>
      </c>
      <c r="AF849" s="47">
        <v>0</v>
      </c>
      <c r="AG849" s="47">
        <v>0</v>
      </c>
      <c r="AH849" s="47">
        <v>0</v>
      </c>
      <c r="AI849" s="47">
        <v>0</v>
      </c>
      <c r="AJ849" s="47">
        <v>0</v>
      </c>
      <c r="AK849" s="47">
        <v>0</v>
      </c>
      <c r="AL849" s="47">
        <v>0</v>
      </c>
      <c r="AM849" s="47">
        <v>0</v>
      </c>
      <c r="AN849" s="47">
        <v>0</v>
      </c>
      <c r="AO849" s="47">
        <v>0</v>
      </c>
      <c r="AP849" s="47">
        <v>0</v>
      </c>
      <c r="AQ849" s="47">
        <v>0</v>
      </c>
      <c r="AR849" s="47">
        <v>0</v>
      </c>
      <c r="AS849" s="47"/>
      <c r="AT849" s="47"/>
      <c r="AU849" s="47"/>
      <c r="AV849" s="47"/>
      <c r="AW849" s="47"/>
      <c r="AX849" s="47"/>
      <c r="AY849" s="47"/>
      <c r="AZ849" s="47"/>
      <c r="BA849" s="47"/>
      <c r="BB849" s="47"/>
      <c r="BC849" s="47"/>
      <c r="BD849" s="47"/>
      <c r="BE849" s="47"/>
      <c r="BF849" s="47"/>
    </row>
    <row r="850" spans="1:58" hidden="1">
      <c r="A850" s="46" t="s">
        <v>294</v>
      </c>
      <c r="B850" s="46" t="s">
        <v>71</v>
      </c>
      <c r="C850" s="47">
        <v>8</v>
      </c>
      <c r="D850" s="47">
        <v>7</v>
      </c>
      <c r="E850" s="47">
        <v>5</v>
      </c>
      <c r="F850" s="47">
        <v>12</v>
      </c>
      <c r="G850" s="47">
        <v>10</v>
      </c>
      <c r="H850" s="47">
        <v>9</v>
      </c>
      <c r="I850" s="47">
        <v>8</v>
      </c>
      <c r="J850" s="47">
        <v>6</v>
      </c>
      <c r="K850" s="47">
        <v>5</v>
      </c>
      <c r="L850" s="47">
        <v>3</v>
      </c>
      <c r="M850" s="47">
        <v>2</v>
      </c>
      <c r="N850" s="47">
        <v>2</v>
      </c>
      <c r="O850" s="47">
        <v>2</v>
      </c>
      <c r="P850" s="47">
        <v>2</v>
      </c>
      <c r="Q850" s="85"/>
      <c r="R850" s="85"/>
      <c r="S850" s="85"/>
      <c r="T850" s="85"/>
      <c r="U850" s="85"/>
      <c r="V850" s="85"/>
      <c r="W850" s="85"/>
      <c r="X850" s="85"/>
      <c r="Y850" s="85"/>
      <c r="Z850" s="85"/>
      <c r="AA850" s="85"/>
      <c r="AB850" s="85"/>
      <c r="AC850" s="85"/>
      <c r="AD850" s="85"/>
      <c r="AE850" s="47">
        <v>336</v>
      </c>
      <c r="AF850" s="47">
        <v>266</v>
      </c>
      <c r="AG850" s="47">
        <v>200</v>
      </c>
      <c r="AH850" s="47">
        <v>480</v>
      </c>
      <c r="AI850" s="47">
        <v>400</v>
      </c>
      <c r="AJ850" s="47">
        <v>360</v>
      </c>
      <c r="AK850" s="47">
        <v>320</v>
      </c>
      <c r="AL850" s="47">
        <v>240</v>
      </c>
      <c r="AM850" s="47">
        <v>200</v>
      </c>
      <c r="AN850" s="47">
        <v>120</v>
      </c>
      <c r="AO850" s="47">
        <v>80</v>
      </c>
      <c r="AP850" s="47">
        <v>80</v>
      </c>
      <c r="AQ850" s="47">
        <v>80</v>
      </c>
      <c r="AR850" s="47">
        <v>80</v>
      </c>
      <c r="AS850" s="47"/>
      <c r="AT850" s="47"/>
      <c r="AU850" s="47"/>
      <c r="AV850" s="47"/>
      <c r="AW850" s="47"/>
      <c r="AX850" s="47"/>
      <c r="AY850" s="47"/>
      <c r="AZ850" s="47"/>
      <c r="BA850" s="47"/>
      <c r="BB850" s="47"/>
      <c r="BC850" s="47"/>
      <c r="BD850" s="47"/>
      <c r="BE850" s="47"/>
      <c r="BF850" s="47"/>
    </row>
    <row r="851" spans="1:58" hidden="1">
      <c r="A851" s="46" t="s">
        <v>294</v>
      </c>
      <c r="B851" s="46" t="s">
        <v>72</v>
      </c>
      <c r="C851" s="47">
        <v>8</v>
      </c>
      <c r="D851" s="47">
        <v>7</v>
      </c>
      <c r="E851" s="47">
        <v>5</v>
      </c>
      <c r="F851" s="47">
        <v>12</v>
      </c>
      <c r="G851" s="47">
        <v>10</v>
      </c>
      <c r="H851" s="47">
        <v>9</v>
      </c>
      <c r="I851" s="47">
        <v>8</v>
      </c>
      <c r="J851" s="47">
        <v>6</v>
      </c>
      <c r="K851" s="47">
        <v>5</v>
      </c>
      <c r="L851" s="47">
        <v>3</v>
      </c>
      <c r="M851" s="47">
        <v>2</v>
      </c>
      <c r="N851" s="47">
        <v>2</v>
      </c>
      <c r="O851" s="47">
        <v>2</v>
      </c>
      <c r="P851" s="47">
        <v>2</v>
      </c>
      <c r="Q851" s="85">
        <v>42</v>
      </c>
      <c r="R851" s="85">
        <v>38</v>
      </c>
      <c r="S851" s="85">
        <v>40</v>
      </c>
      <c r="T851" s="85">
        <v>40</v>
      </c>
      <c r="U851" s="85">
        <v>40</v>
      </c>
      <c r="V851" s="85">
        <v>40</v>
      </c>
      <c r="W851" s="85">
        <v>40</v>
      </c>
      <c r="X851" s="85">
        <v>40</v>
      </c>
      <c r="Y851" s="85">
        <v>40</v>
      </c>
      <c r="Z851" s="85">
        <v>40</v>
      </c>
      <c r="AA851" s="85">
        <v>40</v>
      </c>
      <c r="AB851" s="85">
        <v>40</v>
      </c>
      <c r="AC851" s="85">
        <v>40</v>
      </c>
      <c r="AD851" s="85">
        <v>40</v>
      </c>
      <c r="AE851" s="47">
        <v>336</v>
      </c>
      <c r="AF851" s="47">
        <v>266</v>
      </c>
      <c r="AG851" s="47">
        <v>200</v>
      </c>
      <c r="AH851" s="47">
        <v>480</v>
      </c>
      <c r="AI851" s="47">
        <v>400</v>
      </c>
      <c r="AJ851" s="47">
        <v>360</v>
      </c>
      <c r="AK851" s="47">
        <v>320</v>
      </c>
      <c r="AL851" s="47">
        <v>240</v>
      </c>
      <c r="AM851" s="47">
        <v>200</v>
      </c>
      <c r="AN851" s="47">
        <v>120</v>
      </c>
      <c r="AO851" s="47">
        <v>80</v>
      </c>
      <c r="AP851" s="47">
        <v>80</v>
      </c>
      <c r="AQ851" s="47">
        <v>80</v>
      </c>
      <c r="AR851" s="47">
        <v>80</v>
      </c>
      <c r="AS851" s="47"/>
      <c r="AT851" s="47"/>
      <c r="AU851" s="47"/>
      <c r="AV851" s="47"/>
      <c r="AW851" s="47"/>
      <c r="AX851" s="47"/>
      <c r="AY851" s="47"/>
      <c r="AZ851" s="47"/>
      <c r="BA851" s="47"/>
      <c r="BB851" s="47"/>
      <c r="BC851" s="47"/>
      <c r="BD851" s="47"/>
      <c r="BE851" s="47"/>
      <c r="BF851" s="47"/>
    </row>
    <row r="852" spans="1:58" hidden="1">
      <c r="A852" s="46" t="s">
        <v>294</v>
      </c>
      <c r="B852" s="46" t="s">
        <v>73</v>
      </c>
      <c r="C852" s="47">
        <v>0</v>
      </c>
      <c r="D852" s="47">
        <v>0</v>
      </c>
      <c r="E852" s="47">
        <v>0</v>
      </c>
      <c r="F852" s="47">
        <v>0</v>
      </c>
      <c r="G852" s="47">
        <v>0</v>
      </c>
      <c r="H852" s="47">
        <v>0</v>
      </c>
      <c r="I852" s="47">
        <v>0</v>
      </c>
      <c r="J852" s="47">
        <v>0</v>
      </c>
      <c r="K852" s="47">
        <v>0</v>
      </c>
      <c r="L852" s="47">
        <v>0</v>
      </c>
      <c r="M852" s="47">
        <v>1</v>
      </c>
      <c r="N852" s="47">
        <v>1</v>
      </c>
      <c r="O852" s="47">
        <v>1</v>
      </c>
      <c r="P852" s="47">
        <v>1</v>
      </c>
      <c r="Q852" s="85"/>
      <c r="R852" s="85"/>
      <c r="S852" s="85"/>
      <c r="T852" s="85"/>
      <c r="U852" s="85"/>
      <c r="V852" s="85"/>
      <c r="W852" s="85"/>
      <c r="X852" s="85"/>
      <c r="Y852" s="85"/>
      <c r="Z852" s="85"/>
      <c r="AA852" s="85">
        <v>26</v>
      </c>
      <c r="AB852" s="85">
        <v>26</v>
      </c>
      <c r="AC852" s="85">
        <v>26</v>
      </c>
      <c r="AD852" s="85">
        <v>26</v>
      </c>
      <c r="AE852" s="47">
        <v>0</v>
      </c>
      <c r="AF852" s="47">
        <v>0</v>
      </c>
      <c r="AG852" s="47">
        <v>0</v>
      </c>
      <c r="AH852" s="47">
        <v>0</v>
      </c>
      <c r="AI852" s="47">
        <v>0</v>
      </c>
      <c r="AJ852" s="47">
        <v>0</v>
      </c>
      <c r="AK852" s="47">
        <v>0</v>
      </c>
      <c r="AL852" s="47">
        <v>0</v>
      </c>
      <c r="AM852" s="47">
        <v>0</v>
      </c>
      <c r="AN852" s="47">
        <v>0</v>
      </c>
      <c r="AO852" s="47">
        <v>26</v>
      </c>
      <c r="AP852" s="47">
        <v>26</v>
      </c>
      <c r="AQ852" s="47">
        <v>26</v>
      </c>
      <c r="AR852" s="47">
        <v>26</v>
      </c>
      <c r="AS852" s="47"/>
      <c r="AT852" s="47"/>
      <c r="AU852" s="47"/>
      <c r="AV852" s="47"/>
      <c r="AW852" s="47"/>
      <c r="AX852" s="47"/>
      <c r="AY852" s="47"/>
      <c r="AZ852" s="47"/>
      <c r="BA852" s="47"/>
      <c r="BB852" s="47"/>
      <c r="BC852" s="47"/>
      <c r="BD852" s="47"/>
      <c r="BE852" s="47"/>
      <c r="BF852" s="47"/>
    </row>
    <row r="853" spans="1:58" hidden="1">
      <c r="A853" s="46" t="s">
        <v>294</v>
      </c>
      <c r="B853" s="46" t="s">
        <v>74</v>
      </c>
      <c r="C853" s="47">
        <v>0</v>
      </c>
      <c r="D853" s="47">
        <v>0</v>
      </c>
      <c r="E853" s="47">
        <v>0</v>
      </c>
      <c r="F853" s="47">
        <v>0</v>
      </c>
      <c r="G853" s="47">
        <v>0</v>
      </c>
      <c r="H853" s="47">
        <v>0</v>
      </c>
      <c r="I853" s="47">
        <v>0</v>
      </c>
      <c r="J853" s="47">
        <v>0</v>
      </c>
      <c r="K853" s="47">
        <v>0</v>
      </c>
      <c r="L853" s="47">
        <v>0</v>
      </c>
      <c r="M853" s="47">
        <v>0</v>
      </c>
      <c r="N853" s="47">
        <v>0</v>
      </c>
      <c r="O853" s="47">
        <v>0</v>
      </c>
      <c r="P853" s="47">
        <v>0</v>
      </c>
      <c r="Q853" s="85"/>
      <c r="R853" s="85"/>
      <c r="S853" s="85"/>
      <c r="T853" s="85"/>
      <c r="U853" s="85"/>
      <c r="V853" s="85"/>
      <c r="W853" s="85"/>
      <c r="X853" s="85"/>
      <c r="Y853" s="85"/>
      <c r="Z853" s="85"/>
      <c r="AA853" s="85"/>
      <c r="AB853" s="85"/>
      <c r="AC853" s="85"/>
      <c r="AD853" s="85"/>
      <c r="AE853" s="47">
        <v>0</v>
      </c>
      <c r="AF853" s="47">
        <v>0</v>
      </c>
      <c r="AG853" s="47">
        <v>0</v>
      </c>
      <c r="AH853" s="47">
        <v>0</v>
      </c>
      <c r="AI853" s="47">
        <v>0</v>
      </c>
      <c r="AJ853" s="47">
        <v>0</v>
      </c>
      <c r="AK853" s="47">
        <v>0</v>
      </c>
      <c r="AL853" s="47">
        <v>0</v>
      </c>
      <c r="AM853" s="47">
        <v>0</v>
      </c>
      <c r="AN853" s="47">
        <v>0</v>
      </c>
      <c r="AO853" s="47">
        <v>0</v>
      </c>
      <c r="AP853" s="47">
        <v>0</v>
      </c>
      <c r="AQ853" s="47">
        <v>0</v>
      </c>
      <c r="AR853" s="47">
        <v>0</v>
      </c>
      <c r="AS853" s="47"/>
      <c r="AT853" s="47"/>
      <c r="AU853" s="47"/>
      <c r="AV853" s="47"/>
      <c r="AW853" s="47"/>
      <c r="AX853" s="47"/>
      <c r="AY853" s="47"/>
      <c r="AZ853" s="47"/>
      <c r="BA853" s="47"/>
      <c r="BB853" s="47"/>
      <c r="BC853" s="47"/>
      <c r="BD853" s="47"/>
      <c r="BE853" s="47"/>
      <c r="BF853" s="47"/>
    </row>
    <row r="854" spans="1:58" hidden="1">
      <c r="A854" s="46" t="s">
        <v>294</v>
      </c>
      <c r="B854" s="46" t="s">
        <v>75</v>
      </c>
      <c r="C854" s="47">
        <v>170</v>
      </c>
      <c r="D854" s="47">
        <v>153</v>
      </c>
      <c r="E854" s="47">
        <v>136</v>
      </c>
      <c r="F854" s="47">
        <v>120</v>
      </c>
      <c r="G854" s="47">
        <v>103</v>
      </c>
      <c r="H854" s="47">
        <v>86</v>
      </c>
      <c r="I854" s="47">
        <v>69</v>
      </c>
      <c r="J854" s="47">
        <v>52</v>
      </c>
      <c r="K854" s="47">
        <v>36</v>
      </c>
      <c r="L854" s="47">
        <v>19</v>
      </c>
      <c r="M854" s="47">
        <v>2</v>
      </c>
      <c r="N854" s="47">
        <v>2</v>
      </c>
      <c r="O854" s="47">
        <v>2</v>
      </c>
      <c r="P854" s="47">
        <v>2</v>
      </c>
      <c r="Q854" s="85">
        <v>42</v>
      </c>
      <c r="R854" s="85">
        <v>38</v>
      </c>
      <c r="S854" s="85">
        <v>40</v>
      </c>
      <c r="T854" s="85">
        <v>40</v>
      </c>
      <c r="U854" s="85">
        <v>40</v>
      </c>
      <c r="V854" s="85">
        <v>40</v>
      </c>
      <c r="W854" s="85">
        <v>40</v>
      </c>
      <c r="X854" s="85">
        <v>40</v>
      </c>
      <c r="Y854" s="85">
        <v>40</v>
      </c>
      <c r="Z854" s="85">
        <v>40</v>
      </c>
      <c r="AA854" s="85">
        <v>20</v>
      </c>
      <c r="AB854" s="85">
        <v>20</v>
      </c>
      <c r="AC854" s="85">
        <v>20</v>
      </c>
      <c r="AD854" s="85">
        <v>20</v>
      </c>
      <c r="AE854" s="47">
        <v>7140</v>
      </c>
      <c r="AF854" s="47">
        <v>5814</v>
      </c>
      <c r="AG854" s="47">
        <v>5440</v>
      </c>
      <c r="AH854" s="47">
        <v>4800</v>
      </c>
      <c r="AI854" s="47">
        <v>4120</v>
      </c>
      <c r="AJ854" s="47">
        <v>3440</v>
      </c>
      <c r="AK854" s="47">
        <v>2760</v>
      </c>
      <c r="AL854" s="47">
        <v>2080</v>
      </c>
      <c r="AM854" s="47">
        <v>1440</v>
      </c>
      <c r="AN854" s="47">
        <v>760</v>
      </c>
      <c r="AO854" s="47">
        <v>40</v>
      </c>
      <c r="AP854" s="47">
        <v>40</v>
      </c>
      <c r="AQ854" s="47">
        <v>40</v>
      </c>
      <c r="AR854" s="47">
        <v>40</v>
      </c>
      <c r="AS854" s="47"/>
      <c r="AT854" s="47"/>
      <c r="AU854" s="47"/>
      <c r="AV854" s="47"/>
      <c r="AW854" s="47"/>
      <c r="AX854" s="47"/>
      <c r="AY854" s="47"/>
      <c r="AZ854" s="47"/>
      <c r="BA854" s="47"/>
      <c r="BB854" s="47"/>
      <c r="BC854" s="47"/>
      <c r="BD854" s="47"/>
      <c r="BE854" s="47"/>
      <c r="BF854" s="47"/>
    </row>
    <row r="855" spans="1:58" hidden="1">
      <c r="A855" s="46" t="s">
        <v>294</v>
      </c>
      <c r="B855" s="46" t="s">
        <v>76</v>
      </c>
      <c r="C855" s="47">
        <v>100</v>
      </c>
      <c r="D855" s="47">
        <v>100</v>
      </c>
      <c r="E855" s="47">
        <v>100</v>
      </c>
      <c r="F855" s="47">
        <v>105</v>
      </c>
      <c r="G855" s="47">
        <v>105</v>
      </c>
      <c r="H855" s="47">
        <v>110</v>
      </c>
      <c r="I855" s="47">
        <v>110</v>
      </c>
      <c r="J855" s="47">
        <v>113</v>
      </c>
      <c r="K855" s="47">
        <v>105</v>
      </c>
      <c r="L855" s="47">
        <v>105</v>
      </c>
      <c r="M855" s="47">
        <v>80</v>
      </c>
      <c r="N855" s="47">
        <v>80</v>
      </c>
      <c r="O855" s="47">
        <v>70</v>
      </c>
      <c r="P855" s="47">
        <v>80</v>
      </c>
      <c r="Q855" s="85">
        <v>6.5</v>
      </c>
      <c r="R855" s="85">
        <v>7</v>
      </c>
      <c r="S855" s="85">
        <v>9</v>
      </c>
      <c r="T855" s="85">
        <v>9.52</v>
      </c>
      <c r="U855" s="85">
        <v>8.57</v>
      </c>
      <c r="V855" s="85">
        <v>7.27</v>
      </c>
      <c r="W855" s="85">
        <v>8.18</v>
      </c>
      <c r="X855" s="85">
        <v>8.41</v>
      </c>
      <c r="Y855" s="85">
        <v>9.52</v>
      </c>
      <c r="Z855" s="85">
        <v>7.62</v>
      </c>
      <c r="AA855" s="85">
        <v>10</v>
      </c>
      <c r="AB855" s="85">
        <v>9.3800000000000008</v>
      </c>
      <c r="AC855" s="85">
        <v>10</v>
      </c>
      <c r="AD855" s="85">
        <v>6.25</v>
      </c>
      <c r="AE855" s="47">
        <v>650</v>
      </c>
      <c r="AF855" s="47">
        <v>700</v>
      </c>
      <c r="AG855" s="47">
        <v>900</v>
      </c>
      <c r="AH855" s="47">
        <v>1000</v>
      </c>
      <c r="AI855" s="47">
        <v>900</v>
      </c>
      <c r="AJ855" s="47">
        <v>800</v>
      </c>
      <c r="AK855" s="47">
        <v>900</v>
      </c>
      <c r="AL855" s="47">
        <v>950</v>
      </c>
      <c r="AM855" s="47">
        <v>1000</v>
      </c>
      <c r="AN855" s="47">
        <v>800</v>
      </c>
      <c r="AO855" s="47">
        <v>800</v>
      </c>
      <c r="AP855" s="47">
        <v>750</v>
      </c>
      <c r="AQ855" s="47">
        <v>700</v>
      </c>
      <c r="AR855" s="47">
        <v>500</v>
      </c>
      <c r="AS855" s="47"/>
      <c r="AT855" s="47"/>
      <c r="AU855" s="47"/>
      <c r="AV855" s="47"/>
      <c r="AW855" s="47"/>
      <c r="AX855" s="47"/>
      <c r="AY855" s="47"/>
      <c r="AZ855" s="47"/>
      <c r="BA855" s="47"/>
      <c r="BB855" s="47"/>
      <c r="BC855" s="47"/>
      <c r="BD855" s="47"/>
      <c r="BE855" s="47"/>
      <c r="BF855" s="47"/>
    </row>
    <row r="856" spans="1:58" hidden="1">
      <c r="A856" s="46" t="s">
        <v>294</v>
      </c>
      <c r="B856" s="46" t="s">
        <v>77</v>
      </c>
      <c r="C856" s="47">
        <v>0</v>
      </c>
      <c r="D856" s="47">
        <v>0</v>
      </c>
      <c r="E856" s="47">
        <v>0</v>
      </c>
      <c r="F856" s="47">
        <v>0</v>
      </c>
      <c r="G856" s="47">
        <v>0</v>
      </c>
      <c r="H856" s="47">
        <v>0</v>
      </c>
      <c r="I856" s="47">
        <v>0</v>
      </c>
      <c r="J856" s="47">
        <v>0</v>
      </c>
      <c r="K856" s="47">
        <v>0</v>
      </c>
      <c r="L856" s="47">
        <v>0</v>
      </c>
      <c r="M856" s="47">
        <v>0</v>
      </c>
      <c r="N856" s="47">
        <v>0</v>
      </c>
      <c r="O856" s="47">
        <v>0</v>
      </c>
      <c r="P856" s="47">
        <v>0</v>
      </c>
      <c r="Q856" s="85"/>
      <c r="R856" s="85"/>
      <c r="S856" s="85"/>
      <c r="T856" s="85"/>
      <c r="U856" s="85"/>
      <c r="V856" s="85"/>
      <c r="W856" s="85"/>
      <c r="X856" s="85"/>
      <c r="Y856" s="85"/>
      <c r="Z856" s="85"/>
      <c r="AA856" s="85"/>
      <c r="AB856" s="85"/>
      <c r="AC856" s="85"/>
      <c r="AD856" s="85"/>
      <c r="AE856" s="47">
        <v>0</v>
      </c>
      <c r="AF856" s="47">
        <v>0</v>
      </c>
      <c r="AG856" s="47">
        <v>0</v>
      </c>
      <c r="AH856" s="47">
        <v>0</v>
      </c>
      <c r="AI856" s="47">
        <v>0</v>
      </c>
      <c r="AJ856" s="47">
        <v>0</v>
      </c>
      <c r="AK856" s="47">
        <v>0</v>
      </c>
      <c r="AL856" s="47">
        <v>0</v>
      </c>
      <c r="AM856" s="47">
        <v>0</v>
      </c>
      <c r="AN856" s="47">
        <v>0</v>
      </c>
      <c r="AO856" s="47">
        <v>0</v>
      </c>
      <c r="AP856" s="47">
        <v>0</v>
      </c>
      <c r="AQ856" s="47">
        <v>0</v>
      </c>
      <c r="AR856" s="47">
        <v>0</v>
      </c>
      <c r="AS856" s="47"/>
      <c r="AT856" s="47"/>
      <c r="AU856" s="47"/>
      <c r="AV856" s="47"/>
      <c r="AW856" s="47"/>
      <c r="AX856" s="47"/>
      <c r="AY856" s="47"/>
      <c r="AZ856" s="47"/>
      <c r="BA856" s="47"/>
      <c r="BB856" s="47"/>
      <c r="BC856" s="47"/>
      <c r="BD856" s="47"/>
      <c r="BE856" s="47"/>
      <c r="BF856" s="47"/>
    </row>
    <row r="857" spans="1:58" hidden="1">
      <c r="A857" s="46" t="s">
        <v>294</v>
      </c>
      <c r="B857" s="46" t="s">
        <v>78</v>
      </c>
      <c r="C857" s="47">
        <v>0</v>
      </c>
      <c r="D857" s="47">
        <v>0</v>
      </c>
      <c r="E857" s="47">
        <v>0</v>
      </c>
      <c r="F857" s="47">
        <v>0</v>
      </c>
      <c r="G857" s="47">
        <v>0</v>
      </c>
      <c r="H857" s="47">
        <v>0</v>
      </c>
      <c r="I857" s="47">
        <v>0</v>
      </c>
      <c r="J857" s="47">
        <v>0</v>
      </c>
      <c r="K857" s="47">
        <v>0</v>
      </c>
      <c r="L857" s="47">
        <v>0</v>
      </c>
      <c r="M857" s="47">
        <v>0</v>
      </c>
      <c r="N857" s="47">
        <v>0</v>
      </c>
      <c r="O857" s="47">
        <v>0</v>
      </c>
      <c r="P857" s="47">
        <v>0</v>
      </c>
      <c r="Q857" s="85"/>
      <c r="R857" s="85"/>
      <c r="S857" s="85"/>
      <c r="T857" s="85"/>
      <c r="U857" s="85"/>
      <c r="V857" s="85"/>
      <c r="W857" s="85"/>
      <c r="X857" s="85"/>
      <c r="Y857" s="85"/>
      <c r="Z857" s="85"/>
      <c r="AA857" s="85"/>
      <c r="AB857" s="85"/>
      <c r="AC857" s="85"/>
      <c r="AD857" s="85"/>
      <c r="AE857" s="47">
        <v>0</v>
      </c>
      <c r="AF857" s="47">
        <v>0</v>
      </c>
      <c r="AG857" s="47">
        <v>0</v>
      </c>
      <c r="AH857" s="47">
        <v>0</v>
      </c>
      <c r="AI857" s="47">
        <v>0</v>
      </c>
      <c r="AJ857" s="47">
        <v>0</v>
      </c>
      <c r="AK857" s="47">
        <v>0</v>
      </c>
      <c r="AL857" s="47">
        <v>0</v>
      </c>
      <c r="AM857" s="47">
        <v>0</v>
      </c>
      <c r="AN857" s="47">
        <v>0</v>
      </c>
      <c r="AO857" s="47">
        <v>0</v>
      </c>
      <c r="AP857" s="47">
        <v>0</v>
      </c>
      <c r="AQ857" s="47">
        <v>0</v>
      </c>
      <c r="AR857" s="47">
        <v>0</v>
      </c>
      <c r="AS857" s="47"/>
      <c r="AT857" s="47"/>
      <c r="AU857" s="47"/>
      <c r="AV857" s="47"/>
      <c r="AW857" s="47"/>
      <c r="AX857" s="47"/>
      <c r="AY857" s="47"/>
      <c r="AZ857" s="47"/>
      <c r="BA857" s="47"/>
      <c r="BB857" s="47"/>
      <c r="BC857" s="47"/>
      <c r="BD857" s="47"/>
      <c r="BE857" s="47"/>
      <c r="BF857" s="47"/>
    </row>
    <row r="858" spans="1:58" hidden="1">
      <c r="A858" s="46" t="s">
        <v>294</v>
      </c>
      <c r="B858" s="46" t="s">
        <v>79</v>
      </c>
      <c r="C858" s="47">
        <v>0</v>
      </c>
      <c r="D858" s="47">
        <v>0</v>
      </c>
      <c r="E858" s="47">
        <v>0</v>
      </c>
      <c r="F858" s="47">
        <v>0</v>
      </c>
      <c r="G858" s="47">
        <v>0</v>
      </c>
      <c r="H858" s="47">
        <v>0</v>
      </c>
      <c r="I858" s="47">
        <v>0</v>
      </c>
      <c r="J858" s="47">
        <v>0</v>
      </c>
      <c r="K858" s="47">
        <v>0</v>
      </c>
      <c r="L858" s="47">
        <v>0</v>
      </c>
      <c r="M858" s="47">
        <v>0</v>
      </c>
      <c r="N858" s="47">
        <v>0</v>
      </c>
      <c r="O858" s="47">
        <v>0</v>
      </c>
      <c r="P858" s="47">
        <v>0</v>
      </c>
      <c r="Q858" s="85"/>
      <c r="R858" s="85"/>
      <c r="S858" s="85"/>
      <c r="T858" s="85"/>
      <c r="U858" s="85"/>
      <c r="V858" s="85"/>
      <c r="W858" s="85"/>
      <c r="X858" s="85"/>
      <c r="Y858" s="85"/>
      <c r="Z858" s="85"/>
      <c r="AA858" s="85"/>
      <c r="AB858" s="85"/>
      <c r="AC858" s="85"/>
      <c r="AD858" s="85"/>
      <c r="AE858" s="47">
        <v>0</v>
      </c>
      <c r="AF858" s="47">
        <v>0</v>
      </c>
      <c r="AG858" s="47">
        <v>0</v>
      </c>
      <c r="AH858" s="47">
        <v>0</v>
      </c>
      <c r="AI858" s="47">
        <v>0</v>
      </c>
      <c r="AJ858" s="47">
        <v>0</v>
      </c>
      <c r="AK858" s="47">
        <v>0</v>
      </c>
      <c r="AL858" s="47">
        <v>0</v>
      </c>
      <c r="AM858" s="47">
        <v>0</v>
      </c>
      <c r="AN858" s="47">
        <v>0</v>
      </c>
      <c r="AO858" s="47">
        <v>0</v>
      </c>
      <c r="AP858" s="47">
        <v>0</v>
      </c>
      <c r="AQ858" s="47">
        <v>0</v>
      </c>
      <c r="AR858" s="47">
        <v>0</v>
      </c>
      <c r="AS858" s="47"/>
      <c r="AT858" s="47"/>
      <c r="AU858" s="47"/>
      <c r="AV858" s="47"/>
      <c r="AW858" s="47"/>
      <c r="AX858" s="47"/>
      <c r="AY858" s="47"/>
      <c r="AZ858" s="47"/>
      <c r="BA858" s="47"/>
      <c r="BB858" s="47"/>
      <c r="BC858" s="47"/>
      <c r="BD858" s="47"/>
      <c r="BE858" s="47"/>
      <c r="BF858" s="47"/>
    </row>
    <row r="859" spans="1:58" hidden="1">
      <c r="A859" s="46" t="s">
        <v>294</v>
      </c>
      <c r="B859" s="46" t="s">
        <v>80</v>
      </c>
      <c r="C859" s="47">
        <v>0</v>
      </c>
      <c r="D859" s="47">
        <v>0</v>
      </c>
      <c r="E859" s="47">
        <v>0</v>
      </c>
      <c r="F859" s="47">
        <v>0</v>
      </c>
      <c r="G859" s="47">
        <v>0</v>
      </c>
      <c r="H859" s="47">
        <v>0</v>
      </c>
      <c r="I859" s="47">
        <v>0</v>
      </c>
      <c r="J859" s="47">
        <v>0</v>
      </c>
      <c r="K859" s="47">
        <v>0</v>
      </c>
      <c r="L859" s="47">
        <v>0</v>
      </c>
      <c r="M859" s="47">
        <v>0</v>
      </c>
      <c r="N859" s="47">
        <v>0</v>
      </c>
      <c r="O859" s="47">
        <v>0</v>
      </c>
      <c r="P859" s="47">
        <v>0</v>
      </c>
      <c r="Q859" s="85"/>
      <c r="R859" s="85"/>
      <c r="S859" s="85"/>
      <c r="T859" s="85"/>
      <c r="U859" s="85"/>
      <c r="V859" s="85"/>
      <c r="W859" s="85"/>
      <c r="X859" s="85"/>
      <c r="Y859" s="85"/>
      <c r="Z859" s="85"/>
      <c r="AA859" s="85"/>
      <c r="AB859" s="85"/>
      <c r="AC859" s="85"/>
      <c r="AD859" s="85"/>
      <c r="AE859" s="47">
        <v>0</v>
      </c>
      <c r="AF859" s="47">
        <v>0</v>
      </c>
      <c r="AG859" s="47">
        <v>0</v>
      </c>
      <c r="AH859" s="47">
        <v>0</v>
      </c>
      <c r="AI859" s="47">
        <v>0</v>
      </c>
      <c r="AJ859" s="47">
        <v>0</v>
      </c>
      <c r="AK859" s="47">
        <v>0</v>
      </c>
      <c r="AL859" s="47">
        <v>0</v>
      </c>
      <c r="AM859" s="47">
        <v>0</v>
      </c>
      <c r="AN859" s="47">
        <v>0</v>
      </c>
      <c r="AO859" s="47">
        <v>0</v>
      </c>
      <c r="AP859" s="47">
        <v>0</v>
      </c>
      <c r="AQ859" s="47">
        <v>0</v>
      </c>
      <c r="AR859" s="47">
        <v>0</v>
      </c>
      <c r="AS859" s="47"/>
      <c r="AT859" s="47"/>
      <c r="AU859" s="47"/>
      <c r="AV859" s="47"/>
      <c r="AW859" s="47"/>
      <c r="AX859" s="47"/>
      <c r="AY859" s="47"/>
      <c r="AZ859" s="47"/>
      <c r="BA859" s="47"/>
      <c r="BB859" s="47"/>
      <c r="BC859" s="47"/>
      <c r="BD859" s="47"/>
      <c r="BE859" s="47"/>
      <c r="BF859" s="47"/>
    </row>
    <row r="860" spans="1:58" hidden="1">
      <c r="A860" s="46" t="s">
        <v>294</v>
      </c>
      <c r="B860" s="46" t="s">
        <v>81</v>
      </c>
      <c r="C860" s="47">
        <v>0</v>
      </c>
      <c r="D860" s="47">
        <v>0</v>
      </c>
      <c r="E860" s="47">
        <v>0</v>
      </c>
      <c r="F860" s="47">
        <v>0</v>
      </c>
      <c r="G860" s="47">
        <v>0</v>
      </c>
      <c r="H860" s="47">
        <v>0</v>
      </c>
      <c r="I860" s="47">
        <v>0</v>
      </c>
      <c r="J860" s="47">
        <v>0</v>
      </c>
      <c r="K860" s="47">
        <v>0</v>
      </c>
      <c r="L860" s="47">
        <v>0</v>
      </c>
      <c r="M860" s="47">
        <v>2</v>
      </c>
      <c r="N860" s="47">
        <v>2</v>
      </c>
      <c r="O860" s="47">
        <v>2</v>
      </c>
      <c r="P860" s="47">
        <v>2</v>
      </c>
      <c r="Q860" s="85"/>
      <c r="R860" s="85"/>
      <c r="S860" s="85"/>
      <c r="T860" s="85"/>
      <c r="U860" s="85"/>
      <c r="V860" s="85"/>
      <c r="W860" s="85"/>
      <c r="X860" s="85"/>
      <c r="Y860" s="85"/>
      <c r="Z860" s="85"/>
      <c r="AA860" s="85"/>
      <c r="AB860" s="85"/>
      <c r="AC860" s="85"/>
      <c r="AD860" s="85"/>
      <c r="AE860" s="47">
        <v>0</v>
      </c>
      <c r="AF860" s="47">
        <v>0</v>
      </c>
      <c r="AG860" s="47">
        <v>0</v>
      </c>
      <c r="AH860" s="47">
        <v>0</v>
      </c>
      <c r="AI860" s="47">
        <v>0</v>
      </c>
      <c r="AJ860" s="47">
        <v>0</v>
      </c>
      <c r="AK860" s="47">
        <v>0</v>
      </c>
      <c r="AL860" s="47">
        <v>0</v>
      </c>
      <c r="AM860" s="47">
        <v>0</v>
      </c>
      <c r="AN860" s="47">
        <v>0</v>
      </c>
      <c r="AO860" s="47">
        <v>2</v>
      </c>
      <c r="AP860" s="47">
        <v>2</v>
      </c>
      <c r="AQ860" s="47">
        <v>2</v>
      </c>
      <c r="AR860" s="47">
        <v>2</v>
      </c>
      <c r="AS860" s="47"/>
      <c r="AT860" s="47"/>
      <c r="AU860" s="47"/>
      <c r="AV860" s="47"/>
      <c r="AW860" s="47"/>
      <c r="AX860" s="47"/>
      <c r="AY860" s="47"/>
      <c r="AZ860" s="47"/>
      <c r="BA860" s="47"/>
      <c r="BB860" s="47"/>
      <c r="BC860" s="47"/>
      <c r="BD860" s="47"/>
      <c r="BE860" s="47"/>
      <c r="BF860" s="47"/>
    </row>
    <row r="861" spans="1:58" hidden="1">
      <c r="A861" s="46" t="s">
        <v>294</v>
      </c>
      <c r="B861" s="46" t="s">
        <v>82</v>
      </c>
      <c r="C861" s="47">
        <v>270</v>
      </c>
      <c r="D861" s="47">
        <v>253</v>
      </c>
      <c r="E861" s="47">
        <v>236</v>
      </c>
      <c r="F861" s="47">
        <v>225</v>
      </c>
      <c r="G861" s="47">
        <v>208</v>
      </c>
      <c r="H861" s="47">
        <v>196</v>
      </c>
      <c r="I861" s="47">
        <v>179</v>
      </c>
      <c r="J861" s="47">
        <v>165</v>
      </c>
      <c r="K861" s="47">
        <v>141</v>
      </c>
      <c r="L861" s="47">
        <v>124</v>
      </c>
      <c r="M861" s="47">
        <v>85</v>
      </c>
      <c r="N861" s="47">
        <v>85</v>
      </c>
      <c r="O861" s="47">
        <v>75</v>
      </c>
      <c r="P861" s="47">
        <v>85</v>
      </c>
      <c r="Q861" s="85">
        <v>28.85</v>
      </c>
      <c r="R861" s="85">
        <v>25.75</v>
      </c>
      <c r="S861" s="85">
        <v>26.86</v>
      </c>
      <c r="T861" s="85">
        <v>25.78</v>
      </c>
      <c r="U861" s="85">
        <v>24.13</v>
      </c>
      <c r="V861" s="85">
        <v>21.63</v>
      </c>
      <c r="W861" s="85">
        <v>20.45</v>
      </c>
      <c r="X861" s="85">
        <v>18.36</v>
      </c>
      <c r="Y861" s="85">
        <v>17.3</v>
      </c>
      <c r="Z861" s="85">
        <v>12.58</v>
      </c>
      <c r="AA861" s="85">
        <v>10.210000000000001</v>
      </c>
      <c r="AB861" s="85">
        <v>9.6199999999999992</v>
      </c>
      <c r="AC861" s="85">
        <v>10.24</v>
      </c>
      <c r="AD861" s="85">
        <v>6.68</v>
      </c>
      <c r="AE861" s="47">
        <v>7790</v>
      </c>
      <c r="AF861" s="47">
        <v>6514</v>
      </c>
      <c r="AG861" s="47">
        <v>6340</v>
      </c>
      <c r="AH861" s="47">
        <v>5800</v>
      </c>
      <c r="AI861" s="47">
        <v>5020</v>
      </c>
      <c r="AJ861" s="47">
        <v>4240</v>
      </c>
      <c r="AK861" s="47">
        <v>3660</v>
      </c>
      <c r="AL861" s="47">
        <v>3030</v>
      </c>
      <c r="AM861" s="47">
        <v>2440</v>
      </c>
      <c r="AN861" s="47">
        <v>1560</v>
      </c>
      <c r="AO861" s="47">
        <v>868</v>
      </c>
      <c r="AP861" s="47">
        <v>818</v>
      </c>
      <c r="AQ861" s="47">
        <v>768</v>
      </c>
      <c r="AR861" s="47">
        <v>568</v>
      </c>
      <c r="AS861" s="47"/>
      <c r="AT861" s="47"/>
      <c r="AU861" s="47"/>
      <c r="AV861" s="47"/>
      <c r="AW861" s="47"/>
      <c r="AX861" s="47"/>
      <c r="AY861" s="47"/>
      <c r="AZ861" s="47"/>
      <c r="BA861" s="47"/>
      <c r="BB861" s="47"/>
      <c r="BC861" s="47"/>
      <c r="BD861" s="47"/>
      <c r="BE861" s="47"/>
      <c r="BF861" s="47"/>
    </row>
    <row r="862" spans="1:58" hidden="1">
      <c r="A862" s="46" t="s">
        <v>295</v>
      </c>
      <c r="B862" s="46" t="s">
        <v>251</v>
      </c>
      <c r="C862" s="47">
        <v>0</v>
      </c>
      <c r="D862" s="47">
        <v>0</v>
      </c>
      <c r="E862" s="47">
        <v>0</v>
      </c>
      <c r="F862" s="47">
        <v>0</v>
      </c>
      <c r="G862" s="47">
        <v>0</v>
      </c>
      <c r="H862" s="47">
        <v>0</v>
      </c>
      <c r="I862" s="47">
        <v>0</v>
      </c>
      <c r="J862" s="47">
        <v>0</v>
      </c>
      <c r="K862" s="47">
        <v>0</v>
      </c>
      <c r="L862" s="47">
        <v>0</v>
      </c>
      <c r="M862" s="47">
        <v>0</v>
      </c>
      <c r="N862" s="47">
        <v>0</v>
      </c>
      <c r="O862" s="47">
        <v>0</v>
      </c>
      <c r="P862" s="47">
        <v>0</v>
      </c>
      <c r="Q862" s="85"/>
      <c r="R862" s="85"/>
      <c r="S862" s="85"/>
      <c r="T862" s="85"/>
      <c r="U862" s="85"/>
      <c r="V862" s="85"/>
      <c r="W862" s="85"/>
      <c r="X862" s="85"/>
      <c r="Y862" s="85"/>
      <c r="Z862" s="85"/>
      <c r="AA862" s="85"/>
      <c r="AB862" s="85"/>
      <c r="AC862" s="85"/>
      <c r="AD862" s="85"/>
      <c r="AE862" s="47">
        <v>0</v>
      </c>
      <c r="AF862" s="47">
        <v>0</v>
      </c>
      <c r="AG862" s="47">
        <v>0</v>
      </c>
      <c r="AH862" s="47">
        <v>0</v>
      </c>
      <c r="AI862" s="47">
        <v>0</v>
      </c>
      <c r="AJ862" s="47">
        <v>0</v>
      </c>
      <c r="AK862" s="47">
        <v>0</v>
      </c>
      <c r="AL862" s="47">
        <v>0</v>
      </c>
      <c r="AM862" s="47">
        <v>0</v>
      </c>
      <c r="AN862" s="47">
        <v>0</v>
      </c>
      <c r="AO862" s="47">
        <v>0</v>
      </c>
      <c r="AP862" s="47">
        <v>0</v>
      </c>
      <c r="AQ862" s="47">
        <v>0</v>
      </c>
      <c r="AR862" s="47">
        <v>0</v>
      </c>
      <c r="AS862" s="47"/>
      <c r="AT862" s="47"/>
      <c r="AU862" s="47"/>
      <c r="AV862" s="47"/>
      <c r="AW862" s="47"/>
      <c r="AX862" s="47"/>
      <c r="AY862" s="47"/>
      <c r="AZ862" s="47"/>
      <c r="BA862" s="47"/>
      <c r="BB862" s="47"/>
      <c r="BC862" s="47"/>
      <c r="BD862" s="47"/>
      <c r="BE862" s="47"/>
      <c r="BF862" s="47"/>
    </row>
    <row r="863" spans="1:58" hidden="1">
      <c r="A863" s="46" t="s">
        <v>295</v>
      </c>
      <c r="B863" s="46" t="s">
        <v>252</v>
      </c>
      <c r="C863" s="47">
        <v>0</v>
      </c>
      <c r="D863" s="47">
        <v>0</v>
      </c>
      <c r="E863" s="47">
        <v>0</v>
      </c>
      <c r="F863" s="47">
        <v>0</v>
      </c>
      <c r="G863" s="47">
        <v>0</v>
      </c>
      <c r="H863" s="47">
        <v>0</v>
      </c>
      <c r="I863" s="47">
        <v>0</v>
      </c>
      <c r="J863" s="47">
        <v>0</v>
      </c>
      <c r="K863" s="47">
        <v>0</v>
      </c>
      <c r="L863" s="47">
        <v>0</v>
      </c>
      <c r="M863" s="47">
        <v>0</v>
      </c>
      <c r="N863" s="47">
        <v>0</v>
      </c>
      <c r="O863" s="47">
        <v>0</v>
      </c>
      <c r="P863" s="47">
        <v>0</v>
      </c>
      <c r="Q863" s="85"/>
      <c r="R863" s="85"/>
      <c r="S863" s="85"/>
      <c r="T863" s="85"/>
      <c r="U863" s="85"/>
      <c r="V863" s="85"/>
      <c r="W863" s="85"/>
      <c r="X863" s="85"/>
      <c r="Y863" s="85"/>
      <c r="Z863" s="85"/>
      <c r="AA863" s="85"/>
      <c r="AB863" s="85"/>
      <c r="AC863" s="85"/>
      <c r="AD863" s="85"/>
      <c r="AE863" s="47">
        <v>0</v>
      </c>
      <c r="AF863" s="47">
        <v>0</v>
      </c>
      <c r="AG863" s="47">
        <v>0</v>
      </c>
      <c r="AH863" s="47">
        <v>0</v>
      </c>
      <c r="AI863" s="47">
        <v>0</v>
      </c>
      <c r="AJ863" s="47">
        <v>0</v>
      </c>
      <c r="AK863" s="47">
        <v>0</v>
      </c>
      <c r="AL863" s="47">
        <v>0</v>
      </c>
      <c r="AM863" s="47">
        <v>0</v>
      </c>
      <c r="AN863" s="47">
        <v>0</v>
      </c>
      <c r="AO863" s="47">
        <v>0</v>
      </c>
      <c r="AP863" s="47">
        <v>0</v>
      </c>
      <c r="AQ863" s="47">
        <v>0</v>
      </c>
      <c r="AR863" s="47">
        <v>0</v>
      </c>
      <c r="AS863" s="47"/>
      <c r="AT863" s="47"/>
      <c r="AU863" s="47"/>
      <c r="AV863" s="47"/>
      <c r="AW863" s="47"/>
      <c r="AX863" s="47"/>
      <c r="AY863" s="47"/>
      <c r="AZ863" s="47"/>
      <c r="BA863" s="47"/>
      <c r="BB863" s="47"/>
      <c r="BC863" s="47"/>
      <c r="BD863" s="47"/>
      <c r="BE863" s="47"/>
      <c r="BF863" s="47"/>
    </row>
    <row r="864" spans="1:58" hidden="1">
      <c r="A864" s="46" t="s">
        <v>295</v>
      </c>
      <c r="B864" s="46" t="s">
        <v>253</v>
      </c>
      <c r="C864" s="47">
        <v>0</v>
      </c>
      <c r="D864" s="47">
        <v>0</v>
      </c>
      <c r="E864" s="47">
        <v>0</v>
      </c>
      <c r="F864" s="47">
        <v>0</v>
      </c>
      <c r="G864" s="47">
        <v>0</v>
      </c>
      <c r="H864" s="47">
        <v>0</v>
      </c>
      <c r="I864" s="47">
        <v>0</v>
      </c>
      <c r="J864" s="47">
        <v>0</v>
      </c>
      <c r="K864" s="47">
        <v>0</v>
      </c>
      <c r="L864" s="47">
        <v>0</v>
      </c>
      <c r="M864" s="47">
        <v>0</v>
      </c>
      <c r="N864" s="47">
        <v>0</v>
      </c>
      <c r="O864" s="47">
        <v>0</v>
      </c>
      <c r="P864" s="47">
        <v>0</v>
      </c>
      <c r="Q864" s="85"/>
      <c r="R864" s="85"/>
      <c r="S864" s="85"/>
      <c r="T864" s="85"/>
      <c r="U864" s="85"/>
      <c r="V864" s="85"/>
      <c r="W864" s="85"/>
      <c r="X864" s="85"/>
      <c r="Y864" s="85"/>
      <c r="Z864" s="85"/>
      <c r="AA864" s="85"/>
      <c r="AB864" s="85"/>
      <c r="AC864" s="85"/>
      <c r="AD864" s="85"/>
      <c r="AE864" s="47">
        <v>0</v>
      </c>
      <c r="AF864" s="47">
        <v>0</v>
      </c>
      <c r="AG864" s="47">
        <v>0</v>
      </c>
      <c r="AH864" s="47">
        <v>0</v>
      </c>
      <c r="AI864" s="47">
        <v>0</v>
      </c>
      <c r="AJ864" s="47">
        <v>0</v>
      </c>
      <c r="AK864" s="47">
        <v>0</v>
      </c>
      <c r="AL864" s="47">
        <v>0</v>
      </c>
      <c r="AM864" s="47">
        <v>0</v>
      </c>
      <c r="AN864" s="47">
        <v>0</v>
      </c>
      <c r="AO864" s="47">
        <v>0</v>
      </c>
      <c r="AP864" s="47">
        <v>0</v>
      </c>
      <c r="AQ864" s="47">
        <v>0</v>
      </c>
      <c r="AR864" s="47">
        <v>0</v>
      </c>
      <c r="AS864" s="47"/>
      <c r="AT864" s="47"/>
      <c r="AU864" s="47"/>
      <c r="AV864" s="47"/>
      <c r="AW864" s="47"/>
      <c r="AX864" s="47"/>
      <c r="AY864" s="47"/>
      <c r="AZ864" s="47"/>
      <c r="BA864" s="47"/>
      <c r="BB864" s="47"/>
      <c r="BC864" s="47"/>
      <c r="BD864" s="47"/>
      <c r="BE864" s="47"/>
      <c r="BF864" s="47"/>
    </row>
    <row r="865" spans="1:58" hidden="1">
      <c r="A865" s="46" t="s">
        <v>295</v>
      </c>
      <c r="B865" s="46" t="s">
        <v>254</v>
      </c>
      <c r="C865" s="47">
        <v>0</v>
      </c>
      <c r="D865" s="47">
        <v>0</v>
      </c>
      <c r="E865" s="47">
        <v>0</v>
      </c>
      <c r="F865" s="47">
        <v>0</v>
      </c>
      <c r="G865" s="47">
        <v>0</v>
      </c>
      <c r="H865" s="47">
        <v>0</v>
      </c>
      <c r="I865" s="47">
        <v>0</v>
      </c>
      <c r="J865" s="47">
        <v>0</v>
      </c>
      <c r="K865" s="47">
        <v>0</v>
      </c>
      <c r="L865" s="47">
        <v>0</v>
      </c>
      <c r="M865" s="47">
        <v>0</v>
      </c>
      <c r="N865" s="47">
        <v>0</v>
      </c>
      <c r="O865" s="47">
        <v>0</v>
      </c>
      <c r="P865" s="47">
        <v>0</v>
      </c>
      <c r="Q865" s="85"/>
      <c r="R865" s="85"/>
      <c r="S865" s="85"/>
      <c r="T865" s="85"/>
      <c r="U865" s="85"/>
      <c r="V865" s="85"/>
      <c r="W865" s="85"/>
      <c r="X865" s="85"/>
      <c r="Y865" s="85"/>
      <c r="Z865" s="85"/>
      <c r="AA865" s="85"/>
      <c r="AB865" s="85"/>
      <c r="AC865" s="85"/>
      <c r="AD865" s="85"/>
      <c r="AE865" s="47">
        <v>0</v>
      </c>
      <c r="AF865" s="47">
        <v>0</v>
      </c>
      <c r="AG865" s="47">
        <v>0</v>
      </c>
      <c r="AH865" s="47">
        <v>0</v>
      </c>
      <c r="AI865" s="47">
        <v>0</v>
      </c>
      <c r="AJ865" s="47">
        <v>0</v>
      </c>
      <c r="AK865" s="47">
        <v>0</v>
      </c>
      <c r="AL865" s="47">
        <v>0</v>
      </c>
      <c r="AM865" s="47">
        <v>0</v>
      </c>
      <c r="AN865" s="47">
        <v>0</v>
      </c>
      <c r="AO865" s="47">
        <v>0</v>
      </c>
      <c r="AP865" s="47">
        <v>0</v>
      </c>
      <c r="AQ865" s="47">
        <v>0</v>
      </c>
      <c r="AR865" s="47">
        <v>0</v>
      </c>
      <c r="AS865" s="47"/>
      <c r="AT865" s="47"/>
      <c r="AU865" s="47"/>
      <c r="AV865" s="47"/>
      <c r="AW865" s="47"/>
      <c r="AX865" s="47"/>
      <c r="AY865" s="47"/>
      <c r="AZ865" s="47"/>
      <c r="BA865" s="47"/>
      <c r="BB865" s="47"/>
      <c r="BC865" s="47"/>
      <c r="BD865" s="47"/>
      <c r="BE865" s="47"/>
      <c r="BF865" s="47"/>
    </row>
    <row r="866" spans="1:58" hidden="1">
      <c r="A866" s="46" t="s">
        <v>295</v>
      </c>
      <c r="B866" s="46" t="s">
        <v>255</v>
      </c>
      <c r="C866" s="47">
        <v>0</v>
      </c>
      <c r="D866" s="47">
        <v>0</v>
      </c>
      <c r="E866" s="47">
        <v>0</v>
      </c>
      <c r="F866" s="47">
        <v>0</v>
      </c>
      <c r="G866" s="47">
        <v>0</v>
      </c>
      <c r="H866" s="47">
        <v>0</v>
      </c>
      <c r="I866" s="47">
        <v>0</v>
      </c>
      <c r="J866" s="47">
        <v>0</v>
      </c>
      <c r="K866" s="47">
        <v>0</v>
      </c>
      <c r="L866" s="47">
        <v>0</v>
      </c>
      <c r="M866" s="47">
        <v>0</v>
      </c>
      <c r="N866" s="47">
        <v>0</v>
      </c>
      <c r="O866" s="47">
        <v>0</v>
      </c>
      <c r="P866" s="47">
        <v>0</v>
      </c>
      <c r="Q866" s="85"/>
      <c r="R866" s="85"/>
      <c r="S866" s="85"/>
      <c r="T866" s="85"/>
      <c r="U866" s="85"/>
      <c r="V866" s="85"/>
      <c r="W866" s="85"/>
      <c r="X866" s="85"/>
      <c r="Y866" s="85"/>
      <c r="Z866" s="85"/>
      <c r="AA866" s="85"/>
      <c r="AB866" s="85"/>
      <c r="AC866" s="85"/>
      <c r="AD866" s="85"/>
      <c r="AE866" s="47">
        <v>0</v>
      </c>
      <c r="AF866" s="47">
        <v>0</v>
      </c>
      <c r="AG866" s="47">
        <v>0</v>
      </c>
      <c r="AH866" s="47">
        <v>0</v>
      </c>
      <c r="AI866" s="47">
        <v>0</v>
      </c>
      <c r="AJ866" s="47">
        <v>0</v>
      </c>
      <c r="AK866" s="47">
        <v>0</v>
      </c>
      <c r="AL866" s="47">
        <v>0</v>
      </c>
      <c r="AM866" s="47">
        <v>0</v>
      </c>
      <c r="AN866" s="47">
        <v>0</v>
      </c>
      <c r="AO866" s="47">
        <v>0</v>
      </c>
      <c r="AP866" s="47">
        <v>0</v>
      </c>
      <c r="AQ866" s="47">
        <v>0</v>
      </c>
      <c r="AR866" s="47">
        <v>0</v>
      </c>
      <c r="AS866" s="47"/>
      <c r="AT866" s="47"/>
      <c r="AU866" s="47"/>
      <c r="AV866" s="47"/>
      <c r="AW866" s="47"/>
      <c r="AX866" s="47"/>
      <c r="AY866" s="47"/>
      <c r="AZ866" s="47"/>
      <c r="BA866" s="47"/>
      <c r="BB866" s="47"/>
      <c r="BC866" s="47"/>
      <c r="BD866" s="47"/>
      <c r="BE866" s="47"/>
      <c r="BF866" s="47"/>
    </row>
    <row r="867" spans="1:58" hidden="1">
      <c r="A867" s="46" t="s">
        <v>295</v>
      </c>
      <c r="B867" s="46" t="s">
        <v>256</v>
      </c>
      <c r="C867" s="47">
        <v>0</v>
      </c>
      <c r="D867" s="47">
        <v>0</v>
      </c>
      <c r="E867" s="47">
        <v>0</v>
      </c>
      <c r="F867" s="47">
        <v>0</v>
      </c>
      <c r="G867" s="47">
        <v>0</v>
      </c>
      <c r="H867" s="47">
        <v>0</v>
      </c>
      <c r="I867" s="47">
        <v>0</v>
      </c>
      <c r="J867" s="47">
        <v>0</v>
      </c>
      <c r="K867" s="47">
        <v>0</v>
      </c>
      <c r="L867" s="47">
        <v>0</v>
      </c>
      <c r="M867" s="47">
        <v>0</v>
      </c>
      <c r="N867" s="47">
        <v>0</v>
      </c>
      <c r="O867" s="47">
        <v>0</v>
      </c>
      <c r="P867" s="47">
        <v>0</v>
      </c>
      <c r="Q867" s="85"/>
      <c r="R867" s="85"/>
      <c r="S867" s="85"/>
      <c r="T867" s="85"/>
      <c r="U867" s="85"/>
      <c r="V867" s="85"/>
      <c r="W867" s="85"/>
      <c r="X867" s="85"/>
      <c r="Y867" s="85"/>
      <c r="Z867" s="85"/>
      <c r="AA867" s="85"/>
      <c r="AB867" s="85"/>
      <c r="AC867" s="85"/>
      <c r="AD867" s="85"/>
      <c r="AE867" s="47">
        <v>0</v>
      </c>
      <c r="AF867" s="47">
        <v>0</v>
      </c>
      <c r="AG867" s="47">
        <v>0</v>
      </c>
      <c r="AH867" s="47">
        <v>0</v>
      </c>
      <c r="AI867" s="47">
        <v>0</v>
      </c>
      <c r="AJ867" s="47">
        <v>0</v>
      </c>
      <c r="AK867" s="47">
        <v>0</v>
      </c>
      <c r="AL867" s="47">
        <v>0</v>
      </c>
      <c r="AM867" s="47">
        <v>0</v>
      </c>
      <c r="AN867" s="47">
        <v>0</v>
      </c>
      <c r="AO867" s="47">
        <v>0</v>
      </c>
      <c r="AP867" s="47">
        <v>0</v>
      </c>
      <c r="AQ867" s="47">
        <v>0</v>
      </c>
      <c r="AR867" s="47">
        <v>0</v>
      </c>
      <c r="AS867" s="47"/>
      <c r="AT867" s="47"/>
      <c r="AU867" s="47"/>
      <c r="AV867" s="47"/>
      <c r="AW867" s="47"/>
      <c r="AX867" s="47"/>
      <c r="AY867" s="47"/>
      <c r="AZ867" s="47"/>
      <c r="BA867" s="47"/>
      <c r="BB867" s="47"/>
      <c r="BC867" s="47"/>
      <c r="BD867" s="47"/>
      <c r="BE867" s="47"/>
      <c r="BF867" s="47"/>
    </row>
    <row r="868" spans="1:58" hidden="1">
      <c r="A868" s="46" t="s">
        <v>295</v>
      </c>
      <c r="B868" s="46" t="s">
        <v>257</v>
      </c>
      <c r="C868" s="47">
        <v>0</v>
      </c>
      <c r="D868" s="47">
        <v>0</v>
      </c>
      <c r="E868" s="47">
        <v>0</v>
      </c>
      <c r="F868" s="47">
        <v>0</v>
      </c>
      <c r="G868" s="47">
        <v>0</v>
      </c>
      <c r="H868" s="47">
        <v>0</v>
      </c>
      <c r="I868" s="47">
        <v>0</v>
      </c>
      <c r="J868" s="47">
        <v>0</v>
      </c>
      <c r="K868" s="47">
        <v>0</v>
      </c>
      <c r="L868" s="47">
        <v>0</v>
      </c>
      <c r="M868" s="47">
        <v>0</v>
      </c>
      <c r="N868" s="47">
        <v>0</v>
      </c>
      <c r="O868" s="47">
        <v>0</v>
      </c>
      <c r="P868" s="47">
        <v>0</v>
      </c>
      <c r="Q868" s="85"/>
      <c r="R868" s="85"/>
      <c r="S868" s="85"/>
      <c r="T868" s="85"/>
      <c r="U868" s="85"/>
      <c r="V868" s="85"/>
      <c r="W868" s="85"/>
      <c r="X868" s="85"/>
      <c r="Y868" s="85"/>
      <c r="Z868" s="85"/>
      <c r="AA868" s="85"/>
      <c r="AB868" s="85"/>
      <c r="AC868" s="85"/>
      <c r="AD868" s="85"/>
      <c r="AE868" s="47">
        <v>0</v>
      </c>
      <c r="AF868" s="47">
        <v>0</v>
      </c>
      <c r="AG868" s="47">
        <v>0</v>
      </c>
      <c r="AH868" s="47">
        <v>0</v>
      </c>
      <c r="AI868" s="47">
        <v>0</v>
      </c>
      <c r="AJ868" s="47">
        <v>0</v>
      </c>
      <c r="AK868" s="47">
        <v>0</v>
      </c>
      <c r="AL868" s="47">
        <v>0</v>
      </c>
      <c r="AM868" s="47">
        <v>0</v>
      </c>
      <c r="AN868" s="47">
        <v>0</v>
      </c>
      <c r="AO868" s="47">
        <v>0</v>
      </c>
      <c r="AP868" s="47">
        <v>0</v>
      </c>
      <c r="AQ868" s="47">
        <v>0</v>
      </c>
      <c r="AR868" s="47">
        <v>0</v>
      </c>
      <c r="AS868" s="47"/>
      <c r="AT868" s="47"/>
      <c r="AU868" s="47"/>
      <c r="AV868" s="47"/>
      <c r="AW868" s="47"/>
      <c r="AX868" s="47"/>
      <c r="AY868" s="47"/>
      <c r="AZ868" s="47"/>
      <c r="BA868" s="47"/>
      <c r="BB868" s="47"/>
      <c r="BC868" s="47"/>
      <c r="BD868" s="47"/>
      <c r="BE868" s="47"/>
      <c r="BF868" s="47"/>
    </row>
    <row r="869" spans="1:58" hidden="1">
      <c r="A869" s="46" t="s">
        <v>295</v>
      </c>
      <c r="B869" s="46" t="s">
        <v>258</v>
      </c>
      <c r="C869" s="47">
        <v>0</v>
      </c>
      <c r="D869" s="47">
        <v>0</v>
      </c>
      <c r="E869" s="47">
        <v>0</v>
      </c>
      <c r="F869" s="47">
        <v>0</v>
      </c>
      <c r="G869" s="47">
        <v>0</v>
      </c>
      <c r="H869" s="47">
        <v>0</v>
      </c>
      <c r="I869" s="47">
        <v>0</v>
      </c>
      <c r="J869" s="47">
        <v>0</v>
      </c>
      <c r="K869" s="47">
        <v>0</v>
      </c>
      <c r="L869" s="47">
        <v>0</v>
      </c>
      <c r="M869" s="47">
        <v>0</v>
      </c>
      <c r="N869" s="47">
        <v>0</v>
      </c>
      <c r="O869" s="47">
        <v>0</v>
      </c>
      <c r="P869" s="47">
        <v>0</v>
      </c>
      <c r="Q869" s="85"/>
      <c r="R869" s="85"/>
      <c r="S869" s="85"/>
      <c r="T869" s="85"/>
      <c r="U869" s="85"/>
      <c r="V869" s="85"/>
      <c r="W869" s="85"/>
      <c r="X869" s="85"/>
      <c r="Y869" s="85"/>
      <c r="Z869" s="85"/>
      <c r="AA869" s="85"/>
      <c r="AB869" s="85"/>
      <c r="AC869" s="85"/>
      <c r="AD869" s="85"/>
      <c r="AE869" s="47">
        <v>0</v>
      </c>
      <c r="AF869" s="47">
        <v>0</v>
      </c>
      <c r="AG869" s="47">
        <v>0</v>
      </c>
      <c r="AH869" s="47">
        <v>0</v>
      </c>
      <c r="AI869" s="47">
        <v>0</v>
      </c>
      <c r="AJ869" s="47">
        <v>0</v>
      </c>
      <c r="AK869" s="47">
        <v>0</v>
      </c>
      <c r="AL869" s="47">
        <v>0</v>
      </c>
      <c r="AM869" s="47">
        <v>0</v>
      </c>
      <c r="AN869" s="47">
        <v>0</v>
      </c>
      <c r="AO869" s="47">
        <v>0</v>
      </c>
      <c r="AP869" s="47">
        <v>0</v>
      </c>
      <c r="AQ869" s="47">
        <v>0</v>
      </c>
      <c r="AR869" s="47">
        <v>0</v>
      </c>
      <c r="AS869" s="47"/>
      <c r="AT869" s="47"/>
      <c r="AU869" s="47"/>
      <c r="AV869" s="47"/>
      <c r="AW869" s="47"/>
      <c r="AX869" s="47"/>
      <c r="AY869" s="47"/>
      <c r="AZ869" s="47"/>
      <c r="BA869" s="47"/>
      <c r="BB869" s="47"/>
      <c r="BC869" s="47"/>
      <c r="BD869" s="47"/>
      <c r="BE869" s="47"/>
      <c r="BF869" s="47"/>
    </row>
    <row r="870" spans="1:58" hidden="1">
      <c r="A870" s="46" t="s">
        <v>295</v>
      </c>
      <c r="B870" s="46" t="s">
        <v>259</v>
      </c>
      <c r="C870" s="47">
        <v>0</v>
      </c>
      <c r="D870" s="47">
        <v>0</v>
      </c>
      <c r="E870" s="47">
        <v>0</v>
      </c>
      <c r="F870" s="47">
        <v>0</v>
      </c>
      <c r="G870" s="47">
        <v>0</v>
      </c>
      <c r="H870" s="47">
        <v>0</v>
      </c>
      <c r="I870" s="47">
        <v>0</v>
      </c>
      <c r="J870" s="47">
        <v>0</v>
      </c>
      <c r="K870" s="47">
        <v>0</v>
      </c>
      <c r="L870" s="47">
        <v>0</v>
      </c>
      <c r="M870" s="47">
        <v>0</v>
      </c>
      <c r="N870" s="47">
        <v>0</v>
      </c>
      <c r="O870" s="47">
        <v>0</v>
      </c>
      <c r="P870" s="47">
        <v>0</v>
      </c>
      <c r="Q870" s="85"/>
      <c r="R870" s="85"/>
      <c r="S870" s="85"/>
      <c r="T870" s="85"/>
      <c r="U870" s="85"/>
      <c r="V870" s="85"/>
      <c r="W870" s="85"/>
      <c r="X870" s="85"/>
      <c r="Y870" s="85"/>
      <c r="Z870" s="85"/>
      <c r="AA870" s="85"/>
      <c r="AB870" s="85"/>
      <c r="AC870" s="85"/>
      <c r="AD870" s="85"/>
      <c r="AE870" s="47">
        <v>0</v>
      </c>
      <c r="AF870" s="47">
        <v>0</v>
      </c>
      <c r="AG870" s="47">
        <v>0</v>
      </c>
      <c r="AH870" s="47">
        <v>0</v>
      </c>
      <c r="AI870" s="47">
        <v>0</v>
      </c>
      <c r="AJ870" s="47">
        <v>0</v>
      </c>
      <c r="AK870" s="47">
        <v>0</v>
      </c>
      <c r="AL870" s="47">
        <v>0</v>
      </c>
      <c r="AM870" s="47">
        <v>0</v>
      </c>
      <c r="AN870" s="47">
        <v>0</v>
      </c>
      <c r="AO870" s="47">
        <v>0</v>
      </c>
      <c r="AP870" s="47">
        <v>0</v>
      </c>
      <c r="AQ870" s="47">
        <v>0</v>
      </c>
      <c r="AR870" s="47">
        <v>0</v>
      </c>
      <c r="AS870" s="47"/>
      <c r="AT870" s="47"/>
      <c r="AU870" s="47"/>
      <c r="AV870" s="47"/>
      <c r="AW870" s="47"/>
      <c r="AX870" s="47"/>
      <c r="AY870" s="47"/>
      <c r="AZ870" s="47"/>
      <c r="BA870" s="47"/>
      <c r="BB870" s="47"/>
      <c r="BC870" s="47"/>
      <c r="BD870" s="47"/>
      <c r="BE870" s="47"/>
      <c r="BF870" s="47"/>
    </row>
    <row r="871" spans="1:58" hidden="1">
      <c r="A871" s="46" t="s">
        <v>295</v>
      </c>
      <c r="B871" s="46" t="s">
        <v>260</v>
      </c>
      <c r="C871" s="47">
        <v>0</v>
      </c>
      <c r="D871" s="47">
        <v>0</v>
      </c>
      <c r="E871" s="47">
        <v>0</v>
      </c>
      <c r="F871" s="47">
        <v>0</v>
      </c>
      <c r="G871" s="47">
        <v>0</v>
      </c>
      <c r="H871" s="47">
        <v>0</v>
      </c>
      <c r="I871" s="47">
        <v>0</v>
      </c>
      <c r="J871" s="47">
        <v>0</v>
      </c>
      <c r="K871" s="47">
        <v>0</v>
      </c>
      <c r="L871" s="47">
        <v>0</v>
      </c>
      <c r="M871" s="47">
        <v>0</v>
      </c>
      <c r="N871" s="47">
        <v>0</v>
      </c>
      <c r="O871" s="47">
        <v>0</v>
      </c>
      <c r="P871" s="47">
        <v>0</v>
      </c>
      <c r="Q871" s="85"/>
      <c r="R871" s="85"/>
      <c r="S871" s="85"/>
      <c r="T871" s="85"/>
      <c r="U871" s="85"/>
      <c r="V871" s="85"/>
      <c r="W871" s="85"/>
      <c r="X871" s="85"/>
      <c r="Y871" s="85"/>
      <c r="Z871" s="85"/>
      <c r="AA871" s="85"/>
      <c r="AB871" s="85"/>
      <c r="AC871" s="85"/>
      <c r="AD871" s="85"/>
      <c r="AE871" s="47">
        <v>0</v>
      </c>
      <c r="AF871" s="47">
        <v>0</v>
      </c>
      <c r="AG871" s="47">
        <v>0</v>
      </c>
      <c r="AH871" s="47">
        <v>0</v>
      </c>
      <c r="AI871" s="47">
        <v>0</v>
      </c>
      <c r="AJ871" s="47">
        <v>0</v>
      </c>
      <c r="AK871" s="47">
        <v>0</v>
      </c>
      <c r="AL871" s="47">
        <v>0</v>
      </c>
      <c r="AM871" s="47">
        <v>0</v>
      </c>
      <c r="AN871" s="47">
        <v>0</v>
      </c>
      <c r="AO871" s="47">
        <v>0</v>
      </c>
      <c r="AP871" s="47">
        <v>0</v>
      </c>
      <c r="AQ871" s="47">
        <v>0</v>
      </c>
      <c r="AR871" s="47">
        <v>0</v>
      </c>
      <c r="AS871" s="47"/>
      <c r="AT871" s="47"/>
      <c r="AU871" s="47"/>
      <c r="AV871" s="47"/>
      <c r="AW871" s="47"/>
      <c r="AX871" s="47"/>
      <c r="AY871" s="47"/>
      <c r="AZ871" s="47"/>
      <c r="BA871" s="47"/>
      <c r="BB871" s="47"/>
      <c r="BC871" s="47"/>
      <c r="BD871" s="47"/>
      <c r="BE871" s="47"/>
      <c r="BF871" s="47"/>
    </row>
    <row r="872" spans="1:58" hidden="1">
      <c r="A872" s="46" t="s">
        <v>295</v>
      </c>
      <c r="B872" s="46" t="s">
        <v>261</v>
      </c>
      <c r="C872" s="47">
        <v>0</v>
      </c>
      <c r="D872" s="47">
        <v>0</v>
      </c>
      <c r="E872" s="47">
        <v>0</v>
      </c>
      <c r="F872" s="47">
        <v>0</v>
      </c>
      <c r="G872" s="47">
        <v>0</v>
      </c>
      <c r="H872" s="47">
        <v>0</v>
      </c>
      <c r="I872" s="47">
        <v>0</v>
      </c>
      <c r="J872" s="47">
        <v>0</v>
      </c>
      <c r="K872" s="47">
        <v>0</v>
      </c>
      <c r="L872" s="47">
        <v>0</v>
      </c>
      <c r="M872" s="47">
        <v>0</v>
      </c>
      <c r="N872" s="47">
        <v>0</v>
      </c>
      <c r="O872" s="47">
        <v>0</v>
      </c>
      <c r="P872" s="47">
        <v>0</v>
      </c>
      <c r="Q872" s="85"/>
      <c r="R872" s="85"/>
      <c r="S872" s="85"/>
      <c r="T872" s="85"/>
      <c r="U872" s="85"/>
      <c r="V872" s="85"/>
      <c r="W872" s="85"/>
      <c r="X872" s="85"/>
      <c r="Y872" s="85"/>
      <c r="Z872" s="85"/>
      <c r="AA872" s="85"/>
      <c r="AB872" s="85"/>
      <c r="AC872" s="85"/>
      <c r="AD872" s="85"/>
      <c r="AE872" s="47">
        <v>0</v>
      </c>
      <c r="AF872" s="47">
        <v>0</v>
      </c>
      <c r="AG872" s="47">
        <v>0</v>
      </c>
      <c r="AH872" s="47">
        <v>0</v>
      </c>
      <c r="AI872" s="47">
        <v>0</v>
      </c>
      <c r="AJ872" s="47">
        <v>0</v>
      </c>
      <c r="AK872" s="47">
        <v>0</v>
      </c>
      <c r="AL872" s="47">
        <v>0</v>
      </c>
      <c r="AM872" s="47">
        <v>0</v>
      </c>
      <c r="AN872" s="47">
        <v>0</v>
      </c>
      <c r="AO872" s="47">
        <v>0</v>
      </c>
      <c r="AP872" s="47">
        <v>0</v>
      </c>
      <c r="AQ872" s="47">
        <v>0</v>
      </c>
      <c r="AR872" s="47">
        <v>0</v>
      </c>
      <c r="AS872" s="47"/>
      <c r="AT872" s="47"/>
      <c r="AU872" s="47"/>
      <c r="AV872" s="47"/>
      <c r="AW872" s="47"/>
      <c r="AX872" s="47"/>
      <c r="AY872" s="47"/>
      <c r="AZ872" s="47"/>
      <c r="BA872" s="47"/>
      <c r="BB872" s="47"/>
      <c r="BC872" s="47"/>
      <c r="BD872" s="47"/>
      <c r="BE872" s="47"/>
      <c r="BF872" s="47"/>
    </row>
    <row r="873" spans="1:58" hidden="1">
      <c r="A873" s="46" t="s">
        <v>295</v>
      </c>
      <c r="B873" s="46" t="s">
        <v>262</v>
      </c>
      <c r="C873" s="47">
        <v>0</v>
      </c>
      <c r="D873" s="47">
        <v>0</v>
      </c>
      <c r="E873" s="47">
        <v>0</v>
      </c>
      <c r="F873" s="47">
        <v>0</v>
      </c>
      <c r="G873" s="47">
        <v>0</v>
      </c>
      <c r="H873" s="47">
        <v>0</v>
      </c>
      <c r="I873" s="47">
        <v>0</v>
      </c>
      <c r="J873" s="47">
        <v>0</v>
      </c>
      <c r="K873" s="47">
        <v>0</v>
      </c>
      <c r="L873" s="47">
        <v>0</v>
      </c>
      <c r="M873" s="47">
        <v>0</v>
      </c>
      <c r="N873" s="47">
        <v>0</v>
      </c>
      <c r="O873" s="47">
        <v>0</v>
      </c>
      <c r="P873" s="47">
        <v>0</v>
      </c>
      <c r="Q873" s="85"/>
      <c r="R873" s="85"/>
      <c r="S873" s="85"/>
      <c r="T873" s="85"/>
      <c r="U873" s="85"/>
      <c r="V873" s="85"/>
      <c r="W873" s="85"/>
      <c r="X873" s="85"/>
      <c r="Y873" s="85"/>
      <c r="Z873" s="85"/>
      <c r="AA873" s="85"/>
      <c r="AB873" s="85"/>
      <c r="AC873" s="85"/>
      <c r="AD873" s="85"/>
      <c r="AE873" s="47">
        <v>0</v>
      </c>
      <c r="AF873" s="47">
        <v>0</v>
      </c>
      <c r="AG873" s="47">
        <v>0</v>
      </c>
      <c r="AH873" s="47">
        <v>0</v>
      </c>
      <c r="AI873" s="47">
        <v>0</v>
      </c>
      <c r="AJ873" s="47">
        <v>0</v>
      </c>
      <c r="AK873" s="47">
        <v>0</v>
      </c>
      <c r="AL873" s="47">
        <v>0</v>
      </c>
      <c r="AM873" s="47">
        <v>0</v>
      </c>
      <c r="AN873" s="47">
        <v>0</v>
      </c>
      <c r="AO873" s="47">
        <v>0</v>
      </c>
      <c r="AP873" s="47">
        <v>0</v>
      </c>
      <c r="AQ873" s="47">
        <v>0</v>
      </c>
      <c r="AR873" s="47">
        <v>0</v>
      </c>
      <c r="AS873" s="47"/>
      <c r="AT873" s="47"/>
      <c r="AU873" s="47"/>
      <c r="AV873" s="47"/>
      <c r="AW873" s="47"/>
      <c r="AX873" s="47"/>
      <c r="AY873" s="47"/>
      <c r="AZ873" s="47"/>
      <c r="BA873" s="47"/>
      <c r="BB873" s="47"/>
      <c r="BC873" s="47"/>
      <c r="BD873" s="47"/>
      <c r="BE873" s="47"/>
      <c r="BF873" s="47"/>
    </row>
    <row r="874" spans="1:58" hidden="1">
      <c r="A874" s="46" t="s">
        <v>295</v>
      </c>
      <c r="B874" s="46" t="s">
        <v>263</v>
      </c>
      <c r="C874" s="47">
        <v>0</v>
      </c>
      <c r="D874" s="47">
        <v>0</v>
      </c>
      <c r="E874" s="47">
        <v>0</v>
      </c>
      <c r="F874" s="47">
        <v>0</v>
      </c>
      <c r="G874" s="47">
        <v>0</v>
      </c>
      <c r="H874" s="47">
        <v>0</v>
      </c>
      <c r="I874" s="47">
        <v>0</v>
      </c>
      <c r="J874" s="47">
        <v>0</v>
      </c>
      <c r="K874" s="47">
        <v>0</v>
      </c>
      <c r="L874" s="47">
        <v>0</v>
      </c>
      <c r="M874" s="47">
        <v>0</v>
      </c>
      <c r="N874" s="47">
        <v>0</v>
      </c>
      <c r="O874" s="47">
        <v>0</v>
      </c>
      <c r="P874" s="47">
        <v>0</v>
      </c>
      <c r="Q874" s="85"/>
      <c r="R874" s="85"/>
      <c r="S874" s="85"/>
      <c r="T874" s="85"/>
      <c r="U874" s="85"/>
      <c r="V874" s="85"/>
      <c r="W874" s="85"/>
      <c r="X874" s="85"/>
      <c r="Y874" s="85"/>
      <c r="Z874" s="85"/>
      <c r="AA874" s="85"/>
      <c r="AB874" s="85"/>
      <c r="AC874" s="85"/>
      <c r="AD874" s="85"/>
      <c r="AE874" s="47">
        <v>0</v>
      </c>
      <c r="AF874" s="47">
        <v>0</v>
      </c>
      <c r="AG874" s="47">
        <v>0</v>
      </c>
      <c r="AH874" s="47">
        <v>0</v>
      </c>
      <c r="AI874" s="47">
        <v>0</v>
      </c>
      <c r="AJ874" s="47">
        <v>0</v>
      </c>
      <c r="AK874" s="47">
        <v>0</v>
      </c>
      <c r="AL874" s="47">
        <v>0</v>
      </c>
      <c r="AM874" s="47">
        <v>0</v>
      </c>
      <c r="AN874" s="47">
        <v>0</v>
      </c>
      <c r="AO874" s="47">
        <v>0</v>
      </c>
      <c r="AP874" s="47">
        <v>0</v>
      </c>
      <c r="AQ874" s="47">
        <v>0</v>
      </c>
      <c r="AR874" s="47">
        <v>0</v>
      </c>
      <c r="AS874" s="47"/>
      <c r="AT874" s="47"/>
      <c r="AU874" s="47"/>
      <c r="AV874" s="47"/>
      <c r="AW874" s="47"/>
      <c r="AX874" s="47"/>
      <c r="AY874" s="47"/>
      <c r="AZ874" s="47"/>
      <c r="BA874" s="47"/>
      <c r="BB874" s="47"/>
      <c r="BC874" s="47"/>
      <c r="BD874" s="47"/>
      <c r="BE874" s="47"/>
      <c r="BF874" s="47"/>
    </row>
    <row r="875" spans="1:58" hidden="1">
      <c r="A875" s="46" t="s">
        <v>295</v>
      </c>
      <c r="B875" s="46" t="s">
        <v>264</v>
      </c>
      <c r="C875" s="47">
        <v>0</v>
      </c>
      <c r="D875" s="47">
        <v>0</v>
      </c>
      <c r="E875" s="47">
        <v>0</v>
      </c>
      <c r="F875" s="47">
        <v>0</v>
      </c>
      <c r="G875" s="47">
        <v>0</v>
      </c>
      <c r="H875" s="47">
        <v>0</v>
      </c>
      <c r="I875" s="47">
        <v>0</v>
      </c>
      <c r="J875" s="47">
        <v>0</v>
      </c>
      <c r="K875" s="47">
        <v>0</v>
      </c>
      <c r="L875" s="47">
        <v>0</v>
      </c>
      <c r="M875" s="47">
        <v>0</v>
      </c>
      <c r="N875" s="47">
        <v>0</v>
      </c>
      <c r="O875" s="47">
        <v>0</v>
      </c>
      <c r="P875" s="47">
        <v>0</v>
      </c>
      <c r="Q875" s="85"/>
      <c r="R875" s="85"/>
      <c r="S875" s="85"/>
      <c r="T875" s="85"/>
      <c r="U875" s="85"/>
      <c r="V875" s="85"/>
      <c r="W875" s="85"/>
      <c r="X875" s="85"/>
      <c r="Y875" s="85"/>
      <c r="Z875" s="85"/>
      <c r="AA875" s="85"/>
      <c r="AB875" s="85"/>
      <c r="AC875" s="85"/>
      <c r="AD875" s="85"/>
      <c r="AE875" s="47">
        <v>0</v>
      </c>
      <c r="AF875" s="47">
        <v>0</v>
      </c>
      <c r="AG875" s="47">
        <v>0</v>
      </c>
      <c r="AH875" s="47">
        <v>0</v>
      </c>
      <c r="AI875" s="47">
        <v>0</v>
      </c>
      <c r="AJ875" s="47">
        <v>0</v>
      </c>
      <c r="AK875" s="47">
        <v>0</v>
      </c>
      <c r="AL875" s="47">
        <v>0</v>
      </c>
      <c r="AM875" s="47">
        <v>0</v>
      </c>
      <c r="AN875" s="47">
        <v>0</v>
      </c>
      <c r="AO875" s="47">
        <v>0</v>
      </c>
      <c r="AP875" s="47">
        <v>0</v>
      </c>
      <c r="AQ875" s="47">
        <v>0</v>
      </c>
      <c r="AR875" s="47">
        <v>0</v>
      </c>
      <c r="AS875" s="47"/>
      <c r="AT875" s="47"/>
      <c r="AU875" s="47"/>
      <c r="AV875" s="47"/>
      <c r="AW875" s="47"/>
      <c r="AX875" s="47"/>
      <c r="AY875" s="47"/>
      <c r="AZ875" s="47"/>
      <c r="BA875" s="47"/>
      <c r="BB875" s="47"/>
      <c r="BC875" s="47"/>
      <c r="BD875" s="47"/>
      <c r="BE875" s="47"/>
      <c r="BF875" s="47"/>
    </row>
    <row r="876" spans="1:58" hidden="1">
      <c r="A876" s="46" t="s">
        <v>295</v>
      </c>
      <c r="B876" s="46" t="s">
        <v>265</v>
      </c>
      <c r="C876" s="47">
        <v>0</v>
      </c>
      <c r="D876" s="47">
        <v>0</v>
      </c>
      <c r="E876" s="47">
        <v>0</v>
      </c>
      <c r="F876" s="47">
        <v>0</v>
      </c>
      <c r="G876" s="47">
        <v>0</v>
      </c>
      <c r="H876" s="47">
        <v>0</v>
      </c>
      <c r="I876" s="47">
        <v>0</v>
      </c>
      <c r="J876" s="47">
        <v>0</v>
      </c>
      <c r="K876" s="47">
        <v>0</v>
      </c>
      <c r="L876" s="47">
        <v>0</v>
      </c>
      <c r="M876" s="47">
        <v>0</v>
      </c>
      <c r="N876" s="47">
        <v>0</v>
      </c>
      <c r="O876" s="47">
        <v>0</v>
      </c>
      <c r="P876" s="47">
        <v>0</v>
      </c>
      <c r="Q876" s="85"/>
      <c r="R876" s="85"/>
      <c r="S876" s="85"/>
      <c r="T876" s="85"/>
      <c r="U876" s="85"/>
      <c r="V876" s="85"/>
      <c r="W876" s="85"/>
      <c r="X876" s="85"/>
      <c r="Y876" s="85"/>
      <c r="Z876" s="85"/>
      <c r="AA876" s="85"/>
      <c r="AB876" s="85"/>
      <c r="AC876" s="85"/>
      <c r="AD876" s="85"/>
      <c r="AE876" s="47">
        <v>0</v>
      </c>
      <c r="AF876" s="47">
        <v>0</v>
      </c>
      <c r="AG876" s="47">
        <v>0</v>
      </c>
      <c r="AH876" s="47">
        <v>0</v>
      </c>
      <c r="AI876" s="47">
        <v>0</v>
      </c>
      <c r="AJ876" s="47">
        <v>0</v>
      </c>
      <c r="AK876" s="47">
        <v>0</v>
      </c>
      <c r="AL876" s="47">
        <v>0</v>
      </c>
      <c r="AM876" s="47">
        <v>0</v>
      </c>
      <c r="AN876" s="47">
        <v>0</v>
      </c>
      <c r="AO876" s="47">
        <v>0</v>
      </c>
      <c r="AP876" s="47">
        <v>0</v>
      </c>
      <c r="AQ876" s="47">
        <v>0</v>
      </c>
      <c r="AR876" s="47">
        <v>0</v>
      </c>
      <c r="AS876" s="47"/>
      <c r="AT876" s="47"/>
      <c r="AU876" s="47"/>
      <c r="AV876" s="47"/>
      <c r="AW876" s="47"/>
      <c r="AX876" s="47"/>
      <c r="AY876" s="47"/>
      <c r="AZ876" s="47"/>
      <c r="BA876" s="47"/>
      <c r="BB876" s="47"/>
      <c r="BC876" s="47"/>
      <c r="BD876" s="47"/>
      <c r="BE876" s="47"/>
      <c r="BF876" s="47"/>
    </row>
    <row r="877" spans="1:58" hidden="1">
      <c r="A877" s="46" t="s">
        <v>295</v>
      </c>
      <c r="B877" s="46" t="s">
        <v>266</v>
      </c>
      <c r="C877" s="47">
        <v>0</v>
      </c>
      <c r="D877" s="47">
        <v>0</v>
      </c>
      <c r="E877" s="47">
        <v>0</v>
      </c>
      <c r="F877" s="47">
        <v>0</v>
      </c>
      <c r="G877" s="47">
        <v>0</v>
      </c>
      <c r="H877" s="47">
        <v>0</v>
      </c>
      <c r="I877" s="47">
        <v>0</v>
      </c>
      <c r="J877" s="47">
        <v>0</v>
      </c>
      <c r="K877" s="47">
        <v>0</v>
      </c>
      <c r="L877" s="47">
        <v>0</v>
      </c>
      <c r="M877" s="47">
        <v>0</v>
      </c>
      <c r="N877" s="47">
        <v>0</v>
      </c>
      <c r="O877" s="47">
        <v>0</v>
      </c>
      <c r="P877" s="47">
        <v>0</v>
      </c>
      <c r="Q877" s="85"/>
      <c r="R877" s="85"/>
      <c r="S877" s="85"/>
      <c r="T877" s="85"/>
      <c r="U877" s="85"/>
      <c r="V877" s="85"/>
      <c r="W877" s="85"/>
      <c r="X877" s="85"/>
      <c r="Y877" s="85"/>
      <c r="Z877" s="85"/>
      <c r="AA877" s="85"/>
      <c r="AB877" s="85"/>
      <c r="AC877" s="85"/>
      <c r="AD877" s="85"/>
      <c r="AE877" s="47">
        <v>0</v>
      </c>
      <c r="AF877" s="47">
        <v>0</v>
      </c>
      <c r="AG877" s="47">
        <v>0</v>
      </c>
      <c r="AH877" s="47">
        <v>0</v>
      </c>
      <c r="AI877" s="47">
        <v>0</v>
      </c>
      <c r="AJ877" s="47">
        <v>0</v>
      </c>
      <c r="AK877" s="47">
        <v>0</v>
      </c>
      <c r="AL877" s="47">
        <v>0</v>
      </c>
      <c r="AM877" s="47">
        <v>0</v>
      </c>
      <c r="AN877" s="47">
        <v>0</v>
      </c>
      <c r="AO877" s="47">
        <v>0</v>
      </c>
      <c r="AP877" s="47">
        <v>0</v>
      </c>
      <c r="AQ877" s="47">
        <v>0</v>
      </c>
      <c r="AR877" s="47">
        <v>0</v>
      </c>
      <c r="AS877" s="47"/>
      <c r="AT877" s="47"/>
      <c r="AU877" s="47"/>
      <c r="AV877" s="47"/>
      <c r="AW877" s="47"/>
      <c r="AX877" s="47"/>
      <c r="AY877" s="47"/>
      <c r="AZ877" s="47"/>
      <c r="BA877" s="47"/>
      <c r="BB877" s="47"/>
      <c r="BC877" s="47"/>
      <c r="BD877" s="47"/>
      <c r="BE877" s="47"/>
      <c r="BF877" s="47"/>
    </row>
    <row r="878" spans="1:58" hidden="1">
      <c r="A878" s="46" t="s">
        <v>295</v>
      </c>
      <c r="B878" s="46" t="s">
        <v>267</v>
      </c>
      <c r="C878" s="47">
        <v>0</v>
      </c>
      <c r="D878" s="47">
        <v>0</v>
      </c>
      <c r="E878" s="47">
        <v>0</v>
      </c>
      <c r="F878" s="47">
        <v>0</v>
      </c>
      <c r="G878" s="47">
        <v>0</v>
      </c>
      <c r="H878" s="47">
        <v>0</v>
      </c>
      <c r="I878" s="47">
        <v>0</v>
      </c>
      <c r="J878" s="47">
        <v>0</v>
      </c>
      <c r="K878" s="47">
        <v>0</v>
      </c>
      <c r="L878" s="47">
        <v>0</v>
      </c>
      <c r="M878" s="47">
        <v>0</v>
      </c>
      <c r="N878" s="47">
        <v>0</v>
      </c>
      <c r="O878" s="47">
        <v>0</v>
      </c>
      <c r="P878" s="47">
        <v>0</v>
      </c>
      <c r="Q878" s="85"/>
      <c r="R878" s="85"/>
      <c r="S878" s="85"/>
      <c r="T878" s="85"/>
      <c r="U878" s="85"/>
      <c r="V878" s="85"/>
      <c r="W878" s="85"/>
      <c r="X878" s="85"/>
      <c r="Y878" s="85"/>
      <c r="Z878" s="85"/>
      <c r="AA878" s="85"/>
      <c r="AB878" s="85"/>
      <c r="AC878" s="85"/>
      <c r="AD878" s="85"/>
      <c r="AE878" s="47">
        <v>0</v>
      </c>
      <c r="AF878" s="47">
        <v>0</v>
      </c>
      <c r="AG878" s="47">
        <v>0</v>
      </c>
      <c r="AH878" s="47">
        <v>0</v>
      </c>
      <c r="AI878" s="47">
        <v>0</v>
      </c>
      <c r="AJ878" s="47">
        <v>0</v>
      </c>
      <c r="AK878" s="47">
        <v>0</v>
      </c>
      <c r="AL878" s="47">
        <v>0</v>
      </c>
      <c r="AM878" s="47">
        <v>0</v>
      </c>
      <c r="AN878" s="47">
        <v>0</v>
      </c>
      <c r="AO878" s="47">
        <v>0</v>
      </c>
      <c r="AP878" s="47">
        <v>0</v>
      </c>
      <c r="AQ878" s="47">
        <v>0</v>
      </c>
      <c r="AR878" s="47">
        <v>0</v>
      </c>
      <c r="AS878" s="47"/>
      <c r="AT878" s="47"/>
      <c r="AU878" s="47"/>
      <c r="AV878" s="47"/>
      <c r="AW878" s="47"/>
      <c r="AX878" s="47"/>
      <c r="AY878" s="47"/>
      <c r="AZ878" s="47"/>
      <c r="BA878" s="47"/>
      <c r="BB878" s="47"/>
      <c r="BC878" s="47"/>
      <c r="BD878" s="47"/>
      <c r="BE878" s="47"/>
      <c r="BF878" s="47"/>
    </row>
    <row r="879" spans="1:58" hidden="1">
      <c r="A879" s="46" t="s">
        <v>295</v>
      </c>
      <c r="B879" s="46" t="s">
        <v>268</v>
      </c>
      <c r="C879" s="47">
        <v>0</v>
      </c>
      <c r="D879" s="47">
        <v>0</v>
      </c>
      <c r="E879" s="47">
        <v>0</v>
      </c>
      <c r="F879" s="47">
        <v>0</v>
      </c>
      <c r="G879" s="47">
        <v>0</v>
      </c>
      <c r="H879" s="47">
        <v>0</v>
      </c>
      <c r="I879" s="47">
        <v>0</v>
      </c>
      <c r="J879" s="47">
        <v>0</v>
      </c>
      <c r="K879" s="47">
        <v>0</v>
      </c>
      <c r="L879" s="47">
        <v>0</v>
      </c>
      <c r="M879" s="47">
        <v>0</v>
      </c>
      <c r="N879" s="47">
        <v>0</v>
      </c>
      <c r="O879" s="47">
        <v>0</v>
      </c>
      <c r="P879" s="47">
        <v>0</v>
      </c>
      <c r="Q879" s="85"/>
      <c r="R879" s="85"/>
      <c r="S879" s="85"/>
      <c r="T879" s="85"/>
      <c r="U879" s="85"/>
      <c r="V879" s="85"/>
      <c r="W879" s="85"/>
      <c r="X879" s="85"/>
      <c r="Y879" s="85"/>
      <c r="Z879" s="85"/>
      <c r="AA879" s="85"/>
      <c r="AB879" s="85"/>
      <c r="AC879" s="85"/>
      <c r="AD879" s="85"/>
      <c r="AE879" s="47">
        <v>0</v>
      </c>
      <c r="AF879" s="47">
        <v>0</v>
      </c>
      <c r="AG879" s="47">
        <v>0</v>
      </c>
      <c r="AH879" s="47">
        <v>0</v>
      </c>
      <c r="AI879" s="47">
        <v>0</v>
      </c>
      <c r="AJ879" s="47">
        <v>0</v>
      </c>
      <c r="AK879" s="47">
        <v>0</v>
      </c>
      <c r="AL879" s="47">
        <v>0</v>
      </c>
      <c r="AM879" s="47">
        <v>0</v>
      </c>
      <c r="AN879" s="47">
        <v>0</v>
      </c>
      <c r="AO879" s="47">
        <v>0</v>
      </c>
      <c r="AP879" s="47">
        <v>0</v>
      </c>
      <c r="AQ879" s="47">
        <v>0</v>
      </c>
      <c r="AR879" s="47">
        <v>0</v>
      </c>
      <c r="AS879" s="47"/>
      <c r="AT879" s="47"/>
      <c r="AU879" s="47"/>
      <c r="AV879" s="47"/>
      <c r="AW879" s="47"/>
      <c r="AX879" s="47"/>
      <c r="AY879" s="47"/>
      <c r="AZ879" s="47"/>
      <c r="BA879" s="47"/>
      <c r="BB879" s="47"/>
      <c r="BC879" s="47"/>
      <c r="BD879" s="47"/>
      <c r="BE879" s="47"/>
      <c r="BF879" s="47"/>
    </row>
    <row r="880" spans="1:58" hidden="1">
      <c r="A880" s="46" t="s">
        <v>295</v>
      </c>
      <c r="B880" s="46" t="s">
        <v>269</v>
      </c>
      <c r="C880" s="47">
        <v>0</v>
      </c>
      <c r="D880" s="47">
        <v>0</v>
      </c>
      <c r="E880" s="47">
        <v>0</v>
      </c>
      <c r="F880" s="47">
        <v>0</v>
      </c>
      <c r="G880" s="47">
        <v>0</v>
      </c>
      <c r="H880" s="47">
        <v>0</v>
      </c>
      <c r="I880" s="47">
        <v>0</v>
      </c>
      <c r="J880" s="47">
        <v>0</v>
      </c>
      <c r="K880" s="47">
        <v>0</v>
      </c>
      <c r="L880" s="47">
        <v>0</v>
      </c>
      <c r="M880" s="47">
        <v>0</v>
      </c>
      <c r="N880" s="47">
        <v>0</v>
      </c>
      <c r="O880" s="47">
        <v>0</v>
      </c>
      <c r="P880" s="47">
        <v>0</v>
      </c>
      <c r="Q880" s="85"/>
      <c r="R880" s="85"/>
      <c r="S880" s="85"/>
      <c r="T880" s="85"/>
      <c r="U880" s="85"/>
      <c r="V880" s="85"/>
      <c r="W880" s="85"/>
      <c r="X880" s="85"/>
      <c r="Y880" s="85"/>
      <c r="Z880" s="85"/>
      <c r="AA880" s="85"/>
      <c r="AB880" s="85"/>
      <c r="AC880" s="85"/>
      <c r="AD880" s="85"/>
      <c r="AE880" s="47">
        <v>0</v>
      </c>
      <c r="AF880" s="47">
        <v>0</v>
      </c>
      <c r="AG880" s="47">
        <v>0</v>
      </c>
      <c r="AH880" s="47">
        <v>0</v>
      </c>
      <c r="AI880" s="47">
        <v>0</v>
      </c>
      <c r="AJ880" s="47">
        <v>0</v>
      </c>
      <c r="AK880" s="47">
        <v>0</v>
      </c>
      <c r="AL880" s="47">
        <v>0</v>
      </c>
      <c r="AM880" s="47">
        <v>0</v>
      </c>
      <c r="AN880" s="47">
        <v>0</v>
      </c>
      <c r="AO880" s="47">
        <v>0</v>
      </c>
      <c r="AP880" s="47">
        <v>0</v>
      </c>
      <c r="AQ880" s="47">
        <v>0</v>
      </c>
      <c r="AR880" s="47">
        <v>0</v>
      </c>
      <c r="AS880" s="47"/>
      <c r="AT880" s="47"/>
      <c r="AU880" s="47"/>
      <c r="AV880" s="47"/>
      <c r="AW880" s="47"/>
      <c r="AX880" s="47"/>
      <c r="AY880" s="47"/>
      <c r="AZ880" s="47"/>
      <c r="BA880" s="47"/>
      <c r="BB880" s="47"/>
      <c r="BC880" s="47"/>
      <c r="BD880" s="47"/>
      <c r="BE880" s="47"/>
      <c r="BF880" s="47"/>
    </row>
    <row r="881" spans="1:58" hidden="1">
      <c r="A881" s="46" t="s">
        <v>295</v>
      </c>
      <c r="B881" s="46" t="s">
        <v>270</v>
      </c>
      <c r="C881" s="47">
        <v>0</v>
      </c>
      <c r="D881" s="47">
        <v>0</v>
      </c>
      <c r="E881" s="47">
        <v>0</v>
      </c>
      <c r="F881" s="47">
        <v>0</v>
      </c>
      <c r="G881" s="47">
        <v>0</v>
      </c>
      <c r="H881" s="47">
        <v>0</v>
      </c>
      <c r="I881" s="47">
        <v>0</v>
      </c>
      <c r="J881" s="47">
        <v>0</v>
      </c>
      <c r="K881" s="47">
        <v>0</v>
      </c>
      <c r="L881" s="47">
        <v>0</v>
      </c>
      <c r="M881" s="47">
        <v>0</v>
      </c>
      <c r="N881" s="47">
        <v>1</v>
      </c>
      <c r="O881" s="47">
        <v>1</v>
      </c>
      <c r="P881" s="47">
        <v>1</v>
      </c>
      <c r="Q881" s="85"/>
      <c r="R881" s="85"/>
      <c r="S881" s="85"/>
      <c r="T881" s="85"/>
      <c r="U881" s="85"/>
      <c r="V881" s="85"/>
      <c r="W881" s="85"/>
      <c r="X881" s="85"/>
      <c r="Y881" s="85"/>
      <c r="Z881" s="85"/>
      <c r="AA881" s="85"/>
      <c r="AB881" s="85"/>
      <c r="AC881" s="85"/>
      <c r="AD881" s="85"/>
      <c r="AE881" s="47">
        <v>0</v>
      </c>
      <c r="AF881" s="47">
        <v>0</v>
      </c>
      <c r="AG881" s="47">
        <v>0</v>
      </c>
      <c r="AH881" s="47">
        <v>0</v>
      </c>
      <c r="AI881" s="47">
        <v>0</v>
      </c>
      <c r="AJ881" s="47">
        <v>0</v>
      </c>
      <c r="AK881" s="47">
        <v>0</v>
      </c>
      <c r="AL881" s="47">
        <v>0</v>
      </c>
      <c r="AM881" s="47">
        <v>0</v>
      </c>
      <c r="AN881" s="47">
        <v>0</v>
      </c>
      <c r="AO881" s="47">
        <v>0</v>
      </c>
      <c r="AP881" s="47">
        <v>78</v>
      </c>
      <c r="AQ881" s="47">
        <v>78</v>
      </c>
      <c r="AR881" s="47">
        <v>78</v>
      </c>
      <c r="AS881" s="47"/>
      <c r="AT881" s="47"/>
      <c r="AU881" s="47"/>
      <c r="AV881" s="47"/>
      <c r="AW881" s="47"/>
      <c r="AX881" s="47"/>
      <c r="AY881" s="47"/>
      <c r="AZ881" s="47"/>
      <c r="BA881" s="47"/>
      <c r="BB881" s="47"/>
      <c r="BC881" s="47"/>
      <c r="BD881" s="47"/>
      <c r="BE881" s="47"/>
      <c r="BF881" s="47"/>
    </row>
    <row r="882" spans="1:58" hidden="1">
      <c r="A882" s="46" t="s">
        <v>295</v>
      </c>
      <c r="B882" s="46" t="s">
        <v>271</v>
      </c>
      <c r="C882" s="47">
        <v>0</v>
      </c>
      <c r="D882" s="47">
        <v>0</v>
      </c>
      <c r="E882" s="47">
        <v>0</v>
      </c>
      <c r="F882" s="47">
        <v>0</v>
      </c>
      <c r="G882" s="47">
        <v>0</v>
      </c>
      <c r="H882" s="47">
        <v>0</v>
      </c>
      <c r="I882" s="47">
        <v>0</v>
      </c>
      <c r="J882" s="47">
        <v>0</v>
      </c>
      <c r="K882" s="47">
        <v>0</v>
      </c>
      <c r="L882" s="47">
        <v>0</v>
      </c>
      <c r="M882" s="47">
        <v>0</v>
      </c>
      <c r="N882" s="47">
        <v>0</v>
      </c>
      <c r="O882" s="47">
        <v>0</v>
      </c>
      <c r="P882" s="47">
        <v>0</v>
      </c>
      <c r="Q882" s="85"/>
      <c r="R882" s="85"/>
      <c r="S882" s="85"/>
      <c r="T882" s="85"/>
      <c r="U882" s="85"/>
      <c r="V882" s="85"/>
      <c r="W882" s="85"/>
      <c r="X882" s="85"/>
      <c r="Y882" s="85"/>
      <c r="Z882" s="85"/>
      <c r="AA882" s="85"/>
      <c r="AB882" s="85"/>
      <c r="AC882" s="85"/>
      <c r="AD882" s="85"/>
      <c r="AE882" s="47">
        <v>0</v>
      </c>
      <c r="AF882" s="47">
        <v>0</v>
      </c>
      <c r="AG882" s="47">
        <v>0</v>
      </c>
      <c r="AH882" s="47">
        <v>0</v>
      </c>
      <c r="AI882" s="47">
        <v>0</v>
      </c>
      <c r="AJ882" s="47">
        <v>0</v>
      </c>
      <c r="AK882" s="47">
        <v>0</v>
      </c>
      <c r="AL882" s="47">
        <v>0</v>
      </c>
      <c r="AM882" s="47">
        <v>0</v>
      </c>
      <c r="AN882" s="47">
        <v>0</v>
      </c>
      <c r="AO882" s="47">
        <v>0</v>
      </c>
      <c r="AP882" s="47">
        <v>0</v>
      </c>
      <c r="AQ882" s="47">
        <v>0</v>
      </c>
      <c r="AR882" s="47">
        <v>0</v>
      </c>
      <c r="AS882" s="47"/>
      <c r="AT882" s="47"/>
      <c r="AU882" s="47"/>
      <c r="AV882" s="47"/>
      <c r="AW882" s="47"/>
      <c r="AX882" s="47"/>
      <c r="AY882" s="47"/>
      <c r="AZ882" s="47"/>
      <c r="BA882" s="47"/>
      <c r="BB882" s="47"/>
      <c r="BC882" s="47"/>
      <c r="BD882" s="47"/>
      <c r="BE882" s="47"/>
      <c r="BF882" s="47"/>
    </row>
    <row r="883" spans="1:58" hidden="1">
      <c r="A883" s="46" t="s">
        <v>295</v>
      </c>
      <c r="B883" s="46" t="s">
        <v>272</v>
      </c>
      <c r="C883" s="47">
        <v>0</v>
      </c>
      <c r="D883" s="47">
        <v>0</v>
      </c>
      <c r="E883" s="47">
        <v>0</v>
      </c>
      <c r="F883" s="47">
        <v>0</v>
      </c>
      <c r="G883" s="47">
        <v>0</v>
      </c>
      <c r="H883" s="47">
        <v>0</v>
      </c>
      <c r="I883" s="47">
        <v>0</v>
      </c>
      <c r="J883" s="47">
        <v>0</v>
      </c>
      <c r="K883" s="47">
        <v>0</v>
      </c>
      <c r="L883" s="47">
        <v>0</v>
      </c>
      <c r="M883" s="47">
        <v>0</v>
      </c>
      <c r="N883" s="47">
        <v>1</v>
      </c>
      <c r="O883" s="47">
        <v>1</v>
      </c>
      <c r="P883" s="47">
        <v>1</v>
      </c>
      <c r="Q883" s="85"/>
      <c r="R883" s="85"/>
      <c r="S883" s="85"/>
      <c r="T883" s="85"/>
      <c r="U883" s="85"/>
      <c r="V883" s="85"/>
      <c r="W883" s="85"/>
      <c r="X883" s="85"/>
      <c r="Y883" s="85"/>
      <c r="Z883" s="85"/>
      <c r="AA883" s="85"/>
      <c r="AB883" s="85">
        <v>78</v>
      </c>
      <c r="AC883" s="85">
        <v>78</v>
      </c>
      <c r="AD883" s="85">
        <v>78</v>
      </c>
      <c r="AE883" s="47">
        <v>0</v>
      </c>
      <c r="AF883" s="47">
        <v>0</v>
      </c>
      <c r="AG883" s="47">
        <v>0</v>
      </c>
      <c r="AH883" s="47">
        <v>0</v>
      </c>
      <c r="AI883" s="47">
        <v>0</v>
      </c>
      <c r="AJ883" s="47">
        <v>0</v>
      </c>
      <c r="AK883" s="47">
        <v>0</v>
      </c>
      <c r="AL883" s="47">
        <v>0</v>
      </c>
      <c r="AM883" s="47">
        <v>0</v>
      </c>
      <c r="AN883" s="47">
        <v>0</v>
      </c>
      <c r="AO883" s="47">
        <v>0</v>
      </c>
      <c r="AP883" s="47">
        <v>78</v>
      </c>
      <c r="AQ883" s="47">
        <v>78</v>
      </c>
      <c r="AR883" s="47">
        <v>78</v>
      </c>
      <c r="AS883" s="47"/>
      <c r="AT883" s="47"/>
      <c r="AU883" s="47"/>
      <c r="AV883" s="47"/>
      <c r="AW883" s="47"/>
      <c r="AX883" s="47"/>
      <c r="AY883" s="47"/>
      <c r="AZ883" s="47"/>
      <c r="BA883" s="47"/>
      <c r="BB883" s="47"/>
      <c r="BC883" s="47"/>
      <c r="BD883" s="47"/>
      <c r="BE883" s="47"/>
      <c r="BF883" s="47"/>
    </row>
    <row r="884" spans="1:58" hidden="1">
      <c r="A884" s="46" t="s">
        <v>295</v>
      </c>
      <c r="B884" s="46" t="s">
        <v>273</v>
      </c>
      <c r="C884" s="47">
        <v>0</v>
      </c>
      <c r="D884" s="47">
        <v>0</v>
      </c>
      <c r="E884" s="47">
        <v>0</v>
      </c>
      <c r="F884" s="47">
        <v>0</v>
      </c>
      <c r="G884" s="47">
        <v>0</v>
      </c>
      <c r="H884" s="47">
        <v>0</v>
      </c>
      <c r="I884" s="47">
        <v>13</v>
      </c>
      <c r="J884" s="47">
        <v>13</v>
      </c>
      <c r="K884" s="47">
        <v>13</v>
      </c>
      <c r="L884" s="47">
        <v>13</v>
      </c>
      <c r="M884" s="47">
        <v>13</v>
      </c>
      <c r="N884" s="47">
        <v>6</v>
      </c>
      <c r="O884" s="47">
        <v>6</v>
      </c>
      <c r="P884" s="47">
        <v>6</v>
      </c>
      <c r="Q884" s="85"/>
      <c r="R884" s="85"/>
      <c r="S884" s="85"/>
      <c r="T884" s="85"/>
      <c r="U884" s="85"/>
      <c r="V884" s="85"/>
      <c r="W884" s="85">
        <v>13</v>
      </c>
      <c r="X884" s="85">
        <v>13</v>
      </c>
      <c r="Y884" s="85">
        <v>13</v>
      </c>
      <c r="Z884" s="85">
        <v>13</v>
      </c>
      <c r="AA884" s="85">
        <v>13</v>
      </c>
      <c r="AB884" s="85">
        <v>13</v>
      </c>
      <c r="AC884" s="85">
        <v>13</v>
      </c>
      <c r="AD884" s="85">
        <v>13</v>
      </c>
      <c r="AE884" s="47">
        <v>0</v>
      </c>
      <c r="AF884" s="47">
        <v>0</v>
      </c>
      <c r="AG884" s="47">
        <v>0</v>
      </c>
      <c r="AH884" s="47">
        <v>0</v>
      </c>
      <c r="AI884" s="47">
        <v>0</v>
      </c>
      <c r="AJ884" s="47">
        <v>0</v>
      </c>
      <c r="AK884" s="47">
        <v>169</v>
      </c>
      <c r="AL884" s="47">
        <v>169</v>
      </c>
      <c r="AM884" s="47">
        <v>169</v>
      </c>
      <c r="AN884" s="47">
        <v>169</v>
      </c>
      <c r="AO884" s="47">
        <v>169</v>
      </c>
      <c r="AP884" s="47">
        <v>78</v>
      </c>
      <c r="AQ884" s="47">
        <v>78</v>
      </c>
      <c r="AR884" s="47">
        <v>78</v>
      </c>
      <c r="AS884" s="47"/>
      <c r="AT884" s="47"/>
      <c r="AU884" s="47"/>
      <c r="AV884" s="47"/>
      <c r="AW884" s="47"/>
      <c r="AX884" s="47"/>
      <c r="AY884" s="47"/>
      <c r="AZ884" s="47"/>
      <c r="BA884" s="47"/>
      <c r="BB884" s="47"/>
      <c r="BC884" s="47"/>
      <c r="BD884" s="47"/>
      <c r="BE884" s="47"/>
      <c r="BF884" s="47"/>
    </row>
    <row r="885" spans="1:58" hidden="1">
      <c r="A885" s="46" t="s">
        <v>295</v>
      </c>
      <c r="B885" s="46" t="s">
        <v>274</v>
      </c>
      <c r="C885" s="47">
        <v>0</v>
      </c>
      <c r="D885" s="47">
        <v>0</v>
      </c>
      <c r="E885" s="47">
        <v>0</v>
      </c>
      <c r="F885" s="47">
        <v>0</v>
      </c>
      <c r="G885" s="47">
        <v>0</v>
      </c>
      <c r="H885" s="47">
        <v>0</v>
      </c>
      <c r="I885" s="47">
        <v>0</v>
      </c>
      <c r="J885" s="47">
        <v>0</v>
      </c>
      <c r="K885" s="47">
        <v>0</v>
      </c>
      <c r="L885" s="47">
        <v>0</v>
      </c>
      <c r="M885" s="47">
        <v>0</v>
      </c>
      <c r="N885" s="47">
        <v>0</v>
      </c>
      <c r="O885" s="47">
        <v>0</v>
      </c>
      <c r="P885" s="47">
        <v>0</v>
      </c>
      <c r="Q885" s="85"/>
      <c r="R885" s="85"/>
      <c r="S885" s="85"/>
      <c r="T885" s="85"/>
      <c r="U885" s="85"/>
      <c r="V885" s="85"/>
      <c r="W885" s="85"/>
      <c r="X885" s="85"/>
      <c r="Y885" s="85"/>
      <c r="Z885" s="85"/>
      <c r="AA885" s="85"/>
      <c r="AB885" s="85"/>
      <c r="AC885" s="85"/>
      <c r="AD885" s="85"/>
      <c r="AE885" s="47">
        <v>0</v>
      </c>
      <c r="AF885" s="47">
        <v>0</v>
      </c>
      <c r="AG885" s="47">
        <v>0</v>
      </c>
      <c r="AH885" s="47">
        <v>0</v>
      </c>
      <c r="AI885" s="47">
        <v>0</v>
      </c>
      <c r="AJ885" s="47">
        <v>0</v>
      </c>
      <c r="AK885" s="47">
        <v>0</v>
      </c>
      <c r="AL885" s="47">
        <v>0</v>
      </c>
      <c r="AM885" s="47">
        <v>0</v>
      </c>
      <c r="AN885" s="47">
        <v>0</v>
      </c>
      <c r="AO885" s="47">
        <v>0</v>
      </c>
      <c r="AP885" s="47">
        <v>0</v>
      </c>
      <c r="AQ885" s="47">
        <v>0</v>
      </c>
      <c r="AR885" s="47">
        <v>0</v>
      </c>
      <c r="AS885" s="47"/>
      <c r="AT885" s="47"/>
      <c r="AU885" s="47"/>
      <c r="AV885" s="47"/>
      <c r="AW885" s="47"/>
      <c r="AX885" s="47"/>
      <c r="AY885" s="47"/>
      <c r="AZ885" s="47"/>
      <c r="BA885" s="47"/>
      <c r="BB885" s="47"/>
      <c r="BC885" s="47"/>
      <c r="BD885" s="47"/>
      <c r="BE885" s="47"/>
      <c r="BF885" s="47"/>
    </row>
    <row r="886" spans="1:58" hidden="1">
      <c r="A886" s="46" t="s">
        <v>295</v>
      </c>
      <c r="B886" s="46" t="s">
        <v>275</v>
      </c>
      <c r="C886" s="47">
        <v>0</v>
      </c>
      <c r="D886" s="47">
        <v>0</v>
      </c>
      <c r="E886" s="47">
        <v>0</v>
      </c>
      <c r="F886" s="47">
        <v>0</v>
      </c>
      <c r="G886" s="47">
        <v>0</v>
      </c>
      <c r="H886" s="47">
        <v>0</v>
      </c>
      <c r="I886" s="47">
        <v>13</v>
      </c>
      <c r="J886" s="47">
        <v>13</v>
      </c>
      <c r="K886" s="47">
        <v>13</v>
      </c>
      <c r="L886" s="47">
        <v>13</v>
      </c>
      <c r="M886" s="47">
        <v>13</v>
      </c>
      <c r="N886" s="47">
        <v>6</v>
      </c>
      <c r="O886" s="47">
        <v>6</v>
      </c>
      <c r="P886" s="47">
        <v>6</v>
      </c>
      <c r="Q886" s="85"/>
      <c r="R886" s="85"/>
      <c r="S886" s="85"/>
      <c r="T886" s="85"/>
      <c r="U886" s="85"/>
      <c r="V886" s="85"/>
      <c r="W886" s="85">
        <v>13</v>
      </c>
      <c r="X886" s="85">
        <v>13</v>
      </c>
      <c r="Y886" s="85">
        <v>13</v>
      </c>
      <c r="Z886" s="85">
        <v>13</v>
      </c>
      <c r="AA886" s="85">
        <v>13</v>
      </c>
      <c r="AB886" s="85">
        <v>13</v>
      </c>
      <c r="AC886" s="85">
        <v>13</v>
      </c>
      <c r="AD886" s="85">
        <v>13</v>
      </c>
      <c r="AE886" s="47">
        <v>0</v>
      </c>
      <c r="AF886" s="47">
        <v>0</v>
      </c>
      <c r="AG886" s="47">
        <v>0</v>
      </c>
      <c r="AH886" s="47">
        <v>0</v>
      </c>
      <c r="AI886" s="47">
        <v>0</v>
      </c>
      <c r="AJ886" s="47">
        <v>0</v>
      </c>
      <c r="AK886" s="47">
        <v>169</v>
      </c>
      <c r="AL886" s="47">
        <v>169</v>
      </c>
      <c r="AM886" s="47">
        <v>169</v>
      </c>
      <c r="AN886" s="47">
        <v>169</v>
      </c>
      <c r="AO886" s="47">
        <v>169</v>
      </c>
      <c r="AP886" s="47">
        <v>78</v>
      </c>
      <c r="AQ886" s="47">
        <v>78</v>
      </c>
      <c r="AR886" s="47">
        <v>78</v>
      </c>
      <c r="AS886" s="47"/>
      <c r="AT886" s="47"/>
      <c r="AU886" s="47"/>
      <c r="AV886" s="47"/>
      <c r="AW886" s="47"/>
      <c r="AX886" s="47"/>
      <c r="AY886" s="47"/>
      <c r="AZ886" s="47"/>
      <c r="BA886" s="47"/>
      <c r="BB886" s="47"/>
      <c r="BC886" s="47"/>
      <c r="BD886" s="47"/>
      <c r="BE886" s="47"/>
      <c r="BF886" s="47"/>
    </row>
    <row r="887" spans="1:58" hidden="1">
      <c r="A887" s="46" t="s">
        <v>295</v>
      </c>
      <c r="B887" s="46" t="s">
        <v>276</v>
      </c>
      <c r="C887" s="47">
        <v>0</v>
      </c>
      <c r="D887" s="47">
        <v>0</v>
      </c>
      <c r="E887" s="47">
        <v>0</v>
      </c>
      <c r="F887" s="47">
        <v>0</v>
      </c>
      <c r="G887" s="47">
        <v>0</v>
      </c>
      <c r="H887" s="47">
        <v>0</v>
      </c>
      <c r="I887" s="47">
        <v>13</v>
      </c>
      <c r="J887" s="47">
        <v>13</v>
      </c>
      <c r="K887" s="47">
        <v>13</v>
      </c>
      <c r="L887" s="47">
        <v>13</v>
      </c>
      <c r="M887" s="47">
        <v>13</v>
      </c>
      <c r="N887" s="47">
        <v>7</v>
      </c>
      <c r="O887" s="47">
        <v>7</v>
      </c>
      <c r="P887" s="47">
        <v>7</v>
      </c>
      <c r="Q887" s="85"/>
      <c r="R887" s="85"/>
      <c r="S887" s="85"/>
      <c r="T887" s="85"/>
      <c r="U887" s="85"/>
      <c r="V887" s="85"/>
      <c r="W887" s="85">
        <v>13</v>
      </c>
      <c r="X887" s="85">
        <v>13</v>
      </c>
      <c r="Y887" s="85">
        <v>13</v>
      </c>
      <c r="Z887" s="85">
        <v>13</v>
      </c>
      <c r="AA887" s="85">
        <v>13</v>
      </c>
      <c r="AB887" s="85">
        <v>22.29</v>
      </c>
      <c r="AC887" s="85">
        <v>22.29</v>
      </c>
      <c r="AD887" s="85">
        <v>22.29</v>
      </c>
      <c r="AE887" s="47">
        <v>0</v>
      </c>
      <c r="AF887" s="47">
        <v>0</v>
      </c>
      <c r="AG887" s="47">
        <v>0</v>
      </c>
      <c r="AH887" s="47">
        <v>0</v>
      </c>
      <c r="AI887" s="47">
        <v>0</v>
      </c>
      <c r="AJ887" s="47">
        <v>0</v>
      </c>
      <c r="AK887" s="47">
        <v>169</v>
      </c>
      <c r="AL887" s="47">
        <v>169</v>
      </c>
      <c r="AM887" s="47">
        <v>169</v>
      </c>
      <c r="AN887" s="47">
        <v>169</v>
      </c>
      <c r="AO887" s="47">
        <v>169</v>
      </c>
      <c r="AP887" s="47">
        <v>156</v>
      </c>
      <c r="AQ887" s="47">
        <v>156</v>
      </c>
      <c r="AR887" s="47">
        <v>156</v>
      </c>
      <c r="AS887" s="47"/>
      <c r="AT887" s="47"/>
      <c r="AU887" s="47"/>
      <c r="AV887" s="47"/>
      <c r="AW887" s="47"/>
      <c r="AX887" s="47"/>
      <c r="AY887" s="47"/>
      <c r="AZ887" s="47"/>
      <c r="BA887" s="47"/>
      <c r="BB887" s="47"/>
      <c r="BC887" s="47"/>
      <c r="BD887" s="47"/>
      <c r="BE887" s="47"/>
      <c r="BF887" s="47"/>
    </row>
    <row r="888" spans="1:58" hidden="1">
      <c r="A888" s="46" t="s">
        <v>295</v>
      </c>
      <c r="B888" s="46" t="s">
        <v>277</v>
      </c>
      <c r="C888" s="47"/>
      <c r="D888" s="47"/>
      <c r="E888" s="47"/>
      <c r="F888" s="47"/>
      <c r="G888" s="47"/>
      <c r="H888" s="47"/>
      <c r="I888" s="47"/>
      <c r="J888" s="47"/>
      <c r="K888" s="47"/>
      <c r="L888" s="47"/>
      <c r="M888" s="47"/>
      <c r="N888" s="47"/>
      <c r="O888" s="47"/>
      <c r="P888" s="47"/>
      <c r="Q888" s="85"/>
      <c r="R888" s="85"/>
      <c r="S888" s="85"/>
      <c r="T888" s="85"/>
      <c r="U888" s="85"/>
      <c r="V888" s="85"/>
      <c r="W888" s="85"/>
      <c r="X888" s="85"/>
      <c r="Y888" s="85"/>
      <c r="Z888" s="85"/>
      <c r="AA888" s="85"/>
      <c r="AB888" s="85"/>
      <c r="AC888" s="85"/>
      <c r="AD888" s="85"/>
      <c r="AE888" s="47">
        <v>0</v>
      </c>
      <c r="AF888" s="47">
        <v>0</v>
      </c>
      <c r="AG888" s="47">
        <v>0</v>
      </c>
      <c r="AH888" s="47">
        <v>0</v>
      </c>
      <c r="AI888" s="47">
        <v>0</v>
      </c>
      <c r="AJ888" s="47">
        <v>0</v>
      </c>
      <c r="AK888" s="47">
        <v>0</v>
      </c>
      <c r="AL888" s="47">
        <v>0</v>
      </c>
      <c r="AM888" s="47">
        <v>0</v>
      </c>
      <c r="AN888" s="47">
        <v>0</v>
      </c>
      <c r="AO888" s="47">
        <v>0</v>
      </c>
      <c r="AP888" s="47">
        <v>0</v>
      </c>
      <c r="AQ888" s="47">
        <v>0</v>
      </c>
      <c r="AR888" s="47">
        <v>0</v>
      </c>
      <c r="AS888" s="47"/>
      <c r="AT888" s="47"/>
      <c r="AU888" s="47"/>
      <c r="AV888" s="47"/>
      <c r="AW888" s="47"/>
      <c r="AX888" s="47"/>
      <c r="AY888" s="47"/>
      <c r="AZ888" s="47"/>
      <c r="BA888" s="47"/>
      <c r="BB888" s="47"/>
      <c r="BC888" s="47"/>
      <c r="BD888" s="47"/>
      <c r="BE888" s="47"/>
      <c r="BF888" s="47"/>
    </row>
    <row r="889" spans="1:58" hidden="1">
      <c r="A889" s="46" t="s">
        <v>295</v>
      </c>
      <c r="B889" s="46" t="s">
        <v>65</v>
      </c>
      <c r="C889" s="47">
        <v>0</v>
      </c>
      <c r="D889" s="47">
        <v>0</v>
      </c>
      <c r="E889" s="47">
        <v>0</v>
      </c>
      <c r="F889" s="47">
        <v>0</v>
      </c>
      <c r="G889" s="47">
        <v>0</v>
      </c>
      <c r="H889" s="47">
        <v>0</v>
      </c>
      <c r="I889" s="47">
        <v>0</v>
      </c>
      <c r="J889" s="47">
        <v>0</v>
      </c>
      <c r="K889" s="47">
        <v>0</v>
      </c>
      <c r="L889" s="47">
        <v>0</v>
      </c>
      <c r="M889" s="47">
        <v>0</v>
      </c>
      <c r="N889" s="47">
        <v>0</v>
      </c>
      <c r="O889" s="47">
        <v>0</v>
      </c>
      <c r="P889" s="47">
        <v>0</v>
      </c>
      <c r="Q889" s="85"/>
      <c r="R889" s="85"/>
      <c r="S889" s="85"/>
      <c r="T889" s="85"/>
      <c r="U889" s="85"/>
      <c r="V889" s="85"/>
      <c r="W889" s="85"/>
      <c r="X889" s="85"/>
      <c r="Y889" s="85"/>
      <c r="Z889" s="85"/>
      <c r="AA889" s="85"/>
      <c r="AB889" s="85"/>
      <c r="AC889" s="85"/>
      <c r="AD889" s="85"/>
      <c r="AE889" s="47">
        <v>0</v>
      </c>
      <c r="AF889" s="47">
        <v>0</v>
      </c>
      <c r="AG889" s="47">
        <v>0</v>
      </c>
      <c r="AH889" s="47">
        <v>0</v>
      </c>
      <c r="AI889" s="47">
        <v>0</v>
      </c>
      <c r="AJ889" s="47">
        <v>0</v>
      </c>
      <c r="AK889" s="47">
        <v>0</v>
      </c>
      <c r="AL889" s="47">
        <v>0</v>
      </c>
      <c r="AM889" s="47">
        <v>0</v>
      </c>
      <c r="AN889" s="47">
        <v>0</v>
      </c>
      <c r="AO889" s="47">
        <v>0</v>
      </c>
      <c r="AP889" s="47">
        <v>0</v>
      </c>
      <c r="AQ889" s="47">
        <v>0</v>
      </c>
      <c r="AR889" s="47">
        <v>0</v>
      </c>
      <c r="AS889" s="47"/>
      <c r="AT889" s="47"/>
      <c r="AU889" s="47"/>
      <c r="AV889" s="47"/>
      <c r="AW889" s="47"/>
      <c r="AX889" s="47"/>
      <c r="AY889" s="47"/>
      <c r="AZ889" s="47"/>
      <c r="BA889" s="47"/>
      <c r="BB889" s="47"/>
      <c r="BC889" s="47"/>
      <c r="BD889" s="47"/>
      <c r="BE889" s="47"/>
      <c r="BF889" s="47"/>
    </row>
    <row r="890" spans="1:58" hidden="1">
      <c r="A890" s="46" t="s">
        <v>295</v>
      </c>
      <c r="B890" s="46" t="s">
        <v>66</v>
      </c>
      <c r="C890" s="47">
        <v>0</v>
      </c>
      <c r="D890" s="47">
        <v>0</v>
      </c>
      <c r="E890" s="47">
        <v>0</v>
      </c>
      <c r="F890" s="47">
        <v>0</v>
      </c>
      <c r="G890" s="47">
        <v>0</v>
      </c>
      <c r="H890" s="47">
        <v>0</v>
      </c>
      <c r="I890" s="47">
        <v>0</v>
      </c>
      <c r="J890" s="47">
        <v>0</v>
      </c>
      <c r="K890" s="47">
        <v>0</v>
      </c>
      <c r="L890" s="47">
        <v>0</v>
      </c>
      <c r="M890" s="47">
        <v>0</v>
      </c>
      <c r="N890" s="47">
        <v>0</v>
      </c>
      <c r="O890" s="47">
        <v>0</v>
      </c>
      <c r="P890" s="47">
        <v>0</v>
      </c>
      <c r="Q890" s="85"/>
      <c r="R890" s="85"/>
      <c r="S890" s="85"/>
      <c r="T890" s="85"/>
      <c r="U890" s="85"/>
      <c r="V890" s="85"/>
      <c r="W890" s="85"/>
      <c r="X890" s="85"/>
      <c r="Y890" s="85"/>
      <c r="Z890" s="85"/>
      <c r="AA890" s="85"/>
      <c r="AB890" s="85"/>
      <c r="AC890" s="85"/>
      <c r="AD890" s="85"/>
      <c r="AE890" s="47">
        <v>0</v>
      </c>
      <c r="AF890" s="47">
        <v>0</v>
      </c>
      <c r="AG890" s="47">
        <v>0</v>
      </c>
      <c r="AH890" s="47">
        <v>0</v>
      </c>
      <c r="AI890" s="47">
        <v>0</v>
      </c>
      <c r="AJ890" s="47">
        <v>0</v>
      </c>
      <c r="AK890" s="47">
        <v>0</v>
      </c>
      <c r="AL890" s="47">
        <v>0</v>
      </c>
      <c r="AM890" s="47">
        <v>0</v>
      </c>
      <c r="AN890" s="47">
        <v>0</v>
      </c>
      <c r="AO890" s="47">
        <v>0</v>
      </c>
      <c r="AP890" s="47">
        <v>0</v>
      </c>
      <c r="AQ890" s="47">
        <v>0</v>
      </c>
      <c r="AR890" s="47">
        <v>0</v>
      </c>
      <c r="AS890" s="47"/>
      <c r="AT890" s="47"/>
      <c r="AU890" s="47"/>
      <c r="AV890" s="47"/>
      <c r="AW890" s="47"/>
      <c r="AX890" s="47"/>
      <c r="AY890" s="47"/>
      <c r="AZ890" s="47"/>
      <c r="BA890" s="47"/>
      <c r="BB890" s="47"/>
      <c r="BC890" s="47"/>
      <c r="BD890" s="47"/>
      <c r="BE890" s="47"/>
      <c r="BF890" s="47"/>
    </row>
    <row r="891" spans="1:58" hidden="1">
      <c r="A891" s="46" t="s">
        <v>295</v>
      </c>
      <c r="B891" s="46" t="s">
        <v>67</v>
      </c>
      <c r="C891" s="47">
        <v>0</v>
      </c>
      <c r="D891" s="47">
        <v>0</v>
      </c>
      <c r="E891" s="47">
        <v>0</v>
      </c>
      <c r="F891" s="47">
        <v>0</v>
      </c>
      <c r="G891" s="47">
        <v>0</v>
      </c>
      <c r="H891" s="47">
        <v>0</v>
      </c>
      <c r="I891" s="47">
        <v>0</v>
      </c>
      <c r="J891" s="47">
        <v>0</v>
      </c>
      <c r="K891" s="47">
        <v>0</v>
      </c>
      <c r="L891" s="47">
        <v>0</v>
      </c>
      <c r="M891" s="47">
        <v>0</v>
      </c>
      <c r="N891" s="47">
        <v>0</v>
      </c>
      <c r="O891" s="47">
        <v>0</v>
      </c>
      <c r="P891" s="47">
        <v>0</v>
      </c>
      <c r="Q891" s="85"/>
      <c r="R891" s="85"/>
      <c r="S891" s="85"/>
      <c r="T891" s="85"/>
      <c r="U891" s="85"/>
      <c r="V891" s="85"/>
      <c r="W891" s="85"/>
      <c r="X891" s="85"/>
      <c r="Y891" s="85"/>
      <c r="Z891" s="85"/>
      <c r="AA891" s="85"/>
      <c r="AB891" s="85"/>
      <c r="AC891" s="85"/>
      <c r="AD891" s="85"/>
      <c r="AE891" s="47">
        <v>0</v>
      </c>
      <c r="AF891" s="47">
        <v>0</v>
      </c>
      <c r="AG891" s="47">
        <v>0</v>
      </c>
      <c r="AH891" s="47">
        <v>0</v>
      </c>
      <c r="AI891" s="47">
        <v>0</v>
      </c>
      <c r="AJ891" s="47">
        <v>0</v>
      </c>
      <c r="AK891" s="47">
        <v>0</v>
      </c>
      <c r="AL891" s="47">
        <v>0</v>
      </c>
      <c r="AM891" s="47">
        <v>0</v>
      </c>
      <c r="AN891" s="47">
        <v>0</v>
      </c>
      <c r="AO891" s="47">
        <v>0</v>
      </c>
      <c r="AP891" s="47">
        <v>0</v>
      </c>
      <c r="AQ891" s="47">
        <v>0</v>
      </c>
      <c r="AR891" s="47">
        <v>0</v>
      </c>
      <c r="AS891" s="47"/>
      <c r="AT891" s="47"/>
      <c r="AU891" s="47"/>
      <c r="AV891" s="47"/>
      <c r="AW891" s="47"/>
      <c r="AX891" s="47"/>
      <c r="AY891" s="47"/>
      <c r="AZ891" s="47"/>
      <c r="BA891" s="47"/>
      <c r="BB891" s="47"/>
      <c r="BC891" s="47"/>
      <c r="BD891" s="47"/>
      <c r="BE891" s="47"/>
      <c r="BF891" s="47"/>
    </row>
    <row r="892" spans="1:58" hidden="1">
      <c r="A892" s="46" t="s">
        <v>295</v>
      </c>
      <c r="B892" s="46" t="s">
        <v>68</v>
      </c>
      <c r="C892" s="47">
        <v>0</v>
      </c>
      <c r="D892" s="47">
        <v>0</v>
      </c>
      <c r="E892" s="47">
        <v>0</v>
      </c>
      <c r="F892" s="47">
        <v>0</v>
      </c>
      <c r="G892" s="47">
        <v>0</v>
      </c>
      <c r="H892" s="47">
        <v>0</v>
      </c>
      <c r="I892" s="47">
        <v>0</v>
      </c>
      <c r="J892" s="47">
        <v>0</v>
      </c>
      <c r="K892" s="47">
        <v>0</v>
      </c>
      <c r="L892" s="47">
        <v>0</v>
      </c>
      <c r="M892" s="47">
        <v>0</v>
      </c>
      <c r="N892" s="47">
        <v>0</v>
      </c>
      <c r="O892" s="47">
        <v>0</v>
      </c>
      <c r="P892" s="47">
        <v>0</v>
      </c>
      <c r="Q892" s="85"/>
      <c r="R892" s="85"/>
      <c r="S892" s="85"/>
      <c r="T892" s="85"/>
      <c r="U892" s="85"/>
      <c r="V892" s="85"/>
      <c r="W892" s="85"/>
      <c r="X892" s="85"/>
      <c r="Y892" s="85"/>
      <c r="Z892" s="85"/>
      <c r="AA892" s="85"/>
      <c r="AB892" s="85"/>
      <c r="AC892" s="85"/>
      <c r="AD892" s="85"/>
      <c r="AE892" s="47">
        <v>0</v>
      </c>
      <c r="AF892" s="47">
        <v>0</v>
      </c>
      <c r="AG892" s="47">
        <v>0</v>
      </c>
      <c r="AH892" s="47">
        <v>0</v>
      </c>
      <c r="AI892" s="47">
        <v>0</v>
      </c>
      <c r="AJ892" s="47">
        <v>0</v>
      </c>
      <c r="AK892" s="47">
        <v>0</v>
      </c>
      <c r="AL892" s="47">
        <v>0</v>
      </c>
      <c r="AM892" s="47">
        <v>0</v>
      </c>
      <c r="AN892" s="47">
        <v>0</v>
      </c>
      <c r="AO892" s="47">
        <v>0</v>
      </c>
      <c r="AP892" s="47">
        <v>0</v>
      </c>
      <c r="AQ892" s="47">
        <v>0</v>
      </c>
      <c r="AR892" s="47">
        <v>0</v>
      </c>
      <c r="AS892" s="47"/>
      <c r="AT892" s="47"/>
      <c r="AU892" s="47"/>
      <c r="AV892" s="47"/>
      <c r="AW892" s="47"/>
      <c r="AX892" s="47"/>
      <c r="AY892" s="47"/>
      <c r="AZ892" s="47"/>
      <c r="BA892" s="47"/>
      <c r="BB892" s="47"/>
      <c r="BC892" s="47"/>
      <c r="BD892" s="47"/>
      <c r="BE892" s="47"/>
      <c r="BF892" s="47"/>
    </row>
    <row r="893" spans="1:58" hidden="1">
      <c r="A893" s="46" t="s">
        <v>295</v>
      </c>
      <c r="B893" s="46" t="s">
        <v>69</v>
      </c>
      <c r="C893" s="47">
        <v>0</v>
      </c>
      <c r="D893" s="47">
        <v>0</v>
      </c>
      <c r="E893" s="47">
        <v>0</v>
      </c>
      <c r="F893" s="47">
        <v>0</v>
      </c>
      <c r="G893" s="47">
        <v>0</v>
      </c>
      <c r="H893" s="47">
        <v>0</v>
      </c>
      <c r="I893" s="47">
        <v>0</v>
      </c>
      <c r="J893" s="47">
        <v>0</v>
      </c>
      <c r="K893" s="47">
        <v>0</v>
      </c>
      <c r="L893" s="47">
        <v>0</v>
      </c>
      <c r="M893" s="47">
        <v>0</v>
      </c>
      <c r="N893" s="47">
        <v>0</v>
      </c>
      <c r="O893" s="47">
        <v>0</v>
      </c>
      <c r="P893" s="47">
        <v>0</v>
      </c>
      <c r="Q893" s="85"/>
      <c r="R893" s="85"/>
      <c r="S893" s="85"/>
      <c r="T893" s="85"/>
      <c r="U893" s="85"/>
      <c r="V893" s="85"/>
      <c r="W893" s="85"/>
      <c r="X893" s="85"/>
      <c r="Y893" s="85"/>
      <c r="Z893" s="85"/>
      <c r="AA893" s="85"/>
      <c r="AB893" s="85"/>
      <c r="AC893" s="85"/>
      <c r="AD893" s="85"/>
      <c r="AE893" s="47">
        <v>0</v>
      </c>
      <c r="AF893" s="47">
        <v>0</v>
      </c>
      <c r="AG893" s="47">
        <v>0</v>
      </c>
      <c r="AH893" s="47">
        <v>0</v>
      </c>
      <c r="AI893" s="47">
        <v>0</v>
      </c>
      <c r="AJ893" s="47">
        <v>0</v>
      </c>
      <c r="AK893" s="47">
        <v>0</v>
      </c>
      <c r="AL893" s="47">
        <v>0</v>
      </c>
      <c r="AM893" s="47">
        <v>0</v>
      </c>
      <c r="AN893" s="47">
        <v>0</v>
      </c>
      <c r="AO893" s="47">
        <v>0</v>
      </c>
      <c r="AP893" s="47">
        <v>0</v>
      </c>
      <c r="AQ893" s="47">
        <v>0</v>
      </c>
      <c r="AR893" s="47">
        <v>0</v>
      </c>
      <c r="AS893" s="47"/>
      <c r="AT893" s="47"/>
      <c r="AU893" s="47"/>
      <c r="AV893" s="47"/>
      <c r="AW893" s="47"/>
      <c r="AX893" s="47"/>
      <c r="AY893" s="47"/>
      <c r="AZ893" s="47"/>
      <c r="BA893" s="47"/>
      <c r="BB893" s="47"/>
      <c r="BC893" s="47"/>
      <c r="BD893" s="47"/>
      <c r="BE893" s="47"/>
      <c r="BF893" s="47"/>
    </row>
    <row r="894" spans="1:58" hidden="1">
      <c r="A894" s="46" t="s">
        <v>295</v>
      </c>
      <c r="B894" s="46" t="s">
        <v>70</v>
      </c>
      <c r="C894" s="47">
        <v>0</v>
      </c>
      <c r="D894" s="47">
        <v>0</v>
      </c>
      <c r="E894" s="47">
        <v>0</v>
      </c>
      <c r="F894" s="47">
        <v>0</v>
      </c>
      <c r="G894" s="47">
        <v>0</v>
      </c>
      <c r="H894" s="47">
        <v>0</v>
      </c>
      <c r="I894" s="47">
        <v>0</v>
      </c>
      <c r="J894" s="47">
        <v>0</v>
      </c>
      <c r="K894" s="47">
        <v>0</v>
      </c>
      <c r="L894" s="47">
        <v>0</v>
      </c>
      <c r="M894" s="47">
        <v>0</v>
      </c>
      <c r="N894" s="47">
        <v>0</v>
      </c>
      <c r="O894" s="47">
        <v>0</v>
      </c>
      <c r="P894" s="47">
        <v>0</v>
      </c>
      <c r="Q894" s="85"/>
      <c r="R894" s="85"/>
      <c r="S894" s="85"/>
      <c r="T894" s="85"/>
      <c r="U894" s="85"/>
      <c r="V894" s="85"/>
      <c r="W894" s="85"/>
      <c r="X894" s="85"/>
      <c r="Y894" s="85"/>
      <c r="Z894" s="85"/>
      <c r="AA894" s="85"/>
      <c r="AB894" s="85"/>
      <c r="AC894" s="85"/>
      <c r="AD894" s="85"/>
      <c r="AE894" s="47">
        <v>0</v>
      </c>
      <c r="AF894" s="47">
        <v>0</v>
      </c>
      <c r="AG894" s="47">
        <v>0</v>
      </c>
      <c r="AH894" s="47">
        <v>0</v>
      </c>
      <c r="AI894" s="47">
        <v>0</v>
      </c>
      <c r="AJ894" s="47">
        <v>0</v>
      </c>
      <c r="AK894" s="47">
        <v>0</v>
      </c>
      <c r="AL894" s="47">
        <v>0</v>
      </c>
      <c r="AM894" s="47">
        <v>0</v>
      </c>
      <c r="AN894" s="47">
        <v>0</v>
      </c>
      <c r="AO894" s="47">
        <v>0</v>
      </c>
      <c r="AP894" s="47">
        <v>0</v>
      </c>
      <c r="AQ894" s="47">
        <v>0</v>
      </c>
      <c r="AR894" s="47">
        <v>0</v>
      </c>
      <c r="AS894" s="47"/>
      <c r="AT894" s="47"/>
      <c r="AU894" s="47"/>
      <c r="AV894" s="47"/>
      <c r="AW894" s="47"/>
      <c r="AX894" s="47"/>
      <c r="AY894" s="47"/>
      <c r="AZ894" s="47"/>
      <c r="BA894" s="47"/>
      <c r="BB894" s="47"/>
      <c r="BC894" s="47"/>
      <c r="BD894" s="47"/>
      <c r="BE894" s="47"/>
      <c r="BF894" s="47"/>
    </row>
    <row r="895" spans="1:58" hidden="1">
      <c r="A895" s="46" t="s">
        <v>295</v>
      </c>
      <c r="B895" s="46" t="s">
        <v>71</v>
      </c>
      <c r="C895" s="47">
        <v>0</v>
      </c>
      <c r="D895" s="47">
        <v>0</v>
      </c>
      <c r="E895" s="47">
        <v>0</v>
      </c>
      <c r="F895" s="47">
        <v>0</v>
      </c>
      <c r="G895" s="47">
        <v>0</v>
      </c>
      <c r="H895" s="47">
        <v>0</v>
      </c>
      <c r="I895" s="47">
        <v>0</v>
      </c>
      <c r="J895" s="47">
        <v>0</v>
      </c>
      <c r="K895" s="47">
        <v>0</v>
      </c>
      <c r="L895" s="47">
        <v>0</v>
      </c>
      <c r="M895" s="47">
        <v>0</v>
      </c>
      <c r="N895" s="47">
        <v>2</v>
      </c>
      <c r="O895" s="47">
        <v>2</v>
      </c>
      <c r="P895" s="47">
        <v>2</v>
      </c>
      <c r="Q895" s="85"/>
      <c r="R895" s="85"/>
      <c r="S895" s="85"/>
      <c r="T895" s="85"/>
      <c r="U895" s="85"/>
      <c r="V895" s="85"/>
      <c r="W895" s="85"/>
      <c r="X895" s="85"/>
      <c r="Y895" s="85"/>
      <c r="Z895" s="85"/>
      <c r="AA895" s="85"/>
      <c r="AB895" s="85"/>
      <c r="AC895" s="85"/>
      <c r="AD895" s="85"/>
      <c r="AE895" s="47">
        <v>0</v>
      </c>
      <c r="AF895" s="47">
        <v>0</v>
      </c>
      <c r="AG895" s="47">
        <v>0</v>
      </c>
      <c r="AH895" s="47">
        <v>0</v>
      </c>
      <c r="AI895" s="47">
        <v>0</v>
      </c>
      <c r="AJ895" s="47">
        <v>0</v>
      </c>
      <c r="AK895" s="47">
        <v>0</v>
      </c>
      <c r="AL895" s="47">
        <v>0</v>
      </c>
      <c r="AM895" s="47">
        <v>0</v>
      </c>
      <c r="AN895" s="47">
        <v>0</v>
      </c>
      <c r="AO895" s="47">
        <v>0</v>
      </c>
      <c r="AP895" s="47">
        <v>156</v>
      </c>
      <c r="AQ895" s="47">
        <v>156</v>
      </c>
      <c r="AR895" s="47">
        <v>156</v>
      </c>
      <c r="AS895" s="47"/>
      <c r="AT895" s="47"/>
      <c r="AU895" s="47"/>
      <c r="AV895" s="47"/>
      <c r="AW895" s="47"/>
      <c r="AX895" s="47"/>
      <c r="AY895" s="47"/>
      <c r="AZ895" s="47"/>
      <c r="BA895" s="47"/>
      <c r="BB895" s="47"/>
      <c r="BC895" s="47"/>
      <c r="BD895" s="47"/>
      <c r="BE895" s="47"/>
      <c r="BF895" s="47"/>
    </row>
    <row r="896" spans="1:58" hidden="1">
      <c r="A896" s="46" t="s">
        <v>295</v>
      </c>
      <c r="B896" s="46" t="s">
        <v>72</v>
      </c>
      <c r="C896" s="47">
        <v>0</v>
      </c>
      <c r="D896" s="47">
        <v>0</v>
      </c>
      <c r="E896" s="47">
        <v>0</v>
      </c>
      <c r="F896" s="47">
        <v>0</v>
      </c>
      <c r="G896" s="47">
        <v>0</v>
      </c>
      <c r="H896" s="47">
        <v>0</v>
      </c>
      <c r="I896" s="47">
        <v>0</v>
      </c>
      <c r="J896" s="47">
        <v>0</v>
      </c>
      <c r="K896" s="47">
        <v>0</v>
      </c>
      <c r="L896" s="47">
        <v>0</v>
      </c>
      <c r="M896" s="47">
        <v>0</v>
      </c>
      <c r="N896" s="47">
        <v>2</v>
      </c>
      <c r="O896" s="47">
        <v>2</v>
      </c>
      <c r="P896" s="47">
        <v>2</v>
      </c>
      <c r="Q896" s="85"/>
      <c r="R896" s="85"/>
      <c r="S896" s="85"/>
      <c r="T896" s="85"/>
      <c r="U896" s="85"/>
      <c r="V896" s="85"/>
      <c r="W896" s="85"/>
      <c r="X896" s="85"/>
      <c r="Y896" s="85"/>
      <c r="Z896" s="85"/>
      <c r="AA896" s="85"/>
      <c r="AB896" s="85">
        <v>78</v>
      </c>
      <c r="AC896" s="85">
        <v>78</v>
      </c>
      <c r="AD896" s="85">
        <v>78</v>
      </c>
      <c r="AE896" s="47">
        <v>0</v>
      </c>
      <c r="AF896" s="47">
        <v>0</v>
      </c>
      <c r="AG896" s="47">
        <v>0</v>
      </c>
      <c r="AH896" s="47">
        <v>0</v>
      </c>
      <c r="AI896" s="47">
        <v>0</v>
      </c>
      <c r="AJ896" s="47">
        <v>0</v>
      </c>
      <c r="AK896" s="47">
        <v>0</v>
      </c>
      <c r="AL896" s="47">
        <v>0</v>
      </c>
      <c r="AM896" s="47">
        <v>0</v>
      </c>
      <c r="AN896" s="47">
        <v>0</v>
      </c>
      <c r="AO896" s="47">
        <v>0</v>
      </c>
      <c r="AP896" s="47">
        <v>156</v>
      </c>
      <c r="AQ896" s="47">
        <v>156</v>
      </c>
      <c r="AR896" s="47">
        <v>156</v>
      </c>
      <c r="AS896" s="47"/>
      <c r="AT896" s="47"/>
      <c r="AU896" s="47"/>
      <c r="AV896" s="47"/>
      <c r="AW896" s="47"/>
      <c r="AX896" s="47"/>
      <c r="AY896" s="47"/>
      <c r="AZ896" s="47"/>
      <c r="BA896" s="47"/>
      <c r="BB896" s="47"/>
      <c r="BC896" s="47"/>
      <c r="BD896" s="47"/>
      <c r="BE896" s="47"/>
      <c r="BF896" s="47"/>
    </row>
    <row r="897" spans="1:58" hidden="1">
      <c r="A897" s="46" t="s">
        <v>295</v>
      </c>
      <c r="B897" s="46" t="s">
        <v>73</v>
      </c>
      <c r="C897" s="47">
        <v>0</v>
      </c>
      <c r="D897" s="47">
        <v>0</v>
      </c>
      <c r="E897" s="47">
        <v>0</v>
      </c>
      <c r="F897" s="47">
        <v>0</v>
      </c>
      <c r="G897" s="47">
        <v>0</v>
      </c>
      <c r="H897" s="47">
        <v>0</v>
      </c>
      <c r="I897" s="47">
        <v>790</v>
      </c>
      <c r="J897" s="47">
        <v>790</v>
      </c>
      <c r="K897" s="47">
        <v>790</v>
      </c>
      <c r="L897" s="47">
        <v>790</v>
      </c>
      <c r="M897" s="47">
        <v>790</v>
      </c>
      <c r="N897" s="47">
        <v>41</v>
      </c>
      <c r="O897" s="47">
        <v>3</v>
      </c>
      <c r="P897" s="47">
        <v>4</v>
      </c>
      <c r="Q897" s="85"/>
      <c r="R897" s="85"/>
      <c r="S897" s="85"/>
      <c r="T897" s="85"/>
      <c r="U897" s="85"/>
      <c r="V897" s="85"/>
      <c r="W897" s="85">
        <v>36</v>
      </c>
      <c r="X897" s="85">
        <v>36</v>
      </c>
      <c r="Y897" s="85">
        <v>36</v>
      </c>
      <c r="Z897" s="85">
        <v>36</v>
      </c>
      <c r="AA897" s="85">
        <v>36</v>
      </c>
      <c r="AB897" s="85">
        <v>36</v>
      </c>
      <c r="AC897" s="85">
        <v>36</v>
      </c>
      <c r="AD897" s="85">
        <v>27</v>
      </c>
      <c r="AE897" s="47">
        <v>0</v>
      </c>
      <c r="AF897" s="47">
        <v>0</v>
      </c>
      <c r="AG897" s="47">
        <v>0</v>
      </c>
      <c r="AH897" s="47">
        <v>0</v>
      </c>
      <c r="AI897" s="47">
        <v>0</v>
      </c>
      <c r="AJ897" s="47">
        <v>0</v>
      </c>
      <c r="AK897" s="47">
        <v>28440</v>
      </c>
      <c r="AL897" s="47">
        <v>28440</v>
      </c>
      <c r="AM897" s="47">
        <v>28440</v>
      </c>
      <c r="AN897" s="47">
        <v>28440</v>
      </c>
      <c r="AO897" s="47">
        <v>28440</v>
      </c>
      <c r="AP897" s="47">
        <v>1476</v>
      </c>
      <c r="AQ897" s="47">
        <v>108</v>
      </c>
      <c r="AR897" s="47">
        <v>108</v>
      </c>
      <c r="AS897" s="47"/>
      <c r="AT897" s="47"/>
      <c r="AU897" s="47"/>
      <c r="AV897" s="47"/>
      <c r="AW897" s="47"/>
      <c r="AX897" s="47"/>
      <c r="AY897" s="47"/>
      <c r="AZ897" s="47"/>
      <c r="BA897" s="47"/>
      <c r="BB897" s="47"/>
      <c r="BC897" s="47"/>
      <c r="BD897" s="47"/>
      <c r="BE897" s="47"/>
      <c r="BF897" s="47"/>
    </row>
    <row r="898" spans="1:58" hidden="1">
      <c r="A898" s="46" t="s">
        <v>295</v>
      </c>
      <c r="B898" s="46" t="s">
        <v>74</v>
      </c>
      <c r="C898" s="47">
        <v>0</v>
      </c>
      <c r="D898" s="47">
        <v>0</v>
      </c>
      <c r="E898" s="47">
        <v>0</v>
      </c>
      <c r="F898" s="47">
        <v>0</v>
      </c>
      <c r="G898" s="47">
        <v>0</v>
      </c>
      <c r="H898" s="47">
        <v>0</v>
      </c>
      <c r="I898" s="47">
        <v>0</v>
      </c>
      <c r="J898" s="47">
        <v>0</v>
      </c>
      <c r="K898" s="47">
        <v>0</v>
      </c>
      <c r="L898" s="47">
        <v>0</v>
      </c>
      <c r="M898" s="47">
        <v>0</v>
      </c>
      <c r="N898" s="47">
        <v>0</v>
      </c>
      <c r="O898" s="47">
        <v>0</v>
      </c>
      <c r="P898" s="47">
        <v>0</v>
      </c>
      <c r="Q898" s="85"/>
      <c r="R898" s="85"/>
      <c r="S898" s="85"/>
      <c r="T898" s="85"/>
      <c r="U898" s="85"/>
      <c r="V898" s="85"/>
      <c r="W898" s="85"/>
      <c r="X898" s="85"/>
      <c r="Y898" s="85"/>
      <c r="Z898" s="85"/>
      <c r="AA898" s="85"/>
      <c r="AB898" s="85"/>
      <c r="AC898" s="85"/>
      <c r="AD898" s="85"/>
      <c r="AE898" s="47">
        <v>0</v>
      </c>
      <c r="AF898" s="47">
        <v>0</v>
      </c>
      <c r="AG898" s="47">
        <v>0</v>
      </c>
      <c r="AH898" s="47">
        <v>0</v>
      </c>
      <c r="AI898" s="47">
        <v>0</v>
      </c>
      <c r="AJ898" s="47">
        <v>0</v>
      </c>
      <c r="AK898" s="47">
        <v>0</v>
      </c>
      <c r="AL898" s="47">
        <v>0</v>
      </c>
      <c r="AM898" s="47">
        <v>0</v>
      </c>
      <c r="AN898" s="47">
        <v>0</v>
      </c>
      <c r="AO898" s="47">
        <v>0</v>
      </c>
      <c r="AP898" s="47">
        <v>0</v>
      </c>
      <c r="AQ898" s="47">
        <v>0</v>
      </c>
      <c r="AR898" s="47">
        <v>0</v>
      </c>
      <c r="AS898" s="47"/>
      <c r="AT898" s="47"/>
      <c r="AU898" s="47"/>
      <c r="AV898" s="47"/>
      <c r="AW898" s="47"/>
      <c r="AX898" s="47"/>
      <c r="AY898" s="47"/>
      <c r="AZ898" s="47"/>
      <c r="BA898" s="47"/>
      <c r="BB898" s="47"/>
      <c r="BC898" s="47"/>
      <c r="BD898" s="47"/>
      <c r="BE898" s="47"/>
      <c r="BF898" s="47"/>
    </row>
    <row r="899" spans="1:58" hidden="1">
      <c r="A899" s="46" t="s">
        <v>295</v>
      </c>
      <c r="B899" s="46" t="s">
        <v>75</v>
      </c>
      <c r="C899" s="47">
        <v>0</v>
      </c>
      <c r="D899" s="47">
        <v>0</v>
      </c>
      <c r="E899" s="47">
        <v>0</v>
      </c>
      <c r="F899" s="47">
        <v>0</v>
      </c>
      <c r="G899" s="47">
        <v>0</v>
      </c>
      <c r="H899" s="47">
        <v>0</v>
      </c>
      <c r="I899" s="47">
        <v>0</v>
      </c>
      <c r="J899" s="47">
        <v>0</v>
      </c>
      <c r="K899" s="47">
        <v>0</v>
      </c>
      <c r="L899" s="47">
        <v>0</v>
      </c>
      <c r="M899" s="47">
        <v>0</v>
      </c>
      <c r="N899" s="47">
        <v>0</v>
      </c>
      <c r="O899" s="47">
        <v>0</v>
      </c>
      <c r="P899" s="47">
        <v>0</v>
      </c>
      <c r="Q899" s="85"/>
      <c r="R899" s="85"/>
      <c r="S899" s="85"/>
      <c r="T899" s="85"/>
      <c r="U899" s="85"/>
      <c r="V899" s="85"/>
      <c r="W899" s="85"/>
      <c r="X899" s="85"/>
      <c r="Y899" s="85"/>
      <c r="Z899" s="85"/>
      <c r="AA899" s="85"/>
      <c r="AB899" s="85"/>
      <c r="AC899" s="85"/>
      <c r="AD899" s="85"/>
      <c r="AE899" s="47">
        <v>0</v>
      </c>
      <c r="AF899" s="47">
        <v>0</v>
      </c>
      <c r="AG899" s="47">
        <v>0</v>
      </c>
      <c r="AH899" s="47">
        <v>0</v>
      </c>
      <c r="AI899" s="47">
        <v>0</v>
      </c>
      <c r="AJ899" s="47">
        <v>0</v>
      </c>
      <c r="AK899" s="47">
        <v>0</v>
      </c>
      <c r="AL899" s="47">
        <v>0</v>
      </c>
      <c r="AM899" s="47">
        <v>0</v>
      </c>
      <c r="AN899" s="47">
        <v>0</v>
      </c>
      <c r="AO899" s="47">
        <v>0</v>
      </c>
      <c r="AP899" s="47">
        <v>0</v>
      </c>
      <c r="AQ899" s="47">
        <v>0</v>
      </c>
      <c r="AR899" s="47">
        <v>0</v>
      </c>
      <c r="AS899" s="47"/>
      <c r="AT899" s="47"/>
      <c r="AU899" s="47"/>
      <c r="AV899" s="47"/>
      <c r="AW899" s="47"/>
      <c r="AX899" s="47"/>
      <c r="AY899" s="47"/>
      <c r="AZ899" s="47"/>
      <c r="BA899" s="47"/>
      <c r="BB899" s="47"/>
      <c r="BC899" s="47"/>
      <c r="BD899" s="47"/>
      <c r="BE899" s="47"/>
      <c r="BF899" s="47"/>
    </row>
    <row r="900" spans="1:58" hidden="1">
      <c r="A900" s="46" t="s">
        <v>295</v>
      </c>
      <c r="B900" s="46" t="s">
        <v>76</v>
      </c>
      <c r="C900" s="47">
        <v>0</v>
      </c>
      <c r="D900" s="47">
        <v>0</v>
      </c>
      <c r="E900" s="47">
        <v>0</v>
      </c>
      <c r="F900" s="47">
        <v>0</v>
      </c>
      <c r="G900" s="47">
        <v>0</v>
      </c>
      <c r="H900" s="47">
        <v>0</v>
      </c>
      <c r="I900" s="47">
        <v>0</v>
      </c>
      <c r="J900" s="47">
        <v>0</v>
      </c>
      <c r="K900" s="47">
        <v>0</v>
      </c>
      <c r="L900" s="47">
        <v>0</v>
      </c>
      <c r="M900" s="47">
        <v>0</v>
      </c>
      <c r="N900" s="47">
        <v>0</v>
      </c>
      <c r="O900" s="47">
        <v>0</v>
      </c>
      <c r="P900" s="47">
        <v>0</v>
      </c>
      <c r="Q900" s="85"/>
      <c r="R900" s="85"/>
      <c r="S900" s="85"/>
      <c r="T900" s="85"/>
      <c r="U900" s="85"/>
      <c r="V900" s="85"/>
      <c r="W900" s="85"/>
      <c r="X900" s="85"/>
      <c r="Y900" s="85"/>
      <c r="Z900" s="85"/>
      <c r="AA900" s="85"/>
      <c r="AB900" s="85"/>
      <c r="AC900" s="85"/>
      <c r="AD900" s="85"/>
      <c r="AE900" s="47">
        <v>0</v>
      </c>
      <c r="AF900" s="47">
        <v>0</v>
      </c>
      <c r="AG900" s="47">
        <v>0</v>
      </c>
      <c r="AH900" s="47">
        <v>0</v>
      </c>
      <c r="AI900" s="47">
        <v>0</v>
      </c>
      <c r="AJ900" s="47">
        <v>0</v>
      </c>
      <c r="AK900" s="47">
        <v>0</v>
      </c>
      <c r="AL900" s="47">
        <v>0</v>
      </c>
      <c r="AM900" s="47">
        <v>0</v>
      </c>
      <c r="AN900" s="47">
        <v>0</v>
      </c>
      <c r="AO900" s="47">
        <v>0</v>
      </c>
      <c r="AP900" s="47">
        <v>0</v>
      </c>
      <c r="AQ900" s="47">
        <v>0</v>
      </c>
      <c r="AR900" s="47">
        <v>0</v>
      </c>
      <c r="AS900" s="47"/>
      <c r="AT900" s="47"/>
      <c r="AU900" s="47"/>
      <c r="AV900" s="47"/>
      <c r="AW900" s="47"/>
      <c r="AX900" s="47"/>
      <c r="AY900" s="47"/>
      <c r="AZ900" s="47"/>
      <c r="BA900" s="47"/>
      <c r="BB900" s="47"/>
      <c r="BC900" s="47"/>
      <c r="BD900" s="47"/>
      <c r="BE900" s="47"/>
      <c r="BF900" s="47"/>
    </row>
    <row r="901" spans="1:58" hidden="1">
      <c r="A901" s="46" t="s">
        <v>295</v>
      </c>
      <c r="B901" s="46" t="s">
        <v>77</v>
      </c>
      <c r="C901" s="47">
        <v>0</v>
      </c>
      <c r="D901" s="47">
        <v>0</v>
      </c>
      <c r="E901" s="47">
        <v>0</v>
      </c>
      <c r="F901" s="47">
        <v>0</v>
      </c>
      <c r="G901" s="47">
        <v>0</v>
      </c>
      <c r="H901" s="47">
        <v>0</v>
      </c>
      <c r="I901" s="47">
        <v>0</v>
      </c>
      <c r="J901" s="47">
        <v>0</v>
      </c>
      <c r="K901" s="47">
        <v>0</v>
      </c>
      <c r="L901" s="47">
        <v>0</v>
      </c>
      <c r="M901" s="47">
        <v>0</v>
      </c>
      <c r="N901" s="47">
        <v>0</v>
      </c>
      <c r="O901" s="47">
        <v>0</v>
      </c>
      <c r="P901" s="47">
        <v>0</v>
      </c>
      <c r="Q901" s="85"/>
      <c r="R901" s="85"/>
      <c r="S901" s="85"/>
      <c r="T901" s="85"/>
      <c r="U901" s="85"/>
      <c r="V901" s="85"/>
      <c r="W901" s="85"/>
      <c r="X901" s="85"/>
      <c r="Y901" s="85"/>
      <c r="Z901" s="85"/>
      <c r="AA901" s="85"/>
      <c r="AB901" s="85"/>
      <c r="AC901" s="85"/>
      <c r="AD901" s="85"/>
      <c r="AE901" s="47">
        <v>0</v>
      </c>
      <c r="AF901" s="47">
        <v>0</v>
      </c>
      <c r="AG901" s="47">
        <v>0</v>
      </c>
      <c r="AH901" s="47">
        <v>0</v>
      </c>
      <c r="AI901" s="47">
        <v>0</v>
      </c>
      <c r="AJ901" s="47">
        <v>0</v>
      </c>
      <c r="AK901" s="47">
        <v>0</v>
      </c>
      <c r="AL901" s="47">
        <v>0</v>
      </c>
      <c r="AM901" s="47">
        <v>0</v>
      </c>
      <c r="AN901" s="47">
        <v>0</v>
      </c>
      <c r="AO901" s="47">
        <v>0</v>
      </c>
      <c r="AP901" s="47">
        <v>0</v>
      </c>
      <c r="AQ901" s="47">
        <v>0</v>
      </c>
      <c r="AR901" s="47">
        <v>0</v>
      </c>
      <c r="AS901" s="47"/>
      <c r="AT901" s="47"/>
      <c r="AU901" s="47"/>
      <c r="AV901" s="47"/>
      <c r="AW901" s="47"/>
      <c r="AX901" s="47"/>
      <c r="AY901" s="47"/>
      <c r="AZ901" s="47"/>
      <c r="BA901" s="47"/>
      <c r="BB901" s="47"/>
      <c r="BC901" s="47"/>
      <c r="BD901" s="47"/>
      <c r="BE901" s="47"/>
      <c r="BF901" s="47"/>
    </row>
    <row r="902" spans="1:58" hidden="1">
      <c r="A902" s="46" t="s">
        <v>295</v>
      </c>
      <c r="B902" s="46" t="s">
        <v>78</v>
      </c>
      <c r="C902" s="47">
        <v>0</v>
      </c>
      <c r="D902" s="47">
        <v>0</v>
      </c>
      <c r="E902" s="47">
        <v>0</v>
      </c>
      <c r="F902" s="47">
        <v>0</v>
      </c>
      <c r="G902" s="47">
        <v>0</v>
      </c>
      <c r="H902" s="47">
        <v>0</v>
      </c>
      <c r="I902" s="47">
        <v>0</v>
      </c>
      <c r="J902" s="47">
        <v>0</v>
      </c>
      <c r="K902" s="47">
        <v>0</v>
      </c>
      <c r="L902" s="47">
        <v>0</v>
      </c>
      <c r="M902" s="47">
        <v>0</v>
      </c>
      <c r="N902" s="47">
        <v>0</v>
      </c>
      <c r="O902" s="47">
        <v>0</v>
      </c>
      <c r="P902" s="47">
        <v>0</v>
      </c>
      <c r="Q902" s="85"/>
      <c r="R902" s="85"/>
      <c r="S902" s="85"/>
      <c r="T902" s="85"/>
      <c r="U902" s="85"/>
      <c r="V902" s="85"/>
      <c r="W902" s="85"/>
      <c r="X902" s="85"/>
      <c r="Y902" s="85"/>
      <c r="Z902" s="85"/>
      <c r="AA902" s="85"/>
      <c r="AB902" s="85"/>
      <c r="AC902" s="85"/>
      <c r="AD902" s="85"/>
      <c r="AE902" s="47">
        <v>0</v>
      </c>
      <c r="AF902" s="47">
        <v>0</v>
      </c>
      <c r="AG902" s="47">
        <v>0</v>
      </c>
      <c r="AH902" s="47">
        <v>0</v>
      </c>
      <c r="AI902" s="47">
        <v>0</v>
      </c>
      <c r="AJ902" s="47">
        <v>0</v>
      </c>
      <c r="AK902" s="47">
        <v>0</v>
      </c>
      <c r="AL902" s="47">
        <v>0</v>
      </c>
      <c r="AM902" s="47">
        <v>0</v>
      </c>
      <c r="AN902" s="47">
        <v>0</v>
      </c>
      <c r="AO902" s="47">
        <v>0</v>
      </c>
      <c r="AP902" s="47">
        <v>0</v>
      </c>
      <c r="AQ902" s="47">
        <v>0</v>
      </c>
      <c r="AR902" s="47">
        <v>0</v>
      </c>
      <c r="AS902" s="47"/>
      <c r="AT902" s="47"/>
      <c r="AU902" s="47"/>
      <c r="AV902" s="47"/>
      <c r="AW902" s="47"/>
      <c r="AX902" s="47"/>
      <c r="AY902" s="47"/>
      <c r="AZ902" s="47"/>
      <c r="BA902" s="47"/>
      <c r="BB902" s="47"/>
      <c r="BC902" s="47"/>
      <c r="BD902" s="47"/>
      <c r="BE902" s="47"/>
      <c r="BF902" s="47"/>
    </row>
    <row r="903" spans="1:58" hidden="1">
      <c r="A903" s="46" t="s">
        <v>295</v>
      </c>
      <c r="B903" s="46" t="s">
        <v>79</v>
      </c>
      <c r="C903" s="47">
        <v>0</v>
      </c>
      <c r="D903" s="47">
        <v>0</v>
      </c>
      <c r="E903" s="47">
        <v>0</v>
      </c>
      <c r="F903" s="47">
        <v>0</v>
      </c>
      <c r="G903" s="47">
        <v>0</v>
      </c>
      <c r="H903" s="47">
        <v>0</v>
      </c>
      <c r="I903" s="47">
        <v>0</v>
      </c>
      <c r="J903" s="47">
        <v>0</v>
      </c>
      <c r="K903" s="47">
        <v>0</v>
      </c>
      <c r="L903" s="47">
        <v>0</v>
      </c>
      <c r="M903" s="47">
        <v>0</v>
      </c>
      <c r="N903" s="47">
        <v>0</v>
      </c>
      <c r="O903" s="47">
        <v>0</v>
      </c>
      <c r="P903" s="47">
        <v>0</v>
      </c>
      <c r="Q903" s="85"/>
      <c r="R903" s="85"/>
      <c r="S903" s="85"/>
      <c r="T903" s="85"/>
      <c r="U903" s="85"/>
      <c r="V903" s="85"/>
      <c r="W903" s="85"/>
      <c r="X903" s="85"/>
      <c r="Y903" s="85"/>
      <c r="Z903" s="85"/>
      <c r="AA903" s="85"/>
      <c r="AB903" s="85"/>
      <c r="AC903" s="85"/>
      <c r="AD903" s="85"/>
      <c r="AE903" s="47">
        <v>0</v>
      </c>
      <c r="AF903" s="47">
        <v>0</v>
      </c>
      <c r="AG903" s="47">
        <v>0</v>
      </c>
      <c r="AH903" s="47">
        <v>0</v>
      </c>
      <c r="AI903" s="47">
        <v>0</v>
      </c>
      <c r="AJ903" s="47">
        <v>0</v>
      </c>
      <c r="AK903" s="47">
        <v>0</v>
      </c>
      <c r="AL903" s="47">
        <v>0</v>
      </c>
      <c r="AM903" s="47">
        <v>0</v>
      </c>
      <c r="AN903" s="47">
        <v>0</v>
      </c>
      <c r="AO903" s="47">
        <v>0</v>
      </c>
      <c r="AP903" s="47">
        <v>0</v>
      </c>
      <c r="AQ903" s="47">
        <v>0</v>
      </c>
      <c r="AR903" s="47">
        <v>0</v>
      </c>
      <c r="AS903" s="47"/>
      <c r="AT903" s="47"/>
      <c r="AU903" s="47"/>
      <c r="AV903" s="47"/>
      <c r="AW903" s="47"/>
      <c r="AX903" s="47"/>
      <c r="AY903" s="47"/>
      <c r="AZ903" s="47"/>
      <c r="BA903" s="47"/>
      <c r="BB903" s="47"/>
      <c r="BC903" s="47"/>
      <c r="BD903" s="47"/>
      <c r="BE903" s="47"/>
      <c r="BF903" s="47"/>
    </row>
    <row r="904" spans="1:58" hidden="1">
      <c r="A904" s="46" t="s">
        <v>295</v>
      </c>
      <c r="B904" s="46" t="s">
        <v>80</v>
      </c>
      <c r="C904" s="47">
        <v>0</v>
      </c>
      <c r="D904" s="47">
        <v>0</v>
      </c>
      <c r="E904" s="47">
        <v>0</v>
      </c>
      <c r="F904" s="47">
        <v>0</v>
      </c>
      <c r="G904" s="47">
        <v>0</v>
      </c>
      <c r="H904" s="47">
        <v>0</v>
      </c>
      <c r="I904" s="47">
        <v>0</v>
      </c>
      <c r="J904" s="47">
        <v>0</v>
      </c>
      <c r="K904" s="47">
        <v>0</v>
      </c>
      <c r="L904" s="47">
        <v>0</v>
      </c>
      <c r="M904" s="47">
        <v>0</v>
      </c>
      <c r="N904" s="47">
        <v>0</v>
      </c>
      <c r="O904" s="47">
        <v>0</v>
      </c>
      <c r="P904" s="47">
        <v>0</v>
      </c>
      <c r="Q904" s="85"/>
      <c r="R904" s="85"/>
      <c r="S904" s="85"/>
      <c r="T904" s="85"/>
      <c r="U904" s="85"/>
      <c r="V904" s="85"/>
      <c r="W904" s="85"/>
      <c r="X904" s="85"/>
      <c r="Y904" s="85"/>
      <c r="Z904" s="85"/>
      <c r="AA904" s="85"/>
      <c r="AB904" s="85"/>
      <c r="AC904" s="85"/>
      <c r="AD904" s="85"/>
      <c r="AE904" s="47">
        <v>0</v>
      </c>
      <c r="AF904" s="47">
        <v>0</v>
      </c>
      <c r="AG904" s="47">
        <v>0</v>
      </c>
      <c r="AH904" s="47">
        <v>0</v>
      </c>
      <c r="AI904" s="47">
        <v>0</v>
      </c>
      <c r="AJ904" s="47">
        <v>0</v>
      </c>
      <c r="AK904" s="47">
        <v>0</v>
      </c>
      <c r="AL904" s="47">
        <v>0</v>
      </c>
      <c r="AM904" s="47">
        <v>0</v>
      </c>
      <c r="AN904" s="47">
        <v>0</v>
      </c>
      <c r="AO904" s="47">
        <v>0</v>
      </c>
      <c r="AP904" s="47">
        <v>0</v>
      </c>
      <c r="AQ904" s="47">
        <v>0</v>
      </c>
      <c r="AR904" s="47">
        <v>0</v>
      </c>
      <c r="AS904" s="47"/>
      <c r="AT904" s="47"/>
      <c r="AU904" s="47"/>
      <c r="AV904" s="47"/>
      <c r="AW904" s="47"/>
      <c r="AX904" s="47"/>
      <c r="AY904" s="47"/>
      <c r="AZ904" s="47"/>
      <c r="BA904" s="47"/>
      <c r="BB904" s="47"/>
      <c r="BC904" s="47"/>
      <c r="BD904" s="47"/>
      <c r="BE904" s="47"/>
      <c r="BF904" s="47"/>
    </row>
    <row r="905" spans="1:58" hidden="1">
      <c r="A905" s="46" t="s">
        <v>295</v>
      </c>
      <c r="B905" s="46" t="s">
        <v>81</v>
      </c>
      <c r="C905" s="47">
        <v>0</v>
      </c>
      <c r="D905" s="47">
        <v>0</v>
      </c>
      <c r="E905" s="47">
        <v>0</v>
      </c>
      <c r="F905" s="47">
        <v>0</v>
      </c>
      <c r="G905" s="47">
        <v>0</v>
      </c>
      <c r="H905" s="47">
        <v>0</v>
      </c>
      <c r="I905" s="47">
        <v>0</v>
      </c>
      <c r="J905" s="47">
        <v>0</v>
      </c>
      <c r="K905" s="47">
        <v>0</v>
      </c>
      <c r="L905" s="47">
        <v>0</v>
      </c>
      <c r="M905" s="47">
        <v>0</v>
      </c>
      <c r="N905" s="47">
        <v>0</v>
      </c>
      <c r="O905" s="47">
        <v>3</v>
      </c>
      <c r="P905" s="47">
        <v>3</v>
      </c>
      <c r="Q905" s="85"/>
      <c r="R905" s="85"/>
      <c r="S905" s="85"/>
      <c r="T905" s="85"/>
      <c r="U905" s="85"/>
      <c r="V905" s="85"/>
      <c r="W905" s="85"/>
      <c r="X905" s="85"/>
      <c r="Y905" s="85"/>
      <c r="Z905" s="85"/>
      <c r="AA905" s="85"/>
      <c r="AB905" s="85"/>
      <c r="AC905" s="85"/>
      <c r="AD905" s="85"/>
      <c r="AE905" s="47">
        <v>0</v>
      </c>
      <c r="AF905" s="47">
        <v>0</v>
      </c>
      <c r="AG905" s="47">
        <v>0</v>
      </c>
      <c r="AH905" s="47">
        <v>0</v>
      </c>
      <c r="AI905" s="47">
        <v>0</v>
      </c>
      <c r="AJ905" s="47">
        <v>0</v>
      </c>
      <c r="AK905" s="47">
        <v>0</v>
      </c>
      <c r="AL905" s="47">
        <v>0</v>
      </c>
      <c r="AM905" s="47">
        <v>0</v>
      </c>
      <c r="AN905" s="47">
        <v>0</v>
      </c>
      <c r="AO905" s="47">
        <v>0</v>
      </c>
      <c r="AP905" s="47">
        <v>0</v>
      </c>
      <c r="AQ905" s="47">
        <v>108</v>
      </c>
      <c r="AR905" s="47">
        <v>108</v>
      </c>
      <c r="AS905" s="47"/>
      <c r="AT905" s="47"/>
      <c r="AU905" s="47"/>
      <c r="AV905" s="47"/>
      <c r="AW905" s="47"/>
      <c r="AX905" s="47"/>
      <c r="AY905" s="47"/>
      <c r="AZ905" s="47"/>
      <c r="BA905" s="47"/>
      <c r="BB905" s="47"/>
      <c r="BC905" s="47"/>
      <c r="BD905" s="47"/>
      <c r="BE905" s="47"/>
      <c r="BF905" s="47"/>
    </row>
    <row r="906" spans="1:58" hidden="1">
      <c r="A906" s="46" t="s">
        <v>295</v>
      </c>
      <c r="B906" s="46" t="s">
        <v>82</v>
      </c>
      <c r="C906" s="47">
        <v>0</v>
      </c>
      <c r="D906" s="47">
        <v>0</v>
      </c>
      <c r="E906" s="47">
        <v>0</v>
      </c>
      <c r="F906" s="47">
        <v>0</v>
      </c>
      <c r="G906" s="47">
        <v>0</v>
      </c>
      <c r="H906" s="47">
        <v>0</v>
      </c>
      <c r="I906" s="47">
        <v>790</v>
      </c>
      <c r="J906" s="47">
        <v>790</v>
      </c>
      <c r="K906" s="47">
        <v>790</v>
      </c>
      <c r="L906" s="47">
        <v>790</v>
      </c>
      <c r="M906" s="47">
        <v>790</v>
      </c>
      <c r="N906" s="47">
        <v>41</v>
      </c>
      <c r="O906" s="47">
        <v>6</v>
      </c>
      <c r="P906" s="47">
        <v>7</v>
      </c>
      <c r="Q906" s="85"/>
      <c r="R906" s="85"/>
      <c r="S906" s="85"/>
      <c r="T906" s="85"/>
      <c r="U906" s="85"/>
      <c r="V906" s="85"/>
      <c r="W906" s="85">
        <v>36</v>
      </c>
      <c r="X906" s="85">
        <v>36</v>
      </c>
      <c r="Y906" s="85">
        <v>36</v>
      </c>
      <c r="Z906" s="85">
        <v>36</v>
      </c>
      <c r="AA906" s="85">
        <v>36</v>
      </c>
      <c r="AB906" s="85">
        <v>36</v>
      </c>
      <c r="AC906" s="85">
        <v>36</v>
      </c>
      <c r="AD906" s="85">
        <v>30.86</v>
      </c>
      <c r="AE906" s="47">
        <v>0</v>
      </c>
      <c r="AF906" s="47">
        <v>0</v>
      </c>
      <c r="AG906" s="47">
        <v>0</v>
      </c>
      <c r="AH906" s="47">
        <v>0</v>
      </c>
      <c r="AI906" s="47">
        <v>0</v>
      </c>
      <c r="AJ906" s="47">
        <v>0</v>
      </c>
      <c r="AK906" s="47">
        <v>28440</v>
      </c>
      <c r="AL906" s="47">
        <v>28440</v>
      </c>
      <c r="AM906" s="47">
        <v>28440</v>
      </c>
      <c r="AN906" s="47">
        <v>28440</v>
      </c>
      <c r="AO906" s="47">
        <v>28440</v>
      </c>
      <c r="AP906" s="47">
        <v>1476</v>
      </c>
      <c r="AQ906" s="47">
        <v>216</v>
      </c>
      <c r="AR906" s="47">
        <v>216</v>
      </c>
      <c r="AS906" s="47"/>
      <c r="AT906" s="47"/>
      <c r="AU906" s="47"/>
      <c r="AV906" s="47"/>
      <c r="AW906" s="47"/>
      <c r="AX906" s="47"/>
      <c r="AY906" s="47"/>
      <c r="AZ906" s="47"/>
      <c r="BA906" s="47"/>
      <c r="BB906" s="47"/>
      <c r="BC906" s="47"/>
      <c r="BD906" s="47"/>
      <c r="BE906" s="47"/>
      <c r="BF906" s="47"/>
    </row>
    <row r="907" spans="1:58">
      <c r="C907" s="47"/>
      <c r="D907" s="47"/>
      <c r="E907" s="47"/>
      <c r="F907" s="47"/>
      <c r="G907" s="47"/>
      <c r="H907" s="47"/>
      <c r="I907" s="47"/>
      <c r="J907" s="47"/>
      <c r="K907" s="47"/>
      <c r="L907" s="47"/>
      <c r="M907" s="47"/>
      <c r="N907" s="47"/>
      <c r="O907" s="47"/>
      <c r="P907" s="47"/>
      <c r="Q907" s="85"/>
      <c r="R907" s="85"/>
      <c r="S907" s="85"/>
      <c r="T907" s="85"/>
      <c r="U907" s="85"/>
      <c r="V907" s="85"/>
      <c r="W907" s="85"/>
      <c r="X907" s="85"/>
      <c r="Y907" s="85"/>
      <c r="Z907" s="85"/>
      <c r="AA907" s="85"/>
      <c r="AB907" s="85"/>
      <c r="AC907" s="85"/>
      <c r="AD907" s="85"/>
      <c r="AE907" s="47"/>
      <c r="AF907" s="47"/>
      <c r="AG907" s="47"/>
      <c r="AH907" s="47"/>
      <c r="AI907" s="47"/>
      <c r="AJ907" s="47"/>
      <c r="AK907" s="47"/>
      <c r="AL907" s="47"/>
      <c r="AM907" s="47"/>
      <c r="AN907" s="47"/>
      <c r="AO907" s="47"/>
      <c r="AP907" s="47"/>
      <c r="AQ907" s="47"/>
      <c r="AR907" s="47"/>
      <c r="AS907" s="47"/>
      <c r="AT907" s="47"/>
      <c r="AU907" s="47"/>
      <c r="AV907" s="47"/>
      <c r="AW907" s="47"/>
      <c r="AX907" s="47"/>
      <c r="AY907" s="47"/>
      <c r="AZ907" s="47"/>
      <c r="BA907" s="47"/>
      <c r="BB907" s="47"/>
      <c r="BC907" s="47"/>
      <c r="BD907" s="47"/>
      <c r="BE907" s="47"/>
      <c r="BF907" s="47"/>
    </row>
    <row r="908" spans="1:58">
      <c r="C908" s="47"/>
      <c r="D908" s="47"/>
      <c r="E908" s="47"/>
      <c r="F908" s="47"/>
      <c r="G908" s="47"/>
      <c r="H908" s="47"/>
      <c r="I908" s="47"/>
      <c r="J908" s="47"/>
      <c r="K908" s="47"/>
      <c r="L908" s="47"/>
      <c r="M908" s="47"/>
      <c r="N908" s="47"/>
      <c r="O908" s="47"/>
      <c r="P908" s="47"/>
      <c r="Q908" s="85"/>
      <c r="R908" s="85"/>
      <c r="S908" s="85"/>
      <c r="T908" s="85"/>
      <c r="U908" s="85"/>
      <c r="V908" s="85"/>
      <c r="W908" s="85"/>
      <c r="X908" s="85"/>
      <c r="Y908" s="85"/>
      <c r="Z908" s="85"/>
      <c r="AA908" s="85"/>
      <c r="AB908" s="85"/>
      <c r="AC908" s="85"/>
      <c r="AD908" s="85"/>
      <c r="AE908" s="47"/>
      <c r="AF908" s="47"/>
      <c r="AG908" s="47"/>
      <c r="AH908" s="47"/>
      <c r="AI908" s="47"/>
      <c r="AJ908" s="47"/>
      <c r="AK908" s="47"/>
      <c r="AL908" s="47"/>
      <c r="AM908" s="47"/>
      <c r="AN908" s="47"/>
      <c r="AO908" s="47"/>
      <c r="AP908" s="47"/>
      <c r="AQ908" s="47"/>
      <c r="AR908" s="47"/>
      <c r="AS908" s="47"/>
      <c r="AT908" s="47"/>
      <c r="AU908" s="47"/>
      <c r="AV908" s="47"/>
      <c r="AW908" s="47"/>
      <c r="AX908" s="47"/>
      <c r="AY908" s="47"/>
      <c r="AZ908" s="47"/>
      <c r="BA908" s="47"/>
      <c r="BB908" s="47"/>
      <c r="BC908" s="47"/>
      <c r="BD908" s="47"/>
      <c r="BE908" s="47"/>
      <c r="BF908" s="47"/>
    </row>
    <row r="909" spans="1:58">
      <c r="C909" s="47"/>
      <c r="D909" s="47"/>
      <c r="E909" s="47"/>
      <c r="F909" s="47"/>
      <c r="G909" s="47"/>
      <c r="H909" s="47"/>
      <c r="I909" s="47"/>
      <c r="J909" s="47"/>
      <c r="K909" s="47"/>
      <c r="L909" s="47"/>
      <c r="M909" s="47"/>
      <c r="N909" s="47"/>
      <c r="O909" s="47"/>
      <c r="P909" s="47"/>
      <c r="Q909" s="85"/>
      <c r="R909" s="85"/>
      <c r="S909" s="85"/>
      <c r="T909" s="85"/>
      <c r="U909" s="85"/>
      <c r="V909" s="85"/>
      <c r="W909" s="85"/>
      <c r="X909" s="85"/>
      <c r="Y909" s="85"/>
      <c r="Z909" s="85"/>
      <c r="AA909" s="85"/>
      <c r="AB909" s="85"/>
      <c r="AC909" s="85"/>
      <c r="AD909" s="85"/>
      <c r="AE909" s="47"/>
      <c r="AF909" s="47"/>
      <c r="AG909" s="47"/>
      <c r="AH909" s="47"/>
      <c r="AI909" s="47"/>
      <c r="AJ909" s="47"/>
      <c r="AK909" s="47"/>
      <c r="AL909" s="47"/>
      <c r="AM909" s="47"/>
      <c r="AN909" s="47"/>
      <c r="AO909" s="47"/>
      <c r="AP909" s="47"/>
      <c r="AQ909" s="47"/>
      <c r="AR909" s="47"/>
      <c r="AS909" s="47"/>
      <c r="AT909" s="47"/>
      <c r="AU909" s="47"/>
      <c r="AV909" s="47"/>
      <c r="AW909" s="47"/>
      <c r="AX909" s="47"/>
      <c r="AY909" s="47"/>
      <c r="AZ909" s="47"/>
      <c r="BA909" s="47"/>
      <c r="BB909" s="47"/>
      <c r="BC909" s="47"/>
      <c r="BD909" s="47"/>
      <c r="BE909" s="47"/>
      <c r="BF909" s="47"/>
    </row>
    <row r="910" spans="1:58">
      <c r="C910" s="47"/>
      <c r="D910" s="47"/>
      <c r="E910" s="47"/>
      <c r="F910" s="47"/>
      <c r="G910" s="47"/>
      <c r="H910" s="47"/>
      <c r="I910" s="47"/>
      <c r="J910" s="47"/>
      <c r="K910" s="47"/>
      <c r="L910" s="47"/>
      <c r="M910" s="47"/>
      <c r="N910" s="47"/>
      <c r="O910" s="47"/>
      <c r="P910" s="47"/>
      <c r="Q910" s="85"/>
      <c r="R910" s="85"/>
      <c r="S910" s="85"/>
      <c r="T910" s="85"/>
      <c r="U910" s="85"/>
      <c r="V910" s="85"/>
      <c r="W910" s="85"/>
      <c r="X910" s="85"/>
      <c r="Y910" s="85"/>
      <c r="Z910" s="85"/>
      <c r="AA910" s="85"/>
      <c r="AB910" s="85"/>
      <c r="AC910" s="85"/>
      <c r="AD910" s="85"/>
      <c r="AE910" s="47"/>
      <c r="AF910" s="47"/>
      <c r="AG910" s="47"/>
      <c r="AH910" s="47"/>
      <c r="AI910" s="47"/>
      <c r="AJ910" s="47"/>
      <c r="AK910" s="47"/>
      <c r="AL910" s="47"/>
      <c r="AM910" s="47"/>
      <c r="AN910" s="47"/>
      <c r="AO910" s="47"/>
      <c r="AP910" s="47"/>
      <c r="AQ910" s="47"/>
      <c r="AR910" s="47"/>
      <c r="AS910" s="47"/>
      <c r="AT910" s="47"/>
      <c r="AU910" s="47"/>
      <c r="AV910" s="47"/>
      <c r="AW910" s="47"/>
      <c r="AX910" s="47"/>
      <c r="AY910" s="47"/>
      <c r="AZ910" s="47"/>
      <c r="BA910" s="47"/>
      <c r="BB910" s="47"/>
      <c r="BC910" s="47"/>
      <c r="BD910" s="47"/>
      <c r="BE910" s="47"/>
      <c r="BF910" s="47"/>
    </row>
    <row r="911" spans="1:58">
      <c r="C911" s="47"/>
      <c r="D911" s="47"/>
      <c r="E911" s="47"/>
      <c r="F911" s="47"/>
      <c r="G911" s="47"/>
      <c r="H911" s="47"/>
      <c r="I911" s="47"/>
      <c r="J911" s="47"/>
      <c r="K911" s="47"/>
      <c r="L911" s="47"/>
      <c r="M911" s="47"/>
      <c r="N911" s="47"/>
      <c r="O911" s="47"/>
      <c r="P911" s="47"/>
      <c r="Q911" s="85"/>
      <c r="R911" s="85"/>
      <c r="S911" s="85"/>
      <c r="T911" s="85"/>
      <c r="U911" s="85"/>
      <c r="V911" s="85"/>
      <c r="W911" s="85"/>
      <c r="X911" s="85"/>
      <c r="Y911" s="85"/>
      <c r="Z911" s="85"/>
      <c r="AA911" s="85"/>
      <c r="AB911" s="85"/>
      <c r="AC911" s="85"/>
      <c r="AD911" s="85"/>
      <c r="AE911" s="47"/>
      <c r="AF911" s="47"/>
      <c r="AG911" s="47"/>
      <c r="AH911" s="47"/>
      <c r="AI911" s="47"/>
      <c r="AJ911" s="47"/>
      <c r="AK911" s="47"/>
      <c r="AL911" s="47"/>
      <c r="AM911" s="47"/>
      <c r="AN911" s="47"/>
      <c r="AO911" s="47"/>
      <c r="AP911" s="47"/>
      <c r="AQ911" s="47"/>
      <c r="AR911" s="47"/>
      <c r="AS911" s="47"/>
      <c r="AT911" s="47"/>
      <c r="AU911" s="47"/>
      <c r="AV911" s="47"/>
      <c r="AW911" s="47"/>
      <c r="AX911" s="47"/>
      <c r="AY911" s="47"/>
      <c r="AZ911" s="47"/>
      <c r="BA911" s="47"/>
      <c r="BB911" s="47"/>
      <c r="BC911" s="47"/>
      <c r="BD911" s="47"/>
      <c r="BE911" s="47"/>
      <c r="BF911" s="47"/>
    </row>
    <row r="912" spans="1:58">
      <c r="C912" s="47"/>
      <c r="D912" s="47"/>
      <c r="E912" s="47"/>
      <c r="F912" s="47"/>
      <c r="G912" s="47"/>
      <c r="H912" s="47"/>
      <c r="I912" s="47"/>
      <c r="J912" s="47"/>
      <c r="K912" s="47"/>
      <c r="L912" s="47"/>
      <c r="M912" s="47"/>
      <c r="N912" s="47"/>
      <c r="O912" s="47"/>
      <c r="P912" s="47"/>
      <c r="Q912" s="85"/>
      <c r="R912" s="85"/>
      <c r="S912" s="85"/>
      <c r="T912" s="85"/>
      <c r="U912" s="85"/>
      <c r="V912" s="85"/>
      <c r="W912" s="85"/>
      <c r="X912" s="85"/>
      <c r="Y912" s="85"/>
      <c r="Z912" s="85"/>
      <c r="AA912" s="85"/>
      <c r="AB912" s="85"/>
      <c r="AC912" s="85"/>
      <c r="AD912" s="85"/>
      <c r="AE912" s="47"/>
      <c r="AF912" s="47"/>
      <c r="AG912" s="47"/>
      <c r="AH912" s="47"/>
      <c r="AI912" s="47"/>
      <c r="AJ912" s="47"/>
      <c r="AK912" s="47"/>
      <c r="AL912" s="47"/>
      <c r="AM912" s="47"/>
      <c r="AN912" s="47"/>
      <c r="AO912" s="47"/>
      <c r="AP912" s="47"/>
      <c r="AQ912" s="47"/>
      <c r="AR912" s="47"/>
      <c r="AS912" s="47"/>
      <c r="AT912" s="47"/>
      <c r="AU912" s="47"/>
      <c r="AV912" s="47"/>
      <c r="AW912" s="47"/>
      <c r="AX912" s="47"/>
      <c r="AY912" s="47"/>
      <c r="AZ912" s="47"/>
      <c r="BA912" s="47"/>
      <c r="BB912" s="47"/>
      <c r="BC912" s="47"/>
      <c r="BD912" s="47"/>
      <c r="BE912" s="47"/>
      <c r="BF912" s="47"/>
    </row>
    <row r="913" spans="3:58">
      <c r="C913" s="47"/>
      <c r="D913" s="47"/>
      <c r="E913" s="47"/>
      <c r="F913" s="47"/>
      <c r="G913" s="47"/>
      <c r="H913" s="47"/>
      <c r="I913" s="47"/>
      <c r="J913" s="47"/>
      <c r="K913" s="47"/>
      <c r="L913" s="47"/>
      <c r="M913" s="47"/>
      <c r="N913" s="47"/>
      <c r="O913" s="47"/>
      <c r="P913" s="47"/>
      <c r="Q913" s="85"/>
      <c r="R913" s="85"/>
      <c r="S913" s="85"/>
      <c r="T913" s="85"/>
      <c r="U913" s="85"/>
      <c r="V913" s="85"/>
      <c r="W913" s="85"/>
      <c r="X913" s="85"/>
      <c r="Y913" s="85"/>
      <c r="Z913" s="85"/>
      <c r="AA913" s="85"/>
      <c r="AB913" s="85"/>
      <c r="AC913" s="85"/>
      <c r="AD913" s="85"/>
      <c r="AE913" s="47"/>
      <c r="AF913" s="47"/>
      <c r="AG913" s="47"/>
      <c r="AH913" s="47"/>
      <c r="AI913" s="47"/>
      <c r="AJ913" s="47"/>
      <c r="AK913" s="47"/>
      <c r="AL913" s="47"/>
      <c r="AM913" s="47"/>
      <c r="AN913" s="47"/>
      <c r="AO913" s="47"/>
      <c r="AP913" s="47"/>
      <c r="AQ913" s="47"/>
      <c r="AR913" s="47"/>
      <c r="AS913" s="47"/>
      <c r="AT913" s="47"/>
      <c r="AU913" s="47"/>
      <c r="AV913" s="47"/>
      <c r="AW913" s="47"/>
      <c r="AX913" s="47"/>
      <c r="AY913" s="47"/>
      <c r="AZ913" s="47"/>
      <c r="BA913" s="47"/>
      <c r="BB913" s="47"/>
      <c r="BC913" s="47"/>
      <c r="BD913" s="47"/>
      <c r="BE913" s="47"/>
      <c r="BF913" s="47"/>
    </row>
    <row r="914" spans="3:58">
      <c r="C914" s="47"/>
      <c r="D914" s="47"/>
      <c r="E914" s="47"/>
      <c r="F914" s="47"/>
      <c r="G914" s="47"/>
      <c r="H914" s="47"/>
      <c r="I914" s="47"/>
      <c r="J914" s="47"/>
      <c r="K914" s="47"/>
      <c r="L914" s="47"/>
      <c r="M914" s="47"/>
      <c r="N914" s="47"/>
      <c r="O914" s="47"/>
      <c r="P914" s="47"/>
      <c r="Q914" s="85"/>
      <c r="R914" s="85"/>
      <c r="S914" s="85"/>
      <c r="T914" s="85"/>
      <c r="U914" s="85"/>
      <c r="V914" s="85"/>
      <c r="W914" s="85"/>
      <c r="X914" s="85"/>
      <c r="Y914" s="85"/>
      <c r="Z914" s="85"/>
      <c r="AA914" s="85"/>
      <c r="AB914" s="85"/>
      <c r="AC914" s="85"/>
      <c r="AD914" s="85"/>
      <c r="AE914" s="47"/>
      <c r="AF914" s="47"/>
      <c r="AG914" s="47"/>
      <c r="AH914" s="47"/>
      <c r="AI914" s="47"/>
      <c r="AJ914" s="47"/>
      <c r="AK914" s="47"/>
      <c r="AL914" s="47"/>
      <c r="AM914" s="47"/>
      <c r="AN914" s="47"/>
      <c r="AO914" s="47"/>
      <c r="AP914" s="47"/>
      <c r="AQ914" s="47"/>
      <c r="AR914" s="47"/>
      <c r="AS914" s="47"/>
      <c r="AT914" s="47"/>
      <c r="AU914" s="47"/>
      <c r="AV914" s="47"/>
      <c r="AW914" s="47"/>
      <c r="AX914" s="47"/>
      <c r="AY914" s="47"/>
      <c r="AZ914" s="47"/>
      <c r="BA914" s="47"/>
      <c r="BB914" s="47"/>
      <c r="BC914" s="47"/>
      <c r="BD914" s="47"/>
      <c r="BE914" s="47"/>
      <c r="BF914" s="47"/>
    </row>
    <row r="915" spans="3:58">
      <c r="C915" s="47"/>
      <c r="D915" s="47"/>
      <c r="E915" s="47"/>
      <c r="F915" s="47"/>
      <c r="G915" s="47"/>
      <c r="H915" s="47"/>
      <c r="I915" s="47"/>
      <c r="J915" s="47"/>
      <c r="K915" s="47"/>
      <c r="L915" s="47"/>
      <c r="M915" s="47"/>
      <c r="N915" s="47"/>
      <c r="O915" s="47"/>
      <c r="P915" s="47"/>
      <c r="Q915" s="85"/>
      <c r="R915" s="85"/>
      <c r="S915" s="85"/>
      <c r="T915" s="85"/>
      <c r="U915" s="85"/>
      <c r="V915" s="85"/>
      <c r="W915" s="85"/>
      <c r="X915" s="85"/>
      <c r="Y915" s="85"/>
      <c r="Z915" s="85"/>
      <c r="AA915" s="85"/>
      <c r="AB915" s="85"/>
      <c r="AC915" s="85"/>
      <c r="AD915" s="85"/>
      <c r="AE915" s="47"/>
      <c r="AF915" s="47"/>
      <c r="AG915" s="47"/>
      <c r="AH915" s="47"/>
      <c r="AI915" s="47"/>
      <c r="AJ915" s="47"/>
      <c r="AK915" s="47"/>
      <c r="AL915" s="47"/>
      <c r="AM915" s="47"/>
      <c r="AN915" s="47"/>
      <c r="AO915" s="47"/>
      <c r="AP915" s="47"/>
      <c r="AQ915" s="47"/>
      <c r="AR915" s="47"/>
      <c r="AS915" s="47"/>
      <c r="AT915" s="47"/>
      <c r="AU915" s="47"/>
      <c r="AV915" s="47"/>
      <c r="AW915" s="47"/>
      <c r="AX915" s="47"/>
      <c r="AY915" s="47"/>
      <c r="AZ915" s="47"/>
      <c r="BA915" s="47"/>
      <c r="BB915" s="47"/>
      <c r="BC915" s="47"/>
      <c r="BD915" s="47"/>
      <c r="BE915" s="47"/>
      <c r="BF915" s="47"/>
    </row>
    <row r="916" spans="3:58">
      <c r="C916" s="47"/>
      <c r="D916" s="47"/>
      <c r="E916" s="47"/>
      <c r="F916" s="47"/>
      <c r="G916" s="47"/>
      <c r="H916" s="47"/>
      <c r="I916" s="47"/>
      <c r="J916" s="47"/>
      <c r="K916" s="47"/>
      <c r="L916" s="47"/>
      <c r="M916" s="47"/>
      <c r="N916" s="47"/>
      <c r="O916" s="47"/>
      <c r="P916" s="47"/>
      <c r="Q916" s="85"/>
      <c r="R916" s="85"/>
      <c r="S916" s="85"/>
      <c r="T916" s="85"/>
      <c r="U916" s="85"/>
      <c r="V916" s="85"/>
      <c r="W916" s="85"/>
      <c r="X916" s="85"/>
      <c r="Y916" s="85"/>
      <c r="Z916" s="85"/>
      <c r="AA916" s="85"/>
      <c r="AB916" s="85"/>
      <c r="AC916" s="85"/>
      <c r="AD916" s="85"/>
      <c r="AE916" s="47"/>
      <c r="AF916" s="47"/>
      <c r="AG916" s="47"/>
      <c r="AH916" s="47"/>
      <c r="AI916" s="47"/>
      <c r="AJ916" s="47"/>
      <c r="AK916" s="47"/>
      <c r="AL916" s="47"/>
      <c r="AM916" s="47"/>
      <c r="AN916" s="47"/>
      <c r="AO916" s="47"/>
      <c r="AP916" s="47"/>
      <c r="AQ916" s="47"/>
      <c r="AR916" s="47"/>
      <c r="AS916" s="47"/>
      <c r="AT916" s="47"/>
      <c r="AU916" s="47"/>
      <c r="AV916" s="47"/>
      <c r="AW916" s="47"/>
      <c r="AX916" s="47"/>
      <c r="AY916" s="47"/>
      <c r="AZ916" s="47"/>
      <c r="BA916" s="47"/>
      <c r="BB916" s="47"/>
      <c r="BC916" s="47"/>
      <c r="BD916" s="47"/>
      <c r="BE916" s="47"/>
      <c r="BF916" s="47"/>
    </row>
    <row r="917" spans="3:58">
      <c r="C917" s="47"/>
      <c r="D917" s="47"/>
      <c r="E917" s="47"/>
      <c r="F917" s="47"/>
      <c r="G917" s="47"/>
      <c r="H917" s="47"/>
      <c r="I917" s="47"/>
      <c r="J917" s="47"/>
      <c r="K917" s="47"/>
      <c r="L917" s="47"/>
      <c r="M917" s="47"/>
      <c r="N917" s="47"/>
      <c r="O917" s="47"/>
      <c r="P917" s="47"/>
      <c r="Q917" s="85"/>
      <c r="R917" s="85"/>
      <c r="S917" s="85"/>
      <c r="T917" s="85"/>
      <c r="U917" s="85"/>
      <c r="V917" s="85"/>
      <c r="W917" s="85"/>
      <c r="X917" s="85"/>
      <c r="Y917" s="85"/>
      <c r="Z917" s="85"/>
      <c r="AA917" s="85"/>
      <c r="AB917" s="85"/>
      <c r="AC917" s="85"/>
      <c r="AD917" s="85"/>
      <c r="AE917" s="47"/>
      <c r="AF917" s="47"/>
      <c r="AG917" s="47"/>
      <c r="AH917" s="47"/>
      <c r="AI917" s="47"/>
      <c r="AJ917" s="47"/>
      <c r="AK917" s="47"/>
      <c r="AL917" s="47"/>
      <c r="AM917" s="47"/>
      <c r="AN917" s="47"/>
      <c r="AO917" s="47"/>
      <c r="AP917" s="47"/>
      <c r="AQ917" s="47"/>
      <c r="AR917" s="47"/>
      <c r="AS917" s="47"/>
      <c r="AT917" s="47"/>
      <c r="AU917" s="47"/>
      <c r="AV917" s="47"/>
      <c r="AW917" s="47"/>
      <c r="AX917" s="47"/>
      <c r="AY917" s="47"/>
      <c r="AZ917" s="47"/>
      <c r="BA917" s="47"/>
      <c r="BB917" s="47"/>
      <c r="BC917" s="47"/>
      <c r="BD917" s="47"/>
      <c r="BE917" s="47"/>
      <c r="BF917" s="47"/>
    </row>
    <row r="918" spans="3:58">
      <c r="C918" s="47"/>
      <c r="D918" s="47"/>
      <c r="E918" s="47"/>
      <c r="F918" s="47"/>
      <c r="G918" s="47"/>
      <c r="H918" s="47"/>
      <c r="I918" s="47"/>
      <c r="J918" s="47"/>
      <c r="K918" s="47"/>
      <c r="L918" s="47"/>
      <c r="M918" s="47"/>
      <c r="N918" s="47"/>
      <c r="O918" s="47"/>
      <c r="P918" s="47"/>
      <c r="Q918" s="85"/>
      <c r="R918" s="85"/>
      <c r="S918" s="85"/>
      <c r="T918" s="85"/>
      <c r="U918" s="85"/>
      <c r="V918" s="85"/>
      <c r="W918" s="85"/>
      <c r="X918" s="85"/>
      <c r="Y918" s="85"/>
      <c r="Z918" s="85"/>
      <c r="AA918" s="85"/>
      <c r="AB918" s="85"/>
      <c r="AC918" s="85"/>
      <c r="AD918" s="85"/>
      <c r="AE918" s="47"/>
      <c r="AF918" s="47"/>
      <c r="AG918" s="47"/>
      <c r="AH918" s="47"/>
      <c r="AI918" s="47"/>
      <c r="AJ918" s="47"/>
      <c r="AK918" s="47"/>
      <c r="AL918" s="47"/>
      <c r="AM918" s="47"/>
      <c r="AN918" s="47"/>
      <c r="AO918" s="47"/>
      <c r="AP918" s="47"/>
      <c r="AQ918" s="47"/>
      <c r="AR918" s="47"/>
      <c r="AS918" s="47"/>
      <c r="AT918" s="47"/>
      <c r="AU918" s="47"/>
      <c r="AV918" s="47"/>
      <c r="AW918" s="47"/>
      <c r="AX918" s="47"/>
      <c r="AY918" s="47"/>
      <c r="AZ918" s="47"/>
      <c r="BA918" s="47"/>
      <c r="BB918" s="47"/>
      <c r="BC918" s="47"/>
      <c r="BD918" s="47"/>
      <c r="BE918" s="47"/>
      <c r="BF918" s="47"/>
    </row>
    <row r="919" spans="3:58">
      <c r="C919" s="47"/>
      <c r="D919" s="47"/>
      <c r="E919" s="47"/>
      <c r="F919" s="47"/>
      <c r="G919" s="47"/>
      <c r="H919" s="47"/>
      <c r="I919" s="47"/>
      <c r="J919" s="47"/>
      <c r="K919" s="47"/>
      <c r="L919" s="47"/>
      <c r="M919" s="47"/>
      <c r="N919" s="47"/>
      <c r="O919" s="47"/>
      <c r="P919" s="47"/>
      <c r="Q919" s="85"/>
      <c r="R919" s="85"/>
      <c r="S919" s="85"/>
      <c r="T919" s="85"/>
      <c r="U919" s="85"/>
      <c r="V919" s="85"/>
      <c r="W919" s="85"/>
      <c r="X919" s="85"/>
      <c r="Y919" s="85"/>
      <c r="Z919" s="85"/>
      <c r="AA919" s="85"/>
      <c r="AB919" s="85"/>
      <c r="AC919" s="85"/>
      <c r="AD919" s="85"/>
      <c r="AE919" s="47"/>
      <c r="AF919" s="47"/>
      <c r="AG919" s="47"/>
      <c r="AH919" s="47"/>
      <c r="AI919" s="47"/>
      <c r="AJ919" s="47"/>
      <c r="AK919" s="47"/>
      <c r="AL919" s="47"/>
      <c r="AM919" s="47"/>
      <c r="AN919" s="47"/>
      <c r="AO919" s="47"/>
      <c r="AP919" s="47"/>
      <c r="AQ919" s="47"/>
      <c r="AR919" s="47"/>
      <c r="AS919" s="47"/>
      <c r="AT919" s="47"/>
      <c r="AU919" s="47"/>
      <c r="AV919" s="47"/>
      <c r="AW919" s="47"/>
      <c r="AX919" s="47"/>
      <c r="AY919" s="47"/>
      <c r="AZ919" s="47"/>
      <c r="BA919" s="47"/>
      <c r="BB919" s="47"/>
      <c r="BC919" s="47"/>
      <c r="BD919" s="47"/>
      <c r="BE919" s="47"/>
      <c r="BF919" s="47"/>
    </row>
    <row r="920" spans="3:58">
      <c r="C920" s="47"/>
      <c r="D920" s="47"/>
      <c r="E920" s="47"/>
      <c r="F920" s="47"/>
      <c r="G920" s="47"/>
      <c r="H920" s="47"/>
      <c r="I920" s="47"/>
      <c r="J920" s="47"/>
      <c r="K920" s="47"/>
      <c r="L920" s="47"/>
      <c r="M920" s="47"/>
      <c r="N920" s="47"/>
      <c r="O920" s="47"/>
      <c r="P920" s="47"/>
      <c r="Q920" s="85"/>
      <c r="R920" s="85"/>
      <c r="S920" s="85"/>
      <c r="T920" s="85"/>
      <c r="U920" s="85"/>
      <c r="V920" s="85"/>
      <c r="W920" s="85"/>
      <c r="X920" s="85"/>
      <c r="Y920" s="85"/>
      <c r="Z920" s="85"/>
      <c r="AA920" s="85"/>
      <c r="AB920" s="85"/>
      <c r="AC920" s="85"/>
      <c r="AD920" s="85"/>
      <c r="AE920" s="47"/>
      <c r="AF920" s="47"/>
      <c r="AG920" s="47"/>
      <c r="AH920" s="47"/>
      <c r="AI920" s="47"/>
      <c r="AJ920" s="47"/>
      <c r="AK920" s="47"/>
      <c r="AL920" s="47"/>
      <c r="AM920" s="47"/>
      <c r="AN920" s="47"/>
      <c r="AO920" s="47"/>
      <c r="AP920" s="47"/>
      <c r="AQ920" s="47"/>
      <c r="AR920" s="47"/>
      <c r="AS920" s="47"/>
      <c r="AT920" s="47"/>
      <c r="AU920" s="47"/>
      <c r="AV920" s="47"/>
      <c r="AW920" s="47"/>
      <c r="AX920" s="47"/>
      <c r="AY920" s="47"/>
      <c r="AZ920" s="47"/>
      <c r="BA920" s="47"/>
      <c r="BB920" s="47"/>
      <c r="BC920" s="47"/>
      <c r="BD920" s="47"/>
      <c r="BE920" s="47"/>
      <c r="BF920" s="47"/>
    </row>
    <row r="921" spans="3:58">
      <c r="C921" s="47"/>
      <c r="D921" s="47"/>
      <c r="E921" s="47"/>
      <c r="F921" s="47"/>
      <c r="G921" s="47"/>
      <c r="H921" s="47"/>
      <c r="I921" s="47"/>
      <c r="J921" s="47"/>
      <c r="K921" s="47"/>
      <c r="L921" s="47"/>
      <c r="M921" s="47"/>
      <c r="N921" s="47"/>
      <c r="O921" s="47"/>
      <c r="P921" s="47"/>
      <c r="Q921" s="85"/>
      <c r="R921" s="85"/>
      <c r="S921" s="85"/>
      <c r="T921" s="85"/>
      <c r="U921" s="85"/>
      <c r="V921" s="85"/>
      <c r="W921" s="85"/>
      <c r="X921" s="85"/>
      <c r="Y921" s="85"/>
      <c r="Z921" s="85"/>
      <c r="AA921" s="85"/>
      <c r="AB921" s="85"/>
      <c r="AC921" s="85"/>
      <c r="AD921" s="85"/>
      <c r="AE921" s="47"/>
      <c r="AF921" s="47"/>
      <c r="AG921" s="47"/>
      <c r="AH921" s="47"/>
      <c r="AI921" s="47"/>
      <c r="AJ921" s="47"/>
      <c r="AK921" s="47"/>
      <c r="AL921" s="47"/>
      <c r="AM921" s="47"/>
      <c r="AN921" s="47"/>
      <c r="AO921" s="47"/>
      <c r="AP921" s="47"/>
      <c r="AQ921" s="47"/>
      <c r="AR921" s="47"/>
      <c r="AS921" s="47"/>
      <c r="AT921" s="47"/>
      <c r="AU921" s="47"/>
      <c r="AV921" s="47"/>
      <c r="AW921" s="47"/>
      <c r="AX921" s="47"/>
      <c r="AY921" s="47"/>
      <c r="AZ921" s="47"/>
      <c r="BA921" s="47"/>
      <c r="BB921" s="47"/>
      <c r="BC921" s="47"/>
      <c r="BD921" s="47"/>
      <c r="BE921" s="47"/>
      <c r="BF921" s="47"/>
    </row>
    <row r="922" spans="3:58">
      <c r="C922" s="47"/>
      <c r="D922" s="47"/>
      <c r="E922" s="47"/>
      <c r="F922" s="47"/>
      <c r="G922" s="47"/>
      <c r="H922" s="47"/>
      <c r="I922" s="47"/>
      <c r="J922" s="47"/>
      <c r="K922" s="47"/>
      <c r="L922" s="47"/>
      <c r="M922" s="47"/>
      <c r="N922" s="47"/>
      <c r="O922" s="47"/>
      <c r="P922" s="47"/>
      <c r="Q922" s="85"/>
      <c r="R922" s="85"/>
      <c r="S922" s="85"/>
      <c r="T922" s="85"/>
      <c r="U922" s="85"/>
      <c r="V922" s="85"/>
      <c r="W922" s="85"/>
      <c r="X922" s="85"/>
      <c r="Y922" s="85"/>
      <c r="Z922" s="85"/>
      <c r="AA922" s="85"/>
      <c r="AB922" s="85"/>
      <c r="AC922" s="85"/>
      <c r="AD922" s="85"/>
      <c r="AE922" s="47"/>
      <c r="AF922" s="47"/>
      <c r="AG922" s="47"/>
      <c r="AH922" s="47"/>
      <c r="AI922" s="47"/>
      <c r="AJ922" s="47"/>
      <c r="AK922" s="47"/>
      <c r="AL922" s="47"/>
      <c r="AM922" s="47"/>
      <c r="AN922" s="47"/>
      <c r="AO922" s="47"/>
      <c r="AP922" s="47"/>
      <c r="AQ922" s="47"/>
      <c r="AR922" s="47"/>
      <c r="AS922" s="47"/>
      <c r="AT922" s="47"/>
      <c r="AU922" s="47"/>
      <c r="AV922" s="47"/>
      <c r="AW922" s="47"/>
      <c r="AX922" s="47"/>
      <c r="AY922" s="47"/>
      <c r="AZ922" s="47"/>
      <c r="BA922" s="47"/>
      <c r="BB922" s="47"/>
      <c r="BC922" s="47"/>
      <c r="BD922" s="47"/>
      <c r="BE922" s="47"/>
      <c r="BF922" s="47"/>
    </row>
    <row r="923" spans="3:58">
      <c r="C923" s="47"/>
      <c r="D923" s="47"/>
      <c r="E923" s="47"/>
      <c r="F923" s="47"/>
      <c r="G923" s="47"/>
      <c r="H923" s="47"/>
      <c r="I923" s="47"/>
      <c r="J923" s="47"/>
      <c r="K923" s="47"/>
      <c r="L923" s="47"/>
      <c r="M923" s="47"/>
      <c r="N923" s="47"/>
      <c r="O923" s="47"/>
      <c r="P923" s="47"/>
      <c r="Q923" s="85"/>
      <c r="R923" s="85"/>
      <c r="S923" s="85"/>
      <c r="T923" s="85"/>
      <c r="U923" s="85"/>
      <c r="V923" s="85"/>
      <c r="W923" s="85"/>
      <c r="X923" s="85"/>
      <c r="Y923" s="85"/>
      <c r="Z923" s="85"/>
      <c r="AA923" s="85"/>
      <c r="AB923" s="85"/>
      <c r="AC923" s="85"/>
      <c r="AD923" s="85"/>
      <c r="AE923" s="47"/>
      <c r="AF923" s="47"/>
      <c r="AG923" s="47"/>
      <c r="AH923" s="47"/>
      <c r="AI923" s="47"/>
      <c r="AJ923" s="47"/>
      <c r="AK923" s="47"/>
      <c r="AL923" s="47"/>
      <c r="AM923" s="47"/>
      <c r="AN923" s="47"/>
      <c r="AO923" s="47"/>
      <c r="AP923" s="47"/>
      <c r="AQ923" s="47"/>
      <c r="AR923" s="47"/>
      <c r="AS923" s="47"/>
      <c r="AT923" s="47"/>
      <c r="AU923" s="47"/>
      <c r="AV923" s="47"/>
      <c r="AW923" s="47"/>
      <c r="AX923" s="47"/>
      <c r="AY923" s="47"/>
      <c r="AZ923" s="47"/>
      <c r="BA923" s="47"/>
      <c r="BB923" s="47"/>
      <c r="BC923" s="47"/>
      <c r="BD923" s="47"/>
      <c r="BE923" s="47"/>
      <c r="BF923" s="47"/>
    </row>
    <row r="924" spans="3:58">
      <c r="C924" s="47"/>
      <c r="D924" s="47"/>
      <c r="E924" s="47"/>
      <c r="F924" s="47"/>
      <c r="G924" s="47"/>
      <c r="H924" s="47"/>
      <c r="I924" s="47"/>
      <c r="J924" s="47"/>
      <c r="K924" s="47"/>
      <c r="L924" s="47"/>
      <c r="M924" s="47"/>
      <c r="N924" s="47"/>
      <c r="O924" s="47"/>
      <c r="P924" s="47"/>
      <c r="Q924" s="85"/>
      <c r="R924" s="85"/>
      <c r="S924" s="85"/>
      <c r="T924" s="85"/>
      <c r="U924" s="85"/>
      <c r="V924" s="85"/>
      <c r="W924" s="85"/>
      <c r="X924" s="85"/>
      <c r="Y924" s="85"/>
      <c r="Z924" s="85"/>
      <c r="AA924" s="85"/>
      <c r="AB924" s="85"/>
      <c r="AC924" s="85"/>
      <c r="AD924" s="85"/>
      <c r="AE924" s="47"/>
      <c r="AF924" s="47"/>
      <c r="AG924" s="47"/>
      <c r="AH924" s="47"/>
      <c r="AI924" s="47"/>
      <c r="AJ924" s="47"/>
      <c r="AK924" s="47"/>
      <c r="AL924" s="47"/>
      <c r="AM924" s="47"/>
      <c r="AN924" s="47"/>
      <c r="AO924" s="47"/>
      <c r="AP924" s="47"/>
      <c r="AQ924" s="47"/>
      <c r="AR924" s="47"/>
      <c r="AS924" s="47"/>
      <c r="AT924" s="47"/>
      <c r="AU924" s="47"/>
      <c r="AV924" s="47"/>
      <c r="AW924" s="47"/>
      <c r="AX924" s="47"/>
      <c r="AY924" s="47"/>
      <c r="AZ924" s="47"/>
      <c r="BA924" s="47"/>
      <c r="BB924" s="47"/>
      <c r="BC924" s="47"/>
      <c r="BD924" s="47"/>
      <c r="BE924" s="47"/>
      <c r="BF924" s="47"/>
    </row>
    <row r="925" spans="3:58">
      <c r="C925" s="47"/>
      <c r="D925" s="47"/>
      <c r="E925" s="47"/>
      <c r="F925" s="47"/>
      <c r="G925" s="47"/>
      <c r="H925" s="47"/>
      <c r="I925" s="47"/>
      <c r="J925" s="47"/>
      <c r="K925" s="47"/>
      <c r="L925" s="47"/>
      <c r="M925" s="47"/>
      <c r="N925" s="47"/>
      <c r="O925" s="47"/>
      <c r="P925" s="47"/>
      <c r="Q925" s="85"/>
      <c r="R925" s="85"/>
      <c r="S925" s="85"/>
      <c r="T925" s="85"/>
      <c r="U925" s="85"/>
      <c r="V925" s="85"/>
      <c r="W925" s="85"/>
      <c r="X925" s="85"/>
      <c r="Y925" s="85"/>
      <c r="Z925" s="85"/>
      <c r="AA925" s="85"/>
      <c r="AB925" s="85"/>
      <c r="AC925" s="85"/>
      <c r="AD925" s="85"/>
      <c r="AE925" s="47"/>
      <c r="AF925" s="47"/>
      <c r="AG925" s="47"/>
      <c r="AH925" s="47"/>
      <c r="AI925" s="47"/>
      <c r="AJ925" s="47"/>
      <c r="AK925" s="47"/>
      <c r="AL925" s="47"/>
      <c r="AM925" s="47"/>
      <c r="AN925" s="47"/>
      <c r="AO925" s="47"/>
      <c r="AP925" s="47"/>
      <c r="AQ925" s="47"/>
      <c r="AR925" s="47"/>
      <c r="AS925" s="47"/>
      <c r="AT925" s="47"/>
      <c r="AU925" s="47"/>
      <c r="AV925" s="47"/>
      <c r="AW925" s="47"/>
      <c r="AX925" s="47"/>
      <c r="AY925" s="47"/>
      <c r="AZ925" s="47"/>
      <c r="BA925" s="47"/>
      <c r="BB925" s="47"/>
      <c r="BC925" s="47"/>
      <c r="BD925" s="47"/>
      <c r="BE925" s="47"/>
      <c r="BF925" s="47"/>
    </row>
    <row r="926" spans="3:58">
      <c r="C926" s="47"/>
      <c r="D926" s="47"/>
      <c r="E926" s="47"/>
      <c r="F926" s="47"/>
      <c r="G926" s="47"/>
      <c r="H926" s="47"/>
      <c r="I926" s="47"/>
      <c r="J926" s="47"/>
      <c r="K926" s="47"/>
      <c r="L926" s="47"/>
      <c r="M926" s="47"/>
      <c r="N926" s="47"/>
      <c r="O926" s="47"/>
      <c r="P926" s="47"/>
      <c r="Q926" s="85"/>
      <c r="R926" s="85"/>
      <c r="S926" s="85"/>
      <c r="T926" s="85"/>
      <c r="U926" s="85"/>
      <c r="V926" s="85"/>
      <c r="W926" s="85"/>
      <c r="X926" s="85"/>
      <c r="Y926" s="85"/>
      <c r="Z926" s="85"/>
      <c r="AA926" s="85"/>
      <c r="AB926" s="85"/>
      <c r="AC926" s="85"/>
      <c r="AD926" s="85"/>
      <c r="AE926" s="47"/>
      <c r="AF926" s="47"/>
      <c r="AG926" s="47"/>
      <c r="AH926" s="47"/>
      <c r="AI926" s="47"/>
      <c r="AJ926" s="47"/>
      <c r="AK926" s="47"/>
      <c r="AL926" s="47"/>
      <c r="AM926" s="47"/>
      <c r="AN926" s="47"/>
      <c r="AO926" s="47"/>
      <c r="AP926" s="47"/>
      <c r="AQ926" s="47"/>
      <c r="AR926" s="47"/>
      <c r="AS926" s="47"/>
      <c r="AT926" s="47"/>
      <c r="AU926" s="47"/>
      <c r="AV926" s="47"/>
      <c r="AW926" s="47"/>
      <c r="AX926" s="47"/>
      <c r="AY926" s="47"/>
      <c r="AZ926" s="47"/>
      <c r="BA926" s="47"/>
      <c r="BB926" s="47"/>
      <c r="BC926" s="47"/>
      <c r="BD926" s="47"/>
      <c r="BE926" s="47"/>
      <c r="BF926" s="47"/>
    </row>
    <row r="927" spans="3:58">
      <c r="C927" s="47"/>
      <c r="D927" s="47"/>
      <c r="E927" s="47"/>
      <c r="F927" s="47"/>
      <c r="G927" s="47"/>
      <c r="H927" s="47"/>
      <c r="I927" s="47"/>
      <c r="J927" s="47"/>
      <c r="K927" s="47"/>
      <c r="L927" s="47"/>
      <c r="M927" s="47"/>
      <c r="N927" s="47"/>
      <c r="O927" s="47"/>
      <c r="P927" s="47"/>
      <c r="Q927" s="85"/>
      <c r="R927" s="85"/>
      <c r="S927" s="85"/>
      <c r="T927" s="85"/>
      <c r="U927" s="85"/>
      <c r="V927" s="85"/>
      <c r="W927" s="85"/>
      <c r="X927" s="85"/>
      <c r="Y927" s="85"/>
      <c r="Z927" s="85"/>
      <c r="AA927" s="85"/>
      <c r="AB927" s="85"/>
      <c r="AC927" s="85"/>
      <c r="AD927" s="85"/>
      <c r="AE927" s="47"/>
      <c r="AF927" s="47"/>
      <c r="AG927" s="47"/>
      <c r="AH927" s="47"/>
      <c r="AI927" s="47"/>
      <c r="AJ927" s="47"/>
      <c r="AK927" s="47"/>
      <c r="AL927" s="47"/>
      <c r="AM927" s="47"/>
      <c r="AN927" s="47"/>
      <c r="AO927" s="47"/>
      <c r="AP927" s="47"/>
      <c r="AQ927" s="47"/>
      <c r="AR927" s="47"/>
      <c r="AS927" s="47"/>
      <c r="AT927" s="47"/>
      <c r="AU927" s="47"/>
      <c r="AV927" s="47"/>
      <c r="AW927" s="47"/>
      <c r="AX927" s="47"/>
      <c r="AY927" s="47"/>
      <c r="AZ927" s="47"/>
      <c r="BA927" s="47"/>
      <c r="BB927" s="47"/>
      <c r="BC927" s="47"/>
      <c r="BD927" s="47"/>
      <c r="BE927" s="47"/>
      <c r="BF927" s="47"/>
    </row>
    <row r="928" spans="3:58">
      <c r="C928" s="47"/>
      <c r="D928" s="47"/>
      <c r="E928" s="47"/>
      <c r="F928" s="47"/>
      <c r="G928" s="47"/>
      <c r="H928" s="47"/>
      <c r="I928" s="47"/>
      <c r="J928" s="47"/>
      <c r="K928" s="47"/>
      <c r="L928" s="47"/>
      <c r="M928" s="47"/>
      <c r="N928" s="47"/>
      <c r="O928" s="47"/>
      <c r="P928" s="47"/>
      <c r="Q928" s="85"/>
      <c r="R928" s="85"/>
      <c r="S928" s="85"/>
      <c r="T928" s="85"/>
      <c r="U928" s="85"/>
      <c r="V928" s="85"/>
      <c r="W928" s="85"/>
      <c r="X928" s="85"/>
      <c r="Y928" s="85"/>
      <c r="Z928" s="85"/>
      <c r="AA928" s="85"/>
      <c r="AB928" s="85"/>
      <c r="AC928" s="85"/>
      <c r="AD928" s="85"/>
      <c r="AE928" s="47"/>
      <c r="AF928" s="47"/>
      <c r="AG928" s="47"/>
      <c r="AH928" s="47"/>
      <c r="AI928" s="47"/>
      <c r="AJ928" s="47"/>
      <c r="AK928" s="47"/>
      <c r="AL928" s="47"/>
      <c r="AM928" s="47"/>
      <c r="AN928" s="47"/>
      <c r="AO928" s="47"/>
      <c r="AP928" s="47"/>
      <c r="AQ928" s="47"/>
      <c r="AR928" s="47"/>
      <c r="AS928" s="47"/>
      <c r="AT928" s="47"/>
      <c r="AU928" s="47"/>
      <c r="AV928" s="47"/>
      <c r="AW928" s="47"/>
      <c r="AX928" s="47"/>
      <c r="AY928" s="47"/>
      <c r="AZ928" s="47"/>
      <c r="BA928" s="47"/>
      <c r="BB928" s="47"/>
      <c r="BC928" s="47"/>
      <c r="BD928" s="47"/>
      <c r="BE928" s="47"/>
      <c r="BF928" s="47"/>
    </row>
    <row r="929" spans="3:58">
      <c r="C929" s="47"/>
      <c r="D929" s="47"/>
      <c r="E929" s="47"/>
      <c r="F929" s="47"/>
      <c r="G929" s="47"/>
      <c r="H929" s="47"/>
      <c r="I929" s="47"/>
      <c r="J929" s="47"/>
      <c r="K929" s="47"/>
      <c r="L929" s="47"/>
      <c r="M929" s="47"/>
      <c r="N929" s="47"/>
      <c r="O929" s="47"/>
      <c r="P929" s="47"/>
      <c r="Q929" s="85"/>
      <c r="R929" s="85"/>
      <c r="S929" s="85"/>
      <c r="T929" s="85"/>
      <c r="U929" s="85"/>
      <c r="V929" s="85"/>
      <c r="W929" s="85"/>
      <c r="X929" s="85"/>
      <c r="Y929" s="85"/>
      <c r="Z929" s="85"/>
      <c r="AA929" s="85"/>
      <c r="AB929" s="85"/>
      <c r="AC929" s="85"/>
      <c r="AD929" s="85"/>
      <c r="AE929" s="47"/>
      <c r="AF929" s="47"/>
      <c r="AG929" s="47"/>
      <c r="AH929" s="47"/>
      <c r="AI929" s="47"/>
      <c r="AJ929" s="47"/>
      <c r="AK929" s="47"/>
      <c r="AL929" s="47"/>
      <c r="AM929" s="47"/>
      <c r="AN929" s="47"/>
      <c r="AO929" s="47"/>
      <c r="AP929" s="47"/>
      <c r="AQ929" s="47"/>
      <c r="AR929" s="47"/>
      <c r="AS929" s="47"/>
      <c r="AT929" s="47"/>
      <c r="AU929" s="47"/>
      <c r="AV929" s="47"/>
      <c r="AW929" s="47"/>
      <c r="AX929" s="47"/>
      <c r="AY929" s="47"/>
      <c r="AZ929" s="47"/>
      <c r="BA929" s="47"/>
      <c r="BB929" s="47"/>
      <c r="BC929" s="47"/>
      <c r="BD929" s="47"/>
      <c r="BE929" s="47"/>
      <c r="BF929" s="47"/>
    </row>
    <row r="930" spans="3:58">
      <c r="C930" s="47"/>
      <c r="D930" s="47"/>
      <c r="E930" s="47"/>
      <c r="F930" s="47"/>
      <c r="G930" s="47"/>
      <c r="H930" s="47"/>
      <c r="I930" s="47"/>
      <c r="J930" s="47"/>
      <c r="K930" s="47"/>
      <c r="L930" s="47"/>
      <c r="M930" s="47"/>
      <c r="N930" s="47"/>
      <c r="O930" s="47"/>
      <c r="P930" s="47"/>
      <c r="Q930" s="85"/>
      <c r="R930" s="85"/>
      <c r="S930" s="85"/>
      <c r="T930" s="85"/>
      <c r="U930" s="85"/>
      <c r="V930" s="85"/>
      <c r="W930" s="85"/>
      <c r="X930" s="85"/>
      <c r="Y930" s="85"/>
      <c r="Z930" s="85"/>
      <c r="AA930" s="85"/>
      <c r="AB930" s="85"/>
      <c r="AC930" s="85"/>
      <c r="AD930" s="85"/>
      <c r="AE930" s="47"/>
      <c r="AF930" s="47"/>
      <c r="AG930" s="47"/>
      <c r="AH930" s="47"/>
      <c r="AI930" s="47"/>
      <c r="AJ930" s="47"/>
      <c r="AK930" s="47"/>
      <c r="AL930" s="47"/>
      <c r="AM930" s="47"/>
      <c r="AN930" s="47"/>
      <c r="AO930" s="47"/>
      <c r="AP930" s="47"/>
      <c r="AQ930" s="47"/>
      <c r="AR930" s="47"/>
      <c r="AS930" s="47"/>
      <c r="AT930" s="47"/>
      <c r="AU930" s="47"/>
      <c r="AV930" s="47"/>
      <c r="AW930" s="47"/>
      <c r="AX930" s="47"/>
      <c r="AY930" s="47"/>
      <c r="AZ930" s="47"/>
      <c r="BA930" s="47"/>
      <c r="BB930" s="47"/>
      <c r="BC930" s="47"/>
      <c r="BD930" s="47"/>
      <c r="BE930" s="47"/>
      <c r="BF930" s="47"/>
    </row>
    <row r="931" spans="3:58">
      <c r="C931" s="47"/>
      <c r="D931" s="47"/>
      <c r="E931" s="47"/>
      <c r="F931" s="47"/>
      <c r="G931" s="47"/>
      <c r="H931" s="47"/>
      <c r="I931" s="47"/>
      <c r="J931" s="47"/>
      <c r="K931" s="47"/>
      <c r="L931" s="47"/>
      <c r="M931" s="47"/>
      <c r="N931" s="47"/>
      <c r="O931" s="47"/>
      <c r="P931" s="47"/>
      <c r="Q931" s="85"/>
      <c r="R931" s="85"/>
      <c r="S931" s="85"/>
      <c r="T931" s="85"/>
      <c r="U931" s="85"/>
      <c r="V931" s="85"/>
      <c r="W931" s="85"/>
      <c r="X931" s="85"/>
      <c r="Y931" s="85"/>
      <c r="Z931" s="85"/>
      <c r="AA931" s="85"/>
      <c r="AB931" s="85"/>
      <c r="AC931" s="85"/>
      <c r="AD931" s="85"/>
      <c r="AE931" s="47"/>
      <c r="AF931" s="47"/>
      <c r="AG931" s="47"/>
      <c r="AH931" s="47"/>
      <c r="AI931" s="47"/>
      <c r="AJ931" s="47"/>
      <c r="AK931" s="47"/>
      <c r="AL931" s="47"/>
      <c r="AM931" s="47"/>
      <c r="AN931" s="47"/>
      <c r="AO931" s="47"/>
      <c r="AP931" s="47"/>
      <c r="AQ931" s="47"/>
      <c r="AR931" s="47"/>
      <c r="AS931" s="47"/>
      <c r="AT931" s="47"/>
      <c r="AU931" s="47"/>
      <c r="AV931" s="47"/>
      <c r="AW931" s="47"/>
      <c r="AX931" s="47"/>
      <c r="AY931" s="47"/>
      <c r="AZ931" s="47"/>
      <c r="BA931" s="47"/>
      <c r="BB931" s="47"/>
      <c r="BC931" s="47"/>
      <c r="BD931" s="47"/>
      <c r="BE931" s="47"/>
      <c r="BF931" s="47"/>
    </row>
    <row r="932" spans="3:58">
      <c r="C932" s="47"/>
      <c r="D932" s="47"/>
      <c r="E932" s="47"/>
      <c r="F932" s="47"/>
      <c r="G932" s="47"/>
      <c r="H932" s="47"/>
      <c r="I932" s="47"/>
      <c r="J932" s="47"/>
      <c r="K932" s="47"/>
      <c r="L932" s="47"/>
      <c r="M932" s="47"/>
      <c r="N932" s="47"/>
      <c r="O932" s="47"/>
      <c r="P932" s="47"/>
      <c r="Q932" s="85"/>
      <c r="R932" s="85"/>
      <c r="S932" s="85"/>
      <c r="T932" s="85"/>
      <c r="U932" s="85"/>
      <c r="V932" s="85"/>
      <c r="W932" s="85"/>
      <c r="X932" s="85"/>
      <c r="Y932" s="85"/>
      <c r="Z932" s="85"/>
      <c r="AA932" s="85"/>
      <c r="AB932" s="85"/>
      <c r="AC932" s="85"/>
      <c r="AD932" s="85"/>
      <c r="AE932" s="47"/>
      <c r="AF932" s="47"/>
      <c r="AG932" s="47"/>
      <c r="AH932" s="47"/>
      <c r="AI932" s="47"/>
      <c r="AJ932" s="47"/>
      <c r="AK932" s="47"/>
      <c r="AL932" s="47"/>
      <c r="AM932" s="47"/>
      <c r="AN932" s="47"/>
      <c r="AO932" s="47"/>
      <c r="AP932" s="47"/>
      <c r="AQ932" s="47"/>
      <c r="AR932" s="47"/>
      <c r="AS932" s="47"/>
      <c r="AT932" s="47"/>
      <c r="AU932" s="47"/>
      <c r="AV932" s="47"/>
      <c r="AW932" s="47"/>
      <c r="AX932" s="47"/>
      <c r="AY932" s="47"/>
      <c r="AZ932" s="47"/>
      <c r="BA932" s="47"/>
      <c r="BB932" s="47"/>
      <c r="BC932" s="47"/>
      <c r="BD932" s="47"/>
      <c r="BE932" s="47"/>
      <c r="BF932" s="47"/>
    </row>
    <row r="933" spans="3:58">
      <c r="C933" s="47"/>
      <c r="D933" s="47"/>
      <c r="E933" s="47"/>
      <c r="F933" s="47"/>
      <c r="G933" s="47"/>
      <c r="H933" s="47"/>
      <c r="I933" s="47"/>
      <c r="J933" s="47"/>
      <c r="K933" s="47"/>
      <c r="L933" s="47"/>
      <c r="M933" s="47"/>
      <c r="N933" s="47"/>
      <c r="O933" s="47"/>
      <c r="P933" s="47"/>
      <c r="Q933" s="85"/>
      <c r="R933" s="85"/>
      <c r="S933" s="85"/>
      <c r="T933" s="85"/>
      <c r="U933" s="85"/>
      <c r="V933" s="85"/>
      <c r="W933" s="85"/>
      <c r="X933" s="85"/>
      <c r="Y933" s="85"/>
      <c r="Z933" s="85"/>
      <c r="AA933" s="85"/>
      <c r="AB933" s="85"/>
      <c r="AC933" s="85"/>
      <c r="AD933" s="85"/>
      <c r="AE933" s="47"/>
      <c r="AF933" s="47"/>
      <c r="AG933" s="47"/>
      <c r="AH933" s="47"/>
      <c r="AI933" s="47"/>
      <c r="AJ933" s="47"/>
      <c r="AK933" s="47"/>
      <c r="AL933" s="47"/>
      <c r="AM933" s="47"/>
      <c r="AN933" s="47"/>
      <c r="AO933" s="47"/>
      <c r="AP933" s="47"/>
      <c r="AQ933" s="47"/>
      <c r="AR933" s="47"/>
      <c r="AS933" s="47"/>
      <c r="AT933" s="47"/>
      <c r="AU933" s="47"/>
      <c r="AV933" s="47"/>
      <c r="AW933" s="47"/>
      <c r="AX933" s="47"/>
      <c r="AY933" s="47"/>
      <c r="AZ933" s="47"/>
      <c r="BA933" s="47"/>
      <c r="BB933" s="47"/>
      <c r="BC933" s="47"/>
      <c r="BD933" s="47"/>
      <c r="BE933" s="47"/>
      <c r="BF933" s="47"/>
    </row>
    <row r="934" spans="3:58">
      <c r="C934" s="47"/>
      <c r="D934" s="47"/>
      <c r="E934" s="47"/>
      <c r="F934" s="47"/>
      <c r="G934" s="47"/>
      <c r="H934" s="47"/>
      <c r="I934" s="47"/>
      <c r="J934" s="47"/>
      <c r="K934" s="47"/>
      <c r="L934" s="47"/>
      <c r="M934" s="47"/>
      <c r="N934" s="47"/>
      <c r="O934" s="47"/>
      <c r="P934" s="47"/>
      <c r="Q934" s="85"/>
      <c r="R934" s="85"/>
      <c r="S934" s="85"/>
      <c r="T934" s="85"/>
      <c r="U934" s="85"/>
      <c r="V934" s="85"/>
      <c r="W934" s="85"/>
      <c r="X934" s="85"/>
      <c r="Y934" s="85"/>
      <c r="Z934" s="85"/>
      <c r="AA934" s="85"/>
      <c r="AB934" s="85"/>
      <c r="AC934" s="85"/>
      <c r="AD934" s="85"/>
      <c r="AE934" s="47"/>
      <c r="AF934" s="47"/>
      <c r="AG934" s="47"/>
      <c r="AH934" s="47"/>
      <c r="AI934" s="47"/>
      <c r="AJ934" s="47"/>
      <c r="AK934" s="47"/>
      <c r="AL934" s="47"/>
      <c r="AM934" s="47"/>
      <c r="AN934" s="47"/>
      <c r="AO934" s="47"/>
      <c r="AP934" s="47"/>
      <c r="AQ934" s="47"/>
      <c r="AR934" s="47"/>
      <c r="AS934" s="47"/>
      <c r="AT934" s="47"/>
      <c r="AU934" s="47"/>
      <c r="AV934" s="47"/>
      <c r="AW934" s="47"/>
      <c r="AX934" s="47"/>
      <c r="AY934" s="47"/>
      <c r="AZ934" s="47"/>
      <c r="BA934" s="47"/>
      <c r="BB934" s="47"/>
      <c r="BC934" s="47"/>
      <c r="BD934" s="47"/>
      <c r="BE934" s="47"/>
      <c r="BF934" s="47"/>
    </row>
    <row r="935" spans="3:58">
      <c r="C935" s="47"/>
      <c r="D935" s="47"/>
      <c r="E935" s="47"/>
      <c r="F935" s="47"/>
      <c r="G935" s="47"/>
      <c r="H935" s="47"/>
      <c r="I935" s="47"/>
      <c r="J935" s="47"/>
      <c r="K935" s="47"/>
      <c r="L935" s="47"/>
      <c r="M935" s="47"/>
      <c r="N935" s="47"/>
      <c r="O935" s="47"/>
      <c r="P935" s="47"/>
      <c r="Q935" s="85"/>
      <c r="R935" s="85"/>
      <c r="S935" s="85"/>
      <c r="T935" s="85"/>
      <c r="U935" s="85"/>
      <c r="V935" s="85"/>
      <c r="W935" s="85"/>
      <c r="X935" s="85"/>
      <c r="Y935" s="85"/>
      <c r="Z935" s="85"/>
      <c r="AA935" s="85"/>
      <c r="AB935" s="85"/>
      <c r="AC935" s="85"/>
      <c r="AD935" s="85"/>
      <c r="AE935" s="47"/>
      <c r="AF935" s="47"/>
      <c r="AG935" s="47"/>
      <c r="AH935" s="47"/>
      <c r="AI935" s="47"/>
      <c r="AJ935" s="47"/>
      <c r="AK935" s="47"/>
      <c r="AL935" s="47"/>
      <c r="AM935" s="47"/>
      <c r="AN935" s="47"/>
      <c r="AO935" s="47"/>
      <c r="AP935" s="47"/>
      <c r="AQ935" s="47"/>
      <c r="AR935" s="47"/>
      <c r="AS935" s="47"/>
      <c r="AT935" s="47"/>
      <c r="AU935" s="47"/>
      <c r="AV935" s="47"/>
      <c r="AW935" s="47"/>
      <c r="AX935" s="47"/>
      <c r="AY935" s="47"/>
      <c r="AZ935" s="47"/>
      <c r="BA935" s="47"/>
      <c r="BB935" s="47"/>
      <c r="BC935" s="47"/>
      <c r="BD935" s="47"/>
      <c r="BE935" s="47"/>
      <c r="BF935" s="47"/>
    </row>
    <row r="936" spans="3:58">
      <c r="C936" s="47"/>
      <c r="D936" s="47"/>
      <c r="E936" s="47"/>
      <c r="F936" s="47"/>
      <c r="G936" s="47"/>
      <c r="H936" s="47"/>
      <c r="I936" s="47"/>
      <c r="J936" s="47"/>
      <c r="K936" s="47"/>
      <c r="L936" s="47"/>
      <c r="M936" s="47"/>
      <c r="N936" s="47"/>
      <c r="O936" s="47"/>
      <c r="P936" s="47"/>
      <c r="Q936" s="85"/>
      <c r="R936" s="85"/>
      <c r="S936" s="85"/>
      <c r="T936" s="85"/>
      <c r="U936" s="85"/>
      <c r="V936" s="85"/>
      <c r="W936" s="85"/>
      <c r="X936" s="85"/>
      <c r="Y936" s="85"/>
      <c r="Z936" s="85"/>
      <c r="AA936" s="85"/>
      <c r="AB936" s="85"/>
      <c r="AC936" s="85"/>
      <c r="AD936" s="85"/>
      <c r="AE936" s="47"/>
      <c r="AF936" s="47"/>
      <c r="AG936" s="47"/>
      <c r="AH936" s="47"/>
      <c r="AI936" s="47"/>
      <c r="AJ936" s="47"/>
      <c r="AK936" s="47"/>
      <c r="AL936" s="47"/>
      <c r="AM936" s="47"/>
      <c r="AN936" s="47"/>
      <c r="AO936" s="47"/>
      <c r="AP936" s="47"/>
      <c r="AQ936" s="47"/>
      <c r="AR936" s="47"/>
      <c r="AS936" s="47"/>
      <c r="AT936" s="47"/>
      <c r="AU936" s="47"/>
      <c r="AV936" s="47"/>
      <c r="AW936" s="47"/>
      <c r="AX936" s="47"/>
      <c r="AY936" s="47"/>
      <c r="AZ936" s="47"/>
      <c r="BA936" s="47"/>
      <c r="BB936" s="47"/>
      <c r="BC936" s="47"/>
      <c r="BD936" s="47"/>
      <c r="BE936" s="47"/>
      <c r="BF936" s="47"/>
    </row>
    <row r="937" spans="3:58">
      <c r="C937" s="47"/>
      <c r="D937" s="47"/>
      <c r="E937" s="47"/>
      <c r="F937" s="47"/>
      <c r="G937" s="47"/>
      <c r="H937" s="47"/>
      <c r="I937" s="47"/>
      <c r="J937" s="47"/>
      <c r="K937" s="47"/>
      <c r="L937" s="47"/>
      <c r="M937" s="47"/>
      <c r="N937" s="47"/>
      <c r="O937" s="47"/>
      <c r="P937" s="47"/>
      <c r="Q937" s="85"/>
      <c r="R937" s="85"/>
      <c r="S937" s="85"/>
      <c r="T937" s="85"/>
      <c r="U937" s="85"/>
      <c r="V937" s="85"/>
      <c r="W937" s="85"/>
      <c r="X937" s="85"/>
      <c r="Y937" s="85"/>
      <c r="Z937" s="85"/>
      <c r="AA937" s="85"/>
      <c r="AB937" s="85"/>
      <c r="AC937" s="85"/>
      <c r="AD937" s="85"/>
      <c r="AE937" s="47"/>
      <c r="AF937" s="47"/>
      <c r="AG937" s="47"/>
      <c r="AH937" s="47"/>
      <c r="AI937" s="47"/>
      <c r="AJ937" s="47"/>
      <c r="AK937" s="47"/>
      <c r="AL937" s="47"/>
      <c r="AM937" s="47"/>
      <c r="AN937" s="47"/>
      <c r="AO937" s="47"/>
      <c r="AP937" s="47"/>
      <c r="AQ937" s="47"/>
      <c r="AR937" s="47"/>
      <c r="AS937" s="47"/>
      <c r="AT937" s="47"/>
      <c r="AU937" s="47"/>
      <c r="AV937" s="47"/>
      <c r="AW937" s="47"/>
      <c r="AX937" s="47"/>
      <c r="AY937" s="47"/>
      <c r="AZ937" s="47"/>
      <c r="BA937" s="47"/>
      <c r="BB937" s="47"/>
      <c r="BC937" s="47"/>
      <c r="BD937" s="47"/>
      <c r="BE937" s="47"/>
      <c r="BF937" s="47"/>
    </row>
    <row r="938" spans="3:58">
      <c r="C938" s="47"/>
      <c r="D938" s="47"/>
      <c r="E938" s="47"/>
      <c r="F938" s="47"/>
      <c r="G938" s="47"/>
      <c r="H938" s="47"/>
      <c r="I938" s="47"/>
      <c r="J938" s="47"/>
      <c r="K938" s="47"/>
      <c r="L938" s="47"/>
      <c r="M938" s="47"/>
      <c r="N938" s="47"/>
      <c r="O938" s="47"/>
      <c r="P938" s="47"/>
      <c r="Q938" s="85"/>
      <c r="R938" s="85"/>
      <c r="S938" s="85"/>
      <c r="T938" s="85"/>
      <c r="U938" s="85"/>
      <c r="V938" s="85"/>
      <c r="W938" s="85"/>
      <c r="X938" s="85"/>
      <c r="Y938" s="85"/>
      <c r="Z938" s="85"/>
      <c r="AA938" s="85"/>
      <c r="AB938" s="85"/>
      <c r="AC938" s="85"/>
      <c r="AD938" s="85"/>
      <c r="AE938" s="47"/>
      <c r="AF938" s="47"/>
      <c r="AG938" s="47"/>
      <c r="AH938" s="47"/>
      <c r="AI938" s="47"/>
      <c r="AJ938" s="47"/>
      <c r="AK938" s="47"/>
      <c r="AL938" s="47"/>
      <c r="AM938" s="47"/>
      <c r="AN938" s="47"/>
      <c r="AO938" s="47"/>
      <c r="AP938" s="47"/>
      <c r="AQ938" s="47"/>
      <c r="AR938" s="47"/>
      <c r="AS938" s="47"/>
      <c r="AT938" s="47"/>
      <c r="AU938" s="47"/>
      <c r="AV938" s="47"/>
      <c r="AW938" s="47"/>
      <c r="AX938" s="47"/>
      <c r="AY938" s="47"/>
      <c r="AZ938" s="47"/>
      <c r="BA938" s="47"/>
      <c r="BB938" s="47"/>
      <c r="BC938" s="47"/>
      <c r="BD938" s="47"/>
      <c r="BE938" s="47"/>
      <c r="BF938" s="47"/>
    </row>
    <row r="939" spans="3:58">
      <c r="C939" s="47"/>
      <c r="D939" s="47"/>
      <c r="E939" s="47"/>
      <c r="F939" s="47"/>
      <c r="G939" s="47"/>
      <c r="H939" s="47"/>
      <c r="I939" s="47"/>
      <c r="J939" s="47"/>
      <c r="K939" s="47"/>
      <c r="L939" s="47"/>
      <c r="M939" s="47"/>
      <c r="N939" s="47"/>
      <c r="O939" s="47"/>
      <c r="P939" s="47"/>
      <c r="Q939" s="85"/>
      <c r="R939" s="85"/>
      <c r="S939" s="85"/>
      <c r="T939" s="85"/>
      <c r="U939" s="85"/>
      <c r="V939" s="85"/>
      <c r="W939" s="85"/>
      <c r="X939" s="85"/>
      <c r="Y939" s="85"/>
      <c r="Z939" s="85"/>
      <c r="AA939" s="85"/>
      <c r="AB939" s="85"/>
      <c r="AC939" s="85"/>
      <c r="AD939" s="85"/>
      <c r="AE939" s="47"/>
      <c r="AF939" s="47"/>
      <c r="AG939" s="47"/>
      <c r="AH939" s="47"/>
      <c r="AI939" s="47"/>
      <c r="AJ939" s="47"/>
      <c r="AK939" s="47"/>
      <c r="AL939" s="47"/>
      <c r="AM939" s="47"/>
      <c r="AN939" s="47"/>
      <c r="AO939" s="47"/>
      <c r="AP939" s="47"/>
      <c r="AQ939" s="47"/>
      <c r="AR939" s="47"/>
      <c r="AS939" s="47"/>
      <c r="AT939" s="47"/>
      <c r="AU939" s="47"/>
      <c r="AV939" s="47"/>
      <c r="AW939" s="47"/>
      <c r="AX939" s="47"/>
      <c r="AY939" s="47"/>
      <c r="AZ939" s="47"/>
      <c r="BA939" s="47"/>
      <c r="BB939" s="47"/>
      <c r="BC939" s="47"/>
      <c r="BD939" s="47"/>
      <c r="BE939" s="47"/>
      <c r="BF939" s="47"/>
    </row>
    <row r="940" spans="3:58">
      <c r="C940" s="47"/>
      <c r="D940" s="47"/>
      <c r="E940" s="47"/>
      <c r="F940" s="47"/>
      <c r="G940" s="47"/>
      <c r="H940" s="47"/>
      <c r="I940" s="47"/>
      <c r="J940" s="47"/>
      <c r="K940" s="47"/>
      <c r="L940" s="47"/>
      <c r="M940" s="47"/>
      <c r="N940" s="47"/>
      <c r="O940" s="47"/>
      <c r="P940" s="47"/>
      <c r="Q940" s="85"/>
      <c r="R940" s="85"/>
      <c r="S940" s="85"/>
      <c r="T940" s="85"/>
      <c r="U940" s="85"/>
      <c r="V940" s="85"/>
      <c r="W940" s="85"/>
      <c r="X940" s="85"/>
      <c r="Y940" s="85"/>
      <c r="Z940" s="85"/>
      <c r="AA940" s="85"/>
      <c r="AB940" s="85"/>
      <c r="AC940" s="85"/>
      <c r="AD940" s="85"/>
      <c r="AE940" s="47"/>
      <c r="AF940" s="47"/>
      <c r="AG940" s="47"/>
      <c r="AH940" s="47"/>
      <c r="AI940" s="47"/>
      <c r="AJ940" s="47"/>
      <c r="AK940" s="47"/>
      <c r="AL940" s="47"/>
      <c r="AM940" s="47"/>
      <c r="AN940" s="47"/>
      <c r="AO940" s="47"/>
      <c r="AP940" s="47"/>
      <c r="AQ940" s="47"/>
      <c r="AR940" s="47"/>
      <c r="AS940" s="47"/>
      <c r="AT940" s="47"/>
      <c r="AU940" s="47"/>
      <c r="AV940" s="47"/>
      <c r="AW940" s="47"/>
      <c r="AX940" s="47"/>
      <c r="AY940" s="47"/>
      <c r="AZ940" s="47"/>
      <c r="BA940" s="47"/>
      <c r="BB940" s="47"/>
      <c r="BC940" s="47"/>
      <c r="BD940" s="47"/>
      <c r="BE940" s="47"/>
      <c r="BF940" s="47"/>
    </row>
    <row r="941" spans="3:58">
      <c r="C941" s="47"/>
      <c r="D941" s="47"/>
      <c r="E941" s="47"/>
      <c r="F941" s="47"/>
      <c r="G941" s="47"/>
      <c r="H941" s="47"/>
      <c r="I941" s="47"/>
      <c r="J941" s="47"/>
      <c r="K941" s="47"/>
      <c r="L941" s="47"/>
      <c r="M941" s="47"/>
      <c r="N941" s="47"/>
      <c r="O941" s="47"/>
      <c r="P941" s="47"/>
      <c r="Q941" s="85"/>
      <c r="R941" s="85"/>
      <c r="S941" s="85"/>
      <c r="T941" s="85"/>
      <c r="U941" s="85"/>
      <c r="V941" s="85"/>
      <c r="W941" s="85"/>
      <c r="X941" s="85"/>
      <c r="Y941" s="85"/>
      <c r="Z941" s="85"/>
      <c r="AA941" s="85"/>
      <c r="AB941" s="85"/>
      <c r="AC941" s="85"/>
      <c r="AD941" s="85"/>
      <c r="AE941" s="47"/>
      <c r="AF941" s="47"/>
      <c r="AG941" s="47"/>
      <c r="AH941" s="47"/>
      <c r="AI941" s="47"/>
      <c r="AJ941" s="47"/>
      <c r="AK941" s="47"/>
      <c r="AL941" s="47"/>
      <c r="AM941" s="47"/>
      <c r="AN941" s="47"/>
      <c r="AO941" s="47"/>
      <c r="AP941" s="47"/>
      <c r="AQ941" s="47"/>
      <c r="AR941" s="47"/>
      <c r="AS941" s="47"/>
      <c r="AT941" s="47"/>
      <c r="AU941" s="47"/>
      <c r="AV941" s="47"/>
      <c r="AW941" s="47"/>
      <c r="AX941" s="47"/>
      <c r="AY941" s="47"/>
      <c r="AZ941" s="47"/>
      <c r="BA941" s="47"/>
      <c r="BB941" s="47"/>
      <c r="BC941" s="47"/>
      <c r="BD941" s="47"/>
      <c r="BE941" s="47"/>
      <c r="BF941" s="47"/>
    </row>
    <row r="942" spans="3:58">
      <c r="C942" s="47"/>
      <c r="D942" s="47"/>
      <c r="E942" s="47"/>
      <c r="F942" s="47"/>
      <c r="G942" s="47"/>
      <c r="H942" s="47"/>
      <c r="I942" s="47"/>
      <c r="J942" s="47"/>
      <c r="K942" s="47"/>
      <c r="L942" s="47"/>
      <c r="M942" s="47"/>
      <c r="N942" s="47"/>
      <c r="O942" s="47"/>
      <c r="P942" s="47"/>
      <c r="Q942" s="85"/>
      <c r="R942" s="85"/>
      <c r="S942" s="85"/>
      <c r="T942" s="85"/>
      <c r="U942" s="85"/>
      <c r="V942" s="85"/>
      <c r="W942" s="85"/>
      <c r="X942" s="85"/>
      <c r="Y942" s="85"/>
      <c r="Z942" s="85"/>
      <c r="AA942" s="85"/>
      <c r="AB942" s="85"/>
      <c r="AC942" s="85"/>
      <c r="AD942" s="85"/>
      <c r="AE942" s="47"/>
      <c r="AF942" s="47"/>
      <c r="AG942" s="47"/>
      <c r="AH942" s="47"/>
      <c r="AI942" s="47"/>
      <c r="AJ942" s="47"/>
      <c r="AK942" s="47"/>
      <c r="AL942" s="47"/>
      <c r="AM942" s="47"/>
      <c r="AN942" s="47"/>
      <c r="AO942" s="47"/>
      <c r="AP942" s="47"/>
      <c r="AQ942" s="47"/>
      <c r="AR942" s="47"/>
      <c r="AS942" s="47"/>
      <c r="AT942" s="47"/>
      <c r="AU942" s="47"/>
      <c r="AV942" s="47"/>
      <c r="AW942" s="47"/>
      <c r="AX942" s="47"/>
      <c r="AY942" s="47"/>
      <c r="AZ942" s="47"/>
      <c r="BA942" s="47"/>
      <c r="BB942" s="47"/>
      <c r="BC942" s="47"/>
      <c r="BD942" s="47"/>
      <c r="BE942" s="47"/>
      <c r="BF942" s="47"/>
    </row>
    <row r="943" spans="3:58">
      <c r="C943" s="47"/>
      <c r="D943" s="47"/>
      <c r="E943" s="47"/>
      <c r="F943" s="47"/>
      <c r="G943" s="47"/>
      <c r="H943" s="47"/>
      <c r="I943" s="47"/>
      <c r="J943" s="47"/>
      <c r="K943" s="47"/>
      <c r="L943" s="47"/>
      <c r="M943" s="47"/>
      <c r="N943" s="47"/>
      <c r="O943" s="47"/>
      <c r="P943" s="47"/>
      <c r="Q943" s="85"/>
      <c r="R943" s="85"/>
      <c r="S943" s="85"/>
      <c r="T943" s="85"/>
      <c r="U943" s="85"/>
      <c r="V943" s="85"/>
      <c r="W943" s="85"/>
      <c r="X943" s="85"/>
      <c r="Y943" s="85"/>
      <c r="Z943" s="85"/>
      <c r="AA943" s="85"/>
      <c r="AB943" s="85"/>
      <c r="AC943" s="85"/>
      <c r="AD943" s="85"/>
      <c r="AE943" s="47"/>
      <c r="AF943" s="47"/>
      <c r="AG943" s="47"/>
      <c r="AH943" s="47"/>
      <c r="AI943" s="47"/>
      <c r="AJ943" s="47"/>
      <c r="AK943" s="47"/>
      <c r="AL943" s="47"/>
      <c r="AM943" s="47"/>
      <c r="AN943" s="47"/>
      <c r="AO943" s="47"/>
      <c r="AP943" s="47"/>
      <c r="AQ943" s="47"/>
      <c r="AR943" s="47"/>
      <c r="AS943" s="47"/>
      <c r="AT943" s="47"/>
      <c r="AU943" s="47"/>
      <c r="AV943" s="47"/>
      <c r="AW943" s="47"/>
      <c r="AX943" s="47"/>
      <c r="AY943" s="47"/>
      <c r="AZ943" s="47"/>
      <c r="BA943" s="47"/>
      <c r="BB943" s="47"/>
      <c r="BC943" s="47"/>
      <c r="BD943" s="47"/>
      <c r="BE943" s="47"/>
      <c r="BF943" s="47"/>
    </row>
    <row r="944" spans="3:58">
      <c r="C944" s="47"/>
      <c r="D944" s="47"/>
      <c r="E944" s="47"/>
      <c r="F944" s="47"/>
      <c r="G944" s="47"/>
      <c r="H944" s="47"/>
      <c r="I944" s="47"/>
      <c r="J944" s="47"/>
      <c r="K944" s="47"/>
      <c r="L944" s="47"/>
      <c r="M944" s="47"/>
      <c r="N944" s="47"/>
      <c r="O944" s="47"/>
      <c r="P944" s="47"/>
      <c r="Q944" s="85"/>
      <c r="R944" s="85"/>
      <c r="S944" s="85"/>
      <c r="T944" s="85"/>
      <c r="U944" s="85"/>
      <c r="V944" s="85"/>
      <c r="W944" s="85"/>
      <c r="X944" s="85"/>
      <c r="Y944" s="85"/>
      <c r="Z944" s="85"/>
      <c r="AA944" s="85"/>
      <c r="AB944" s="85"/>
      <c r="AC944" s="85"/>
      <c r="AD944" s="85"/>
      <c r="AE944" s="47"/>
      <c r="AF944" s="47"/>
      <c r="AG944" s="47"/>
      <c r="AH944" s="47"/>
      <c r="AI944" s="47"/>
      <c r="AJ944" s="47"/>
      <c r="AK944" s="47"/>
      <c r="AL944" s="47"/>
      <c r="AM944" s="47"/>
      <c r="AN944" s="47"/>
      <c r="AO944" s="47"/>
      <c r="AP944" s="47"/>
      <c r="AQ944" s="47"/>
      <c r="AR944" s="47"/>
      <c r="AS944" s="47"/>
      <c r="AT944" s="47"/>
      <c r="AU944" s="47"/>
      <c r="AV944" s="47"/>
      <c r="AW944" s="47"/>
      <c r="AX944" s="47"/>
      <c r="AY944" s="47"/>
      <c r="AZ944" s="47"/>
      <c r="BA944" s="47"/>
      <c r="BB944" s="47"/>
      <c r="BC944" s="47"/>
      <c r="BD944" s="47"/>
      <c r="BE944" s="47"/>
      <c r="BF944" s="47"/>
    </row>
    <row r="945" spans="3:58">
      <c r="C945" s="47"/>
      <c r="D945" s="47"/>
      <c r="E945" s="47"/>
      <c r="F945" s="47"/>
      <c r="G945" s="47"/>
      <c r="H945" s="47"/>
      <c r="I945" s="47"/>
      <c r="J945" s="47"/>
      <c r="K945" s="47"/>
      <c r="L945" s="47"/>
      <c r="M945" s="47"/>
      <c r="N945" s="47"/>
      <c r="O945" s="47"/>
      <c r="P945" s="47"/>
      <c r="Q945" s="85"/>
      <c r="R945" s="85"/>
      <c r="S945" s="85"/>
      <c r="T945" s="85"/>
      <c r="U945" s="85"/>
      <c r="V945" s="85"/>
      <c r="W945" s="85"/>
      <c r="X945" s="85"/>
      <c r="Y945" s="85"/>
      <c r="Z945" s="85"/>
      <c r="AA945" s="85"/>
      <c r="AB945" s="85"/>
      <c r="AC945" s="85"/>
      <c r="AD945" s="85"/>
      <c r="AE945" s="47"/>
      <c r="AF945" s="47"/>
      <c r="AG945" s="47"/>
      <c r="AH945" s="47"/>
      <c r="AI945" s="47"/>
      <c r="AJ945" s="47"/>
      <c r="AK945" s="47"/>
      <c r="AL945" s="47"/>
      <c r="AM945" s="47"/>
      <c r="AN945" s="47"/>
      <c r="AO945" s="47"/>
      <c r="AP945" s="47"/>
      <c r="AQ945" s="47"/>
      <c r="AR945" s="47"/>
      <c r="AS945" s="47"/>
      <c r="AT945" s="47"/>
      <c r="AU945" s="47"/>
      <c r="AV945" s="47"/>
      <c r="AW945" s="47"/>
      <c r="AX945" s="47"/>
      <c r="AY945" s="47"/>
      <c r="AZ945" s="47"/>
      <c r="BA945" s="47"/>
      <c r="BB945" s="47"/>
      <c r="BC945" s="47"/>
      <c r="BD945" s="47"/>
      <c r="BE945" s="47"/>
      <c r="BF945" s="47"/>
    </row>
    <row r="946" spans="3:58">
      <c r="C946" s="47"/>
      <c r="D946" s="47"/>
      <c r="E946" s="47"/>
      <c r="F946" s="47"/>
      <c r="G946" s="47"/>
      <c r="H946" s="47"/>
      <c r="I946" s="47"/>
      <c r="J946" s="47"/>
      <c r="K946" s="47"/>
      <c r="L946" s="47"/>
      <c r="M946" s="47"/>
      <c r="N946" s="47"/>
      <c r="O946" s="47"/>
      <c r="P946" s="47"/>
      <c r="Q946" s="85"/>
      <c r="R946" s="85"/>
      <c r="S946" s="85"/>
      <c r="T946" s="85"/>
      <c r="U946" s="85"/>
      <c r="V946" s="85"/>
      <c r="W946" s="85"/>
      <c r="X946" s="85"/>
      <c r="Y946" s="85"/>
      <c r="Z946" s="85"/>
      <c r="AA946" s="85"/>
      <c r="AB946" s="85"/>
      <c r="AC946" s="85"/>
      <c r="AD946" s="85"/>
      <c r="AE946" s="47"/>
      <c r="AF946" s="47"/>
      <c r="AG946" s="47"/>
      <c r="AH946" s="47"/>
      <c r="AI946" s="47"/>
      <c r="AJ946" s="47"/>
      <c r="AK946" s="47"/>
      <c r="AL946" s="47"/>
      <c r="AM946" s="47"/>
      <c r="AN946" s="47"/>
      <c r="AO946" s="47"/>
      <c r="AP946" s="47"/>
      <c r="AQ946" s="47"/>
      <c r="AR946" s="47"/>
      <c r="AS946" s="47"/>
      <c r="AT946" s="47"/>
      <c r="AU946" s="47"/>
      <c r="AV946" s="47"/>
      <c r="AW946" s="47"/>
      <c r="AX946" s="47"/>
      <c r="AY946" s="47"/>
      <c r="AZ946" s="47"/>
      <c r="BA946" s="47"/>
      <c r="BB946" s="47"/>
      <c r="BC946" s="47"/>
      <c r="BD946" s="47"/>
      <c r="BE946" s="47"/>
      <c r="BF946" s="47"/>
    </row>
    <row r="947" spans="3:58">
      <c r="C947" s="47"/>
      <c r="D947" s="47"/>
      <c r="E947" s="47"/>
      <c r="F947" s="47"/>
      <c r="G947" s="47"/>
      <c r="H947" s="47"/>
      <c r="I947" s="47"/>
      <c r="J947" s="47"/>
      <c r="K947" s="47"/>
      <c r="L947" s="47"/>
      <c r="M947" s="47"/>
      <c r="N947" s="47"/>
      <c r="O947" s="47"/>
      <c r="P947" s="47"/>
      <c r="Q947" s="85"/>
      <c r="R947" s="85"/>
      <c r="S947" s="85"/>
      <c r="T947" s="85"/>
      <c r="U947" s="85"/>
      <c r="V947" s="85"/>
      <c r="W947" s="85"/>
      <c r="X947" s="85"/>
      <c r="Y947" s="85"/>
      <c r="Z947" s="85"/>
      <c r="AA947" s="85"/>
      <c r="AB947" s="85"/>
      <c r="AC947" s="85"/>
      <c r="AD947" s="85"/>
      <c r="AE947" s="47"/>
      <c r="AF947" s="47"/>
      <c r="AG947" s="47"/>
      <c r="AH947" s="47"/>
      <c r="AI947" s="47"/>
      <c r="AJ947" s="47"/>
      <c r="AK947" s="47"/>
      <c r="AL947" s="47"/>
      <c r="AM947" s="47"/>
      <c r="AN947" s="47"/>
      <c r="AO947" s="47"/>
      <c r="AP947" s="47"/>
      <c r="AQ947" s="47"/>
      <c r="AR947" s="47"/>
      <c r="AS947" s="47"/>
      <c r="AT947" s="47"/>
      <c r="AU947" s="47"/>
      <c r="AV947" s="47"/>
      <c r="AW947" s="47"/>
      <c r="AX947" s="47"/>
      <c r="AY947" s="47"/>
      <c r="AZ947" s="47"/>
      <c r="BA947" s="47"/>
      <c r="BB947" s="47"/>
      <c r="BC947" s="47"/>
      <c r="BD947" s="47"/>
      <c r="BE947" s="47"/>
      <c r="BF947" s="47"/>
    </row>
    <row r="948" spans="3:58">
      <c r="C948" s="47"/>
      <c r="D948" s="47"/>
      <c r="E948" s="47"/>
      <c r="F948" s="47"/>
      <c r="G948" s="47"/>
      <c r="H948" s="47"/>
      <c r="I948" s="47"/>
      <c r="J948" s="47"/>
      <c r="K948" s="47"/>
      <c r="L948" s="47"/>
      <c r="M948" s="47"/>
      <c r="N948" s="47"/>
      <c r="O948" s="47"/>
      <c r="P948" s="47"/>
      <c r="Q948" s="85"/>
      <c r="R948" s="85"/>
      <c r="S948" s="85"/>
      <c r="T948" s="85"/>
      <c r="U948" s="85"/>
      <c r="V948" s="85"/>
      <c r="W948" s="85"/>
      <c r="X948" s="85"/>
      <c r="Y948" s="85"/>
      <c r="Z948" s="85"/>
      <c r="AA948" s="85"/>
      <c r="AB948" s="85"/>
      <c r="AC948" s="85"/>
      <c r="AD948" s="85"/>
      <c r="AE948" s="47"/>
      <c r="AF948" s="47"/>
      <c r="AG948" s="47"/>
      <c r="AH948" s="47"/>
      <c r="AI948" s="47"/>
      <c r="AJ948" s="47"/>
      <c r="AK948" s="47"/>
      <c r="AL948" s="47"/>
      <c r="AM948" s="47"/>
      <c r="AN948" s="47"/>
      <c r="AO948" s="47"/>
      <c r="AP948" s="47"/>
      <c r="AQ948" s="47"/>
      <c r="AR948" s="47"/>
      <c r="AS948" s="47"/>
      <c r="AT948" s="47"/>
      <c r="AU948" s="47"/>
      <c r="AV948" s="47"/>
      <c r="AW948" s="47"/>
      <c r="AX948" s="47"/>
      <c r="AY948" s="47"/>
      <c r="AZ948" s="47"/>
      <c r="BA948" s="47"/>
      <c r="BB948" s="47"/>
      <c r="BC948" s="47"/>
      <c r="BD948" s="47"/>
      <c r="BE948" s="47"/>
      <c r="BF948" s="47"/>
    </row>
    <row r="949" spans="3:58">
      <c r="C949" s="47"/>
      <c r="D949" s="47"/>
      <c r="E949" s="47"/>
      <c r="F949" s="47"/>
      <c r="G949" s="47"/>
      <c r="H949" s="47"/>
      <c r="I949" s="47"/>
      <c r="J949" s="47"/>
      <c r="K949" s="47"/>
      <c r="L949" s="47"/>
      <c r="M949" s="47"/>
      <c r="N949" s="47"/>
      <c r="O949" s="47"/>
      <c r="P949" s="47"/>
      <c r="Q949" s="85"/>
      <c r="R949" s="85"/>
      <c r="S949" s="85"/>
      <c r="T949" s="85"/>
      <c r="U949" s="85"/>
      <c r="V949" s="85"/>
      <c r="W949" s="85"/>
      <c r="X949" s="85"/>
      <c r="Y949" s="85"/>
      <c r="Z949" s="85"/>
      <c r="AA949" s="85"/>
      <c r="AB949" s="85"/>
      <c r="AC949" s="85"/>
      <c r="AD949" s="85"/>
      <c r="AE949" s="47"/>
      <c r="AF949" s="47"/>
      <c r="AG949" s="47"/>
      <c r="AH949" s="47"/>
      <c r="AI949" s="47"/>
      <c r="AJ949" s="47"/>
      <c r="AK949" s="47"/>
      <c r="AL949" s="47"/>
      <c r="AM949" s="47"/>
      <c r="AN949" s="47"/>
      <c r="AO949" s="47"/>
      <c r="AP949" s="47"/>
      <c r="AQ949" s="47"/>
      <c r="AR949" s="47"/>
      <c r="AS949" s="47"/>
      <c r="AT949" s="47"/>
      <c r="AU949" s="47"/>
      <c r="AV949" s="47"/>
      <c r="AW949" s="47"/>
      <c r="AX949" s="47"/>
      <c r="AY949" s="47"/>
      <c r="AZ949" s="47"/>
      <c r="BA949" s="47"/>
      <c r="BB949" s="47"/>
      <c r="BC949" s="47"/>
      <c r="BD949" s="47"/>
      <c r="BE949" s="47"/>
      <c r="BF949" s="47"/>
    </row>
    <row r="950" spans="3:58">
      <c r="C950" s="47"/>
      <c r="D950" s="47"/>
      <c r="E950" s="47"/>
      <c r="F950" s="47"/>
      <c r="G950" s="47"/>
      <c r="H950" s="47"/>
      <c r="I950" s="47"/>
      <c r="J950" s="47"/>
      <c r="K950" s="47"/>
      <c r="L950" s="47"/>
      <c r="M950" s="47"/>
      <c r="N950" s="47"/>
      <c r="O950" s="47"/>
      <c r="P950" s="47"/>
      <c r="Q950" s="85"/>
      <c r="R950" s="85"/>
      <c r="S950" s="85"/>
      <c r="T950" s="85"/>
      <c r="U950" s="85"/>
      <c r="V950" s="85"/>
      <c r="W950" s="85"/>
      <c r="X950" s="85"/>
      <c r="Y950" s="85"/>
      <c r="Z950" s="85"/>
      <c r="AA950" s="85"/>
      <c r="AB950" s="85"/>
      <c r="AC950" s="85"/>
      <c r="AD950" s="85"/>
      <c r="AE950" s="47"/>
      <c r="AF950" s="47"/>
      <c r="AG950" s="47"/>
      <c r="AH950" s="47"/>
      <c r="AI950" s="47"/>
      <c r="AJ950" s="47"/>
      <c r="AK950" s="47"/>
      <c r="AL950" s="47"/>
      <c r="AM950" s="47"/>
      <c r="AN950" s="47"/>
      <c r="AO950" s="47"/>
      <c r="AP950" s="47"/>
      <c r="AQ950" s="47"/>
      <c r="AR950" s="47"/>
      <c r="AS950" s="47"/>
      <c r="AT950" s="47"/>
      <c r="AU950" s="47"/>
      <c r="AV950" s="47"/>
      <c r="AW950" s="47"/>
      <c r="AX950" s="47"/>
      <c r="AY950" s="47"/>
      <c r="AZ950" s="47"/>
      <c r="BA950" s="47"/>
      <c r="BB950" s="47"/>
      <c r="BC950" s="47"/>
      <c r="BD950" s="47"/>
      <c r="BE950" s="47"/>
      <c r="BF950" s="47"/>
    </row>
    <row r="951" spans="3:58">
      <c r="C951" s="47"/>
      <c r="D951" s="47"/>
      <c r="E951" s="47"/>
      <c r="F951" s="47"/>
      <c r="G951" s="47"/>
      <c r="H951" s="47"/>
      <c r="I951" s="47"/>
      <c r="J951" s="47"/>
      <c r="K951" s="47"/>
      <c r="L951" s="47"/>
      <c r="M951" s="47"/>
      <c r="N951" s="47"/>
      <c r="O951" s="47"/>
      <c r="P951" s="47"/>
      <c r="Q951" s="85"/>
      <c r="R951" s="85"/>
      <c r="S951" s="85"/>
      <c r="T951" s="85"/>
      <c r="U951" s="85"/>
      <c r="V951" s="85"/>
      <c r="W951" s="85"/>
      <c r="X951" s="85"/>
      <c r="Y951" s="85"/>
      <c r="Z951" s="85"/>
      <c r="AA951" s="85"/>
      <c r="AB951" s="85"/>
      <c r="AC951" s="85"/>
      <c r="AD951" s="85"/>
      <c r="AE951" s="47"/>
      <c r="AF951" s="47"/>
      <c r="AG951" s="47"/>
      <c r="AH951" s="47"/>
      <c r="AI951" s="47"/>
      <c r="AJ951" s="47"/>
      <c r="AK951" s="47"/>
      <c r="AL951" s="47"/>
      <c r="AM951" s="47"/>
      <c r="AN951" s="47"/>
      <c r="AO951" s="47"/>
      <c r="AP951" s="47"/>
      <c r="AQ951" s="47"/>
      <c r="AR951" s="47"/>
      <c r="AS951" s="47"/>
      <c r="AT951" s="47"/>
      <c r="AU951" s="47"/>
      <c r="AV951" s="47"/>
      <c r="AW951" s="47"/>
      <c r="AX951" s="47"/>
      <c r="AY951" s="47"/>
      <c r="AZ951" s="47"/>
      <c r="BA951" s="47"/>
      <c r="BB951" s="47"/>
      <c r="BC951" s="47"/>
      <c r="BD951" s="47"/>
      <c r="BE951" s="47"/>
      <c r="BF951" s="47"/>
    </row>
    <row r="952" spans="3:58">
      <c r="C952" s="47"/>
      <c r="D952" s="47"/>
      <c r="E952" s="47"/>
      <c r="F952" s="47"/>
      <c r="G952" s="47"/>
      <c r="H952" s="47"/>
      <c r="I952" s="47"/>
      <c r="J952" s="47"/>
      <c r="K952" s="47"/>
      <c r="L952" s="47"/>
      <c r="M952" s="47"/>
      <c r="N952" s="47"/>
      <c r="O952" s="47"/>
      <c r="P952" s="47"/>
      <c r="Q952" s="85"/>
      <c r="R952" s="85"/>
      <c r="S952" s="85"/>
      <c r="T952" s="85"/>
      <c r="U952" s="85"/>
      <c r="V952" s="85"/>
      <c r="W952" s="85"/>
      <c r="X952" s="85"/>
      <c r="Y952" s="85"/>
      <c r="Z952" s="85"/>
      <c r="AA952" s="85"/>
      <c r="AB952" s="85"/>
      <c r="AC952" s="85"/>
      <c r="AD952" s="85"/>
      <c r="AE952" s="47"/>
      <c r="AF952" s="47"/>
      <c r="AG952" s="47"/>
      <c r="AH952" s="47"/>
      <c r="AI952" s="47"/>
      <c r="AJ952" s="47"/>
      <c r="AK952" s="47"/>
      <c r="AL952" s="47"/>
      <c r="AM952" s="47"/>
      <c r="AN952" s="47"/>
      <c r="AO952" s="47"/>
      <c r="AP952" s="47"/>
      <c r="AQ952" s="47"/>
      <c r="AR952" s="47"/>
      <c r="AS952" s="47"/>
      <c r="AT952" s="47"/>
      <c r="AU952" s="47"/>
      <c r="AV952" s="47"/>
      <c r="AW952" s="47"/>
      <c r="AX952" s="47"/>
      <c r="AY952" s="47"/>
      <c r="AZ952" s="47"/>
      <c r="BA952" s="47"/>
      <c r="BB952" s="47"/>
      <c r="BC952" s="47"/>
      <c r="BD952" s="47"/>
      <c r="BE952" s="47"/>
      <c r="BF952" s="47"/>
    </row>
    <row r="953" spans="3:58">
      <c r="C953" s="47"/>
      <c r="D953" s="47"/>
      <c r="E953" s="47"/>
      <c r="F953" s="47"/>
      <c r="G953" s="47"/>
      <c r="H953" s="47"/>
      <c r="I953" s="47"/>
      <c r="J953" s="47"/>
      <c r="K953" s="47"/>
      <c r="L953" s="47"/>
      <c r="M953" s="47"/>
      <c r="N953" s="47"/>
      <c r="O953" s="47"/>
      <c r="P953" s="47"/>
      <c r="Q953" s="85"/>
      <c r="R953" s="85"/>
      <c r="S953" s="85"/>
      <c r="T953" s="85"/>
      <c r="U953" s="85"/>
      <c r="V953" s="85"/>
      <c r="W953" s="85"/>
      <c r="X953" s="85"/>
      <c r="Y953" s="85"/>
      <c r="Z953" s="85"/>
      <c r="AA953" s="85"/>
      <c r="AB953" s="85"/>
      <c r="AC953" s="85"/>
      <c r="AD953" s="85"/>
      <c r="AE953" s="47"/>
      <c r="AF953" s="47"/>
      <c r="AG953" s="47"/>
      <c r="AH953" s="47"/>
      <c r="AI953" s="47"/>
      <c r="AJ953" s="47"/>
      <c r="AK953" s="47"/>
      <c r="AL953" s="47"/>
      <c r="AM953" s="47"/>
      <c r="AN953" s="47"/>
      <c r="AO953" s="47"/>
      <c r="AP953" s="47"/>
      <c r="AQ953" s="47"/>
      <c r="AR953" s="47"/>
      <c r="AS953" s="47"/>
      <c r="AT953" s="47"/>
      <c r="AU953" s="47"/>
      <c r="AV953" s="47"/>
      <c r="AW953" s="47"/>
      <c r="AX953" s="47"/>
      <c r="AY953" s="47"/>
      <c r="AZ953" s="47"/>
      <c r="BA953" s="47"/>
      <c r="BB953" s="47"/>
      <c r="BC953" s="47"/>
      <c r="BD953" s="47"/>
      <c r="BE953" s="47"/>
      <c r="BF953" s="47"/>
    </row>
    <row r="954" spans="3:58">
      <c r="C954" s="47"/>
      <c r="D954" s="47"/>
      <c r="E954" s="47"/>
      <c r="F954" s="47"/>
      <c r="G954" s="47"/>
      <c r="H954" s="47"/>
      <c r="I954" s="47"/>
      <c r="J954" s="47"/>
      <c r="K954" s="47"/>
      <c r="L954" s="47"/>
      <c r="M954" s="47"/>
      <c r="N954" s="47"/>
      <c r="O954" s="47"/>
      <c r="P954" s="47"/>
      <c r="Q954" s="85"/>
      <c r="R954" s="85"/>
      <c r="S954" s="85"/>
      <c r="T954" s="85"/>
      <c r="U954" s="85"/>
      <c r="V954" s="85"/>
      <c r="W954" s="85"/>
      <c r="X954" s="85"/>
      <c r="Y954" s="85"/>
      <c r="Z954" s="85"/>
      <c r="AA954" s="85"/>
      <c r="AB954" s="85"/>
      <c r="AC954" s="85"/>
      <c r="AD954" s="85"/>
      <c r="AE954" s="47"/>
      <c r="AF954" s="47"/>
      <c r="AG954" s="47"/>
      <c r="AH954" s="47"/>
      <c r="AI954" s="47"/>
      <c r="AJ954" s="47"/>
      <c r="AK954" s="47"/>
      <c r="AL954" s="47"/>
      <c r="AM954" s="47"/>
      <c r="AN954" s="47"/>
      <c r="AO954" s="47"/>
      <c r="AP954" s="47"/>
      <c r="AQ954" s="47"/>
      <c r="AR954" s="47"/>
      <c r="AS954" s="47"/>
      <c r="AT954" s="47"/>
      <c r="AU954" s="47"/>
      <c r="AV954" s="47"/>
      <c r="AW954" s="47"/>
      <c r="AX954" s="47"/>
      <c r="AY954" s="47"/>
      <c r="AZ954" s="47"/>
      <c r="BA954" s="47"/>
      <c r="BB954" s="47"/>
      <c r="BC954" s="47"/>
      <c r="BD954" s="47"/>
      <c r="BE954" s="47"/>
      <c r="BF954" s="47"/>
    </row>
    <row r="955" spans="3:58">
      <c r="C955" s="47"/>
      <c r="D955" s="47"/>
      <c r="E955" s="47"/>
      <c r="F955" s="47"/>
      <c r="G955" s="47"/>
      <c r="H955" s="47"/>
      <c r="I955" s="47"/>
      <c r="J955" s="47"/>
      <c r="K955" s="47"/>
      <c r="L955" s="47"/>
      <c r="M955" s="47"/>
      <c r="N955" s="47"/>
      <c r="O955" s="47"/>
      <c r="P955" s="47"/>
      <c r="Q955" s="85"/>
      <c r="R955" s="85"/>
      <c r="S955" s="85"/>
      <c r="T955" s="85"/>
      <c r="U955" s="85"/>
      <c r="V955" s="85"/>
      <c r="W955" s="85"/>
      <c r="X955" s="85"/>
      <c r="Y955" s="85"/>
      <c r="Z955" s="85"/>
      <c r="AA955" s="85"/>
      <c r="AB955" s="85"/>
      <c r="AC955" s="85"/>
      <c r="AD955" s="85"/>
      <c r="AE955" s="47"/>
      <c r="AF955" s="47"/>
      <c r="AG955" s="47"/>
      <c r="AH955" s="47"/>
      <c r="AI955" s="47"/>
      <c r="AJ955" s="47"/>
      <c r="AK955" s="47"/>
      <c r="AL955" s="47"/>
      <c r="AM955" s="47"/>
      <c r="AN955" s="47"/>
      <c r="AO955" s="47"/>
      <c r="AP955" s="47"/>
      <c r="AQ955" s="47"/>
      <c r="AR955" s="47"/>
      <c r="AS955" s="47"/>
      <c r="AT955" s="47"/>
      <c r="AU955" s="47"/>
      <c r="AV955" s="47"/>
      <c r="AW955" s="47"/>
      <c r="AX955" s="47"/>
      <c r="AY955" s="47"/>
      <c r="AZ955" s="47"/>
      <c r="BA955" s="47"/>
      <c r="BB955" s="47"/>
      <c r="BC955" s="47"/>
      <c r="BD955" s="47"/>
      <c r="BE955" s="47"/>
      <c r="BF955" s="47"/>
    </row>
    <row r="956" spans="3:58">
      <c r="C956" s="47"/>
      <c r="D956" s="47"/>
      <c r="E956" s="47"/>
      <c r="F956" s="47"/>
      <c r="G956" s="47"/>
      <c r="H956" s="47"/>
      <c r="I956" s="47"/>
      <c r="J956" s="47"/>
      <c r="K956" s="47"/>
      <c r="L956" s="47"/>
      <c r="M956" s="47"/>
      <c r="N956" s="47"/>
      <c r="O956" s="47"/>
      <c r="P956" s="47"/>
      <c r="Q956" s="85"/>
      <c r="R956" s="85"/>
      <c r="S956" s="85"/>
      <c r="T956" s="85"/>
      <c r="U956" s="85"/>
      <c r="V956" s="85"/>
      <c r="W956" s="85"/>
      <c r="X956" s="85"/>
      <c r="Y956" s="85"/>
      <c r="Z956" s="85"/>
      <c r="AA956" s="85"/>
      <c r="AB956" s="85"/>
      <c r="AC956" s="85"/>
      <c r="AD956" s="85"/>
      <c r="AE956" s="47"/>
      <c r="AF956" s="47"/>
      <c r="AG956" s="47"/>
      <c r="AH956" s="47"/>
      <c r="AI956" s="47"/>
      <c r="AJ956" s="47"/>
      <c r="AK956" s="47"/>
      <c r="AL956" s="47"/>
      <c r="AM956" s="47"/>
      <c r="AN956" s="47"/>
      <c r="AO956" s="47"/>
      <c r="AP956" s="47"/>
      <c r="AQ956" s="47"/>
      <c r="AR956" s="47"/>
      <c r="AS956" s="47"/>
      <c r="AT956" s="47"/>
      <c r="AU956" s="47"/>
      <c r="AV956" s="47"/>
      <c r="AW956" s="47"/>
      <c r="AX956" s="47"/>
      <c r="AY956" s="47"/>
      <c r="AZ956" s="47"/>
      <c r="BA956" s="47"/>
      <c r="BB956" s="47"/>
      <c r="BC956" s="47"/>
      <c r="BD956" s="47"/>
      <c r="BE956" s="47"/>
      <c r="BF956" s="47"/>
    </row>
    <row r="957" spans="3:58">
      <c r="C957" s="47"/>
      <c r="D957" s="47"/>
      <c r="E957" s="47"/>
      <c r="F957" s="47"/>
      <c r="G957" s="47"/>
      <c r="H957" s="47"/>
      <c r="I957" s="47"/>
      <c r="J957" s="47"/>
      <c r="K957" s="47"/>
      <c r="L957" s="47"/>
      <c r="M957" s="47"/>
      <c r="N957" s="47"/>
      <c r="O957" s="47"/>
      <c r="P957" s="47"/>
      <c r="Q957" s="85"/>
      <c r="R957" s="85"/>
      <c r="S957" s="85"/>
      <c r="T957" s="85"/>
      <c r="U957" s="85"/>
      <c r="V957" s="85"/>
      <c r="W957" s="85"/>
      <c r="X957" s="85"/>
      <c r="Y957" s="85"/>
      <c r="Z957" s="85"/>
      <c r="AA957" s="85"/>
      <c r="AB957" s="85"/>
      <c r="AC957" s="85"/>
      <c r="AD957" s="85"/>
      <c r="AE957" s="47"/>
      <c r="AF957" s="47"/>
      <c r="AG957" s="47"/>
      <c r="AH957" s="47"/>
      <c r="AI957" s="47"/>
      <c r="AJ957" s="47"/>
      <c r="AK957" s="47"/>
      <c r="AL957" s="47"/>
      <c r="AM957" s="47"/>
      <c r="AN957" s="47"/>
      <c r="AO957" s="47"/>
      <c r="AP957" s="47"/>
      <c r="AQ957" s="47"/>
      <c r="AR957" s="47"/>
      <c r="AS957" s="47"/>
      <c r="AT957" s="47"/>
      <c r="AU957" s="47"/>
      <c r="AV957" s="47"/>
      <c r="AW957" s="47"/>
      <c r="AX957" s="47"/>
      <c r="AY957" s="47"/>
      <c r="AZ957" s="47"/>
      <c r="BA957" s="47"/>
      <c r="BB957" s="47"/>
      <c r="BC957" s="47"/>
      <c r="BD957" s="47"/>
      <c r="BE957" s="47"/>
      <c r="BF957" s="47"/>
    </row>
    <row r="958" spans="3:58">
      <c r="C958" s="47"/>
      <c r="D958" s="47"/>
      <c r="E958" s="47"/>
      <c r="F958" s="47"/>
      <c r="G958" s="47"/>
      <c r="H958" s="47"/>
      <c r="I958" s="47"/>
      <c r="J958" s="47"/>
      <c r="K958" s="47"/>
      <c r="L958" s="47"/>
      <c r="M958" s="47"/>
      <c r="N958" s="47"/>
      <c r="O958" s="47"/>
      <c r="P958" s="47"/>
      <c r="Q958" s="85"/>
      <c r="R958" s="85"/>
      <c r="S958" s="85"/>
      <c r="T958" s="85"/>
      <c r="U958" s="85"/>
      <c r="V958" s="85"/>
      <c r="W958" s="85"/>
      <c r="X958" s="85"/>
      <c r="Y958" s="85"/>
      <c r="Z958" s="85"/>
      <c r="AA958" s="85"/>
      <c r="AB958" s="85"/>
      <c r="AC958" s="85"/>
      <c r="AD958" s="85"/>
      <c r="AE958" s="47"/>
      <c r="AF958" s="47"/>
      <c r="AG958" s="47"/>
      <c r="AH958" s="47"/>
      <c r="AI958" s="47"/>
      <c r="AJ958" s="47"/>
      <c r="AK958" s="47"/>
      <c r="AL958" s="47"/>
      <c r="AM958" s="47"/>
      <c r="AN958" s="47"/>
      <c r="AO958" s="47"/>
      <c r="AP958" s="47"/>
      <c r="AQ958" s="47"/>
      <c r="AR958" s="47"/>
      <c r="AS958" s="47"/>
      <c r="AT958" s="47"/>
      <c r="AU958" s="47"/>
      <c r="AV958" s="47"/>
      <c r="AW958" s="47"/>
      <c r="AX958" s="47"/>
      <c r="AY958" s="47"/>
      <c r="AZ958" s="47"/>
      <c r="BA958" s="47"/>
      <c r="BB958" s="47"/>
      <c r="BC958" s="47"/>
      <c r="BD958" s="47"/>
      <c r="BE958" s="47"/>
      <c r="BF958" s="47"/>
    </row>
    <row r="959" spans="3:58">
      <c r="C959" s="47"/>
      <c r="D959" s="47"/>
      <c r="E959" s="47"/>
      <c r="F959" s="47"/>
      <c r="G959" s="47"/>
      <c r="H959" s="47"/>
      <c r="I959" s="47"/>
      <c r="J959" s="47"/>
      <c r="K959" s="47"/>
      <c r="L959" s="47"/>
      <c r="M959" s="47"/>
      <c r="N959" s="47"/>
      <c r="O959" s="47"/>
      <c r="P959" s="47"/>
      <c r="Q959" s="85"/>
      <c r="R959" s="85"/>
      <c r="S959" s="85"/>
      <c r="T959" s="85"/>
      <c r="U959" s="85"/>
      <c r="V959" s="85"/>
      <c r="W959" s="85"/>
      <c r="X959" s="85"/>
      <c r="Y959" s="85"/>
      <c r="Z959" s="85"/>
      <c r="AA959" s="85"/>
      <c r="AB959" s="85"/>
      <c r="AC959" s="85"/>
      <c r="AD959" s="85"/>
      <c r="AE959" s="47"/>
      <c r="AF959" s="47"/>
      <c r="AG959" s="47"/>
      <c r="AH959" s="47"/>
      <c r="AI959" s="47"/>
      <c r="AJ959" s="47"/>
      <c r="AK959" s="47"/>
      <c r="AL959" s="47"/>
      <c r="AM959" s="47"/>
      <c r="AN959" s="47"/>
      <c r="AO959" s="47"/>
      <c r="AP959" s="47"/>
      <c r="AQ959" s="47"/>
      <c r="AR959" s="47"/>
      <c r="AS959" s="47"/>
      <c r="AT959" s="47"/>
      <c r="AU959" s="47"/>
      <c r="AV959" s="47"/>
      <c r="AW959" s="47"/>
      <c r="AX959" s="47"/>
      <c r="AY959" s="47"/>
      <c r="AZ959" s="47"/>
      <c r="BA959" s="47"/>
      <c r="BB959" s="47"/>
      <c r="BC959" s="47"/>
      <c r="BD959" s="47"/>
      <c r="BE959" s="47"/>
      <c r="BF959" s="47"/>
    </row>
    <row r="960" spans="3:58">
      <c r="C960" s="47"/>
      <c r="D960" s="47"/>
      <c r="E960" s="47"/>
      <c r="F960" s="47"/>
      <c r="G960" s="47"/>
      <c r="H960" s="47"/>
      <c r="I960" s="47"/>
      <c r="J960" s="47"/>
      <c r="K960" s="47"/>
      <c r="L960" s="47"/>
      <c r="M960" s="47"/>
      <c r="N960" s="47"/>
      <c r="O960" s="47"/>
      <c r="P960" s="47"/>
      <c r="Q960" s="85"/>
      <c r="R960" s="85"/>
      <c r="S960" s="85"/>
      <c r="T960" s="85"/>
      <c r="U960" s="85"/>
      <c r="V960" s="85"/>
      <c r="W960" s="85"/>
      <c r="X960" s="85"/>
      <c r="Y960" s="85"/>
      <c r="Z960" s="85"/>
      <c r="AA960" s="85"/>
      <c r="AB960" s="85"/>
      <c r="AC960" s="85"/>
      <c r="AD960" s="85"/>
      <c r="AE960" s="47"/>
      <c r="AF960" s="47"/>
      <c r="AG960" s="47"/>
      <c r="AH960" s="47"/>
      <c r="AI960" s="47"/>
      <c r="AJ960" s="47"/>
      <c r="AK960" s="47"/>
      <c r="AL960" s="47"/>
      <c r="AM960" s="47"/>
      <c r="AN960" s="47"/>
      <c r="AO960" s="47"/>
      <c r="AP960" s="47"/>
      <c r="AQ960" s="47"/>
      <c r="AR960" s="47"/>
      <c r="AS960" s="47"/>
      <c r="AT960" s="47"/>
      <c r="AU960" s="47"/>
      <c r="AV960" s="47"/>
      <c r="AW960" s="47"/>
      <c r="AX960" s="47"/>
      <c r="AY960" s="47"/>
      <c r="AZ960" s="47"/>
      <c r="BA960" s="47"/>
      <c r="BB960" s="47"/>
      <c r="BC960" s="47"/>
      <c r="BD960" s="47"/>
      <c r="BE960" s="47"/>
      <c r="BF960" s="47"/>
    </row>
    <row r="961" spans="3:58">
      <c r="C961" s="47"/>
      <c r="D961" s="47"/>
      <c r="E961" s="47"/>
      <c r="F961" s="47"/>
      <c r="G961" s="47"/>
      <c r="H961" s="47"/>
      <c r="I961" s="47"/>
      <c r="J961" s="47"/>
      <c r="K961" s="47"/>
      <c r="L961" s="47"/>
      <c r="M961" s="47"/>
      <c r="N961" s="47"/>
      <c r="O961" s="47"/>
      <c r="P961" s="47"/>
      <c r="Q961" s="85"/>
      <c r="R961" s="85"/>
      <c r="S961" s="85"/>
      <c r="T961" s="85"/>
      <c r="U961" s="85"/>
      <c r="V961" s="85"/>
      <c r="W961" s="85"/>
      <c r="X961" s="85"/>
      <c r="Y961" s="85"/>
      <c r="Z961" s="85"/>
      <c r="AA961" s="85"/>
      <c r="AB961" s="85"/>
      <c r="AC961" s="85"/>
      <c r="AD961" s="85"/>
      <c r="AE961" s="47"/>
      <c r="AF961" s="47"/>
      <c r="AG961" s="47"/>
      <c r="AH961" s="47"/>
      <c r="AI961" s="47"/>
      <c r="AJ961" s="47"/>
      <c r="AK961" s="47"/>
      <c r="AL961" s="47"/>
      <c r="AM961" s="47"/>
      <c r="AN961" s="47"/>
      <c r="AO961" s="47"/>
      <c r="AP961" s="47"/>
      <c r="AQ961" s="47"/>
      <c r="AR961" s="47"/>
      <c r="AS961" s="47"/>
      <c r="AT961" s="47"/>
      <c r="AU961" s="47"/>
      <c r="AV961" s="47"/>
      <c r="AW961" s="47"/>
      <c r="AX961" s="47"/>
      <c r="AY961" s="47"/>
      <c r="AZ961" s="47"/>
      <c r="BA961" s="47"/>
      <c r="BB961" s="47"/>
      <c r="BC961" s="47"/>
      <c r="BD961" s="47"/>
      <c r="BE961" s="47"/>
      <c r="BF961" s="47"/>
    </row>
    <row r="962" spans="3:58">
      <c r="C962" s="47"/>
      <c r="D962" s="47"/>
      <c r="E962" s="47"/>
      <c r="F962" s="47"/>
      <c r="G962" s="47"/>
      <c r="H962" s="47"/>
      <c r="I962" s="47"/>
      <c r="J962" s="47"/>
      <c r="K962" s="47"/>
      <c r="L962" s="47"/>
      <c r="M962" s="47"/>
      <c r="N962" s="47"/>
      <c r="O962" s="47"/>
      <c r="P962" s="47"/>
      <c r="Q962" s="85"/>
      <c r="R962" s="85"/>
      <c r="S962" s="85"/>
      <c r="T962" s="85"/>
      <c r="U962" s="85"/>
      <c r="V962" s="85"/>
      <c r="W962" s="85"/>
      <c r="X962" s="85"/>
      <c r="Y962" s="85"/>
      <c r="Z962" s="85"/>
      <c r="AA962" s="85"/>
      <c r="AB962" s="85"/>
      <c r="AC962" s="85"/>
      <c r="AD962" s="85"/>
      <c r="AE962" s="47"/>
      <c r="AF962" s="47"/>
      <c r="AG962" s="47"/>
      <c r="AH962" s="47"/>
      <c r="AI962" s="47"/>
      <c r="AJ962" s="47"/>
      <c r="AK962" s="47"/>
      <c r="AL962" s="47"/>
      <c r="AM962" s="47"/>
      <c r="AN962" s="47"/>
      <c r="AO962" s="47"/>
      <c r="AP962" s="47"/>
      <c r="AQ962" s="47"/>
      <c r="AR962" s="47"/>
      <c r="AS962" s="47"/>
      <c r="AT962" s="47"/>
      <c r="AU962" s="47"/>
      <c r="AV962" s="47"/>
      <c r="AW962" s="47"/>
      <c r="AX962" s="47"/>
      <c r="AY962" s="47"/>
      <c r="AZ962" s="47"/>
      <c r="BA962" s="47"/>
      <c r="BB962" s="47"/>
      <c r="BC962" s="47"/>
      <c r="BD962" s="47"/>
      <c r="BE962" s="47"/>
      <c r="BF962" s="47"/>
    </row>
    <row r="963" spans="3:58">
      <c r="C963" s="47"/>
      <c r="D963" s="47"/>
      <c r="E963" s="47"/>
      <c r="F963" s="47"/>
      <c r="G963" s="47"/>
      <c r="H963" s="47"/>
      <c r="I963" s="47"/>
      <c r="J963" s="47"/>
      <c r="K963" s="47"/>
      <c r="L963" s="47"/>
      <c r="M963" s="47"/>
      <c r="N963" s="47"/>
      <c r="O963" s="47"/>
      <c r="P963" s="47"/>
      <c r="Q963" s="85"/>
      <c r="R963" s="85"/>
      <c r="S963" s="85"/>
      <c r="T963" s="85"/>
      <c r="U963" s="85"/>
      <c r="V963" s="85"/>
      <c r="W963" s="85"/>
      <c r="X963" s="85"/>
      <c r="Y963" s="85"/>
      <c r="Z963" s="85"/>
      <c r="AA963" s="85"/>
      <c r="AB963" s="85"/>
      <c r="AC963" s="85"/>
      <c r="AD963" s="85"/>
      <c r="AE963" s="47"/>
      <c r="AF963" s="47"/>
      <c r="AG963" s="47"/>
      <c r="AH963" s="47"/>
      <c r="AI963" s="47"/>
      <c r="AJ963" s="47"/>
      <c r="AK963" s="47"/>
      <c r="AL963" s="47"/>
      <c r="AM963" s="47"/>
      <c r="AN963" s="47"/>
      <c r="AO963" s="47"/>
      <c r="AP963" s="47"/>
      <c r="AQ963" s="47"/>
      <c r="AR963" s="47"/>
      <c r="AS963" s="47"/>
      <c r="AT963" s="47"/>
      <c r="AU963" s="47"/>
      <c r="AV963" s="47"/>
      <c r="AW963" s="47"/>
      <c r="AX963" s="47"/>
      <c r="AY963" s="47"/>
      <c r="AZ963" s="47"/>
      <c r="BA963" s="47"/>
      <c r="BB963" s="47"/>
      <c r="BC963" s="47"/>
      <c r="BD963" s="47"/>
      <c r="BE963" s="47"/>
      <c r="BF963" s="47"/>
    </row>
    <row r="964" spans="3:58">
      <c r="C964" s="47"/>
      <c r="D964" s="47"/>
      <c r="E964" s="47"/>
      <c r="F964" s="47"/>
      <c r="G964" s="47"/>
      <c r="H964" s="47"/>
      <c r="I964" s="47"/>
      <c r="J964" s="47"/>
      <c r="K964" s="47"/>
      <c r="L964" s="47"/>
      <c r="M964" s="47"/>
      <c r="N964" s="47"/>
      <c r="O964" s="47"/>
      <c r="P964" s="47"/>
      <c r="Q964" s="85"/>
      <c r="R964" s="85"/>
      <c r="S964" s="85"/>
      <c r="T964" s="85"/>
      <c r="U964" s="85"/>
      <c r="V964" s="85"/>
      <c r="W964" s="85"/>
      <c r="X964" s="85"/>
      <c r="Y964" s="85"/>
      <c r="Z964" s="85"/>
      <c r="AA964" s="85"/>
      <c r="AB964" s="85"/>
      <c r="AC964" s="85"/>
      <c r="AD964" s="85"/>
      <c r="AE964" s="47"/>
      <c r="AF964" s="47"/>
      <c r="AG964" s="47"/>
      <c r="AH964" s="47"/>
      <c r="AI964" s="47"/>
      <c r="AJ964" s="47"/>
      <c r="AK964" s="47"/>
      <c r="AL964" s="47"/>
      <c r="AM964" s="47"/>
      <c r="AN964" s="47"/>
      <c r="AO964" s="47"/>
      <c r="AP964" s="47"/>
      <c r="AQ964" s="47"/>
      <c r="AR964" s="47"/>
      <c r="AS964" s="47"/>
      <c r="AT964" s="47"/>
      <c r="AU964" s="47"/>
      <c r="AV964" s="47"/>
      <c r="AW964" s="47"/>
      <c r="AX964" s="47"/>
      <c r="AY964" s="47"/>
      <c r="AZ964" s="47"/>
      <c r="BA964" s="47"/>
      <c r="BB964" s="47"/>
      <c r="BC964" s="47"/>
      <c r="BD964" s="47"/>
      <c r="BE964" s="47"/>
      <c r="BF964" s="47"/>
    </row>
    <row r="965" spans="3:58">
      <c r="C965" s="47"/>
      <c r="D965" s="47"/>
      <c r="E965" s="47"/>
      <c r="F965" s="47"/>
      <c r="G965" s="47"/>
      <c r="H965" s="47"/>
      <c r="I965" s="47"/>
      <c r="J965" s="47"/>
      <c r="K965" s="47"/>
      <c r="L965" s="47"/>
      <c r="M965" s="47"/>
      <c r="N965" s="47"/>
      <c r="O965" s="47"/>
      <c r="P965" s="47"/>
      <c r="Q965" s="85"/>
      <c r="R965" s="85"/>
      <c r="S965" s="85"/>
      <c r="T965" s="85"/>
      <c r="U965" s="85"/>
      <c r="V965" s="85"/>
      <c r="W965" s="85"/>
      <c r="X965" s="85"/>
      <c r="Y965" s="85"/>
      <c r="Z965" s="85"/>
      <c r="AA965" s="85"/>
      <c r="AB965" s="85"/>
      <c r="AC965" s="85"/>
      <c r="AD965" s="85"/>
      <c r="AE965" s="47"/>
      <c r="AF965" s="47"/>
      <c r="AG965" s="47"/>
      <c r="AH965" s="47"/>
      <c r="AI965" s="47"/>
      <c r="AJ965" s="47"/>
      <c r="AK965" s="47"/>
      <c r="AL965" s="47"/>
      <c r="AM965" s="47"/>
      <c r="AN965" s="47"/>
      <c r="AO965" s="47"/>
      <c r="AP965" s="47"/>
      <c r="AQ965" s="47"/>
      <c r="AR965" s="47"/>
      <c r="AS965" s="47"/>
      <c r="AT965" s="47"/>
      <c r="AU965" s="47"/>
      <c r="AV965" s="47"/>
      <c r="AW965" s="47"/>
      <c r="AX965" s="47"/>
      <c r="AY965" s="47"/>
      <c r="AZ965" s="47"/>
      <c r="BA965" s="47"/>
      <c r="BB965" s="47"/>
      <c r="BC965" s="47"/>
      <c r="BD965" s="47"/>
      <c r="BE965" s="47"/>
      <c r="BF965" s="47"/>
    </row>
    <row r="966" spans="3:58">
      <c r="C966" s="47"/>
      <c r="D966" s="47"/>
      <c r="E966" s="47"/>
      <c r="F966" s="47"/>
      <c r="G966" s="47"/>
      <c r="H966" s="47"/>
      <c r="I966" s="47"/>
      <c r="J966" s="47"/>
      <c r="K966" s="47"/>
      <c r="L966" s="47"/>
      <c r="M966" s="47"/>
      <c r="N966" s="47"/>
      <c r="O966" s="47"/>
      <c r="P966" s="47"/>
      <c r="Q966" s="85"/>
      <c r="R966" s="85"/>
      <c r="S966" s="85"/>
      <c r="T966" s="85"/>
      <c r="U966" s="85"/>
      <c r="V966" s="85"/>
      <c r="W966" s="85"/>
      <c r="X966" s="85"/>
      <c r="Y966" s="85"/>
      <c r="Z966" s="85"/>
      <c r="AA966" s="85"/>
      <c r="AB966" s="85"/>
      <c r="AC966" s="85"/>
      <c r="AD966" s="85"/>
      <c r="AE966" s="47"/>
      <c r="AF966" s="47"/>
      <c r="AG966" s="47"/>
      <c r="AH966" s="47"/>
      <c r="AI966" s="47"/>
      <c r="AJ966" s="47"/>
      <c r="AK966" s="47"/>
      <c r="AL966" s="47"/>
      <c r="AM966" s="47"/>
      <c r="AN966" s="47"/>
      <c r="AO966" s="47"/>
      <c r="AP966" s="47"/>
      <c r="AQ966" s="47"/>
      <c r="AR966" s="47"/>
      <c r="AS966" s="47"/>
      <c r="AT966" s="47"/>
      <c r="AU966" s="47"/>
      <c r="AV966" s="47"/>
      <c r="AW966" s="47"/>
      <c r="AX966" s="47"/>
      <c r="AY966" s="47"/>
      <c r="AZ966" s="47"/>
      <c r="BA966" s="47"/>
      <c r="BB966" s="47"/>
      <c r="BC966" s="47"/>
      <c r="BD966" s="47"/>
      <c r="BE966" s="47"/>
      <c r="BF966" s="47"/>
    </row>
    <row r="967" spans="3:58">
      <c r="C967" s="47"/>
      <c r="D967" s="47"/>
      <c r="E967" s="47"/>
      <c r="F967" s="47"/>
      <c r="G967" s="47"/>
      <c r="H967" s="47"/>
      <c r="I967" s="47"/>
      <c r="J967" s="47"/>
      <c r="K967" s="47"/>
      <c r="L967" s="47"/>
      <c r="M967" s="47"/>
      <c r="N967" s="47"/>
      <c r="O967" s="47"/>
      <c r="P967" s="47"/>
      <c r="Q967" s="85"/>
      <c r="R967" s="85"/>
      <c r="S967" s="85"/>
      <c r="T967" s="85"/>
      <c r="U967" s="85"/>
      <c r="V967" s="85"/>
      <c r="W967" s="85"/>
      <c r="X967" s="85"/>
      <c r="Y967" s="85"/>
      <c r="Z967" s="85"/>
      <c r="AA967" s="85"/>
      <c r="AB967" s="85"/>
      <c r="AC967" s="85"/>
      <c r="AD967" s="85"/>
      <c r="AE967" s="47"/>
      <c r="AF967" s="47"/>
      <c r="AG967" s="47"/>
      <c r="AH967" s="47"/>
      <c r="AI967" s="47"/>
      <c r="AJ967" s="47"/>
      <c r="AK967" s="47"/>
      <c r="AL967" s="47"/>
      <c r="AM967" s="47"/>
      <c r="AN967" s="47"/>
      <c r="AO967" s="47"/>
      <c r="AP967" s="47"/>
      <c r="AQ967" s="47"/>
      <c r="AR967" s="47"/>
      <c r="AS967" s="47"/>
      <c r="AT967" s="47"/>
      <c r="AU967" s="47"/>
      <c r="AV967" s="47"/>
      <c r="AW967" s="47"/>
      <c r="AX967" s="47"/>
      <c r="AY967" s="47"/>
      <c r="AZ967" s="47"/>
      <c r="BA967" s="47"/>
      <c r="BB967" s="47"/>
      <c r="BC967" s="47"/>
      <c r="BD967" s="47"/>
      <c r="BE967" s="47"/>
      <c r="BF967" s="47"/>
    </row>
    <row r="968" spans="3:58">
      <c r="C968" s="47"/>
      <c r="D968" s="47"/>
      <c r="E968" s="47"/>
      <c r="F968" s="47"/>
      <c r="G968" s="47"/>
      <c r="H968" s="47"/>
      <c r="I968" s="47"/>
      <c r="J968" s="47"/>
      <c r="K968" s="47"/>
      <c r="L968" s="47"/>
      <c r="M968" s="47"/>
      <c r="N968" s="47"/>
      <c r="O968" s="47"/>
      <c r="P968" s="47"/>
      <c r="Q968" s="85"/>
      <c r="R968" s="85"/>
      <c r="S968" s="85"/>
      <c r="T968" s="85"/>
      <c r="U968" s="85"/>
      <c r="V968" s="85"/>
      <c r="W968" s="85"/>
      <c r="X968" s="85"/>
      <c r="Y968" s="85"/>
      <c r="Z968" s="85"/>
      <c r="AA968" s="85"/>
      <c r="AB968" s="85"/>
      <c r="AC968" s="85"/>
      <c r="AD968" s="85"/>
      <c r="AE968" s="47"/>
      <c r="AF968" s="47"/>
      <c r="AG968" s="47"/>
      <c r="AH968" s="47"/>
      <c r="AI968" s="47"/>
      <c r="AJ968" s="47"/>
      <c r="AK968" s="47"/>
      <c r="AL968" s="47"/>
      <c r="AM968" s="47"/>
      <c r="AN968" s="47"/>
      <c r="AO968" s="47"/>
      <c r="AP968" s="47"/>
      <c r="AQ968" s="47"/>
      <c r="AR968" s="47"/>
      <c r="AS968" s="47"/>
      <c r="AT968" s="47"/>
      <c r="AU968" s="47"/>
      <c r="AV968" s="47"/>
      <c r="AW968" s="47"/>
      <c r="AX968" s="47"/>
      <c r="AY968" s="47"/>
      <c r="AZ968" s="47"/>
      <c r="BA968" s="47"/>
      <c r="BB968" s="47"/>
      <c r="BC968" s="47"/>
      <c r="BD968" s="47"/>
      <c r="BE968" s="47"/>
      <c r="BF968" s="47"/>
    </row>
    <row r="969" spans="3:58">
      <c r="C969" s="47"/>
      <c r="D969" s="47"/>
      <c r="E969" s="47"/>
      <c r="F969" s="47"/>
      <c r="G969" s="47"/>
      <c r="H969" s="47"/>
      <c r="I969" s="47"/>
      <c r="J969" s="47"/>
      <c r="K969" s="47"/>
      <c r="L969" s="47"/>
      <c r="M969" s="47"/>
      <c r="N969" s="47"/>
      <c r="O969" s="47"/>
      <c r="P969" s="47"/>
      <c r="Q969" s="85"/>
      <c r="R969" s="85"/>
      <c r="S969" s="85"/>
      <c r="T969" s="85"/>
      <c r="U969" s="85"/>
      <c r="V969" s="85"/>
      <c r="W969" s="85"/>
      <c r="X969" s="85"/>
      <c r="Y969" s="85"/>
      <c r="Z969" s="85"/>
      <c r="AA969" s="85"/>
      <c r="AB969" s="85"/>
      <c r="AC969" s="85"/>
      <c r="AD969" s="85"/>
      <c r="AE969" s="47"/>
      <c r="AF969" s="47"/>
      <c r="AG969" s="47"/>
      <c r="AH969" s="47"/>
      <c r="AI969" s="47"/>
      <c r="AJ969" s="47"/>
      <c r="AK969" s="47"/>
      <c r="AL969" s="47"/>
      <c r="AM969" s="47"/>
      <c r="AN969" s="47"/>
      <c r="AO969" s="47"/>
      <c r="AP969" s="47"/>
      <c r="AQ969" s="47"/>
      <c r="AR969" s="47"/>
      <c r="AS969" s="47"/>
      <c r="AT969" s="47"/>
      <c r="AU969" s="47"/>
      <c r="AV969" s="47"/>
      <c r="AW969" s="47"/>
      <c r="AX969" s="47"/>
      <c r="AY969" s="47"/>
      <c r="AZ969" s="47"/>
      <c r="BA969" s="47"/>
      <c r="BB969" s="47"/>
      <c r="BC969" s="47"/>
      <c r="BD969" s="47"/>
      <c r="BE969" s="47"/>
      <c r="BF969" s="47"/>
    </row>
    <row r="970" spans="3:58">
      <c r="C970" s="47"/>
      <c r="D970" s="47"/>
      <c r="E970" s="47"/>
      <c r="F970" s="47"/>
      <c r="G970" s="47"/>
      <c r="H970" s="47"/>
      <c r="I970" s="47"/>
      <c r="J970" s="47"/>
      <c r="K970" s="47"/>
      <c r="L970" s="47"/>
      <c r="M970" s="47"/>
      <c r="N970" s="47"/>
      <c r="O970" s="47"/>
      <c r="P970" s="47"/>
      <c r="Q970" s="85"/>
      <c r="R970" s="85"/>
      <c r="S970" s="85"/>
      <c r="T970" s="85"/>
      <c r="U970" s="85"/>
      <c r="V970" s="85"/>
      <c r="W970" s="85"/>
      <c r="X970" s="85"/>
      <c r="Y970" s="85"/>
      <c r="Z970" s="85"/>
      <c r="AA970" s="85"/>
      <c r="AB970" s="85"/>
      <c r="AC970" s="85"/>
      <c r="AD970" s="85"/>
      <c r="AE970" s="47"/>
      <c r="AF970" s="47"/>
      <c r="AG970" s="47"/>
      <c r="AH970" s="47"/>
      <c r="AI970" s="47"/>
      <c r="AJ970" s="47"/>
      <c r="AK970" s="47"/>
      <c r="AL970" s="47"/>
      <c r="AM970" s="47"/>
      <c r="AN970" s="47"/>
      <c r="AO970" s="47"/>
      <c r="AP970" s="47"/>
      <c r="AQ970" s="47"/>
      <c r="AR970" s="47"/>
      <c r="AS970" s="47"/>
      <c r="AT970" s="47"/>
      <c r="AU970" s="47"/>
      <c r="AV970" s="47"/>
      <c r="AW970" s="47"/>
      <c r="AX970" s="47"/>
      <c r="AY970" s="47"/>
      <c r="AZ970" s="47"/>
      <c r="BA970" s="47"/>
      <c r="BB970" s="47"/>
      <c r="BC970" s="47"/>
      <c r="BD970" s="47"/>
      <c r="BE970" s="47"/>
      <c r="BF970" s="47"/>
    </row>
    <row r="971" spans="3:58">
      <c r="C971" s="47"/>
      <c r="D971" s="47"/>
      <c r="E971" s="47"/>
      <c r="F971" s="47"/>
      <c r="G971" s="47"/>
      <c r="H971" s="47"/>
      <c r="I971" s="47"/>
      <c r="J971" s="47"/>
      <c r="K971" s="47"/>
      <c r="L971" s="47"/>
      <c r="M971" s="47"/>
      <c r="N971" s="47"/>
      <c r="O971" s="47"/>
      <c r="P971" s="47"/>
      <c r="Q971" s="85"/>
      <c r="R971" s="85"/>
      <c r="S971" s="85"/>
      <c r="T971" s="85"/>
      <c r="U971" s="85"/>
      <c r="V971" s="85"/>
      <c r="W971" s="85"/>
      <c r="X971" s="85"/>
      <c r="Y971" s="85"/>
      <c r="Z971" s="85"/>
      <c r="AA971" s="85"/>
      <c r="AB971" s="85"/>
      <c r="AC971" s="85"/>
      <c r="AD971" s="85"/>
      <c r="AE971" s="47"/>
      <c r="AF971" s="47"/>
      <c r="AG971" s="47"/>
      <c r="AH971" s="47"/>
      <c r="AI971" s="47"/>
      <c r="AJ971" s="47"/>
      <c r="AK971" s="47"/>
      <c r="AL971" s="47"/>
      <c r="AM971" s="47"/>
      <c r="AN971" s="47"/>
      <c r="AO971" s="47"/>
      <c r="AP971" s="47"/>
      <c r="AQ971" s="47"/>
      <c r="AR971" s="47"/>
      <c r="AS971" s="47"/>
      <c r="AT971" s="47"/>
      <c r="AU971" s="47"/>
      <c r="AV971" s="47"/>
      <c r="AW971" s="47"/>
      <c r="AX971" s="47"/>
      <c r="AY971" s="47"/>
      <c r="AZ971" s="47"/>
      <c r="BA971" s="47"/>
      <c r="BB971" s="47"/>
      <c r="BC971" s="47"/>
      <c r="BD971" s="47"/>
      <c r="BE971" s="47"/>
      <c r="BF971" s="47"/>
    </row>
    <row r="972" spans="3:58">
      <c r="C972" s="47"/>
      <c r="D972" s="47"/>
      <c r="E972" s="47"/>
      <c r="F972" s="47"/>
      <c r="G972" s="47"/>
      <c r="H972" s="47"/>
      <c r="I972" s="47"/>
      <c r="J972" s="47"/>
      <c r="K972" s="47"/>
      <c r="L972" s="47"/>
      <c r="M972" s="47"/>
      <c r="N972" s="47"/>
      <c r="O972" s="47"/>
      <c r="P972" s="47"/>
      <c r="Q972" s="85"/>
      <c r="R972" s="85"/>
      <c r="S972" s="85"/>
      <c r="T972" s="85"/>
      <c r="U972" s="85"/>
      <c r="V972" s="85"/>
      <c r="W972" s="85"/>
      <c r="X972" s="85"/>
      <c r="Y972" s="85"/>
      <c r="Z972" s="85"/>
      <c r="AA972" s="85"/>
      <c r="AB972" s="85"/>
      <c r="AC972" s="85"/>
      <c r="AD972" s="85"/>
      <c r="AE972" s="47"/>
      <c r="AF972" s="47"/>
      <c r="AG972" s="47"/>
      <c r="AH972" s="47"/>
      <c r="AI972" s="47"/>
      <c r="AJ972" s="47"/>
      <c r="AK972" s="47"/>
      <c r="AL972" s="47"/>
      <c r="AM972" s="47"/>
      <c r="AN972" s="47"/>
      <c r="AO972" s="47"/>
      <c r="AP972" s="47"/>
      <c r="AQ972" s="47"/>
      <c r="AR972" s="47"/>
      <c r="AS972" s="47"/>
      <c r="AT972" s="47"/>
      <c r="AU972" s="47"/>
      <c r="AV972" s="47"/>
      <c r="AW972" s="47"/>
      <c r="AX972" s="47"/>
      <c r="AY972" s="47"/>
      <c r="AZ972" s="47"/>
      <c r="BA972" s="47"/>
      <c r="BB972" s="47"/>
      <c r="BC972" s="47"/>
      <c r="BD972" s="47"/>
      <c r="BE972" s="47"/>
      <c r="BF972" s="47"/>
    </row>
    <row r="973" spans="3:58">
      <c r="C973" s="47"/>
      <c r="D973" s="47"/>
      <c r="E973" s="47"/>
      <c r="F973" s="47"/>
      <c r="G973" s="47"/>
      <c r="H973" s="47"/>
      <c r="I973" s="47"/>
      <c r="J973" s="47"/>
      <c r="K973" s="47"/>
      <c r="L973" s="47"/>
      <c r="M973" s="47"/>
      <c r="N973" s="47"/>
      <c r="O973" s="47"/>
      <c r="P973" s="47"/>
      <c r="Q973" s="85"/>
      <c r="R973" s="85"/>
      <c r="S973" s="85"/>
      <c r="T973" s="85"/>
      <c r="U973" s="85"/>
      <c r="V973" s="85"/>
      <c r="W973" s="85"/>
      <c r="X973" s="85"/>
      <c r="Y973" s="85"/>
      <c r="Z973" s="85"/>
      <c r="AA973" s="85"/>
      <c r="AB973" s="85"/>
      <c r="AC973" s="85"/>
      <c r="AD973" s="85"/>
      <c r="AE973" s="47"/>
      <c r="AF973" s="47"/>
      <c r="AG973" s="47"/>
      <c r="AH973" s="47"/>
      <c r="AI973" s="47"/>
      <c r="AJ973" s="47"/>
      <c r="AK973" s="47"/>
      <c r="AL973" s="47"/>
      <c r="AM973" s="47"/>
      <c r="AN973" s="47"/>
      <c r="AO973" s="47"/>
      <c r="AP973" s="47"/>
      <c r="AQ973" s="47"/>
      <c r="AR973" s="47"/>
      <c r="AS973" s="47"/>
      <c r="AT973" s="47"/>
      <c r="AU973" s="47"/>
      <c r="AV973" s="47"/>
      <c r="AW973" s="47"/>
      <c r="AX973" s="47"/>
      <c r="AY973" s="47"/>
      <c r="AZ973" s="47"/>
      <c r="BA973" s="47"/>
      <c r="BB973" s="47"/>
      <c r="BC973" s="47"/>
      <c r="BD973" s="47"/>
      <c r="BE973" s="47"/>
      <c r="BF973" s="47"/>
    </row>
    <row r="974" spans="3:58">
      <c r="C974" s="47"/>
      <c r="D974" s="47"/>
      <c r="E974" s="47"/>
      <c r="F974" s="47"/>
      <c r="G974" s="47"/>
      <c r="H974" s="47"/>
      <c r="I974" s="47"/>
      <c r="J974" s="47"/>
      <c r="K974" s="47"/>
      <c r="L974" s="47"/>
      <c r="M974" s="47"/>
      <c r="N974" s="47"/>
      <c r="O974" s="47"/>
      <c r="P974" s="47"/>
      <c r="Q974" s="85"/>
      <c r="R974" s="85"/>
      <c r="S974" s="85"/>
      <c r="T974" s="85"/>
      <c r="U974" s="85"/>
      <c r="V974" s="85"/>
      <c r="W974" s="85"/>
      <c r="X974" s="85"/>
      <c r="Y974" s="85"/>
      <c r="Z974" s="85"/>
      <c r="AA974" s="85"/>
      <c r="AB974" s="85"/>
      <c r="AC974" s="85"/>
      <c r="AD974" s="85"/>
      <c r="AE974" s="47"/>
      <c r="AF974" s="47"/>
      <c r="AG974" s="47"/>
      <c r="AH974" s="47"/>
      <c r="AI974" s="47"/>
      <c r="AJ974" s="47"/>
      <c r="AK974" s="47"/>
      <c r="AL974" s="47"/>
      <c r="AM974" s="47"/>
      <c r="AN974" s="47"/>
      <c r="AO974" s="47"/>
      <c r="AP974" s="47"/>
      <c r="AQ974" s="47"/>
      <c r="AR974" s="47"/>
      <c r="AS974" s="47"/>
      <c r="AT974" s="47"/>
      <c r="AU974" s="47"/>
      <c r="AV974" s="47"/>
      <c r="AW974" s="47"/>
      <c r="AX974" s="47"/>
      <c r="AY974" s="47"/>
      <c r="AZ974" s="47"/>
      <c r="BA974" s="47"/>
      <c r="BB974" s="47"/>
      <c r="BC974" s="47"/>
      <c r="BD974" s="47"/>
      <c r="BE974" s="47"/>
      <c r="BF974" s="47"/>
    </row>
    <row r="975" spans="3:58">
      <c r="C975" s="47"/>
      <c r="D975" s="47"/>
      <c r="E975" s="47"/>
      <c r="F975" s="47"/>
      <c r="G975" s="47"/>
      <c r="H975" s="47"/>
      <c r="I975" s="47"/>
      <c r="J975" s="47"/>
      <c r="K975" s="47"/>
      <c r="L975" s="47"/>
      <c r="M975" s="47"/>
      <c r="N975" s="47"/>
      <c r="O975" s="47"/>
      <c r="P975" s="47"/>
      <c r="Q975" s="85"/>
      <c r="R975" s="85"/>
      <c r="S975" s="85"/>
      <c r="T975" s="85"/>
      <c r="U975" s="85"/>
      <c r="V975" s="85"/>
      <c r="W975" s="85"/>
      <c r="X975" s="85"/>
      <c r="Y975" s="85"/>
      <c r="Z975" s="85"/>
      <c r="AA975" s="85"/>
      <c r="AB975" s="85"/>
      <c r="AC975" s="85"/>
      <c r="AD975" s="85"/>
      <c r="AE975" s="47"/>
      <c r="AF975" s="47"/>
      <c r="AG975" s="47"/>
      <c r="AH975" s="47"/>
      <c r="AI975" s="47"/>
      <c r="AJ975" s="47"/>
      <c r="AK975" s="47"/>
      <c r="AL975" s="47"/>
      <c r="AM975" s="47"/>
      <c r="AN975" s="47"/>
      <c r="AO975" s="47"/>
      <c r="AP975" s="47"/>
      <c r="AQ975" s="47"/>
      <c r="AR975" s="47"/>
      <c r="AS975" s="47"/>
      <c r="AT975" s="47"/>
      <c r="AU975" s="47"/>
      <c r="AV975" s="47"/>
      <c r="AW975" s="47"/>
      <c r="AX975" s="47"/>
      <c r="AY975" s="47"/>
      <c r="AZ975" s="47"/>
      <c r="BA975" s="47"/>
      <c r="BB975" s="47"/>
      <c r="BC975" s="47"/>
      <c r="BD975" s="47"/>
      <c r="BE975" s="47"/>
      <c r="BF975" s="47"/>
    </row>
    <row r="976" spans="3:58">
      <c r="C976" s="47"/>
      <c r="D976" s="47"/>
      <c r="E976" s="47"/>
      <c r="F976" s="47"/>
      <c r="G976" s="47"/>
      <c r="H976" s="47"/>
      <c r="I976" s="47"/>
      <c r="J976" s="47"/>
      <c r="K976" s="47"/>
      <c r="L976" s="47"/>
      <c r="M976" s="47"/>
      <c r="N976" s="47"/>
      <c r="O976" s="47"/>
      <c r="P976" s="47"/>
      <c r="Q976" s="85"/>
      <c r="R976" s="85"/>
      <c r="S976" s="85"/>
      <c r="T976" s="85"/>
      <c r="U976" s="85"/>
      <c r="V976" s="85"/>
      <c r="W976" s="85"/>
      <c r="X976" s="85"/>
      <c r="Y976" s="85"/>
      <c r="Z976" s="85"/>
      <c r="AA976" s="85"/>
      <c r="AB976" s="85"/>
      <c r="AC976" s="85"/>
      <c r="AD976" s="85"/>
      <c r="AE976" s="47"/>
      <c r="AF976" s="47"/>
      <c r="AG976" s="47"/>
      <c r="AH976" s="47"/>
      <c r="AI976" s="47"/>
      <c r="AJ976" s="47"/>
      <c r="AK976" s="47"/>
      <c r="AL976" s="47"/>
      <c r="AM976" s="47"/>
      <c r="AN976" s="47"/>
      <c r="AO976" s="47"/>
      <c r="AP976" s="47"/>
      <c r="AQ976" s="47"/>
      <c r="AR976" s="47"/>
      <c r="AS976" s="47"/>
      <c r="AT976" s="47"/>
      <c r="AU976" s="47"/>
      <c r="AV976" s="47"/>
      <c r="AW976" s="47"/>
      <c r="AX976" s="47"/>
      <c r="AY976" s="47"/>
      <c r="AZ976" s="47"/>
      <c r="BA976" s="47"/>
      <c r="BB976" s="47"/>
      <c r="BC976" s="47"/>
      <c r="BD976" s="47"/>
      <c r="BE976" s="47"/>
      <c r="BF976" s="47"/>
    </row>
    <row r="977" spans="3:58">
      <c r="C977" s="47"/>
      <c r="D977" s="47"/>
      <c r="E977" s="47"/>
      <c r="F977" s="47"/>
      <c r="G977" s="47"/>
      <c r="H977" s="47"/>
      <c r="I977" s="47"/>
      <c r="J977" s="47"/>
      <c r="K977" s="47"/>
      <c r="L977" s="47"/>
      <c r="M977" s="47"/>
      <c r="N977" s="47"/>
      <c r="O977" s="47"/>
      <c r="P977" s="47"/>
      <c r="Q977" s="85"/>
      <c r="R977" s="85"/>
      <c r="S977" s="85"/>
      <c r="T977" s="85"/>
      <c r="U977" s="85"/>
      <c r="V977" s="85"/>
      <c r="W977" s="85"/>
      <c r="X977" s="85"/>
      <c r="Y977" s="85"/>
      <c r="Z977" s="85"/>
      <c r="AA977" s="85"/>
      <c r="AB977" s="85"/>
      <c r="AC977" s="85"/>
      <c r="AD977" s="85"/>
      <c r="AE977" s="47"/>
      <c r="AF977" s="47"/>
      <c r="AG977" s="47"/>
      <c r="AH977" s="47"/>
      <c r="AI977" s="47"/>
      <c r="AJ977" s="47"/>
      <c r="AK977" s="47"/>
      <c r="AL977" s="47"/>
      <c r="AM977" s="47"/>
      <c r="AN977" s="47"/>
      <c r="AO977" s="47"/>
      <c r="AP977" s="47"/>
      <c r="AQ977" s="47"/>
      <c r="AR977" s="47"/>
      <c r="AS977" s="47"/>
      <c r="AT977" s="47"/>
      <c r="AU977" s="47"/>
      <c r="AV977" s="47"/>
      <c r="AW977" s="47"/>
      <c r="AX977" s="47"/>
      <c r="AY977" s="47"/>
      <c r="AZ977" s="47"/>
      <c r="BA977" s="47"/>
      <c r="BB977" s="47"/>
      <c r="BC977" s="47"/>
      <c r="BD977" s="47"/>
      <c r="BE977" s="47"/>
      <c r="BF977" s="47"/>
    </row>
    <row r="978" spans="3:58">
      <c r="C978" s="47"/>
      <c r="D978" s="47"/>
      <c r="E978" s="47"/>
      <c r="F978" s="47"/>
      <c r="G978" s="47"/>
      <c r="H978" s="47"/>
      <c r="I978" s="47"/>
      <c r="J978" s="47"/>
      <c r="K978" s="47"/>
      <c r="L978" s="47"/>
      <c r="M978" s="47"/>
      <c r="N978" s="47"/>
      <c r="O978" s="47"/>
      <c r="P978" s="47"/>
      <c r="Q978" s="85"/>
      <c r="R978" s="85"/>
      <c r="S978" s="85"/>
      <c r="T978" s="85"/>
      <c r="U978" s="85"/>
      <c r="V978" s="85"/>
      <c r="W978" s="85"/>
      <c r="X978" s="85"/>
      <c r="Y978" s="85"/>
      <c r="Z978" s="85"/>
      <c r="AA978" s="85"/>
      <c r="AB978" s="85"/>
      <c r="AC978" s="85"/>
      <c r="AD978" s="85"/>
      <c r="AE978" s="47"/>
      <c r="AF978" s="47"/>
      <c r="AG978" s="47"/>
      <c r="AH978" s="47"/>
      <c r="AI978" s="47"/>
      <c r="AJ978" s="47"/>
      <c r="AK978" s="47"/>
      <c r="AL978" s="47"/>
      <c r="AM978" s="47"/>
      <c r="AN978" s="47"/>
      <c r="AO978" s="47"/>
      <c r="AP978" s="47"/>
      <c r="AQ978" s="47"/>
      <c r="AR978" s="47"/>
      <c r="AS978" s="47"/>
      <c r="AT978" s="47"/>
      <c r="AU978" s="47"/>
      <c r="AV978" s="47"/>
      <c r="AW978" s="47"/>
      <c r="AX978" s="47"/>
      <c r="AY978" s="47"/>
      <c r="AZ978" s="47"/>
      <c r="BA978" s="47"/>
      <c r="BB978" s="47"/>
      <c r="BC978" s="47"/>
      <c r="BD978" s="47"/>
      <c r="BE978" s="47"/>
      <c r="BF978" s="47"/>
    </row>
    <row r="979" spans="3:58">
      <c r="C979" s="47"/>
      <c r="D979" s="47"/>
      <c r="E979" s="47"/>
      <c r="F979" s="47"/>
      <c r="G979" s="47"/>
      <c r="H979" s="47"/>
      <c r="I979" s="47"/>
      <c r="J979" s="47"/>
      <c r="K979" s="47"/>
      <c r="L979" s="47"/>
      <c r="M979" s="47"/>
      <c r="N979" s="47"/>
      <c r="O979" s="47"/>
      <c r="P979" s="47"/>
      <c r="Q979" s="85"/>
      <c r="R979" s="85"/>
      <c r="S979" s="85"/>
      <c r="T979" s="85"/>
      <c r="U979" s="85"/>
      <c r="V979" s="85"/>
      <c r="W979" s="85"/>
      <c r="X979" s="85"/>
      <c r="Y979" s="85"/>
      <c r="Z979" s="85"/>
      <c r="AA979" s="85"/>
      <c r="AB979" s="85"/>
      <c r="AC979" s="85"/>
      <c r="AD979" s="85"/>
      <c r="AE979" s="47"/>
      <c r="AF979" s="47"/>
      <c r="AG979" s="47"/>
      <c r="AH979" s="47"/>
      <c r="AI979" s="47"/>
      <c r="AJ979" s="47"/>
      <c r="AK979" s="47"/>
      <c r="AL979" s="47"/>
      <c r="AM979" s="47"/>
      <c r="AN979" s="47"/>
      <c r="AO979" s="47"/>
      <c r="AP979" s="47"/>
      <c r="AQ979" s="47"/>
      <c r="AR979" s="47"/>
      <c r="AS979" s="47"/>
      <c r="AT979" s="47"/>
      <c r="AU979" s="47"/>
      <c r="AV979" s="47"/>
      <c r="AW979" s="47"/>
      <c r="AX979" s="47"/>
      <c r="AY979" s="47"/>
      <c r="AZ979" s="47"/>
      <c r="BA979" s="47"/>
      <c r="BB979" s="47"/>
      <c r="BC979" s="47"/>
      <c r="BD979" s="47"/>
      <c r="BE979" s="47"/>
      <c r="BF979" s="47"/>
    </row>
    <row r="980" spans="3:58">
      <c r="C980" s="47"/>
      <c r="D980" s="47"/>
      <c r="E980" s="47"/>
      <c r="F980" s="47"/>
      <c r="G980" s="47"/>
      <c r="H980" s="47"/>
      <c r="I980" s="47"/>
      <c r="J980" s="47"/>
      <c r="K980" s="47"/>
      <c r="L980" s="47"/>
      <c r="M980" s="47"/>
      <c r="N980" s="47"/>
      <c r="O980" s="47"/>
      <c r="P980" s="47"/>
      <c r="Q980" s="85"/>
      <c r="R980" s="85"/>
      <c r="S980" s="85"/>
      <c r="T980" s="85"/>
      <c r="U980" s="85"/>
      <c r="V980" s="85"/>
      <c r="W980" s="85"/>
      <c r="X980" s="85"/>
      <c r="Y980" s="85"/>
      <c r="Z980" s="85"/>
      <c r="AA980" s="85"/>
      <c r="AB980" s="85"/>
      <c r="AC980" s="85"/>
      <c r="AD980" s="85"/>
      <c r="AE980" s="47"/>
      <c r="AF980" s="47"/>
      <c r="AG980" s="47"/>
      <c r="AH980" s="47"/>
      <c r="AI980" s="47"/>
      <c r="AJ980" s="47"/>
      <c r="AK980" s="47"/>
      <c r="AL980" s="47"/>
      <c r="AM980" s="47"/>
      <c r="AN980" s="47"/>
      <c r="AO980" s="47"/>
      <c r="AP980" s="47"/>
      <c r="AQ980" s="47"/>
      <c r="AR980" s="47"/>
      <c r="AS980" s="47"/>
      <c r="AT980" s="47"/>
      <c r="AU980" s="47"/>
      <c r="AV980" s="47"/>
      <c r="AW980" s="47"/>
      <c r="AX980" s="47"/>
      <c r="AY980" s="47"/>
      <c r="AZ980" s="47"/>
      <c r="BA980" s="47"/>
      <c r="BB980" s="47"/>
      <c r="BC980" s="47"/>
      <c r="BD980" s="47"/>
      <c r="BE980" s="47"/>
      <c r="BF980" s="47"/>
    </row>
    <row r="981" spans="3:58">
      <c r="C981" s="47"/>
      <c r="D981" s="47"/>
      <c r="E981" s="47"/>
      <c r="F981" s="47"/>
      <c r="G981" s="47"/>
      <c r="H981" s="47"/>
      <c r="I981" s="47"/>
      <c r="J981" s="47"/>
      <c r="K981" s="47"/>
      <c r="L981" s="47"/>
      <c r="M981" s="47"/>
      <c r="N981" s="47"/>
      <c r="O981" s="47"/>
      <c r="P981" s="47"/>
      <c r="Q981" s="85"/>
      <c r="R981" s="85"/>
      <c r="S981" s="85"/>
      <c r="T981" s="85"/>
      <c r="U981" s="85"/>
      <c r="V981" s="85"/>
      <c r="W981" s="85"/>
      <c r="X981" s="85"/>
      <c r="Y981" s="85"/>
      <c r="Z981" s="85"/>
      <c r="AA981" s="85"/>
      <c r="AB981" s="85"/>
      <c r="AC981" s="85"/>
      <c r="AD981" s="85"/>
      <c r="AE981" s="47"/>
      <c r="AF981" s="47"/>
      <c r="AG981" s="47"/>
      <c r="AH981" s="47"/>
      <c r="AI981" s="47"/>
      <c r="AJ981" s="47"/>
      <c r="AK981" s="47"/>
      <c r="AL981" s="47"/>
      <c r="AM981" s="47"/>
      <c r="AN981" s="47"/>
      <c r="AO981" s="47"/>
      <c r="AP981" s="47"/>
      <c r="AQ981" s="47"/>
      <c r="AR981" s="47"/>
      <c r="AS981" s="47"/>
      <c r="AT981" s="47"/>
      <c r="AU981" s="47"/>
      <c r="AV981" s="47"/>
      <c r="AW981" s="47"/>
      <c r="AX981" s="47"/>
      <c r="AY981" s="47"/>
      <c r="AZ981" s="47"/>
      <c r="BA981" s="47"/>
      <c r="BB981" s="47"/>
      <c r="BC981" s="47"/>
      <c r="BD981" s="47"/>
      <c r="BE981" s="47"/>
      <c r="BF981" s="47"/>
    </row>
    <row r="982" spans="3:58">
      <c r="C982" s="47"/>
      <c r="D982" s="47"/>
      <c r="E982" s="47"/>
      <c r="F982" s="47"/>
      <c r="G982" s="47"/>
      <c r="H982" s="47"/>
      <c r="I982" s="47"/>
      <c r="J982" s="47"/>
      <c r="K982" s="47"/>
      <c r="L982" s="47"/>
      <c r="M982" s="47"/>
      <c r="N982" s="47"/>
      <c r="O982" s="47"/>
      <c r="P982" s="47"/>
      <c r="Q982" s="85"/>
      <c r="R982" s="85"/>
      <c r="S982" s="85"/>
      <c r="T982" s="85"/>
      <c r="U982" s="85"/>
      <c r="V982" s="85"/>
      <c r="W982" s="85"/>
      <c r="X982" s="85"/>
      <c r="Y982" s="85"/>
      <c r="Z982" s="85"/>
      <c r="AA982" s="85"/>
      <c r="AB982" s="85"/>
      <c r="AC982" s="85"/>
      <c r="AD982" s="85"/>
      <c r="AE982" s="47"/>
      <c r="AF982" s="47"/>
      <c r="AG982" s="47"/>
      <c r="AH982" s="47"/>
      <c r="AI982" s="47"/>
      <c r="AJ982" s="47"/>
      <c r="AK982" s="47"/>
      <c r="AL982" s="47"/>
      <c r="AM982" s="47"/>
      <c r="AN982" s="47"/>
      <c r="AO982" s="47"/>
      <c r="AP982" s="47"/>
      <c r="AQ982" s="47"/>
      <c r="AR982" s="47"/>
      <c r="AS982" s="47"/>
      <c r="AT982" s="47"/>
      <c r="AU982" s="47"/>
      <c r="AV982" s="47"/>
      <c r="AW982" s="47"/>
      <c r="AX982" s="47"/>
      <c r="AY982" s="47"/>
      <c r="AZ982" s="47"/>
      <c r="BA982" s="47"/>
      <c r="BB982" s="47"/>
      <c r="BC982" s="47"/>
      <c r="BD982" s="47"/>
      <c r="BE982" s="47"/>
      <c r="BF982" s="47"/>
    </row>
    <row r="983" spans="3:58">
      <c r="C983" s="47"/>
      <c r="D983" s="47"/>
      <c r="E983" s="47"/>
      <c r="F983" s="47"/>
      <c r="G983" s="47"/>
      <c r="H983" s="47"/>
      <c r="I983" s="47"/>
      <c r="J983" s="47"/>
      <c r="K983" s="47"/>
      <c r="L983" s="47"/>
      <c r="M983" s="47"/>
      <c r="N983" s="47"/>
      <c r="O983" s="47"/>
      <c r="P983" s="47"/>
      <c r="Q983" s="85"/>
      <c r="R983" s="85"/>
      <c r="S983" s="85"/>
      <c r="T983" s="85"/>
      <c r="U983" s="85"/>
      <c r="V983" s="85"/>
      <c r="W983" s="85"/>
      <c r="X983" s="85"/>
      <c r="Y983" s="85"/>
      <c r="Z983" s="85"/>
      <c r="AA983" s="85"/>
      <c r="AB983" s="85"/>
      <c r="AC983" s="85"/>
      <c r="AD983" s="85"/>
      <c r="AE983" s="47"/>
      <c r="AF983" s="47"/>
      <c r="AG983" s="47"/>
      <c r="AH983" s="47"/>
      <c r="AI983" s="47"/>
      <c r="AJ983" s="47"/>
      <c r="AK983" s="47"/>
      <c r="AL983" s="47"/>
      <c r="AM983" s="47"/>
      <c r="AN983" s="47"/>
      <c r="AO983" s="47"/>
      <c r="AP983" s="47"/>
      <c r="AQ983" s="47"/>
      <c r="AR983" s="47"/>
      <c r="AS983" s="47"/>
      <c r="AT983" s="47"/>
      <c r="AU983" s="47"/>
      <c r="AV983" s="47"/>
      <c r="AW983" s="47"/>
      <c r="AX983" s="47"/>
      <c r="AY983" s="47"/>
      <c r="AZ983" s="47"/>
      <c r="BA983" s="47"/>
      <c r="BB983" s="47"/>
      <c r="BC983" s="47"/>
      <c r="BD983" s="47"/>
      <c r="BE983" s="47"/>
      <c r="BF983" s="47"/>
    </row>
    <row r="984" spans="3:58">
      <c r="C984" s="47"/>
      <c r="D984" s="47"/>
      <c r="E984" s="47"/>
      <c r="F984" s="47"/>
      <c r="G984" s="47"/>
      <c r="H984" s="47"/>
      <c r="I984" s="47"/>
      <c r="J984" s="47"/>
      <c r="K984" s="47"/>
      <c r="L984" s="47"/>
      <c r="M984" s="47"/>
      <c r="N984" s="47"/>
      <c r="O984" s="47"/>
      <c r="P984" s="47"/>
      <c r="Q984" s="85"/>
      <c r="R984" s="85"/>
      <c r="S984" s="85"/>
      <c r="T984" s="85"/>
      <c r="U984" s="85"/>
      <c r="V984" s="85"/>
      <c r="W984" s="85"/>
      <c r="X984" s="85"/>
      <c r="Y984" s="85"/>
      <c r="Z984" s="85"/>
      <c r="AA984" s="85"/>
      <c r="AB984" s="85"/>
      <c r="AC984" s="85"/>
      <c r="AD984" s="85"/>
      <c r="AE984" s="47"/>
      <c r="AF984" s="47"/>
      <c r="AG984" s="47"/>
      <c r="AH984" s="47"/>
      <c r="AI984" s="47"/>
      <c r="AJ984" s="47"/>
      <c r="AK984" s="47"/>
      <c r="AL984" s="47"/>
      <c r="AM984" s="47"/>
      <c r="AN984" s="47"/>
      <c r="AO984" s="47"/>
      <c r="AP984" s="47"/>
      <c r="AQ984" s="47"/>
      <c r="AR984" s="47"/>
      <c r="AS984" s="47"/>
      <c r="AT984" s="47"/>
      <c r="AU984" s="47"/>
      <c r="AV984" s="47"/>
      <c r="AW984" s="47"/>
      <c r="AX984" s="47"/>
      <c r="AY984" s="47"/>
      <c r="AZ984" s="47"/>
      <c r="BA984" s="47"/>
      <c r="BB984" s="47"/>
      <c r="BC984" s="47"/>
      <c r="BD984" s="47"/>
      <c r="BE984" s="47"/>
      <c r="BF984" s="47"/>
    </row>
    <row r="985" spans="3:58">
      <c r="C985" s="47"/>
      <c r="D985" s="47"/>
      <c r="E985" s="47"/>
      <c r="F985" s="47"/>
      <c r="G985" s="47"/>
      <c r="H985" s="47"/>
      <c r="I985" s="47"/>
      <c r="J985" s="47"/>
      <c r="K985" s="47"/>
      <c r="L985" s="47"/>
      <c r="M985" s="47"/>
      <c r="N985" s="47"/>
      <c r="O985" s="47"/>
      <c r="P985" s="47"/>
      <c r="Q985" s="85"/>
      <c r="R985" s="85"/>
      <c r="S985" s="85"/>
      <c r="T985" s="85"/>
      <c r="U985" s="85"/>
      <c r="V985" s="85"/>
      <c r="W985" s="85"/>
      <c r="X985" s="85"/>
      <c r="Y985" s="85"/>
      <c r="Z985" s="85"/>
      <c r="AA985" s="85"/>
      <c r="AB985" s="85"/>
      <c r="AC985" s="85"/>
      <c r="AD985" s="85"/>
      <c r="AE985" s="47"/>
      <c r="AF985" s="47"/>
      <c r="AG985" s="47"/>
      <c r="AH985" s="47"/>
      <c r="AI985" s="47"/>
      <c r="AJ985" s="47"/>
      <c r="AK985" s="47"/>
      <c r="AL985" s="47"/>
      <c r="AM985" s="47"/>
      <c r="AN985" s="47"/>
      <c r="AO985" s="47"/>
      <c r="AP985" s="47"/>
      <c r="AQ985" s="47"/>
      <c r="AR985" s="47"/>
      <c r="AS985" s="47"/>
      <c r="AT985" s="47"/>
      <c r="AU985" s="47"/>
      <c r="AV985" s="47"/>
      <c r="AW985" s="47"/>
      <c r="AX985" s="47"/>
      <c r="AY985" s="47"/>
      <c r="AZ985" s="47"/>
      <c r="BA985" s="47"/>
      <c r="BB985" s="47"/>
      <c r="BC985" s="47"/>
      <c r="BD985" s="47"/>
      <c r="BE985" s="47"/>
      <c r="BF985" s="47"/>
    </row>
    <row r="986" spans="3:58">
      <c r="C986" s="47"/>
      <c r="D986" s="47"/>
      <c r="E986" s="47"/>
      <c r="F986" s="47"/>
      <c r="G986" s="47"/>
      <c r="H986" s="47"/>
      <c r="I986" s="47"/>
      <c r="J986" s="47"/>
      <c r="K986" s="47"/>
      <c r="L986" s="47"/>
      <c r="M986" s="47"/>
      <c r="N986" s="47"/>
      <c r="O986" s="47"/>
      <c r="P986" s="47"/>
      <c r="Q986" s="85"/>
      <c r="R986" s="85"/>
      <c r="S986" s="85"/>
      <c r="T986" s="85"/>
      <c r="U986" s="85"/>
      <c r="V986" s="85"/>
      <c r="W986" s="85"/>
      <c r="X986" s="85"/>
      <c r="Y986" s="85"/>
      <c r="Z986" s="85"/>
      <c r="AA986" s="85"/>
      <c r="AB986" s="85"/>
      <c r="AC986" s="85"/>
      <c r="AD986" s="85"/>
      <c r="AE986" s="47"/>
      <c r="AF986" s="47"/>
      <c r="AG986" s="47"/>
      <c r="AH986" s="47"/>
      <c r="AI986" s="47"/>
      <c r="AJ986" s="47"/>
      <c r="AK986" s="47"/>
      <c r="AL986" s="47"/>
      <c r="AM986" s="47"/>
      <c r="AN986" s="47"/>
      <c r="AO986" s="47"/>
      <c r="AP986" s="47"/>
      <c r="AQ986" s="47"/>
      <c r="AR986" s="47"/>
      <c r="AS986" s="47"/>
      <c r="AT986" s="47"/>
      <c r="AU986" s="47"/>
      <c r="AV986" s="47"/>
      <c r="AW986" s="47"/>
      <c r="AX986" s="47"/>
      <c r="AY986" s="47"/>
      <c r="AZ986" s="47"/>
      <c r="BA986" s="47"/>
      <c r="BB986" s="47"/>
      <c r="BC986" s="47"/>
      <c r="BD986" s="47"/>
      <c r="BE986" s="47"/>
      <c r="BF986" s="47"/>
    </row>
    <row r="987" spans="3:58">
      <c r="C987" s="47"/>
      <c r="D987" s="47"/>
      <c r="E987" s="47"/>
      <c r="F987" s="47"/>
      <c r="G987" s="47"/>
      <c r="H987" s="47"/>
      <c r="I987" s="47"/>
      <c r="J987" s="47"/>
      <c r="K987" s="47"/>
      <c r="L987" s="47"/>
      <c r="M987" s="47"/>
      <c r="N987" s="47"/>
      <c r="O987" s="47"/>
      <c r="P987" s="47"/>
      <c r="Q987" s="85"/>
      <c r="R987" s="85"/>
      <c r="S987" s="85"/>
      <c r="T987" s="85"/>
      <c r="U987" s="85"/>
      <c r="V987" s="85"/>
      <c r="W987" s="85"/>
      <c r="X987" s="85"/>
      <c r="Y987" s="85"/>
      <c r="Z987" s="85"/>
      <c r="AA987" s="85"/>
      <c r="AB987" s="85"/>
      <c r="AC987" s="85"/>
      <c r="AD987" s="85"/>
      <c r="AE987" s="47"/>
      <c r="AF987" s="47"/>
      <c r="AG987" s="47"/>
      <c r="AH987" s="47"/>
      <c r="AI987" s="47"/>
      <c r="AJ987" s="47"/>
      <c r="AK987" s="47"/>
      <c r="AL987" s="47"/>
      <c r="AM987" s="47"/>
      <c r="AN987" s="47"/>
      <c r="AO987" s="47"/>
      <c r="AP987" s="47"/>
      <c r="AQ987" s="47"/>
      <c r="AR987" s="47"/>
      <c r="AS987" s="47"/>
      <c r="AT987" s="47"/>
      <c r="AU987" s="47"/>
      <c r="AV987" s="47"/>
      <c r="AW987" s="47"/>
      <c r="AX987" s="47"/>
      <c r="AY987" s="47"/>
      <c r="AZ987" s="47"/>
      <c r="BA987" s="47"/>
      <c r="BB987" s="47"/>
      <c r="BC987" s="47"/>
      <c r="BD987" s="47"/>
      <c r="BE987" s="47"/>
      <c r="BF987" s="47"/>
    </row>
    <row r="988" spans="3:58">
      <c r="C988" s="47"/>
      <c r="D988" s="47"/>
      <c r="E988" s="47"/>
      <c r="F988" s="47"/>
      <c r="G988" s="47"/>
      <c r="H988" s="47"/>
      <c r="I988" s="47"/>
      <c r="J988" s="47"/>
      <c r="K988" s="47"/>
      <c r="L988" s="47"/>
      <c r="M988" s="47"/>
      <c r="N988" s="47"/>
      <c r="O988" s="47"/>
      <c r="P988" s="47"/>
      <c r="Q988" s="85"/>
      <c r="R988" s="85"/>
      <c r="S988" s="85"/>
      <c r="T988" s="85"/>
      <c r="U988" s="85"/>
      <c r="V988" s="85"/>
      <c r="W988" s="85"/>
      <c r="X988" s="85"/>
      <c r="Y988" s="85"/>
      <c r="Z988" s="85"/>
      <c r="AA988" s="85"/>
      <c r="AB988" s="85"/>
      <c r="AC988" s="85"/>
      <c r="AD988" s="85"/>
      <c r="AE988" s="47"/>
      <c r="AF988" s="47"/>
      <c r="AG988" s="47"/>
      <c r="AH988" s="47"/>
      <c r="AI988" s="47"/>
      <c r="AJ988" s="47"/>
      <c r="AK988" s="47"/>
      <c r="AL988" s="47"/>
      <c r="AM988" s="47"/>
      <c r="AN988" s="47"/>
      <c r="AO988" s="47"/>
      <c r="AP988" s="47"/>
      <c r="AQ988" s="47"/>
      <c r="AR988" s="47"/>
      <c r="AS988" s="47"/>
      <c r="AT988" s="47"/>
      <c r="AU988" s="47"/>
      <c r="AV988" s="47"/>
      <c r="AW988" s="47"/>
      <c r="AX988" s="47"/>
      <c r="AY988" s="47"/>
      <c r="AZ988" s="47"/>
      <c r="BA988" s="47"/>
      <c r="BB988" s="47"/>
      <c r="BC988" s="47"/>
      <c r="BD988" s="47"/>
      <c r="BE988" s="47"/>
      <c r="BF988" s="47"/>
    </row>
    <row r="989" spans="3:58">
      <c r="C989" s="47"/>
      <c r="D989" s="47"/>
      <c r="E989" s="47"/>
      <c r="F989" s="47"/>
      <c r="G989" s="47"/>
      <c r="H989" s="47"/>
      <c r="I989" s="47"/>
      <c r="J989" s="47"/>
      <c r="K989" s="47"/>
      <c r="L989" s="47"/>
      <c r="M989" s="47"/>
      <c r="N989" s="47"/>
      <c r="O989" s="47"/>
      <c r="P989" s="47"/>
      <c r="Q989" s="85"/>
      <c r="R989" s="85"/>
      <c r="S989" s="85"/>
      <c r="T989" s="85"/>
      <c r="U989" s="85"/>
      <c r="V989" s="85"/>
      <c r="W989" s="85"/>
      <c r="X989" s="85"/>
      <c r="Y989" s="85"/>
      <c r="Z989" s="85"/>
      <c r="AA989" s="85"/>
      <c r="AB989" s="85"/>
      <c r="AC989" s="85"/>
      <c r="AD989" s="85"/>
      <c r="AE989" s="47"/>
      <c r="AF989" s="47"/>
      <c r="AG989" s="47"/>
      <c r="AH989" s="47"/>
      <c r="AI989" s="47"/>
      <c r="AJ989" s="47"/>
      <c r="AK989" s="47"/>
      <c r="AL989" s="47"/>
      <c r="AM989" s="47"/>
      <c r="AN989" s="47"/>
      <c r="AO989" s="47"/>
      <c r="AP989" s="47"/>
      <c r="AQ989" s="47"/>
      <c r="AR989" s="47"/>
      <c r="AS989" s="47"/>
      <c r="AT989" s="47"/>
      <c r="AU989" s="47"/>
      <c r="AV989" s="47"/>
      <c r="AW989" s="47"/>
      <c r="AX989" s="47"/>
      <c r="AY989" s="47"/>
      <c r="AZ989" s="47"/>
      <c r="BA989" s="47"/>
      <c r="BB989" s="47"/>
      <c r="BC989" s="47"/>
      <c r="BD989" s="47"/>
      <c r="BE989" s="47"/>
      <c r="BF989" s="47"/>
    </row>
    <row r="990" spans="3:58">
      <c r="C990" s="47"/>
      <c r="D990" s="47"/>
      <c r="E990" s="47"/>
      <c r="F990" s="47"/>
      <c r="G990" s="47"/>
      <c r="H990" s="47"/>
      <c r="I990" s="47"/>
      <c r="J990" s="47"/>
      <c r="K990" s="47"/>
      <c r="L990" s="47"/>
      <c r="M990" s="47"/>
      <c r="N990" s="47"/>
      <c r="O990" s="47"/>
      <c r="P990" s="47"/>
      <c r="Q990" s="85"/>
      <c r="R990" s="85"/>
      <c r="S990" s="85"/>
      <c r="T990" s="85"/>
      <c r="U990" s="85"/>
      <c r="V990" s="85"/>
      <c r="W990" s="85"/>
      <c r="X990" s="85"/>
      <c r="Y990" s="85"/>
      <c r="Z990" s="85"/>
      <c r="AA990" s="85"/>
      <c r="AB990" s="85"/>
      <c r="AC990" s="85"/>
      <c r="AD990" s="85"/>
      <c r="AE990" s="47"/>
      <c r="AF990" s="47"/>
      <c r="AG990" s="47"/>
      <c r="AH990" s="47"/>
      <c r="AI990" s="47"/>
      <c r="AJ990" s="47"/>
      <c r="AK990" s="47"/>
      <c r="AL990" s="47"/>
      <c r="AM990" s="47"/>
      <c r="AN990" s="47"/>
      <c r="AO990" s="47"/>
      <c r="AP990" s="47"/>
      <c r="AQ990" s="47"/>
      <c r="AR990" s="47"/>
      <c r="AS990" s="47"/>
      <c r="AT990" s="47"/>
      <c r="AU990" s="47"/>
      <c r="AV990" s="47"/>
      <c r="AW990" s="47"/>
      <c r="AX990" s="47"/>
      <c r="AY990" s="47"/>
      <c r="AZ990" s="47"/>
      <c r="BA990" s="47"/>
      <c r="BB990" s="47"/>
      <c r="BC990" s="47"/>
      <c r="BD990" s="47"/>
      <c r="BE990" s="47"/>
      <c r="BF990" s="47"/>
    </row>
    <row r="991" spans="3:58">
      <c r="C991" s="47"/>
      <c r="D991" s="47"/>
      <c r="E991" s="47"/>
      <c r="F991" s="47"/>
      <c r="G991" s="47"/>
      <c r="H991" s="47"/>
      <c r="I991" s="47"/>
      <c r="J991" s="47"/>
      <c r="K991" s="47"/>
      <c r="L991" s="47"/>
      <c r="M991" s="47"/>
      <c r="N991" s="47"/>
      <c r="O991" s="47"/>
      <c r="P991" s="47"/>
      <c r="Q991" s="85"/>
      <c r="R991" s="85"/>
      <c r="S991" s="85"/>
      <c r="T991" s="85"/>
      <c r="U991" s="85"/>
      <c r="V991" s="85"/>
      <c r="W991" s="85"/>
      <c r="X991" s="85"/>
      <c r="Y991" s="85"/>
      <c r="Z991" s="85"/>
      <c r="AA991" s="85"/>
      <c r="AB991" s="85"/>
      <c r="AC991" s="85"/>
      <c r="AD991" s="85"/>
      <c r="AE991" s="47"/>
      <c r="AF991" s="47"/>
      <c r="AG991" s="47"/>
      <c r="AH991" s="47"/>
      <c r="AI991" s="47"/>
      <c r="AJ991" s="47"/>
      <c r="AK991" s="47"/>
      <c r="AL991" s="47"/>
      <c r="AM991" s="47"/>
      <c r="AN991" s="47"/>
      <c r="AO991" s="47"/>
      <c r="AP991" s="47"/>
      <c r="AQ991" s="47"/>
      <c r="AR991" s="47"/>
      <c r="AS991" s="47"/>
      <c r="AT991" s="47"/>
      <c r="AU991" s="47"/>
      <c r="AV991" s="47"/>
      <c r="AW991" s="47"/>
      <c r="AX991" s="47"/>
      <c r="AY991" s="47"/>
      <c r="AZ991" s="47"/>
      <c r="BA991" s="47"/>
      <c r="BB991" s="47"/>
      <c r="BC991" s="47"/>
      <c r="BD991" s="47"/>
      <c r="BE991" s="47"/>
      <c r="BF991" s="47"/>
    </row>
    <row r="992" spans="3:58">
      <c r="C992" s="47"/>
      <c r="D992" s="47"/>
      <c r="E992" s="47"/>
      <c r="F992" s="47"/>
      <c r="G992" s="47"/>
      <c r="H992" s="47"/>
      <c r="I992" s="47"/>
      <c r="J992" s="47"/>
      <c r="K992" s="47"/>
      <c r="L992" s="47"/>
      <c r="M992" s="47"/>
      <c r="N992" s="47"/>
      <c r="O992" s="47"/>
      <c r="P992" s="47"/>
      <c r="Q992" s="85"/>
      <c r="R992" s="85"/>
      <c r="S992" s="85"/>
      <c r="T992" s="85"/>
      <c r="U992" s="85"/>
      <c r="V992" s="85"/>
      <c r="W992" s="85"/>
      <c r="X992" s="85"/>
      <c r="Y992" s="85"/>
      <c r="Z992" s="85"/>
      <c r="AA992" s="85"/>
      <c r="AB992" s="85"/>
      <c r="AC992" s="85"/>
      <c r="AD992" s="85"/>
      <c r="AE992" s="47"/>
      <c r="AF992" s="47"/>
      <c r="AG992" s="47"/>
      <c r="AH992" s="47"/>
      <c r="AI992" s="47"/>
      <c r="AJ992" s="47"/>
      <c r="AK992" s="47"/>
      <c r="AL992" s="47"/>
      <c r="AM992" s="47"/>
      <c r="AN992" s="47"/>
      <c r="AO992" s="47"/>
      <c r="AP992" s="47"/>
      <c r="AQ992" s="47"/>
      <c r="AR992" s="47"/>
      <c r="AS992" s="47"/>
      <c r="AT992" s="47"/>
      <c r="AU992" s="47"/>
      <c r="AV992" s="47"/>
      <c r="AW992" s="47"/>
      <c r="AX992" s="47"/>
      <c r="AY992" s="47"/>
      <c r="AZ992" s="47"/>
      <c r="BA992" s="47"/>
      <c r="BB992" s="47"/>
      <c r="BC992" s="47"/>
      <c r="BD992" s="47"/>
      <c r="BE992" s="47"/>
      <c r="BF992" s="47"/>
    </row>
    <row r="993" spans="3:58">
      <c r="C993" s="47"/>
      <c r="D993" s="47"/>
      <c r="E993" s="47"/>
      <c r="F993" s="47"/>
      <c r="G993" s="47"/>
      <c r="H993" s="47"/>
      <c r="I993" s="47"/>
      <c r="J993" s="47"/>
      <c r="K993" s="47"/>
      <c r="L993" s="47"/>
      <c r="M993" s="47"/>
      <c r="N993" s="47"/>
      <c r="O993" s="47"/>
      <c r="P993" s="47"/>
      <c r="Q993" s="85"/>
      <c r="R993" s="85"/>
      <c r="S993" s="85"/>
      <c r="T993" s="85"/>
      <c r="U993" s="85"/>
      <c r="V993" s="85"/>
      <c r="W993" s="85"/>
      <c r="X993" s="85"/>
      <c r="Y993" s="85"/>
      <c r="Z993" s="85"/>
      <c r="AA993" s="85"/>
      <c r="AB993" s="85"/>
      <c r="AC993" s="85"/>
      <c r="AD993" s="85"/>
      <c r="AE993" s="47"/>
      <c r="AF993" s="47"/>
      <c r="AG993" s="47"/>
      <c r="AH993" s="47"/>
      <c r="AI993" s="47"/>
      <c r="AJ993" s="47"/>
      <c r="AK993" s="47"/>
      <c r="AL993" s="47"/>
      <c r="AM993" s="47"/>
      <c r="AN993" s="47"/>
      <c r="AO993" s="47"/>
      <c r="AP993" s="47"/>
      <c r="AQ993" s="47"/>
      <c r="AR993" s="47"/>
      <c r="AS993" s="47"/>
      <c r="AT993" s="47"/>
      <c r="AU993" s="47"/>
      <c r="AV993" s="47"/>
      <c r="AW993" s="47"/>
      <c r="AX993" s="47"/>
      <c r="AY993" s="47"/>
      <c r="AZ993" s="47"/>
      <c r="BA993" s="47"/>
      <c r="BB993" s="47"/>
      <c r="BC993" s="47"/>
      <c r="BD993" s="47"/>
      <c r="BE993" s="47"/>
      <c r="BF993" s="47"/>
    </row>
    <row r="994" spans="3:58">
      <c r="C994" s="47"/>
      <c r="D994" s="47"/>
      <c r="E994" s="47"/>
      <c r="F994" s="47"/>
      <c r="G994" s="47"/>
      <c r="H994" s="47"/>
      <c r="I994" s="47"/>
      <c r="J994" s="47"/>
      <c r="K994" s="47"/>
      <c r="L994" s="47"/>
      <c r="M994" s="47"/>
      <c r="N994" s="47"/>
      <c r="O994" s="47"/>
      <c r="P994" s="47"/>
      <c r="Q994" s="85"/>
      <c r="R994" s="85"/>
      <c r="S994" s="85"/>
      <c r="T994" s="85"/>
      <c r="U994" s="85"/>
      <c r="V994" s="85"/>
      <c r="W994" s="85"/>
      <c r="X994" s="85"/>
      <c r="Y994" s="85"/>
      <c r="Z994" s="85"/>
      <c r="AA994" s="85"/>
      <c r="AB994" s="85"/>
      <c r="AC994" s="85"/>
      <c r="AD994" s="85"/>
      <c r="AE994" s="47"/>
      <c r="AF994" s="47"/>
      <c r="AG994" s="47"/>
      <c r="AH994" s="47"/>
      <c r="AI994" s="47"/>
      <c r="AJ994" s="47"/>
      <c r="AK994" s="47"/>
      <c r="AL994" s="47"/>
      <c r="AM994" s="47"/>
      <c r="AN994" s="47"/>
      <c r="AO994" s="47"/>
      <c r="AP994" s="47"/>
      <c r="AQ994" s="47"/>
      <c r="AR994" s="47"/>
      <c r="AS994" s="47"/>
      <c r="AT994" s="47"/>
      <c r="AU994" s="47"/>
      <c r="AV994" s="47"/>
      <c r="AW994" s="47"/>
      <c r="AX994" s="47"/>
      <c r="AY994" s="47"/>
      <c r="AZ994" s="47"/>
      <c r="BA994" s="47"/>
      <c r="BB994" s="47"/>
      <c r="BC994" s="47"/>
      <c r="BD994" s="47"/>
      <c r="BE994" s="47"/>
      <c r="BF994" s="47"/>
    </row>
    <row r="995" spans="3:58">
      <c r="C995" s="47"/>
      <c r="D995" s="47"/>
      <c r="E995" s="47"/>
      <c r="F995" s="47"/>
      <c r="G995" s="47"/>
      <c r="H995" s="47"/>
      <c r="I995" s="47"/>
      <c r="J995" s="47"/>
      <c r="K995" s="47"/>
      <c r="L995" s="47"/>
      <c r="M995" s="47"/>
      <c r="N995" s="47"/>
      <c r="O995" s="47"/>
      <c r="P995" s="47"/>
      <c r="Q995" s="85"/>
      <c r="R995" s="85"/>
      <c r="S995" s="85"/>
      <c r="T995" s="85"/>
      <c r="U995" s="85"/>
      <c r="V995" s="85"/>
      <c r="W995" s="85"/>
      <c r="X995" s="85"/>
      <c r="Y995" s="85"/>
      <c r="Z995" s="85"/>
      <c r="AA995" s="85"/>
      <c r="AB995" s="85"/>
      <c r="AC995" s="85"/>
      <c r="AD995" s="85"/>
      <c r="AE995" s="47"/>
      <c r="AF995" s="47"/>
      <c r="AG995" s="47"/>
      <c r="AH995" s="47"/>
      <c r="AI995" s="47"/>
      <c r="AJ995" s="47"/>
      <c r="AK995" s="47"/>
      <c r="AL995" s="47"/>
      <c r="AM995" s="47"/>
      <c r="AN995" s="47"/>
      <c r="AO995" s="47"/>
      <c r="AP995" s="47"/>
      <c r="AQ995" s="47"/>
      <c r="AR995" s="47"/>
      <c r="AS995" s="47"/>
      <c r="AT995" s="47"/>
      <c r="AU995" s="47"/>
      <c r="AV995" s="47"/>
      <c r="AW995" s="47"/>
      <c r="AX995" s="47"/>
      <c r="AY995" s="47"/>
      <c r="AZ995" s="47"/>
      <c r="BA995" s="47"/>
      <c r="BB995" s="47"/>
      <c r="BC995" s="47"/>
      <c r="BD995" s="47"/>
      <c r="BE995" s="47"/>
      <c r="BF995" s="47"/>
    </row>
    <row r="996" spans="3:58">
      <c r="C996" s="47"/>
      <c r="D996" s="47"/>
      <c r="E996" s="47"/>
      <c r="F996" s="47"/>
      <c r="G996" s="47"/>
      <c r="H996" s="47"/>
      <c r="I996" s="47"/>
      <c r="J996" s="47"/>
      <c r="K996" s="47"/>
      <c r="L996" s="47"/>
      <c r="M996" s="47"/>
      <c r="N996" s="47"/>
      <c r="O996" s="47"/>
      <c r="P996" s="47"/>
      <c r="Q996" s="85"/>
      <c r="R996" s="85"/>
      <c r="S996" s="85"/>
      <c r="T996" s="85"/>
      <c r="U996" s="85"/>
      <c r="V996" s="85"/>
      <c r="W996" s="85"/>
      <c r="X996" s="85"/>
      <c r="Y996" s="85"/>
      <c r="Z996" s="85"/>
      <c r="AA996" s="85"/>
      <c r="AB996" s="85"/>
      <c r="AC996" s="85"/>
      <c r="AD996" s="85"/>
      <c r="AE996" s="47"/>
      <c r="AF996" s="47"/>
      <c r="AG996" s="47"/>
      <c r="AH996" s="47"/>
      <c r="AI996" s="47"/>
      <c r="AJ996" s="47"/>
      <c r="AK996" s="47"/>
      <c r="AL996" s="47"/>
      <c r="AM996" s="47"/>
      <c r="AN996" s="47"/>
      <c r="AO996" s="47"/>
      <c r="AP996" s="47"/>
      <c r="AQ996" s="47"/>
      <c r="AR996" s="47"/>
      <c r="AS996" s="47"/>
      <c r="AT996" s="47"/>
      <c r="AU996" s="47"/>
      <c r="AV996" s="47"/>
      <c r="AW996" s="47"/>
      <c r="AX996" s="47"/>
      <c r="AY996" s="47"/>
      <c r="AZ996" s="47"/>
      <c r="BA996" s="47"/>
      <c r="BB996" s="47"/>
      <c r="BC996" s="47"/>
      <c r="BD996" s="47"/>
      <c r="BE996" s="47"/>
      <c r="BF996" s="47"/>
    </row>
    <row r="997" spans="3:58">
      <c r="C997" s="47"/>
      <c r="D997" s="47"/>
      <c r="E997" s="47"/>
      <c r="F997" s="47"/>
      <c r="G997" s="47"/>
      <c r="H997" s="47"/>
      <c r="I997" s="47"/>
      <c r="J997" s="47"/>
      <c r="K997" s="47"/>
      <c r="L997" s="47"/>
      <c r="M997" s="47"/>
      <c r="N997" s="47"/>
      <c r="O997" s="47"/>
      <c r="P997" s="47"/>
      <c r="Q997" s="85"/>
      <c r="R997" s="85"/>
      <c r="S997" s="85"/>
      <c r="T997" s="85"/>
      <c r="U997" s="85"/>
      <c r="V997" s="85"/>
      <c r="W997" s="85"/>
      <c r="X997" s="85"/>
      <c r="Y997" s="85"/>
      <c r="Z997" s="85"/>
      <c r="AA997" s="85"/>
      <c r="AB997" s="85"/>
      <c r="AC997" s="85"/>
      <c r="AD997" s="85"/>
      <c r="AE997" s="47"/>
      <c r="AF997" s="47"/>
      <c r="AG997" s="47"/>
      <c r="AH997" s="47"/>
      <c r="AI997" s="47"/>
      <c r="AJ997" s="47"/>
      <c r="AK997" s="47"/>
      <c r="AL997" s="47"/>
      <c r="AM997" s="47"/>
      <c r="AN997" s="47"/>
      <c r="AO997" s="47"/>
      <c r="AP997" s="47"/>
      <c r="AQ997" s="47"/>
      <c r="AR997" s="47"/>
      <c r="AS997" s="47"/>
      <c r="AT997" s="47"/>
      <c r="AU997" s="47"/>
      <c r="AV997" s="47"/>
      <c r="AW997" s="47"/>
      <c r="AX997" s="47"/>
      <c r="AY997" s="47"/>
      <c r="AZ997" s="47"/>
      <c r="BA997" s="47"/>
      <c r="BB997" s="47"/>
      <c r="BC997" s="47"/>
      <c r="BD997" s="47"/>
      <c r="BE997" s="47"/>
      <c r="BF997" s="47"/>
    </row>
    <row r="998" spans="3:58">
      <c r="C998" s="47"/>
      <c r="D998" s="47"/>
      <c r="E998" s="47"/>
      <c r="F998" s="47"/>
      <c r="G998" s="47"/>
      <c r="H998" s="47"/>
      <c r="I998" s="47"/>
      <c r="J998" s="47"/>
      <c r="K998" s="47"/>
      <c r="L998" s="47"/>
      <c r="M998" s="47"/>
      <c r="N998" s="47"/>
      <c r="O998" s="47"/>
      <c r="P998" s="47"/>
      <c r="Q998" s="85"/>
      <c r="R998" s="85"/>
      <c r="S998" s="85"/>
      <c r="T998" s="85"/>
      <c r="U998" s="85"/>
      <c r="V998" s="85"/>
      <c r="W998" s="85"/>
      <c r="X998" s="85"/>
      <c r="Y998" s="85"/>
      <c r="Z998" s="85"/>
      <c r="AA998" s="85"/>
      <c r="AB998" s="85"/>
      <c r="AC998" s="85"/>
      <c r="AD998" s="85"/>
      <c r="AE998" s="47"/>
      <c r="AF998" s="47"/>
      <c r="AG998" s="47"/>
      <c r="AH998" s="47"/>
      <c r="AI998" s="47"/>
      <c r="AJ998" s="47"/>
      <c r="AK998" s="47"/>
      <c r="AL998" s="47"/>
      <c r="AM998" s="47"/>
      <c r="AN998" s="47"/>
      <c r="AO998" s="47"/>
      <c r="AP998" s="47"/>
      <c r="AQ998" s="47"/>
      <c r="AR998" s="47"/>
      <c r="AS998" s="47"/>
      <c r="AT998" s="47"/>
      <c r="AU998" s="47"/>
      <c r="AV998" s="47"/>
      <c r="AW998" s="47"/>
      <c r="AX998" s="47"/>
      <c r="AY998" s="47"/>
      <c r="AZ998" s="47"/>
      <c r="BA998" s="47"/>
      <c r="BB998" s="47"/>
      <c r="BC998" s="47"/>
      <c r="BD998" s="47"/>
      <c r="BE998" s="47"/>
      <c r="BF998" s="47"/>
    </row>
    <row r="999" spans="3:58">
      <c r="C999" s="47"/>
      <c r="D999" s="47"/>
      <c r="E999" s="47"/>
      <c r="F999" s="47"/>
      <c r="G999" s="47"/>
      <c r="H999" s="47"/>
      <c r="I999" s="47"/>
      <c r="J999" s="47"/>
      <c r="K999" s="47"/>
      <c r="L999" s="47"/>
      <c r="M999" s="47"/>
      <c r="N999" s="47"/>
      <c r="O999" s="47"/>
      <c r="P999" s="47"/>
      <c r="Q999" s="85"/>
      <c r="R999" s="85"/>
      <c r="S999" s="85"/>
      <c r="T999" s="85"/>
      <c r="U999" s="85"/>
      <c r="V999" s="85"/>
      <c r="W999" s="85"/>
      <c r="X999" s="85"/>
      <c r="Y999" s="85"/>
      <c r="Z999" s="85"/>
      <c r="AA999" s="85"/>
      <c r="AB999" s="85"/>
      <c r="AC999" s="85"/>
      <c r="AD999" s="85"/>
      <c r="AE999" s="47"/>
      <c r="AF999" s="47"/>
      <c r="AG999" s="47"/>
      <c r="AH999" s="47"/>
      <c r="AI999" s="47"/>
      <c r="AJ999" s="47"/>
      <c r="AK999" s="47"/>
      <c r="AL999" s="47"/>
      <c r="AM999" s="47"/>
      <c r="AN999" s="47"/>
      <c r="AO999" s="47"/>
      <c r="AP999" s="47"/>
      <c r="AQ999" s="47"/>
      <c r="AR999" s="47"/>
      <c r="AS999" s="47"/>
      <c r="AT999" s="47"/>
      <c r="AU999" s="47"/>
      <c r="AV999" s="47"/>
      <c r="AW999" s="47"/>
      <c r="AX999" s="47"/>
      <c r="AY999" s="47"/>
      <c r="AZ999" s="47"/>
      <c r="BA999" s="47"/>
      <c r="BB999" s="47"/>
      <c r="BC999" s="47"/>
      <c r="BD999" s="47"/>
      <c r="BE999" s="47"/>
      <c r="BF999" s="47"/>
    </row>
    <row r="1000" spans="3:58">
      <c r="C1000" s="47"/>
      <c r="D1000" s="47"/>
      <c r="E1000" s="47"/>
      <c r="F1000" s="47"/>
      <c r="G1000" s="47"/>
      <c r="H1000" s="47"/>
      <c r="I1000" s="47"/>
      <c r="J1000" s="47"/>
      <c r="K1000" s="47"/>
      <c r="L1000" s="47"/>
      <c r="M1000" s="47"/>
      <c r="N1000" s="47"/>
      <c r="O1000" s="47"/>
      <c r="P1000" s="47"/>
      <c r="Q1000" s="85"/>
      <c r="R1000" s="85"/>
      <c r="S1000" s="85"/>
      <c r="T1000" s="85"/>
      <c r="U1000" s="85"/>
      <c r="V1000" s="85"/>
      <c r="W1000" s="85"/>
      <c r="X1000" s="85"/>
      <c r="Y1000" s="85"/>
      <c r="Z1000" s="85"/>
      <c r="AA1000" s="85"/>
      <c r="AB1000" s="85"/>
      <c r="AC1000" s="85"/>
      <c r="AD1000" s="85"/>
      <c r="AE1000" s="47"/>
      <c r="AF1000" s="47"/>
      <c r="AG1000" s="47"/>
      <c r="AH1000" s="47"/>
      <c r="AI1000" s="47"/>
      <c r="AJ1000" s="47"/>
      <c r="AK1000" s="47"/>
      <c r="AL1000" s="47"/>
      <c r="AM1000" s="47"/>
      <c r="AN1000" s="47"/>
      <c r="AO1000" s="47"/>
      <c r="AP1000" s="47"/>
      <c r="AQ1000" s="47"/>
      <c r="AR1000" s="47"/>
      <c r="AS1000" s="47"/>
      <c r="AT1000" s="47"/>
      <c r="AU1000" s="47"/>
      <c r="AV1000" s="47"/>
      <c r="AW1000" s="47"/>
      <c r="AX1000" s="47"/>
      <c r="AY1000" s="47"/>
      <c r="AZ1000" s="47"/>
      <c r="BA1000" s="47"/>
      <c r="BB1000" s="47"/>
      <c r="BC1000" s="47"/>
      <c r="BD1000" s="47"/>
      <c r="BE1000" s="47"/>
      <c r="BF1000" s="47"/>
    </row>
    <row r="1001" spans="3:58">
      <c r="C1001" s="47"/>
      <c r="D1001" s="47"/>
      <c r="E1001" s="47"/>
      <c r="F1001" s="47"/>
      <c r="G1001" s="47"/>
      <c r="H1001" s="47"/>
      <c r="I1001" s="47"/>
      <c r="J1001" s="47"/>
      <c r="K1001" s="47"/>
      <c r="L1001" s="47"/>
      <c r="M1001" s="47"/>
      <c r="N1001" s="47"/>
      <c r="O1001" s="47"/>
      <c r="P1001" s="47"/>
      <c r="Q1001" s="85"/>
      <c r="R1001" s="85"/>
      <c r="S1001" s="85"/>
      <c r="T1001" s="85"/>
      <c r="U1001" s="85"/>
      <c r="V1001" s="85"/>
      <c r="W1001" s="85"/>
      <c r="X1001" s="85"/>
      <c r="Y1001" s="85"/>
      <c r="Z1001" s="85"/>
      <c r="AA1001" s="85"/>
      <c r="AB1001" s="85"/>
      <c r="AC1001" s="85"/>
      <c r="AD1001" s="85"/>
      <c r="AE1001" s="47"/>
      <c r="AF1001" s="47"/>
      <c r="AG1001" s="47"/>
      <c r="AH1001" s="47"/>
      <c r="AI1001" s="47"/>
      <c r="AJ1001" s="47"/>
      <c r="AK1001" s="47"/>
      <c r="AL1001" s="47"/>
      <c r="AM1001" s="47"/>
      <c r="AN1001" s="47"/>
      <c r="AO1001" s="47"/>
      <c r="AP1001" s="47"/>
      <c r="AQ1001" s="47"/>
      <c r="AR1001" s="47"/>
      <c r="AS1001" s="47"/>
      <c r="AT1001" s="47"/>
      <c r="AU1001" s="47"/>
      <c r="AV1001" s="47"/>
      <c r="AW1001" s="47"/>
      <c r="AX1001" s="47"/>
      <c r="AY1001" s="47"/>
      <c r="AZ1001" s="47"/>
      <c r="BA1001" s="47"/>
      <c r="BB1001" s="47"/>
      <c r="BC1001" s="47"/>
      <c r="BD1001" s="47"/>
      <c r="BE1001" s="47"/>
      <c r="BF1001" s="47"/>
    </row>
    <row r="1002" spans="3:58">
      <c r="C1002" s="47"/>
      <c r="D1002" s="47"/>
      <c r="E1002" s="47"/>
      <c r="F1002" s="47"/>
      <c r="G1002" s="47"/>
      <c r="H1002" s="47"/>
      <c r="I1002" s="47"/>
      <c r="J1002" s="47"/>
      <c r="K1002" s="47"/>
      <c r="L1002" s="47"/>
      <c r="M1002" s="47"/>
      <c r="N1002" s="47"/>
      <c r="O1002" s="47"/>
      <c r="P1002" s="47"/>
      <c r="Q1002" s="85"/>
      <c r="R1002" s="85"/>
      <c r="S1002" s="85"/>
      <c r="T1002" s="85"/>
      <c r="U1002" s="85"/>
      <c r="V1002" s="85"/>
      <c r="W1002" s="85"/>
      <c r="X1002" s="85"/>
      <c r="Y1002" s="85"/>
      <c r="Z1002" s="85"/>
      <c r="AA1002" s="85"/>
      <c r="AB1002" s="85"/>
      <c r="AC1002" s="85"/>
      <c r="AD1002" s="85"/>
      <c r="AE1002" s="47"/>
      <c r="AF1002" s="47"/>
      <c r="AG1002" s="47"/>
      <c r="AH1002" s="47"/>
      <c r="AI1002" s="47"/>
      <c r="AJ1002" s="47"/>
      <c r="AK1002" s="47"/>
      <c r="AL1002" s="47"/>
      <c r="AM1002" s="47"/>
      <c r="AN1002" s="47"/>
      <c r="AO1002" s="47"/>
      <c r="AP1002" s="47"/>
      <c r="AQ1002" s="47"/>
      <c r="AR1002" s="47"/>
      <c r="AS1002" s="47"/>
      <c r="AT1002" s="47"/>
      <c r="AU1002" s="47"/>
      <c r="AV1002" s="47"/>
      <c r="AW1002" s="47"/>
      <c r="AX1002" s="47"/>
      <c r="AY1002" s="47"/>
      <c r="AZ1002" s="47"/>
      <c r="BA1002" s="47"/>
      <c r="BB1002" s="47"/>
      <c r="BC1002" s="47"/>
      <c r="BD1002" s="47"/>
      <c r="BE1002" s="47"/>
      <c r="BF1002" s="47"/>
    </row>
    <row r="1003" spans="3:58">
      <c r="C1003" s="47"/>
      <c r="D1003" s="47"/>
      <c r="E1003" s="47"/>
      <c r="F1003" s="47"/>
      <c r="G1003" s="47"/>
      <c r="H1003" s="47"/>
      <c r="I1003" s="47"/>
      <c r="J1003" s="47"/>
      <c r="K1003" s="47"/>
      <c r="L1003" s="47"/>
      <c r="M1003" s="47"/>
      <c r="N1003" s="47"/>
      <c r="O1003" s="47"/>
      <c r="P1003" s="47"/>
      <c r="Q1003" s="85"/>
      <c r="R1003" s="85"/>
      <c r="S1003" s="85"/>
      <c r="T1003" s="85"/>
      <c r="U1003" s="85"/>
      <c r="V1003" s="85"/>
      <c r="W1003" s="85"/>
      <c r="X1003" s="85"/>
      <c r="Y1003" s="85"/>
      <c r="Z1003" s="85"/>
      <c r="AA1003" s="85"/>
      <c r="AB1003" s="85"/>
      <c r="AC1003" s="85"/>
      <c r="AD1003" s="85"/>
      <c r="AE1003" s="47"/>
      <c r="AF1003" s="47"/>
      <c r="AG1003" s="47"/>
      <c r="AH1003" s="47"/>
      <c r="AI1003" s="47"/>
      <c r="AJ1003" s="47"/>
      <c r="AK1003" s="47"/>
      <c r="AL1003" s="47"/>
      <c r="AM1003" s="47"/>
      <c r="AN1003" s="47"/>
      <c r="AO1003" s="47"/>
      <c r="AP1003" s="47"/>
      <c r="AQ1003" s="47"/>
      <c r="AR1003" s="47"/>
      <c r="AS1003" s="47"/>
      <c r="AT1003" s="47"/>
      <c r="AU1003" s="47"/>
      <c r="AV1003" s="47"/>
      <c r="AW1003" s="47"/>
      <c r="AX1003" s="47"/>
      <c r="AY1003" s="47"/>
      <c r="AZ1003" s="47"/>
      <c r="BA1003" s="47"/>
      <c r="BB1003" s="47"/>
      <c r="BC1003" s="47"/>
      <c r="BD1003" s="47"/>
      <c r="BE1003" s="47"/>
      <c r="BF1003" s="47"/>
    </row>
    <row r="1004" spans="3:58">
      <c r="C1004" s="47"/>
      <c r="D1004" s="47"/>
      <c r="E1004" s="47"/>
      <c r="F1004" s="47"/>
      <c r="G1004" s="47"/>
      <c r="H1004" s="47"/>
      <c r="I1004" s="47"/>
      <c r="J1004" s="47"/>
      <c r="K1004" s="47"/>
      <c r="L1004" s="47"/>
      <c r="M1004" s="47"/>
      <c r="N1004" s="47"/>
      <c r="O1004" s="47"/>
      <c r="P1004" s="47"/>
      <c r="Q1004" s="85"/>
      <c r="R1004" s="85"/>
      <c r="S1004" s="85"/>
      <c r="T1004" s="85"/>
      <c r="U1004" s="85"/>
      <c r="V1004" s="85"/>
      <c r="W1004" s="85"/>
      <c r="X1004" s="85"/>
      <c r="Y1004" s="85"/>
      <c r="Z1004" s="85"/>
      <c r="AA1004" s="85"/>
      <c r="AB1004" s="85"/>
      <c r="AC1004" s="85"/>
      <c r="AD1004" s="85"/>
      <c r="AE1004" s="47"/>
      <c r="AF1004" s="47"/>
      <c r="AG1004" s="47"/>
      <c r="AH1004" s="47"/>
      <c r="AI1004" s="47"/>
      <c r="AJ1004" s="47"/>
      <c r="AK1004" s="47"/>
      <c r="AL1004" s="47"/>
      <c r="AM1004" s="47"/>
      <c r="AN1004" s="47"/>
      <c r="AO1004" s="47"/>
      <c r="AP1004" s="47"/>
      <c r="AQ1004" s="47"/>
      <c r="AR1004" s="47"/>
      <c r="AS1004" s="47"/>
      <c r="AT1004" s="47"/>
      <c r="AU1004" s="47"/>
      <c r="AV1004" s="47"/>
      <c r="AW1004" s="47"/>
      <c r="AX1004" s="47"/>
      <c r="AY1004" s="47"/>
      <c r="AZ1004" s="47"/>
      <c r="BA1004" s="47"/>
      <c r="BB1004" s="47"/>
      <c r="BC1004" s="47"/>
      <c r="BD1004" s="47"/>
      <c r="BE1004" s="47"/>
      <c r="BF1004" s="47"/>
    </row>
    <row r="1005" spans="3:58">
      <c r="C1005" s="47"/>
      <c r="D1005" s="47"/>
      <c r="E1005" s="47"/>
      <c r="F1005" s="47"/>
      <c r="G1005" s="47"/>
      <c r="H1005" s="47"/>
      <c r="I1005" s="47"/>
      <c r="J1005" s="47"/>
      <c r="K1005" s="47"/>
      <c r="L1005" s="47"/>
      <c r="M1005" s="47"/>
      <c r="N1005" s="47"/>
      <c r="O1005" s="47"/>
      <c r="P1005" s="47"/>
      <c r="Q1005" s="85"/>
      <c r="R1005" s="85"/>
      <c r="S1005" s="85"/>
      <c r="T1005" s="85"/>
      <c r="U1005" s="85"/>
      <c r="V1005" s="85"/>
      <c r="W1005" s="85"/>
      <c r="X1005" s="85"/>
      <c r="Y1005" s="85"/>
      <c r="Z1005" s="85"/>
      <c r="AA1005" s="85"/>
      <c r="AB1005" s="85"/>
      <c r="AC1005" s="85"/>
      <c r="AD1005" s="85"/>
      <c r="AE1005" s="47"/>
      <c r="AF1005" s="47"/>
      <c r="AG1005" s="47"/>
      <c r="AH1005" s="47"/>
      <c r="AI1005" s="47"/>
      <c r="AJ1005" s="47"/>
      <c r="AK1005" s="47"/>
      <c r="AL1005" s="47"/>
      <c r="AM1005" s="47"/>
      <c r="AN1005" s="47"/>
      <c r="AO1005" s="47"/>
      <c r="AP1005" s="47"/>
      <c r="AQ1005" s="47"/>
      <c r="AR1005" s="47"/>
      <c r="AS1005" s="47"/>
      <c r="AT1005" s="47"/>
      <c r="AU1005" s="47"/>
      <c r="AV1005" s="47"/>
      <c r="AW1005" s="47"/>
      <c r="AX1005" s="47"/>
      <c r="AY1005" s="47"/>
      <c r="AZ1005" s="47"/>
      <c r="BA1005" s="47"/>
      <c r="BB1005" s="47"/>
      <c r="BC1005" s="47"/>
      <c r="BD1005" s="47"/>
      <c r="BE1005" s="47"/>
      <c r="BF1005" s="47"/>
    </row>
    <row r="1006" spans="3:58">
      <c r="C1006" s="47"/>
      <c r="D1006" s="47"/>
      <c r="E1006" s="47"/>
      <c r="F1006" s="47"/>
      <c r="G1006" s="47"/>
      <c r="H1006" s="47"/>
      <c r="I1006" s="47"/>
      <c r="J1006" s="47"/>
      <c r="K1006" s="47"/>
      <c r="L1006" s="47"/>
      <c r="M1006" s="47"/>
      <c r="N1006" s="47"/>
      <c r="O1006" s="47"/>
      <c r="P1006" s="47"/>
      <c r="Q1006" s="85"/>
      <c r="R1006" s="85"/>
      <c r="S1006" s="85"/>
      <c r="T1006" s="85"/>
      <c r="U1006" s="85"/>
      <c r="V1006" s="85"/>
      <c r="W1006" s="85"/>
      <c r="X1006" s="85"/>
      <c r="Y1006" s="85"/>
      <c r="Z1006" s="85"/>
      <c r="AA1006" s="85"/>
      <c r="AB1006" s="85"/>
      <c r="AC1006" s="85"/>
      <c r="AD1006" s="85"/>
      <c r="AE1006" s="47"/>
      <c r="AF1006" s="47"/>
      <c r="AG1006" s="47"/>
      <c r="AH1006" s="47"/>
      <c r="AI1006" s="47"/>
      <c r="AJ1006" s="47"/>
      <c r="AK1006" s="47"/>
      <c r="AL1006" s="47"/>
      <c r="AM1006" s="47"/>
      <c r="AN1006" s="47"/>
      <c r="AO1006" s="47"/>
      <c r="AP1006" s="47"/>
      <c r="AQ1006" s="47"/>
      <c r="AR1006" s="47"/>
      <c r="AS1006" s="47"/>
      <c r="AT1006" s="47"/>
      <c r="AU1006" s="47"/>
      <c r="AV1006" s="47"/>
      <c r="AW1006" s="47"/>
      <c r="AX1006" s="47"/>
      <c r="AY1006" s="47"/>
      <c r="AZ1006" s="47"/>
      <c r="BA1006" s="47"/>
      <c r="BB1006" s="47"/>
      <c r="BC1006" s="47"/>
      <c r="BD1006" s="47"/>
      <c r="BE1006" s="47"/>
      <c r="BF1006" s="47"/>
    </row>
    <row r="1007" spans="3:58">
      <c r="C1007" s="47"/>
      <c r="D1007" s="47"/>
      <c r="E1007" s="47"/>
      <c r="F1007" s="47"/>
      <c r="G1007" s="47"/>
      <c r="H1007" s="47"/>
      <c r="I1007" s="47"/>
      <c r="J1007" s="47"/>
      <c r="K1007" s="47"/>
      <c r="L1007" s="47"/>
      <c r="M1007" s="47"/>
      <c r="N1007" s="47"/>
      <c r="O1007" s="47"/>
      <c r="P1007" s="47"/>
      <c r="Q1007" s="85"/>
      <c r="R1007" s="85"/>
      <c r="S1007" s="85"/>
      <c r="T1007" s="85"/>
      <c r="U1007" s="85"/>
      <c r="V1007" s="85"/>
      <c r="W1007" s="85"/>
      <c r="X1007" s="85"/>
      <c r="Y1007" s="85"/>
      <c r="Z1007" s="85"/>
      <c r="AA1007" s="85"/>
      <c r="AB1007" s="85"/>
      <c r="AC1007" s="85"/>
      <c r="AD1007" s="85"/>
      <c r="AE1007" s="47"/>
      <c r="AF1007" s="47"/>
      <c r="AG1007" s="47"/>
      <c r="AH1007" s="47"/>
      <c r="AI1007" s="47"/>
      <c r="AJ1007" s="47"/>
      <c r="AK1007" s="47"/>
      <c r="AL1007" s="47"/>
      <c r="AM1007" s="47"/>
      <c r="AN1007" s="47"/>
      <c r="AO1007" s="47"/>
      <c r="AP1007" s="47"/>
      <c r="AQ1007" s="47"/>
      <c r="AR1007" s="47"/>
      <c r="AS1007" s="47"/>
      <c r="AT1007" s="47"/>
      <c r="AU1007" s="47"/>
      <c r="AV1007" s="47"/>
      <c r="AW1007" s="47"/>
      <c r="AX1007" s="47"/>
      <c r="AY1007" s="47"/>
      <c r="AZ1007" s="47"/>
      <c r="BA1007" s="47"/>
      <c r="BB1007" s="47"/>
      <c r="BC1007" s="47"/>
      <c r="BD1007" s="47"/>
      <c r="BE1007" s="47"/>
      <c r="BF1007" s="47"/>
    </row>
    <row r="1008" spans="3:58">
      <c r="C1008" s="47"/>
      <c r="D1008" s="47"/>
      <c r="E1008" s="47"/>
      <c r="F1008" s="47"/>
      <c r="G1008" s="47"/>
      <c r="H1008" s="47"/>
      <c r="I1008" s="47"/>
      <c r="J1008" s="47"/>
      <c r="K1008" s="47"/>
      <c r="L1008" s="47"/>
      <c r="M1008" s="47"/>
      <c r="N1008" s="47"/>
      <c r="O1008" s="47"/>
      <c r="P1008" s="47"/>
      <c r="Q1008" s="85"/>
      <c r="R1008" s="85"/>
      <c r="S1008" s="85"/>
      <c r="T1008" s="85"/>
      <c r="U1008" s="85"/>
      <c r="V1008" s="85"/>
      <c r="W1008" s="85"/>
      <c r="X1008" s="85"/>
      <c r="Y1008" s="85"/>
      <c r="Z1008" s="85"/>
      <c r="AA1008" s="85"/>
      <c r="AB1008" s="85"/>
      <c r="AC1008" s="85"/>
      <c r="AD1008" s="85"/>
      <c r="AE1008" s="47"/>
      <c r="AF1008" s="47"/>
      <c r="AG1008" s="47"/>
      <c r="AH1008" s="47"/>
      <c r="AI1008" s="47"/>
      <c r="AJ1008" s="47"/>
      <c r="AK1008" s="47"/>
      <c r="AL1008" s="47"/>
      <c r="AM1008" s="47"/>
      <c r="AN1008" s="47"/>
      <c r="AO1008" s="47"/>
      <c r="AP1008" s="47"/>
      <c r="AQ1008" s="47"/>
      <c r="AR1008" s="47"/>
      <c r="AS1008" s="47"/>
      <c r="AT1008" s="47"/>
      <c r="AU1008" s="47"/>
      <c r="AV1008" s="47"/>
      <c r="AW1008" s="47"/>
      <c r="AX1008" s="47"/>
      <c r="AY1008" s="47"/>
      <c r="AZ1008" s="47"/>
      <c r="BA1008" s="47"/>
      <c r="BB1008" s="47"/>
      <c r="BC1008" s="47"/>
      <c r="BD1008" s="47"/>
      <c r="BE1008" s="47"/>
      <c r="BF1008" s="47"/>
    </row>
    <row r="1009" spans="3:58">
      <c r="C1009" s="47"/>
      <c r="D1009" s="47"/>
      <c r="E1009" s="47"/>
      <c r="F1009" s="47"/>
      <c r="G1009" s="47"/>
      <c r="H1009" s="47"/>
      <c r="I1009" s="47"/>
      <c r="J1009" s="47"/>
      <c r="K1009" s="47"/>
      <c r="L1009" s="47"/>
      <c r="M1009" s="47"/>
      <c r="N1009" s="47"/>
      <c r="O1009" s="47"/>
      <c r="P1009" s="47"/>
      <c r="Q1009" s="85"/>
      <c r="R1009" s="85"/>
      <c r="S1009" s="85"/>
      <c r="T1009" s="85"/>
      <c r="U1009" s="85"/>
      <c r="V1009" s="85"/>
      <c r="W1009" s="85"/>
      <c r="X1009" s="85"/>
      <c r="Y1009" s="85"/>
      <c r="Z1009" s="85"/>
      <c r="AA1009" s="85"/>
      <c r="AB1009" s="85"/>
      <c r="AC1009" s="85"/>
      <c r="AD1009" s="85"/>
      <c r="AE1009" s="47"/>
      <c r="AF1009" s="47"/>
      <c r="AG1009" s="47"/>
      <c r="AH1009" s="47"/>
      <c r="AI1009" s="47"/>
      <c r="AJ1009" s="47"/>
      <c r="AK1009" s="47"/>
      <c r="AL1009" s="47"/>
      <c r="AM1009" s="47"/>
      <c r="AN1009" s="47"/>
      <c r="AO1009" s="47"/>
      <c r="AP1009" s="47"/>
      <c r="AQ1009" s="47"/>
      <c r="AR1009" s="47"/>
      <c r="AS1009" s="47"/>
      <c r="AT1009" s="47"/>
      <c r="AU1009" s="47"/>
      <c r="AV1009" s="47"/>
      <c r="AW1009" s="47"/>
      <c r="AX1009" s="47"/>
      <c r="AY1009" s="47"/>
      <c r="AZ1009" s="47"/>
      <c r="BA1009" s="47"/>
      <c r="BB1009" s="47"/>
      <c r="BC1009" s="47"/>
      <c r="BD1009" s="47"/>
      <c r="BE1009" s="47"/>
      <c r="BF1009" s="47"/>
    </row>
    <row r="1010" spans="3:58">
      <c r="C1010" s="47"/>
      <c r="D1010" s="47"/>
      <c r="E1010" s="47"/>
      <c r="F1010" s="47"/>
      <c r="G1010" s="47"/>
      <c r="H1010" s="47"/>
      <c r="I1010" s="47"/>
      <c r="J1010" s="47"/>
      <c r="K1010" s="47"/>
      <c r="L1010" s="47"/>
      <c r="M1010" s="47"/>
      <c r="N1010" s="47"/>
      <c r="O1010" s="47"/>
      <c r="P1010" s="47"/>
      <c r="Q1010" s="85"/>
      <c r="R1010" s="85"/>
      <c r="S1010" s="85"/>
      <c r="T1010" s="85"/>
      <c r="U1010" s="85"/>
      <c r="V1010" s="85"/>
      <c r="W1010" s="85"/>
      <c r="X1010" s="85"/>
      <c r="Y1010" s="85"/>
      <c r="Z1010" s="85"/>
      <c r="AA1010" s="85"/>
      <c r="AB1010" s="85"/>
      <c r="AC1010" s="85"/>
      <c r="AD1010" s="85"/>
      <c r="AE1010" s="47"/>
      <c r="AF1010" s="47"/>
      <c r="AG1010" s="47"/>
      <c r="AH1010" s="47"/>
      <c r="AI1010" s="47"/>
      <c r="AJ1010" s="47"/>
      <c r="AK1010" s="47"/>
      <c r="AL1010" s="47"/>
      <c r="AM1010" s="47"/>
      <c r="AN1010" s="47"/>
      <c r="AO1010" s="47"/>
      <c r="AP1010" s="47"/>
      <c r="AQ1010" s="47"/>
      <c r="AR1010" s="47"/>
      <c r="AS1010" s="47"/>
      <c r="AT1010" s="47"/>
      <c r="AU1010" s="47"/>
      <c r="AV1010" s="47"/>
      <c r="AW1010" s="47"/>
      <c r="AX1010" s="47"/>
      <c r="AY1010" s="47"/>
      <c r="AZ1010" s="47"/>
      <c r="BA1010" s="47"/>
      <c r="BB1010" s="47"/>
      <c r="BC1010" s="47"/>
      <c r="BD1010" s="47"/>
      <c r="BE1010" s="47"/>
      <c r="BF1010" s="47"/>
    </row>
    <row r="1011" spans="3:58">
      <c r="C1011" s="47"/>
      <c r="D1011" s="47"/>
      <c r="E1011" s="47"/>
      <c r="F1011" s="47"/>
      <c r="G1011" s="47"/>
      <c r="H1011" s="47"/>
      <c r="I1011" s="47"/>
      <c r="J1011" s="47"/>
      <c r="K1011" s="47"/>
      <c r="L1011" s="47"/>
      <c r="M1011" s="47"/>
      <c r="N1011" s="47"/>
      <c r="O1011" s="47"/>
      <c r="P1011" s="47"/>
      <c r="Q1011" s="85"/>
      <c r="R1011" s="85"/>
      <c r="S1011" s="85"/>
      <c r="T1011" s="85"/>
      <c r="U1011" s="85"/>
      <c r="V1011" s="85"/>
      <c r="W1011" s="85"/>
      <c r="X1011" s="85"/>
      <c r="Y1011" s="85"/>
      <c r="Z1011" s="85"/>
      <c r="AA1011" s="85"/>
      <c r="AB1011" s="85"/>
      <c r="AC1011" s="85"/>
      <c r="AD1011" s="85"/>
      <c r="AE1011" s="47"/>
      <c r="AF1011" s="47"/>
      <c r="AG1011" s="47"/>
      <c r="AH1011" s="47"/>
      <c r="AI1011" s="47"/>
      <c r="AJ1011" s="47"/>
      <c r="AK1011" s="47"/>
      <c r="AL1011" s="47"/>
      <c r="AM1011" s="47"/>
      <c r="AN1011" s="47"/>
      <c r="AO1011" s="47"/>
      <c r="AP1011" s="47"/>
      <c r="AQ1011" s="47"/>
      <c r="AR1011" s="47"/>
      <c r="AS1011" s="47"/>
      <c r="AT1011" s="47"/>
      <c r="AU1011" s="47"/>
      <c r="AV1011" s="47"/>
      <c r="AW1011" s="47"/>
      <c r="AX1011" s="47"/>
      <c r="AY1011" s="47"/>
      <c r="AZ1011" s="47"/>
      <c r="BA1011" s="47"/>
      <c r="BB1011" s="47"/>
      <c r="BC1011" s="47"/>
      <c r="BD1011" s="47"/>
      <c r="BE1011" s="47"/>
      <c r="BF1011" s="47"/>
    </row>
    <row r="1012" spans="3:58">
      <c r="C1012" s="47"/>
      <c r="D1012" s="47"/>
      <c r="E1012" s="47"/>
      <c r="F1012" s="47"/>
      <c r="G1012" s="47"/>
      <c r="H1012" s="47"/>
      <c r="I1012" s="47"/>
      <c r="J1012" s="47"/>
      <c r="K1012" s="47"/>
      <c r="L1012" s="47"/>
      <c r="M1012" s="47"/>
      <c r="N1012" s="47"/>
      <c r="O1012" s="47"/>
      <c r="P1012" s="47"/>
      <c r="Q1012" s="85"/>
      <c r="R1012" s="85"/>
      <c r="S1012" s="85"/>
      <c r="T1012" s="85"/>
      <c r="U1012" s="85"/>
      <c r="V1012" s="85"/>
      <c r="W1012" s="85"/>
      <c r="X1012" s="85"/>
      <c r="Y1012" s="85"/>
      <c r="Z1012" s="85"/>
      <c r="AA1012" s="85"/>
      <c r="AB1012" s="85"/>
      <c r="AC1012" s="85"/>
      <c r="AD1012" s="85"/>
      <c r="AE1012" s="47"/>
      <c r="AF1012" s="47"/>
      <c r="AG1012" s="47"/>
      <c r="AH1012" s="47"/>
      <c r="AI1012" s="47"/>
      <c r="AJ1012" s="47"/>
      <c r="AK1012" s="47"/>
      <c r="AL1012" s="47"/>
      <c r="AM1012" s="47"/>
      <c r="AN1012" s="47"/>
      <c r="AO1012" s="47"/>
      <c r="AP1012" s="47"/>
      <c r="AQ1012" s="47"/>
      <c r="AR1012" s="47"/>
      <c r="AS1012" s="47"/>
      <c r="AT1012" s="47"/>
      <c r="AU1012" s="47"/>
      <c r="AV1012" s="47"/>
      <c r="AW1012" s="47"/>
      <c r="AX1012" s="47"/>
      <c r="AY1012" s="47"/>
      <c r="AZ1012" s="47"/>
      <c r="BA1012" s="47"/>
      <c r="BB1012" s="47"/>
      <c r="BC1012" s="47"/>
      <c r="BD1012" s="47"/>
      <c r="BE1012" s="47"/>
      <c r="BF1012" s="47"/>
    </row>
    <row r="1013" spans="3:58">
      <c r="C1013" s="47"/>
      <c r="D1013" s="47"/>
      <c r="E1013" s="47"/>
      <c r="F1013" s="47"/>
      <c r="G1013" s="47"/>
      <c r="H1013" s="47"/>
      <c r="I1013" s="47"/>
      <c r="J1013" s="47"/>
      <c r="K1013" s="47"/>
      <c r="L1013" s="47"/>
      <c r="M1013" s="47"/>
      <c r="N1013" s="47"/>
      <c r="O1013" s="47"/>
      <c r="P1013" s="47"/>
      <c r="Q1013" s="85"/>
      <c r="R1013" s="85"/>
      <c r="S1013" s="85"/>
      <c r="T1013" s="85"/>
      <c r="U1013" s="85"/>
      <c r="V1013" s="85"/>
      <c r="W1013" s="85"/>
      <c r="X1013" s="85"/>
      <c r="Y1013" s="85"/>
      <c r="Z1013" s="85"/>
      <c r="AA1013" s="85"/>
      <c r="AB1013" s="85"/>
      <c r="AC1013" s="85"/>
      <c r="AD1013" s="85"/>
      <c r="AE1013" s="47"/>
      <c r="AF1013" s="47"/>
      <c r="AG1013" s="47"/>
      <c r="AH1013" s="47"/>
      <c r="AI1013" s="47"/>
      <c r="AJ1013" s="47"/>
      <c r="AK1013" s="47"/>
      <c r="AL1013" s="47"/>
      <c r="AM1013" s="47"/>
      <c r="AN1013" s="47"/>
      <c r="AO1013" s="47"/>
      <c r="AP1013" s="47"/>
      <c r="AQ1013" s="47"/>
      <c r="AR1013" s="47"/>
      <c r="AS1013" s="47"/>
      <c r="AT1013" s="47"/>
      <c r="AU1013" s="47"/>
      <c r="AV1013" s="47"/>
      <c r="AW1013" s="47"/>
      <c r="AX1013" s="47"/>
      <c r="AY1013" s="47"/>
      <c r="AZ1013" s="47"/>
      <c r="BA1013" s="47"/>
      <c r="BB1013" s="47"/>
      <c r="BC1013" s="47"/>
      <c r="BD1013" s="47"/>
      <c r="BE1013" s="47"/>
      <c r="BF1013" s="47"/>
    </row>
    <row r="1014" spans="3:58">
      <c r="C1014" s="47"/>
      <c r="D1014" s="47"/>
      <c r="E1014" s="47"/>
      <c r="F1014" s="47"/>
      <c r="G1014" s="47"/>
      <c r="H1014" s="47"/>
      <c r="I1014" s="47"/>
      <c r="J1014" s="47"/>
      <c r="K1014" s="47"/>
      <c r="L1014" s="47"/>
      <c r="M1014" s="47"/>
      <c r="N1014" s="47"/>
      <c r="O1014" s="47"/>
      <c r="P1014" s="47"/>
      <c r="Q1014" s="85"/>
      <c r="R1014" s="85"/>
      <c r="S1014" s="85"/>
      <c r="T1014" s="85"/>
      <c r="U1014" s="85"/>
      <c r="V1014" s="85"/>
      <c r="W1014" s="85"/>
      <c r="X1014" s="85"/>
      <c r="Y1014" s="85"/>
      <c r="Z1014" s="85"/>
      <c r="AA1014" s="85"/>
      <c r="AB1014" s="85"/>
      <c r="AC1014" s="85"/>
      <c r="AD1014" s="85"/>
      <c r="AE1014" s="47"/>
      <c r="AF1014" s="47"/>
      <c r="AG1014" s="47"/>
      <c r="AH1014" s="47"/>
      <c r="AI1014" s="47"/>
      <c r="AJ1014" s="47"/>
      <c r="AK1014" s="47"/>
      <c r="AL1014" s="47"/>
      <c r="AM1014" s="47"/>
      <c r="AN1014" s="47"/>
      <c r="AO1014" s="47"/>
      <c r="AP1014" s="47"/>
      <c r="AQ1014" s="47"/>
      <c r="AR1014" s="47"/>
      <c r="AS1014" s="47"/>
      <c r="AT1014" s="47"/>
      <c r="AU1014" s="47"/>
      <c r="AV1014" s="47"/>
      <c r="AW1014" s="47"/>
      <c r="AX1014" s="47"/>
      <c r="AY1014" s="47"/>
      <c r="AZ1014" s="47"/>
      <c r="BA1014" s="47"/>
      <c r="BB1014" s="47"/>
      <c r="BC1014" s="47"/>
      <c r="BD1014" s="47"/>
      <c r="BE1014" s="47"/>
      <c r="BF1014" s="47"/>
    </row>
    <row r="1015" spans="3:58">
      <c r="C1015" s="47"/>
      <c r="D1015" s="47"/>
      <c r="E1015" s="47"/>
      <c r="F1015" s="47"/>
      <c r="G1015" s="47"/>
      <c r="H1015" s="47"/>
      <c r="I1015" s="47"/>
      <c r="J1015" s="47"/>
      <c r="K1015" s="47"/>
      <c r="L1015" s="47"/>
      <c r="M1015" s="47"/>
      <c r="N1015" s="47"/>
      <c r="O1015" s="47"/>
      <c r="P1015" s="47"/>
      <c r="Q1015" s="85"/>
      <c r="R1015" s="85"/>
      <c r="S1015" s="85"/>
      <c r="T1015" s="85"/>
      <c r="U1015" s="85"/>
      <c r="V1015" s="85"/>
      <c r="W1015" s="85"/>
      <c r="X1015" s="85"/>
      <c r="Y1015" s="85"/>
      <c r="Z1015" s="85"/>
      <c r="AA1015" s="85"/>
      <c r="AB1015" s="85"/>
      <c r="AC1015" s="85"/>
      <c r="AD1015" s="85"/>
      <c r="AE1015" s="47"/>
      <c r="AF1015" s="47"/>
      <c r="AG1015" s="47"/>
      <c r="AH1015" s="47"/>
      <c r="AI1015" s="47"/>
      <c r="AJ1015" s="47"/>
      <c r="AK1015" s="47"/>
      <c r="AL1015" s="47"/>
      <c r="AM1015" s="47"/>
      <c r="AN1015" s="47"/>
      <c r="AO1015" s="47"/>
      <c r="AP1015" s="47"/>
      <c r="AQ1015" s="47"/>
      <c r="AR1015" s="47"/>
      <c r="AS1015" s="47"/>
      <c r="AT1015" s="47"/>
      <c r="AU1015" s="47"/>
      <c r="AV1015" s="47"/>
      <c r="AW1015" s="47"/>
      <c r="AX1015" s="47"/>
      <c r="AY1015" s="47"/>
      <c r="AZ1015" s="47"/>
      <c r="BA1015" s="47"/>
      <c r="BB1015" s="47"/>
      <c r="BC1015" s="47"/>
      <c r="BD1015" s="47"/>
      <c r="BE1015" s="47"/>
      <c r="BF1015" s="47"/>
    </row>
    <row r="1016" spans="3:58">
      <c r="C1016" s="47"/>
      <c r="D1016" s="47"/>
      <c r="E1016" s="47"/>
      <c r="F1016" s="47"/>
      <c r="G1016" s="47"/>
      <c r="H1016" s="47"/>
      <c r="I1016" s="47"/>
      <c r="J1016" s="47"/>
      <c r="K1016" s="47"/>
      <c r="L1016" s="47"/>
      <c r="M1016" s="47"/>
      <c r="N1016" s="47"/>
      <c r="O1016" s="47"/>
      <c r="P1016" s="47"/>
      <c r="Q1016" s="85"/>
      <c r="R1016" s="85"/>
      <c r="S1016" s="85"/>
      <c r="T1016" s="85"/>
      <c r="U1016" s="85"/>
      <c r="V1016" s="85"/>
      <c r="W1016" s="85"/>
      <c r="X1016" s="85"/>
      <c r="Y1016" s="85"/>
      <c r="Z1016" s="85"/>
      <c r="AA1016" s="85"/>
      <c r="AB1016" s="85"/>
      <c r="AC1016" s="85"/>
      <c r="AD1016" s="85"/>
      <c r="AE1016" s="47"/>
      <c r="AF1016" s="47"/>
      <c r="AG1016" s="47"/>
      <c r="AH1016" s="47"/>
      <c r="AI1016" s="47"/>
      <c r="AJ1016" s="47"/>
      <c r="AK1016" s="47"/>
      <c r="AL1016" s="47"/>
      <c r="AM1016" s="47"/>
      <c r="AN1016" s="47"/>
      <c r="AO1016" s="47"/>
      <c r="AP1016" s="47"/>
      <c r="AQ1016" s="47"/>
      <c r="AR1016" s="47"/>
      <c r="AS1016" s="47"/>
      <c r="AT1016" s="47"/>
      <c r="AU1016" s="47"/>
      <c r="AV1016" s="47"/>
      <c r="AW1016" s="47"/>
      <c r="AX1016" s="47"/>
      <c r="AY1016" s="47"/>
      <c r="AZ1016" s="47"/>
      <c r="BA1016" s="47"/>
      <c r="BB1016" s="47"/>
      <c r="BC1016" s="47"/>
      <c r="BD1016" s="47"/>
      <c r="BE1016" s="47"/>
      <c r="BF1016" s="47"/>
    </row>
    <row r="1017" spans="3:58">
      <c r="C1017" s="47"/>
      <c r="D1017" s="47"/>
      <c r="E1017" s="47"/>
      <c r="F1017" s="47"/>
      <c r="G1017" s="47"/>
      <c r="H1017" s="47"/>
      <c r="I1017" s="47"/>
      <c r="J1017" s="47"/>
      <c r="K1017" s="47"/>
      <c r="L1017" s="47"/>
      <c r="M1017" s="47"/>
      <c r="N1017" s="47"/>
      <c r="O1017" s="47"/>
      <c r="P1017" s="47"/>
      <c r="Q1017" s="85"/>
      <c r="R1017" s="85"/>
      <c r="S1017" s="85"/>
      <c r="T1017" s="85"/>
      <c r="U1017" s="85"/>
      <c r="V1017" s="85"/>
      <c r="W1017" s="85"/>
      <c r="X1017" s="85"/>
      <c r="Y1017" s="85"/>
      <c r="Z1017" s="85"/>
      <c r="AA1017" s="85"/>
      <c r="AB1017" s="85"/>
      <c r="AC1017" s="85"/>
      <c r="AD1017" s="85"/>
      <c r="AE1017" s="47"/>
      <c r="AF1017" s="47"/>
      <c r="AG1017" s="47"/>
      <c r="AH1017" s="47"/>
      <c r="AI1017" s="47"/>
      <c r="AJ1017" s="47"/>
      <c r="AK1017" s="47"/>
      <c r="AL1017" s="47"/>
      <c r="AM1017" s="47"/>
      <c r="AN1017" s="47"/>
      <c r="AO1017" s="47"/>
      <c r="AP1017" s="47"/>
      <c r="AQ1017" s="47"/>
      <c r="AR1017" s="47"/>
      <c r="AS1017" s="47"/>
      <c r="AT1017" s="47"/>
      <c r="AU1017" s="47"/>
      <c r="AV1017" s="47"/>
      <c r="AW1017" s="47"/>
      <c r="AX1017" s="47"/>
      <c r="AY1017" s="47"/>
      <c r="AZ1017" s="47"/>
      <c r="BA1017" s="47"/>
      <c r="BB1017" s="47"/>
      <c r="BC1017" s="47"/>
      <c r="BD1017" s="47"/>
      <c r="BE1017" s="47"/>
      <c r="BF1017" s="47"/>
    </row>
    <row r="1018" spans="3:58">
      <c r="C1018" s="47"/>
      <c r="D1018" s="47"/>
      <c r="E1018" s="47"/>
      <c r="F1018" s="47"/>
      <c r="G1018" s="47"/>
      <c r="H1018" s="47"/>
      <c r="I1018" s="47"/>
      <c r="J1018" s="47"/>
      <c r="K1018" s="47"/>
      <c r="L1018" s="47"/>
      <c r="M1018" s="47"/>
      <c r="N1018" s="47"/>
      <c r="O1018" s="47"/>
      <c r="P1018" s="47"/>
      <c r="Q1018" s="85"/>
      <c r="R1018" s="85"/>
      <c r="S1018" s="85"/>
      <c r="T1018" s="85"/>
      <c r="U1018" s="85"/>
      <c r="V1018" s="85"/>
      <c r="W1018" s="85"/>
      <c r="X1018" s="85"/>
      <c r="Y1018" s="85"/>
      <c r="Z1018" s="85"/>
      <c r="AA1018" s="85"/>
      <c r="AB1018" s="85"/>
      <c r="AC1018" s="85"/>
      <c r="AD1018" s="85"/>
      <c r="AE1018" s="47"/>
      <c r="AF1018" s="47"/>
      <c r="AG1018" s="47"/>
      <c r="AH1018" s="47"/>
      <c r="AI1018" s="47"/>
      <c r="AJ1018" s="47"/>
      <c r="AK1018" s="47"/>
      <c r="AL1018" s="47"/>
      <c r="AM1018" s="47"/>
      <c r="AN1018" s="47"/>
      <c r="AO1018" s="47"/>
      <c r="AP1018" s="47"/>
      <c r="AQ1018" s="47"/>
      <c r="AR1018" s="47"/>
      <c r="AS1018" s="47"/>
      <c r="AT1018" s="47"/>
      <c r="AU1018" s="47"/>
      <c r="AV1018" s="47"/>
      <c r="AW1018" s="47"/>
      <c r="AX1018" s="47"/>
      <c r="AY1018" s="47"/>
      <c r="AZ1018" s="47"/>
      <c r="BA1018" s="47"/>
      <c r="BB1018" s="47"/>
      <c r="BC1018" s="47"/>
      <c r="BD1018" s="47"/>
      <c r="BE1018" s="47"/>
      <c r="BF1018" s="47"/>
    </row>
    <row r="1019" spans="3:58">
      <c r="C1019" s="47"/>
      <c r="D1019" s="47"/>
      <c r="E1019" s="47"/>
      <c r="F1019" s="47"/>
      <c r="G1019" s="47"/>
      <c r="H1019" s="47"/>
      <c r="I1019" s="47"/>
      <c r="J1019" s="47"/>
      <c r="K1019" s="47"/>
      <c r="L1019" s="47"/>
      <c r="M1019" s="47"/>
      <c r="N1019" s="47"/>
      <c r="O1019" s="47"/>
      <c r="P1019" s="47"/>
      <c r="Q1019" s="85"/>
      <c r="R1019" s="85"/>
      <c r="S1019" s="85"/>
      <c r="T1019" s="85"/>
      <c r="U1019" s="85"/>
      <c r="V1019" s="85"/>
      <c r="W1019" s="85"/>
      <c r="X1019" s="85"/>
      <c r="Y1019" s="85"/>
      <c r="Z1019" s="85"/>
      <c r="AA1019" s="85"/>
      <c r="AB1019" s="85"/>
      <c r="AC1019" s="85"/>
      <c r="AD1019" s="85"/>
      <c r="AE1019" s="47"/>
      <c r="AF1019" s="47"/>
      <c r="AG1019" s="47"/>
      <c r="AH1019" s="47"/>
      <c r="AI1019" s="47"/>
      <c r="AJ1019" s="47"/>
      <c r="AK1019" s="47"/>
      <c r="AL1019" s="47"/>
      <c r="AM1019" s="47"/>
      <c r="AN1019" s="47"/>
      <c r="AO1019" s="47"/>
      <c r="AP1019" s="47"/>
      <c r="AQ1019" s="47"/>
      <c r="AR1019" s="47"/>
      <c r="AS1019" s="47"/>
      <c r="AT1019" s="47"/>
      <c r="AU1019" s="47"/>
      <c r="AV1019" s="47"/>
      <c r="AW1019" s="47"/>
      <c r="AX1019" s="47"/>
      <c r="AY1019" s="47"/>
      <c r="AZ1019" s="47"/>
      <c r="BA1019" s="47"/>
      <c r="BB1019" s="47"/>
      <c r="BC1019" s="47"/>
      <c r="BD1019" s="47"/>
      <c r="BE1019" s="47"/>
      <c r="BF1019" s="47"/>
    </row>
    <row r="1020" spans="3:58">
      <c r="C1020" s="47"/>
      <c r="D1020" s="47"/>
      <c r="E1020" s="47"/>
      <c r="F1020" s="47"/>
      <c r="G1020" s="47"/>
      <c r="H1020" s="47"/>
      <c r="I1020" s="47"/>
      <c r="J1020" s="47"/>
      <c r="K1020" s="47"/>
      <c r="L1020" s="47"/>
      <c r="M1020" s="47"/>
      <c r="N1020" s="47"/>
      <c r="O1020" s="47"/>
      <c r="P1020" s="47"/>
      <c r="Q1020" s="85"/>
      <c r="R1020" s="85"/>
      <c r="S1020" s="85"/>
      <c r="T1020" s="85"/>
      <c r="U1020" s="85"/>
      <c r="V1020" s="85"/>
      <c r="W1020" s="85"/>
      <c r="X1020" s="85"/>
      <c r="Y1020" s="85"/>
      <c r="Z1020" s="85"/>
      <c r="AA1020" s="85"/>
      <c r="AB1020" s="85"/>
      <c r="AC1020" s="85"/>
      <c r="AD1020" s="85"/>
      <c r="AE1020" s="47"/>
      <c r="AF1020" s="47"/>
      <c r="AG1020" s="47"/>
      <c r="AH1020" s="47"/>
      <c r="AI1020" s="47"/>
      <c r="AJ1020" s="47"/>
      <c r="AK1020" s="47"/>
      <c r="AL1020" s="47"/>
      <c r="AM1020" s="47"/>
      <c r="AN1020" s="47"/>
      <c r="AO1020" s="47"/>
      <c r="AP1020" s="47"/>
      <c r="AQ1020" s="47"/>
      <c r="AR1020" s="47"/>
      <c r="AS1020" s="47"/>
      <c r="AT1020" s="47"/>
      <c r="AU1020" s="47"/>
      <c r="AV1020" s="47"/>
      <c r="AW1020" s="47"/>
      <c r="AX1020" s="47"/>
      <c r="AY1020" s="47"/>
      <c r="AZ1020" s="47"/>
      <c r="BA1020" s="47"/>
      <c r="BB1020" s="47"/>
      <c r="BC1020" s="47"/>
      <c r="BD1020" s="47"/>
      <c r="BE1020" s="47"/>
      <c r="BF1020" s="47"/>
    </row>
    <row r="1021" spans="3:58">
      <c r="C1021" s="47"/>
      <c r="D1021" s="47"/>
      <c r="E1021" s="47"/>
      <c r="F1021" s="47"/>
      <c r="G1021" s="47"/>
      <c r="H1021" s="47"/>
      <c r="I1021" s="47"/>
      <c r="J1021" s="47"/>
      <c r="K1021" s="47"/>
      <c r="L1021" s="47"/>
      <c r="M1021" s="47"/>
      <c r="N1021" s="47"/>
      <c r="O1021" s="47"/>
      <c r="P1021" s="47"/>
      <c r="Q1021" s="85"/>
      <c r="R1021" s="85"/>
      <c r="S1021" s="85"/>
      <c r="T1021" s="85"/>
      <c r="U1021" s="85"/>
      <c r="V1021" s="85"/>
      <c r="W1021" s="85"/>
      <c r="X1021" s="85"/>
      <c r="Y1021" s="85"/>
      <c r="Z1021" s="85"/>
      <c r="AA1021" s="85"/>
      <c r="AB1021" s="85"/>
      <c r="AC1021" s="85"/>
      <c r="AD1021" s="85"/>
      <c r="AE1021" s="47"/>
      <c r="AF1021" s="47"/>
      <c r="AG1021" s="47"/>
      <c r="AH1021" s="47"/>
      <c r="AI1021" s="47"/>
      <c r="AJ1021" s="47"/>
      <c r="AK1021" s="47"/>
      <c r="AL1021" s="47"/>
      <c r="AM1021" s="47"/>
      <c r="AN1021" s="47"/>
      <c r="AO1021" s="47"/>
      <c r="AP1021" s="47"/>
      <c r="AQ1021" s="47"/>
      <c r="AR1021" s="47"/>
      <c r="AS1021" s="47"/>
      <c r="AT1021" s="47"/>
      <c r="AU1021" s="47"/>
      <c r="AV1021" s="47"/>
      <c r="AW1021" s="47"/>
      <c r="AX1021" s="47"/>
      <c r="AY1021" s="47"/>
      <c r="AZ1021" s="47"/>
      <c r="BA1021" s="47"/>
      <c r="BB1021" s="47"/>
      <c r="BC1021" s="47"/>
      <c r="BD1021" s="47"/>
      <c r="BE1021" s="47"/>
      <c r="BF1021" s="47"/>
    </row>
    <row r="1022" spans="3:58">
      <c r="C1022" s="47"/>
      <c r="D1022" s="47"/>
      <c r="E1022" s="47"/>
      <c r="F1022" s="47"/>
      <c r="G1022" s="47"/>
      <c r="H1022" s="47"/>
      <c r="I1022" s="47"/>
      <c r="J1022" s="47"/>
      <c r="K1022" s="47"/>
      <c r="L1022" s="47"/>
      <c r="M1022" s="47"/>
      <c r="N1022" s="47"/>
      <c r="O1022" s="47"/>
      <c r="P1022" s="47"/>
      <c r="Q1022" s="85"/>
      <c r="R1022" s="85"/>
      <c r="S1022" s="85"/>
      <c r="T1022" s="85"/>
      <c r="U1022" s="85"/>
      <c r="V1022" s="85"/>
      <c r="W1022" s="85"/>
      <c r="X1022" s="85"/>
      <c r="Y1022" s="85"/>
      <c r="Z1022" s="85"/>
      <c r="AA1022" s="85"/>
      <c r="AB1022" s="85"/>
      <c r="AC1022" s="85"/>
      <c r="AD1022" s="85"/>
      <c r="AE1022" s="47"/>
      <c r="AF1022" s="47"/>
      <c r="AG1022" s="47"/>
      <c r="AH1022" s="47"/>
      <c r="AI1022" s="47"/>
      <c r="AJ1022" s="47"/>
      <c r="AK1022" s="47"/>
      <c r="AL1022" s="47"/>
      <c r="AM1022" s="47"/>
      <c r="AN1022" s="47"/>
      <c r="AO1022" s="47"/>
      <c r="AP1022" s="47"/>
      <c r="AQ1022" s="47"/>
      <c r="AR1022" s="47"/>
      <c r="AS1022" s="47"/>
      <c r="AT1022" s="47"/>
      <c r="AU1022" s="47"/>
      <c r="AV1022" s="47"/>
      <c r="AW1022" s="47"/>
      <c r="AX1022" s="47"/>
      <c r="AY1022" s="47"/>
      <c r="AZ1022" s="47"/>
      <c r="BA1022" s="47"/>
      <c r="BB1022" s="47"/>
      <c r="BC1022" s="47"/>
      <c r="BD1022" s="47"/>
      <c r="BE1022" s="47"/>
      <c r="BF1022" s="47"/>
    </row>
    <row r="1023" spans="3:58">
      <c r="C1023" s="47"/>
      <c r="D1023" s="47"/>
      <c r="E1023" s="47"/>
      <c r="F1023" s="47"/>
      <c r="G1023" s="47"/>
      <c r="H1023" s="47"/>
      <c r="I1023" s="47"/>
      <c r="J1023" s="47"/>
      <c r="K1023" s="47"/>
      <c r="L1023" s="47"/>
      <c r="M1023" s="47"/>
      <c r="N1023" s="47"/>
      <c r="O1023" s="47"/>
      <c r="P1023" s="47"/>
      <c r="Q1023" s="85"/>
      <c r="R1023" s="85"/>
      <c r="S1023" s="85"/>
      <c r="T1023" s="85"/>
      <c r="U1023" s="85"/>
      <c r="V1023" s="85"/>
      <c r="W1023" s="85"/>
      <c r="X1023" s="85"/>
      <c r="Y1023" s="85"/>
      <c r="Z1023" s="85"/>
      <c r="AA1023" s="85"/>
      <c r="AB1023" s="85"/>
      <c r="AC1023" s="85"/>
      <c r="AD1023" s="85"/>
      <c r="AE1023" s="47"/>
      <c r="AF1023" s="47"/>
      <c r="AG1023" s="47"/>
      <c r="AH1023" s="47"/>
      <c r="AI1023" s="47"/>
      <c r="AJ1023" s="47"/>
      <c r="AK1023" s="47"/>
      <c r="AL1023" s="47"/>
      <c r="AM1023" s="47"/>
      <c r="AN1023" s="47"/>
      <c r="AO1023" s="47"/>
      <c r="AP1023" s="47"/>
      <c r="AQ1023" s="47"/>
      <c r="AR1023" s="47"/>
      <c r="AS1023" s="47"/>
      <c r="AT1023" s="47"/>
      <c r="AU1023" s="47"/>
      <c r="AV1023" s="47"/>
      <c r="AW1023" s="47"/>
      <c r="AX1023" s="47"/>
      <c r="AY1023" s="47"/>
      <c r="AZ1023" s="47"/>
      <c r="BA1023" s="47"/>
      <c r="BB1023" s="47"/>
      <c r="BC1023" s="47"/>
      <c r="BD1023" s="47"/>
      <c r="BE1023" s="47"/>
      <c r="BF1023" s="47"/>
    </row>
    <row r="1024" spans="3:58">
      <c r="C1024" s="47"/>
      <c r="D1024" s="47"/>
      <c r="E1024" s="47"/>
      <c r="F1024" s="47"/>
      <c r="G1024" s="47"/>
      <c r="H1024" s="47"/>
      <c r="I1024" s="47"/>
      <c r="J1024" s="47"/>
      <c r="K1024" s="47"/>
      <c r="L1024" s="47"/>
      <c r="M1024" s="47"/>
      <c r="N1024" s="47"/>
      <c r="O1024" s="47"/>
      <c r="P1024" s="47"/>
      <c r="Q1024" s="85"/>
      <c r="R1024" s="85"/>
      <c r="S1024" s="85"/>
      <c r="T1024" s="85"/>
      <c r="U1024" s="85"/>
      <c r="V1024" s="85"/>
      <c r="W1024" s="85"/>
      <c r="X1024" s="85"/>
      <c r="Y1024" s="85"/>
      <c r="Z1024" s="85"/>
      <c r="AA1024" s="85"/>
      <c r="AB1024" s="85"/>
      <c r="AC1024" s="85"/>
      <c r="AD1024" s="85"/>
      <c r="AE1024" s="47"/>
      <c r="AF1024" s="47"/>
      <c r="AG1024" s="47"/>
      <c r="AH1024" s="47"/>
      <c r="AI1024" s="47"/>
      <c r="AJ1024" s="47"/>
      <c r="AK1024" s="47"/>
      <c r="AL1024" s="47"/>
      <c r="AM1024" s="47"/>
      <c r="AN1024" s="47"/>
      <c r="AO1024" s="47"/>
      <c r="AP1024" s="47"/>
      <c r="AQ1024" s="47"/>
      <c r="AR1024" s="47"/>
      <c r="AS1024" s="47"/>
      <c r="AT1024" s="47"/>
      <c r="AU1024" s="47"/>
      <c r="AV1024" s="47"/>
      <c r="AW1024" s="47"/>
      <c r="AX1024" s="47"/>
      <c r="AY1024" s="47"/>
      <c r="AZ1024" s="47"/>
      <c r="BA1024" s="47"/>
      <c r="BB1024" s="47"/>
      <c r="BC1024" s="47"/>
      <c r="BD1024" s="47"/>
      <c r="BE1024" s="47"/>
      <c r="BF1024" s="47"/>
    </row>
    <row r="1025" spans="3:58">
      <c r="C1025" s="47"/>
      <c r="D1025" s="47"/>
      <c r="E1025" s="47"/>
      <c r="F1025" s="47"/>
      <c r="G1025" s="47"/>
      <c r="H1025" s="47"/>
      <c r="I1025" s="47"/>
      <c r="J1025" s="47"/>
      <c r="K1025" s="47"/>
      <c r="L1025" s="47"/>
      <c r="M1025" s="47"/>
      <c r="N1025" s="47"/>
      <c r="O1025" s="47"/>
      <c r="P1025" s="47"/>
      <c r="Q1025" s="85"/>
      <c r="R1025" s="85"/>
      <c r="S1025" s="85"/>
      <c r="T1025" s="85"/>
      <c r="U1025" s="85"/>
      <c r="V1025" s="85"/>
      <c r="W1025" s="85"/>
      <c r="X1025" s="85"/>
      <c r="Y1025" s="85"/>
      <c r="Z1025" s="85"/>
      <c r="AA1025" s="85"/>
      <c r="AB1025" s="85"/>
      <c r="AC1025" s="85"/>
      <c r="AD1025" s="85"/>
      <c r="AE1025" s="47"/>
      <c r="AF1025" s="47"/>
      <c r="AG1025" s="47"/>
      <c r="AH1025" s="47"/>
      <c r="AI1025" s="47"/>
      <c r="AJ1025" s="47"/>
      <c r="AK1025" s="47"/>
      <c r="AL1025" s="47"/>
      <c r="AM1025" s="47"/>
      <c r="AN1025" s="47"/>
      <c r="AO1025" s="47"/>
      <c r="AP1025" s="47"/>
      <c r="AQ1025" s="47"/>
      <c r="AR1025" s="47"/>
      <c r="AS1025" s="47"/>
      <c r="AT1025" s="47"/>
      <c r="AU1025" s="47"/>
      <c r="AV1025" s="47"/>
      <c r="AW1025" s="47"/>
      <c r="AX1025" s="47"/>
      <c r="AY1025" s="47"/>
      <c r="AZ1025" s="47"/>
      <c r="BA1025" s="47"/>
      <c r="BB1025" s="47"/>
      <c r="BC1025" s="47"/>
      <c r="BD1025" s="47"/>
      <c r="BE1025" s="47"/>
      <c r="BF1025" s="47"/>
    </row>
    <row r="1026" spans="3:58">
      <c r="C1026" s="47"/>
      <c r="D1026" s="47"/>
      <c r="E1026" s="47"/>
      <c r="F1026" s="47"/>
      <c r="G1026" s="47"/>
      <c r="H1026" s="47"/>
      <c r="I1026" s="47"/>
      <c r="J1026" s="47"/>
      <c r="K1026" s="47"/>
      <c r="L1026" s="47"/>
      <c r="M1026" s="47"/>
      <c r="N1026" s="47"/>
      <c r="O1026" s="47"/>
      <c r="P1026" s="47"/>
      <c r="Q1026" s="85"/>
      <c r="R1026" s="85"/>
      <c r="S1026" s="85"/>
      <c r="T1026" s="85"/>
      <c r="U1026" s="85"/>
      <c r="V1026" s="85"/>
      <c r="W1026" s="85"/>
      <c r="X1026" s="85"/>
      <c r="Y1026" s="85"/>
      <c r="Z1026" s="85"/>
      <c r="AA1026" s="85"/>
      <c r="AB1026" s="85"/>
      <c r="AC1026" s="85"/>
      <c r="AD1026" s="85"/>
      <c r="AE1026" s="47"/>
      <c r="AF1026" s="47"/>
      <c r="AG1026" s="47"/>
      <c r="AH1026" s="47"/>
      <c r="AI1026" s="47"/>
      <c r="AJ1026" s="47"/>
      <c r="AK1026" s="47"/>
      <c r="AL1026" s="47"/>
      <c r="AM1026" s="47"/>
      <c r="AN1026" s="47"/>
      <c r="AO1026" s="47"/>
      <c r="AP1026" s="47"/>
      <c r="AQ1026" s="47"/>
      <c r="AR1026" s="47"/>
      <c r="AS1026" s="47"/>
      <c r="AT1026" s="47"/>
      <c r="AU1026" s="47"/>
      <c r="AV1026" s="47"/>
      <c r="AW1026" s="47"/>
      <c r="AX1026" s="47"/>
      <c r="AY1026" s="47"/>
      <c r="AZ1026" s="47"/>
      <c r="BA1026" s="47"/>
      <c r="BB1026" s="47"/>
      <c r="BC1026" s="47"/>
      <c r="BD1026" s="47"/>
      <c r="BE1026" s="47"/>
      <c r="BF1026" s="47"/>
    </row>
    <row r="1027" spans="3:58">
      <c r="C1027" s="47"/>
      <c r="D1027" s="47"/>
      <c r="E1027" s="47"/>
      <c r="F1027" s="47"/>
      <c r="G1027" s="47"/>
      <c r="H1027" s="47"/>
      <c r="I1027" s="47"/>
      <c r="J1027" s="47"/>
      <c r="K1027" s="47"/>
      <c r="L1027" s="47"/>
      <c r="M1027" s="47"/>
      <c r="N1027" s="47"/>
      <c r="O1027" s="47"/>
      <c r="P1027" s="47"/>
      <c r="Q1027" s="85"/>
      <c r="R1027" s="85"/>
      <c r="S1027" s="85"/>
      <c r="T1027" s="85"/>
      <c r="U1027" s="85"/>
      <c r="V1027" s="85"/>
      <c r="W1027" s="85"/>
      <c r="X1027" s="85"/>
      <c r="Y1027" s="85"/>
      <c r="Z1027" s="85"/>
      <c r="AA1027" s="85"/>
      <c r="AB1027" s="85"/>
      <c r="AC1027" s="85"/>
      <c r="AD1027" s="85"/>
      <c r="AE1027" s="47"/>
      <c r="AF1027" s="47"/>
      <c r="AG1027" s="47"/>
      <c r="AH1027" s="47"/>
      <c r="AI1027" s="47"/>
      <c r="AJ1027" s="47"/>
      <c r="AK1027" s="47"/>
      <c r="AL1027" s="47"/>
      <c r="AM1027" s="47"/>
      <c r="AN1027" s="47"/>
      <c r="AO1027" s="47"/>
      <c r="AP1027" s="47"/>
      <c r="AQ1027" s="47"/>
      <c r="AR1027" s="47"/>
      <c r="AS1027" s="47"/>
      <c r="AT1027" s="47"/>
      <c r="AU1027" s="47"/>
      <c r="AV1027" s="47"/>
      <c r="AW1027" s="47"/>
      <c r="AX1027" s="47"/>
      <c r="AY1027" s="47"/>
      <c r="AZ1027" s="47"/>
      <c r="BA1027" s="47"/>
      <c r="BB1027" s="47"/>
      <c r="BC1027" s="47"/>
      <c r="BD1027" s="47"/>
      <c r="BE1027" s="47"/>
      <c r="BF1027" s="47"/>
    </row>
    <row r="1028" spans="3:58">
      <c r="C1028" s="47"/>
      <c r="D1028" s="47"/>
      <c r="E1028" s="47"/>
      <c r="F1028" s="47"/>
      <c r="G1028" s="47"/>
      <c r="H1028" s="47"/>
      <c r="I1028" s="47"/>
      <c r="J1028" s="47"/>
      <c r="K1028" s="47"/>
      <c r="L1028" s="47"/>
      <c r="M1028" s="47"/>
      <c r="N1028" s="47"/>
      <c r="O1028" s="47"/>
      <c r="P1028" s="47"/>
      <c r="Q1028" s="85"/>
      <c r="R1028" s="85"/>
      <c r="S1028" s="85"/>
      <c r="T1028" s="85"/>
      <c r="U1028" s="85"/>
      <c r="V1028" s="85"/>
      <c r="W1028" s="85"/>
      <c r="X1028" s="85"/>
      <c r="Y1028" s="85"/>
      <c r="Z1028" s="85"/>
      <c r="AA1028" s="85"/>
      <c r="AB1028" s="85"/>
      <c r="AC1028" s="85"/>
      <c r="AD1028" s="85"/>
      <c r="AE1028" s="47"/>
      <c r="AF1028" s="47"/>
      <c r="AG1028" s="47"/>
      <c r="AH1028" s="47"/>
      <c r="AI1028" s="47"/>
      <c r="AJ1028" s="47"/>
      <c r="AK1028" s="47"/>
      <c r="AL1028" s="47"/>
      <c r="AM1028" s="47"/>
      <c r="AN1028" s="47"/>
      <c r="AO1028" s="47"/>
      <c r="AP1028" s="47"/>
      <c r="AQ1028" s="47"/>
      <c r="AR1028" s="47"/>
      <c r="AS1028" s="47"/>
      <c r="AT1028" s="47"/>
      <c r="AU1028" s="47"/>
      <c r="AV1028" s="47"/>
      <c r="AW1028" s="47"/>
      <c r="AX1028" s="47"/>
      <c r="AY1028" s="47"/>
      <c r="AZ1028" s="47"/>
      <c r="BA1028" s="47"/>
      <c r="BB1028" s="47"/>
      <c r="BC1028" s="47"/>
      <c r="BD1028" s="47"/>
      <c r="BE1028" s="47"/>
      <c r="BF1028" s="47"/>
    </row>
    <row r="1029" spans="3:58">
      <c r="C1029" s="47"/>
      <c r="D1029" s="47"/>
      <c r="E1029" s="47"/>
      <c r="F1029" s="47"/>
      <c r="G1029" s="47"/>
      <c r="H1029" s="47"/>
      <c r="I1029" s="47"/>
      <c r="J1029" s="47"/>
      <c r="K1029" s="47"/>
      <c r="L1029" s="47"/>
      <c r="M1029" s="47"/>
      <c r="N1029" s="47"/>
      <c r="O1029" s="47"/>
      <c r="P1029" s="47"/>
      <c r="Q1029" s="85"/>
      <c r="R1029" s="85"/>
      <c r="S1029" s="85"/>
      <c r="T1029" s="85"/>
      <c r="U1029" s="85"/>
      <c r="V1029" s="85"/>
      <c r="W1029" s="85"/>
      <c r="X1029" s="85"/>
      <c r="Y1029" s="85"/>
      <c r="Z1029" s="85"/>
      <c r="AA1029" s="85"/>
      <c r="AB1029" s="85"/>
      <c r="AC1029" s="85"/>
      <c r="AD1029" s="85"/>
      <c r="AE1029" s="47"/>
      <c r="AF1029" s="47"/>
      <c r="AG1029" s="47"/>
      <c r="AH1029" s="47"/>
      <c r="AI1029" s="47"/>
      <c r="AJ1029" s="47"/>
      <c r="AK1029" s="47"/>
      <c r="AL1029" s="47"/>
      <c r="AM1029" s="47"/>
      <c r="AN1029" s="47"/>
      <c r="AO1029" s="47"/>
      <c r="AP1029" s="47"/>
      <c r="AQ1029" s="47"/>
      <c r="AR1029" s="47"/>
      <c r="AS1029" s="47"/>
      <c r="AT1029" s="47"/>
      <c r="AU1029" s="47"/>
      <c r="AV1029" s="47"/>
      <c r="AW1029" s="47"/>
      <c r="AX1029" s="47"/>
      <c r="AY1029" s="47"/>
      <c r="AZ1029" s="47"/>
      <c r="BA1029" s="47"/>
      <c r="BB1029" s="47"/>
      <c r="BC1029" s="47"/>
      <c r="BD1029" s="47"/>
      <c r="BE1029" s="47"/>
      <c r="BF1029" s="47"/>
    </row>
    <row r="1030" spans="3:58">
      <c r="C1030" s="47"/>
      <c r="D1030" s="47"/>
      <c r="E1030" s="47"/>
      <c r="F1030" s="47"/>
      <c r="G1030" s="47"/>
      <c r="H1030" s="47"/>
      <c r="I1030" s="47"/>
      <c r="J1030" s="47"/>
      <c r="K1030" s="47"/>
      <c r="L1030" s="47"/>
      <c r="M1030" s="47"/>
      <c r="N1030" s="47"/>
      <c r="O1030" s="47"/>
      <c r="P1030" s="47"/>
      <c r="Q1030" s="85"/>
      <c r="R1030" s="85"/>
      <c r="S1030" s="85"/>
      <c r="T1030" s="85"/>
      <c r="U1030" s="85"/>
      <c r="V1030" s="85"/>
      <c r="W1030" s="85"/>
      <c r="X1030" s="85"/>
      <c r="Y1030" s="85"/>
      <c r="Z1030" s="85"/>
      <c r="AA1030" s="85"/>
      <c r="AB1030" s="85"/>
      <c r="AC1030" s="85"/>
      <c r="AD1030" s="85"/>
      <c r="AE1030" s="47"/>
      <c r="AF1030" s="47"/>
      <c r="AG1030" s="47"/>
      <c r="AH1030" s="47"/>
      <c r="AI1030" s="47"/>
      <c r="AJ1030" s="47"/>
      <c r="AK1030" s="47"/>
      <c r="AL1030" s="47"/>
      <c r="AM1030" s="47"/>
      <c r="AN1030" s="47"/>
      <c r="AO1030" s="47"/>
      <c r="AP1030" s="47"/>
      <c r="AQ1030" s="47"/>
      <c r="AR1030" s="47"/>
      <c r="AS1030" s="47"/>
      <c r="AT1030" s="47"/>
      <c r="AU1030" s="47"/>
      <c r="AV1030" s="47"/>
      <c r="AW1030" s="47"/>
      <c r="AX1030" s="47"/>
      <c r="AY1030" s="47"/>
      <c r="AZ1030" s="47"/>
      <c r="BA1030" s="47"/>
      <c r="BB1030" s="47"/>
      <c r="BC1030" s="47"/>
      <c r="BD1030" s="47"/>
      <c r="BE1030" s="47"/>
      <c r="BF1030" s="47"/>
    </row>
    <row r="1031" spans="3:58">
      <c r="C1031" s="47"/>
      <c r="D1031" s="47"/>
      <c r="E1031" s="47"/>
      <c r="F1031" s="47"/>
      <c r="G1031" s="47"/>
      <c r="H1031" s="47"/>
      <c r="I1031" s="47"/>
      <c r="J1031" s="47"/>
      <c r="K1031" s="47"/>
      <c r="L1031" s="47"/>
      <c r="M1031" s="47"/>
      <c r="N1031" s="47"/>
      <c r="O1031" s="47"/>
      <c r="P1031" s="47"/>
      <c r="Q1031" s="85"/>
      <c r="R1031" s="85"/>
      <c r="S1031" s="85"/>
      <c r="T1031" s="85"/>
      <c r="U1031" s="85"/>
      <c r="V1031" s="85"/>
      <c r="W1031" s="85"/>
      <c r="X1031" s="85"/>
      <c r="Y1031" s="85"/>
      <c r="Z1031" s="85"/>
      <c r="AA1031" s="85"/>
      <c r="AB1031" s="85"/>
      <c r="AC1031" s="85"/>
      <c r="AD1031" s="85"/>
      <c r="AE1031" s="47"/>
      <c r="AF1031" s="47"/>
      <c r="AG1031" s="47"/>
      <c r="AH1031" s="47"/>
      <c r="AI1031" s="47"/>
      <c r="AJ1031" s="47"/>
      <c r="AK1031" s="47"/>
      <c r="AL1031" s="47"/>
      <c r="AM1031" s="47"/>
      <c r="AN1031" s="47"/>
      <c r="AO1031" s="47"/>
      <c r="AP1031" s="47"/>
      <c r="AQ1031" s="47"/>
      <c r="AR1031" s="47"/>
      <c r="AS1031" s="47"/>
      <c r="AT1031" s="47"/>
      <c r="AU1031" s="47"/>
      <c r="AV1031" s="47"/>
      <c r="AW1031" s="47"/>
      <c r="AX1031" s="47"/>
      <c r="AY1031" s="47"/>
      <c r="AZ1031" s="47"/>
      <c r="BA1031" s="47"/>
      <c r="BB1031" s="47"/>
      <c r="BC1031" s="47"/>
      <c r="BD1031" s="47"/>
      <c r="BE1031" s="47"/>
      <c r="BF1031" s="47"/>
    </row>
    <row r="1032" spans="3:58">
      <c r="C1032" s="47"/>
      <c r="D1032" s="47"/>
      <c r="E1032" s="47"/>
      <c r="F1032" s="47"/>
      <c r="G1032" s="47"/>
      <c r="H1032" s="47"/>
      <c r="I1032" s="47"/>
      <c r="J1032" s="47"/>
      <c r="K1032" s="47"/>
      <c r="L1032" s="47"/>
      <c r="M1032" s="47"/>
      <c r="N1032" s="47"/>
      <c r="O1032" s="47"/>
      <c r="P1032" s="47"/>
      <c r="Q1032" s="85"/>
      <c r="R1032" s="85"/>
      <c r="S1032" s="85"/>
      <c r="T1032" s="85"/>
      <c r="U1032" s="85"/>
      <c r="V1032" s="85"/>
      <c r="W1032" s="85"/>
      <c r="X1032" s="85"/>
      <c r="Y1032" s="85"/>
      <c r="Z1032" s="85"/>
      <c r="AA1032" s="85"/>
      <c r="AB1032" s="85"/>
      <c r="AC1032" s="85"/>
      <c r="AD1032" s="85"/>
      <c r="AE1032" s="47"/>
      <c r="AF1032" s="47"/>
      <c r="AG1032" s="47"/>
      <c r="AH1032" s="47"/>
      <c r="AI1032" s="47"/>
      <c r="AJ1032" s="47"/>
      <c r="AK1032" s="47"/>
      <c r="AL1032" s="47"/>
      <c r="AM1032" s="47"/>
      <c r="AN1032" s="47"/>
      <c r="AO1032" s="47"/>
      <c r="AP1032" s="47"/>
      <c r="AQ1032" s="47"/>
      <c r="AR1032" s="47"/>
      <c r="AS1032" s="47"/>
      <c r="AT1032" s="47"/>
      <c r="AU1032" s="47"/>
      <c r="AV1032" s="47"/>
      <c r="AW1032" s="47"/>
      <c r="AX1032" s="47"/>
      <c r="AY1032" s="47"/>
      <c r="AZ1032" s="47"/>
      <c r="BA1032" s="47"/>
      <c r="BB1032" s="47"/>
      <c r="BC1032" s="47"/>
      <c r="BD1032" s="47"/>
      <c r="BE1032" s="47"/>
      <c r="BF1032" s="47"/>
    </row>
    <row r="1033" spans="3:58">
      <c r="C1033" s="47"/>
      <c r="D1033" s="47"/>
      <c r="E1033" s="47"/>
      <c r="F1033" s="47"/>
      <c r="G1033" s="47"/>
      <c r="H1033" s="47"/>
      <c r="I1033" s="47"/>
      <c r="J1033" s="47"/>
      <c r="K1033" s="47"/>
      <c r="L1033" s="47"/>
      <c r="M1033" s="47"/>
      <c r="N1033" s="47"/>
      <c r="O1033" s="47"/>
      <c r="P1033" s="47"/>
      <c r="Q1033" s="85"/>
      <c r="R1033" s="85"/>
      <c r="S1033" s="85"/>
      <c r="T1033" s="85"/>
      <c r="U1033" s="85"/>
      <c r="V1033" s="85"/>
      <c r="W1033" s="85"/>
      <c r="X1033" s="85"/>
      <c r="Y1033" s="85"/>
      <c r="Z1033" s="85"/>
      <c r="AA1033" s="85"/>
      <c r="AB1033" s="85"/>
      <c r="AC1033" s="85"/>
      <c r="AD1033" s="85"/>
      <c r="AE1033" s="47"/>
      <c r="AF1033" s="47"/>
      <c r="AG1033" s="47"/>
      <c r="AH1033" s="47"/>
      <c r="AI1033" s="47"/>
      <c r="AJ1033" s="47"/>
      <c r="AK1033" s="47"/>
      <c r="AL1033" s="47"/>
      <c r="AM1033" s="47"/>
      <c r="AN1033" s="47"/>
      <c r="AO1033" s="47"/>
      <c r="AP1033" s="47"/>
      <c r="AQ1033" s="47"/>
      <c r="AR1033" s="47"/>
      <c r="AS1033" s="47"/>
      <c r="AT1033" s="47"/>
      <c r="AU1033" s="47"/>
      <c r="AV1033" s="47"/>
      <c r="AW1033" s="47"/>
      <c r="AX1033" s="47"/>
      <c r="AY1033" s="47"/>
      <c r="AZ1033" s="47"/>
      <c r="BA1033" s="47"/>
      <c r="BB1033" s="47"/>
      <c r="BC1033" s="47"/>
      <c r="BD1033" s="47"/>
      <c r="BE1033" s="47"/>
      <c r="BF1033" s="47"/>
    </row>
    <row r="1034" spans="3:58">
      <c r="C1034" s="47"/>
      <c r="D1034" s="47"/>
      <c r="E1034" s="47"/>
      <c r="F1034" s="47"/>
      <c r="G1034" s="47"/>
      <c r="H1034" s="47"/>
      <c r="I1034" s="47"/>
      <c r="J1034" s="47"/>
      <c r="K1034" s="47"/>
      <c r="L1034" s="47"/>
      <c r="M1034" s="47"/>
      <c r="N1034" s="47"/>
      <c r="O1034" s="47"/>
      <c r="P1034" s="47"/>
      <c r="Q1034" s="85"/>
      <c r="R1034" s="85"/>
      <c r="S1034" s="85"/>
      <c r="T1034" s="85"/>
      <c r="U1034" s="85"/>
      <c r="V1034" s="85"/>
      <c r="W1034" s="85"/>
      <c r="X1034" s="85"/>
      <c r="Y1034" s="85"/>
      <c r="Z1034" s="85"/>
      <c r="AA1034" s="85"/>
      <c r="AB1034" s="85"/>
      <c r="AC1034" s="85"/>
      <c r="AD1034" s="85"/>
      <c r="AE1034" s="47"/>
      <c r="AF1034" s="47"/>
      <c r="AG1034" s="47"/>
      <c r="AH1034" s="47"/>
      <c r="AI1034" s="47"/>
      <c r="AJ1034" s="47"/>
      <c r="AK1034" s="47"/>
      <c r="AL1034" s="47"/>
      <c r="AM1034" s="47"/>
      <c r="AN1034" s="47"/>
      <c r="AO1034" s="47"/>
      <c r="AP1034" s="47"/>
      <c r="AQ1034" s="47"/>
      <c r="AR1034" s="47"/>
      <c r="AS1034" s="47"/>
      <c r="AT1034" s="47"/>
      <c r="AU1034" s="47"/>
      <c r="AV1034" s="47"/>
      <c r="AW1034" s="47"/>
      <c r="AX1034" s="47"/>
      <c r="AY1034" s="47"/>
      <c r="AZ1034" s="47"/>
      <c r="BA1034" s="47"/>
      <c r="BB1034" s="47"/>
      <c r="BC1034" s="47"/>
      <c r="BD1034" s="47"/>
      <c r="BE1034" s="47"/>
      <c r="BF1034" s="47"/>
    </row>
    <row r="1035" spans="3:58">
      <c r="C1035" s="47"/>
      <c r="D1035" s="47"/>
      <c r="E1035" s="47"/>
      <c r="F1035" s="47"/>
      <c r="G1035" s="47"/>
      <c r="H1035" s="47"/>
      <c r="I1035" s="47"/>
      <c r="J1035" s="47"/>
      <c r="K1035" s="47"/>
      <c r="L1035" s="47"/>
      <c r="M1035" s="47"/>
      <c r="N1035" s="47"/>
      <c r="O1035" s="47"/>
      <c r="P1035" s="47"/>
      <c r="Q1035" s="85"/>
      <c r="R1035" s="85"/>
      <c r="S1035" s="85"/>
      <c r="T1035" s="85"/>
      <c r="U1035" s="85"/>
      <c r="V1035" s="85"/>
      <c r="W1035" s="85"/>
      <c r="X1035" s="85"/>
      <c r="Y1035" s="85"/>
      <c r="Z1035" s="85"/>
      <c r="AA1035" s="85"/>
      <c r="AB1035" s="85"/>
      <c r="AC1035" s="85"/>
      <c r="AD1035" s="85"/>
      <c r="AE1035" s="47"/>
      <c r="AF1035" s="47"/>
      <c r="AG1035" s="47"/>
      <c r="AH1035" s="47"/>
      <c r="AI1035" s="47"/>
      <c r="AJ1035" s="47"/>
      <c r="AK1035" s="47"/>
      <c r="AL1035" s="47"/>
      <c r="AM1035" s="47"/>
      <c r="AN1035" s="47"/>
      <c r="AO1035" s="47"/>
      <c r="AP1035" s="47"/>
      <c r="AQ1035" s="47"/>
      <c r="AR1035" s="47"/>
      <c r="AS1035" s="47"/>
      <c r="AT1035" s="47"/>
      <c r="AU1035" s="47"/>
      <c r="AV1035" s="47"/>
      <c r="AW1035" s="47"/>
      <c r="AX1035" s="47"/>
      <c r="AY1035" s="47"/>
      <c r="AZ1035" s="47"/>
      <c r="BA1035" s="47"/>
      <c r="BB1035" s="47"/>
      <c r="BC1035" s="47"/>
      <c r="BD1035" s="47"/>
      <c r="BE1035" s="47"/>
      <c r="BF1035" s="47"/>
    </row>
    <row r="1036" spans="3:58">
      <c r="C1036" s="47"/>
      <c r="D1036" s="47"/>
      <c r="E1036" s="47"/>
      <c r="F1036" s="47"/>
      <c r="G1036" s="47"/>
      <c r="H1036" s="47"/>
      <c r="I1036" s="47"/>
      <c r="J1036" s="47"/>
      <c r="K1036" s="47"/>
      <c r="L1036" s="47"/>
      <c r="M1036" s="47"/>
      <c r="N1036" s="47"/>
      <c r="O1036" s="47"/>
      <c r="P1036" s="47"/>
      <c r="Q1036" s="85"/>
      <c r="R1036" s="85"/>
      <c r="S1036" s="85"/>
      <c r="T1036" s="85"/>
      <c r="U1036" s="85"/>
      <c r="V1036" s="85"/>
      <c r="W1036" s="85"/>
      <c r="X1036" s="85"/>
      <c r="Y1036" s="85"/>
      <c r="Z1036" s="85"/>
      <c r="AA1036" s="85"/>
      <c r="AB1036" s="85"/>
      <c r="AC1036" s="85"/>
      <c r="AD1036" s="85"/>
      <c r="AE1036" s="47"/>
      <c r="AF1036" s="47"/>
      <c r="AG1036" s="47"/>
      <c r="AH1036" s="47"/>
      <c r="AI1036" s="47"/>
      <c r="AJ1036" s="47"/>
      <c r="AK1036" s="47"/>
      <c r="AL1036" s="47"/>
      <c r="AM1036" s="47"/>
      <c r="AN1036" s="47"/>
      <c r="AO1036" s="47"/>
      <c r="AP1036" s="47"/>
      <c r="AQ1036" s="47"/>
      <c r="AR1036" s="47"/>
      <c r="AS1036" s="47"/>
      <c r="AT1036" s="47"/>
      <c r="AU1036" s="47"/>
      <c r="AV1036" s="47"/>
      <c r="AW1036" s="47"/>
      <c r="AX1036" s="47"/>
      <c r="AY1036" s="47"/>
      <c r="AZ1036" s="47"/>
      <c r="BA1036" s="47"/>
      <c r="BB1036" s="47"/>
      <c r="BC1036" s="47"/>
      <c r="BD1036" s="47"/>
      <c r="BE1036" s="47"/>
      <c r="BF1036" s="47"/>
    </row>
    <row r="1037" spans="3:58">
      <c r="C1037" s="47"/>
      <c r="D1037" s="47"/>
      <c r="E1037" s="47"/>
      <c r="F1037" s="47"/>
      <c r="G1037" s="47"/>
      <c r="H1037" s="47"/>
      <c r="I1037" s="47"/>
      <c r="J1037" s="47"/>
      <c r="K1037" s="47"/>
      <c r="L1037" s="47"/>
      <c r="M1037" s="47"/>
      <c r="N1037" s="47"/>
      <c r="O1037" s="47"/>
      <c r="P1037" s="47"/>
      <c r="Q1037" s="85"/>
      <c r="R1037" s="85"/>
      <c r="S1037" s="85"/>
      <c r="T1037" s="85"/>
      <c r="U1037" s="85"/>
      <c r="V1037" s="85"/>
      <c r="W1037" s="85"/>
      <c r="X1037" s="85"/>
      <c r="Y1037" s="85"/>
      <c r="Z1037" s="85"/>
      <c r="AA1037" s="85"/>
      <c r="AB1037" s="85"/>
      <c r="AC1037" s="85"/>
      <c r="AD1037" s="85"/>
      <c r="AE1037" s="47"/>
      <c r="AF1037" s="47"/>
      <c r="AG1037" s="47"/>
      <c r="AH1037" s="47"/>
      <c r="AI1037" s="47"/>
      <c r="AJ1037" s="47"/>
      <c r="AK1037" s="47"/>
      <c r="AL1037" s="47"/>
      <c r="AM1037" s="47"/>
      <c r="AN1037" s="47"/>
      <c r="AO1037" s="47"/>
      <c r="AP1037" s="47"/>
      <c r="AQ1037" s="47"/>
      <c r="AR1037" s="47"/>
      <c r="AS1037" s="47"/>
      <c r="AT1037" s="47"/>
      <c r="AU1037" s="47"/>
      <c r="AV1037" s="47"/>
      <c r="AW1037" s="47"/>
      <c r="AX1037" s="47"/>
      <c r="AY1037" s="47"/>
      <c r="AZ1037" s="47"/>
      <c r="BA1037" s="47"/>
      <c r="BB1037" s="47"/>
      <c r="BC1037" s="47"/>
      <c r="BD1037" s="47"/>
      <c r="BE1037" s="47"/>
      <c r="BF1037" s="47"/>
    </row>
    <row r="1038" spans="3:58">
      <c r="C1038" s="47"/>
      <c r="D1038" s="47"/>
      <c r="E1038" s="47"/>
      <c r="F1038" s="47"/>
      <c r="G1038" s="47"/>
      <c r="H1038" s="47"/>
      <c r="I1038" s="47"/>
      <c r="J1038" s="47"/>
      <c r="K1038" s="47"/>
      <c r="L1038" s="47"/>
      <c r="M1038" s="47"/>
      <c r="N1038" s="47"/>
      <c r="O1038" s="47"/>
      <c r="P1038" s="47"/>
      <c r="Q1038" s="85"/>
      <c r="R1038" s="85"/>
      <c r="S1038" s="85"/>
      <c r="T1038" s="85"/>
      <c r="U1038" s="85"/>
      <c r="V1038" s="85"/>
      <c r="W1038" s="85"/>
      <c r="X1038" s="85"/>
      <c r="Y1038" s="85"/>
      <c r="Z1038" s="85"/>
      <c r="AA1038" s="85"/>
      <c r="AB1038" s="85"/>
      <c r="AC1038" s="85"/>
      <c r="AD1038" s="85"/>
      <c r="AE1038" s="47"/>
      <c r="AF1038" s="47"/>
      <c r="AG1038" s="47"/>
      <c r="AH1038" s="47"/>
      <c r="AI1038" s="47"/>
      <c r="AJ1038" s="47"/>
      <c r="AK1038" s="47"/>
      <c r="AL1038" s="47"/>
      <c r="AM1038" s="47"/>
      <c r="AN1038" s="47"/>
      <c r="AO1038" s="47"/>
      <c r="AP1038" s="47"/>
      <c r="AQ1038" s="47"/>
      <c r="AR1038" s="47"/>
      <c r="AS1038" s="47"/>
      <c r="AT1038" s="47"/>
      <c r="AU1038" s="47"/>
      <c r="AV1038" s="47"/>
      <c r="AW1038" s="47"/>
      <c r="AX1038" s="47"/>
      <c r="AY1038" s="47"/>
      <c r="AZ1038" s="47"/>
      <c r="BA1038" s="47"/>
      <c r="BB1038" s="47"/>
      <c r="BC1038" s="47"/>
      <c r="BD1038" s="47"/>
      <c r="BE1038" s="47"/>
      <c r="BF1038" s="47"/>
    </row>
    <row r="1039" spans="3:58">
      <c r="C1039" s="47"/>
      <c r="D1039" s="47"/>
      <c r="E1039" s="47"/>
      <c r="F1039" s="47"/>
      <c r="G1039" s="47"/>
      <c r="H1039" s="47"/>
      <c r="I1039" s="47"/>
      <c r="J1039" s="47"/>
      <c r="K1039" s="47"/>
      <c r="L1039" s="47"/>
      <c r="M1039" s="47"/>
      <c r="N1039" s="47"/>
      <c r="O1039" s="47"/>
      <c r="P1039" s="47"/>
      <c r="Q1039" s="85"/>
      <c r="R1039" s="85"/>
      <c r="S1039" s="85"/>
      <c r="T1039" s="85"/>
      <c r="U1039" s="85"/>
      <c r="V1039" s="85"/>
      <c r="W1039" s="85"/>
      <c r="X1039" s="85"/>
      <c r="Y1039" s="85"/>
      <c r="Z1039" s="85"/>
      <c r="AA1039" s="85"/>
      <c r="AB1039" s="85"/>
      <c r="AC1039" s="85"/>
      <c r="AD1039" s="85"/>
      <c r="AE1039" s="47"/>
      <c r="AF1039" s="47"/>
      <c r="AG1039" s="47"/>
      <c r="AH1039" s="47"/>
      <c r="AI1039" s="47"/>
      <c r="AJ1039" s="47"/>
      <c r="AK1039" s="47"/>
      <c r="AL1039" s="47"/>
      <c r="AM1039" s="47"/>
      <c r="AN1039" s="47"/>
      <c r="AO1039" s="47"/>
      <c r="AP1039" s="47"/>
      <c r="AQ1039" s="47"/>
      <c r="AR1039" s="47"/>
      <c r="AS1039" s="47"/>
      <c r="AT1039" s="47"/>
      <c r="AU1039" s="47"/>
      <c r="AV1039" s="47"/>
      <c r="AW1039" s="47"/>
      <c r="AX1039" s="47"/>
      <c r="AY1039" s="47"/>
      <c r="AZ1039" s="47"/>
      <c r="BA1039" s="47"/>
      <c r="BB1039" s="47"/>
      <c r="BC1039" s="47"/>
      <c r="BD1039" s="47"/>
      <c r="BE1039" s="47"/>
      <c r="BF1039" s="47"/>
    </row>
    <row r="1040" spans="3:58">
      <c r="C1040" s="47"/>
      <c r="D1040" s="47"/>
      <c r="E1040" s="47"/>
      <c r="F1040" s="47"/>
      <c r="G1040" s="47"/>
      <c r="H1040" s="47"/>
      <c r="I1040" s="47"/>
      <c r="J1040" s="47"/>
      <c r="K1040" s="47"/>
      <c r="L1040" s="47"/>
      <c r="M1040" s="47"/>
      <c r="N1040" s="47"/>
      <c r="O1040" s="47"/>
      <c r="P1040" s="47"/>
      <c r="Q1040" s="85"/>
      <c r="R1040" s="85"/>
      <c r="S1040" s="85"/>
      <c r="T1040" s="85"/>
      <c r="U1040" s="85"/>
      <c r="V1040" s="85"/>
      <c r="W1040" s="85"/>
      <c r="X1040" s="85"/>
      <c r="Y1040" s="85"/>
      <c r="Z1040" s="85"/>
      <c r="AA1040" s="85"/>
      <c r="AB1040" s="85"/>
      <c r="AC1040" s="85"/>
      <c r="AD1040" s="85"/>
      <c r="AE1040" s="47"/>
      <c r="AF1040" s="47"/>
      <c r="AG1040" s="47"/>
      <c r="AH1040" s="47"/>
      <c r="AI1040" s="47"/>
      <c r="AJ1040" s="47"/>
      <c r="AK1040" s="47"/>
      <c r="AL1040" s="47"/>
      <c r="AM1040" s="47"/>
      <c r="AN1040" s="47"/>
      <c r="AO1040" s="47"/>
      <c r="AP1040" s="47"/>
      <c r="AQ1040" s="47"/>
      <c r="AR1040" s="47"/>
      <c r="AS1040" s="47"/>
      <c r="AT1040" s="47"/>
      <c r="AU1040" s="47"/>
      <c r="AV1040" s="47"/>
      <c r="AW1040" s="47"/>
      <c r="AX1040" s="47"/>
      <c r="AY1040" s="47"/>
      <c r="AZ1040" s="47"/>
      <c r="BA1040" s="47"/>
      <c r="BB1040" s="47"/>
      <c r="BC1040" s="47"/>
      <c r="BD1040" s="47"/>
      <c r="BE1040" s="47"/>
      <c r="BF1040" s="47"/>
    </row>
    <row r="1041" spans="3:58">
      <c r="C1041" s="47"/>
      <c r="D1041" s="47"/>
      <c r="E1041" s="47"/>
      <c r="F1041" s="47"/>
      <c r="G1041" s="47"/>
      <c r="H1041" s="47"/>
      <c r="I1041" s="47"/>
      <c r="J1041" s="47"/>
      <c r="K1041" s="47"/>
      <c r="L1041" s="47"/>
      <c r="M1041" s="47"/>
      <c r="N1041" s="47"/>
      <c r="O1041" s="47"/>
      <c r="P1041" s="47"/>
      <c r="Q1041" s="85"/>
      <c r="R1041" s="85"/>
      <c r="S1041" s="85"/>
      <c r="T1041" s="85"/>
      <c r="U1041" s="85"/>
      <c r="V1041" s="85"/>
      <c r="W1041" s="85"/>
      <c r="X1041" s="85"/>
      <c r="Y1041" s="85"/>
      <c r="Z1041" s="85"/>
      <c r="AA1041" s="85"/>
      <c r="AB1041" s="85"/>
      <c r="AC1041" s="85"/>
      <c r="AD1041" s="85"/>
      <c r="AE1041" s="47"/>
      <c r="AF1041" s="47"/>
      <c r="AG1041" s="47"/>
      <c r="AH1041" s="47"/>
      <c r="AI1041" s="47"/>
      <c r="AJ1041" s="47"/>
      <c r="AK1041" s="47"/>
      <c r="AL1041" s="47"/>
      <c r="AM1041" s="47"/>
      <c r="AN1041" s="47"/>
      <c r="AO1041" s="47"/>
      <c r="AP1041" s="47"/>
      <c r="AQ1041" s="47"/>
      <c r="AR1041" s="47"/>
      <c r="AS1041" s="47"/>
      <c r="AT1041" s="47"/>
      <c r="AU1041" s="47"/>
      <c r="AV1041" s="47"/>
      <c r="AW1041" s="47"/>
      <c r="AX1041" s="47"/>
      <c r="AY1041" s="47"/>
      <c r="AZ1041" s="47"/>
      <c r="BA1041" s="47"/>
      <c r="BB1041" s="47"/>
      <c r="BC1041" s="47"/>
      <c r="BD1041" s="47"/>
      <c r="BE1041" s="47"/>
      <c r="BF1041" s="47"/>
    </row>
    <row r="1042" spans="3:58">
      <c r="C1042" s="47"/>
      <c r="D1042" s="47"/>
      <c r="E1042" s="47"/>
      <c r="F1042" s="47"/>
      <c r="G1042" s="47"/>
      <c r="H1042" s="47"/>
      <c r="I1042" s="47"/>
      <c r="J1042" s="47"/>
      <c r="K1042" s="47"/>
      <c r="L1042" s="47"/>
      <c r="M1042" s="47"/>
      <c r="N1042" s="47"/>
      <c r="O1042" s="47"/>
      <c r="P1042" s="47"/>
      <c r="Q1042" s="85"/>
      <c r="R1042" s="85"/>
      <c r="S1042" s="85"/>
      <c r="T1042" s="85"/>
      <c r="U1042" s="85"/>
      <c r="V1042" s="85"/>
      <c r="W1042" s="85"/>
      <c r="X1042" s="85"/>
      <c r="Y1042" s="85"/>
      <c r="Z1042" s="85"/>
      <c r="AA1042" s="85"/>
      <c r="AB1042" s="85"/>
      <c r="AC1042" s="85"/>
      <c r="AD1042" s="85"/>
      <c r="AE1042" s="47"/>
      <c r="AF1042" s="47"/>
      <c r="AG1042" s="47"/>
      <c r="AH1042" s="47"/>
      <c r="AI1042" s="47"/>
      <c r="AJ1042" s="47"/>
      <c r="AK1042" s="47"/>
      <c r="AL1042" s="47"/>
      <c r="AM1042" s="47"/>
      <c r="AN1042" s="47"/>
      <c r="AO1042" s="47"/>
      <c r="AP1042" s="47"/>
      <c r="AQ1042" s="47"/>
      <c r="AR1042" s="47"/>
      <c r="AS1042" s="47"/>
      <c r="AT1042" s="47"/>
      <c r="AU1042" s="47"/>
      <c r="AV1042" s="47"/>
      <c r="AW1042" s="47"/>
      <c r="AX1042" s="47"/>
      <c r="AY1042" s="47"/>
      <c r="AZ1042" s="47"/>
      <c r="BA1042" s="47"/>
      <c r="BB1042" s="47"/>
      <c r="BC1042" s="47"/>
      <c r="BD1042" s="47"/>
      <c r="BE1042" s="47"/>
      <c r="BF1042" s="47"/>
    </row>
    <row r="1043" spans="3:58">
      <c r="C1043" s="47"/>
      <c r="D1043" s="47"/>
      <c r="E1043" s="47"/>
      <c r="F1043" s="47"/>
      <c r="G1043" s="47"/>
      <c r="H1043" s="47"/>
      <c r="I1043" s="47"/>
      <c r="J1043" s="47"/>
      <c r="K1043" s="47"/>
      <c r="L1043" s="47"/>
      <c r="M1043" s="47"/>
      <c r="N1043" s="47"/>
      <c r="O1043" s="47"/>
      <c r="P1043" s="47"/>
      <c r="Q1043" s="85"/>
      <c r="R1043" s="85"/>
      <c r="S1043" s="85"/>
      <c r="T1043" s="85"/>
      <c r="U1043" s="85"/>
      <c r="V1043" s="85"/>
      <c r="W1043" s="85"/>
      <c r="X1043" s="85"/>
      <c r="Y1043" s="85"/>
      <c r="Z1043" s="85"/>
      <c r="AA1043" s="85"/>
      <c r="AB1043" s="85"/>
      <c r="AC1043" s="85"/>
      <c r="AD1043" s="85"/>
      <c r="AE1043" s="47"/>
      <c r="AF1043" s="47"/>
      <c r="AG1043" s="47"/>
      <c r="AH1043" s="47"/>
      <c r="AI1043" s="47"/>
      <c r="AJ1043" s="47"/>
      <c r="AK1043" s="47"/>
      <c r="AL1043" s="47"/>
      <c r="AM1043" s="47"/>
      <c r="AN1043" s="47"/>
      <c r="AO1043" s="47"/>
      <c r="AP1043" s="47"/>
      <c r="AQ1043" s="47"/>
      <c r="AR1043" s="47"/>
      <c r="AS1043" s="47"/>
      <c r="AT1043" s="47"/>
      <c r="AU1043" s="47"/>
      <c r="AV1043" s="47"/>
      <c r="AW1043" s="47"/>
      <c r="AX1043" s="47"/>
      <c r="AY1043" s="47"/>
      <c r="AZ1043" s="47"/>
      <c r="BA1043" s="47"/>
      <c r="BB1043" s="47"/>
      <c r="BC1043" s="47"/>
      <c r="BD1043" s="47"/>
      <c r="BE1043" s="47"/>
      <c r="BF1043" s="47"/>
    </row>
    <row r="1044" spans="3:58">
      <c r="C1044" s="47"/>
      <c r="D1044" s="47"/>
      <c r="E1044" s="47"/>
      <c r="F1044" s="47"/>
      <c r="G1044" s="47"/>
      <c r="H1044" s="47"/>
      <c r="I1044" s="47"/>
      <c r="J1044" s="47"/>
      <c r="K1044" s="47"/>
      <c r="L1044" s="47"/>
      <c r="M1044" s="47"/>
      <c r="N1044" s="47"/>
      <c r="O1044" s="47"/>
      <c r="P1044" s="47"/>
      <c r="Q1044" s="85"/>
      <c r="R1044" s="85"/>
      <c r="S1044" s="85"/>
      <c r="T1044" s="85"/>
      <c r="U1044" s="85"/>
      <c r="V1044" s="85"/>
      <c r="W1044" s="85"/>
      <c r="X1044" s="85"/>
      <c r="Y1044" s="85"/>
      <c r="Z1044" s="85"/>
      <c r="AA1044" s="85"/>
      <c r="AB1044" s="85"/>
      <c r="AC1044" s="85"/>
      <c r="AD1044" s="85"/>
      <c r="AE1044" s="47"/>
      <c r="AF1044" s="47"/>
      <c r="AG1044" s="47"/>
      <c r="AH1044" s="47"/>
      <c r="AI1044" s="47"/>
      <c r="AJ1044" s="47"/>
      <c r="AK1044" s="47"/>
      <c r="AL1044" s="47"/>
      <c r="AM1044" s="47"/>
      <c r="AN1044" s="47"/>
      <c r="AO1044" s="47"/>
      <c r="AP1044" s="47"/>
      <c r="AQ1044" s="47"/>
      <c r="AR1044" s="47"/>
      <c r="AS1044" s="47"/>
      <c r="AT1044" s="47"/>
      <c r="AU1044" s="47"/>
      <c r="AV1044" s="47"/>
      <c r="AW1044" s="47"/>
      <c r="AX1044" s="47"/>
      <c r="AY1044" s="47"/>
      <c r="AZ1044" s="47"/>
      <c r="BA1044" s="47"/>
      <c r="BB1044" s="47"/>
      <c r="BC1044" s="47"/>
      <c r="BD1044" s="47"/>
      <c r="BE1044" s="47"/>
      <c r="BF1044" s="47"/>
    </row>
    <row r="1045" spans="3:58">
      <c r="C1045" s="47"/>
      <c r="D1045" s="47"/>
      <c r="E1045" s="47"/>
      <c r="F1045" s="47"/>
      <c r="G1045" s="47"/>
      <c r="H1045" s="47"/>
      <c r="I1045" s="47"/>
      <c r="J1045" s="47"/>
      <c r="K1045" s="47"/>
      <c r="L1045" s="47"/>
      <c r="M1045" s="47"/>
      <c r="N1045" s="47"/>
      <c r="O1045" s="47"/>
      <c r="P1045" s="47"/>
      <c r="Q1045" s="85"/>
      <c r="R1045" s="85"/>
      <c r="S1045" s="85"/>
      <c r="T1045" s="85"/>
      <c r="U1045" s="85"/>
      <c r="V1045" s="85"/>
      <c r="W1045" s="85"/>
      <c r="X1045" s="85"/>
      <c r="Y1045" s="85"/>
      <c r="Z1045" s="85"/>
      <c r="AA1045" s="85"/>
      <c r="AB1045" s="85"/>
      <c r="AC1045" s="85"/>
      <c r="AD1045" s="85"/>
      <c r="AE1045" s="47"/>
      <c r="AF1045" s="47"/>
      <c r="AG1045" s="47"/>
      <c r="AH1045" s="47"/>
      <c r="AI1045" s="47"/>
      <c r="AJ1045" s="47"/>
      <c r="AK1045" s="47"/>
      <c r="AL1045" s="47"/>
      <c r="AM1045" s="47"/>
      <c r="AN1045" s="47"/>
      <c r="AO1045" s="47"/>
      <c r="AP1045" s="47"/>
      <c r="AQ1045" s="47"/>
      <c r="AR1045" s="47"/>
      <c r="AS1045" s="47"/>
      <c r="AT1045" s="47"/>
      <c r="AU1045" s="47"/>
      <c r="AV1045" s="47"/>
      <c r="AW1045" s="47"/>
      <c r="AX1045" s="47"/>
      <c r="AY1045" s="47"/>
      <c r="AZ1045" s="47"/>
      <c r="BA1045" s="47"/>
      <c r="BB1045" s="47"/>
      <c r="BC1045" s="47"/>
      <c r="BD1045" s="47"/>
      <c r="BE1045" s="47"/>
      <c r="BF1045" s="47"/>
    </row>
    <row r="1046" spans="3:58">
      <c r="C1046" s="47"/>
      <c r="D1046" s="47"/>
      <c r="E1046" s="47"/>
      <c r="F1046" s="47"/>
      <c r="G1046" s="47"/>
      <c r="H1046" s="47"/>
      <c r="I1046" s="47"/>
      <c r="J1046" s="47"/>
      <c r="K1046" s="47"/>
      <c r="L1046" s="47"/>
      <c r="M1046" s="47"/>
      <c r="N1046" s="47"/>
      <c r="O1046" s="47"/>
      <c r="P1046" s="47"/>
      <c r="Q1046" s="85"/>
      <c r="R1046" s="85"/>
      <c r="S1046" s="85"/>
      <c r="T1046" s="85"/>
      <c r="U1046" s="85"/>
      <c r="V1046" s="85"/>
      <c r="W1046" s="85"/>
      <c r="X1046" s="85"/>
      <c r="Y1046" s="85"/>
      <c r="Z1046" s="85"/>
      <c r="AA1046" s="85"/>
      <c r="AB1046" s="85"/>
      <c r="AC1046" s="85"/>
      <c r="AD1046" s="85"/>
      <c r="AE1046" s="47"/>
      <c r="AF1046" s="47"/>
      <c r="AG1046" s="47"/>
      <c r="AH1046" s="47"/>
      <c r="AI1046" s="47"/>
      <c r="AJ1046" s="47"/>
      <c r="AK1046" s="47"/>
      <c r="AL1046" s="47"/>
      <c r="AM1046" s="47"/>
      <c r="AN1046" s="47"/>
      <c r="AO1046" s="47"/>
      <c r="AP1046" s="47"/>
      <c r="AQ1046" s="47"/>
      <c r="AR1046" s="47"/>
      <c r="AS1046" s="47"/>
      <c r="AT1046" s="47"/>
      <c r="AU1046" s="47"/>
      <c r="AV1046" s="47"/>
      <c r="AW1046" s="47"/>
      <c r="AX1046" s="47"/>
      <c r="AY1046" s="47"/>
      <c r="AZ1046" s="47"/>
      <c r="BA1046" s="47"/>
      <c r="BB1046" s="47"/>
      <c r="BC1046" s="47"/>
      <c r="BD1046" s="47"/>
      <c r="BE1046" s="47"/>
      <c r="BF1046" s="47"/>
    </row>
    <row r="1047" spans="3:58">
      <c r="C1047" s="47"/>
      <c r="D1047" s="47"/>
      <c r="E1047" s="47"/>
      <c r="F1047" s="47"/>
      <c r="G1047" s="47"/>
      <c r="H1047" s="47"/>
      <c r="I1047" s="47"/>
      <c r="J1047" s="47"/>
      <c r="K1047" s="47"/>
      <c r="L1047" s="47"/>
      <c r="M1047" s="47"/>
      <c r="N1047" s="47"/>
      <c r="O1047" s="47"/>
      <c r="P1047" s="47"/>
      <c r="Q1047" s="85"/>
      <c r="R1047" s="85"/>
      <c r="S1047" s="85"/>
      <c r="T1047" s="85"/>
      <c r="U1047" s="85"/>
      <c r="V1047" s="85"/>
      <c r="W1047" s="85"/>
      <c r="X1047" s="85"/>
      <c r="Y1047" s="85"/>
      <c r="Z1047" s="85"/>
      <c r="AA1047" s="85"/>
      <c r="AB1047" s="85"/>
      <c r="AC1047" s="85"/>
      <c r="AD1047" s="85"/>
      <c r="AE1047" s="47"/>
      <c r="AF1047" s="47"/>
      <c r="AG1047" s="47"/>
      <c r="AH1047" s="47"/>
      <c r="AI1047" s="47"/>
      <c r="AJ1047" s="47"/>
      <c r="AK1047" s="47"/>
      <c r="AL1047" s="47"/>
      <c r="AM1047" s="47"/>
      <c r="AN1047" s="47"/>
      <c r="AO1047" s="47"/>
      <c r="AP1047" s="47"/>
      <c r="AQ1047" s="47"/>
      <c r="AR1047" s="47"/>
      <c r="AS1047" s="47"/>
      <c r="AT1047" s="47"/>
      <c r="AU1047" s="47"/>
      <c r="AV1047" s="47"/>
      <c r="AW1047" s="47"/>
      <c r="AX1047" s="47"/>
      <c r="AY1047" s="47"/>
      <c r="AZ1047" s="47"/>
      <c r="BA1047" s="47"/>
      <c r="BB1047" s="47"/>
      <c r="BC1047" s="47"/>
      <c r="BD1047" s="47"/>
      <c r="BE1047" s="47"/>
      <c r="BF1047" s="47"/>
    </row>
    <row r="1048" spans="3:58">
      <c r="C1048" s="47"/>
      <c r="D1048" s="47"/>
      <c r="E1048" s="47"/>
      <c r="F1048" s="47"/>
      <c r="G1048" s="47"/>
      <c r="H1048" s="47"/>
      <c r="I1048" s="47"/>
      <c r="J1048" s="47"/>
      <c r="K1048" s="47"/>
      <c r="L1048" s="47"/>
      <c r="M1048" s="47"/>
      <c r="N1048" s="47"/>
      <c r="O1048" s="47"/>
      <c r="P1048" s="47"/>
      <c r="Q1048" s="85"/>
      <c r="R1048" s="85"/>
      <c r="S1048" s="85"/>
      <c r="T1048" s="85"/>
      <c r="U1048" s="85"/>
      <c r="V1048" s="85"/>
      <c r="W1048" s="85"/>
      <c r="X1048" s="85"/>
      <c r="Y1048" s="85"/>
      <c r="Z1048" s="85"/>
      <c r="AA1048" s="85"/>
      <c r="AB1048" s="85"/>
      <c r="AC1048" s="85"/>
      <c r="AD1048" s="85"/>
      <c r="AE1048" s="47"/>
      <c r="AF1048" s="47"/>
      <c r="AG1048" s="47"/>
      <c r="AH1048" s="47"/>
      <c r="AI1048" s="47"/>
      <c r="AJ1048" s="47"/>
      <c r="AK1048" s="47"/>
      <c r="AL1048" s="47"/>
      <c r="AM1048" s="47"/>
      <c r="AN1048" s="47"/>
      <c r="AO1048" s="47"/>
      <c r="AP1048" s="47"/>
      <c r="AQ1048" s="47"/>
      <c r="AR1048" s="47"/>
      <c r="AS1048" s="47"/>
      <c r="AT1048" s="47"/>
      <c r="AU1048" s="47"/>
      <c r="AV1048" s="47"/>
      <c r="AW1048" s="47"/>
      <c r="AX1048" s="47"/>
      <c r="AY1048" s="47"/>
      <c r="AZ1048" s="47"/>
      <c r="BA1048" s="47"/>
      <c r="BB1048" s="47"/>
      <c r="BC1048" s="47"/>
      <c r="BD1048" s="47"/>
      <c r="BE1048" s="47"/>
      <c r="BF1048" s="47"/>
    </row>
    <row r="1049" spans="3:58">
      <c r="C1049" s="47"/>
      <c r="D1049" s="47"/>
      <c r="E1049" s="47"/>
      <c r="F1049" s="47"/>
      <c r="G1049" s="47"/>
      <c r="H1049" s="47"/>
      <c r="I1049" s="47"/>
      <c r="J1049" s="47"/>
      <c r="K1049" s="47"/>
      <c r="L1049" s="47"/>
      <c r="M1049" s="47"/>
      <c r="N1049" s="47"/>
      <c r="O1049" s="47"/>
      <c r="P1049" s="47"/>
      <c r="Q1049" s="85"/>
      <c r="R1049" s="85"/>
      <c r="S1049" s="85"/>
      <c r="T1049" s="85"/>
      <c r="U1049" s="85"/>
      <c r="V1049" s="85"/>
      <c r="W1049" s="85"/>
      <c r="X1049" s="85"/>
      <c r="Y1049" s="85"/>
      <c r="Z1049" s="85"/>
      <c r="AA1049" s="85"/>
      <c r="AB1049" s="85"/>
      <c r="AC1049" s="85"/>
      <c r="AD1049" s="85"/>
      <c r="AE1049" s="47"/>
      <c r="AF1049" s="47"/>
      <c r="AG1049" s="47"/>
      <c r="AH1049" s="47"/>
      <c r="AI1049" s="47"/>
      <c r="AJ1049" s="47"/>
      <c r="AK1049" s="47"/>
      <c r="AL1049" s="47"/>
      <c r="AM1049" s="47"/>
      <c r="AN1049" s="47"/>
      <c r="AO1049" s="47"/>
      <c r="AP1049" s="47"/>
      <c r="AQ1049" s="47"/>
      <c r="AR1049" s="47"/>
      <c r="AS1049" s="47"/>
      <c r="AT1049" s="47"/>
      <c r="AU1049" s="47"/>
      <c r="AV1049" s="47"/>
      <c r="AW1049" s="47"/>
      <c r="AX1049" s="47"/>
      <c r="AY1049" s="47"/>
      <c r="AZ1049" s="47"/>
      <c r="BA1049" s="47"/>
      <c r="BB1049" s="47"/>
      <c r="BC1049" s="47"/>
      <c r="BD1049" s="47"/>
      <c r="BE1049" s="47"/>
      <c r="BF1049" s="47"/>
    </row>
    <row r="1050" spans="3:58">
      <c r="C1050" s="47"/>
      <c r="D1050" s="47"/>
      <c r="E1050" s="47"/>
      <c r="F1050" s="47"/>
      <c r="G1050" s="47"/>
      <c r="H1050" s="47"/>
      <c r="I1050" s="47"/>
      <c r="J1050" s="47"/>
      <c r="K1050" s="47"/>
      <c r="L1050" s="47"/>
      <c r="M1050" s="47"/>
      <c r="N1050" s="47"/>
      <c r="O1050" s="47"/>
      <c r="P1050" s="47"/>
      <c r="Q1050" s="85"/>
      <c r="R1050" s="85"/>
      <c r="S1050" s="85"/>
      <c r="T1050" s="85"/>
      <c r="U1050" s="85"/>
      <c r="V1050" s="85"/>
      <c r="W1050" s="85"/>
      <c r="X1050" s="85"/>
      <c r="Y1050" s="85"/>
      <c r="Z1050" s="85"/>
      <c r="AA1050" s="85"/>
      <c r="AB1050" s="85"/>
      <c r="AC1050" s="85"/>
      <c r="AD1050" s="85"/>
      <c r="AE1050" s="47"/>
      <c r="AF1050" s="47"/>
      <c r="AG1050" s="47"/>
      <c r="AH1050" s="47"/>
      <c r="AI1050" s="47"/>
      <c r="AJ1050" s="47"/>
      <c r="AK1050" s="47"/>
      <c r="AL1050" s="47"/>
      <c r="AM1050" s="47"/>
      <c r="AN1050" s="47"/>
      <c r="AO1050" s="47"/>
      <c r="AP1050" s="47"/>
      <c r="AQ1050" s="47"/>
      <c r="AR1050" s="47"/>
      <c r="AS1050" s="47"/>
      <c r="AT1050" s="47"/>
      <c r="AU1050" s="47"/>
      <c r="AV1050" s="47"/>
      <c r="AW1050" s="47"/>
      <c r="AX1050" s="47"/>
      <c r="AY1050" s="47"/>
      <c r="AZ1050" s="47"/>
      <c r="BA1050" s="47"/>
      <c r="BB1050" s="47"/>
      <c r="BC1050" s="47"/>
      <c r="BD1050" s="47"/>
      <c r="BE1050" s="47"/>
      <c r="BF1050" s="47"/>
    </row>
    <row r="1051" spans="3:58">
      <c r="C1051" s="47"/>
      <c r="D1051" s="47"/>
      <c r="E1051" s="47"/>
      <c r="F1051" s="47"/>
      <c r="G1051" s="47"/>
      <c r="H1051" s="47"/>
      <c r="I1051" s="47"/>
      <c r="J1051" s="47"/>
      <c r="K1051" s="47"/>
      <c r="L1051" s="47"/>
      <c r="M1051" s="47"/>
      <c r="N1051" s="47"/>
      <c r="O1051" s="47"/>
      <c r="P1051" s="47"/>
      <c r="Q1051" s="85"/>
      <c r="R1051" s="85"/>
      <c r="S1051" s="85"/>
      <c r="T1051" s="85"/>
      <c r="U1051" s="85"/>
      <c r="V1051" s="85"/>
      <c r="W1051" s="85"/>
      <c r="X1051" s="85"/>
      <c r="Y1051" s="85"/>
      <c r="Z1051" s="85"/>
      <c r="AA1051" s="85"/>
      <c r="AB1051" s="85"/>
      <c r="AC1051" s="85"/>
      <c r="AD1051" s="85"/>
      <c r="AE1051" s="47"/>
      <c r="AF1051" s="47"/>
      <c r="AG1051" s="47"/>
      <c r="AH1051" s="47"/>
      <c r="AI1051" s="47"/>
      <c r="AJ1051" s="47"/>
      <c r="AK1051" s="47"/>
      <c r="AL1051" s="47"/>
      <c r="AM1051" s="47"/>
      <c r="AN1051" s="47"/>
      <c r="AO1051" s="47"/>
      <c r="AP1051" s="47"/>
      <c r="AQ1051" s="47"/>
      <c r="AR1051" s="47"/>
      <c r="AS1051" s="47"/>
      <c r="AT1051" s="47"/>
      <c r="AU1051" s="47"/>
      <c r="AV1051" s="47"/>
      <c r="AW1051" s="47"/>
      <c r="AX1051" s="47"/>
      <c r="AY1051" s="47"/>
      <c r="AZ1051" s="47"/>
      <c r="BA1051" s="47"/>
      <c r="BB1051" s="47"/>
      <c r="BC1051" s="47"/>
      <c r="BD1051" s="47"/>
      <c r="BE1051" s="47"/>
      <c r="BF1051" s="47"/>
    </row>
    <row r="1052" spans="3:58">
      <c r="C1052" s="47"/>
      <c r="D1052" s="47"/>
      <c r="E1052" s="47"/>
      <c r="F1052" s="47"/>
      <c r="G1052" s="47"/>
      <c r="H1052" s="47"/>
      <c r="I1052" s="47"/>
      <c r="J1052" s="47"/>
      <c r="K1052" s="47"/>
      <c r="L1052" s="47"/>
      <c r="M1052" s="47"/>
      <c r="N1052" s="47"/>
      <c r="O1052" s="47"/>
      <c r="P1052" s="47"/>
      <c r="Q1052" s="85"/>
      <c r="R1052" s="85"/>
      <c r="S1052" s="85"/>
      <c r="T1052" s="85"/>
      <c r="U1052" s="85"/>
      <c r="V1052" s="85"/>
      <c r="W1052" s="85"/>
      <c r="X1052" s="85"/>
      <c r="Y1052" s="85"/>
      <c r="Z1052" s="85"/>
      <c r="AA1052" s="85"/>
      <c r="AB1052" s="85"/>
      <c r="AC1052" s="85"/>
      <c r="AD1052" s="85"/>
      <c r="AE1052" s="47"/>
      <c r="AF1052" s="47"/>
      <c r="AG1052" s="47"/>
      <c r="AH1052" s="47"/>
      <c r="AI1052" s="47"/>
      <c r="AJ1052" s="47"/>
      <c r="AK1052" s="47"/>
      <c r="AL1052" s="47"/>
      <c r="AM1052" s="47"/>
      <c r="AN1052" s="47"/>
      <c r="AO1052" s="47"/>
      <c r="AP1052" s="47"/>
      <c r="AQ1052" s="47"/>
      <c r="AR1052" s="47"/>
      <c r="AS1052" s="47"/>
      <c r="AT1052" s="47"/>
      <c r="AU1052" s="47"/>
      <c r="AV1052" s="47"/>
      <c r="AW1052" s="47"/>
      <c r="AX1052" s="47"/>
      <c r="AY1052" s="47"/>
      <c r="AZ1052" s="47"/>
      <c r="BA1052" s="47"/>
      <c r="BB1052" s="47"/>
      <c r="BC1052" s="47"/>
      <c r="BD1052" s="47"/>
      <c r="BE1052" s="47"/>
      <c r="BF1052" s="47"/>
    </row>
    <row r="1053" spans="3:58">
      <c r="C1053" s="47"/>
      <c r="D1053" s="47"/>
      <c r="E1053" s="47"/>
      <c r="F1053" s="47"/>
      <c r="G1053" s="47"/>
      <c r="H1053" s="47"/>
      <c r="I1053" s="47"/>
      <c r="J1053" s="47"/>
      <c r="K1053" s="47"/>
      <c r="L1053" s="47"/>
      <c r="M1053" s="47"/>
      <c r="N1053" s="47"/>
      <c r="O1053" s="47"/>
      <c r="P1053" s="47"/>
      <c r="Q1053" s="85"/>
      <c r="R1053" s="85"/>
      <c r="S1053" s="85"/>
      <c r="T1053" s="85"/>
      <c r="U1053" s="85"/>
      <c r="V1053" s="85"/>
      <c r="W1053" s="85"/>
      <c r="X1053" s="85"/>
      <c r="Y1053" s="85"/>
      <c r="Z1053" s="85"/>
      <c r="AA1053" s="85"/>
      <c r="AB1053" s="85"/>
      <c r="AC1053" s="85"/>
      <c r="AD1053" s="85"/>
      <c r="AE1053" s="47"/>
      <c r="AF1053" s="47"/>
      <c r="AG1053" s="47"/>
      <c r="AH1053" s="47"/>
      <c r="AI1053" s="47"/>
      <c r="AJ1053" s="47"/>
      <c r="AK1053" s="47"/>
      <c r="AL1053" s="47"/>
      <c r="AM1053" s="47"/>
      <c r="AN1053" s="47"/>
      <c r="AO1053" s="47"/>
      <c r="AP1053" s="47"/>
      <c r="AQ1053" s="47"/>
      <c r="AR1053" s="47"/>
      <c r="AS1053" s="47"/>
      <c r="AT1053" s="47"/>
      <c r="AU1053" s="47"/>
      <c r="AV1053" s="47"/>
      <c r="AW1053" s="47"/>
      <c r="AX1053" s="47"/>
      <c r="AY1053" s="47"/>
      <c r="AZ1053" s="47"/>
      <c r="BA1053" s="47"/>
      <c r="BB1053" s="47"/>
      <c r="BC1053" s="47"/>
      <c r="BD1053" s="47"/>
      <c r="BE1053" s="47"/>
      <c r="BF1053" s="47"/>
    </row>
    <row r="1054" spans="3:58">
      <c r="C1054" s="47"/>
      <c r="D1054" s="47"/>
      <c r="E1054" s="47"/>
      <c r="F1054" s="47"/>
      <c r="G1054" s="47"/>
      <c r="H1054" s="47"/>
      <c r="I1054" s="47"/>
      <c r="J1054" s="47"/>
      <c r="K1054" s="47"/>
      <c r="L1054" s="47"/>
      <c r="M1054" s="47"/>
      <c r="N1054" s="47"/>
      <c r="O1054" s="47"/>
      <c r="P1054" s="47"/>
      <c r="Q1054" s="85"/>
      <c r="R1054" s="85"/>
      <c r="S1054" s="85"/>
      <c r="T1054" s="85"/>
      <c r="U1054" s="85"/>
      <c r="V1054" s="85"/>
      <c r="W1054" s="85"/>
      <c r="X1054" s="85"/>
      <c r="Y1054" s="85"/>
      <c r="Z1054" s="85"/>
      <c r="AA1054" s="85"/>
      <c r="AB1054" s="85"/>
      <c r="AC1054" s="85"/>
      <c r="AD1054" s="85"/>
      <c r="AE1054" s="47"/>
      <c r="AF1054" s="47"/>
      <c r="AG1054" s="47"/>
      <c r="AH1054" s="47"/>
      <c r="AI1054" s="47"/>
      <c r="AJ1054" s="47"/>
      <c r="AK1054" s="47"/>
      <c r="AL1054" s="47"/>
      <c r="AM1054" s="47"/>
      <c r="AN1054" s="47"/>
      <c r="AO1054" s="47"/>
      <c r="AP1054" s="47"/>
      <c r="AQ1054" s="47"/>
      <c r="AR1054" s="47"/>
      <c r="AS1054" s="47"/>
      <c r="AT1054" s="47"/>
      <c r="AU1054" s="47"/>
      <c r="AV1054" s="47"/>
      <c r="AW1054" s="47"/>
      <c r="AX1054" s="47"/>
      <c r="AY1054" s="47"/>
      <c r="AZ1054" s="47"/>
      <c r="BA1054" s="47"/>
      <c r="BB1054" s="47"/>
      <c r="BC1054" s="47"/>
      <c r="BD1054" s="47"/>
      <c r="BE1054" s="47"/>
      <c r="BF1054" s="47"/>
    </row>
    <row r="1055" spans="3:58">
      <c r="C1055" s="47"/>
      <c r="D1055" s="47"/>
      <c r="E1055" s="47"/>
      <c r="F1055" s="47"/>
      <c r="G1055" s="47"/>
      <c r="H1055" s="47"/>
      <c r="I1055" s="47"/>
      <c r="J1055" s="47"/>
      <c r="K1055" s="47"/>
      <c r="L1055" s="47"/>
      <c r="M1055" s="47"/>
      <c r="N1055" s="47"/>
      <c r="O1055" s="47"/>
      <c r="P1055" s="47"/>
      <c r="Q1055" s="85"/>
      <c r="R1055" s="85"/>
      <c r="S1055" s="85"/>
      <c r="T1055" s="85"/>
      <c r="U1055" s="85"/>
      <c r="V1055" s="85"/>
      <c r="W1055" s="85"/>
      <c r="X1055" s="85"/>
      <c r="Y1055" s="85"/>
      <c r="Z1055" s="85"/>
      <c r="AA1055" s="85"/>
      <c r="AB1055" s="85"/>
      <c r="AC1055" s="85"/>
      <c r="AD1055" s="85"/>
      <c r="AE1055" s="47"/>
      <c r="AF1055" s="47"/>
      <c r="AG1055" s="47"/>
      <c r="AH1055" s="47"/>
      <c r="AI1055" s="47"/>
      <c r="AJ1055" s="47"/>
      <c r="AK1055" s="47"/>
      <c r="AL1055" s="47"/>
      <c r="AM1055" s="47"/>
      <c r="AN1055" s="47"/>
      <c r="AO1055" s="47"/>
      <c r="AP1055" s="47"/>
      <c r="AQ1055" s="47"/>
      <c r="AR1055" s="47"/>
      <c r="AS1055" s="47"/>
      <c r="AT1055" s="47"/>
      <c r="AU1055" s="47"/>
      <c r="AV1055" s="47"/>
      <c r="AW1055" s="47"/>
      <c r="AX1055" s="47"/>
      <c r="AY1055" s="47"/>
      <c r="AZ1055" s="47"/>
      <c r="BA1055" s="47"/>
      <c r="BB1055" s="47"/>
      <c r="BC1055" s="47"/>
      <c r="BD1055" s="47"/>
      <c r="BE1055" s="47"/>
      <c r="BF1055" s="47"/>
    </row>
    <row r="1056" spans="3:58">
      <c r="C1056" s="47"/>
      <c r="D1056" s="47"/>
      <c r="E1056" s="47"/>
      <c r="F1056" s="47"/>
      <c r="G1056" s="47"/>
      <c r="H1056" s="47"/>
      <c r="I1056" s="47"/>
      <c r="J1056" s="47"/>
      <c r="K1056" s="47"/>
      <c r="L1056" s="47"/>
      <c r="M1056" s="47"/>
      <c r="N1056" s="47"/>
      <c r="O1056" s="47"/>
      <c r="P1056" s="47"/>
      <c r="Q1056" s="85"/>
      <c r="R1056" s="85"/>
      <c r="S1056" s="85"/>
      <c r="T1056" s="85"/>
      <c r="U1056" s="85"/>
      <c r="V1056" s="85"/>
      <c r="W1056" s="85"/>
      <c r="X1056" s="85"/>
      <c r="Y1056" s="85"/>
      <c r="Z1056" s="85"/>
      <c r="AA1056" s="85"/>
      <c r="AB1056" s="85"/>
      <c r="AC1056" s="85"/>
      <c r="AD1056" s="85"/>
      <c r="AE1056" s="47"/>
      <c r="AF1056" s="47"/>
      <c r="AG1056" s="47"/>
      <c r="AH1056" s="47"/>
      <c r="AI1056" s="47"/>
      <c r="AJ1056" s="47"/>
      <c r="AK1056" s="47"/>
      <c r="AL1056" s="47"/>
      <c r="AM1056" s="47"/>
      <c r="AN1056" s="47"/>
      <c r="AO1056" s="47"/>
      <c r="AP1056" s="47"/>
      <c r="AQ1056" s="47"/>
      <c r="AR1056" s="47"/>
      <c r="AS1056" s="47"/>
      <c r="AT1056" s="47"/>
      <c r="AU1056" s="47"/>
      <c r="AV1056" s="47"/>
      <c r="AW1056" s="47"/>
      <c r="AX1056" s="47"/>
      <c r="AY1056" s="47"/>
      <c r="AZ1056" s="47"/>
      <c r="BA1056" s="47"/>
      <c r="BB1056" s="47"/>
      <c r="BC1056" s="47"/>
      <c r="BD1056" s="47"/>
      <c r="BE1056" s="47"/>
      <c r="BF1056" s="47"/>
    </row>
    <row r="1057" spans="3:58">
      <c r="C1057" s="47"/>
      <c r="D1057" s="47"/>
      <c r="E1057" s="47"/>
      <c r="F1057" s="47"/>
      <c r="G1057" s="47"/>
      <c r="H1057" s="47"/>
      <c r="I1057" s="47"/>
      <c r="J1057" s="47"/>
      <c r="K1057" s="47"/>
      <c r="L1057" s="47"/>
      <c r="M1057" s="47"/>
      <c r="N1057" s="47"/>
      <c r="O1057" s="47"/>
      <c r="P1057" s="47"/>
      <c r="Q1057" s="85"/>
      <c r="R1057" s="85"/>
      <c r="S1057" s="85"/>
      <c r="T1057" s="85"/>
      <c r="U1057" s="85"/>
      <c r="V1057" s="85"/>
      <c r="W1057" s="85"/>
      <c r="X1057" s="85"/>
      <c r="Y1057" s="85"/>
      <c r="Z1057" s="85"/>
      <c r="AA1057" s="85"/>
      <c r="AB1057" s="85"/>
      <c r="AC1057" s="85"/>
      <c r="AD1057" s="85"/>
      <c r="AE1057" s="47"/>
      <c r="AF1057" s="47"/>
      <c r="AG1057" s="47"/>
      <c r="AH1057" s="47"/>
      <c r="AI1057" s="47"/>
      <c r="AJ1057" s="47"/>
      <c r="AK1057" s="47"/>
      <c r="AL1057" s="47"/>
      <c r="AM1057" s="47"/>
      <c r="AN1057" s="47"/>
      <c r="AO1057" s="47"/>
      <c r="AP1057" s="47"/>
      <c r="AQ1057" s="47"/>
      <c r="AR1057" s="47"/>
      <c r="AS1057" s="47"/>
      <c r="AT1057" s="47"/>
      <c r="AU1057" s="47"/>
      <c r="AV1057" s="47"/>
      <c r="AW1057" s="47"/>
      <c r="AX1057" s="47"/>
      <c r="AY1057" s="47"/>
      <c r="AZ1057" s="47"/>
      <c r="BA1057" s="47"/>
      <c r="BB1057" s="47"/>
      <c r="BC1057" s="47"/>
      <c r="BD1057" s="47"/>
      <c r="BE1057" s="47"/>
      <c r="BF1057" s="47"/>
    </row>
    <row r="1058" spans="3:58">
      <c r="C1058" s="47"/>
      <c r="D1058" s="47"/>
      <c r="E1058" s="47"/>
      <c r="F1058" s="47"/>
      <c r="G1058" s="47"/>
      <c r="H1058" s="47"/>
      <c r="I1058" s="47"/>
      <c r="J1058" s="47"/>
      <c r="K1058" s="47"/>
      <c r="L1058" s="47"/>
      <c r="M1058" s="47"/>
      <c r="N1058" s="47"/>
      <c r="O1058" s="47"/>
      <c r="P1058" s="47"/>
      <c r="Q1058" s="85"/>
      <c r="R1058" s="85"/>
      <c r="S1058" s="85"/>
      <c r="T1058" s="85"/>
      <c r="U1058" s="85"/>
      <c r="V1058" s="85"/>
      <c r="W1058" s="85"/>
      <c r="X1058" s="85"/>
      <c r="Y1058" s="85"/>
      <c r="Z1058" s="85"/>
      <c r="AA1058" s="85"/>
      <c r="AB1058" s="85"/>
      <c r="AC1058" s="85"/>
      <c r="AD1058" s="85"/>
      <c r="AE1058" s="47"/>
      <c r="AF1058" s="47"/>
      <c r="AG1058" s="47"/>
      <c r="AH1058" s="47"/>
      <c r="AI1058" s="47"/>
      <c r="AJ1058" s="47"/>
      <c r="AK1058" s="47"/>
      <c r="AL1058" s="47"/>
      <c r="AM1058" s="47"/>
      <c r="AN1058" s="47"/>
      <c r="AO1058" s="47"/>
      <c r="AP1058" s="47"/>
      <c r="AQ1058" s="47"/>
      <c r="AR1058" s="47"/>
      <c r="AS1058" s="47"/>
      <c r="AT1058" s="47"/>
      <c r="AU1058" s="47"/>
      <c r="AV1058" s="47"/>
      <c r="AW1058" s="47"/>
      <c r="AX1058" s="47"/>
      <c r="AY1058" s="47"/>
      <c r="AZ1058" s="47"/>
      <c r="BA1058" s="47"/>
      <c r="BB1058" s="47"/>
      <c r="BC1058" s="47"/>
      <c r="BD1058" s="47"/>
      <c r="BE1058" s="47"/>
      <c r="BF1058" s="47"/>
    </row>
    <row r="1059" spans="3:58">
      <c r="C1059" s="47"/>
      <c r="D1059" s="47"/>
      <c r="E1059" s="47"/>
      <c r="F1059" s="47"/>
      <c r="G1059" s="47"/>
      <c r="H1059" s="47"/>
      <c r="I1059" s="47"/>
      <c r="J1059" s="47"/>
      <c r="K1059" s="47"/>
      <c r="L1059" s="47"/>
      <c r="M1059" s="47"/>
      <c r="N1059" s="47"/>
      <c r="O1059" s="47"/>
      <c r="P1059" s="47"/>
      <c r="Q1059" s="85"/>
      <c r="R1059" s="85"/>
      <c r="S1059" s="85"/>
      <c r="T1059" s="85"/>
      <c r="U1059" s="85"/>
      <c r="V1059" s="85"/>
      <c r="W1059" s="85"/>
      <c r="X1059" s="85"/>
      <c r="Y1059" s="85"/>
      <c r="Z1059" s="85"/>
      <c r="AA1059" s="85"/>
      <c r="AB1059" s="85"/>
      <c r="AC1059" s="85"/>
      <c r="AD1059" s="85"/>
      <c r="AE1059" s="47"/>
      <c r="AF1059" s="47"/>
      <c r="AG1059" s="47"/>
      <c r="AH1059" s="47"/>
      <c r="AI1059" s="47"/>
      <c r="AJ1059" s="47"/>
      <c r="AK1059" s="47"/>
      <c r="AL1059" s="47"/>
      <c r="AM1059" s="47"/>
      <c r="AN1059" s="47"/>
      <c r="AO1059" s="47"/>
      <c r="AP1059" s="47"/>
      <c r="AQ1059" s="47"/>
      <c r="AR1059" s="47"/>
      <c r="AS1059" s="47"/>
      <c r="AT1059" s="47"/>
      <c r="AU1059" s="47"/>
      <c r="AV1059" s="47"/>
      <c r="AW1059" s="47"/>
      <c r="AX1059" s="47"/>
      <c r="AY1059" s="47"/>
      <c r="AZ1059" s="47"/>
      <c r="BA1059" s="47"/>
      <c r="BB1059" s="47"/>
      <c r="BC1059" s="47"/>
      <c r="BD1059" s="47"/>
      <c r="BE1059" s="47"/>
      <c r="BF1059" s="47"/>
    </row>
    <row r="1060" spans="3:58">
      <c r="C1060" s="47"/>
      <c r="D1060" s="47"/>
      <c r="E1060" s="47"/>
      <c r="F1060" s="47"/>
      <c r="G1060" s="47"/>
      <c r="H1060" s="47"/>
      <c r="I1060" s="47"/>
      <c r="J1060" s="47"/>
      <c r="K1060" s="47"/>
      <c r="L1060" s="47"/>
      <c r="M1060" s="47"/>
      <c r="N1060" s="47"/>
      <c r="O1060" s="47"/>
      <c r="P1060" s="47"/>
      <c r="Q1060" s="85"/>
      <c r="R1060" s="85"/>
      <c r="S1060" s="85"/>
      <c r="T1060" s="85"/>
      <c r="U1060" s="85"/>
      <c r="V1060" s="85"/>
      <c r="W1060" s="85"/>
      <c r="X1060" s="85"/>
      <c r="Y1060" s="85"/>
      <c r="Z1060" s="85"/>
      <c r="AA1060" s="85"/>
      <c r="AB1060" s="85"/>
      <c r="AC1060" s="85"/>
      <c r="AD1060" s="85"/>
      <c r="AE1060" s="47"/>
      <c r="AF1060" s="47"/>
      <c r="AG1060" s="47"/>
      <c r="AH1060" s="47"/>
      <c r="AI1060" s="47"/>
      <c r="AJ1060" s="47"/>
      <c r="AK1060" s="47"/>
      <c r="AL1060" s="47"/>
      <c r="AM1060" s="47"/>
      <c r="AN1060" s="47"/>
      <c r="AO1060" s="47"/>
      <c r="AP1060" s="47"/>
      <c r="AQ1060" s="47"/>
      <c r="AR1060" s="47"/>
      <c r="AS1060" s="47"/>
      <c r="AT1060" s="47"/>
      <c r="AU1060" s="47"/>
      <c r="AV1060" s="47"/>
      <c r="AW1060" s="47"/>
      <c r="AX1060" s="47"/>
      <c r="AY1060" s="47"/>
      <c r="AZ1060" s="47"/>
      <c r="BA1060" s="47"/>
      <c r="BB1060" s="47"/>
      <c r="BC1060" s="47"/>
      <c r="BD1060" s="47"/>
      <c r="BE1060" s="47"/>
      <c r="BF1060" s="47"/>
    </row>
    <row r="1061" spans="3:58">
      <c r="C1061" s="47"/>
      <c r="D1061" s="47"/>
      <c r="E1061" s="47"/>
      <c r="F1061" s="47"/>
      <c r="G1061" s="47"/>
      <c r="H1061" s="47"/>
      <c r="I1061" s="47"/>
      <c r="J1061" s="47"/>
      <c r="K1061" s="47"/>
      <c r="L1061" s="47"/>
      <c r="M1061" s="47"/>
      <c r="N1061" s="47"/>
      <c r="O1061" s="47"/>
      <c r="P1061" s="47"/>
      <c r="Q1061" s="85"/>
      <c r="R1061" s="85"/>
      <c r="S1061" s="85"/>
      <c r="T1061" s="85"/>
      <c r="U1061" s="85"/>
      <c r="V1061" s="85"/>
      <c r="W1061" s="85"/>
      <c r="X1061" s="85"/>
      <c r="Y1061" s="85"/>
      <c r="Z1061" s="85"/>
      <c r="AA1061" s="85"/>
      <c r="AB1061" s="85"/>
      <c r="AC1061" s="85"/>
      <c r="AD1061" s="85"/>
      <c r="AE1061" s="47"/>
      <c r="AF1061" s="47"/>
      <c r="AG1061" s="47"/>
      <c r="AH1061" s="47"/>
      <c r="AI1061" s="47"/>
      <c r="AJ1061" s="47"/>
      <c r="AK1061" s="47"/>
      <c r="AL1061" s="47"/>
      <c r="AM1061" s="47"/>
      <c r="AN1061" s="47"/>
      <c r="AO1061" s="47"/>
      <c r="AP1061" s="47"/>
      <c r="AQ1061" s="47"/>
      <c r="AR1061" s="47"/>
      <c r="AS1061" s="47"/>
      <c r="AT1061" s="47"/>
      <c r="AU1061" s="47"/>
      <c r="AV1061" s="47"/>
      <c r="AW1061" s="47"/>
      <c r="AX1061" s="47"/>
      <c r="AY1061" s="47"/>
      <c r="AZ1061" s="47"/>
      <c r="BA1061" s="47"/>
      <c r="BB1061" s="47"/>
      <c r="BC1061" s="47"/>
      <c r="BD1061" s="47"/>
      <c r="BE1061" s="47"/>
      <c r="BF1061" s="47"/>
    </row>
    <row r="1062" spans="3:58">
      <c r="C1062" s="47"/>
      <c r="D1062" s="47"/>
      <c r="E1062" s="47"/>
      <c r="F1062" s="47"/>
      <c r="G1062" s="47"/>
      <c r="H1062" s="47"/>
      <c r="I1062" s="47"/>
      <c r="J1062" s="47"/>
      <c r="K1062" s="47"/>
      <c r="L1062" s="47"/>
      <c r="M1062" s="47"/>
      <c r="N1062" s="47"/>
      <c r="O1062" s="47"/>
      <c r="P1062" s="47"/>
      <c r="Q1062" s="85"/>
      <c r="R1062" s="85"/>
      <c r="S1062" s="85"/>
      <c r="T1062" s="85"/>
      <c r="U1062" s="85"/>
      <c r="V1062" s="85"/>
      <c r="W1062" s="85"/>
      <c r="X1062" s="85"/>
      <c r="Y1062" s="85"/>
      <c r="Z1062" s="85"/>
      <c r="AA1062" s="85"/>
      <c r="AB1062" s="85"/>
      <c r="AC1062" s="85"/>
      <c r="AD1062" s="85"/>
      <c r="AE1062" s="47"/>
      <c r="AF1062" s="47"/>
      <c r="AG1062" s="47"/>
      <c r="AH1062" s="47"/>
      <c r="AI1062" s="47"/>
      <c r="AJ1062" s="47"/>
      <c r="AK1062" s="47"/>
      <c r="AL1062" s="47"/>
      <c r="AM1062" s="47"/>
      <c r="AN1062" s="47"/>
      <c r="AO1062" s="47"/>
      <c r="AP1062" s="47"/>
      <c r="AQ1062" s="47"/>
      <c r="AR1062" s="47"/>
      <c r="AS1062" s="47"/>
      <c r="AT1062" s="47"/>
      <c r="AU1062" s="47"/>
      <c r="AV1062" s="47"/>
      <c r="AW1062" s="47"/>
      <c r="AX1062" s="47"/>
      <c r="AY1062" s="47"/>
      <c r="AZ1062" s="47"/>
      <c r="BA1062" s="47"/>
      <c r="BB1062" s="47"/>
      <c r="BC1062" s="47"/>
      <c r="BD1062" s="47"/>
      <c r="BE1062" s="47"/>
      <c r="BF1062" s="47"/>
    </row>
    <row r="1063" spans="3:58">
      <c r="C1063" s="47"/>
      <c r="D1063" s="47"/>
      <c r="E1063" s="47"/>
      <c r="F1063" s="47"/>
      <c r="G1063" s="47"/>
      <c r="H1063" s="47"/>
      <c r="I1063" s="47"/>
      <c r="J1063" s="47"/>
      <c r="K1063" s="47"/>
      <c r="L1063" s="47"/>
      <c r="M1063" s="47"/>
      <c r="N1063" s="47"/>
      <c r="O1063" s="47"/>
      <c r="P1063" s="47"/>
      <c r="Q1063" s="85"/>
      <c r="R1063" s="85"/>
      <c r="S1063" s="85"/>
      <c r="T1063" s="85"/>
      <c r="U1063" s="85"/>
      <c r="V1063" s="85"/>
      <c r="W1063" s="85"/>
      <c r="X1063" s="85"/>
      <c r="Y1063" s="85"/>
      <c r="Z1063" s="85"/>
      <c r="AA1063" s="85"/>
      <c r="AB1063" s="85"/>
      <c r="AC1063" s="85"/>
      <c r="AD1063" s="85"/>
      <c r="AE1063" s="47"/>
      <c r="AF1063" s="47"/>
      <c r="AG1063" s="47"/>
      <c r="AH1063" s="47"/>
      <c r="AI1063" s="47"/>
      <c r="AJ1063" s="47"/>
      <c r="AK1063" s="47"/>
      <c r="AL1063" s="47"/>
      <c r="AM1063" s="47"/>
      <c r="AN1063" s="47"/>
      <c r="AO1063" s="47"/>
      <c r="AP1063" s="47"/>
      <c r="AQ1063" s="47"/>
      <c r="AR1063" s="47"/>
      <c r="AS1063" s="47"/>
      <c r="AT1063" s="47"/>
      <c r="AU1063" s="47"/>
      <c r="AV1063" s="47"/>
      <c r="AW1063" s="47"/>
      <c r="AX1063" s="47"/>
      <c r="AY1063" s="47"/>
      <c r="AZ1063" s="47"/>
      <c r="BA1063" s="47"/>
      <c r="BB1063" s="47"/>
      <c r="BC1063" s="47"/>
      <c r="BD1063" s="47"/>
      <c r="BE1063" s="47"/>
      <c r="BF1063" s="47"/>
    </row>
    <row r="1064" spans="3:58">
      <c r="C1064" s="47"/>
      <c r="D1064" s="47"/>
      <c r="E1064" s="47"/>
      <c r="F1064" s="47"/>
      <c r="G1064" s="47"/>
      <c r="H1064" s="47"/>
      <c r="I1064" s="47"/>
      <c r="J1064" s="47"/>
      <c r="K1064" s="47"/>
      <c r="L1064" s="47"/>
      <c r="M1064" s="47"/>
      <c r="N1064" s="47"/>
      <c r="O1064" s="47"/>
      <c r="P1064" s="47"/>
      <c r="Q1064" s="85"/>
      <c r="R1064" s="85"/>
      <c r="S1064" s="85"/>
      <c r="T1064" s="85"/>
      <c r="U1064" s="85"/>
      <c r="V1064" s="85"/>
      <c r="W1064" s="85"/>
      <c r="X1064" s="85"/>
      <c r="Y1064" s="85"/>
      <c r="Z1064" s="85"/>
      <c r="AA1064" s="85"/>
      <c r="AB1064" s="85"/>
      <c r="AC1064" s="85"/>
      <c r="AD1064" s="85"/>
      <c r="AE1064" s="47"/>
      <c r="AF1064" s="47"/>
      <c r="AG1064" s="47"/>
      <c r="AH1064" s="47"/>
      <c r="AI1064" s="47"/>
      <c r="AJ1064" s="47"/>
      <c r="AK1064" s="47"/>
      <c r="AL1064" s="47"/>
      <c r="AM1064" s="47"/>
      <c r="AN1064" s="47"/>
      <c r="AO1064" s="47"/>
      <c r="AP1064" s="47"/>
      <c r="AQ1064" s="47"/>
      <c r="AR1064" s="47"/>
      <c r="AS1064" s="47"/>
      <c r="AT1064" s="47"/>
      <c r="AU1064" s="47"/>
      <c r="AV1064" s="47"/>
      <c r="AW1064" s="47"/>
      <c r="AX1064" s="47"/>
      <c r="AY1064" s="47"/>
      <c r="AZ1064" s="47"/>
      <c r="BA1064" s="47"/>
      <c r="BB1064" s="47"/>
      <c r="BC1064" s="47"/>
      <c r="BD1064" s="47"/>
      <c r="BE1064" s="47"/>
      <c r="BF1064" s="47"/>
    </row>
    <row r="1065" spans="3:58">
      <c r="C1065" s="47"/>
      <c r="D1065" s="47"/>
      <c r="E1065" s="47"/>
      <c r="F1065" s="47"/>
      <c r="G1065" s="47"/>
      <c r="H1065" s="47"/>
      <c r="I1065" s="47"/>
      <c r="J1065" s="47"/>
      <c r="K1065" s="47"/>
      <c r="L1065" s="47"/>
      <c r="M1065" s="47"/>
      <c r="N1065" s="47"/>
      <c r="O1065" s="47"/>
      <c r="P1065" s="47"/>
      <c r="Q1065" s="85"/>
      <c r="R1065" s="85"/>
      <c r="S1065" s="85"/>
      <c r="T1065" s="85"/>
      <c r="U1065" s="85"/>
      <c r="V1065" s="85"/>
      <c r="W1065" s="85"/>
      <c r="X1065" s="85"/>
      <c r="Y1065" s="85"/>
      <c r="Z1065" s="85"/>
      <c r="AA1065" s="85"/>
      <c r="AB1065" s="85"/>
      <c r="AC1065" s="85"/>
      <c r="AD1065" s="85"/>
      <c r="AE1065" s="47"/>
      <c r="AF1065" s="47"/>
      <c r="AG1065" s="47"/>
      <c r="AH1065" s="47"/>
      <c r="AI1065" s="47"/>
      <c r="AJ1065" s="47"/>
      <c r="AK1065" s="47"/>
      <c r="AL1065" s="47"/>
      <c r="AM1065" s="47"/>
      <c r="AN1065" s="47"/>
      <c r="AO1065" s="47"/>
      <c r="AP1065" s="47"/>
      <c r="AQ1065" s="47"/>
      <c r="AR1065" s="47"/>
      <c r="AS1065" s="47"/>
      <c r="AT1065" s="47"/>
      <c r="AU1065" s="47"/>
      <c r="AV1065" s="47"/>
      <c r="AW1065" s="47"/>
      <c r="AX1065" s="47"/>
      <c r="AY1065" s="47"/>
      <c r="AZ1065" s="47"/>
      <c r="BA1065" s="47"/>
      <c r="BB1065" s="47"/>
      <c r="BC1065" s="47"/>
      <c r="BD1065" s="47"/>
      <c r="BE1065" s="47"/>
      <c r="BF1065" s="47"/>
    </row>
    <row r="1066" spans="3:58">
      <c r="C1066" s="47"/>
      <c r="D1066" s="47"/>
      <c r="E1066" s="47"/>
      <c r="F1066" s="47"/>
      <c r="G1066" s="47"/>
      <c r="H1066" s="47"/>
      <c r="I1066" s="47"/>
      <c r="J1066" s="47"/>
      <c r="K1066" s="47"/>
      <c r="L1066" s="47"/>
      <c r="M1066" s="47"/>
      <c r="N1066" s="47"/>
      <c r="O1066" s="47"/>
      <c r="P1066" s="47"/>
      <c r="Q1066" s="85"/>
      <c r="R1066" s="85"/>
      <c r="S1066" s="85"/>
      <c r="T1066" s="85"/>
      <c r="U1066" s="85"/>
      <c r="V1066" s="85"/>
      <c r="W1066" s="85"/>
      <c r="X1066" s="85"/>
      <c r="Y1066" s="85"/>
      <c r="Z1066" s="85"/>
      <c r="AA1066" s="85"/>
      <c r="AB1066" s="85"/>
      <c r="AC1066" s="85"/>
      <c r="AD1066" s="85"/>
      <c r="AE1066" s="47"/>
      <c r="AF1066" s="47"/>
      <c r="AG1066" s="47"/>
      <c r="AH1066" s="47"/>
      <c r="AI1066" s="47"/>
      <c r="AJ1066" s="47"/>
      <c r="AK1066" s="47"/>
      <c r="AL1066" s="47"/>
      <c r="AM1066" s="47"/>
      <c r="AN1066" s="47"/>
      <c r="AO1066" s="47"/>
      <c r="AP1066" s="47"/>
      <c r="AQ1066" s="47"/>
      <c r="AR1066" s="47"/>
      <c r="AS1066" s="47"/>
      <c r="AT1066" s="47"/>
      <c r="AU1066" s="47"/>
      <c r="AV1066" s="47"/>
      <c r="AW1066" s="47"/>
      <c r="AX1066" s="47"/>
      <c r="AY1066" s="47"/>
      <c r="AZ1066" s="47"/>
      <c r="BA1066" s="47"/>
      <c r="BB1066" s="47"/>
      <c r="BC1066" s="47"/>
      <c r="BD1066" s="47"/>
      <c r="BE1066" s="47"/>
      <c r="BF1066" s="47"/>
    </row>
    <row r="1067" spans="3:58">
      <c r="C1067" s="47"/>
      <c r="D1067" s="47"/>
      <c r="E1067" s="47"/>
      <c r="F1067" s="47"/>
      <c r="G1067" s="47"/>
      <c r="H1067" s="47"/>
      <c r="I1067" s="47"/>
      <c r="J1067" s="47"/>
      <c r="K1067" s="47"/>
      <c r="L1067" s="47"/>
      <c r="M1067" s="47"/>
      <c r="N1067" s="47"/>
      <c r="O1067" s="47"/>
      <c r="P1067" s="47"/>
      <c r="Q1067" s="85"/>
      <c r="R1067" s="85"/>
      <c r="S1067" s="85"/>
      <c r="T1067" s="85"/>
      <c r="U1067" s="85"/>
      <c r="V1067" s="85"/>
      <c r="W1067" s="85"/>
      <c r="X1067" s="85"/>
      <c r="Y1067" s="85"/>
      <c r="Z1067" s="85"/>
      <c r="AA1067" s="85"/>
      <c r="AB1067" s="85"/>
      <c r="AC1067" s="85"/>
      <c r="AD1067" s="85"/>
      <c r="AE1067" s="47"/>
      <c r="AF1067" s="47"/>
      <c r="AG1067" s="47"/>
      <c r="AH1067" s="47"/>
      <c r="AI1067" s="47"/>
      <c r="AJ1067" s="47"/>
      <c r="AK1067" s="47"/>
      <c r="AL1067" s="47"/>
      <c r="AM1067" s="47"/>
      <c r="AN1067" s="47"/>
      <c r="AO1067" s="47"/>
      <c r="AP1067" s="47"/>
      <c r="AQ1067" s="47"/>
      <c r="AR1067" s="47"/>
      <c r="AS1067" s="47"/>
      <c r="AT1067" s="47"/>
      <c r="AU1067" s="47"/>
      <c r="AV1067" s="47"/>
      <c r="AW1067" s="47"/>
      <c r="AX1067" s="47"/>
      <c r="AY1067" s="47"/>
      <c r="AZ1067" s="47"/>
      <c r="BA1067" s="47"/>
      <c r="BB1067" s="47"/>
      <c r="BC1067" s="47"/>
      <c r="BD1067" s="47"/>
      <c r="BE1067" s="47"/>
      <c r="BF1067" s="47"/>
    </row>
    <row r="1068" spans="3:58">
      <c r="C1068" s="47"/>
      <c r="D1068" s="47"/>
      <c r="E1068" s="47"/>
      <c r="F1068" s="47"/>
      <c r="G1068" s="47"/>
      <c r="H1068" s="47"/>
      <c r="I1068" s="47"/>
      <c r="J1068" s="47"/>
      <c r="K1068" s="47"/>
      <c r="L1068" s="47"/>
      <c r="M1068" s="47"/>
      <c r="N1068" s="47"/>
      <c r="O1068" s="47"/>
      <c r="P1068" s="47"/>
      <c r="Q1068" s="85"/>
      <c r="R1068" s="85"/>
      <c r="S1068" s="85"/>
      <c r="T1068" s="85"/>
      <c r="U1068" s="85"/>
      <c r="V1068" s="85"/>
      <c r="W1068" s="85"/>
      <c r="X1068" s="85"/>
      <c r="Y1068" s="85"/>
      <c r="Z1068" s="85"/>
      <c r="AA1068" s="85"/>
      <c r="AB1068" s="85"/>
      <c r="AC1068" s="85"/>
      <c r="AD1068" s="85"/>
      <c r="AE1068" s="47"/>
      <c r="AF1068" s="47"/>
      <c r="AG1068" s="47"/>
      <c r="AH1068" s="47"/>
      <c r="AI1068" s="47"/>
      <c r="AJ1068" s="47"/>
      <c r="AK1068" s="47"/>
      <c r="AL1068" s="47"/>
      <c r="AM1068" s="47"/>
      <c r="AN1068" s="47"/>
      <c r="AO1068" s="47"/>
      <c r="AP1068" s="47"/>
      <c r="AQ1068" s="47"/>
      <c r="AR1068" s="47"/>
      <c r="AS1068" s="47"/>
      <c r="AT1068" s="47"/>
      <c r="AU1068" s="47"/>
      <c r="AV1068" s="47"/>
      <c r="AW1068" s="47"/>
      <c r="AX1068" s="47"/>
      <c r="AY1068" s="47"/>
      <c r="AZ1068" s="47"/>
      <c r="BA1068" s="47"/>
      <c r="BB1068" s="47"/>
      <c r="BC1068" s="47"/>
      <c r="BD1068" s="47"/>
      <c r="BE1068" s="47"/>
      <c r="BF1068" s="47"/>
    </row>
    <row r="1069" spans="3:58">
      <c r="C1069" s="47"/>
      <c r="D1069" s="47"/>
      <c r="E1069" s="47"/>
      <c r="F1069" s="47"/>
      <c r="G1069" s="47"/>
      <c r="H1069" s="47"/>
      <c r="I1069" s="47"/>
      <c r="J1069" s="47"/>
      <c r="K1069" s="47"/>
      <c r="L1069" s="47"/>
      <c r="M1069" s="47"/>
      <c r="N1069" s="47"/>
      <c r="O1069" s="47"/>
      <c r="P1069" s="47"/>
      <c r="Q1069" s="85"/>
      <c r="R1069" s="85"/>
      <c r="S1069" s="85"/>
      <c r="T1069" s="85"/>
      <c r="U1069" s="85"/>
      <c r="V1069" s="85"/>
      <c r="W1069" s="85"/>
      <c r="X1069" s="85"/>
      <c r="Y1069" s="85"/>
      <c r="Z1069" s="85"/>
      <c r="AA1069" s="85"/>
      <c r="AB1069" s="85"/>
      <c r="AC1069" s="85"/>
      <c r="AD1069" s="85"/>
      <c r="AE1069" s="47"/>
      <c r="AF1069" s="47"/>
      <c r="AG1069" s="47"/>
      <c r="AH1069" s="47"/>
      <c r="AI1069" s="47"/>
      <c r="AJ1069" s="47"/>
      <c r="AK1069" s="47"/>
      <c r="AL1069" s="47"/>
      <c r="AM1069" s="47"/>
      <c r="AN1069" s="47"/>
      <c r="AO1069" s="47"/>
      <c r="AP1069" s="47"/>
      <c r="AQ1069" s="47"/>
      <c r="AR1069" s="47"/>
      <c r="AS1069" s="47"/>
      <c r="AT1069" s="47"/>
      <c r="AU1069" s="47"/>
      <c r="AV1069" s="47"/>
      <c r="AW1069" s="47"/>
      <c r="AX1069" s="47"/>
      <c r="AY1069" s="47"/>
      <c r="AZ1069" s="47"/>
      <c r="BA1069" s="47"/>
      <c r="BB1069" s="47"/>
      <c r="BC1069" s="47"/>
      <c r="BD1069" s="47"/>
      <c r="BE1069" s="47"/>
      <c r="BF1069" s="47"/>
    </row>
    <row r="1070" spans="3:58">
      <c r="C1070" s="47"/>
      <c r="D1070" s="47"/>
      <c r="E1070" s="47"/>
      <c r="F1070" s="47"/>
      <c r="G1070" s="47"/>
      <c r="H1070" s="47"/>
      <c r="I1070" s="47"/>
      <c r="J1070" s="47"/>
      <c r="K1070" s="47"/>
      <c r="L1070" s="47"/>
      <c r="M1070" s="47"/>
      <c r="N1070" s="47"/>
      <c r="O1070" s="47"/>
      <c r="P1070" s="47"/>
      <c r="Q1070" s="85"/>
      <c r="R1070" s="85"/>
      <c r="S1070" s="85"/>
      <c r="T1070" s="85"/>
      <c r="U1070" s="85"/>
      <c r="V1070" s="85"/>
      <c r="W1070" s="85"/>
      <c r="X1070" s="85"/>
      <c r="Y1070" s="85"/>
      <c r="Z1070" s="85"/>
      <c r="AA1070" s="85"/>
      <c r="AB1070" s="85"/>
      <c r="AC1070" s="85"/>
      <c r="AD1070" s="85"/>
      <c r="AE1070" s="47"/>
      <c r="AF1070" s="47"/>
      <c r="AG1070" s="47"/>
      <c r="AH1070" s="47"/>
      <c r="AI1070" s="47"/>
      <c r="AJ1070" s="47"/>
      <c r="AK1070" s="47"/>
      <c r="AL1070" s="47"/>
      <c r="AM1070" s="47"/>
      <c r="AN1070" s="47"/>
      <c r="AO1070" s="47"/>
      <c r="AP1070" s="47"/>
      <c r="AQ1070" s="47"/>
      <c r="AR1070" s="47"/>
      <c r="AS1070" s="47"/>
      <c r="AT1070" s="47"/>
      <c r="AU1070" s="47"/>
      <c r="AV1070" s="47"/>
      <c r="AW1070" s="47"/>
      <c r="AX1070" s="47"/>
      <c r="AY1070" s="47"/>
      <c r="AZ1070" s="47"/>
      <c r="BA1070" s="47"/>
      <c r="BB1070" s="47"/>
      <c r="BC1070" s="47"/>
      <c r="BD1070" s="47"/>
      <c r="BE1070" s="47"/>
      <c r="BF1070" s="47"/>
    </row>
    <row r="1071" spans="3:58">
      <c r="C1071" s="47"/>
      <c r="D1071" s="47"/>
      <c r="E1071" s="47"/>
      <c r="F1071" s="47"/>
      <c r="G1071" s="47"/>
      <c r="H1071" s="47"/>
      <c r="I1071" s="47"/>
      <c r="J1071" s="47"/>
      <c r="K1071" s="47"/>
      <c r="L1071" s="47"/>
      <c r="M1071" s="47"/>
      <c r="N1071" s="47"/>
      <c r="O1071" s="47"/>
      <c r="P1071" s="47"/>
      <c r="Q1071" s="85"/>
      <c r="R1071" s="85"/>
      <c r="S1071" s="85"/>
      <c r="T1071" s="85"/>
      <c r="U1071" s="85"/>
      <c r="V1071" s="85"/>
      <c r="W1071" s="85"/>
      <c r="X1071" s="85"/>
      <c r="Y1071" s="85"/>
      <c r="Z1071" s="85"/>
      <c r="AA1071" s="85"/>
      <c r="AB1071" s="85"/>
      <c r="AC1071" s="85"/>
      <c r="AD1071" s="85"/>
      <c r="AE1071" s="47"/>
      <c r="AF1071" s="47"/>
      <c r="AG1071" s="47"/>
      <c r="AH1071" s="47"/>
      <c r="AI1071" s="47"/>
      <c r="AJ1071" s="47"/>
      <c r="AK1071" s="47"/>
      <c r="AL1071" s="47"/>
      <c r="AM1071" s="47"/>
      <c r="AN1071" s="47"/>
      <c r="AO1071" s="47"/>
      <c r="AP1071" s="47"/>
      <c r="AQ1071" s="47"/>
      <c r="AR1071" s="47"/>
      <c r="AS1071" s="47"/>
      <c r="AT1071" s="47"/>
      <c r="AU1071" s="47"/>
      <c r="AV1071" s="47"/>
      <c r="AW1071" s="47"/>
      <c r="AX1071" s="47"/>
      <c r="AY1071" s="47"/>
      <c r="AZ1071" s="47"/>
      <c r="BA1071" s="47"/>
      <c r="BB1071" s="47"/>
      <c r="BC1071" s="47"/>
      <c r="BD1071" s="47"/>
      <c r="BE1071" s="47"/>
      <c r="BF1071" s="47"/>
    </row>
    <row r="1072" spans="3:58">
      <c r="C1072" s="47"/>
      <c r="D1072" s="47"/>
      <c r="E1072" s="47"/>
      <c r="F1072" s="47"/>
      <c r="G1072" s="47"/>
      <c r="H1072" s="47"/>
      <c r="I1072" s="47"/>
      <c r="J1072" s="47"/>
      <c r="K1072" s="47"/>
      <c r="L1072" s="47"/>
      <c r="M1072" s="47"/>
      <c r="N1072" s="47"/>
      <c r="O1072" s="47"/>
      <c r="P1072" s="47"/>
      <c r="Q1072" s="85"/>
      <c r="R1072" s="85"/>
      <c r="S1072" s="85"/>
      <c r="T1072" s="85"/>
      <c r="U1072" s="85"/>
      <c r="V1072" s="85"/>
      <c r="W1072" s="85"/>
      <c r="X1072" s="85"/>
      <c r="Y1072" s="85"/>
      <c r="Z1072" s="85"/>
      <c r="AA1072" s="85"/>
      <c r="AB1072" s="85"/>
      <c r="AC1072" s="85"/>
      <c r="AD1072" s="85"/>
      <c r="AE1072" s="47"/>
      <c r="AF1072" s="47"/>
      <c r="AG1072" s="47"/>
      <c r="AH1072" s="47"/>
      <c r="AI1072" s="47"/>
      <c r="AJ1072" s="47"/>
      <c r="AK1072" s="47"/>
      <c r="AL1072" s="47"/>
      <c r="AM1072" s="47"/>
      <c r="AN1072" s="47"/>
      <c r="AO1072" s="47"/>
      <c r="AP1072" s="47"/>
      <c r="AQ1072" s="47"/>
      <c r="AR1072" s="47"/>
      <c r="AS1072" s="47"/>
      <c r="AT1072" s="47"/>
      <c r="AU1072" s="47"/>
      <c r="AV1072" s="47"/>
      <c r="AW1072" s="47"/>
      <c r="AX1072" s="47"/>
      <c r="AY1072" s="47"/>
      <c r="AZ1072" s="47"/>
      <c r="BA1072" s="47"/>
      <c r="BB1072" s="47"/>
      <c r="BC1072" s="47"/>
      <c r="BD1072" s="47"/>
      <c r="BE1072" s="47"/>
      <c r="BF1072" s="47"/>
    </row>
    <row r="1073" spans="3:58">
      <c r="C1073" s="47"/>
      <c r="D1073" s="47"/>
      <c r="E1073" s="47"/>
      <c r="F1073" s="47"/>
      <c r="G1073" s="47"/>
      <c r="H1073" s="47"/>
      <c r="I1073" s="47"/>
      <c r="J1073" s="47"/>
      <c r="K1073" s="47"/>
      <c r="L1073" s="47"/>
      <c r="M1073" s="47"/>
      <c r="N1073" s="47"/>
      <c r="O1073" s="47"/>
      <c r="P1073" s="47"/>
      <c r="Q1073" s="85"/>
      <c r="R1073" s="85"/>
      <c r="S1073" s="85"/>
      <c r="T1073" s="85"/>
      <c r="U1073" s="85"/>
      <c r="V1073" s="85"/>
      <c r="W1073" s="85"/>
      <c r="X1073" s="85"/>
      <c r="Y1073" s="85"/>
      <c r="Z1073" s="85"/>
      <c r="AA1073" s="85"/>
      <c r="AB1073" s="85"/>
      <c r="AC1073" s="85"/>
      <c r="AD1073" s="85"/>
      <c r="AE1073" s="47"/>
      <c r="AF1073" s="47"/>
      <c r="AG1073" s="47"/>
      <c r="AH1073" s="47"/>
      <c r="AI1073" s="47"/>
      <c r="AJ1073" s="47"/>
      <c r="AK1073" s="47"/>
      <c r="AL1073" s="47"/>
      <c r="AM1073" s="47"/>
      <c r="AN1073" s="47"/>
      <c r="AO1073" s="47"/>
      <c r="AP1073" s="47"/>
      <c r="AQ1073" s="47"/>
      <c r="AR1073" s="47"/>
      <c r="AS1073" s="47"/>
      <c r="AT1073" s="47"/>
      <c r="AU1073" s="47"/>
      <c r="AV1073" s="47"/>
      <c r="AW1073" s="47"/>
      <c r="AX1073" s="47"/>
      <c r="AY1073" s="47"/>
      <c r="AZ1073" s="47"/>
      <c r="BA1073" s="47"/>
      <c r="BB1073" s="47"/>
      <c r="BC1073" s="47"/>
      <c r="BD1073" s="47"/>
      <c r="BE1073" s="47"/>
      <c r="BF1073" s="47"/>
    </row>
    <row r="1074" spans="3:58">
      <c r="C1074" s="47"/>
      <c r="D1074" s="47"/>
      <c r="E1074" s="47"/>
      <c r="F1074" s="47"/>
      <c r="G1074" s="47"/>
      <c r="H1074" s="47"/>
      <c r="I1074" s="47"/>
      <c r="J1074" s="47"/>
      <c r="K1074" s="47"/>
      <c r="L1074" s="47"/>
      <c r="M1074" s="47"/>
      <c r="N1074" s="47"/>
      <c r="O1074" s="47"/>
      <c r="P1074" s="47"/>
      <c r="Q1074" s="85"/>
      <c r="R1074" s="85"/>
      <c r="S1074" s="85"/>
      <c r="T1074" s="85"/>
      <c r="U1074" s="85"/>
      <c r="V1074" s="85"/>
      <c r="W1074" s="85"/>
      <c r="X1074" s="85"/>
      <c r="Y1074" s="85"/>
      <c r="Z1074" s="85"/>
      <c r="AA1074" s="85"/>
      <c r="AB1074" s="85"/>
      <c r="AC1074" s="85"/>
      <c r="AD1074" s="85"/>
      <c r="AE1074" s="47"/>
      <c r="AF1074" s="47"/>
      <c r="AG1074" s="47"/>
      <c r="AH1074" s="47"/>
      <c r="AI1074" s="47"/>
      <c r="AJ1074" s="47"/>
      <c r="AK1074" s="47"/>
      <c r="AL1074" s="47"/>
      <c r="AM1074" s="47"/>
      <c r="AN1074" s="47"/>
      <c r="AO1074" s="47"/>
      <c r="AP1074" s="47"/>
      <c r="AQ1074" s="47"/>
      <c r="AR1074" s="47"/>
      <c r="AS1074" s="47"/>
      <c r="AT1074" s="47"/>
      <c r="AU1074" s="47"/>
      <c r="AV1074" s="47"/>
      <c r="AW1074" s="47"/>
      <c r="AX1074" s="47"/>
      <c r="AY1074" s="47"/>
      <c r="AZ1074" s="47"/>
      <c r="BA1074" s="47"/>
      <c r="BB1074" s="47"/>
      <c r="BC1074" s="47"/>
      <c r="BD1074" s="47"/>
      <c r="BE1074" s="47"/>
      <c r="BF1074" s="47"/>
    </row>
    <row r="1075" spans="3:58">
      <c r="C1075" s="47"/>
      <c r="D1075" s="47"/>
      <c r="E1075" s="47"/>
      <c r="F1075" s="47"/>
      <c r="G1075" s="47"/>
      <c r="H1075" s="47"/>
      <c r="I1075" s="47"/>
      <c r="J1075" s="47"/>
      <c r="K1075" s="47"/>
      <c r="L1075" s="47"/>
      <c r="M1075" s="47"/>
      <c r="N1075" s="47"/>
      <c r="O1075" s="47"/>
      <c r="P1075" s="47"/>
      <c r="Q1075" s="85"/>
      <c r="R1075" s="85"/>
      <c r="S1075" s="85"/>
      <c r="T1075" s="85"/>
      <c r="U1075" s="85"/>
      <c r="V1075" s="85"/>
      <c r="W1075" s="85"/>
      <c r="X1075" s="85"/>
      <c r="Y1075" s="85"/>
      <c r="Z1075" s="85"/>
      <c r="AA1075" s="85"/>
      <c r="AB1075" s="85"/>
      <c r="AC1075" s="85"/>
      <c r="AD1075" s="85"/>
      <c r="AE1075" s="47"/>
      <c r="AF1075" s="47"/>
      <c r="AG1075" s="47"/>
      <c r="AH1075" s="47"/>
      <c r="AI1075" s="47"/>
      <c r="AJ1075" s="47"/>
      <c r="AK1075" s="47"/>
      <c r="AL1075" s="47"/>
      <c r="AM1075" s="47"/>
      <c r="AN1075" s="47"/>
      <c r="AO1075" s="47"/>
      <c r="AP1075" s="47"/>
      <c r="AQ1075" s="47"/>
      <c r="AR1075" s="47"/>
      <c r="AS1075" s="47"/>
      <c r="AT1075" s="47"/>
      <c r="AU1075" s="47"/>
      <c r="AV1075" s="47"/>
      <c r="AW1075" s="47"/>
      <c r="AX1075" s="47"/>
      <c r="AY1075" s="47"/>
      <c r="AZ1075" s="47"/>
      <c r="BA1075" s="47"/>
      <c r="BB1075" s="47"/>
      <c r="BC1075" s="47"/>
      <c r="BD1075" s="47"/>
      <c r="BE1075" s="47"/>
      <c r="BF1075" s="47"/>
    </row>
    <row r="1076" spans="3:58">
      <c r="C1076" s="47"/>
      <c r="D1076" s="47"/>
      <c r="E1076" s="47"/>
      <c r="F1076" s="47"/>
      <c r="G1076" s="47"/>
      <c r="H1076" s="47"/>
      <c r="I1076" s="47"/>
      <c r="J1076" s="47"/>
      <c r="K1076" s="47"/>
      <c r="L1076" s="47"/>
      <c r="M1076" s="47"/>
      <c r="N1076" s="47"/>
      <c r="O1076" s="47"/>
      <c r="P1076" s="47"/>
      <c r="Q1076" s="85"/>
      <c r="R1076" s="85"/>
      <c r="S1076" s="85"/>
      <c r="T1076" s="85"/>
      <c r="U1076" s="85"/>
      <c r="V1076" s="85"/>
      <c r="W1076" s="85"/>
      <c r="X1076" s="85"/>
      <c r="Y1076" s="85"/>
      <c r="Z1076" s="85"/>
      <c r="AA1076" s="85"/>
      <c r="AB1076" s="85"/>
      <c r="AC1076" s="85"/>
      <c r="AD1076" s="85"/>
      <c r="AE1076" s="47"/>
      <c r="AF1076" s="47"/>
      <c r="AG1076" s="47"/>
      <c r="AH1076" s="47"/>
      <c r="AI1076" s="47"/>
      <c r="AJ1076" s="47"/>
      <c r="AK1076" s="47"/>
      <c r="AL1076" s="47"/>
      <c r="AM1076" s="47"/>
      <c r="AN1076" s="47"/>
      <c r="AO1076" s="47"/>
      <c r="AP1076" s="47"/>
      <c r="AQ1076" s="47"/>
      <c r="AR1076" s="47"/>
      <c r="AS1076" s="47"/>
      <c r="AT1076" s="47"/>
      <c r="AU1076" s="47"/>
      <c r="AV1076" s="47"/>
      <c r="AW1076" s="47"/>
      <c r="AX1076" s="47"/>
      <c r="AY1076" s="47"/>
      <c r="AZ1076" s="47"/>
      <c r="BA1076" s="47"/>
      <c r="BB1076" s="47"/>
      <c r="BC1076" s="47"/>
      <c r="BD1076" s="47"/>
      <c r="BE1076" s="47"/>
      <c r="BF1076" s="47"/>
    </row>
    <row r="1077" spans="3:58">
      <c r="C1077" s="47"/>
      <c r="D1077" s="47"/>
      <c r="E1077" s="47"/>
      <c r="F1077" s="47"/>
      <c r="G1077" s="47"/>
      <c r="H1077" s="47"/>
      <c r="I1077" s="47"/>
      <c r="J1077" s="47"/>
      <c r="K1077" s="47"/>
      <c r="L1077" s="47"/>
      <c r="M1077" s="47"/>
      <c r="N1077" s="47"/>
      <c r="O1077" s="47"/>
      <c r="P1077" s="47"/>
      <c r="Q1077" s="85"/>
      <c r="R1077" s="85"/>
      <c r="S1077" s="85"/>
      <c r="T1077" s="85"/>
      <c r="U1077" s="85"/>
      <c r="V1077" s="85"/>
      <c r="W1077" s="85"/>
      <c r="X1077" s="85"/>
      <c r="Y1077" s="85"/>
      <c r="Z1077" s="85"/>
      <c r="AA1077" s="85"/>
      <c r="AB1077" s="85"/>
      <c r="AC1077" s="85"/>
      <c r="AD1077" s="85"/>
      <c r="AE1077" s="47"/>
      <c r="AF1077" s="47"/>
      <c r="AG1077" s="47"/>
      <c r="AH1077" s="47"/>
      <c r="AI1077" s="47"/>
      <c r="AJ1077" s="47"/>
      <c r="AK1077" s="47"/>
      <c r="AL1077" s="47"/>
      <c r="AM1077" s="47"/>
      <c r="AN1077" s="47"/>
      <c r="AO1077" s="47"/>
      <c r="AP1077" s="47"/>
      <c r="AQ1077" s="47"/>
      <c r="AR1077" s="47"/>
      <c r="AS1077" s="47"/>
      <c r="AT1077" s="47"/>
      <c r="AU1077" s="47"/>
      <c r="AV1077" s="47"/>
      <c r="AW1077" s="47"/>
      <c r="AX1077" s="47"/>
      <c r="AY1077" s="47"/>
      <c r="AZ1077" s="47"/>
      <c r="BA1077" s="47"/>
      <c r="BB1077" s="47"/>
      <c r="BC1077" s="47"/>
      <c r="BD1077" s="47"/>
      <c r="BE1077" s="47"/>
      <c r="BF1077" s="47"/>
    </row>
    <row r="1078" spans="3:58">
      <c r="C1078" s="47"/>
      <c r="D1078" s="47"/>
      <c r="E1078" s="47"/>
      <c r="F1078" s="47"/>
      <c r="G1078" s="47"/>
      <c r="H1078" s="47"/>
      <c r="I1078" s="47"/>
      <c r="J1078" s="47"/>
      <c r="K1078" s="47"/>
      <c r="L1078" s="47"/>
      <c r="M1078" s="47"/>
      <c r="N1078" s="47"/>
      <c r="O1078" s="47"/>
      <c r="P1078" s="47"/>
      <c r="Q1078" s="85"/>
      <c r="R1078" s="85"/>
      <c r="S1078" s="85"/>
      <c r="T1078" s="85"/>
      <c r="U1078" s="85"/>
      <c r="V1078" s="85"/>
      <c r="W1078" s="85"/>
      <c r="X1078" s="85"/>
      <c r="Y1078" s="85"/>
      <c r="Z1078" s="85"/>
      <c r="AA1078" s="85"/>
      <c r="AB1078" s="85"/>
      <c r="AC1078" s="85"/>
      <c r="AD1078" s="85"/>
      <c r="AE1078" s="47"/>
      <c r="AF1078" s="47"/>
      <c r="AG1078" s="47"/>
      <c r="AH1078" s="47"/>
      <c r="AI1078" s="47"/>
      <c r="AJ1078" s="47"/>
      <c r="AK1078" s="47"/>
      <c r="AL1078" s="47"/>
      <c r="AM1078" s="47"/>
      <c r="AN1078" s="47"/>
      <c r="AO1078" s="47"/>
      <c r="AP1078" s="47"/>
      <c r="AQ1078" s="47"/>
      <c r="AR1078" s="47"/>
      <c r="AS1078" s="47"/>
      <c r="AT1078" s="47"/>
      <c r="AU1078" s="47"/>
      <c r="AV1078" s="47"/>
      <c r="AW1078" s="47"/>
      <c r="AX1078" s="47"/>
      <c r="AY1078" s="47"/>
      <c r="AZ1078" s="47"/>
      <c r="BA1078" s="47"/>
      <c r="BB1078" s="47"/>
      <c r="BC1078" s="47"/>
      <c r="BD1078" s="47"/>
      <c r="BE1078" s="47"/>
      <c r="BF1078" s="47"/>
    </row>
    <row r="1079" spans="3:58">
      <c r="C1079" s="47"/>
      <c r="D1079" s="47"/>
      <c r="E1079" s="47"/>
      <c r="F1079" s="47"/>
      <c r="G1079" s="47"/>
      <c r="H1079" s="47"/>
      <c r="I1079" s="47"/>
      <c r="J1079" s="47"/>
      <c r="K1079" s="47"/>
      <c r="L1079" s="47"/>
      <c r="M1079" s="47"/>
      <c r="N1079" s="47"/>
      <c r="O1079" s="47"/>
      <c r="P1079" s="47"/>
      <c r="Q1079" s="85"/>
      <c r="R1079" s="85"/>
      <c r="S1079" s="85"/>
      <c r="T1079" s="85"/>
      <c r="U1079" s="85"/>
      <c r="V1079" s="85"/>
      <c r="W1079" s="85"/>
      <c r="X1079" s="85"/>
      <c r="Y1079" s="85"/>
      <c r="Z1079" s="85"/>
      <c r="AA1079" s="85"/>
      <c r="AB1079" s="85"/>
      <c r="AC1079" s="85"/>
      <c r="AD1079" s="85"/>
      <c r="AE1079" s="47"/>
      <c r="AF1079" s="47"/>
      <c r="AG1079" s="47"/>
      <c r="AH1079" s="47"/>
      <c r="AI1079" s="47"/>
      <c r="AJ1079" s="47"/>
      <c r="AK1079" s="47"/>
      <c r="AL1079" s="47"/>
      <c r="AM1079" s="47"/>
      <c r="AN1079" s="47"/>
      <c r="AO1079" s="47"/>
      <c r="AP1079" s="47"/>
      <c r="AQ1079" s="47"/>
      <c r="AR1079" s="47"/>
      <c r="AS1079" s="47"/>
      <c r="AT1079" s="47"/>
      <c r="AU1079" s="47"/>
      <c r="AV1079" s="47"/>
      <c r="AW1079" s="47"/>
      <c r="AX1079" s="47"/>
      <c r="AY1079" s="47"/>
      <c r="AZ1079" s="47"/>
      <c r="BA1079" s="47"/>
      <c r="BB1079" s="47"/>
      <c r="BC1079" s="47"/>
      <c r="BD1079" s="47"/>
      <c r="BE1079" s="47"/>
      <c r="BF1079" s="47"/>
    </row>
    <row r="1080" spans="3:58">
      <c r="C1080" s="47"/>
      <c r="D1080" s="47"/>
      <c r="E1080" s="47"/>
      <c r="F1080" s="47"/>
      <c r="G1080" s="47"/>
      <c r="H1080" s="47"/>
      <c r="I1080" s="47"/>
      <c r="J1080" s="47"/>
      <c r="K1080" s="47"/>
      <c r="L1080" s="47"/>
      <c r="M1080" s="47"/>
      <c r="N1080" s="47"/>
      <c r="O1080" s="47"/>
      <c r="P1080" s="47"/>
      <c r="Q1080" s="85"/>
      <c r="R1080" s="85"/>
      <c r="S1080" s="85"/>
      <c r="T1080" s="85"/>
      <c r="U1080" s="85"/>
      <c r="V1080" s="85"/>
      <c r="W1080" s="85"/>
      <c r="X1080" s="85"/>
      <c r="Y1080" s="85"/>
      <c r="Z1080" s="85"/>
      <c r="AA1080" s="85"/>
      <c r="AB1080" s="85"/>
      <c r="AC1080" s="85"/>
      <c r="AD1080" s="85"/>
      <c r="AE1080" s="47"/>
      <c r="AF1080" s="47"/>
      <c r="AG1080" s="47"/>
      <c r="AH1080" s="47"/>
      <c r="AI1080" s="47"/>
      <c r="AJ1080" s="47"/>
      <c r="AK1080" s="47"/>
      <c r="AL1080" s="47"/>
      <c r="AM1080" s="47"/>
      <c r="AN1080" s="47"/>
      <c r="AO1080" s="47"/>
      <c r="AP1080" s="47"/>
      <c r="AQ1080" s="47"/>
      <c r="AR1080" s="47"/>
      <c r="AS1080" s="47"/>
      <c r="AT1080" s="47"/>
      <c r="AU1080" s="47"/>
      <c r="AV1080" s="47"/>
      <c r="AW1080" s="47"/>
      <c r="AX1080" s="47"/>
      <c r="AY1080" s="47"/>
      <c r="AZ1080" s="47"/>
      <c r="BA1080" s="47"/>
      <c r="BB1080" s="47"/>
      <c r="BC1080" s="47"/>
      <c r="BD1080" s="47"/>
      <c r="BE1080" s="47"/>
      <c r="BF1080" s="47"/>
    </row>
    <row r="1081" spans="3:58">
      <c r="C1081" s="47"/>
      <c r="D1081" s="47"/>
      <c r="E1081" s="47"/>
      <c r="F1081" s="47"/>
      <c r="G1081" s="47"/>
      <c r="H1081" s="47"/>
      <c r="I1081" s="47"/>
      <c r="J1081" s="47"/>
      <c r="K1081" s="47"/>
      <c r="L1081" s="47"/>
      <c r="M1081" s="47"/>
      <c r="N1081" s="47"/>
      <c r="O1081" s="47"/>
      <c r="P1081" s="47"/>
      <c r="Q1081" s="85"/>
      <c r="R1081" s="85"/>
      <c r="S1081" s="85"/>
      <c r="T1081" s="85"/>
      <c r="U1081" s="85"/>
      <c r="V1081" s="85"/>
      <c r="W1081" s="85"/>
      <c r="X1081" s="85"/>
      <c r="Y1081" s="85"/>
      <c r="Z1081" s="85"/>
      <c r="AA1081" s="85"/>
      <c r="AB1081" s="85"/>
      <c r="AC1081" s="85"/>
      <c r="AD1081" s="85"/>
      <c r="AE1081" s="47"/>
      <c r="AF1081" s="47"/>
      <c r="AG1081" s="47"/>
      <c r="AH1081" s="47"/>
      <c r="AI1081" s="47"/>
      <c r="AJ1081" s="47"/>
      <c r="AK1081" s="47"/>
      <c r="AL1081" s="47"/>
      <c r="AM1081" s="47"/>
      <c r="AN1081" s="47"/>
      <c r="AO1081" s="47"/>
      <c r="AP1081" s="47"/>
      <c r="AQ1081" s="47"/>
      <c r="AR1081" s="47"/>
      <c r="AS1081" s="47"/>
      <c r="AT1081" s="47"/>
      <c r="AU1081" s="47"/>
      <c r="AV1081" s="47"/>
      <c r="AW1081" s="47"/>
      <c r="AX1081" s="47"/>
      <c r="AY1081" s="47"/>
      <c r="AZ1081" s="47"/>
      <c r="BA1081" s="47"/>
      <c r="BB1081" s="47"/>
      <c r="BC1081" s="47"/>
      <c r="BD1081" s="47"/>
      <c r="BE1081" s="47"/>
      <c r="BF1081" s="47"/>
    </row>
    <row r="1082" spans="3:58">
      <c r="C1082" s="47"/>
      <c r="D1082" s="47"/>
      <c r="E1082" s="47"/>
      <c r="F1082" s="47"/>
      <c r="G1082" s="47"/>
      <c r="H1082" s="47"/>
      <c r="I1082" s="47"/>
      <c r="J1082" s="47"/>
      <c r="K1082" s="47"/>
      <c r="L1082" s="47"/>
      <c r="M1082" s="47"/>
      <c r="N1082" s="47"/>
      <c r="O1082" s="47"/>
      <c r="P1082" s="47"/>
      <c r="Q1082" s="85"/>
      <c r="R1082" s="85"/>
      <c r="S1082" s="85"/>
      <c r="T1082" s="85"/>
      <c r="U1082" s="85"/>
      <c r="V1082" s="85"/>
      <c r="W1082" s="85"/>
      <c r="X1082" s="85"/>
      <c r="Y1082" s="85"/>
      <c r="Z1082" s="85"/>
      <c r="AA1082" s="85"/>
      <c r="AB1082" s="85"/>
      <c r="AC1082" s="85"/>
      <c r="AD1082" s="85"/>
      <c r="AE1082" s="47"/>
      <c r="AF1082" s="47"/>
      <c r="AG1082" s="47"/>
      <c r="AH1082" s="47"/>
      <c r="AI1082" s="47"/>
      <c r="AJ1082" s="47"/>
      <c r="AK1082" s="47"/>
      <c r="AL1082" s="47"/>
      <c r="AM1082" s="47"/>
      <c r="AN1082" s="47"/>
      <c r="AO1082" s="47"/>
      <c r="AP1082" s="47"/>
      <c r="AQ1082" s="47"/>
      <c r="AR1082" s="47"/>
      <c r="AS1082" s="47"/>
      <c r="AT1082" s="47"/>
      <c r="AU1082" s="47"/>
      <c r="AV1082" s="47"/>
      <c r="AW1082" s="47"/>
      <c r="AX1082" s="47"/>
      <c r="AY1082" s="47"/>
      <c r="AZ1082" s="47"/>
      <c r="BA1082" s="47"/>
      <c r="BB1082" s="47"/>
      <c r="BC1082" s="47"/>
      <c r="BD1082" s="47"/>
      <c r="BE1082" s="47"/>
      <c r="BF1082" s="47"/>
    </row>
    <row r="1083" spans="3:58">
      <c r="C1083" s="47"/>
      <c r="D1083" s="47"/>
      <c r="E1083" s="47"/>
      <c r="F1083" s="47"/>
      <c r="G1083" s="47"/>
      <c r="H1083" s="47"/>
      <c r="I1083" s="47"/>
      <c r="J1083" s="47"/>
      <c r="K1083" s="47"/>
      <c r="L1083" s="47"/>
      <c r="M1083" s="47"/>
      <c r="N1083" s="47"/>
      <c r="O1083" s="47"/>
      <c r="P1083" s="47"/>
      <c r="Q1083" s="85"/>
      <c r="R1083" s="85"/>
      <c r="S1083" s="85"/>
      <c r="T1083" s="85"/>
      <c r="U1083" s="85"/>
      <c r="V1083" s="85"/>
      <c r="W1083" s="85"/>
      <c r="X1083" s="85"/>
      <c r="Y1083" s="85"/>
      <c r="Z1083" s="85"/>
      <c r="AA1083" s="85"/>
      <c r="AB1083" s="85"/>
      <c r="AC1083" s="85"/>
      <c r="AD1083" s="85"/>
      <c r="AE1083" s="47"/>
      <c r="AF1083" s="47"/>
      <c r="AG1083" s="47"/>
      <c r="AH1083" s="47"/>
      <c r="AI1083" s="47"/>
      <c r="AJ1083" s="47"/>
      <c r="AK1083" s="47"/>
      <c r="AL1083" s="47"/>
      <c r="AM1083" s="47"/>
      <c r="AN1083" s="47"/>
      <c r="AO1083" s="47"/>
      <c r="AP1083" s="47"/>
      <c r="AQ1083" s="47"/>
      <c r="AR1083" s="47"/>
      <c r="AS1083" s="47"/>
      <c r="AT1083" s="47"/>
      <c r="AU1083" s="47"/>
      <c r="AV1083" s="47"/>
      <c r="AW1083" s="47"/>
      <c r="AX1083" s="47"/>
      <c r="AY1083" s="47"/>
      <c r="AZ1083" s="47"/>
      <c r="BA1083" s="47"/>
      <c r="BB1083" s="47"/>
      <c r="BC1083" s="47"/>
      <c r="BD1083" s="47"/>
      <c r="BE1083" s="47"/>
      <c r="BF1083" s="47"/>
    </row>
    <row r="1084" spans="3:58">
      <c r="C1084" s="47"/>
      <c r="D1084" s="47"/>
      <c r="E1084" s="47"/>
      <c r="F1084" s="47"/>
      <c r="G1084" s="47"/>
      <c r="H1084" s="47"/>
      <c r="I1084" s="47"/>
      <c r="J1084" s="47"/>
      <c r="K1084" s="47"/>
      <c r="L1084" s="47"/>
      <c r="M1084" s="47"/>
      <c r="N1084" s="47"/>
      <c r="O1084" s="47"/>
      <c r="P1084" s="47"/>
      <c r="Q1084" s="85"/>
      <c r="R1084" s="85"/>
      <c r="S1084" s="85"/>
      <c r="T1084" s="85"/>
      <c r="U1084" s="85"/>
      <c r="V1084" s="85"/>
      <c r="W1084" s="85"/>
      <c r="X1084" s="85"/>
      <c r="Y1084" s="85"/>
      <c r="Z1084" s="85"/>
      <c r="AA1084" s="85"/>
      <c r="AB1084" s="85"/>
      <c r="AC1084" s="85"/>
      <c r="AD1084" s="85"/>
      <c r="AE1084" s="47"/>
      <c r="AF1084" s="47"/>
      <c r="AG1084" s="47"/>
      <c r="AH1084" s="47"/>
      <c r="AI1084" s="47"/>
      <c r="AJ1084" s="47"/>
      <c r="AK1084" s="47"/>
      <c r="AL1084" s="47"/>
      <c r="AM1084" s="47"/>
      <c r="AN1084" s="47"/>
      <c r="AO1084" s="47"/>
      <c r="AP1084" s="47"/>
      <c r="AQ1084" s="47"/>
      <c r="AR1084" s="47"/>
      <c r="AS1084" s="47"/>
      <c r="AT1084" s="47"/>
      <c r="AU1084" s="47"/>
      <c r="AV1084" s="47"/>
      <c r="AW1084" s="47"/>
      <c r="AX1084" s="47"/>
      <c r="AY1084" s="47"/>
      <c r="AZ1084" s="47"/>
      <c r="BA1084" s="47"/>
      <c r="BB1084" s="47"/>
      <c r="BC1084" s="47"/>
      <c r="BD1084" s="47"/>
      <c r="BE1084" s="47"/>
      <c r="BF1084" s="47"/>
    </row>
    <row r="1085" spans="3:58">
      <c r="C1085" s="47"/>
      <c r="D1085" s="47"/>
      <c r="E1085" s="47"/>
      <c r="F1085" s="47"/>
      <c r="G1085" s="47"/>
      <c r="H1085" s="47"/>
      <c r="I1085" s="47"/>
      <c r="J1085" s="47"/>
      <c r="K1085" s="47"/>
      <c r="L1085" s="47"/>
      <c r="M1085" s="47"/>
      <c r="N1085" s="47"/>
      <c r="O1085" s="47"/>
      <c r="P1085" s="47"/>
      <c r="Q1085" s="85"/>
      <c r="R1085" s="85"/>
      <c r="S1085" s="85"/>
      <c r="T1085" s="85"/>
      <c r="U1085" s="85"/>
      <c r="V1085" s="85"/>
      <c r="W1085" s="85"/>
      <c r="X1085" s="85"/>
      <c r="Y1085" s="85"/>
      <c r="Z1085" s="85"/>
      <c r="AA1085" s="85"/>
      <c r="AB1085" s="85"/>
      <c r="AC1085" s="85"/>
      <c r="AD1085" s="85"/>
      <c r="AE1085" s="47"/>
      <c r="AF1085" s="47"/>
      <c r="AG1085" s="47"/>
      <c r="AH1085" s="47"/>
      <c r="AI1085" s="47"/>
      <c r="AJ1085" s="47"/>
      <c r="AK1085" s="47"/>
      <c r="AL1085" s="47"/>
      <c r="AM1085" s="47"/>
      <c r="AN1085" s="47"/>
      <c r="AO1085" s="47"/>
      <c r="AP1085" s="47"/>
      <c r="AQ1085" s="47"/>
      <c r="AR1085" s="47"/>
      <c r="AS1085" s="47"/>
      <c r="AT1085" s="47"/>
      <c r="AU1085" s="47"/>
      <c r="AV1085" s="47"/>
      <c r="AW1085" s="47"/>
      <c r="AX1085" s="47"/>
      <c r="AY1085" s="47"/>
      <c r="AZ1085" s="47"/>
      <c r="BA1085" s="47"/>
      <c r="BB1085" s="47"/>
      <c r="BC1085" s="47"/>
      <c r="BD1085" s="47"/>
      <c r="BE1085" s="47"/>
      <c r="BF1085" s="47"/>
    </row>
    <row r="1086" spans="3:58">
      <c r="C1086" s="47"/>
      <c r="D1086" s="47"/>
      <c r="E1086" s="47"/>
      <c r="F1086" s="47"/>
      <c r="G1086" s="47"/>
      <c r="H1086" s="47"/>
      <c r="I1086" s="47"/>
      <c r="J1086" s="47"/>
      <c r="K1086" s="47"/>
      <c r="L1086" s="47"/>
      <c r="M1086" s="47"/>
      <c r="N1086" s="47"/>
      <c r="O1086" s="47"/>
      <c r="P1086" s="47"/>
      <c r="Q1086" s="85"/>
      <c r="R1086" s="85"/>
      <c r="S1086" s="85"/>
      <c r="T1086" s="85"/>
      <c r="U1086" s="85"/>
      <c r="V1086" s="85"/>
      <c r="W1086" s="85"/>
      <c r="X1086" s="85"/>
      <c r="Y1086" s="85"/>
      <c r="Z1086" s="85"/>
      <c r="AA1086" s="85"/>
      <c r="AB1086" s="85"/>
      <c r="AC1086" s="85"/>
      <c r="AD1086" s="85"/>
      <c r="AE1086" s="47"/>
      <c r="AF1086" s="47"/>
      <c r="AG1086" s="47"/>
      <c r="AH1086" s="47"/>
      <c r="AI1086" s="47"/>
      <c r="AJ1086" s="47"/>
      <c r="AK1086" s="47"/>
      <c r="AL1086" s="47"/>
      <c r="AM1086" s="47"/>
      <c r="AN1086" s="47"/>
      <c r="AO1086" s="47"/>
      <c r="AP1086" s="47"/>
      <c r="AQ1086" s="47"/>
      <c r="AR1086" s="47"/>
      <c r="AS1086" s="47"/>
      <c r="AT1086" s="47"/>
      <c r="AU1086" s="47"/>
      <c r="AV1086" s="47"/>
      <c r="AW1086" s="47"/>
      <c r="AX1086" s="47"/>
      <c r="AY1086" s="47"/>
      <c r="AZ1086" s="47"/>
      <c r="BA1086" s="47"/>
      <c r="BB1086" s="47"/>
      <c r="BC1086" s="47"/>
      <c r="BD1086" s="47"/>
      <c r="BE1086" s="47"/>
      <c r="BF1086" s="47"/>
    </row>
    <row r="1087" spans="3:58">
      <c r="C1087" s="47"/>
      <c r="D1087" s="47"/>
      <c r="E1087" s="47"/>
      <c r="F1087" s="47"/>
      <c r="G1087" s="47"/>
      <c r="H1087" s="47"/>
      <c r="I1087" s="47"/>
      <c r="J1087" s="47"/>
      <c r="K1087" s="47"/>
      <c r="L1087" s="47"/>
      <c r="M1087" s="47"/>
      <c r="N1087" s="47"/>
      <c r="O1087" s="47"/>
      <c r="P1087" s="47"/>
      <c r="Q1087" s="85"/>
      <c r="R1087" s="85"/>
      <c r="S1087" s="85"/>
      <c r="T1087" s="85"/>
      <c r="U1087" s="85"/>
      <c r="V1087" s="85"/>
      <c r="W1087" s="85"/>
      <c r="X1087" s="85"/>
      <c r="Y1087" s="85"/>
      <c r="Z1087" s="85"/>
      <c r="AA1087" s="85"/>
      <c r="AB1087" s="85"/>
      <c r="AC1087" s="85"/>
      <c r="AD1087" s="85"/>
      <c r="AE1087" s="47"/>
      <c r="AF1087" s="47"/>
      <c r="AG1087" s="47"/>
      <c r="AH1087" s="47"/>
      <c r="AI1087" s="47"/>
      <c r="AJ1087" s="47"/>
      <c r="AK1087" s="47"/>
      <c r="AL1087" s="47"/>
      <c r="AM1087" s="47"/>
      <c r="AN1087" s="47"/>
      <c r="AO1087" s="47"/>
      <c r="AP1087" s="47"/>
      <c r="AQ1087" s="47"/>
      <c r="AR1087" s="47"/>
      <c r="AS1087" s="47"/>
      <c r="AT1087" s="47"/>
      <c r="AU1087" s="47"/>
      <c r="AV1087" s="47"/>
      <c r="AW1087" s="47"/>
      <c r="AX1087" s="47"/>
      <c r="AY1087" s="47"/>
      <c r="AZ1087" s="47"/>
      <c r="BA1087" s="47"/>
      <c r="BB1087" s="47"/>
      <c r="BC1087" s="47"/>
      <c r="BD1087" s="47"/>
      <c r="BE1087" s="47"/>
      <c r="BF1087" s="47"/>
    </row>
    <row r="1088" spans="3:58">
      <c r="C1088" s="47"/>
      <c r="D1088" s="47"/>
      <c r="E1088" s="47"/>
      <c r="F1088" s="47"/>
      <c r="G1088" s="47"/>
      <c r="H1088" s="47"/>
      <c r="I1088" s="47"/>
      <c r="J1088" s="47"/>
      <c r="K1088" s="47"/>
      <c r="L1088" s="47"/>
      <c r="M1088" s="47"/>
      <c r="N1088" s="47"/>
      <c r="O1088" s="47"/>
      <c r="P1088" s="47"/>
      <c r="Q1088" s="85"/>
      <c r="R1088" s="85"/>
      <c r="S1088" s="85"/>
      <c r="T1088" s="85"/>
      <c r="U1088" s="85"/>
      <c r="V1088" s="85"/>
      <c r="W1088" s="85"/>
      <c r="X1088" s="85"/>
      <c r="Y1088" s="85"/>
      <c r="Z1088" s="85"/>
      <c r="AA1088" s="85"/>
      <c r="AB1088" s="85"/>
      <c r="AC1088" s="85"/>
      <c r="AD1088" s="85"/>
      <c r="AE1088" s="47"/>
      <c r="AF1088" s="47"/>
      <c r="AG1088" s="47"/>
      <c r="AH1088" s="47"/>
      <c r="AI1088" s="47"/>
      <c r="AJ1088" s="47"/>
      <c r="AK1088" s="47"/>
      <c r="AL1088" s="47"/>
      <c r="AM1088" s="47"/>
      <c r="AN1088" s="47"/>
      <c r="AO1088" s="47"/>
      <c r="AP1088" s="47"/>
      <c r="AQ1088" s="47"/>
      <c r="AR1088" s="47"/>
      <c r="AS1088" s="47"/>
      <c r="AT1088" s="47"/>
      <c r="AU1088" s="47"/>
      <c r="AV1088" s="47"/>
      <c r="AW1088" s="47"/>
      <c r="AX1088" s="47"/>
      <c r="AY1088" s="47"/>
      <c r="AZ1088" s="47"/>
      <c r="BA1088" s="47"/>
      <c r="BB1088" s="47"/>
      <c r="BC1088" s="47"/>
      <c r="BD1088" s="47"/>
      <c r="BE1088" s="47"/>
      <c r="BF1088" s="47"/>
    </row>
    <row r="1089" spans="3:58">
      <c r="C1089" s="47"/>
      <c r="D1089" s="47"/>
      <c r="E1089" s="47"/>
      <c r="F1089" s="47"/>
      <c r="G1089" s="47"/>
      <c r="H1089" s="47"/>
      <c r="I1089" s="47"/>
      <c r="J1089" s="47"/>
      <c r="K1089" s="47"/>
      <c r="L1089" s="47"/>
      <c r="M1089" s="47"/>
      <c r="N1089" s="47"/>
      <c r="O1089" s="47"/>
      <c r="P1089" s="47"/>
      <c r="Q1089" s="85"/>
      <c r="R1089" s="85"/>
      <c r="S1089" s="85"/>
      <c r="T1089" s="85"/>
      <c r="U1089" s="85"/>
      <c r="V1089" s="85"/>
      <c r="W1089" s="85"/>
      <c r="X1089" s="85"/>
      <c r="Y1089" s="85"/>
      <c r="Z1089" s="85"/>
      <c r="AA1089" s="85"/>
      <c r="AB1089" s="85"/>
      <c r="AC1089" s="85"/>
      <c r="AD1089" s="85"/>
      <c r="AE1089" s="47"/>
      <c r="AF1089" s="47"/>
      <c r="AG1089" s="47"/>
      <c r="AH1089" s="47"/>
      <c r="AI1089" s="47"/>
      <c r="AJ1089" s="47"/>
      <c r="AK1089" s="47"/>
      <c r="AL1089" s="47"/>
      <c r="AM1089" s="47"/>
      <c r="AN1089" s="47"/>
      <c r="AO1089" s="47"/>
      <c r="AP1089" s="47"/>
      <c r="AQ1089" s="47"/>
      <c r="AR1089" s="47"/>
      <c r="AS1089" s="47"/>
      <c r="AT1089" s="47"/>
      <c r="AU1089" s="47"/>
      <c r="AV1089" s="47"/>
      <c r="AW1089" s="47"/>
      <c r="AX1089" s="47"/>
      <c r="AY1089" s="47"/>
      <c r="AZ1089" s="47"/>
      <c r="BA1089" s="47"/>
      <c r="BB1089" s="47"/>
      <c r="BC1089" s="47"/>
      <c r="BD1089" s="47"/>
      <c r="BE1089" s="47"/>
      <c r="BF1089" s="47"/>
    </row>
    <row r="1090" spans="3:58">
      <c r="C1090" s="47"/>
      <c r="D1090" s="47"/>
      <c r="E1090" s="47"/>
      <c r="F1090" s="47"/>
      <c r="G1090" s="47"/>
      <c r="H1090" s="47"/>
      <c r="I1090" s="47"/>
      <c r="J1090" s="47"/>
      <c r="K1090" s="47"/>
      <c r="L1090" s="47"/>
      <c r="M1090" s="47"/>
      <c r="N1090" s="47"/>
      <c r="O1090" s="47"/>
      <c r="P1090" s="47"/>
      <c r="Q1090" s="85"/>
      <c r="R1090" s="85"/>
      <c r="S1090" s="85"/>
      <c r="T1090" s="85"/>
      <c r="U1090" s="85"/>
      <c r="V1090" s="85"/>
      <c r="W1090" s="85"/>
      <c r="X1090" s="85"/>
      <c r="Y1090" s="85"/>
      <c r="Z1090" s="85"/>
      <c r="AA1090" s="85"/>
      <c r="AB1090" s="85"/>
      <c r="AC1090" s="85"/>
      <c r="AD1090" s="85"/>
      <c r="AE1090" s="47"/>
      <c r="AF1090" s="47"/>
      <c r="AG1090" s="47"/>
      <c r="AH1090" s="47"/>
      <c r="AI1090" s="47"/>
      <c r="AJ1090" s="47"/>
      <c r="AK1090" s="47"/>
      <c r="AL1090" s="47"/>
      <c r="AM1090" s="47"/>
      <c r="AN1090" s="47"/>
      <c r="AO1090" s="47"/>
      <c r="AP1090" s="47"/>
      <c r="AQ1090" s="47"/>
      <c r="AR1090" s="47"/>
      <c r="AS1090" s="47"/>
      <c r="AT1090" s="47"/>
      <c r="AU1090" s="47"/>
      <c r="AV1090" s="47"/>
      <c r="AW1090" s="47"/>
      <c r="AX1090" s="47"/>
      <c r="AY1090" s="47"/>
      <c r="AZ1090" s="47"/>
      <c r="BA1090" s="47"/>
      <c r="BB1090" s="47"/>
      <c r="BC1090" s="47"/>
      <c r="BD1090" s="47"/>
      <c r="BE1090" s="47"/>
      <c r="BF1090" s="47"/>
    </row>
    <row r="1091" spans="3:58">
      <c r="C1091" s="47"/>
      <c r="D1091" s="47"/>
      <c r="E1091" s="47"/>
      <c r="F1091" s="47"/>
      <c r="G1091" s="47"/>
      <c r="H1091" s="47"/>
      <c r="I1091" s="47"/>
      <c r="J1091" s="47"/>
      <c r="K1091" s="47"/>
      <c r="L1091" s="47"/>
      <c r="M1091" s="47"/>
      <c r="N1091" s="47"/>
      <c r="O1091" s="47"/>
      <c r="P1091" s="47"/>
      <c r="Q1091" s="85"/>
      <c r="R1091" s="85"/>
      <c r="S1091" s="85"/>
      <c r="T1091" s="85"/>
      <c r="U1091" s="85"/>
      <c r="V1091" s="85"/>
      <c r="W1091" s="85"/>
      <c r="X1091" s="85"/>
      <c r="Y1091" s="85"/>
      <c r="Z1091" s="85"/>
      <c r="AA1091" s="85"/>
      <c r="AB1091" s="85"/>
      <c r="AC1091" s="85"/>
      <c r="AD1091" s="85"/>
      <c r="AE1091" s="47"/>
      <c r="AF1091" s="47"/>
      <c r="AG1091" s="47"/>
      <c r="AH1091" s="47"/>
      <c r="AI1091" s="47"/>
      <c r="AJ1091" s="47"/>
      <c r="AK1091" s="47"/>
      <c r="AL1091" s="47"/>
      <c r="AM1091" s="47"/>
      <c r="AN1091" s="47"/>
      <c r="AO1091" s="47"/>
      <c r="AP1091" s="47"/>
      <c r="AQ1091" s="47"/>
      <c r="AR1091" s="47"/>
      <c r="AS1091" s="47"/>
      <c r="AT1091" s="47"/>
      <c r="AU1091" s="47"/>
      <c r="AV1091" s="47"/>
      <c r="AW1091" s="47"/>
      <c r="AX1091" s="47"/>
      <c r="AY1091" s="47"/>
      <c r="AZ1091" s="47"/>
      <c r="BA1091" s="47"/>
      <c r="BB1091" s="47"/>
      <c r="BC1091" s="47"/>
      <c r="BD1091" s="47"/>
      <c r="BE1091" s="47"/>
      <c r="BF1091" s="47"/>
    </row>
    <row r="1092" spans="3:58">
      <c r="C1092" s="47"/>
      <c r="D1092" s="47"/>
      <c r="E1092" s="47"/>
      <c r="F1092" s="47"/>
      <c r="G1092" s="47"/>
      <c r="H1092" s="47"/>
      <c r="I1092" s="47"/>
      <c r="J1092" s="47"/>
      <c r="K1092" s="47"/>
      <c r="L1092" s="47"/>
      <c r="M1092" s="47"/>
      <c r="N1092" s="47"/>
      <c r="O1092" s="47"/>
      <c r="P1092" s="47"/>
      <c r="Q1092" s="85"/>
      <c r="R1092" s="85"/>
      <c r="S1092" s="85"/>
      <c r="T1092" s="85"/>
      <c r="U1092" s="85"/>
      <c r="V1092" s="85"/>
      <c r="W1092" s="85"/>
      <c r="X1092" s="85"/>
      <c r="Y1092" s="85"/>
      <c r="Z1092" s="85"/>
      <c r="AA1092" s="85"/>
      <c r="AB1092" s="85"/>
      <c r="AC1092" s="85"/>
      <c r="AD1092" s="85"/>
      <c r="AE1092" s="47"/>
      <c r="AF1092" s="47"/>
      <c r="AG1092" s="47"/>
      <c r="AH1092" s="47"/>
      <c r="AI1092" s="47"/>
      <c r="AJ1092" s="47"/>
      <c r="AK1092" s="47"/>
      <c r="AL1092" s="47"/>
      <c r="AM1092" s="47"/>
      <c r="AN1092" s="47"/>
      <c r="AO1092" s="47"/>
      <c r="AP1092" s="47"/>
      <c r="AQ1092" s="47"/>
      <c r="AR1092" s="47"/>
      <c r="AS1092" s="47"/>
      <c r="AT1092" s="47"/>
      <c r="AU1092" s="47"/>
      <c r="AV1092" s="47"/>
      <c r="AW1092" s="47"/>
      <c r="AX1092" s="47"/>
      <c r="AY1092" s="47"/>
      <c r="AZ1092" s="47"/>
      <c r="BA1092" s="47"/>
      <c r="BB1092" s="47"/>
      <c r="BC1092" s="47"/>
      <c r="BD1092" s="47"/>
      <c r="BE1092" s="47"/>
      <c r="BF1092" s="47"/>
    </row>
    <row r="1093" spans="3:58">
      <c r="C1093" s="47"/>
      <c r="D1093" s="47"/>
      <c r="E1093" s="47"/>
      <c r="F1093" s="47"/>
      <c r="G1093" s="47"/>
      <c r="H1093" s="47"/>
      <c r="I1093" s="47"/>
      <c r="J1093" s="47"/>
      <c r="K1093" s="47"/>
      <c r="L1093" s="47"/>
      <c r="M1093" s="47"/>
      <c r="N1093" s="47"/>
      <c r="O1093" s="47"/>
      <c r="P1093" s="47"/>
      <c r="Q1093" s="85"/>
      <c r="R1093" s="85"/>
      <c r="S1093" s="85"/>
      <c r="T1093" s="85"/>
      <c r="U1093" s="85"/>
      <c r="V1093" s="85"/>
      <c r="W1093" s="85"/>
      <c r="X1093" s="85"/>
      <c r="Y1093" s="85"/>
      <c r="Z1093" s="85"/>
      <c r="AA1093" s="85"/>
      <c r="AB1093" s="85"/>
      <c r="AC1093" s="85"/>
      <c r="AD1093" s="85"/>
      <c r="AE1093" s="47"/>
      <c r="AF1093" s="47"/>
      <c r="AG1093" s="47"/>
      <c r="AH1093" s="47"/>
      <c r="AI1093" s="47"/>
      <c r="AJ1093" s="47"/>
      <c r="AK1093" s="47"/>
      <c r="AL1093" s="47"/>
      <c r="AM1093" s="47"/>
      <c r="AN1093" s="47"/>
      <c r="AO1093" s="47"/>
      <c r="AP1093" s="47"/>
      <c r="AQ1093" s="47"/>
      <c r="AR1093" s="47"/>
      <c r="AS1093" s="47"/>
      <c r="AT1093" s="47"/>
      <c r="AU1093" s="47"/>
      <c r="AV1093" s="47"/>
      <c r="AW1093" s="47"/>
      <c r="AX1093" s="47"/>
      <c r="AY1093" s="47"/>
      <c r="AZ1093" s="47"/>
      <c r="BA1093" s="47"/>
      <c r="BB1093" s="47"/>
      <c r="BC1093" s="47"/>
      <c r="BD1093" s="47"/>
      <c r="BE1093" s="47"/>
      <c r="BF1093" s="47"/>
    </row>
    <row r="1094" spans="3:58">
      <c r="C1094" s="47"/>
      <c r="D1094" s="47"/>
      <c r="E1094" s="47"/>
      <c r="F1094" s="47"/>
      <c r="G1094" s="47"/>
      <c r="H1094" s="47"/>
      <c r="I1094" s="47"/>
      <c r="J1094" s="47"/>
      <c r="K1094" s="47"/>
      <c r="L1094" s="47"/>
      <c r="M1094" s="47"/>
      <c r="N1094" s="47"/>
      <c r="O1094" s="47"/>
      <c r="P1094" s="47"/>
      <c r="Q1094" s="85"/>
      <c r="R1094" s="85"/>
      <c r="S1094" s="85"/>
      <c r="T1094" s="85"/>
      <c r="U1094" s="85"/>
      <c r="V1094" s="85"/>
      <c r="W1094" s="85"/>
      <c r="X1094" s="85"/>
      <c r="Y1094" s="85"/>
      <c r="Z1094" s="85"/>
      <c r="AA1094" s="85"/>
      <c r="AB1094" s="85"/>
      <c r="AC1094" s="85"/>
      <c r="AD1094" s="85"/>
      <c r="AE1094" s="47"/>
      <c r="AF1094" s="47"/>
      <c r="AG1094" s="47"/>
      <c r="AH1094" s="47"/>
      <c r="AI1094" s="47"/>
      <c r="AJ1094" s="47"/>
      <c r="AK1094" s="47"/>
      <c r="AL1094" s="47"/>
      <c r="AM1094" s="47"/>
      <c r="AN1094" s="47"/>
      <c r="AO1094" s="47"/>
      <c r="AP1094" s="47"/>
      <c r="AQ1094" s="47"/>
      <c r="AR1094" s="47"/>
      <c r="AS1094" s="47"/>
      <c r="AT1094" s="47"/>
      <c r="AU1094" s="47"/>
      <c r="AV1094" s="47"/>
      <c r="AW1094" s="47"/>
      <c r="AX1094" s="47"/>
      <c r="AY1094" s="47"/>
      <c r="AZ1094" s="47"/>
      <c r="BA1094" s="47"/>
      <c r="BB1094" s="47"/>
      <c r="BC1094" s="47"/>
      <c r="BD1094" s="47"/>
      <c r="BE1094" s="47"/>
      <c r="BF1094" s="47"/>
    </row>
    <row r="1095" spans="3:58">
      <c r="C1095" s="47"/>
      <c r="D1095" s="47"/>
      <c r="E1095" s="47"/>
      <c r="F1095" s="47"/>
      <c r="G1095" s="47"/>
      <c r="H1095" s="47"/>
      <c r="I1095" s="47"/>
      <c r="J1095" s="47"/>
      <c r="K1095" s="47"/>
      <c r="L1095" s="47"/>
      <c r="M1095" s="47"/>
      <c r="N1095" s="47"/>
      <c r="O1095" s="47"/>
      <c r="P1095" s="47"/>
      <c r="Q1095" s="85"/>
      <c r="R1095" s="85"/>
      <c r="S1095" s="85"/>
      <c r="T1095" s="85"/>
      <c r="U1095" s="85"/>
      <c r="V1095" s="85"/>
      <c r="W1095" s="85"/>
      <c r="X1095" s="85"/>
      <c r="Y1095" s="85"/>
      <c r="Z1095" s="85"/>
      <c r="AA1095" s="85"/>
      <c r="AB1095" s="85"/>
      <c r="AC1095" s="85"/>
      <c r="AD1095" s="85"/>
      <c r="AE1095" s="47"/>
      <c r="AF1095" s="47"/>
      <c r="AG1095" s="47"/>
      <c r="AH1095" s="47"/>
      <c r="AI1095" s="47"/>
      <c r="AJ1095" s="47"/>
      <c r="AK1095" s="47"/>
      <c r="AL1095" s="47"/>
      <c r="AM1095" s="47"/>
      <c r="AN1095" s="47"/>
      <c r="AO1095" s="47"/>
      <c r="AP1095" s="47"/>
      <c r="AQ1095" s="47"/>
      <c r="AR1095" s="47"/>
      <c r="AS1095" s="47"/>
      <c r="AT1095" s="47"/>
      <c r="AU1095" s="47"/>
      <c r="AV1095" s="47"/>
      <c r="AW1095" s="47"/>
      <c r="AX1095" s="47"/>
      <c r="AY1095" s="47"/>
      <c r="AZ1095" s="47"/>
      <c r="BA1095" s="47"/>
      <c r="BB1095" s="47"/>
      <c r="BC1095" s="47"/>
      <c r="BD1095" s="47"/>
      <c r="BE1095" s="47"/>
      <c r="BF1095" s="47"/>
    </row>
    <row r="1096" spans="3:58">
      <c r="C1096" s="47"/>
      <c r="D1096" s="47"/>
      <c r="E1096" s="47"/>
      <c r="F1096" s="47"/>
      <c r="G1096" s="47"/>
      <c r="H1096" s="47"/>
      <c r="I1096" s="47"/>
      <c r="J1096" s="47"/>
      <c r="K1096" s="47"/>
      <c r="L1096" s="47"/>
      <c r="M1096" s="47"/>
      <c r="N1096" s="47"/>
      <c r="O1096" s="47"/>
      <c r="P1096" s="47"/>
      <c r="Q1096" s="85"/>
      <c r="R1096" s="85"/>
      <c r="S1096" s="85"/>
      <c r="T1096" s="85"/>
      <c r="U1096" s="85"/>
      <c r="V1096" s="85"/>
      <c r="W1096" s="85"/>
      <c r="X1096" s="85"/>
      <c r="Y1096" s="85"/>
      <c r="Z1096" s="85"/>
      <c r="AA1096" s="85"/>
      <c r="AB1096" s="85"/>
      <c r="AC1096" s="85"/>
      <c r="AD1096" s="85"/>
      <c r="AE1096" s="47"/>
      <c r="AF1096" s="47"/>
      <c r="AG1096" s="47"/>
      <c r="AH1096" s="47"/>
      <c r="AI1096" s="47"/>
      <c r="AJ1096" s="47"/>
      <c r="AK1096" s="47"/>
      <c r="AL1096" s="47"/>
      <c r="AM1096" s="47"/>
      <c r="AN1096" s="47"/>
      <c r="AO1096" s="47"/>
      <c r="AP1096" s="47"/>
      <c r="AQ1096" s="47"/>
      <c r="AR1096" s="47"/>
      <c r="AS1096" s="47"/>
      <c r="AT1096" s="47"/>
      <c r="AU1096" s="47"/>
      <c r="AV1096" s="47"/>
      <c r="AW1096" s="47"/>
      <c r="AX1096" s="47"/>
      <c r="AY1096" s="47"/>
      <c r="AZ1096" s="47"/>
      <c r="BA1096" s="47"/>
      <c r="BB1096" s="47"/>
      <c r="BC1096" s="47"/>
      <c r="BD1096" s="47"/>
      <c r="BE1096" s="47"/>
      <c r="BF1096" s="47"/>
    </row>
    <row r="1097" spans="3:58">
      <c r="C1097" s="47"/>
      <c r="D1097" s="47"/>
      <c r="E1097" s="47"/>
      <c r="F1097" s="47"/>
      <c r="G1097" s="47"/>
      <c r="H1097" s="47"/>
      <c r="I1097" s="47"/>
      <c r="J1097" s="47"/>
      <c r="K1097" s="47"/>
      <c r="L1097" s="47"/>
      <c r="M1097" s="47"/>
      <c r="N1097" s="47"/>
      <c r="O1097" s="47"/>
      <c r="P1097" s="47"/>
      <c r="Q1097" s="85"/>
      <c r="R1097" s="85"/>
      <c r="S1097" s="85"/>
      <c r="T1097" s="85"/>
      <c r="U1097" s="85"/>
      <c r="V1097" s="85"/>
      <c r="W1097" s="85"/>
      <c r="X1097" s="85"/>
      <c r="Y1097" s="85"/>
      <c r="Z1097" s="85"/>
      <c r="AA1097" s="85"/>
      <c r="AB1097" s="85"/>
      <c r="AC1097" s="85"/>
      <c r="AD1097" s="85"/>
      <c r="AE1097" s="47"/>
      <c r="AF1097" s="47"/>
      <c r="AG1097" s="47"/>
      <c r="AH1097" s="47"/>
      <c r="AI1097" s="47"/>
      <c r="AJ1097" s="47"/>
      <c r="AK1097" s="47"/>
      <c r="AL1097" s="47"/>
      <c r="AM1097" s="47"/>
      <c r="AN1097" s="47"/>
      <c r="AO1097" s="47"/>
      <c r="AP1097" s="47"/>
      <c r="AQ1097" s="47"/>
      <c r="AR1097" s="47"/>
      <c r="AS1097" s="47"/>
      <c r="AT1097" s="47"/>
      <c r="AU1097" s="47"/>
      <c r="AV1097" s="47"/>
      <c r="AW1097" s="47"/>
      <c r="AX1097" s="47"/>
      <c r="AY1097" s="47"/>
      <c r="AZ1097" s="47"/>
      <c r="BA1097" s="47"/>
      <c r="BB1097" s="47"/>
      <c r="BC1097" s="47"/>
      <c r="BD1097" s="47"/>
      <c r="BE1097" s="47"/>
      <c r="BF1097" s="47"/>
    </row>
    <row r="1098" spans="3:58">
      <c r="C1098" s="47"/>
      <c r="D1098" s="47"/>
      <c r="E1098" s="47"/>
      <c r="F1098" s="47"/>
      <c r="G1098" s="47"/>
      <c r="H1098" s="47"/>
      <c r="I1098" s="47"/>
      <c r="J1098" s="47"/>
      <c r="K1098" s="47"/>
      <c r="L1098" s="47"/>
      <c r="M1098" s="47"/>
      <c r="N1098" s="47"/>
      <c r="O1098" s="47"/>
      <c r="P1098" s="47"/>
      <c r="Q1098" s="85"/>
      <c r="R1098" s="85"/>
      <c r="S1098" s="85"/>
      <c r="T1098" s="85"/>
      <c r="U1098" s="85"/>
      <c r="V1098" s="85"/>
      <c r="W1098" s="85"/>
      <c r="X1098" s="85"/>
      <c r="Y1098" s="85"/>
      <c r="Z1098" s="85"/>
      <c r="AA1098" s="85"/>
      <c r="AB1098" s="85"/>
      <c r="AC1098" s="85"/>
      <c r="AD1098" s="85"/>
      <c r="AE1098" s="47"/>
      <c r="AF1098" s="47"/>
      <c r="AG1098" s="47"/>
      <c r="AH1098" s="47"/>
      <c r="AI1098" s="47"/>
      <c r="AJ1098" s="47"/>
      <c r="AK1098" s="47"/>
      <c r="AL1098" s="47"/>
      <c r="AM1098" s="47"/>
      <c r="AN1098" s="47"/>
      <c r="AO1098" s="47"/>
      <c r="AP1098" s="47"/>
      <c r="AQ1098" s="47"/>
      <c r="AR1098" s="47"/>
      <c r="AS1098" s="47"/>
      <c r="AT1098" s="47"/>
      <c r="AU1098" s="47"/>
      <c r="AV1098" s="47"/>
      <c r="AW1098" s="47"/>
      <c r="AX1098" s="47"/>
      <c r="AY1098" s="47"/>
      <c r="AZ1098" s="47"/>
      <c r="BA1098" s="47"/>
      <c r="BB1098" s="47"/>
      <c r="BC1098" s="47"/>
      <c r="BD1098" s="47"/>
      <c r="BE1098" s="47"/>
      <c r="BF1098" s="47"/>
    </row>
    <row r="1099" spans="3:58">
      <c r="C1099" s="47"/>
      <c r="D1099" s="47"/>
      <c r="E1099" s="47"/>
      <c r="F1099" s="47"/>
      <c r="G1099" s="47"/>
      <c r="H1099" s="47"/>
      <c r="I1099" s="47"/>
      <c r="J1099" s="47"/>
      <c r="K1099" s="47"/>
      <c r="L1099" s="47"/>
      <c r="M1099" s="47"/>
      <c r="N1099" s="47"/>
      <c r="O1099" s="47"/>
      <c r="P1099" s="47"/>
      <c r="Q1099" s="85"/>
      <c r="R1099" s="85"/>
      <c r="S1099" s="85"/>
      <c r="T1099" s="85"/>
      <c r="U1099" s="85"/>
      <c r="V1099" s="85"/>
      <c r="W1099" s="85"/>
      <c r="X1099" s="85"/>
      <c r="Y1099" s="85"/>
      <c r="Z1099" s="85"/>
      <c r="AA1099" s="85"/>
      <c r="AB1099" s="85"/>
      <c r="AC1099" s="85"/>
      <c r="AD1099" s="85"/>
      <c r="AE1099" s="47"/>
      <c r="AF1099" s="47"/>
      <c r="AG1099" s="47"/>
      <c r="AH1099" s="47"/>
      <c r="AI1099" s="47"/>
      <c r="AJ1099" s="47"/>
      <c r="AK1099" s="47"/>
      <c r="AL1099" s="47"/>
      <c r="AM1099" s="47"/>
      <c r="AN1099" s="47"/>
      <c r="AO1099" s="47"/>
      <c r="AP1099" s="47"/>
      <c r="AQ1099" s="47"/>
      <c r="AR1099" s="47"/>
      <c r="AS1099" s="47"/>
      <c r="AT1099" s="47"/>
      <c r="AU1099" s="47"/>
      <c r="AV1099" s="47"/>
      <c r="AW1099" s="47"/>
      <c r="AX1099" s="47"/>
      <c r="AY1099" s="47"/>
      <c r="AZ1099" s="47"/>
      <c r="BA1099" s="47"/>
      <c r="BB1099" s="47"/>
      <c r="BC1099" s="47"/>
      <c r="BD1099" s="47"/>
      <c r="BE1099" s="47"/>
      <c r="BF1099" s="47"/>
    </row>
    <row r="1100" spans="3:58">
      <c r="C1100" s="47"/>
      <c r="D1100" s="47"/>
      <c r="E1100" s="47"/>
      <c r="F1100" s="47"/>
      <c r="G1100" s="47"/>
      <c r="H1100" s="47"/>
      <c r="I1100" s="47"/>
      <c r="J1100" s="47"/>
      <c r="K1100" s="47"/>
      <c r="L1100" s="47"/>
      <c r="M1100" s="47"/>
      <c r="N1100" s="47"/>
      <c r="O1100" s="47"/>
      <c r="P1100" s="47"/>
      <c r="Q1100" s="85"/>
      <c r="R1100" s="85"/>
      <c r="S1100" s="85"/>
      <c r="T1100" s="85"/>
      <c r="U1100" s="85"/>
      <c r="V1100" s="85"/>
      <c r="W1100" s="85"/>
      <c r="X1100" s="85"/>
      <c r="Y1100" s="85"/>
      <c r="Z1100" s="85"/>
      <c r="AA1100" s="85"/>
      <c r="AB1100" s="85"/>
      <c r="AC1100" s="85"/>
      <c r="AD1100" s="85"/>
      <c r="AE1100" s="47"/>
      <c r="AF1100" s="47"/>
      <c r="AG1100" s="47"/>
      <c r="AH1100" s="47"/>
      <c r="AI1100" s="47"/>
      <c r="AJ1100" s="47"/>
      <c r="AK1100" s="47"/>
      <c r="AL1100" s="47"/>
      <c r="AM1100" s="47"/>
      <c r="AN1100" s="47"/>
      <c r="AO1100" s="47"/>
      <c r="AP1100" s="47"/>
      <c r="AQ1100" s="47"/>
      <c r="AR1100" s="47"/>
      <c r="AS1100" s="47"/>
      <c r="AT1100" s="47"/>
      <c r="AU1100" s="47"/>
      <c r="AV1100" s="47"/>
      <c r="AW1100" s="47"/>
      <c r="AX1100" s="47"/>
      <c r="AY1100" s="47"/>
      <c r="AZ1100" s="47"/>
      <c r="BA1100" s="47"/>
      <c r="BB1100" s="47"/>
      <c r="BC1100" s="47"/>
      <c r="BD1100" s="47"/>
      <c r="BE1100" s="47"/>
      <c r="BF1100" s="47"/>
    </row>
    <row r="1101" spans="3:58">
      <c r="C1101" s="47"/>
      <c r="D1101" s="47"/>
      <c r="E1101" s="47"/>
      <c r="F1101" s="47"/>
      <c r="G1101" s="47"/>
      <c r="H1101" s="47"/>
      <c r="I1101" s="47"/>
      <c r="J1101" s="47"/>
      <c r="K1101" s="47"/>
      <c r="L1101" s="47"/>
      <c r="M1101" s="47"/>
      <c r="N1101" s="47"/>
      <c r="O1101" s="47"/>
      <c r="P1101" s="47"/>
      <c r="Q1101" s="85"/>
      <c r="R1101" s="85"/>
      <c r="S1101" s="85"/>
      <c r="T1101" s="85"/>
      <c r="U1101" s="85"/>
      <c r="V1101" s="85"/>
      <c r="W1101" s="85"/>
      <c r="X1101" s="85"/>
      <c r="Y1101" s="85"/>
      <c r="Z1101" s="85"/>
      <c r="AA1101" s="85"/>
      <c r="AB1101" s="85"/>
      <c r="AC1101" s="85"/>
      <c r="AD1101" s="85"/>
      <c r="AE1101" s="47"/>
      <c r="AF1101" s="47"/>
      <c r="AG1101" s="47"/>
      <c r="AH1101" s="47"/>
      <c r="AI1101" s="47"/>
      <c r="AJ1101" s="47"/>
      <c r="AK1101" s="47"/>
      <c r="AL1101" s="47"/>
      <c r="AM1101" s="47"/>
      <c r="AN1101" s="47"/>
      <c r="AO1101" s="47"/>
      <c r="AP1101" s="47"/>
      <c r="AQ1101" s="47"/>
      <c r="AR1101" s="47"/>
      <c r="AS1101" s="47"/>
      <c r="AT1101" s="47"/>
      <c r="AU1101" s="47"/>
      <c r="AV1101" s="47"/>
      <c r="AW1101" s="47"/>
      <c r="AX1101" s="47"/>
      <c r="AY1101" s="47"/>
      <c r="AZ1101" s="47"/>
      <c r="BA1101" s="47"/>
      <c r="BB1101" s="47"/>
      <c r="BC1101" s="47"/>
      <c r="BD1101" s="47"/>
      <c r="BE1101" s="47"/>
      <c r="BF1101" s="47"/>
    </row>
    <row r="1102" spans="3:58">
      <c r="C1102" s="47"/>
      <c r="D1102" s="47"/>
      <c r="E1102" s="47"/>
      <c r="F1102" s="47"/>
      <c r="G1102" s="47"/>
      <c r="H1102" s="47"/>
      <c r="I1102" s="47"/>
      <c r="J1102" s="47"/>
      <c r="K1102" s="47"/>
      <c r="L1102" s="47"/>
      <c r="M1102" s="47"/>
      <c r="N1102" s="47"/>
      <c r="O1102" s="47"/>
      <c r="P1102" s="47"/>
      <c r="Q1102" s="85"/>
      <c r="R1102" s="85"/>
      <c r="S1102" s="85"/>
      <c r="T1102" s="85"/>
      <c r="U1102" s="85"/>
      <c r="V1102" s="85"/>
      <c r="W1102" s="85"/>
      <c r="X1102" s="85"/>
      <c r="Y1102" s="85"/>
      <c r="Z1102" s="85"/>
      <c r="AA1102" s="85"/>
      <c r="AB1102" s="85"/>
      <c r="AC1102" s="85"/>
      <c r="AD1102" s="85"/>
      <c r="AE1102" s="47"/>
      <c r="AF1102" s="47"/>
      <c r="AG1102" s="47"/>
      <c r="AH1102" s="47"/>
      <c r="AI1102" s="47"/>
      <c r="AJ1102" s="47"/>
      <c r="AK1102" s="47"/>
      <c r="AL1102" s="47"/>
      <c r="AM1102" s="47"/>
      <c r="AN1102" s="47"/>
      <c r="AO1102" s="47"/>
      <c r="AP1102" s="47"/>
      <c r="AQ1102" s="47"/>
      <c r="AR1102" s="47"/>
      <c r="AS1102" s="47"/>
      <c r="AT1102" s="47"/>
      <c r="AU1102" s="47"/>
      <c r="AV1102" s="47"/>
      <c r="AW1102" s="47"/>
      <c r="AX1102" s="47"/>
      <c r="AY1102" s="47"/>
      <c r="AZ1102" s="47"/>
      <c r="BA1102" s="47"/>
      <c r="BB1102" s="47"/>
      <c r="BC1102" s="47"/>
      <c r="BD1102" s="47"/>
      <c r="BE1102" s="47"/>
      <c r="BF1102" s="47"/>
    </row>
    <row r="1103" spans="3:58">
      <c r="C1103" s="47"/>
      <c r="D1103" s="47"/>
      <c r="E1103" s="47"/>
      <c r="F1103" s="47"/>
      <c r="G1103" s="47"/>
      <c r="H1103" s="47"/>
      <c r="I1103" s="47"/>
      <c r="J1103" s="47"/>
      <c r="K1103" s="47"/>
      <c r="L1103" s="47"/>
      <c r="M1103" s="47"/>
      <c r="N1103" s="47"/>
      <c r="O1103" s="47"/>
      <c r="P1103" s="47"/>
      <c r="Q1103" s="85"/>
      <c r="R1103" s="85"/>
      <c r="S1103" s="85"/>
      <c r="T1103" s="85"/>
      <c r="U1103" s="85"/>
      <c r="V1103" s="85"/>
      <c r="W1103" s="85"/>
      <c r="X1103" s="85"/>
      <c r="Y1103" s="85"/>
      <c r="Z1103" s="85"/>
      <c r="AA1103" s="85"/>
      <c r="AB1103" s="85"/>
      <c r="AC1103" s="85"/>
      <c r="AD1103" s="85"/>
      <c r="AE1103" s="47"/>
      <c r="AF1103" s="47"/>
      <c r="AG1103" s="47"/>
      <c r="AH1103" s="47"/>
      <c r="AI1103" s="47"/>
      <c r="AJ1103" s="47"/>
      <c r="AK1103" s="47"/>
      <c r="AL1103" s="47"/>
      <c r="AM1103" s="47"/>
      <c r="AN1103" s="47"/>
      <c r="AO1103" s="47"/>
      <c r="AP1103" s="47"/>
      <c r="AQ1103" s="47"/>
      <c r="AR1103" s="47"/>
      <c r="AS1103" s="47"/>
      <c r="AT1103" s="47"/>
      <c r="AU1103" s="47"/>
      <c r="AV1103" s="47"/>
      <c r="AW1103" s="47"/>
      <c r="AX1103" s="47"/>
      <c r="AY1103" s="47"/>
      <c r="AZ1103" s="47"/>
      <c r="BA1103" s="47"/>
      <c r="BB1103" s="47"/>
      <c r="BC1103" s="47"/>
      <c r="BD1103" s="47"/>
      <c r="BE1103" s="47"/>
      <c r="BF1103" s="47"/>
    </row>
    <row r="1104" spans="3:58">
      <c r="C1104" s="47"/>
      <c r="D1104" s="47"/>
      <c r="E1104" s="47"/>
      <c r="F1104" s="47"/>
      <c r="G1104" s="47"/>
      <c r="H1104" s="47"/>
      <c r="I1104" s="47"/>
      <c r="J1104" s="47"/>
      <c r="K1104" s="47"/>
      <c r="L1104" s="47"/>
      <c r="M1104" s="47"/>
      <c r="N1104" s="47"/>
      <c r="O1104" s="47"/>
      <c r="P1104" s="47"/>
      <c r="Q1104" s="85"/>
      <c r="R1104" s="85"/>
      <c r="S1104" s="85"/>
      <c r="T1104" s="85"/>
      <c r="U1104" s="85"/>
      <c r="V1104" s="85"/>
      <c r="W1104" s="85"/>
      <c r="X1104" s="85"/>
      <c r="Y1104" s="85"/>
      <c r="Z1104" s="85"/>
      <c r="AA1104" s="85"/>
      <c r="AB1104" s="85"/>
      <c r="AC1104" s="85"/>
      <c r="AD1104" s="85"/>
      <c r="AE1104" s="47"/>
      <c r="AF1104" s="47"/>
      <c r="AG1104" s="47"/>
      <c r="AH1104" s="47"/>
      <c r="AI1104" s="47"/>
      <c r="AJ1104" s="47"/>
      <c r="AK1104" s="47"/>
      <c r="AL1104" s="47"/>
      <c r="AM1104" s="47"/>
      <c r="AN1104" s="47"/>
      <c r="AO1104" s="47"/>
      <c r="AP1104" s="47"/>
      <c r="AQ1104" s="47"/>
      <c r="AR1104" s="47"/>
      <c r="AS1104" s="47"/>
      <c r="AT1104" s="47"/>
      <c r="AU1104" s="47"/>
      <c r="AV1104" s="47"/>
      <c r="AW1104" s="47"/>
      <c r="AX1104" s="47"/>
      <c r="AY1104" s="47"/>
      <c r="AZ1104" s="47"/>
      <c r="BA1104" s="47"/>
      <c r="BB1104" s="47"/>
      <c r="BC1104" s="47"/>
      <c r="BD1104" s="47"/>
      <c r="BE1104" s="47"/>
      <c r="BF1104" s="47"/>
    </row>
    <row r="1105" spans="3:58">
      <c r="C1105" s="47"/>
      <c r="D1105" s="47"/>
      <c r="E1105" s="47"/>
      <c r="F1105" s="47"/>
      <c r="G1105" s="47"/>
      <c r="H1105" s="47"/>
      <c r="I1105" s="47"/>
      <c r="J1105" s="47"/>
      <c r="K1105" s="47"/>
      <c r="L1105" s="47"/>
      <c r="M1105" s="47"/>
      <c r="N1105" s="47"/>
      <c r="O1105" s="47"/>
      <c r="P1105" s="47"/>
      <c r="Q1105" s="85"/>
      <c r="R1105" s="85"/>
      <c r="S1105" s="85"/>
      <c r="T1105" s="85"/>
      <c r="U1105" s="85"/>
      <c r="V1105" s="85"/>
      <c r="W1105" s="85"/>
      <c r="X1105" s="85"/>
      <c r="Y1105" s="85"/>
      <c r="Z1105" s="85"/>
      <c r="AA1105" s="85"/>
      <c r="AB1105" s="85"/>
      <c r="AC1105" s="85"/>
      <c r="AD1105" s="85"/>
      <c r="AE1105" s="47"/>
      <c r="AF1105" s="47"/>
      <c r="AG1105" s="47"/>
      <c r="AH1105" s="47"/>
      <c r="AI1105" s="47"/>
      <c r="AJ1105" s="47"/>
      <c r="AK1105" s="47"/>
      <c r="AL1105" s="47"/>
      <c r="AM1105" s="47"/>
      <c r="AN1105" s="47"/>
      <c r="AO1105" s="47"/>
      <c r="AP1105" s="47"/>
      <c r="AQ1105" s="47"/>
      <c r="AR1105" s="47"/>
      <c r="AS1105" s="47"/>
      <c r="AT1105" s="47"/>
      <c r="AU1105" s="47"/>
      <c r="AV1105" s="47"/>
      <c r="AW1105" s="47"/>
      <c r="AX1105" s="47"/>
      <c r="AY1105" s="47"/>
      <c r="AZ1105" s="47"/>
      <c r="BA1105" s="47"/>
      <c r="BB1105" s="47"/>
      <c r="BC1105" s="47"/>
      <c r="BD1105" s="47"/>
      <c r="BE1105" s="47"/>
      <c r="BF1105" s="47"/>
    </row>
    <row r="1106" spans="3:58">
      <c r="C1106" s="47"/>
      <c r="D1106" s="47"/>
      <c r="E1106" s="47"/>
      <c r="F1106" s="47"/>
      <c r="G1106" s="47"/>
      <c r="H1106" s="47"/>
      <c r="I1106" s="47"/>
      <c r="J1106" s="47"/>
      <c r="K1106" s="47"/>
      <c r="L1106" s="47"/>
      <c r="M1106" s="47"/>
      <c r="N1106" s="47"/>
      <c r="O1106" s="47"/>
      <c r="P1106" s="47"/>
      <c r="Q1106" s="85"/>
      <c r="R1106" s="85"/>
      <c r="S1106" s="85"/>
      <c r="T1106" s="85"/>
      <c r="U1106" s="85"/>
      <c r="V1106" s="85"/>
      <c r="W1106" s="85"/>
      <c r="X1106" s="85"/>
      <c r="Y1106" s="85"/>
      <c r="Z1106" s="85"/>
      <c r="AA1106" s="85"/>
      <c r="AB1106" s="85"/>
      <c r="AC1106" s="85"/>
      <c r="AD1106" s="85"/>
      <c r="AE1106" s="47"/>
      <c r="AF1106" s="47"/>
      <c r="AG1106" s="47"/>
      <c r="AH1106" s="47"/>
      <c r="AI1106" s="47"/>
      <c r="AJ1106" s="47"/>
      <c r="AK1106" s="47"/>
      <c r="AL1106" s="47"/>
      <c r="AM1106" s="47"/>
      <c r="AN1106" s="47"/>
      <c r="AO1106" s="47"/>
      <c r="AP1106" s="47"/>
      <c r="AQ1106" s="47"/>
      <c r="AR1106" s="47"/>
      <c r="AS1106" s="47"/>
      <c r="AT1106" s="47"/>
      <c r="AU1106" s="47"/>
      <c r="AV1106" s="47"/>
      <c r="AW1106" s="47"/>
      <c r="AX1106" s="47"/>
      <c r="AY1106" s="47"/>
      <c r="AZ1106" s="47"/>
      <c r="BA1106" s="47"/>
      <c r="BB1106" s="47"/>
      <c r="BC1106" s="47"/>
      <c r="BD1106" s="47"/>
      <c r="BE1106" s="47"/>
      <c r="BF1106" s="47"/>
    </row>
    <row r="1107" spans="3:58">
      <c r="C1107" s="47"/>
      <c r="D1107" s="47"/>
      <c r="E1107" s="47"/>
      <c r="F1107" s="47"/>
      <c r="G1107" s="47"/>
      <c r="H1107" s="47"/>
      <c r="I1107" s="47"/>
      <c r="J1107" s="47"/>
      <c r="K1107" s="47"/>
      <c r="L1107" s="47"/>
      <c r="M1107" s="47"/>
      <c r="N1107" s="47"/>
      <c r="O1107" s="47"/>
      <c r="P1107" s="47"/>
      <c r="Q1107" s="85"/>
      <c r="R1107" s="85"/>
      <c r="S1107" s="85"/>
      <c r="T1107" s="85"/>
      <c r="U1107" s="85"/>
      <c r="V1107" s="85"/>
      <c r="W1107" s="85"/>
      <c r="X1107" s="85"/>
      <c r="Y1107" s="85"/>
      <c r="Z1107" s="85"/>
      <c r="AA1107" s="85"/>
      <c r="AB1107" s="85"/>
      <c r="AC1107" s="85"/>
      <c r="AD1107" s="85"/>
      <c r="AE1107" s="47"/>
      <c r="AF1107" s="47"/>
      <c r="AG1107" s="47"/>
      <c r="AH1107" s="47"/>
      <c r="AI1107" s="47"/>
      <c r="AJ1107" s="47"/>
      <c r="AK1107" s="47"/>
      <c r="AL1107" s="47"/>
      <c r="AM1107" s="47"/>
      <c r="AN1107" s="47"/>
      <c r="AO1107" s="47"/>
      <c r="AP1107" s="47"/>
      <c r="AQ1107" s="47"/>
      <c r="AR1107" s="47"/>
      <c r="AS1107" s="47"/>
      <c r="AT1107" s="47"/>
      <c r="AU1107" s="47"/>
      <c r="AV1107" s="47"/>
      <c r="AW1107" s="47"/>
      <c r="AX1107" s="47"/>
      <c r="AY1107" s="47"/>
      <c r="AZ1107" s="47"/>
      <c r="BA1107" s="47"/>
      <c r="BB1107" s="47"/>
      <c r="BC1107" s="47"/>
      <c r="BD1107" s="47"/>
      <c r="BE1107" s="47"/>
      <c r="BF1107" s="47"/>
    </row>
    <row r="1108" spans="3:58">
      <c r="C1108" s="47"/>
      <c r="D1108" s="47"/>
      <c r="E1108" s="47"/>
      <c r="F1108" s="47"/>
      <c r="G1108" s="47"/>
      <c r="H1108" s="47"/>
      <c r="I1108" s="47"/>
      <c r="J1108" s="47"/>
      <c r="K1108" s="47"/>
      <c r="L1108" s="47"/>
      <c r="M1108" s="47"/>
      <c r="N1108" s="47"/>
      <c r="O1108" s="47"/>
      <c r="P1108" s="47"/>
      <c r="Q1108" s="85"/>
      <c r="R1108" s="85"/>
      <c r="S1108" s="85"/>
      <c r="T1108" s="85"/>
      <c r="U1108" s="85"/>
      <c r="V1108" s="85"/>
      <c r="W1108" s="85"/>
      <c r="X1108" s="85"/>
      <c r="Y1108" s="85"/>
      <c r="Z1108" s="85"/>
      <c r="AA1108" s="85"/>
      <c r="AB1108" s="85"/>
      <c r="AC1108" s="85"/>
      <c r="AD1108" s="85"/>
      <c r="AE1108" s="47"/>
      <c r="AF1108" s="47"/>
      <c r="AG1108" s="47"/>
      <c r="AH1108" s="47"/>
      <c r="AI1108" s="47"/>
      <c r="AJ1108" s="47"/>
      <c r="AK1108" s="47"/>
      <c r="AL1108" s="47"/>
      <c r="AM1108" s="47"/>
      <c r="AN1108" s="47"/>
      <c r="AO1108" s="47"/>
      <c r="AP1108" s="47"/>
      <c r="AQ1108" s="47"/>
      <c r="AR1108" s="47"/>
      <c r="AS1108" s="47"/>
      <c r="AT1108" s="47"/>
      <c r="AU1108" s="47"/>
      <c r="AV1108" s="47"/>
      <c r="AW1108" s="47"/>
      <c r="AX1108" s="47"/>
      <c r="AY1108" s="47"/>
      <c r="AZ1108" s="47"/>
      <c r="BA1108" s="47"/>
      <c r="BB1108" s="47"/>
      <c r="BC1108" s="47"/>
      <c r="BD1108" s="47"/>
      <c r="BE1108" s="47"/>
      <c r="BF1108" s="47"/>
    </row>
    <row r="1109" spans="3:58">
      <c r="C1109" s="47"/>
      <c r="D1109" s="47"/>
      <c r="E1109" s="47"/>
      <c r="F1109" s="47"/>
      <c r="G1109" s="47"/>
      <c r="H1109" s="47"/>
      <c r="I1109" s="47"/>
      <c r="J1109" s="47"/>
      <c r="K1109" s="47"/>
      <c r="L1109" s="47"/>
      <c r="M1109" s="47"/>
      <c r="N1109" s="47"/>
      <c r="O1109" s="47"/>
      <c r="P1109" s="47"/>
      <c r="Q1109" s="85"/>
      <c r="R1109" s="85"/>
      <c r="S1109" s="85"/>
      <c r="T1109" s="85"/>
      <c r="U1109" s="85"/>
      <c r="V1109" s="85"/>
      <c r="W1109" s="85"/>
      <c r="X1109" s="85"/>
      <c r="Y1109" s="85"/>
      <c r="Z1109" s="85"/>
      <c r="AA1109" s="85"/>
      <c r="AB1109" s="85"/>
      <c r="AC1109" s="85"/>
      <c r="AD1109" s="85"/>
      <c r="AE1109" s="47"/>
      <c r="AF1109" s="47"/>
      <c r="AG1109" s="47"/>
      <c r="AH1109" s="47"/>
      <c r="AI1109" s="47"/>
      <c r="AJ1109" s="47"/>
      <c r="AK1109" s="47"/>
      <c r="AL1109" s="47"/>
      <c r="AM1109" s="47"/>
      <c r="AN1109" s="47"/>
      <c r="AO1109" s="47"/>
      <c r="AP1109" s="47"/>
      <c r="AQ1109" s="47"/>
      <c r="AR1109" s="47"/>
      <c r="AS1109" s="47"/>
      <c r="AT1109" s="47"/>
      <c r="AU1109" s="47"/>
      <c r="AV1109" s="47"/>
      <c r="AW1109" s="47"/>
      <c r="AX1109" s="47"/>
      <c r="AY1109" s="47"/>
      <c r="AZ1109" s="47"/>
      <c r="BA1109" s="47"/>
      <c r="BB1109" s="47"/>
      <c r="BC1109" s="47"/>
      <c r="BD1109" s="47"/>
      <c r="BE1109" s="47"/>
      <c r="BF1109" s="47"/>
    </row>
    <row r="1110" spans="3:58">
      <c r="C1110" s="47"/>
      <c r="D1110" s="47"/>
      <c r="E1110" s="47"/>
      <c r="F1110" s="47"/>
      <c r="G1110" s="47"/>
      <c r="H1110" s="47"/>
      <c r="I1110" s="47"/>
      <c r="J1110" s="47"/>
      <c r="K1110" s="47"/>
      <c r="L1110" s="47"/>
      <c r="M1110" s="47"/>
      <c r="N1110" s="47"/>
      <c r="O1110" s="47"/>
      <c r="P1110" s="47"/>
      <c r="Q1110" s="85"/>
      <c r="R1110" s="85"/>
      <c r="S1110" s="85"/>
      <c r="T1110" s="85"/>
      <c r="U1110" s="85"/>
      <c r="V1110" s="85"/>
      <c r="W1110" s="85"/>
      <c r="X1110" s="85"/>
      <c r="Y1110" s="85"/>
      <c r="Z1110" s="85"/>
      <c r="AA1110" s="85"/>
      <c r="AB1110" s="85"/>
      <c r="AC1110" s="85"/>
      <c r="AD1110" s="85"/>
      <c r="AE1110" s="47"/>
      <c r="AF1110" s="47"/>
      <c r="AG1110" s="47"/>
      <c r="AH1110" s="47"/>
      <c r="AI1110" s="47"/>
      <c r="AJ1110" s="47"/>
      <c r="AK1110" s="47"/>
      <c r="AL1110" s="47"/>
      <c r="AM1110" s="47"/>
      <c r="AN1110" s="47"/>
      <c r="AO1110" s="47"/>
      <c r="AP1110" s="47"/>
      <c r="AQ1110" s="47"/>
      <c r="AR1110" s="47"/>
      <c r="AS1110" s="47"/>
      <c r="AT1110" s="47"/>
      <c r="AU1110" s="47"/>
      <c r="AV1110" s="47"/>
      <c r="AW1110" s="47"/>
      <c r="AX1110" s="47"/>
      <c r="AY1110" s="47"/>
      <c r="AZ1110" s="47"/>
      <c r="BA1110" s="47"/>
      <c r="BB1110" s="47"/>
      <c r="BC1110" s="47"/>
      <c r="BD1110" s="47"/>
      <c r="BE1110" s="47"/>
      <c r="BF1110" s="47"/>
    </row>
    <row r="1111" spans="3:58">
      <c r="C1111" s="47"/>
      <c r="D1111" s="47"/>
      <c r="E1111" s="47"/>
      <c r="F1111" s="47"/>
      <c r="G1111" s="47"/>
      <c r="H1111" s="47"/>
      <c r="I1111" s="47"/>
      <c r="J1111" s="47"/>
      <c r="K1111" s="47"/>
      <c r="L1111" s="47"/>
      <c r="M1111" s="47"/>
      <c r="N1111" s="47"/>
      <c r="O1111" s="47"/>
      <c r="P1111" s="47"/>
      <c r="Q1111" s="85"/>
      <c r="R1111" s="85"/>
      <c r="S1111" s="85"/>
      <c r="T1111" s="85"/>
      <c r="U1111" s="85"/>
      <c r="V1111" s="85"/>
      <c r="W1111" s="85"/>
      <c r="X1111" s="85"/>
      <c r="Y1111" s="85"/>
      <c r="Z1111" s="85"/>
      <c r="AA1111" s="85"/>
      <c r="AB1111" s="85"/>
      <c r="AC1111" s="85"/>
      <c r="AD1111" s="85"/>
      <c r="AE1111" s="47"/>
      <c r="AF1111" s="47"/>
      <c r="AG1111" s="47"/>
      <c r="AH1111" s="47"/>
      <c r="AI1111" s="47"/>
      <c r="AJ1111" s="47"/>
      <c r="AK1111" s="47"/>
      <c r="AL1111" s="47"/>
      <c r="AM1111" s="47"/>
      <c r="AN1111" s="47"/>
      <c r="AO1111" s="47"/>
      <c r="AP1111" s="47"/>
      <c r="AQ1111" s="47"/>
      <c r="AR1111" s="47"/>
      <c r="AS1111" s="47"/>
      <c r="AT1111" s="47"/>
      <c r="AU1111" s="47"/>
      <c r="AV1111" s="47"/>
      <c r="AW1111" s="47"/>
      <c r="AX1111" s="47"/>
      <c r="AY1111" s="47"/>
      <c r="AZ1111" s="47"/>
      <c r="BA1111" s="47"/>
      <c r="BB1111" s="47"/>
      <c r="BC1111" s="47"/>
      <c r="BD1111" s="47"/>
      <c r="BE1111" s="47"/>
      <c r="BF1111" s="47"/>
    </row>
    <row r="1112" spans="3:58">
      <c r="C1112" s="47"/>
      <c r="D1112" s="47"/>
      <c r="E1112" s="47"/>
      <c r="F1112" s="47"/>
      <c r="G1112" s="47"/>
      <c r="H1112" s="47"/>
      <c r="I1112" s="47"/>
      <c r="J1112" s="47"/>
      <c r="K1112" s="47"/>
      <c r="L1112" s="47"/>
      <c r="M1112" s="47"/>
      <c r="N1112" s="47"/>
      <c r="O1112" s="47"/>
      <c r="P1112" s="47"/>
      <c r="Q1112" s="85"/>
      <c r="R1112" s="85"/>
      <c r="S1112" s="85"/>
      <c r="T1112" s="85"/>
      <c r="U1112" s="85"/>
      <c r="V1112" s="85"/>
      <c r="W1112" s="85"/>
      <c r="X1112" s="85"/>
      <c r="Y1112" s="85"/>
      <c r="Z1112" s="85"/>
      <c r="AA1112" s="85"/>
      <c r="AB1112" s="85"/>
      <c r="AC1112" s="85"/>
      <c r="AD1112" s="85"/>
      <c r="AE1112" s="47"/>
      <c r="AF1112" s="47"/>
      <c r="AG1112" s="47"/>
      <c r="AH1112" s="47"/>
      <c r="AI1112" s="47"/>
      <c r="AJ1112" s="47"/>
      <c r="AK1112" s="47"/>
      <c r="AL1112" s="47"/>
      <c r="AM1112" s="47"/>
      <c r="AN1112" s="47"/>
      <c r="AO1112" s="47"/>
      <c r="AP1112" s="47"/>
      <c r="AQ1112" s="47"/>
      <c r="AR1112" s="47"/>
      <c r="AS1112" s="47"/>
      <c r="AT1112" s="47"/>
      <c r="AU1112" s="47"/>
      <c r="AV1112" s="47"/>
      <c r="AW1112" s="47"/>
      <c r="AX1112" s="47"/>
      <c r="AY1112" s="47"/>
      <c r="AZ1112" s="47"/>
      <c r="BA1112" s="47"/>
      <c r="BB1112" s="47"/>
      <c r="BC1112" s="47"/>
      <c r="BD1112" s="47"/>
      <c r="BE1112" s="47"/>
      <c r="BF1112" s="47"/>
    </row>
    <row r="1113" spans="3:58">
      <c r="C1113" s="47"/>
      <c r="D1113" s="47"/>
      <c r="E1113" s="47"/>
      <c r="F1113" s="47"/>
      <c r="G1113" s="47"/>
      <c r="H1113" s="47"/>
      <c r="I1113" s="47"/>
      <c r="J1113" s="47"/>
      <c r="K1113" s="47"/>
      <c r="L1113" s="47"/>
      <c r="M1113" s="47"/>
      <c r="N1113" s="47"/>
      <c r="O1113" s="47"/>
      <c r="P1113" s="47"/>
      <c r="Q1113" s="85"/>
      <c r="R1113" s="85"/>
      <c r="S1113" s="85"/>
      <c r="T1113" s="85"/>
      <c r="U1113" s="85"/>
      <c r="V1113" s="85"/>
      <c r="W1113" s="85"/>
      <c r="X1113" s="85"/>
      <c r="Y1113" s="85"/>
      <c r="Z1113" s="85"/>
      <c r="AA1113" s="85"/>
      <c r="AB1113" s="85"/>
      <c r="AC1113" s="85"/>
      <c r="AD1113" s="85"/>
      <c r="AE1113" s="47"/>
      <c r="AF1113" s="47"/>
      <c r="AG1113" s="47"/>
      <c r="AH1113" s="47"/>
      <c r="AI1113" s="47"/>
      <c r="AJ1113" s="47"/>
      <c r="AK1113" s="47"/>
      <c r="AL1113" s="47"/>
      <c r="AM1113" s="47"/>
      <c r="AN1113" s="47"/>
      <c r="AO1113" s="47"/>
      <c r="AP1113" s="47"/>
      <c r="AQ1113" s="47"/>
      <c r="AR1113" s="47"/>
      <c r="AS1113" s="47"/>
      <c r="AT1113" s="47"/>
      <c r="AU1113" s="47"/>
      <c r="AV1113" s="47"/>
      <c r="AW1113" s="47"/>
      <c r="AX1113" s="47"/>
      <c r="AY1113" s="47"/>
      <c r="AZ1113" s="47"/>
      <c r="BA1113" s="47"/>
      <c r="BB1113" s="47"/>
      <c r="BC1113" s="47"/>
      <c r="BD1113" s="47"/>
      <c r="BE1113" s="47"/>
      <c r="BF1113" s="47"/>
    </row>
    <row r="1114" spans="3:58">
      <c r="C1114" s="47"/>
      <c r="D1114" s="47"/>
      <c r="E1114" s="47"/>
      <c r="F1114" s="47"/>
      <c r="G1114" s="47"/>
      <c r="H1114" s="47"/>
      <c r="I1114" s="47"/>
      <c r="J1114" s="47"/>
      <c r="K1114" s="47"/>
      <c r="L1114" s="47"/>
      <c r="M1114" s="47"/>
      <c r="N1114" s="47"/>
      <c r="O1114" s="47"/>
      <c r="P1114" s="47"/>
      <c r="Q1114" s="85"/>
      <c r="R1114" s="85"/>
      <c r="S1114" s="85"/>
      <c r="T1114" s="85"/>
      <c r="U1114" s="85"/>
      <c r="V1114" s="85"/>
      <c r="W1114" s="85"/>
      <c r="X1114" s="85"/>
      <c r="Y1114" s="85"/>
      <c r="Z1114" s="85"/>
      <c r="AA1114" s="85"/>
      <c r="AB1114" s="85"/>
      <c r="AC1114" s="85"/>
      <c r="AD1114" s="85"/>
      <c r="AE1114" s="47"/>
      <c r="AF1114" s="47"/>
      <c r="AG1114" s="47"/>
      <c r="AH1114" s="47"/>
      <c r="AI1114" s="47"/>
      <c r="AJ1114" s="47"/>
      <c r="AK1114" s="47"/>
      <c r="AL1114" s="47"/>
      <c r="AM1114" s="47"/>
      <c r="AN1114" s="47"/>
      <c r="AO1114" s="47"/>
      <c r="AP1114" s="47"/>
      <c r="AQ1114" s="47"/>
      <c r="AR1114" s="47"/>
      <c r="AS1114" s="47"/>
      <c r="AT1114" s="47"/>
      <c r="AU1114" s="47"/>
      <c r="AV1114" s="47"/>
      <c r="AW1114" s="47"/>
      <c r="AX1114" s="47"/>
      <c r="AY1114" s="47"/>
      <c r="AZ1114" s="47"/>
      <c r="BA1114" s="47"/>
      <c r="BB1114" s="47"/>
      <c r="BC1114" s="47"/>
      <c r="BD1114" s="47"/>
      <c r="BE1114" s="47"/>
      <c r="BF1114" s="47"/>
    </row>
    <row r="1115" spans="3:58">
      <c r="C1115" s="47"/>
      <c r="D1115" s="47"/>
      <c r="E1115" s="47"/>
      <c r="F1115" s="47"/>
      <c r="G1115" s="47"/>
      <c r="H1115" s="47"/>
      <c r="I1115" s="47"/>
      <c r="J1115" s="47"/>
      <c r="K1115" s="47"/>
      <c r="L1115" s="47"/>
      <c r="M1115" s="47"/>
      <c r="N1115" s="47"/>
      <c r="O1115" s="47"/>
      <c r="P1115" s="47"/>
      <c r="Q1115" s="85"/>
      <c r="R1115" s="85"/>
      <c r="S1115" s="85"/>
      <c r="T1115" s="85"/>
      <c r="U1115" s="85"/>
      <c r="V1115" s="85"/>
      <c r="W1115" s="85"/>
      <c r="X1115" s="85"/>
      <c r="Y1115" s="85"/>
      <c r="Z1115" s="85"/>
      <c r="AA1115" s="85"/>
      <c r="AB1115" s="85"/>
      <c r="AC1115" s="85"/>
      <c r="AD1115" s="85"/>
      <c r="AE1115" s="47"/>
      <c r="AF1115" s="47"/>
      <c r="AG1115" s="47"/>
      <c r="AH1115" s="47"/>
      <c r="AI1115" s="47"/>
      <c r="AJ1115" s="47"/>
      <c r="AK1115" s="47"/>
      <c r="AL1115" s="47"/>
      <c r="AM1115" s="47"/>
      <c r="AN1115" s="47"/>
      <c r="AO1115" s="47"/>
      <c r="AP1115" s="47"/>
      <c r="AQ1115" s="47"/>
      <c r="AR1115" s="47"/>
      <c r="AS1115" s="47"/>
      <c r="AT1115" s="47"/>
      <c r="AU1115" s="47"/>
      <c r="AV1115" s="47"/>
      <c r="AW1115" s="47"/>
      <c r="AX1115" s="47"/>
      <c r="AY1115" s="47"/>
      <c r="AZ1115" s="47"/>
      <c r="BA1115" s="47"/>
      <c r="BB1115" s="47"/>
      <c r="BC1115" s="47"/>
      <c r="BD1115" s="47"/>
      <c r="BE1115" s="47"/>
      <c r="BF1115" s="47"/>
    </row>
    <row r="1116" spans="3:58">
      <c r="C1116" s="47"/>
      <c r="D1116" s="47"/>
      <c r="E1116" s="47"/>
      <c r="F1116" s="47"/>
      <c r="G1116" s="47"/>
      <c r="H1116" s="47"/>
      <c r="I1116" s="47"/>
      <c r="J1116" s="47"/>
      <c r="K1116" s="47"/>
      <c r="L1116" s="47"/>
      <c r="M1116" s="47"/>
      <c r="N1116" s="47"/>
      <c r="O1116" s="47"/>
      <c r="P1116" s="47"/>
      <c r="Q1116" s="85"/>
      <c r="R1116" s="85"/>
      <c r="S1116" s="85"/>
      <c r="T1116" s="85"/>
      <c r="U1116" s="85"/>
      <c r="V1116" s="85"/>
      <c r="W1116" s="85"/>
      <c r="X1116" s="85"/>
      <c r="Y1116" s="85"/>
      <c r="Z1116" s="85"/>
      <c r="AA1116" s="85"/>
      <c r="AB1116" s="85"/>
      <c r="AC1116" s="85"/>
      <c r="AD1116" s="85"/>
      <c r="AE1116" s="47"/>
      <c r="AF1116" s="47"/>
      <c r="AG1116" s="47"/>
      <c r="AH1116" s="47"/>
      <c r="AI1116" s="47"/>
      <c r="AJ1116" s="47"/>
      <c r="AK1116" s="47"/>
      <c r="AL1116" s="47"/>
      <c r="AM1116" s="47"/>
      <c r="AN1116" s="47"/>
      <c r="AO1116" s="47"/>
      <c r="AP1116" s="47"/>
      <c r="AQ1116" s="47"/>
      <c r="AR1116" s="47"/>
      <c r="AS1116" s="47"/>
      <c r="AT1116" s="47"/>
      <c r="AU1116" s="47"/>
      <c r="AV1116" s="47"/>
      <c r="AW1116" s="47"/>
      <c r="AX1116" s="47"/>
      <c r="AY1116" s="47"/>
      <c r="AZ1116" s="47"/>
      <c r="BA1116" s="47"/>
      <c r="BB1116" s="47"/>
      <c r="BC1116" s="47"/>
      <c r="BD1116" s="47"/>
      <c r="BE1116" s="47"/>
      <c r="BF1116" s="47"/>
    </row>
    <row r="1117" spans="3:58">
      <c r="C1117" s="47"/>
      <c r="D1117" s="47"/>
      <c r="E1117" s="47"/>
      <c r="F1117" s="47"/>
      <c r="G1117" s="47"/>
      <c r="H1117" s="47"/>
      <c r="I1117" s="47"/>
      <c r="J1117" s="47"/>
      <c r="K1117" s="47"/>
      <c r="L1117" s="47"/>
      <c r="M1117" s="47"/>
      <c r="N1117" s="47"/>
      <c r="O1117" s="47"/>
      <c r="P1117" s="47"/>
      <c r="Q1117" s="85"/>
      <c r="R1117" s="85"/>
      <c r="S1117" s="85"/>
      <c r="T1117" s="85"/>
      <c r="U1117" s="85"/>
      <c r="V1117" s="85"/>
      <c r="W1117" s="85"/>
      <c r="X1117" s="85"/>
      <c r="Y1117" s="85"/>
      <c r="Z1117" s="85"/>
      <c r="AA1117" s="85"/>
      <c r="AB1117" s="85"/>
      <c r="AC1117" s="85"/>
      <c r="AD1117" s="85"/>
      <c r="AE1117" s="47"/>
      <c r="AF1117" s="47"/>
      <c r="AG1117" s="47"/>
      <c r="AH1117" s="47"/>
      <c r="AI1117" s="47"/>
      <c r="AJ1117" s="47"/>
      <c r="AK1117" s="47"/>
      <c r="AL1117" s="47"/>
      <c r="AM1117" s="47"/>
      <c r="AN1117" s="47"/>
      <c r="AO1117" s="47"/>
      <c r="AP1117" s="47"/>
      <c r="AQ1117" s="47"/>
      <c r="AR1117" s="47"/>
      <c r="AS1117" s="47"/>
      <c r="AT1117" s="47"/>
      <c r="AU1117" s="47"/>
      <c r="AV1117" s="47"/>
      <c r="AW1117" s="47"/>
      <c r="AX1117" s="47"/>
      <c r="AY1117" s="47"/>
      <c r="AZ1117" s="47"/>
      <c r="BA1117" s="47"/>
      <c r="BB1117" s="47"/>
      <c r="BC1117" s="47"/>
      <c r="BD1117" s="47"/>
      <c r="BE1117" s="47"/>
      <c r="BF1117" s="47"/>
    </row>
    <row r="1118" spans="3:58">
      <c r="C1118" s="47"/>
      <c r="D1118" s="47"/>
      <c r="E1118" s="47"/>
      <c r="F1118" s="47"/>
      <c r="G1118" s="47"/>
      <c r="H1118" s="47"/>
      <c r="I1118" s="47"/>
      <c r="J1118" s="47"/>
      <c r="K1118" s="47"/>
      <c r="L1118" s="47"/>
      <c r="M1118" s="47"/>
      <c r="N1118" s="47"/>
      <c r="O1118" s="47"/>
      <c r="P1118" s="47"/>
      <c r="Q1118" s="85"/>
      <c r="R1118" s="85"/>
      <c r="S1118" s="85"/>
      <c r="T1118" s="85"/>
      <c r="U1118" s="85"/>
      <c r="V1118" s="85"/>
      <c r="W1118" s="85"/>
      <c r="X1118" s="85"/>
      <c r="Y1118" s="85"/>
      <c r="Z1118" s="85"/>
      <c r="AA1118" s="85"/>
      <c r="AB1118" s="85"/>
      <c r="AC1118" s="85"/>
      <c r="AD1118" s="85"/>
      <c r="AE1118" s="47"/>
      <c r="AF1118" s="47"/>
      <c r="AG1118" s="47"/>
      <c r="AH1118" s="47"/>
      <c r="AI1118" s="47"/>
      <c r="AJ1118" s="47"/>
      <c r="AK1118" s="47"/>
      <c r="AL1118" s="47"/>
      <c r="AM1118" s="47"/>
      <c r="AN1118" s="47"/>
      <c r="AO1118" s="47"/>
      <c r="AP1118" s="47"/>
      <c r="AQ1118" s="47"/>
      <c r="AR1118" s="47"/>
      <c r="AS1118" s="47"/>
      <c r="AT1118" s="47"/>
      <c r="AU1118" s="47"/>
      <c r="AV1118" s="47"/>
      <c r="AW1118" s="47"/>
      <c r="AX1118" s="47"/>
      <c r="AY1118" s="47"/>
      <c r="AZ1118" s="47"/>
      <c r="BA1118" s="47"/>
      <c r="BB1118" s="47"/>
      <c r="BC1118" s="47"/>
      <c r="BD1118" s="47"/>
      <c r="BE1118" s="47"/>
      <c r="BF1118" s="47"/>
    </row>
    <row r="1119" spans="3:58">
      <c r="C1119" s="47"/>
      <c r="D1119" s="47"/>
      <c r="E1119" s="47"/>
      <c r="F1119" s="47"/>
      <c r="G1119" s="47"/>
      <c r="H1119" s="47"/>
      <c r="I1119" s="47"/>
      <c r="J1119" s="47"/>
      <c r="K1119" s="47"/>
      <c r="L1119" s="47"/>
      <c r="M1119" s="47"/>
      <c r="N1119" s="47"/>
      <c r="O1119" s="47"/>
      <c r="P1119" s="47"/>
      <c r="Q1119" s="85"/>
      <c r="R1119" s="85"/>
      <c r="S1119" s="85"/>
      <c r="T1119" s="85"/>
      <c r="U1119" s="85"/>
      <c r="V1119" s="85"/>
      <c r="W1119" s="85"/>
      <c r="X1119" s="85"/>
      <c r="Y1119" s="85"/>
      <c r="Z1119" s="85"/>
      <c r="AA1119" s="85"/>
      <c r="AB1119" s="85"/>
      <c r="AC1119" s="85"/>
      <c r="AD1119" s="85"/>
      <c r="AE1119" s="47"/>
      <c r="AF1119" s="47"/>
      <c r="AG1119" s="47"/>
      <c r="AH1119" s="47"/>
      <c r="AI1119" s="47"/>
      <c r="AJ1119" s="47"/>
      <c r="AK1119" s="47"/>
      <c r="AL1119" s="47"/>
      <c r="AM1119" s="47"/>
      <c r="AN1119" s="47"/>
      <c r="AO1119" s="47"/>
      <c r="AP1119" s="47"/>
      <c r="AQ1119" s="47"/>
      <c r="AR1119" s="47"/>
      <c r="AS1119" s="47"/>
      <c r="AT1119" s="47"/>
      <c r="AU1119" s="47"/>
      <c r="AV1119" s="47"/>
      <c r="AW1119" s="47"/>
      <c r="AX1119" s="47"/>
      <c r="AY1119" s="47"/>
      <c r="AZ1119" s="47"/>
      <c r="BA1119" s="47"/>
      <c r="BB1119" s="47"/>
      <c r="BC1119" s="47"/>
      <c r="BD1119" s="47"/>
      <c r="BE1119" s="47"/>
      <c r="BF1119" s="47"/>
    </row>
    <row r="1120" spans="3:58">
      <c r="C1120" s="47"/>
      <c r="D1120" s="47"/>
      <c r="E1120" s="47"/>
      <c r="F1120" s="47"/>
      <c r="G1120" s="47"/>
      <c r="H1120" s="47"/>
      <c r="I1120" s="47"/>
      <c r="J1120" s="47"/>
      <c r="K1120" s="47"/>
      <c r="L1120" s="47"/>
      <c r="M1120" s="47"/>
      <c r="N1120" s="47"/>
      <c r="O1120" s="47"/>
      <c r="P1120" s="47"/>
      <c r="Q1120" s="85"/>
      <c r="R1120" s="85"/>
      <c r="S1120" s="85"/>
      <c r="T1120" s="85"/>
      <c r="U1120" s="85"/>
      <c r="V1120" s="85"/>
      <c r="W1120" s="85"/>
      <c r="X1120" s="85"/>
      <c r="Y1120" s="85"/>
      <c r="Z1120" s="85"/>
      <c r="AA1120" s="85"/>
      <c r="AB1120" s="85"/>
      <c r="AC1120" s="85"/>
      <c r="AD1120" s="85"/>
      <c r="AE1120" s="47"/>
      <c r="AF1120" s="47"/>
      <c r="AG1120" s="47"/>
      <c r="AH1120" s="47"/>
      <c r="AI1120" s="47"/>
      <c r="AJ1120" s="47"/>
      <c r="AK1120" s="47"/>
      <c r="AL1120" s="47"/>
      <c r="AM1120" s="47"/>
      <c r="AN1120" s="47"/>
      <c r="AO1120" s="47"/>
      <c r="AP1120" s="47"/>
      <c r="AQ1120" s="47"/>
      <c r="AR1120" s="47"/>
      <c r="AS1120" s="47"/>
      <c r="AT1120" s="47"/>
      <c r="AU1120" s="47"/>
      <c r="AV1120" s="47"/>
      <c r="AW1120" s="47"/>
      <c r="AX1120" s="47"/>
      <c r="AY1120" s="47"/>
      <c r="AZ1120" s="47"/>
      <c r="BA1120" s="47"/>
      <c r="BB1120" s="47"/>
      <c r="BC1120" s="47"/>
      <c r="BD1120" s="47"/>
      <c r="BE1120" s="47"/>
      <c r="BF1120" s="47"/>
    </row>
    <row r="1121" spans="3:58">
      <c r="C1121" s="47"/>
      <c r="D1121" s="47"/>
      <c r="E1121" s="47"/>
      <c r="F1121" s="47"/>
      <c r="G1121" s="47"/>
      <c r="H1121" s="47"/>
      <c r="I1121" s="47"/>
      <c r="J1121" s="47"/>
      <c r="K1121" s="47"/>
      <c r="L1121" s="47"/>
      <c r="M1121" s="47"/>
      <c r="N1121" s="47"/>
      <c r="O1121" s="47"/>
      <c r="P1121" s="47"/>
      <c r="Q1121" s="85"/>
      <c r="R1121" s="85"/>
      <c r="S1121" s="85"/>
      <c r="T1121" s="85"/>
      <c r="U1121" s="85"/>
      <c r="V1121" s="85"/>
      <c r="W1121" s="85"/>
      <c r="X1121" s="85"/>
      <c r="Y1121" s="85"/>
      <c r="Z1121" s="85"/>
      <c r="AA1121" s="85"/>
      <c r="AB1121" s="85"/>
      <c r="AC1121" s="85"/>
      <c r="AD1121" s="85"/>
      <c r="AE1121" s="47"/>
      <c r="AF1121" s="47"/>
      <c r="AG1121" s="47"/>
      <c r="AH1121" s="47"/>
      <c r="AI1121" s="47"/>
      <c r="AJ1121" s="47"/>
      <c r="AK1121" s="47"/>
      <c r="AL1121" s="47"/>
      <c r="AM1121" s="47"/>
      <c r="AN1121" s="47"/>
      <c r="AO1121" s="47"/>
      <c r="AP1121" s="47"/>
      <c r="AQ1121" s="47"/>
      <c r="AR1121" s="47"/>
      <c r="AS1121" s="47"/>
      <c r="AT1121" s="47"/>
      <c r="AU1121" s="47"/>
      <c r="AV1121" s="47"/>
      <c r="AW1121" s="47"/>
      <c r="AX1121" s="47"/>
      <c r="AY1121" s="47"/>
      <c r="AZ1121" s="47"/>
      <c r="BA1121" s="47"/>
      <c r="BB1121" s="47"/>
      <c r="BC1121" s="47"/>
      <c r="BD1121" s="47"/>
      <c r="BE1121" s="47"/>
      <c r="BF1121" s="47"/>
    </row>
    <row r="1122" spans="3:58">
      <c r="C1122" s="47"/>
      <c r="D1122" s="47"/>
      <c r="E1122" s="47"/>
      <c r="F1122" s="47"/>
      <c r="G1122" s="47"/>
      <c r="H1122" s="47"/>
      <c r="I1122" s="47"/>
      <c r="J1122" s="47"/>
      <c r="K1122" s="47"/>
      <c r="L1122" s="47"/>
      <c r="M1122" s="47"/>
      <c r="N1122" s="47"/>
      <c r="O1122" s="47"/>
      <c r="P1122" s="47"/>
      <c r="Q1122" s="85"/>
      <c r="R1122" s="85"/>
      <c r="S1122" s="85"/>
      <c r="T1122" s="85"/>
      <c r="U1122" s="85"/>
      <c r="V1122" s="85"/>
      <c r="W1122" s="85"/>
      <c r="X1122" s="85"/>
      <c r="Y1122" s="85"/>
      <c r="Z1122" s="85"/>
      <c r="AA1122" s="85"/>
      <c r="AB1122" s="85"/>
      <c r="AC1122" s="85"/>
      <c r="AD1122" s="85"/>
      <c r="AE1122" s="47"/>
      <c r="AF1122" s="47"/>
      <c r="AG1122" s="47"/>
      <c r="AH1122" s="47"/>
      <c r="AI1122" s="47"/>
      <c r="AJ1122" s="47"/>
      <c r="AK1122" s="47"/>
      <c r="AL1122" s="47"/>
      <c r="AM1122" s="47"/>
      <c r="AN1122" s="47"/>
      <c r="AO1122" s="47"/>
      <c r="AP1122" s="47"/>
      <c r="AQ1122" s="47"/>
      <c r="AR1122" s="47"/>
      <c r="AS1122" s="47"/>
      <c r="AT1122" s="47"/>
      <c r="AU1122" s="47"/>
      <c r="AV1122" s="47"/>
      <c r="AW1122" s="47"/>
      <c r="AX1122" s="47"/>
      <c r="AY1122" s="47"/>
      <c r="AZ1122" s="47"/>
      <c r="BA1122" s="47"/>
      <c r="BB1122" s="47"/>
      <c r="BC1122" s="47"/>
      <c r="BD1122" s="47"/>
      <c r="BE1122" s="47"/>
      <c r="BF1122" s="47"/>
    </row>
    <row r="1123" spans="3:58">
      <c r="C1123" s="47"/>
      <c r="D1123" s="47"/>
      <c r="E1123" s="47"/>
      <c r="F1123" s="47"/>
      <c r="G1123" s="47"/>
      <c r="H1123" s="47"/>
      <c r="I1123" s="47"/>
      <c r="J1123" s="47"/>
      <c r="K1123" s="47"/>
      <c r="L1123" s="47"/>
      <c r="M1123" s="47"/>
      <c r="N1123" s="47"/>
      <c r="O1123" s="47"/>
      <c r="P1123" s="47"/>
      <c r="Q1123" s="85"/>
      <c r="R1123" s="85"/>
      <c r="S1123" s="85"/>
      <c r="T1123" s="85"/>
      <c r="U1123" s="85"/>
      <c r="V1123" s="85"/>
      <c r="W1123" s="85"/>
      <c r="X1123" s="85"/>
      <c r="Y1123" s="85"/>
      <c r="Z1123" s="85"/>
      <c r="AA1123" s="85"/>
      <c r="AB1123" s="85"/>
      <c r="AC1123" s="85"/>
      <c r="AD1123" s="85"/>
      <c r="AE1123" s="47"/>
      <c r="AF1123" s="47"/>
      <c r="AG1123" s="47"/>
      <c r="AH1123" s="47"/>
      <c r="AI1123" s="47"/>
      <c r="AJ1123" s="47"/>
      <c r="AK1123" s="47"/>
      <c r="AL1123" s="47"/>
      <c r="AM1123" s="47"/>
      <c r="AN1123" s="47"/>
      <c r="AO1123" s="47"/>
      <c r="AP1123" s="47"/>
      <c r="AQ1123" s="47"/>
      <c r="AR1123" s="47"/>
      <c r="AS1123" s="47"/>
      <c r="AT1123" s="47"/>
      <c r="AU1123" s="47"/>
      <c r="AV1123" s="47"/>
      <c r="AW1123" s="47"/>
      <c r="AX1123" s="47"/>
      <c r="AY1123" s="47"/>
      <c r="AZ1123" s="47"/>
      <c r="BA1123" s="47"/>
      <c r="BB1123" s="47"/>
      <c r="BC1123" s="47"/>
      <c r="BD1123" s="47"/>
      <c r="BE1123" s="47"/>
      <c r="BF1123" s="47"/>
    </row>
    <row r="1124" spans="3:58">
      <c r="C1124" s="47"/>
      <c r="D1124" s="47"/>
      <c r="E1124" s="47"/>
      <c r="F1124" s="47"/>
      <c r="G1124" s="47"/>
      <c r="H1124" s="47"/>
      <c r="I1124" s="47"/>
      <c r="J1124" s="47"/>
      <c r="K1124" s="47"/>
      <c r="L1124" s="47"/>
      <c r="M1124" s="47"/>
      <c r="N1124" s="47"/>
      <c r="O1124" s="47"/>
      <c r="P1124" s="47"/>
      <c r="Q1124" s="85"/>
      <c r="R1124" s="85"/>
      <c r="S1124" s="85"/>
      <c r="T1124" s="85"/>
      <c r="U1124" s="85"/>
      <c r="V1124" s="85"/>
      <c r="W1124" s="85"/>
      <c r="X1124" s="85"/>
      <c r="Y1124" s="85"/>
      <c r="Z1124" s="85"/>
      <c r="AA1124" s="85"/>
      <c r="AB1124" s="85"/>
      <c r="AC1124" s="85"/>
      <c r="AD1124" s="85"/>
      <c r="AE1124" s="47"/>
      <c r="AF1124" s="47"/>
      <c r="AG1124" s="47"/>
      <c r="AH1124" s="47"/>
      <c r="AI1124" s="47"/>
      <c r="AJ1124" s="47"/>
      <c r="AK1124" s="47"/>
      <c r="AL1124" s="47"/>
      <c r="AM1124" s="47"/>
      <c r="AN1124" s="47"/>
      <c r="AO1124" s="47"/>
      <c r="AP1124" s="47"/>
      <c r="AQ1124" s="47"/>
      <c r="AR1124" s="47"/>
      <c r="AS1124" s="47"/>
      <c r="AT1124" s="47"/>
      <c r="AU1124" s="47"/>
      <c r="AV1124" s="47"/>
      <c r="AW1124" s="47"/>
      <c r="AX1124" s="47"/>
      <c r="AY1124" s="47"/>
      <c r="AZ1124" s="47"/>
      <c r="BA1124" s="47"/>
      <c r="BB1124" s="47"/>
      <c r="BC1124" s="47"/>
      <c r="BD1124" s="47"/>
      <c r="BE1124" s="47"/>
      <c r="BF1124" s="47"/>
    </row>
    <row r="1125" spans="3:58">
      <c r="C1125" s="47"/>
      <c r="D1125" s="47"/>
      <c r="E1125" s="47"/>
      <c r="F1125" s="47"/>
      <c r="G1125" s="47"/>
      <c r="H1125" s="47"/>
      <c r="I1125" s="47"/>
      <c r="J1125" s="47"/>
      <c r="K1125" s="47"/>
      <c r="L1125" s="47"/>
      <c r="M1125" s="47"/>
      <c r="N1125" s="47"/>
      <c r="O1125" s="47"/>
      <c r="P1125" s="47"/>
      <c r="Q1125" s="85"/>
      <c r="R1125" s="85"/>
      <c r="S1125" s="85"/>
      <c r="T1125" s="85"/>
      <c r="U1125" s="85"/>
      <c r="V1125" s="85"/>
      <c r="W1125" s="85"/>
      <c r="X1125" s="85"/>
      <c r="Y1125" s="85"/>
      <c r="Z1125" s="85"/>
      <c r="AA1125" s="85"/>
      <c r="AB1125" s="85"/>
      <c r="AC1125" s="85"/>
      <c r="AD1125" s="85"/>
      <c r="AE1125" s="47"/>
      <c r="AF1125" s="47"/>
      <c r="AG1125" s="47"/>
      <c r="AH1125" s="47"/>
      <c r="AI1125" s="47"/>
      <c r="AJ1125" s="47"/>
      <c r="AK1125" s="47"/>
      <c r="AL1125" s="47"/>
      <c r="AM1125" s="47"/>
      <c r="AN1125" s="47"/>
      <c r="AO1125" s="47"/>
      <c r="AP1125" s="47"/>
      <c r="AQ1125" s="47"/>
      <c r="AR1125" s="47"/>
      <c r="AS1125" s="47"/>
      <c r="AT1125" s="47"/>
      <c r="AU1125" s="47"/>
      <c r="AV1125" s="47"/>
      <c r="AW1125" s="47"/>
      <c r="AX1125" s="47"/>
      <c r="AY1125" s="47"/>
      <c r="AZ1125" s="47"/>
      <c r="BA1125" s="47"/>
      <c r="BB1125" s="47"/>
      <c r="BC1125" s="47"/>
      <c r="BD1125" s="47"/>
      <c r="BE1125" s="47"/>
      <c r="BF1125" s="47"/>
    </row>
    <row r="1126" spans="3:58">
      <c r="C1126" s="47"/>
      <c r="D1126" s="47"/>
      <c r="E1126" s="47"/>
      <c r="F1126" s="47"/>
      <c r="G1126" s="47"/>
      <c r="H1126" s="47"/>
      <c r="I1126" s="47"/>
      <c r="J1126" s="47"/>
      <c r="K1126" s="47"/>
      <c r="L1126" s="47"/>
      <c r="M1126" s="47"/>
      <c r="N1126" s="47"/>
      <c r="O1126" s="47"/>
      <c r="P1126" s="47"/>
      <c r="Q1126" s="85"/>
      <c r="R1126" s="85"/>
      <c r="S1126" s="85"/>
      <c r="T1126" s="85"/>
      <c r="U1126" s="85"/>
      <c r="V1126" s="85"/>
      <c r="W1126" s="85"/>
      <c r="X1126" s="85"/>
      <c r="Y1126" s="85"/>
      <c r="Z1126" s="85"/>
      <c r="AA1126" s="85"/>
      <c r="AB1126" s="85"/>
      <c r="AC1126" s="85"/>
      <c r="AD1126" s="85"/>
      <c r="AE1126" s="47"/>
      <c r="AF1126" s="47"/>
      <c r="AG1126" s="47"/>
      <c r="AH1126" s="47"/>
      <c r="AI1126" s="47"/>
      <c r="AJ1126" s="47"/>
      <c r="AK1126" s="47"/>
      <c r="AL1126" s="47"/>
      <c r="AM1126" s="47"/>
      <c r="AN1126" s="47"/>
      <c r="AO1126" s="47"/>
      <c r="AP1126" s="47"/>
      <c r="AQ1126" s="47"/>
      <c r="AR1126" s="47"/>
      <c r="AS1126" s="47"/>
      <c r="AT1126" s="47"/>
      <c r="AU1126" s="47"/>
      <c r="AV1126" s="47"/>
      <c r="AW1126" s="47"/>
      <c r="AX1126" s="47"/>
      <c r="AY1126" s="47"/>
      <c r="AZ1126" s="47"/>
      <c r="BA1126" s="47"/>
      <c r="BB1126" s="47"/>
      <c r="BC1126" s="47"/>
      <c r="BD1126" s="47"/>
      <c r="BE1126" s="47"/>
      <c r="BF1126" s="47"/>
    </row>
    <row r="1127" spans="3:58">
      <c r="C1127" s="47"/>
      <c r="D1127" s="47"/>
      <c r="E1127" s="47"/>
      <c r="F1127" s="47"/>
      <c r="G1127" s="47"/>
      <c r="H1127" s="47"/>
      <c r="I1127" s="47"/>
      <c r="J1127" s="47"/>
      <c r="K1127" s="47"/>
      <c r="L1127" s="47"/>
      <c r="M1127" s="47"/>
      <c r="N1127" s="47"/>
      <c r="O1127" s="47"/>
      <c r="P1127" s="47"/>
      <c r="Q1127" s="85"/>
      <c r="R1127" s="85"/>
      <c r="S1127" s="85"/>
      <c r="T1127" s="85"/>
      <c r="U1127" s="85"/>
      <c r="V1127" s="85"/>
      <c r="W1127" s="85"/>
      <c r="X1127" s="85"/>
      <c r="Y1127" s="85"/>
      <c r="Z1127" s="85"/>
      <c r="AA1127" s="85"/>
      <c r="AB1127" s="85"/>
      <c r="AC1127" s="85"/>
      <c r="AD1127" s="85"/>
      <c r="AE1127" s="47"/>
      <c r="AF1127" s="47"/>
      <c r="AG1127" s="47"/>
      <c r="AH1127" s="47"/>
      <c r="AI1127" s="47"/>
      <c r="AJ1127" s="47"/>
      <c r="AK1127" s="47"/>
      <c r="AL1127" s="47"/>
      <c r="AM1127" s="47"/>
      <c r="AN1127" s="47"/>
      <c r="AO1127" s="47"/>
      <c r="AP1127" s="47"/>
      <c r="AQ1127" s="47"/>
      <c r="AR1127" s="47"/>
      <c r="AS1127" s="47"/>
      <c r="AT1127" s="47"/>
      <c r="AU1127" s="47"/>
      <c r="AV1127" s="47"/>
      <c r="AW1127" s="47"/>
      <c r="AX1127" s="47"/>
      <c r="AY1127" s="47"/>
      <c r="AZ1127" s="47"/>
      <c r="BA1127" s="47"/>
      <c r="BB1127" s="47"/>
      <c r="BC1127" s="47"/>
      <c r="BD1127" s="47"/>
      <c r="BE1127" s="47"/>
      <c r="BF1127" s="47"/>
    </row>
    <row r="1128" spans="3:58">
      <c r="C1128" s="47"/>
      <c r="D1128" s="47"/>
      <c r="E1128" s="47"/>
      <c r="F1128" s="47"/>
      <c r="G1128" s="47"/>
      <c r="H1128" s="47"/>
      <c r="I1128" s="47"/>
      <c r="J1128" s="47"/>
      <c r="K1128" s="47"/>
      <c r="L1128" s="47"/>
      <c r="M1128" s="47"/>
      <c r="N1128" s="47"/>
      <c r="O1128" s="47"/>
      <c r="P1128" s="47"/>
      <c r="Q1128" s="85"/>
      <c r="R1128" s="85"/>
      <c r="S1128" s="85"/>
      <c r="T1128" s="85"/>
      <c r="U1128" s="85"/>
      <c r="V1128" s="85"/>
      <c r="W1128" s="85"/>
      <c r="X1128" s="85"/>
      <c r="Y1128" s="85"/>
      <c r="Z1128" s="85"/>
      <c r="AA1128" s="85"/>
      <c r="AB1128" s="85"/>
      <c r="AC1128" s="85"/>
      <c r="AD1128" s="85"/>
      <c r="AE1128" s="47"/>
      <c r="AF1128" s="47"/>
      <c r="AG1128" s="47"/>
      <c r="AH1128" s="47"/>
      <c r="AI1128" s="47"/>
      <c r="AJ1128" s="47"/>
      <c r="AK1128" s="47"/>
      <c r="AL1128" s="47"/>
      <c r="AM1128" s="47"/>
      <c r="AN1128" s="47"/>
      <c r="AO1128" s="47"/>
      <c r="AP1128" s="47"/>
      <c r="AQ1128" s="47"/>
      <c r="AR1128" s="47"/>
      <c r="AS1128" s="47"/>
      <c r="AT1128" s="47"/>
      <c r="AU1128" s="47"/>
      <c r="AV1128" s="47"/>
      <c r="AW1128" s="47"/>
      <c r="AX1128" s="47"/>
      <c r="AY1128" s="47"/>
      <c r="AZ1128" s="47"/>
      <c r="BA1128" s="47"/>
      <c r="BB1128" s="47"/>
      <c r="BC1128" s="47"/>
      <c r="BD1128" s="47"/>
      <c r="BE1128" s="47"/>
      <c r="BF1128" s="47"/>
    </row>
    <row r="1129" spans="3:58">
      <c r="C1129" s="47"/>
      <c r="D1129" s="47"/>
      <c r="E1129" s="47"/>
      <c r="F1129" s="47"/>
      <c r="G1129" s="47"/>
      <c r="H1129" s="47"/>
      <c r="I1129" s="47"/>
      <c r="J1129" s="47"/>
      <c r="K1129" s="47"/>
      <c r="L1129" s="47"/>
      <c r="M1129" s="47"/>
      <c r="N1129" s="47"/>
      <c r="O1129" s="47"/>
      <c r="P1129" s="47"/>
      <c r="Q1129" s="85"/>
      <c r="R1129" s="85"/>
      <c r="S1129" s="85"/>
      <c r="T1129" s="85"/>
      <c r="U1129" s="85"/>
      <c r="V1129" s="85"/>
      <c r="W1129" s="85"/>
      <c r="X1129" s="85"/>
      <c r="Y1129" s="85"/>
      <c r="Z1129" s="85"/>
      <c r="AA1129" s="85"/>
      <c r="AB1129" s="85"/>
      <c r="AC1129" s="85"/>
      <c r="AD1129" s="85"/>
      <c r="AE1129" s="47"/>
      <c r="AF1129" s="47"/>
      <c r="AG1129" s="47"/>
      <c r="AH1129" s="47"/>
      <c r="AI1129" s="47"/>
      <c r="AJ1129" s="47"/>
      <c r="AK1129" s="47"/>
      <c r="AL1129" s="47"/>
      <c r="AM1129" s="47"/>
      <c r="AN1129" s="47"/>
      <c r="AO1129" s="47"/>
      <c r="AP1129" s="47"/>
      <c r="AQ1129" s="47"/>
      <c r="AR1129" s="47"/>
      <c r="AS1129" s="47"/>
      <c r="AT1129" s="47"/>
      <c r="AU1129" s="47"/>
      <c r="AV1129" s="47"/>
      <c r="AW1129" s="47"/>
      <c r="AX1129" s="47"/>
      <c r="AY1129" s="47"/>
      <c r="AZ1129" s="47"/>
      <c r="BA1129" s="47"/>
      <c r="BB1129" s="47"/>
      <c r="BC1129" s="47"/>
      <c r="BD1129" s="47"/>
      <c r="BE1129" s="47"/>
      <c r="BF1129" s="47"/>
    </row>
    <row r="1130" spans="3:58">
      <c r="C1130" s="47"/>
      <c r="D1130" s="47"/>
      <c r="E1130" s="47"/>
      <c r="F1130" s="47"/>
      <c r="G1130" s="47"/>
      <c r="H1130" s="47"/>
      <c r="I1130" s="47"/>
      <c r="J1130" s="47"/>
      <c r="K1130" s="47"/>
      <c r="L1130" s="47"/>
      <c r="M1130" s="47"/>
      <c r="N1130" s="47"/>
      <c r="O1130" s="47"/>
      <c r="P1130" s="47"/>
      <c r="Q1130" s="85"/>
      <c r="R1130" s="85"/>
      <c r="S1130" s="85"/>
      <c r="T1130" s="85"/>
      <c r="U1130" s="85"/>
      <c r="V1130" s="85"/>
      <c r="W1130" s="85"/>
      <c r="X1130" s="85"/>
      <c r="Y1130" s="85"/>
      <c r="Z1130" s="85"/>
      <c r="AA1130" s="85"/>
      <c r="AB1130" s="85"/>
      <c r="AC1130" s="85"/>
      <c r="AD1130" s="85"/>
      <c r="AE1130" s="47"/>
      <c r="AF1130" s="47"/>
      <c r="AG1130" s="47"/>
      <c r="AH1130" s="47"/>
      <c r="AI1130" s="47"/>
      <c r="AJ1130" s="47"/>
      <c r="AK1130" s="47"/>
      <c r="AL1130" s="47"/>
      <c r="AM1130" s="47"/>
      <c r="AN1130" s="47"/>
      <c r="AO1130" s="47"/>
      <c r="AP1130" s="47"/>
      <c r="AQ1130" s="47"/>
      <c r="AR1130" s="47"/>
      <c r="AS1130" s="47"/>
      <c r="AT1130" s="47"/>
      <c r="AU1130" s="47"/>
      <c r="AV1130" s="47"/>
      <c r="AW1130" s="47"/>
      <c r="AX1130" s="47"/>
      <c r="AY1130" s="47"/>
      <c r="AZ1130" s="47"/>
      <c r="BA1130" s="47"/>
      <c r="BB1130" s="47"/>
      <c r="BC1130" s="47"/>
      <c r="BD1130" s="47"/>
      <c r="BE1130" s="47"/>
      <c r="BF1130" s="47"/>
    </row>
    <row r="1131" spans="3:58">
      <c r="C1131" s="47"/>
      <c r="D1131" s="47"/>
      <c r="E1131" s="47"/>
      <c r="F1131" s="47"/>
      <c r="G1131" s="47"/>
      <c r="H1131" s="47"/>
      <c r="I1131" s="47"/>
      <c r="J1131" s="47"/>
      <c r="K1131" s="47"/>
      <c r="L1131" s="47"/>
      <c r="M1131" s="47"/>
      <c r="N1131" s="47"/>
      <c r="O1131" s="47"/>
      <c r="P1131" s="47"/>
      <c r="Q1131" s="85"/>
      <c r="R1131" s="85"/>
      <c r="S1131" s="85"/>
      <c r="T1131" s="85"/>
      <c r="U1131" s="85"/>
      <c r="V1131" s="85"/>
      <c r="W1131" s="85"/>
      <c r="X1131" s="85"/>
      <c r="Y1131" s="85"/>
      <c r="Z1131" s="85"/>
      <c r="AA1131" s="85"/>
      <c r="AB1131" s="85"/>
      <c r="AC1131" s="85"/>
      <c r="AD1131" s="85"/>
      <c r="AE1131" s="47"/>
      <c r="AF1131" s="47"/>
      <c r="AG1131" s="47"/>
      <c r="AH1131" s="47"/>
      <c r="AI1131" s="47"/>
      <c r="AJ1131" s="47"/>
      <c r="AK1131" s="47"/>
      <c r="AL1131" s="47"/>
      <c r="AM1131" s="47"/>
      <c r="AN1131" s="47"/>
      <c r="AO1131" s="47"/>
      <c r="AP1131" s="47"/>
      <c r="AQ1131" s="47"/>
      <c r="AR1131" s="47"/>
      <c r="AS1131" s="47"/>
      <c r="AT1131" s="47"/>
      <c r="AU1131" s="47"/>
      <c r="AV1131" s="47"/>
      <c r="AW1131" s="47"/>
      <c r="AX1131" s="47"/>
      <c r="AY1131" s="47"/>
      <c r="AZ1131" s="47"/>
      <c r="BA1131" s="47"/>
      <c r="BB1131" s="47"/>
      <c r="BC1131" s="47"/>
      <c r="BD1131" s="47"/>
      <c r="BE1131" s="47"/>
      <c r="BF1131" s="47"/>
    </row>
    <row r="1132" spans="3:58">
      <c r="C1132" s="47"/>
      <c r="D1132" s="47"/>
      <c r="E1132" s="47"/>
      <c r="F1132" s="47"/>
      <c r="G1132" s="47"/>
      <c r="H1132" s="47"/>
      <c r="I1132" s="47"/>
      <c r="J1132" s="47"/>
      <c r="K1132" s="47"/>
      <c r="L1132" s="47"/>
      <c r="M1132" s="47"/>
      <c r="N1132" s="47"/>
      <c r="O1132" s="47"/>
      <c r="P1132" s="47"/>
      <c r="Q1132" s="85"/>
      <c r="R1132" s="85"/>
      <c r="S1132" s="85"/>
      <c r="T1132" s="85"/>
      <c r="U1132" s="85"/>
      <c r="V1132" s="85"/>
      <c r="W1132" s="85"/>
      <c r="X1132" s="85"/>
      <c r="Y1132" s="85"/>
      <c r="Z1132" s="85"/>
      <c r="AA1132" s="85"/>
      <c r="AB1132" s="85"/>
      <c r="AC1132" s="85"/>
      <c r="AD1132" s="85"/>
      <c r="AE1132" s="47"/>
      <c r="AF1132" s="47"/>
      <c r="AG1132" s="47"/>
      <c r="AH1132" s="47"/>
      <c r="AI1132" s="47"/>
      <c r="AJ1132" s="47"/>
      <c r="AK1132" s="47"/>
      <c r="AL1132" s="47"/>
      <c r="AM1132" s="47"/>
      <c r="AN1132" s="47"/>
      <c r="AO1132" s="47"/>
      <c r="AP1132" s="47"/>
      <c r="AQ1132" s="47"/>
      <c r="AR1132" s="47"/>
      <c r="AS1132" s="47"/>
      <c r="AT1132" s="47"/>
      <c r="AU1132" s="47"/>
      <c r="AV1132" s="47"/>
      <c r="AW1132" s="47"/>
      <c r="AX1132" s="47"/>
      <c r="AY1132" s="47"/>
      <c r="AZ1132" s="47"/>
      <c r="BA1132" s="47"/>
      <c r="BB1132" s="47"/>
      <c r="BC1132" s="47"/>
      <c r="BD1132" s="47"/>
      <c r="BE1132" s="47"/>
      <c r="BF1132" s="47"/>
    </row>
    <row r="1133" spans="3:58">
      <c r="C1133" s="47"/>
      <c r="D1133" s="47"/>
      <c r="E1133" s="47"/>
      <c r="F1133" s="47"/>
      <c r="G1133" s="47"/>
      <c r="H1133" s="47"/>
      <c r="I1133" s="47"/>
      <c r="J1133" s="47"/>
      <c r="K1133" s="47"/>
      <c r="L1133" s="47"/>
      <c r="M1133" s="47"/>
      <c r="N1133" s="47"/>
      <c r="O1133" s="47"/>
      <c r="P1133" s="47"/>
      <c r="Q1133" s="85"/>
      <c r="R1133" s="85"/>
      <c r="S1133" s="85"/>
      <c r="T1133" s="85"/>
      <c r="U1133" s="85"/>
      <c r="V1133" s="85"/>
      <c r="W1133" s="85"/>
      <c r="X1133" s="85"/>
      <c r="Y1133" s="85"/>
      <c r="Z1133" s="85"/>
      <c r="AA1133" s="85"/>
      <c r="AB1133" s="85"/>
      <c r="AC1133" s="85"/>
      <c r="AD1133" s="85"/>
      <c r="AE1133" s="47"/>
      <c r="AF1133" s="47"/>
      <c r="AG1133" s="47"/>
      <c r="AH1133" s="47"/>
      <c r="AI1133" s="47"/>
      <c r="AJ1133" s="47"/>
      <c r="AK1133" s="47"/>
      <c r="AL1133" s="47"/>
      <c r="AM1133" s="47"/>
      <c r="AN1133" s="47"/>
      <c r="AO1133" s="47"/>
      <c r="AP1133" s="47"/>
      <c r="AQ1133" s="47"/>
      <c r="AR1133" s="47"/>
      <c r="AS1133" s="47"/>
      <c r="AT1133" s="47"/>
      <c r="AU1133" s="47"/>
      <c r="AV1133" s="47"/>
      <c r="AW1133" s="47"/>
      <c r="AX1133" s="47"/>
      <c r="AY1133" s="47"/>
      <c r="AZ1133" s="47"/>
      <c r="BA1133" s="47"/>
      <c r="BB1133" s="47"/>
      <c r="BC1133" s="47"/>
      <c r="BD1133" s="47"/>
      <c r="BE1133" s="47"/>
      <c r="BF1133" s="47"/>
    </row>
    <row r="1134" spans="3:58">
      <c r="C1134" s="47"/>
      <c r="D1134" s="47"/>
      <c r="E1134" s="47"/>
      <c r="F1134" s="47"/>
      <c r="G1134" s="47"/>
      <c r="H1134" s="47"/>
      <c r="I1134" s="47"/>
      <c r="J1134" s="47"/>
      <c r="K1134" s="47"/>
      <c r="L1134" s="47"/>
      <c r="M1134" s="47"/>
      <c r="N1134" s="47"/>
      <c r="O1134" s="47"/>
      <c r="P1134" s="47"/>
      <c r="Q1134" s="85"/>
      <c r="R1134" s="85"/>
      <c r="S1134" s="85"/>
      <c r="T1134" s="85"/>
      <c r="U1134" s="85"/>
      <c r="V1134" s="85"/>
      <c r="W1134" s="85"/>
      <c r="X1134" s="85"/>
      <c r="Y1134" s="85"/>
      <c r="Z1134" s="85"/>
      <c r="AA1134" s="85"/>
      <c r="AB1134" s="85"/>
      <c r="AC1134" s="85"/>
      <c r="AD1134" s="85"/>
      <c r="AE1134" s="47"/>
      <c r="AF1134" s="47"/>
      <c r="AG1134" s="47"/>
      <c r="AH1134" s="47"/>
      <c r="AI1134" s="47"/>
      <c r="AJ1134" s="47"/>
      <c r="AK1134" s="47"/>
      <c r="AL1134" s="47"/>
      <c r="AM1134" s="47"/>
      <c r="AN1134" s="47"/>
      <c r="AO1134" s="47"/>
      <c r="AP1134" s="47"/>
      <c r="AQ1134" s="47"/>
      <c r="AR1134" s="47"/>
      <c r="AS1134" s="47"/>
      <c r="AT1134" s="47"/>
      <c r="AU1134" s="47"/>
      <c r="AV1134" s="47"/>
      <c r="AW1134" s="47"/>
      <c r="AX1134" s="47"/>
      <c r="AY1134" s="47"/>
      <c r="AZ1134" s="47"/>
      <c r="BA1134" s="47"/>
      <c r="BB1134" s="47"/>
      <c r="BC1134" s="47"/>
      <c r="BD1134" s="47"/>
      <c r="BE1134" s="47"/>
      <c r="BF1134" s="47"/>
    </row>
    <row r="1135" spans="3:58">
      <c r="C1135" s="47"/>
      <c r="D1135" s="47"/>
      <c r="E1135" s="47"/>
      <c r="F1135" s="47"/>
      <c r="G1135" s="47"/>
      <c r="H1135" s="47"/>
      <c r="I1135" s="47"/>
      <c r="J1135" s="47"/>
      <c r="K1135" s="47"/>
      <c r="L1135" s="47"/>
      <c r="M1135" s="47"/>
      <c r="N1135" s="47"/>
      <c r="O1135" s="47"/>
      <c r="P1135" s="47"/>
      <c r="Q1135" s="85"/>
      <c r="R1135" s="85"/>
      <c r="S1135" s="85"/>
      <c r="T1135" s="85"/>
      <c r="U1135" s="85"/>
      <c r="V1135" s="85"/>
      <c r="W1135" s="85"/>
      <c r="X1135" s="85"/>
      <c r="Y1135" s="85"/>
      <c r="Z1135" s="85"/>
      <c r="AA1135" s="85"/>
      <c r="AB1135" s="85"/>
      <c r="AC1135" s="85"/>
      <c r="AD1135" s="85"/>
      <c r="AE1135" s="47"/>
      <c r="AF1135" s="47"/>
      <c r="AG1135" s="47"/>
      <c r="AH1135" s="47"/>
      <c r="AI1135" s="47"/>
      <c r="AJ1135" s="47"/>
      <c r="AK1135" s="47"/>
      <c r="AL1135" s="47"/>
      <c r="AM1135" s="47"/>
      <c r="AN1135" s="47"/>
      <c r="AO1135" s="47"/>
      <c r="AP1135" s="47"/>
      <c r="AQ1135" s="47"/>
      <c r="AR1135" s="47"/>
      <c r="AS1135" s="47"/>
      <c r="AT1135" s="47"/>
      <c r="AU1135" s="47"/>
      <c r="AV1135" s="47"/>
      <c r="AW1135" s="47"/>
      <c r="AX1135" s="47"/>
      <c r="AY1135" s="47"/>
      <c r="AZ1135" s="47"/>
      <c r="BA1135" s="47"/>
      <c r="BB1135" s="47"/>
      <c r="BC1135" s="47"/>
      <c r="BD1135" s="47"/>
      <c r="BE1135" s="47"/>
      <c r="BF1135" s="47"/>
    </row>
    <row r="1136" spans="3:58">
      <c r="C1136" s="47"/>
      <c r="D1136" s="47"/>
      <c r="E1136" s="47"/>
      <c r="F1136" s="47"/>
      <c r="G1136" s="47"/>
      <c r="H1136" s="47"/>
      <c r="I1136" s="47"/>
      <c r="J1136" s="47"/>
      <c r="K1136" s="47"/>
      <c r="L1136" s="47"/>
      <c r="M1136" s="47"/>
      <c r="N1136" s="47"/>
      <c r="O1136" s="47"/>
      <c r="P1136" s="47"/>
      <c r="Q1136" s="85"/>
      <c r="R1136" s="85"/>
      <c r="S1136" s="85"/>
      <c r="T1136" s="85"/>
      <c r="U1136" s="85"/>
      <c r="V1136" s="85"/>
      <c r="W1136" s="85"/>
      <c r="X1136" s="85"/>
      <c r="Y1136" s="85"/>
      <c r="Z1136" s="85"/>
      <c r="AA1136" s="85"/>
      <c r="AB1136" s="85"/>
      <c r="AC1136" s="85"/>
      <c r="AD1136" s="85"/>
      <c r="AE1136" s="47"/>
      <c r="AF1136" s="47"/>
      <c r="AG1136" s="47"/>
      <c r="AH1136" s="47"/>
      <c r="AI1136" s="47"/>
      <c r="AJ1136" s="47"/>
      <c r="AK1136" s="47"/>
      <c r="AL1136" s="47"/>
      <c r="AM1136" s="47"/>
      <c r="AN1136" s="47"/>
      <c r="AO1136" s="47"/>
      <c r="AP1136" s="47"/>
      <c r="AQ1136" s="47"/>
      <c r="AR1136" s="47"/>
      <c r="AS1136" s="47"/>
      <c r="AT1136" s="47"/>
      <c r="AU1136" s="47"/>
      <c r="AV1136" s="47"/>
      <c r="AW1136" s="47"/>
      <c r="AX1136" s="47"/>
      <c r="AY1136" s="47"/>
      <c r="AZ1136" s="47"/>
      <c r="BA1136" s="47"/>
      <c r="BB1136" s="47"/>
      <c r="BC1136" s="47"/>
      <c r="BD1136" s="47"/>
      <c r="BE1136" s="47"/>
      <c r="BF1136" s="47"/>
    </row>
    <row r="1137" spans="3:58">
      <c r="C1137" s="47"/>
      <c r="D1137" s="47"/>
      <c r="E1137" s="47"/>
      <c r="F1137" s="47"/>
      <c r="G1137" s="47"/>
      <c r="H1137" s="47"/>
      <c r="I1137" s="47"/>
      <c r="J1137" s="47"/>
      <c r="K1137" s="47"/>
      <c r="L1137" s="47"/>
      <c r="M1137" s="47"/>
      <c r="N1137" s="47"/>
      <c r="O1137" s="47"/>
      <c r="P1137" s="47"/>
      <c r="Q1137" s="85"/>
      <c r="R1137" s="85"/>
      <c r="S1137" s="85"/>
      <c r="T1137" s="85"/>
      <c r="U1137" s="85"/>
      <c r="V1137" s="85"/>
      <c r="W1137" s="85"/>
      <c r="X1137" s="85"/>
      <c r="Y1137" s="85"/>
      <c r="Z1137" s="85"/>
      <c r="AA1137" s="85"/>
      <c r="AB1137" s="85"/>
      <c r="AC1137" s="85"/>
      <c r="AD1137" s="85"/>
      <c r="AE1137" s="47"/>
      <c r="AF1137" s="47"/>
      <c r="AG1137" s="47"/>
      <c r="AH1137" s="47"/>
      <c r="AI1137" s="47"/>
      <c r="AJ1137" s="47"/>
      <c r="AK1137" s="47"/>
      <c r="AL1137" s="47"/>
      <c r="AM1137" s="47"/>
      <c r="AN1137" s="47"/>
      <c r="AO1137" s="47"/>
      <c r="AP1137" s="47"/>
      <c r="AQ1137" s="47"/>
      <c r="AR1137" s="47"/>
      <c r="AS1137" s="47"/>
      <c r="AT1137" s="47"/>
      <c r="AU1137" s="47"/>
      <c r="AV1137" s="47"/>
      <c r="AW1137" s="47"/>
      <c r="AX1137" s="47"/>
      <c r="AY1137" s="47"/>
      <c r="AZ1137" s="47"/>
      <c r="BA1137" s="47"/>
      <c r="BB1137" s="47"/>
      <c r="BC1137" s="47"/>
      <c r="BD1137" s="47"/>
      <c r="BE1137" s="47"/>
      <c r="BF1137" s="47"/>
    </row>
    <row r="1138" spans="3:58">
      <c r="C1138" s="47"/>
      <c r="D1138" s="47"/>
      <c r="E1138" s="47"/>
      <c r="F1138" s="47"/>
      <c r="G1138" s="47"/>
      <c r="H1138" s="47"/>
      <c r="I1138" s="47"/>
      <c r="J1138" s="47"/>
      <c r="K1138" s="47"/>
      <c r="L1138" s="47"/>
      <c r="M1138" s="47"/>
      <c r="N1138" s="47"/>
      <c r="O1138" s="47"/>
      <c r="P1138" s="47"/>
      <c r="Q1138" s="85"/>
      <c r="R1138" s="85"/>
      <c r="S1138" s="85"/>
      <c r="T1138" s="85"/>
      <c r="U1138" s="85"/>
      <c r="V1138" s="85"/>
      <c r="W1138" s="85"/>
      <c r="X1138" s="85"/>
      <c r="Y1138" s="85"/>
      <c r="Z1138" s="85"/>
      <c r="AA1138" s="85"/>
      <c r="AB1138" s="85"/>
      <c r="AC1138" s="85"/>
      <c r="AD1138" s="85"/>
      <c r="AE1138" s="47"/>
      <c r="AF1138" s="47"/>
      <c r="AG1138" s="47"/>
      <c r="AH1138" s="47"/>
      <c r="AI1138" s="47"/>
      <c r="AJ1138" s="47"/>
      <c r="AK1138" s="47"/>
      <c r="AL1138" s="47"/>
      <c r="AM1138" s="47"/>
      <c r="AN1138" s="47"/>
      <c r="AO1138" s="47"/>
      <c r="AP1138" s="47"/>
      <c r="AQ1138" s="47"/>
      <c r="AR1138" s="47"/>
      <c r="AS1138" s="47"/>
      <c r="AT1138" s="47"/>
      <c r="AU1138" s="47"/>
      <c r="AV1138" s="47"/>
      <c r="AW1138" s="47"/>
      <c r="AX1138" s="47"/>
      <c r="AY1138" s="47"/>
      <c r="AZ1138" s="47"/>
      <c r="BA1138" s="47"/>
      <c r="BB1138" s="47"/>
      <c r="BC1138" s="47"/>
      <c r="BD1138" s="47"/>
      <c r="BE1138" s="47"/>
      <c r="BF1138" s="47"/>
    </row>
    <row r="1139" spans="3:58">
      <c r="C1139" s="47"/>
      <c r="D1139" s="47"/>
      <c r="E1139" s="47"/>
      <c r="F1139" s="47"/>
      <c r="G1139" s="47"/>
      <c r="H1139" s="47"/>
      <c r="I1139" s="47"/>
      <c r="J1139" s="47"/>
      <c r="K1139" s="47"/>
      <c r="L1139" s="47"/>
      <c r="M1139" s="47"/>
      <c r="N1139" s="47"/>
      <c r="O1139" s="47"/>
      <c r="P1139" s="47"/>
      <c r="Q1139" s="85"/>
      <c r="R1139" s="85"/>
      <c r="S1139" s="85"/>
      <c r="T1139" s="85"/>
      <c r="U1139" s="85"/>
      <c r="V1139" s="85"/>
      <c r="W1139" s="85"/>
      <c r="X1139" s="85"/>
      <c r="Y1139" s="85"/>
      <c r="Z1139" s="85"/>
      <c r="AA1139" s="85"/>
      <c r="AB1139" s="85"/>
      <c r="AC1139" s="85"/>
      <c r="AD1139" s="85"/>
      <c r="AE1139" s="47"/>
      <c r="AF1139" s="47"/>
      <c r="AG1139" s="47"/>
      <c r="AH1139" s="47"/>
      <c r="AI1139" s="47"/>
      <c r="AJ1139" s="47"/>
      <c r="AK1139" s="47"/>
      <c r="AL1139" s="47"/>
      <c r="AM1139" s="47"/>
      <c r="AN1139" s="47"/>
      <c r="AO1139" s="47"/>
      <c r="AP1139" s="47"/>
      <c r="AQ1139" s="47"/>
      <c r="AR1139" s="47"/>
      <c r="AS1139" s="47"/>
      <c r="AT1139" s="47"/>
      <c r="AU1139" s="47"/>
      <c r="AV1139" s="47"/>
      <c r="AW1139" s="47"/>
      <c r="AX1139" s="47"/>
      <c r="AY1139" s="47"/>
      <c r="AZ1139" s="47"/>
      <c r="BA1139" s="47"/>
      <c r="BB1139" s="47"/>
      <c r="BC1139" s="47"/>
      <c r="BD1139" s="47"/>
      <c r="BE1139" s="47"/>
      <c r="BF1139" s="47"/>
    </row>
    <row r="1140" spans="3:58">
      <c r="C1140" s="47"/>
      <c r="D1140" s="47"/>
      <c r="E1140" s="47"/>
      <c r="F1140" s="47"/>
      <c r="G1140" s="47"/>
      <c r="H1140" s="47"/>
      <c r="I1140" s="47"/>
      <c r="J1140" s="47"/>
      <c r="K1140" s="47"/>
      <c r="L1140" s="47"/>
      <c r="M1140" s="47"/>
      <c r="N1140" s="47"/>
      <c r="O1140" s="47"/>
      <c r="P1140" s="47"/>
      <c r="Q1140" s="85"/>
      <c r="R1140" s="85"/>
      <c r="S1140" s="85"/>
      <c r="T1140" s="85"/>
      <c r="U1140" s="85"/>
      <c r="V1140" s="85"/>
      <c r="W1140" s="85"/>
      <c r="X1140" s="85"/>
      <c r="Y1140" s="85"/>
      <c r="Z1140" s="85"/>
      <c r="AA1140" s="85"/>
      <c r="AB1140" s="85"/>
      <c r="AC1140" s="85"/>
      <c r="AD1140" s="85"/>
      <c r="AE1140" s="47"/>
      <c r="AF1140" s="47"/>
      <c r="AG1140" s="47"/>
      <c r="AH1140" s="47"/>
      <c r="AI1140" s="47"/>
      <c r="AJ1140" s="47"/>
      <c r="AK1140" s="47"/>
      <c r="AL1140" s="47"/>
      <c r="AM1140" s="47"/>
      <c r="AN1140" s="47"/>
      <c r="AO1140" s="47"/>
      <c r="AP1140" s="47"/>
      <c r="AQ1140" s="47"/>
      <c r="AR1140" s="47"/>
      <c r="AS1140" s="47"/>
      <c r="AT1140" s="47"/>
      <c r="AU1140" s="47"/>
      <c r="AV1140" s="47"/>
      <c r="AW1140" s="47"/>
      <c r="AX1140" s="47"/>
      <c r="AY1140" s="47"/>
      <c r="AZ1140" s="47"/>
      <c r="BA1140" s="47"/>
      <c r="BB1140" s="47"/>
      <c r="BC1140" s="47"/>
      <c r="BD1140" s="47"/>
      <c r="BE1140" s="47"/>
      <c r="BF1140" s="47"/>
    </row>
    <row r="1141" spans="3:58">
      <c r="C1141" s="47"/>
      <c r="D1141" s="47"/>
      <c r="E1141" s="47"/>
      <c r="F1141" s="47"/>
      <c r="G1141" s="47"/>
      <c r="H1141" s="47"/>
      <c r="I1141" s="47"/>
      <c r="J1141" s="47"/>
      <c r="K1141" s="47"/>
      <c r="L1141" s="47"/>
      <c r="M1141" s="47"/>
      <c r="N1141" s="47"/>
      <c r="O1141" s="47"/>
      <c r="P1141" s="47"/>
      <c r="Q1141" s="85"/>
      <c r="R1141" s="85"/>
      <c r="S1141" s="85"/>
      <c r="T1141" s="85"/>
      <c r="U1141" s="85"/>
      <c r="V1141" s="85"/>
      <c r="W1141" s="85"/>
      <c r="X1141" s="85"/>
      <c r="Y1141" s="85"/>
      <c r="Z1141" s="85"/>
      <c r="AA1141" s="85"/>
      <c r="AB1141" s="85"/>
      <c r="AC1141" s="85"/>
      <c r="AD1141" s="85"/>
      <c r="AE1141" s="47"/>
      <c r="AF1141" s="47"/>
      <c r="AG1141" s="47"/>
      <c r="AH1141" s="47"/>
      <c r="AI1141" s="47"/>
      <c r="AJ1141" s="47"/>
      <c r="AK1141" s="47"/>
      <c r="AL1141" s="47"/>
      <c r="AM1141" s="47"/>
      <c r="AN1141" s="47"/>
      <c r="AO1141" s="47"/>
      <c r="AP1141" s="47"/>
      <c r="AQ1141" s="47"/>
      <c r="AR1141" s="47"/>
      <c r="AS1141" s="47"/>
      <c r="AT1141" s="47"/>
      <c r="AU1141" s="47"/>
      <c r="AV1141" s="47"/>
      <c r="AW1141" s="47"/>
      <c r="AX1141" s="47"/>
      <c r="AY1141" s="47"/>
      <c r="AZ1141" s="47"/>
      <c r="BA1141" s="47"/>
      <c r="BB1141" s="47"/>
      <c r="BC1141" s="47"/>
      <c r="BD1141" s="47"/>
      <c r="BE1141" s="47"/>
      <c r="BF1141" s="47"/>
    </row>
    <row r="1142" spans="3:58">
      <c r="C1142" s="47"/>
      <c r="D1142" s="47"/>
      <c r="E1142" s="47"/>
      <c r="F1142" s="47"/>
      <c r="G1142" s="47"/>
      <c r="H1142" s="47"/>
      <c r="I1142" s="47"/>
      <c r="J1142" s="47"/>
      <c r="K1142" s="47"/>
      <c r="L1142" s="47"/>
      <c r="M1142" s="47"/>
      <c r="N1142" s="47"/>
      <c r="O1142" s="47"/>
      <c r="P1142" s="47"/>
      <c r="Q1142" s="85"/>
      <c r="R1142" s="85"/>
      <c r="S1142" s="85"/>
      <c r="T1142" s="85"/>
      <c r="U1142" s="85"/>
      <c r="V1142" s="85"/>
      <c r="W1142" s="85"/>
      <c r="X1142" s="85"/>
      <c r="Y1142" s="85"/>
      <c r="Z1142" s="85"/>
      <c r="AA1142" s="85"/>
      <c r="AB1142" s="85"/>
      <c r="AC1142" s="85"/>
      <c r="AD1142" s="85"/>
      <c r="AE1142" s="47"/>
      <c r="AF1142" s="47"/>
      <c r="AG1142" s="47"/>
      <c r="AH1142" s="47"/>
      <c r="AI1142" s="47"/>
      <c r="AJ1142" s="47"/>
      <c r="AK1142" s="47"/>
      <c r="AL1142" s="47"/>
      <c r="AM1142" s="47"/>
      <c r="AN1142" s="47"/>
      <c r="AO1142" s="47"/>
      <c r="AP1142" s="47"/>
      <c r="AQ1142" s="47"/>
      <c r="AR1142" s="47"/>
      <c r="AS1142" s="47"/>
      <c r="AT1142" s="47"/>
      <c r="AU1142" s="47"/>
      <c r="AV1142" s="47"/>
      <c r="AW1142" s="47"/>
      <c r="AX1142" s="47"/>
      <c r="AY1142" s="47"/>
      <c r="AZ1142" s="47"/>
      <c r="BA1142" s="47"/>
      <c r="BB1142" s="47"/>
      <c r="BC1142" s="47"/>
      <c r="BD1142" s="47"/>
      <c r="BE1142" s="47"/>
      <c r="BF1142" s="47"/>
    </row>
    <row r="1143" spans="3:58">
      <c r="C1143" s="47"/>
      <c r="D1143" s="47"/>
      <c r="E1143" s="47"/>
      <c r="F1143" s="47"/>
      <c r="G1143" s="47"/>
      <c r="H1143" s="47"/>
      <c r="I1143" s="47"/>
      <c r="J1143" s="47"/>
      <c r="K1143" s="47"/>
      <c r="L1143" s="47"/>
      <c r="M1143" s="47"/>
      <c r="N1143" s="47"/>
      <c r="O1143" s="47"/>
      <c r="P1143" s="47"/>
      <c r="Q1143" s="85"/>
      <c r="R1143" s="85"/>
      <c r="S1143" s="85"/>
      <c r="T1143" s="85"/>
      <c r="U1143" s="85"/>
      <c r="V1143" s="85"/>
      <c r="W1143" s="85"/>
      <c r="X1143" s="85"/>
      <c r="Y1143" s="85"/>
      <c r="Z1143" s="85"/>
      <c r="AA1143" s="85"/>
      <c r="AB1143" s="85"/>
      <c r="AC1143" s="85"/>
      <c r="AD1143" s="85"/>
      <c r="AE1143" s="47"/>
      <c r="AF1143" s="47"/>
      <c r="AG1143" s="47"/>
      <c r="AH1143" s="47"/>
      <c r="AI1143" s="47"/>
      <c r="AJ1143" s="47"/>
      <c r="AK1143" s="47"/>
      <c r="AL1143" s="47"/>
      <c r="AM1143" s="47"/>
      <c r="AN1143" s="47"/>
      <c r="AO1143" s="47"/>
      <c r="AP1143" s="47"/>
      <c r="AQ1143" s="47"/>
      <c r="AR1143" s="47"/>
      <c r="AS1143" s="47"/>
      <c r="AT1143" s="47"/>
      <c r="AU1143" s="47"/>
      <c r="AV1143" s="47"/>
      <c r="AW1143" s="47"/>
      <c r="AX1143" s="47"/>
      <c r="AY1143" s="47"/>
      <c r="AZ1143" s="47"/>
      <c r="BA1143" s="47"/>
      <c r="BB1143" s="47"/>
      <c r="BC1143" s="47"/>
      <c r="BD1143" s="47"/>
      <c r="BE1143" s="47"/>
      <c r="BF1143" s="47"/>
    </row>
    <row r="1144" spans="3:58">
      <c r="C1144" s="47"/>
      <c r="D1144" s="47"/>
      <c r="E1144" s="47"/>
      <c r="F1144" s="47"/>
      <c r="G1144" s="47"/>
      <c r="H1144" s="47"/>
      <c r="I1144" s="47"/>
      <c r="J1144" s="47"/>
      <c r="K1144" s="47"/>
      <c r="L1144" s="47"/>
      <c r="M1144" s="47"/>
      <c r="N1144" s="47"/>
      <c r="O1144" s="47"/>
      <c r="P1144" s="47"/>
      <c r="Q1144" s="85"/>
      <c r="R1144" s="85"/>
      <c r="S1144" s="85"/>
      <c r="T1144" s="85"/>
      <c r="U1144" s="85"/>
      <c r="V1144" s="85"/>
      <c r="W1144" s="85"/>
      <c r="X1144" s="85"/>
      <c r="Y1144" s="85"/>
      <c r="Z1144" s="85"/>
      <c r="AA1144" s="85"/>
      <c r="AB1144" s="85"/>
      <c r="AC1144" s="85"/>
      <c r="AD1144" s="85"/>
      <c r="AE1144" s="47"/>
      <c r="AF1144" s="47"/>
      <c r="AG1144" s="47"/>
      <c r="AH1144" s="47"/>
      <c r="AI1144" s="47"/>
      <c r="AJ1144" s="47"/>
      <c r="AK1144" s="47"/>
      <c r="AL1144" s="47"/>
      <c r="AM1144" s="47"/>
      <c r="AN1144" s="47"/>
      <c r="AO1144" s="47"/>
      <c r="AP1144" s="47"/>
      <c r="AQ1144" s="47"/>
      <c r="AR1144" s="47"/>
      <c r="AS1144" s="47"/>
      <c r="AT1144" s="47"/>
      <c r="AU1144" s="47"/>
      <c r="AV1144" s="47"/>
      <c r="AW1144" s="47"/>
      <c r="AX1144" s="47"/>
      <c r="AY1144" s="47"/>
      <c r="AZ1144" s="47"/>
      <c r="BA1144" s="47"/>
      <c r="BB1144" s="47"/>
      <c r="BC1144" s="47"/>
      <c r="BD1144" s="47"/>
      <c r="BE1144" s="47"/>
      <c r="BF1144" s="47"/>
    </row>
    <row r="1145" spans="3:58">
      <c r="C1145" s="47"/>
      <c r="D1145" s="47"/>
      <c r="E1145" s="47"/>
      <c r="F1145" s="47"/>
      <c r="G1145" s="47"/>
      <c r="H1145" s="47"/>
      <c r="I1145" s="47"/>
      <c r="J1145" s="47"/>
      <c r="K1145" s="47"/>
      <c r="L1145" s="47"/>
      <c r="M1145" s="47"/>
      <c r="N1145" s="47"/>
      <c r="O1145" s="47"/>
      <c r="P1145" s="47"/>
      <c r="Q1145" s="85"/>
      <c r="R1145" s="85"/>
      <c r="S1145" s="85"/>
      <c r="T1145" s="85"/>
      <c r="U1145" s="85"/>
      <c r="V1145" s="85"/>
      <c r="W1145" s="85"/>
      <c r="X1145" s="85"/>
      <c r="Y1145" s="85"/>
      <c r="Z1145" s="85"/>
      <c r="AA1145" s="85"/>
      <c r="AB1145" s="85"/>
      <c r="AC1145" s="85"/>
      <c r="AD1145" s="85"/>
      <c r="AE1145" s="47"/>
      <c r="AF1145" s="47"/>
      <c r="AG1145" s="47"/>
      <c r="AH1145" s="47"/>
      <c r="AI1145" s="47"/>
      <c r="AJ1145" s="47"/>
      <c r="AK1145" s="47"/>
      <c r="AL1145" s="47"/>
      <c r="AM1145" s="47"/>
      <c r="AN1145" s="47"/>
      <c r="AO1145" s="47"/>
      <c r="AP1145" s="47"/>
      <c r="AQ1145" s="47"/>
      <c r="AR1145" s="47"/>
      <c r="AS1145" s="47"/>
      <c r="AT1145" s="47"/>
      <c r="AU1145" s="47"/>
      <c r="AV1145" s="47"/>
      <c r="AW1145" s="47"/>
      <c r="AX1145" s="47"/>
      <c r="AY1145" s="47"/>
      <c r="AZ1145" s="47"/>
      <c r="BA1145" s="47"/>
      <c r="BB1145" s="47"/>
      <c r="BC1145" s="47"/>
      <c r="BD1145" s="47"/>
      <c r="BE1145" s="47"/>
      <c r="BF1145" s="47"/>
    </row>
    <row r="1146" spans="3:58">
      <c r="C1146" s="47"/>
      <c r="D1146" s="47"/>
      <c r="E1146" s="47"/>
      <c r="F1146" s="47"/>
      <c r="G1146" s="47"/>
      <c r="H1146" s="47"/>
      <c r="I1146" s="47"/>
      <c r="J1146" s="47"/>
      <c r="K1146" s="47"/>
      <c r="L1146" s="47"/>
      <c r="M1146" s="47"/>
      <c r="N1146" s="47"/>
      <c r="O1146" s="47"/>
      <c r="P1146" s="47"/>
      <c r="Q1146" s="85"/>
      <c r="R1146" s="85"/>
      <c r="S1146" s="85"/>
      <c r="T1146" s="85"/>
      <c r="U1146" s="85"/>
      <c r="V1146" s="85"/>
      <c r="W1146" s="85"/>
      <c r="X1146" s="85"/>
      <c r="Y1146" s="85"/>
      <c r="Z1146" s="85"/>
      <c r="AA1146" s="85"/>
      <c r="AB1146" s="85"/>
      <c r="AC1146" s="85"/>
      <c r="AD1146" s="85"/>
      <c r="AE1146" s="47"/>
      <c r="AF1146" s="47"/>
      <c r="AG1146" s="47"/>
      <c r="AH1146" s="47"/>
      <c r="AI1146" s="47"/>
      <c r="AJ1146" s="47"/>
      <c r="AK1146" s="47"/>
      <c r="AL1146" s="47"/>
      <c r="AM1146" s="47"/>
      <c r="AN1146" s="47"/>
      <c r="AO1146" s="47"/>
      <c r="AP1146" s="47"/>
      <c r="AQ1146" s="47"/>
      <c r="AR1146" s="47"/>
      <c r="AS1146" s="47"/>
      <c r="AT1146" s="47"/>
      <c r="AU1146" s="47"/>
      <c r="AV1146" s="47"/>
      <c r="AW1146" s="47"/>
      <c r="AX1146" s="47"/>
      <c r="AY1146" s="47"/>
      <c r="AZ1146" s="47"/>
      <c r="BA1146" s="47"/>
      <c r="BB1146" s="47"/>
      <c r="BC1146" s="47"/>
      <c r="BD1146" s="47"/>
      <c r="BE1146" s="47"/>
      <c r="BF1146" s="47"/>
    </row>
    <row r="1147" spans="3:58">
      <c r="C1147" s="47"/>
      <c r="D1147" s="47"/>
      <c r="E1147" s="47"/>
      <c r="F1147" s="47"/>
      <c r="G1147" s="47"/>
      <c r="H1147" s="47"/>
      <c r="I1147" s="47"/>
      <c r="J1147" s="47"/>
      <c r="K1147" s="47"/>
      <c r="L1147" s="47"/>
      <c r="M1147" s="47"/>
      <c r="N1147" s="47"/>
      <c r="O1147" s="47"/>
      <c r="P1147" s="47"/>
      <c r="Q1147" s="85"/>
      <c r="R1147" s="85"/>
      <c r="S1147" s="85"/>
      <c r="T1147" s="85"/>
      <c r="U1147" s="85"/>
      <c r="V1147" s="85"/>
      <c r="W1147" s="85"/>
      <c r="X1147" s="85"/>
      <c r="Y1147" s="85"/>
      <c r="Z1147" s="85"/>
      <c r="AA1147" s="85"/>
      <c r="AB1147" s="85"/>
      <c r="AC1147" s="85"/>
      <c r="AD1147" s="85"/>
      <c r="AE1147" s="47"/>
      <c r="AF1147" s="47"/>
      <c r="AG1147" s="47"/>
      <c r="AH1147" s="47"/>
      <c r="AI1147" s="47"/>
      <c r="AJ1147" s="47"/>
      <c r="AK1147" s="47"/>
      <c r="AL1147" s="47"/>
      <c r="AM1147" s="47"/>
      <c r="AN1147" s="47"/>
      <c r="AO1147" s="47"/>
      <c r="AP1147" s="47"/>
      <c r="AQ1147" s="47"/>
      <c r="AR1147" s="47"/>
      <c r="AS1147" s="47"/>
      <c r="AT1147" s="47"/>
      <c r="AU1147" s="47"/>
      <c r="AV1147" s="47"/>
      <c r="AW1147" s="47"/>
      <c r="AX1147" s="47"/>
      <c r="AY1147" s="47"/>
      <c r="AZ1147" s="47"/>
      <c r="BA1147" s="47"/>
      <c r="BB1147" s="47"/>
      <c r="BC1147" s="47"/>
      <c r="BD1147" s="47"/>
      <c r="BE1147" s="47"/>
      <c r="BF1147" s="47"/>
    </row>
    <row r="1148" spans="3:58">
      <c r="C1148" s="47"/>
      <c r="D1148" s="47"/>
      <c r="E1148" s="47"/>
      <c r="F1148" s="47"/>
      <c r="G1148" s="47"/>
      <c r="H1148" s="47"/>
      <c r="I1148" s="47"/>
      <c r="J1148" s="47"/>
      <c r="K1148" s="47"/>
      <c r="L1148" s="47"/>
      <c r="M1148" s="47"/>
      <c r="N1148" s="47"/>
      <c r="O1148" s="47"/>
      <c r="P1148" s="47"/>
      <c r="Q1148" s="85"/>
      <c r="R1148" s="85"/>
      <c r="S1148" s="85"/>
      <c r="T1148" s="85"/>
      <c r="U1148" s="85"/>
      <c r="V1148" s="85"/>
      <c r="W1148" s="85"/>
      <c r="X1148" s="85"/>
      <c r="Y1148" s="85"/>
      <c r="Z1148" s="85"/>
      <c r="AA1148" s="85"/>
      <c r="AB1148" s="85"/>
      <c r="AC1148" s="85"/>
      <c r="AD1148" s="85"/>
      <c r="AE1148" s="47"/>
      <c r="AF1148" s="47"/>
      <c r="AG1148" s="47"/>
      <c r="AH1148" s="47"/>
      <c r="AI1148" s="47"/>
      <c r="AJ1148" s="47"/>
      <c r="AK1148" s="47"/>
      <c r="AL1148" s="47"/>
      <c r="AM1148" s="47"/>
      <c r="AN1148" s="47"/>
      <c r="AO1148" s="47"/>
      <c r="AP1148" s="47"/>
      <c r="AQ1148" s="47"/>
      <c r="AR1148" s="47"/>
      <c r="AS1148" s="47"/>
      <c r="AT1148" s="47"/>
      <c r="AU1148" s="47"/>
      <c r="AV1148" s="47"/>
      <c r="AW1148" s="47"/>
      <c r="AX1148" s="47"/>
      <c r="AY1148" s="47"/>
      <c r="AZ1148" s="47"/>
      <c r="BA1148" s="47"/>
      <c r="BB1148" s="47"/>
      <c r="BC1148" s="47"/>
      <c r="BD1148" s="47"/>
      <c r="BE1148" s="47"/>
      <c r="BF1148" s="47"/>
    </row>
    <row r="1149" spans="3:58">
      <c r="C1149" s="47"/>
      <c r="D1149" s="47"/>
      <c r="E1149" s="47"/>
      <c r="F1149" s="47"/>
      <c r="G1149" s="47"/>
      <c r="H1149" s="47"/>
      <c r="I1149" s="47"/>
      <c r="J1149" s="47"/>
      <c r="K1149" s="47"/>
      <c r="L1149" s="47"/>
      <c r="M1149" s="47"/>
      <c r="N1149" s="47"/>
      <c r="O1149" s="47"/>
      <c r="P1149" s="47"/>
      <c r="Q1149" s="85"/>
      <c r="R1149" s="85"/>
      <c r="S1149" s="85"/>
      <c r="T1149" s="85"/>
      <c r="U1149" s="85"/>
      <c r="V1149" s="85"/>
      <c r="W1149" s="85"/>
      <c r="X1149" s="85"/>
      <c r="Y1149" s="85"/>
      <c r="Z1149" s="85"/>
      <c r="AA1149" s="85"/>
      <c r="AB1149" s="85"/>
      <c r="AC1149" s="85"/>
      <c r="AD1149" s="85"/>
      <c r="AE1149" s="47"/>
      <c r="AF1149" s="47"/>
      <c r="AG1149" s="47"/>
      <c r="AH1149" s="47"/>
      <c r="AI1149" s="47"/>
      <c r="AJ1149" s="47"/>
      <c r="AK1149" s="47"/>
      <c r="AL1149" s="47"/>
      <c r="AM1149" s="47"/>
      <c r="AN1149" s="47"/>
      <c r="AO1149" s="47"/>
      <c r="AP1149" s="47"/>
      <c r="AQ1149" s="47"/>
      <c r="AR1149" s="47"/>
      <c r="AS1149" s="47"/>
      <c r="AT1149" s="47"/>
      <c r="AU1149" s="47"/>
      <c r="AV1149" s="47"/>
      <c r="AW1149" s="47"/>
      <c r="AX1149" s="47"/>
      <c r="AY1149" s="47"/>
      <c r="AZ1149" s="47"/>
      <c r="BA1149" s="47"/>
      <c r="BB1149" s="47"/>
      <c r="BC1149" s="47"/>
      <c r="BD1149" s="47"/>
      <c r="BE1149" s="47"/>
      <c r="BF1149" s="47"/>
    </row>
    <row r="1150" spans="3:58">
      <c r="C1150" s="47"/>
      <c r="D1150" s="47"/>
      <c r="E1150" s="47"/>
      <c r="F1150" s="47"/>
      <c r="G1150" s="47"/>
      <c r="H1150" s="47"/>
      <c r="I1150" s="47"/>
      <c r="J1150" s="47"/>
      <c r="K1150" s="47"/>
      <c r="L1150" s="47"/>
      <c r="M1150" s="47"/>
      <c r="N1150" s="47"/>
      <c r="O1150" s="47"/>
      <c r="P1150" s="47"/>
      <c r="Q1150" s="85"/>
      <c r="R1150" s="85"/>
      <c r="S1150" s="85"/>
      <c r="T1150" s="85"/>
      <c r="U1150" s="85"/>
      <c r="V1150" s="85"/>
      <c r="W1150" s="85"/>
      <c r="X1150" s="85"/>
      <c r="Y1150" s="85"/>
      <c r="Z1150" s="85"/>
      <c r="AA1150" s="85"/>
      <c r="AB1150" s="85"/>
      <c r="AC1150" s="85"/>
      <c r="AD1150" s="85"/>
      <c r="AE1150" s="47"/>
      <c r="AF1150" s="47"/>
      <c r="AG1150" s="47"/>
      <c r="AH1150" s="47"/>
      <c r="AI1150" s="47"/>
      <c r="AJ1150" s="47"/>
      <c r="AK1150" s="47"/>
      <c r="AL1150" s="47"/>
      <c r="AM1150" s="47"/>
      <c r="AN1150" s="47"/>
      <c r="AO1150" s="47"/>
      <c r="AP1150" s="47"/>
      <c r="AQ1150" s="47"/>
      <c r="AR1150" s="47"/>
      <c r="AS1150" s="47"/>
      <c r="AT1150" s="47"/>
      <c r="AU1150" s="47"/>
      <c r="AV1150" s="47"/>
      <c r="AW1150" s="47"/>
      <c r="AX1150" s="47"/>
      <c r="AY1150" s="47"/>
      <c r="AZ1150" s="47"/>
      <c r="BA1150" s="47"/>
      <c r="BB1150" s="47"/>
      <c r="BC1150" s="47"/>
      <c r="BD1150" s="47"/>
      <c r="BE1150" s="47"/>
      <c r="BF1150" s="47"/>
    </row>
    <row r="1151" spans="3:58">
      <c r="C1151" s="47"/>
      <c r="D1151" s="47"/>
      <c r="E1151" s="47"/>
      <c r="F1151" s="47"/>
      <c r="G1151" s="47"/>
      <c r="H1151" s="47"/>
      <c r="I1151" s="47"/>
      <c r="J1151" s="47"/>
      <c r="K1151" s="47"/>
      <c r="L1151" s="47"/>
      <c r="M1151" s="47"/>
      <c r="N1151" s="47"/>
      <c r="O1151" s="47"/>
      <c r="P1151" s="47"/>
      <c r="Q1151" s="85"/>
      <c r="R1151" s="85"/>
      <c r="S1151" s="85"/>
      <c r="T1151" s="85"/>
      <c r="U1151" s="85"/>
      <c r="V1151" s="85"/>
      <c r="W1151" s="85"/>
      <c r="X1151" s="85"/>
      <c r="Y1151" s="85"/>
      <c r="Z1151" s="85"/>
      <c r="AA1151" s="85"/>
      <c r="AB1151" s="85"/>
      <c r="AC1151" s="85"/>
      <c r="AD1151" s="85"/>
      <c r="AE1151" s="47"/>
      <c r="AF1151" s="47"/>
      <c r="AG1151" s="47"/>
      <c r="AH1151" s="47"/>
      <c r="AI1151" s="47"/>
      <c r="AJ1151" s="47"/>
      <c r="AK1151" s="47"/>
      <c r="AL1151" s="47"/>
      <c r="AM1151" s="47"/>
      <c r="AN1151" s="47"/>
      <c r="AO1151" s="47"/>
      <c r="AP1151" s="47"/>
      <c r="AQ1151" s="47"/>
      <c r="AR1151" s="47"/>
      <c r="AS1151" s="47"/>
      <c r="AT1151" s="47"/>
      <c r="AU1151" s="47"/>
      <c r="AV1151" s="47"/>
      <c r="AW1151" s="47"/>
      <c r="AX1151" s="47"/>
      <c r="AY1151" s="47"/>
      <c r="AZ1151" s="47"/>
      <c r="BA1151" s="47"/>
      <c r="BB1151" s="47"/>
      <c r="BC1151" s="47"/>
      <c r="BD1151" s="47"/>
      <c r="BE1151" s="47"/>
      <c r="BF1151" s="47"/>
    </row>
    <row r="1152" spans="3:58">
      <c r="C1152" s="47"/>
      <c r="D1152" s="47"/>
      <c r="E1152" s="47"/>
      <c r="F1152" s="47"/>
      <c r="G1152" s="47"/>
      <c r="H1152" s="47"/>
      <c r="I1152" s="47"/>
      <c r="J1152" s="47"/>
      <c r="K1152" s="47"/>
      <c r="L1152" s="47"/>
      <c r="M1152" s="47"/>
      <c r="N1152" s="47"/>
      <c r="O1152" s="47"/>
      <c r="P1152" s="47"/>
      <c r="Q1152" s="85"/>
      <c r="R1152" s="85"/>
      <c r="S1152" s="85"/>
      <c r="T1152" s="85"/>
      <c r="U1152" s="85"/>
      <c r="V1152" s="85"/>
      <c r="W1152" s="85"/>
      <c r="X1152" s="85"/>
      <c r="Y1152" s="85"/>
      <c r="Z1152" s="85"/>
      <c r="AA1152" s="85"/>
      <c r="AB1152" s="85"/>
      <c r="AC1152" s="85"/>
      <c r="AD1152" s="85"/>
      <c r="AE1152" s="47"/>
      <c r="AF1152" s="47"/>
      <c r="AG1152" s="47"/>
      <c r="AH1152" s="47"/>
      <c r="AI1152" s="47"/>
      <c r="AJ1152" s="47"/>
      <c r="AK1152" s="47"/>
      <c r="AL1152" s="47"/>
      <c r="AM1152" s="47"/>
      <c r="AN1152" s="47"/>
      <c r="AO1152" s="47"/>
      <c r="AP1152" s="47"/>
      <c r="AQ1152" s="47"/>
      <c r="AR1152" s="47"/>
      <c r="AS1152" s="47"/>
      <c r="AT1152" s="47"/>
      <c r="AU1152" s="47"/>
      <c r="AV1152" s="47"/>
      <c r="AW1152" s="47"/>
      <c r="AX1152" s="47"/>
      <c r="AY1152" s="47"/>
      <c r="AZ1152" s="47"/>
      <c r="BA1152" s="47"/>
      <c r="BB1152" s="47"/>
      <c r="BC1152" s="47"/>
      <c r="BD1152" s="47"/>
      <c r="BE1152" s="47"/>
      <c r="BF1152" s="47"/>
    </row>
    <row r="1153" spans="3:58">
      <c r="C1153" s="47"/>
      <c r="D1153" s="47"/>
      <c r="E1153" s="47"/>
      <c r="F1153" s="47"/>
      <c r="G1153" s="47"/>
      <c r="H1153" s="47"/>
      <c r="I1153" s="47"/>
      <c r="J1153" s="47"/>
      <c r="K1153" s="47"/>
      <c r="L1153" s="47"/>
      <c r="M1153" s="47"/>
      <c r="N1153" s="47"/>
      <c r="O1153" s="47"/>
      <c r="P1153" s="47"/>
      <c r="Q1153" s="85"/>
      <c r="R1153" s="85"/>
      <c r="S1153" s="85"/>
      <c r="T1153" s="85"/>
      <c r="U1153" s="85"/>
      <c r="V1153" s="85"/>
      <c r="W1153" s="85"/>
      <c r="X1153" s="85"/>
      <c r="Y1153" s="85"/>
      <c r="Z1153" s="85"/>
      <c r="AA1153" s="85"/>
      <c r="AB1153" s="85"/>
      <c r="AC1153" s="85"/>
      <c r="AD1153" s="85"/>
      <c r="AE1153" s="47"/>
      <c r="AF1153" s="47"/>
      <c r="AG1153" s="47"/>
      <c r="AH1153" s="47"/>
      <c r="AI1153" s="47"/>
      <c r="AJ1153" s="47"/>
      <c r="AK1153" s="47"/>
      <c r="AL1153" s="47"/>
      <c r="AM1153" s="47"/>
      <c r="AN1153" s="47"/>
      <c r="AO1153" s="47"/>
      <c r="AP1153" s="47"/>
      <c r="AQ1153" s="47"/>
      <c r="AR1153" s="47"/>
      <c r="AS1153" s="47"/>
      <c r="AT1153" s="47"/>
      <c r="AU1153" s="47"/>
      <c r="AV1153" s="47"/>
      <c r="AW1153" s="47"/>
      <c r="AX1153" s="47"/>
      <c r="AY1153" s="47"/>
      <c r="AZ1153" s="47"/>
      <c r="BA1153" s="47"/>
      <c r="BB1153" s="47"/>
      <c r="BC1153" s="47"/>
      <c r="BD1153" s="47"/>
      <c r="BE1153" s="47"/>
      <c r="BF1153" s="47"/>
    </row>
    <row r="1154" spans="3:58">
      <c r="C1154" s="47"/>
      <c r="D1154" s="47"/>
      <c r="E1154" s="47"/>
      <c r="F1154" s="47"/>
      <c r="G1154" s="47"/>
      <c r="H1154" s="47"/>
      <c r="I1154" s="47"/>
      <c r="J1154" s="47"/>
      <c r="K1154" s="47"/>
      <c r="L1154" s="47"/>
      <c r="M1154" s="47"/>
      <c r="N1154" s="47"/>
      <c r="O1154" s="47"/>
      <c r="P1154" s="47"/>
      <c r="Q1154" s="85"/>
      <c r="R1154" s="85"/>
      <c r="S1154" s="85"/>
      <c r="T1154" s="85"/>
      <c r="U1154" s="85"/>
      <c r="V1154" s="85"/>
      <c r="W1154" s="85"/>
      <c r="X1154" s="85"/>
      <c r="Y1154" s="85"/>
      <c r="Z1154" s="85"/>
      <c r="AA1154" s="85"/>
      <c r="AB1154" s="85"/>
      <c r="AC1154" s="85"/>
      <c r="AD1154" s="85"/>
      <c r="AE1154" s="47"/>
      <c r="AF1154" s="47"/>
      <c r="AG1154" s="47"/>
      <c r="AH1154" s="47"/>
      <c r="AI1154" s="47"/>
      <c r="AJ1154" s="47"/>
      <c r="AK1154" s="47"/>
      <c r="AL1154" s="47"/>
      <c r="AM1154" s="47"/>
      <c r="AN1154" s="47"/>
      <c r="AO1154" s="47"/>
      <c r="AP1154" s="47"/>
      <c r="AQ1154" s="47"/>
      <c r="AR1154" s="47"/>
      <c r="AS1154" s="47"/>
      <c r="AT1154" s="47"/>
      <c r="AU1154" s="47"/>
      <c r="AV1154" s="47"/>
      <c r="AW1154" s="47"/>
      <c r="AX1154" s="47"/>
      <c r="AY1154" s="47"/>
      <c r="AZ1154" s="47"/>
      <c r="BA1154" s="47"/>
      <c r="BB1154" s="47"/>
      <c r="BC1154" s="47"/>
      <c r="BD1154" s="47"/>
      <c r="BE1154" s="47"/>
      <c r="BF1154" s="47"/>
    </row>
    <row r="1155" spans="3:58">
      <c r="C1155" s="47"/>
      <c r="D1155" s="47"/>
      <c r="E1155" s="47"/>
      <c r="F1155" s="47"/>
      <c r="G1155" s="47"/>
      <c r="H1155" s="47"/>
      <c r="I1155" s="47"/>
      <c r="J1155" s="47"/>
      <c r="K1155" s="47"/>
      <c r="L1155" s="47"/>
      <c r="M1155" s="47"/>
      <c r="N1155" s="47"/>
      <c r="O1155" s="47"/>
      <c r="P1155" s="47"/>
      <c r="Q1155" s="85"/>
      <c r="R1155" s="85"/>
      <c r="S1155" s="85"/>
      <c r="T1155" s="85"/>
      <c r="U1155" s="85"/>
      <c r="V1155" s="85"/>
      <c r="W1155" s="85"/>
      <c r="X1155" s="85"/>
      <c r="Y1155" s="85"/>
      <c r="Z1155" s="85"/>
      <c r="AA1155" s="85"/>
      <c r="AB1155" s="85"/>
      <c r="AC1155" s="85"/>
      <c r="AD1155" s="85"/>
      <c r="AE1155" s="47"/>
      <c r="AF1155" s="47"/>
      <c r="AG1155" s="47"/>
      <c r="AH1155" s="47"/>
      <c r="AI1155" s="47"/>
      <c r="AJ1155" s="47"/>
      <c r="AK1155" s="47"/>
      <c r="AL1155" s="47"/>
      <c r="AM1155" s="47"/>
      <c r="AN1155" s="47"/>
      <c r="AO1155" s="47"/>
      <c r="AP1155" s="47"/>
      <c r="AQ1155" s="47"/>
      <c r="AR1155" s="47"/>
      <c r="AS1155" s="47"/>
      <c r="AT1155" s="47"/>
      <c r="AU1155" s="47"/>
      <c r="AV1155" s="47"/>
      <c r="AW1155" s="47"/>
      <c r="AX1155" s="47"/>
      <c r="AY1155" s="47"/>
      <c r="AZ1155" s="47"/>
      <c r="BA1155" s="47"/>
      <c r="BB1155" s="47"/>
      <c r="BC1155" s="47"/>
      <c r="BD1155" s="47"/>
      <c r="BE1155" s="47"/>
      <c r="BF1155" s="47"/>
    </row>
    <row r="1156" spans="3:58">
      <c r="C1156" s="47"/>
      <c r="D1156" s="47"/>
      <c r="E1156" s="47"/>
      <c r="F1156" s="47"/>
      <c r="G1156" s="47"/>
      <c r="H1156" s="47"/>
      <c r="I1156" s="47"/>
      <c r="J1156" s="47"/>
      <c r="K1156" s="47"/>
      <c r="L1156" s="47"/>
      <c r="M1156" s="47"/>
      <c r="N1156" s="47"/>
      <c r="O1156" s="47"/>
      <c r="P1156" s="47"/>
      <c r="Q1156" s="85"/>
      <c r="R1156" s="85"/>
      <c r="S1156" s="85"/>
      <c r="T1156" s="85"/>
      <c r="U1156" s="85"/>
      <c r="V1156" s="85"/>
      <c r="W1156" s="85"/>
      <c r="X1156" s="85"/>
      <c r="Y1156" s="85"/>
      <c r="Z1156" s="85"/>
      <c r="AA1156" s="85"/>
      <c r="AB1156" s="85"/>
      <c r="AC1156" s="85"/>
      <c r="AD1156" s="85"/>
      <c r="AE1156" s="47"/>
      <c r="AF1156" s="47"/>
      <c r="AG1156" s="47"/>
      <c r="AH1156" s="47"/>
      <c r="AI1156" s="47"/>
      <c r="AJ1156" s="47"/>
      <c r="AK1156" s="47"/>
      <c r="AL1156" s="47"/>
      <c r="AM1156" s="47"/>
      <c r="AN1156" s="47"/>
      <c r="AO1156" s="47"/>
      <c r="AP1156" s="47"/>
      <c r="AQ1156" s="47"/>
      <c r="AR1156" s="47"/>
      <c r="AS1156" s="47"/>
      <c r="AT1156" s="47"/>
      <c r="AU1156" s="47"/>
      <c r="AV1156" s="47"/>
      <c r="AW1156" s="47"/>
      <c r="AX1156" s="47"/>
      <c r="AY1156" s="47"/>
      <c r="AZ1156" s="47"/>
      <c r="BA1156" s="47"/>
      <c r="BB1156" s="47"/>
      <c r="BC1156" s="47"/>
      <c r="BD1156" s="47"/>
      <c r="BE1156" s="47"/>
      <c r="BF1156" s="47"/>
    </row>
    <row r="1157" spans="3:58">
      <c r="C1157" s="47"/>
      <c r="D1157" s="47"/>
      <c r="E1157" s="47"/>
      <c r="F1157" s="47"/>
      <c r="G1157" s="47"/>
      <c r="H1157" s="47"/>
      <c r="I1157" s="47"/>
      <c r="J1157" s="47"/>
      <c r="K1157" s="47"/>
      <c r="L1157" s="47"/>
      <c r="M1157" s="47"/>
      <c r="N1157" s="47"/>
      <c r="O1157" s="47"/>
      <c r="P1157" s="47"/>
      <c r="Q1157" s="85"/>
      <c r="R1157" s="85"/>
      <c r="S1157" s="85"/>
      <c r="T1157" s="85"/>
      <c r="U1157" s="85"/>
      <c r="V1157" s="85"/>
      <c r="W1157" s="85"/>
      <c r="X1157" s="85"/>
      <c r="Y1157" s="85"/>
      <c r="Z1157" s="85"/>
      <c r="AA1157" s="85"/>
      <c r="AB1157" s="85"/>
      <c r="AC1157" s="85"/>
      <c r="AD1157" s="85"/>
      <c r="AE1157" s="47"/>
      <c r="AF1157" s="47"/>
      <c r="AG1157" s="47"/>
      <c r="AH1157" s="47"/>
      <c r="AI1157" s="47"/>
      <c r="AJ1157" s="47"/>
      <c r="AK1157" s="47"/>
      <c r="AL1157" s="47"/>
      <c r="AM1157" s="47"/>
      <c r="AN1157" s="47"/>
      <c r="AO1157" s="47"/>
      <c r="AP1157" s="47"/>
      <c r="AQ1157" s="47"/>
      <c r="AR1157" s="47"/>
      <c r="AS1157" s="47"/>
      <c r="AT1157" s="47"/>
      <c r="AU1157" s="47"/>
      <c r="AV1157" s="47"/>
      <c r="AW1157" s="47"/>
      <c r="AX1157" s="47"/>
      <c r="AY1157" s="47"/>
      <c r="AZ1157" s="47"/>
      <c r="BA1157" s="47"/>
      <c r="BB1157" s="47"/>
      <c r="BC1157" s="47"/>
      <c r="BD1157" s="47"/>
      <c r="BE1157" s="47"/>
      <c r="BF1157" s="47"/>
    </row>
    <row r="1158" spans="3:58">
      <c r="C1158" s="47"/>
      <c r="D1158" s="47"/>
      <c r="E1158" s="47"/>
      <c r="F1158" s="47"/>
      <c r="G1158" s="47"/>
      <c r="H1158" s="47"/>
      <c r="I1158" s="47"/>
      <c r="J1158" s="47"/>
      <c r="K1158" s="47"/>
      <c r="L1158" s="47"/>
      <c r="M1158" s="47"/>
      <c r="N1158" s="47"/>
      <c r="O1158" s="47"/>
      <c r="P1158" s="47"/>
      <c r="Q1158" s="85"/>
      <c r="R1158" s="85"/>
      <c r="S1158" s="85"/>
      <c r="T1158" s="85"/>
      <c r="U1158" s="85"/>
      <c r="V1158" s="85"/>
      <c r="W1158" s="85"/>
      <c r="X1158" s="85"/>
      <c r="Y1158" s="85"/>
      <c r="Z1158" s="85"/>
      <c r="AA1158" s="85"/>
      <c r="AB1158" s="85"/>
      <c r="AC1158" s="85"/>
      <c r="AD1158" s="85"/>
      <c r="AE1158" s="47"/>
      <c r="AF1158" s="47"/>
      <c r="AG1158" s="47"/>
      <c r="AH1158" s="47"/>
      <c r="AI1158" s="47"/>
      <c r="AJ1158" s="47"/>
      <c r="AK1158" s="47"/>
      <c r="AL1158" s="47"/>
      <c r="AM1158" s="47"/>
      <c r="AN1158" s="47"/>
      <c r="AO1158" s="47"/>
      <c r="AP1158" s="47"/>
      <c r="AQ1158" s="47"/>
      <c r="AR1158" s="47"/>
      <c r="AS1158" s="47"/>
      <c r="AT1158" s="47"/>
      <c r="AU1158" s="47"/>
      <c r="AV1158" s="47"/>
      <c r="AW1158" s="47"/>
      <c r="AX1158" s="47"/>
      <c r="AY1158" s="47"/>
      <c r="AZ1158" s="47"/>
      <c r="BA1158" s="47"/>
      <c r="BB1158" s="47"/>
      <c r="BC1158" s="47"/>
      <c r="BD1158" s="47"/>
      <c r="BE1158" s="47"/>
      <c r="BF1158" s="47"/>
    </row>
    <row r="1159" spans="3:58">
      <c r="C1159" s="47"/>
      <c r="D1159" s="47"/>
      <c r="E1159" s="47"/>
      <c r="F1159" s="47"/>
      <c r="G1159" s="47"/>
      <c r="H1159" s="47"/>
      <c r="I1159" s="47"/>
      <c r="J1159" s="47"/>
      <c r="K1159" s="47"/>
      <c r="L1159" s="47"/>
      <c r="M1159" s="47"/>
      <c r="N1159" s="47"/>
      <c r="O1159" s="47"/>
      <c r="P1159" s="47"/>
      <c r="Q1159" s="85"/>
      <c r="R1159" s="85"/>
      <c r="S1159" s="85"/>
      <c r="T1159" s="85"/>
      <c r="U1159" s="85"/>
      <c r="V1159" s="85"/>
      <c r="W1159" s="85"/>
      <c r="X1159" s="85"/>
      <c r="Y1159" s="85"/>
      <c r="Z1159" s="85"/>
      <c r="AA1159" s="85"/>
      <c r="AB1159" s="85"/>
      <c r="AC1159" s="85"/>
      <c r="AD1159" s="85"/>
      <c r="AE1159" s="47"/>
      <c r="AF1159" s="47"/>
      <c r="AG1159" s="47"/>
      <c r="AH1159" s="47"/>
      <c r="AI1159" s="47"/>
      <c r="AJ1159" s="47"/>
      <c r="AK1159" s="47"/>
      <c r="AL1159" s="47"/>
      <c r="AM1159" s="47"/>
      <c r="AN1159" s="47"/>
      <c r="AO1159" s="47"/>
      <c r="AP1159" s="47"/>
      <c r="AQ1159" s="47"/>
      <c r="AR1159" s="47"/>
      <c r="AS1159" s="47"/>
      <c r="AT1159" s="47"/>
      <c r="AU1159" s="47"/>
      <c r="AV1159" s="47"/>
      <c r="AW1159" s="47"/>
      <c r="AX1159" s="47"/>
      <c r="AY1159" s="47"/>
      <c r="AZ1159" s="47"/>
      <c r="BA1159" s="47"/>
      <c r="BB1159" s="47"/>
      <c r="BC1159" s="47"/>
      <c r="BD1159" s="47"/>
      <c r="BE1159" s="47"/>
      <c r="BF1159" s="47"/>
    </row>
    <row r="1160" spans="3:58">
      <c r="C1160" s="47"/>
      <c r="D1160" s="47"/>
      <c r="E1160" s="47"/>
      <c r="F1160" s="47"/>
      <c r="G1160" s="47"/>
      <c r="H1160" s="47"/>
      <c r="I1160" s="47"/>
      <c r="J1160" s="47"/>
      <c r="K1160" s="47"/>
      <c r="L1160" s="47"/>
      <c r="M1160" s="47"/>
      <c r="N1160" s="47"/>
      <c r="O1160" s="47"/>
      <c r="P1160" s="47"/>
      <c r="Q1160" s="85"/>
      <c r="R1160" s="85"/>
      <c r="S1160" s="85"/>
      <c r="T1160" s="85"/>
      <c r="U1160" s="85"/>
      <c r="V1160" s="85"/>
      <c r="W1160" s="85"/>
      <c r="X1160" s="85"/>
      <c r="Y1160" s="85"/>
      <c r="Z1160" s="85"/>
      <c r="AA1160" s="85"/>
      <c r="AB1160" s="85"/>
      <c r="AC1160" s="85"/>
      <c r="AD1160" s="85"/>
      <c r="AE1160" s="47"/>
      <c r="AF1160" s="47"/>
      <c r="AG1160" s="47"/>
      <c r="AH1160" s="47"/>
      <c r="AI1160" s="47"/>
      <c r="AJ1160" s="47"/>
      <c r="AK1160" s="47"/>
      <c r="AL1160" s="47"/>
      <c r="AM1160" s="47"/>
      <c r="AN1160" s="47"/>
      <c r="AO1160" s="47"/>
      <c r="AP1160" s="47"/>
      <c r="AQ1160" s="47"/>
      <c r="AR1160" s="47"/>
      <c r="AS1160" s="47"/>
      <c r="AT1160" s="47"/>
      <c r="AU1160" s="47"/>
      <c r="AV1160" s="47"/>
      <c r="AW1160" s="47"/>
      <c r="AX1160" s="47"/>
      <c r="AY1160" s="47"/>
      <c r="AZ1160" s="47"/>
      <c r="BA1160" s="47"/>
      <c r="BB1160" s="47"/>
      <c r="BC1160" s="47"/>
      <c r="BD1160" s="47"/>
      <c r="BE1160" s="47"/>
      <c r="BF1160" s="47"/>
    </row>
    <row r="1161" spans="3:58">
      <c r="C1161" s="47"/>
      <c r="D1161" s="47"/>
      <c r="E1161" s="47"/>
      <c r="F1161" s="47"/>
      <c r="G1161" s="47"/>
      <c r="H1161" s="47"/>
      <c r="I1161" s="47"/>
      <c r="J1161" s="47"/>
      <c r="K1161" s="47"/>
      <c r="L1161" s="47"/>
      <c r="M1161" s="47"/>
      <c r="N1161" s="47"/>
      <c r="O1161" s="47"/>
      <c r="P1161" s="47"/>
      <c r="Q1161" s="85"/>
      <c r="R1161" s="85"/>
      <c r="S1161" s="85"/>
      <c r="T1161" s="85"/>
      <c r="U1161" s="85"/>
      <c r="V1161" s="85"/>
      <c r="W1161" s="85"/>
      <c r="X1161" s="85"/>
      <c r="Y1161" s="85"/>
      <c r="Z1161" s="85"/>
      <c r="AA1161" s="85"/>
      <c r="AB1161" s="85"/>
      <c r="AC1161" s="85"/>
      <c r="AD1161" s="85"/>
      <c r="AE1161" s="47"/>
      <c r="AF1161" s="47"/>
      <c r="AG1161" s="47"/>
      <c r="AH1161" s="47"/>
      <c r="AI1161" s="47"/>
      <c r="AJ1161" s="47"/>
      <c r="AK1161" s="47"/>
      <c r="AL1161" s="47"/>
      <c r="AM1161" s="47"/>
      <c r="AN1161" s="47"/>
      <c r="AO1161" s="47"/>
      <c r="AP1161" s="47"/>
      <c r="AQ1161" s="47"/>
      <c r="AR1161" s="47"/>
      <c r="AS1161" s="47"/>
      <c r="AT1161" s="47"/>
      <c r="AU1161" s="47"/>
      <c r="AV1161" s="47"/>
      <c r="AW1161" s="47"/>
      <c r="AX1161" s="47"/>
      <c r="AY1161" s="47"/>
      <c r="AZ1161" s="47"/>
      <c r="BA1161" s="47"/>
      <c r="BB1161" s="47"/>
      <c r="BC1161" s="47"/>
      <c r="BD1161" s="47"/>
      <c r="BE1161" s="47"/>
      <c r="BF1161" s="47"/>
    </row>
    <row r="1162" spans="3:58">
      <c r="C1162" s="47"/>
      <c r="D1162" s="47"/>
      <c r="E1162" s="47"/>
      <c r="F1162" s="47"/>
      <c r="G1162" s="47"/>
      <c r="H1162" s="47"/>
      <c r="I1162" s="47"/>
      <c r="J1162" s="47"/>
      <c r="K1162" s="47"/>
      <c r="L1162" s="47"/>
      <c r="M1162" s="47"/>
      <c r="N1162" s="47"/>
      <c r="O1162" s="47"/>
      <c r="P1162" s="47"/>
      <c r="Q1162" s="85"/>
      <c r="R1162" s="85"/>
      <c r="S1162" s="85"/>
      <c r="T1162" s="85"/>
      <c r="U1162" s="85"/>
      <c r="V1162" s="85"/>
      <c r="W1162" s="85"/>
      <c r="X1162" s="85"/>
      <c r="Y1162" s="85"/>
      <c r="Z1162" s="85"/>
      <c r="AA1162" s="85"/>
      <c r="AB1162" s="85"/>
      <c r="AC1162" s="85"/>
      <c r="AD1162" s="85"/>
      <c r="AE1162" s="47"/>
      <c r="AF1162" s="47"/>
      <c r="AG1162" s="47"/>
      <c r="AH1162" s="47"/>
      <c r="AI1162" s="47"/>
      <c r="AJ1162" s="47"/>
      <c r="AK1162" s="47"/>
      <c r="AL1162" s="47"/>
      <c r="AM1162" s="47"/>
      <c r="AN1162" s="47"/>
      <c r="AO1162" s="47"/>
      <c r="AP1162" s="47"/>
      <c r="AQ1162" s="47"/>
      <c r="AR1162" s="47"/>
      <c r="AS1162" s="47"/>
      <c r="AT1162" s="47"/>
      <c r="AU1162" s="47"/>
      <c r="AV1162" s="47"/>
      <c r="AW1162" s="47"/>
      <c r="AX1162" s="47"/>
      <c r="AY1162" s="47"/>
      <c r="AZ1162" s="47"/>
      <c r="BA1162" s="47"/>
      <c r="BB1162" s="47"/>
      <c r="BC1162" s="47"/>
      <c r="BD1162" s="47"/>
      <c r="BE1162" s="47"/>
      <c r="BF1162" s="47"/>
    </row>
    <row r="1163" spans="3:58">
      <c r="C1163" s="47"/>
      <c r="D1163" s="47"/>
      <c r="E1163" s="47"/>
      <c r="F1163" s="47"/>
      <c r="G1163" s="47"/>
      <c r="H1163" s="47"/>
      <c r="I1163" s="47"/>
      <c r="J1163" s="47"/>
      <c r="K1163" s="47"/>
      <c r="L1163" s="47"/>
      <c r="M1163" s="47"/>
      <c r="N1163" s="47"/>
      <c r="O1163" s="47"/>
      <c r="P1163" s="47"/>
      <c r="Q1163" s="85"/>
      <c r="R1163" s="85"/>
      <c r="S1163" s="85"/>
      <c r="T1163" s="85"/>
      <c r="U1163" s="85"/>
      <c r="V1163" s="85"/>
      <c r="W1163" s="85"/>
      <c r="X1163" s="85"/>
      <c r="Y1163" s="85"/>
      <c r="Z1163" s="85"/>
      <c r="AA1163" s="85"/>
      <c r="AB1163" s="85"/>
      <c r="AC1163" s="85"/>
      <c r="AD1163" s="85"/>
      <c r="AE1163" s="47"/>
      <c r="AF1163" s="47"/>
      <c r="AG1163" s="47"/>
      <c r="AH1163" s="47"/>
      <c r="AI1163" s="47"/>
      <c r="AJ1163" s="47"/>
      <c r="AK1163" s="47"/>
      <c r="AL1163" s="47"/>
      <c r="AM1163" s="47"/>
      <c r="AN1163" s="47"/>
      <c r="AO1163" s="47"/>
      <c r="AP1163" s="47"/>
      <c r="AQ1163" s="47"/>
      <c r="AR1163" s="47"/>
      <c r="AS1163" s="47"/>
      <c r="AT1163" s="47"/>
      <c r="AU1163" s="47"/>
      <c r="AV1163" s="47"/>
      <c r="AW1163" s="47"/>
      <c r="AX1163" s="47"/>
      <c r="AY1163" s="47"/>
      <c r="AZ1163" s="47"/>
      <c r="BA1163" s="47"/>
      <c r="BB1163" s="47"/>
      <c r="BC1163" s="47"/>
      <c r="BD1163" s="47"/>
      <c r="BE1163" s="47"/>
      <c r="BF1163" s="47"/>
    </row>
    <row r="1164" spans="3:58">
      <c r="C1164" s="47"/>
      <c r="D1164" s="47"/>
      <c r="E1164" s="47"/>
      <c r="F1164" s="47"/>
      <c r="G1164" s="47"/>
      <c r="H1164" s="47"/>
      <c r="I1164" s="47"/>
      <c r="J1164" s="47"/>
      <c r="K1164" s="47"/>
      <c r="L1164" s="47"/>
      <c r="M1164" s="47"/>
      <c r="N1164" s="47"/>
      <c r="O1164" s="47"/>
      <c r="P1164" s="47"/>
      <c r="Q1164" s="85"/>
      <c r="R1164" s="85"/>
      <c r="S1164" s="85"/>
      <c r="T1164" s="85"/>
      <c r="U1164" s="85"/>
      <c r="V1164" s="85"/>
      <c r="W1164" s="85"/>
      <c r="X1164" s="85"/>
      <c r="Y1164" s="85"/>
      <c r="Z1164" s="85"/>
      <c r="AA1164" s="85"/>
      <c r="AB1164" s="85"/>
      <c r="AC1164" s="85"/>
      <c r="AD1164" s="85"/>
      <c r="AE1164" s="47"/>
      <c r="AF1164" s="47"/>
      <c r="AG1164" s="47"/>
      <c r="AH1164" s="47"/>
      <c r="AI1164" s="47"/>
      <c r="AJ1164" s="47"/>
      <c r="AK1164" s="47"/>
      <c r="AL1164" s="47"/>
      <c r="AM1164" s="47"/>
      <c r="AN1164" s="47"/>
      <c r="AO1164" s="47"/>
      <c r="AP1164" s="47"/>
      <c r="AQ1164" s="47"/>
      <c r="AR1164" s="47"/>
      <c r="AS1164" s="47"/>
      <c r="AT1164" s="47"/>
      <c r="AU1164" s="47"/>
      <c r="AV1164" s="47"/>
      <c r="AW1164" s="47"/>
      <c r="AX1164" s="47"/>
      <c r="AY1164" s="47"/>
      <c r="AZ1164" s="47"/>
      <c r="BA1164" s="47"/>
      <c r="BB1164" s="47"/>
      <c r="BC1164" s="47"/>
      <c r="BD1164" s="47"/>
      <c r="BE1164" s="47"/>
      <c r="BF1164" s="47"/>
    </row>
    <row r="1165" spans="3:58">
      <c r="C1165" s="47"/>
      <c r="D1165" s="47"/>
      <c r="E1165" s="47"/>
      <c r="F1165" s="47"/>
      <c r="G1165" s="47"/>
      <c r="H1165" s="47"/>
      <c r="I1165" s="47"/>
      <c r="J1165" s="47"/>
      <c r="K1165" s="47"/>
      <c r="L1165" s="47"/>
      <c r="M1165" s="47"/>
      <c r="N1165" s="47"/>
      <c r="O1165" s="47"/>
      <c r="P1165" s="47"/>
      <c r="Q1165" s="85"/>
      <c r="R1165" s="85"/>
      <c r="S1165" s="85"/>
      <c r="T1165" s="85"/>
      <c r="U1165" s="85"/>
      <c r="V1165" s="85"/>
      <c r="W1165" s="85"/>
      <c r="X1165" s="85"/>
      <c r="Y1165" s="85"/>
      <c r="Z1165" s="85"/>
      <c r="AA1165" s="85"/>
      <c r="AB1165" s="85"/>
      <c r="AC1165" s="85"/>
      <c r="AD1165" s="85"/>
      <c r="AE1165" s="47"/>
      <c r="AF1165" s="47"/>
      <c r="AG1165" s="47"/>
      <c r="AH1165" s="47"/>
      <c r="AI1165" s="47"/>
      <c r="AJ1165" s="47"/>
      <c r="AK1165" s="47"/>
      <c r="AL1165" s="47"/>
      <c r="AM1165" s="47"/>
      <c r="AN1165" s="47"/>
      <c r="AO1165" s="47"/>
      <c r="AP1165" s="47"/>
      <c r="AQ1165" s="47"/>
      <c r="AR1165" s="47"/>
      <c r="AS1165" s="47"/>
      <c r="AT1165" s="47"/>
      <c r="AU1165" s="47"/>
      <c r="AV1165" s="47"/>
      <c r="AW1165" s="47"/>
      <c r="AX1165" s="47"/>
      <c r="AY1165" s="47"/>
      <c r="AZ1165" s="47"/>
      <c r="BA1165" s="47"/>
      <c r="BB1165" s="47"/>
      <c r="BC1165" s="47"/>
      <c r="BD1165" s="47"/>
      <c r="BE1165" s="47"/>
      <c r="BF1165" s="47"/>
    </row>
    <row r="1166" spans="3:58">
      <c r="C1166" s="47"/>
      <c r="D1166" s="47"/>
      <c r="E1166" s="47"/>
      <c r="F1166" s="47"/>
      <c r="G1166" s="47"/>
      <c r="H1166" s="47"/>
      <c r="I1166" s="47"/>
      <c r="J1166" s="47"/>
      <c r="K1166" s="47"/>
      <c r="L1166" s="47"/>
      <c r="M1166" s="47"/>
      <c r="N1166" s="47"/>
      <c r="O1166" s="47"/>
      <c r="P1166" s="47"/>
      <c r="Q1166" s="85"/>
      <c r="R1166" s="85"/>
      <c r="S1166" s="85"/>
      <c r="T1166" s="85"/>
      <c r="U1166" s="85"/>
      <c r="V1166" s="85"/>
      <c r="W1166" s="85"/>
      <c r="X1166" s="85"/>
      <c r="Y1166" s="85"/>
      <c r="Z1166" s="85"/>
      <c r="AA1166" s="85"/>
      <c r="AB1166" s="85"/>
      <c r="AC1166" s="85"/>
      <c r="AD1166" s="85"/>
      <c r="AE1166" s="47"/>
      <c r="AF1166" s="47"/>
      <c r="AG1166" s="47"/>
      <c r="AH1166" s="47"/>
      <c r="AI1166" s="47"/>
      <c r="AJ1166" s="47"/>
      <c r="AK1166" s="47"/>
      <c r="AL1166" s="47"/>
      <c r="AM1166" s="47"/>
      <c r="AN1166" s="47"/>
      <c r="AO1166" s="47"/>
      <c r="AP1166" s="47"/>
      <c r="AQ1166" s="47"/>
      <c r="AR1166" s="47"/>
      <c r="AS1166" s="47"/>
      <c r="AT1166" s="47"/>
      <c r="AU1166" s="47"/>
      <c r="AV1166" s="47"/>
      <c r="AW1166" s="47"/>
      <c r="AX1166" s="47"/>
      <c r="AY1166" s="47"/>
      <c r="AZ1166" s="47"/>
      <c r="BA1166" s="47"/>
      <c r="BB1166" s="47"/>
      <c r="BC1166" s="47"/>
      <c r="BD1166" s="47"/>
      <c r="BE1166" s="47"/>
      <c r="BF1166" s="47"/>
    </row>
    <row r="1167" spans="3:58">
      <c r="C1167" s="47"/>
      <c r="D1167" s="47"/>
      <c r="E1167" s="47"/>
      <c r="F1167" s="47"/>
      <c r="G1167" s="47"/>
      <c r="H1167" s="47"/>
      <c r="I1167" s="47"/>
      <c r="J1167" s="47"/>
      <c r="K1167" s="47"/>
      <c r="L1167" s="47"/>
      <c r="M1167" s="47"/>
      <c r="N1167" s="47"/>
      <c r="O1167" s="47"/>
      <c r="P1167" s="47"/>
      <c r="Q1167" s="85"/>
      <c r="R1167" s="85"/>
      <c r="S1167" s="85"/>
      <c r="T1167" s="85"/>
      <c r="U1167" s="85"/>
      <c r="V1167" s="85"/>
      <c r="W1167" s="85"/>
      <c r="X1167" s="85"/>
      <c r="Y1167" s="85"/>
      <c r="Z1167" s="85"/>
      <c r="AA1167" s="85"/>
      <c r="AB1167" s="85"/>
      <c r="AC1167" s="85"/>
      <c r="AD1167" s="85"/>
      <c r="AE1167" s="47"/>
      <c r="AF1167" s="47"/>
      <c r="AG1167" s="47"/>
      <c r="AH1167" s="47"/>
      <c r="AI1167" s="47"/>
      <c r="AJ1167" s="47"/>
      <c r="AK1167" s="47"/>
      <c r="AL1167" s="47"/>
      <c r="AM1167" s="47"/>
      <c r="AN1167" s="47"/>
      <c r="AO1167" s="47"/>
      <c r="AP1167" s="47"/>
      <c r="AQ1167" s="47"/>
      <c r="AR1167" s="47"/>
      <c r="AS1167" s="47"/>
      <c r="AT1167" s="47"/>
      <c r="AU1167" s="47"/>
      <c r="AV1167" s="47"/>
      <c r="AW1167" s="47"/>
      <c r="AX1167" s="47"/>
      <c r="AY1167" s="47"/>
      <c r="AZ1167" s="47"/>
      <c r="BA1167" s="47"/>
      <c r="BB1167" s="47"/>
      <c r="BC1167" s="47"/>
      <c r="BD1167" s="47"/>
      <c r="BE1167" s="47"/>
      <c r="BF1167" s="47"/>
    </row>
    <row r="1168" spans="3:58">
      <c r="C1168" s="47"/>
      <c r="D1168" s="47"/>
      <c r="E1168" s="47"/>
      <c r="F1168" s="47"/>
      <c r="G1168" s="47"/>
      <c r="H1168" s="47"/>
      <c r="I1168" s="47"/>
      <c r="J1168" s="47"/>
      <c r="K1168" s="47"/>
      <c r="L1168" s="47"/>
      <c r="M1168" s="47"/>
      <c r="N1168" s="47"/>
      <c r="O1168" s="47"/>
      <c r="P1168" s="47"/>
      <c r="Q1168" s="85"/>
      <c r="R1168" s="85"/>
      <c r="S1168" s="85"/>
      <c r="T1168" s="85"/>
      <c r="U1168" s="85"/>
      <c r="V1168" s="85"/>
      <c r="W1168" s="85"/>
      <c r="X1168" s="85"/>
      <c r="Y1168" s="85"/>
      <c r="Z1168" s="85"/>
      <c r="AA1168" s="85"/>
      <c r="AB1168" s="85"/>
      <c r="AC1168" s="85"/>
      <c r="AD1168" s="85"/>
      <c r="AE1168" s="47"/>
      <c r="AF1168" s="47"/>
      <c r="AG1168" s="47"/>
      <c r="AH1168" s="47"/>
      <c r="AI1168" s="47"/>
      <c r="AJ1168" s="47"/>
      <c r="AK1168" s="47"/>
      <c r="AL1168" s="47"/>
      <c r="AM1168" s="47"/>
      <c r="AN1168" s="47"/>
      <c r="AO1168" s="47"/>
      <c r="AP1168" s="47"/>
      <c r="AQ1168" s="47"/>
      <c r="AR1168" s="47"/>
      <c r="AS1168" s="47"/>
      <c r="AT1168" s="47"/>
      <c r="AU1168" s="47"/>
      <c r="AV1168" s="47"/>
      <c r="AW1168" s="47"/>
      <c r="AX1168" s="47"/>
      <c r="AY1168" s="47"/>
      <c r="AZ1168" s="47"/>
      <c r="BA1168" s="47"/>
      <c r="BB1168" s="47"/>
      <c r="BC1168" s="47"/>
      <c r="BD1168" s="47"/>
      <c r="BE1168" s="47"/>
      <c r="BF1168" s="47"/>
    </row>
    <row r="1169" spans="3:58">
      <c r="C1169" s="47"/>
      <c r="D1169" s="47"/>
      <c r="E1169" s="47"/>
      <c r="F1169" s="47"/>
      <c r="G1169" s="47"/>
      <c r="H1169" s="47"/>
      <c r="I1169" s="47"/>
      <c r="J1169" s="47"/>
      <c r="K1169" s="47"/>
      <c r="L1169" s="47"/>
      <c r="M1169" s="47"/>
      <c r="N1169" s="47"/>
      <c r="O1169" s="47"/>
      <c r="P1169" s="47"/>
      <c r="Q1169" s="85"/>
      <c r="R1169" s="85"/>
      <c r="S1169" s="85"/>
      <c r="T1169" s="85"/>
      <c r="U1169" s="85"/>
      <c r="V1169" s="85"/>
      <c r="W1169" s="85"/>
      <c r="X1169" s="85"/>
      <c r="Y1169" s="85"/>
      <c r="Z1169" s="85"/>
      <c r="AA1169" s="85"/>
      <c r="AB1169" s="85"/>
      <c r="AC1169" s="85"/>
      <c r="AD1169" s="85"/>
      <c r="AE1169" s="47"/>
      <c r="AF1169" s="47"/>
      <c r="AG1169" s="47"/>
      <c r="AH1169" s="47"/>
      <c r="AI1169" s="47"/>
      <c r="AJ1169" s="47"/>
      <c r="AK1169" s="47"/>
      <c r="AL1169" s="47"/>
      <c r="AM1169" s="47"/>
      <c r="AN1169" s="47"/>
      <c r="AO1169" s="47"/>
      <c r="AP1169" s="47"/>
      <c r="AQ1169" s="47"/>
      <c r="AR1169" s="47"/>
      <c r="AS1169" s="47"/>
      <c r="AT1169" s="47"/>
      <c r="AU1169" s="47"/>
      <c r="AV1169" s="47"/>
      <c r="AW1169" s="47"/>
      <c r="AX1169" s="47"/>
      <c r="AY1169" s="47"/>
      <c r="AZ1169" s="47"/>
      <c r="BA1169" s="47"/>
      <c r="BB1169" s="47"/>
      <c r="BC1169" s="47"/>
      <c r="BD1169" s="47"/>
      <c r="BE1169" s="47"/>
      <c r="BF1169" s="47"/>
    </row>
    <row r="1170" spans="3:58">
      <c r="C1170" s="47"/>
      <c r="D1170" s="47"/>
      <c r="E1170" s="47"/>
      <c r="F1170" s="47"/>
      <c r="G1170" s="47"/>
      <c r="H1170" s="47"/>
      <c r="I1170" s="47"/>
      <c r="J1170" s="47"/>
      <c r="K1170" s="47"/>
      <c r="L1170" s="47"/>
      <c r="M1170" s="47"/>
      <c r="N1170" s="47"/>
      <c r="O1170" s="47"/>
      <c r="P1170" s="47"/>
      <c r="Q1170" s="85"/>
      <c r="R1170" s="85"/>
      <c r="S1170" s="85"/>
      <c r="T1170" s="85"/>
      <c r="U1170" s="85"/>
      <c r="V1170" s="85"/>
      <c r="W1170" s="85"/>
      <c r="X1170" s="85"/>
      <c r="Y1170" s="85"/>
      <c r="Z1170" s="85"/>
      <c r="AA1170" s="85"/>
      <c r="AB1170" s="85"/>
      <c r="AC1170" s="85"/>
      <c r="AD1170" s="85"/>
      <c r="AE1170" s="47"/>
      <c r="AF1170" s="47"/>
      <c r="AG1170" s="47"/>
      <c r="AH1170" s="47"/>
      <c r="AI1170" s="47"/>
      <c r="AJ1170" s="47"/>
      <c r="AK1170" s="47"/>
      <c r="AL1170" s="47"/>
      <c r="AM1170" s="47"/>
      <c r="AN1170" s="47"/>
      <c r="AO1170" s="47"/>
      <c r="AP1170" s="47"/>
      <c r="AQ1170" s="47"/>
      <c r="AR1170" s="47"/>
      <c r="AS1170" s="47"/>
      <c r="AT1170" s="47"/>
      <c r="AU1170" s="47"/>
      <c r="AV1170" s="47"/>
      <c r="AW1170" s="47"/>
      <c r="AX1170" s="47"/>
      <c r="AY1170" s="47"/>
      <c r="AZ1170" s="47"/>
      <c r="BA1170" s="47"/>
      <c r="BB1170" s="47"/>
      <c r="BC1170" s="47"/>
      <c r="BD1170" s="47"/>
      <c r="BE1170" s="47"/>
      <c r="BF1170" s="47"/>
    </row>
    <row r="1171" spans="3:58">
      <c r="C1171" s="47"/>
      <c r="D1171" s="47"/>
      <c r="E1171" s="47"/>
      <c r="F1171" s="47"/>
      <c r="G1171" s="47"/>
      <c r="H1171" s="47"/>
      <c r="I1171" s="47"/>
      <c r="J1171" s="47"/>
      <c r="K1171" s="47"/>
      <c r="L1171" s="47"/>
      <c r="M1171" s="47"/>
      <c r="N1171" s="47"/>
      <c r="O1171" s="47"/>
      <c r="P1171" s="47"/>
      <c r="Q1171" s="85"/>
      <c r="R1171" s="85"/>
      <c r="S1171" s="85"/>
      <c r="T1171" s="85"/>
      <c r="U1171" s="85"/>
      <c r="V1171" s="85"/>
      <c r="W1171" s="85"/>
      <c r="X1171" s="85"/>
      <c r="Y1171" s="85"/>
      <c r="Z1171" s="85"/>
      <c r="AA1171" s="85"/>
      <c r="AB1171" s="85"/>
      <c r="AC1171" s="85"/>
      <c r="AD1171" s="85"/>
      <c r="AE1171" s="47"/>
      <c r="AF1171" s="47"/>
      <c r="AG1171" s="47"/>
      <c r="AH1171" s="47"/>
      <c r="AI1171" s="47"/>
      <c r="AJ1171" s="47"/>
      <c r="AK1171" s="47"/>
      <c r="AL1171" s="47"/>
      <c r="AM1171" s="47"/>
      <c r="AN1171" s="47"/>
      <c r="AO1171" s="47"/>
      <c r="AP1171" s="47"/>
      <c r="AQ1171" s="47"/>
      <c r="AR1171" s="47"/>
      <c r="AS1171" s="47"/>
      <c r="AT1171" s="47"/>
      <c r="AU1171" s="47"/>
      <c r="AV1171" s="47"/>
      <c r="AW1171" s="47"/>
      <c r="AX1171" s="47"/>
      <c r="AY1171" s="47"/>
      <c r="AZ1171" s="47"/>
      <c r="BA1171" s="47"/>
      <c r="BB1171" s="47"/>
      <c r="BC1171" s="47"/>
      <c r="BD1171" s="47"/>
      <c r="BE1171" s="47"/>
      <c r="BF1171" s="47"/>
    </row>
    <row r="1172" spans="3:58">
      <c r="C1172" s="47"/>
      <c r="D1172" s="47"/>
      <c r="E1172" s="47"/>
      <c r="F1172" s="47"/>
      <c r="G1172" s="47"/>
      <c r="H1172" s="47"/>
      <c r="I1172" s="47"/>
      <c r="J1172" s="47"/>
      <c r="K1172" s="47"/>
      <c r="L1172" s="47"/>
      <c r="M1172" s="47"/>
      <c r="N1172" s="47"/>
      <c r="O1172" s="47"/>
      <c r="P1172" s="47"/>
      <c r="Q1172" s="85"/>
      <c r="R1172" s="85"/>
      <c r="S1172" s="85"/>
      <c r="T1172" s="85"/>
      <c r="U1172" s="85"/>
      <c r="V1172" s="85"/>
      <c r="W1172" s="85"/>
      <c r="X1172" s="85"/>
      <c r="Y1172" s="85"/>
      <c r="Z1172" s="85"/>
      <c r="AA1172" s="85"/>
      <c r="AB1172" s="85"/>
      <c r="AC1172" s="85"/>
      <c r="AD1172" s="85"/>
      <c r="AE1172" s="47"/>
      <c r="AF1172" s="47"/>
      <c r="AG1172" s="47"/>
      <c r="AH1172" s="47"/>
      <c r="AI1172" s="47"/>
      <c r="AJ1172" s="47"/>
      <c r="AK1172" s="47"/>
      <c r="AL1172" s="47"/>
      <c r="AM1172" s="47"/>
      <c r="AN1172" s="47"/>
      <c r="AO1172" s="47"/>
      <c r="AP1172" s="47"/>
      <c r="AQ1172" s="47"/>
      <c r="AR1172" s="47"/>
      <c r="AS1172" s="47"/>
      <c r="AT1172" s="47"/>
      <c r="AU1172" s="47"/>
      <c r="AV1172" s="47"/>
      <c r="AW1172" s="47"/>
      <c r="AX1172" s="47"/>
      <c r="AY1172" s="47"/>
      <c r="AZ1172" s="47"/>
      <c r="BA1172" s="47"/>
      <c r="BB1172" s="47"/>
      <c r="BC1172" s="47"/>
      <c r="BD1172" s="47"/>
      <c r="BE1172" s="47"/>
      <c r="BF1172" s="47"/>
    </row>
    <row r="1173" spans="3:58">
      <c r="C1173" s="47"/>
      <c r="D1173" s="47"/>
      <c r="E1173" s="47"/>
      <c r="F1173" s="47"/>
      <c r="G1173" s="47"/>
      <c r="H1173" s="47"/>
      <c r="I1173" s="47"/>
      <c r="J1173" s="47"/>
      <c r="K1173" s="47"/>
      <c r="L1173" s="47"/>
      <c r="M1173" s="47"/>
      <c r="N1173" s="47"/>
      <c r="O1173" s="47"/>
      <c r="P1173" s="47"/>
      <c r="Q1173" s="85"/>
      <c r="R1173" s="85"/>
      <c r="S1173" s="85"/>
      <c r="T1173" s="85"/>
      <c r="U1173" s="85"/>
      <c r="V1173" s="85"/>
      <c r="W1173" s="85"/>
      <c r="X1173" s="85"/>
      <c r="Y1173" s="85"/>
      <c r="Z1173" s="85"/>
      <c r="AA1173" s="85"/>
      <c r="AB1173" s="85"/>
      <c r="AC1173" s="85"/>
      <c r="AD1173" s="85"/>
      <c r="AE1173" s="47"/>
      <c r="AF1173" s="47"/>
      <c r="AG1173" s="47"/>
      <c r="AH1173" s="47"/>
      <c r="AI1173" s="47"/>
      <c r="AJ1173" s="47"/>
      <c r="AK1173" s="47"/>
      <c r="AL1173" s="47"/>
      <c r="AM1173" s="47"/>
      <c r="AN1173" s="47"/>
      <c r="AO1173" s="47"/>
      <c r="AP1173" s="47"/>
      <c r="AQ1173" s="47"/>
      <c r="AR1173" s="47"/>
      <c r="AS1173" s="47"/>
      <c r="AT1173" s="47"/>
      <c r="AU1173" s="47"/>
      <c r="AV1173" s="47"/>
      <c r="AW1173" s="47"/>
      <c r="AX1173" s="47"/>
      <c r="AY1173" s="47"/>
      <c r="AZ1173" s="47"/>
      <c r="BA1173" s="47"/>
      <c r="BB1173" s="47"/>
      <c r="BC1173" s="47"/>
      <c r="BD1173" s="47"/>
      <c r="BE1173" s="47"/>
      <c r="BF1173" s="47"/>
    </row>
    <row r="1174" spans="3:58">
      <c r="C1174" s="47"/>
      <c r="D1174" s="47"/>
      <c r="E1174" s="47"/>
      <c r="F1174" s="47"/>
      <c r="G1174" s="47"/>
      <c r="H1174" s="47"/>
      <c r="I1174" s="47"/>
      <c r="J1174" s="47"/>
      <c r="K1174" s="47"/>
      <c r="L1174" s="47"/>
      <c r="M1174" s="47"/>
      <c r="N1174" s="47"/>
      <c r="O1174" s="47"/>
      <c r="P1174" s="47"/>
      <c r="Q1174" s="85"/>
      <c r="R1174" s="85"/>
      <c r="S1174" s="85"/>
      <c r="T1174" s="85"/>
      <c r="U1174" s="85"/>
      <c r="V1174" s="85"/>
      <c r="W1174" s="85"/>
      <c r="X1174" s="85"/>
      <c r="Y1174" s="85"/>
      <c r="Z1174" s="85"/>
      <c r="AA1174" s="85"/>
      <c r="AB1174" s="85"/>
      <c r="AC1174" s="85"/>
      <c r="AD1174" s="85"/>
      <c r="AE1174" s="47"/>
      <c r="AF1174" s="47"/>
      <c r="AG1174" s="47"/>
      <c r="AH1174" s="47"/>
      <c r="AI1174" s="47"/>
      <c r="AJ1174" s="47"/>
      <c r="AK1174" s="47"/>
      <c r="AL1174" s="47"/>
      <c r="AM1174" s="47"/>
      <c r="AN1174" s="47"/>
      <c r="AO1174" s="47"/>
      <c r="AP1174" s="47"/>
      <c r="AQ1174" s="47"/>
      <c r="AR1174" s="47"/>
      <c r="AS1174" s="47"/>
      <c r="AT1174" s="47"/>
      <c r="AU1174" s="47"/>
      <c r="AV1174" s="47"/>
      <c r="AW1174" s="47"/>
      <c r="AX1174" s="47"/>
      <c r="AY1174" s="47"/>
      <c r="AZ1174" s="47"/>
      <c r="BA1174" s="47"/>
      <c r="BB1174" s="47"/>
      <c r="BC1174" s="47"/>
      <c r="BD1174" s="47"/>
      <c r="BE1174" s="47"/>
      <c r="BF1174" s="47"/>
    </row>
    <row r="1175" spans="3:58">
      <c r="C1175" s="47"/>
      <c r="D1175" s="47"/>
      <c r="E1175" s="47"/>
      <c r="F1175" s="47"/>
      <c r="G1175" s="47"/>
      <c r="H1175" s="47"/>
      <c r="I1175" s="47"/>
      <c r="J1175" s="47"/>
      <c r="K1175" s="47"/>
      <c r="L1175" s="47"/>
      <c r="M1175" s="47"/>
      <c r="N1175" s="47"/>
      <c r="O1175" s="47"/>
      <c r="P1175" s="47"/>
      <c r="Q1175" s="85"/>
      <c r="R1175" s="85"/>
      <c r="S1175" s="85"/>
      <c r="T1175" s="85"/>
      <c r="U1175" s="85"/>
      <c r="V1175" s="85"/>
      <c r="W1175" s="85"/>
      <c r="X1175" s="85"/>
      <c r="Y1175" s="85"/>
      <c r="Z1175" s="85"/>
      <c r="AA1175" s="85"/>
      <c r="AB1175" s="85"/>
      <c r="AC1175" s="85"/>
      <c r="AD1175" s="85"/>
      <c r="AE1175" s="47"/>
      <c r="AF1175" s="47"/>
      <c r="AG1175" s="47"/>
      <c r="AH1175" s="47"/>
      <c r="AI1175" s="47"/>
      <c r="AJ1175" s="47"/>
      <c r="AK1175" s="47"/>
      <c r="AL1175" s="47"/>
      <c r="AM1175" s="47"/>
      <c r="AN1175" s="47"/>
      <c r="AO1175" s="47"/>
      <c r="AP1175" s="47"/>
      <c r="AQ1175" s="47"/>
      <c r="AR1175" s="47"/>
      <c r="AS1175" s="47"/>
      <c r="AT1175" s="47"/>
      <c r="AU1175" s="47"/>
      <c r="AV1175" s="47"/>
      <c r="AW1175" s="47"/>
      <c r="AX1175" s="47"/>
      <c r="AY1175" s="47"/>
      <c r="AZ1175" s="47"/>
      <c r="BA1175" s="47"/>
      <c r="BB1175" s="47"/>
      <c r="BC1175" s="47"/>
      <c r="BD1175" s="47"/>
      <c r="BE1175" s="47"/>
      <c r="BF1175" s="47"/>
    </row>
    <row r="1176" spans="3:58">
      <c r="C1176" s="47"/>
      <c r="D1176" s="47"/>
      <c r="E1176" s="47"/>
      <c r="F1176" s="47"/>
      <c r="G1176" s="47"/>
      <c r="H1176" s="47"/>
      <c r="I1176" s="47"/>
      <c r="J1176" s="47"/>
      <c r="K1176" s="47"/>
      <c r="L1176" s="47"/>
      <c r="M1176" s="47"/>
      <c r="N1176" s="47"/>
      <c r="O1176" s="47"/>
      <c r="P1176" s="47"/>
      <c r="Q1176" s="85"/>
      <c r="R1176" s="85"/>
      <c r="S1176" s="85"/>
      <c r="T1176" s="85"/>
      <c r="U1176" s="85"/>
      <c r="V1176" s="85"/>
      <c r="W1176" s="85"/>
      <c r="X1176" s="85"/>
      <c r="Y1176" s="85"/>
      <c r="Z1176" s="85"/>
      <c r="AA1176" s="85"/>
      <c r="AB1176" s="85"/>
      <c r="AC1176" s="85"/>
      <c r="AD1176" s="85"/>
      <c r="AE1176" s="47"/>
      <c r="AF1176" s="47"/>
      <c r="AG1176" s="47"/>
      <c r="AH1176" s="47"/>
      <c r="AI1176" s="47"/>
      <c r="AJ1176" s="47"/>
      <c r="AK1176" s="47"/>
      <c r="AL1176" s="47"/>
      <c r="AM1176" s="47"/>
      <c r="AN1176" s="47"/>
      <c r="AO1176" s="47"/>
      <c r="AP1176" s="47"/>
      <c r="AQ1176" s="47"/>
      <c r="AR1176" s="47"/>
      <c r="AS1176" s="47"/>
      <c r="AT1176" s="47"/>
      <c r="AU1176" s="47"/>
      <c r="AV1176" s="47"/>
      <c r="AW1176" s="47"/>
      <c r="AX1176" s="47"/>
      <c r="AY1176" s="47"/>
      <c r="AZ1176" s="47"/>
      <c r="BA1176" s="47"/>
      <c r="BB1176" s="47"/>
      <c r="BC1176" s="47"/>
      <c r="BD1176" s="47"/>
      <c r="BE1176" s="47"/>
      <c r="BF1176" s="47"/>
    </row>
    <row r="1177" spans="3:58">
      <c r="C1177" s="47"/>
      <c r="D1177" s="47"/>
      <c r="E1177" s="47"/>
      <c r="F1177" s="47"/>
      <c r="G1177" s="47"/>
      <c r="H1177" s="47"/>
      <c r="I1177" s="47"/>
      <c r="J1177" s="47"/>
      <c r="K1177" s="47"/>
      <c r="L1177" s="47"/>
      <c r="M1177" s="47"/>
      <c r="N1177" s="47"/>
      <c r="O1177" s="47"/>
      <c r="P1177" s="47"/>
      <c r="Q1177" s="85"/>
      <c r="R1177" s="85"/>
      <c r="S1177" s="85"/>
      <c r="T1177" s="85"/>
      <c r="U1177" s="85"/>
      <c r="V1177" s="85"/>
      <c r="W1177" s="85"/>
      <c r="X1177" s="85"/>
      <c r="Y1177" s="85"/>
      <c r="Z1177" s="85"/>
      <c r="AA1177" s="85"/>
      <c r="AB1177" s="85"/>
      <c r="AC1177" s="85"/>
      <c r="AD1177" s="85"/>
      <c r="AE1177" s="47"/>
      <c r="AF1177" s="47"/>
      <c r="AG1177" s="47"/>
      <c r="AH1177" s="47"/>
      <c r="AI1177" s="47"/>
      <c r="AJ1177" s="47"/>
      <c r="AK1177" s="47"/>
      <c r="AL1177" s="47"/>
      <c r="AM1177" s="47"/>
      <c r="AN1177" s="47"/>
      <c r="AO1177" s="47"/>
      <c r="AP1177" s="47"/>
      <c r="AQ1177" s="47"/>
      <c r="AR1177" s="47"/>
      <c r="AS1177" s="47"/>
      <c r="AT1177" s="47"/>
      <c r="AU1177" s="47"/>
      <c r="AV1177" s="47"/>
      <c r="AW1177" s="47"/>
      <c r="AX1177" s="47"/>
      <c r="AY1177" s="47"/>
      <c r="AZ1177" s="47"/>
      <c r="BA1177" s="47"/>
      <c r="BB1177" s="47"/>
      <c r="BC1177" s="47"/>
      <c r="BD1177" s="47"/>
      <c r="BE1177" s="47"/>
      <c r="BF1177" s="47"/>
    </row>
    <row r="1178" spans="3:58">
      <c r="C1178" s="47"/>
      <c r="D1178" s="47"/>
      <c r="E1178" s="47"/>
      <c r="F1178" s="47"/>
      <c r="G1178" s="47"/>
      <c r="H1178" s="47"/>
      <c r="I1178" s="47"/>
      <c r="J1178" s="47"/>
      <c r="K1178" s="47"/>
      <c r="L1178" s="47"/>
      <c r="M1178" s="47"/>
      <c r="N1178" s="47"/>
      <c r="O1178" s="47"/>
      <c r="P1178" s="47"/>
      <c r="Q1178" s="85"/>
      <c r="R1178" s="85"/>
      <c r="S1178" s="85"/>
      <c r="T1178" s="85"/>
      <c r="U1178" s="85"/>
      <c r="V1178" s="85"/>
      <c r="W1178" s="85"/>
      <c r="X1178" s="85"/>
      <c r="Y1178" s="85"/>
      <c r="Z1178" s="85"/>
      <c r="AA1178" s="85"/>
      <c r="AB1178" s="85"/>
      <c r="AC1178" s="85"/>
      <c r="AD1178" s="85"/>
      <c r="AE1178" s="47"/>
      <c r="AF1178" s="47"/>
      <c r="AG1178" s="47"/>
      <c r="AH1178" s="47"/>
      <c r="AI1178" s="47"/>
      <c r="AJ1178" s="47"/>
      <c r="AK1178" s="47"/>
      <c r="AL1178" s="47"/>
      <c r="AM1178" s="47"/>
      <c r="AN1178" s="47"/>
      <c r="AO1178" s="47"/>
      <c r="AP1178" s="47"/>
      <c r="AQ1178" s="47"/>
      <c r="AR1178" s="47"/>
      <c r="AS1178" s="47"/>
      <c r="AT1178" s="47"/>
      <c r="AU1178" s="47"/>
      <c r="AV1178" s="47"/>
      <c r="AW1178" s="47"/>
      <c r="AX1178" s="47"/>
      <c r="AY1178" s="47"/>
      <c r="AZ1178" s="47"/>
      <c r="BA1178" s="47"/>
      <c r="BB1178" s="47"/>
      <c r="BC1178" s="47"/>
      <c r="BD1178" s="47"/>
      <c r="BE1178" s="47"/>
      <c r="BF1178" s="47"/>
    </row>
    <row r="1179" spans="3:58">
      <c r="C1179" s="47"/>
      <c r="D1179" s="47"/>
      <c r="E1179" s="47"/>
      <c r="F1179" s="47"/>
      <c r="G1179" s="47"/>
      <c r="H1179" s="47"/>
      <c r="I1179" s="47"/>
      <c r="J1179" s="47"/>
      <c r="K1179" s="47"/>
      <c r="L1179" s="47"/>
      <c r="M1179" s="47"/>
      <c r="N1179" s="47"/>
      <c r="O1179" s="47"/>
      <c r="P1179" s="47"/>
      <c r="Q1179" s="85"/>
      <c r="R1179" s="85"/>
      <c r="S1179" s="85"/>
      <c r="T1179" s="85"/>
      <c r="U1179" s="85"/>
      <c r="V1179" s="85"/>
      <c r="W1179" s="85"/>
      <c r="X1179" s="85"/>
      <c r="Y1179" s="85"/>
      <c r="Z1179" s="85"/>
      <c r="AA1179" s="85"/>
      <c r="AB1179" s="85"/>
      <c r="AC1179" s="85"/>
      <c r="AD1179" s="85"/>
      <c r="AE1179" s="47"/>
      <c r="AF1179" s="47"/>
      <c r="AG1179" s="47"/>
      <c r="AH1179" s="47"/>
      <c r="AI1179" s="47"/>
      <c r="AJ1179" s="47"/>
      <c r="AK1179" s="47"/>
      <c r="AL1179" s="47"/>
      <c r="AM1179" s="47"/>
      <c r="AN1179" s="47"/>
      <c r="AO1179" s="47"/>
      <c r="AP1179" s="47"/>
      <c r="AQ1179" s="47"/>
      <c r="AR1179" s="47"/>
      <c r="AS1179" s="47"/>
      <c r="AT1179" s="47"/>
      <c r="AU1179" s="47"/>
      <c r="AV1179" s="47"/>
      <c r="AW1179" s="47"/>
      <c r="AX1179" s="47"/>
      <c r="AY1179" s="47"/>
      <c r="AZ1179" s="47"/>
      <c r="BA1179" s="47"/>
      <c r="BB1179" s="47"/>
      <c r="BC1179" s="47"/>
      <c r="BD1179" s="47"/>
      <c r="BE1179" s="47"/>
      <c r="BF1179" s="47"/>
    </row>
    <row r="1180" spans="3:58">
      <c r="C1180" s="47"/>
      <c r="D1180" s="47"/>
      <c r="E1180" s="47"/>
      <c r="F1180" s="47"/>
      <c r="G1180" s="47"/>
      <c r="H1180" s="47"/>
      <c r="I1180" s="47"/>
      <c r="J1180" s="47"/>
      <c r="K1180" s="47"/>
      <c r="L1180" s="47"/>
      <c r="M1180" s="47"/>
      <c r="N1180" s="47"/>
      <c r="O1180" s="47"/>
      <c r="P1180" s="47"/>
      <c r="Q1180" s="85"/>
      <c r="R1180" s="85"/>
      <c r="S1180" s="85"/>
      <c r="T1180" s="85"/>
      <c r="U1180" s="85"/>
      <c r="V1180" s="85"/>
      <c r="W1180" s="85"/>
      <c r="X1180" s="85"/>
      <c r="Y1180" s="85"/>
      <c r="Z1180" s="85"/>
      <c r="AA1180" s="85"/>
      <c r="AB1180" s="85"/>
      <c r="AC1180" s="85"/>
      <c r="AD1180" s="85"/>
      <c r="AE1180" s="47"/>
      <c r="AF1180" s="47"/>
      <c r="AG1180" s="47"/>
      <c r="AH1180" s="47"/>
      <c r="AI1180" s="47"/>
      <c r="AJ1180" s="47"/>
      <c r="AK1180" s="47"/>
      <c r="AL1180" s="47"/>
      <c r="AM1180" s="47"/>
      <c r="AN1180" s="47"/>
      <c r="AO1180" s="47"/>
      <c r="AP1180" s="47"/>
      <c r="AQ1180" s="47"/>
      <c r="AR1180" s="47"/>
      <c r="AS1180" s="47"/>
      <c r="AT1180" s="47"/>
      <c r="AU1180" s="47"/>
      <c r="AV1180" s="47"/>
      <c r="AW1180" s="47"/>
      <c r="AX1180" s="47"/>
      <c r="AY1180" s="47"/>
      <c r="AZ1180" s="47"/>
      <c r="BA1180" s="47"/>
      <c r="BB1180" s="47"/>
      <c r="BC1180" s="47"/>
      <c r="BD1180" s="47"/>
      <c r="BE1180" s="47"/>
      <c r="BF1180" s="47"/>
    </row>
    <row r="1181" spans="3:58">
      <c r="C1181" s="47"/>
      <c r="D1181" s="47"/>
      <c r="E1181" s="47"/>
      <c r="F1181" s="47"/>
      <c r="G1181" s="47"/>
      <c r="H1181" s="47"/>
      <c r="I1181" s="47"/>
      <c r="J1181" s="47"/>
      <c r="K1181" s="47"/>
      <c r="L1181" s="47"/>
      <c r="M1181" s="47"/>
      <c r="N1181" s="47"/>
      <c r="O1181" s="47"/>
      <c r="P1181" s="47"/>
      <c r="Q1181" s="85"/>
      <c r="R1181" s="85"/>
      <c r="S1181" s="85"/>
      <c r="T1181" s="85"/>
      <c r="U1181" s="85"/>
      <c r="V1181" s="85"/>
      <c r="W1181" s="85"/>
      <c r="X1181" s="85"/>
      <c r="Y1181" s="85"/>
      <c r="Z1181" s="85"/>
      <c r="AA1181" s="85"/>
      <c r="AB1181" s="85"/>
      <c r="AC1181" s="85"/>
      <c r="AD1181" s="85"/>
      <c r="AE1181" s="47"/>
      <c r="AF1181" s="47"/>
      <c r="AG1181" s="47"/>
      <c r="AH1181" s="47"/>
      <c r="AI1181" s="47"/>
      <c r="AJ1181" s="47"/>
      <c r="AK1181" s="47"/>
      <c r="AL1181" s="47"/>
      <c r="AM1181" s="47"/>
      <c r="AN1181" s="47"/>
      <c r="AO1181" s="47"/>
      <c r="AP1181" s="47"/>
      <c r="AQ1181" s="47"/>
      <c r="AR1181" s="47"/>
      <c r="AS1181" s="47"/>
      <c r="AT1181" s="47"/>
      <c r="AU1181" s="47"/>
      <c r="AV1181" s="47"/>
      <c r="AW1181" s="47"/>
      <c r="AX1181" s="47"/>
      <c r="AY1181" s="47"/>
      <c r="AZ1181" s="47"/>
      <c r="BA1181" s="47"/>
      <c r="BB1181" s="47"/>
      <c r="BC1181" s="47"/>
      <c r="BD1181" s="47"/>
      <c r="BE1181" s="47"/>
      <c r="BF1181" s="47"/>
    </row>
    <row r="1182" spans="3:58">
      <c r="C1182" s="47"/>
      <c r="D1182" s="47"/>
      <c r="E1182" s="47"/>
      <c r="F1182" s="47"/>
      <c r="G1182" s="47"/>
      <c r="H1182" s="47"/>
      <c r="I1182" s="47"/>
      <c r="J1182" s="47"/>
      <c r="K1182" s="47"/>
      <c r="L1182" s="47"/>
      <c r="M1182" s="47"/>
      <c r="N1182" s="47"/>
      <c r="O1182" s="47"/>
      <c r="P1182" s="47"/>
      <c r="Q1182" s="85"/>
      <c r="R1182" s="85"/>
      <c r="S1182" s="85"/>
      <c r="T1182" s="85"/>
      <c r="U1182" s="85"/>
      <c r="V1182" s="85"/>
      <c r="W1182" s="85"/>
      <c r="X1182" s="85"/>
      <c r="Y1182" s="85"/>
      <c r="Z1182" s="85"/>
      <c r="AA1182" s="85"/>
      <c r="AB1182" s="85"/>
      <c r="AC1182" s="85"/>
      <c r="AD1182" s="85"/>
      <c r="AE1182" s="47"/>
      <c r="AF1182" s="47"/>
      <c r="AG1182" s="47"/>
      <c r="AH1182" s="47"/>
      <c r="AI1182" s="47"/>
      <c r="AJ1182" s="47"/>
      <c r="AK1182" s="47"/>
      <c r="AL1182" s="47"/>
      <c r="AM1182" s="47"/>
      <c r="AN1182" s="47"/>
      <c r="AO1182" s="47"/>
      <c r="AP1182" s="47"/>
      <c r="AQ1182" s="47"/>
      <c r="AR1182" s="47"/>
      <c r="AS1182" s="47"/>
      <c r="AT1182" s="47"/>
      <c r="AU1182" s="47"/>
      <c r="AV1182" s="47"/>
      <c r="AW1182" s="47"/>
      <c r="AX1182" s="47"/>
      <c r="AY1182" s="47"/>
      <c r="AZ1182" s="47"/>
      <c r="BA1182" s="47"/>
      <c r="BB1182" s="47"/>
      <c r="BC1182" s="47"/>
      <c r="BD1182" s="47"/>
      <c r="BE1182" s="47"/>
      <c r="BF1182" s="47"/>
    </row>
    <row r="1183" spans="3:58">
      <c r="C1183" s="47"/>
      <c r="D1183" s="47"/>
      <c r="E1183" s="47"/>
      <c r="F1183" s="47"/>
      <c r="G1183" s="47"/>
      <c r="H1183" s="47"/>
      <c r="I1183" s="47"/>
      <c r="J1183" s="47"/>
      <c r="K1183" s="47"/>
      <c r="L1183" s="47"/>
      <c r="M1183" s="47"/>
      <c r="N1183" s="47"/>
      <c r="O1183" s="47"/>
      <c r="P1183" s="47"/>
      <c r="Q1183" s="85"/>
      <c r="R1183" s="85"/>
      <c r="S1183" s="85"/>
      <c r="T1183" s="85"/>
      <c r="U1183" s="85"/>
      <c r="V1183" s="85"/>
      <c r="W1183" s="85"/>
      <c r="X1183" s="85"/>
      <c r="Y1183" s="85"/>
      <c r="Z1183" s="85"/>
      <c r="AA1183" s="85"/>
      <c r="AB1183" s="85"/>
      <c r="AC1183" s="85"/>
      <c r="AD1183" s="85"/>
      <c r="AE1183" s="47"/>
      <c r="AF1183" s="47"/>
      <c r="AG1183" s="47"/>
      <c r="AH1183" s="47"/>
      <c r="AI1183" s="47"/>
      <c r="AJ1183" s="47"/>
      <c r="AK1183" s="47"/>
      <c r="AL1183" s="47"/>
      <c r="AM1183" s="47"/>
      <c r="AN1183" s="47"/>
      <c r="AO1183" s="47"/>
      <c r="AP1183" s="47"/>
      <c r="AQ1183" s="47"/>
      <c r="AR1183" s="47"/>
      <c r="AS1183" s="47"/>
      <c r="AT1183" s="47"/>
      <c r="AU1183" s="47"/>
      <c r="AV1183" s="47"/>
      <c r="AW1183" s="47"/>
      <c r="AX1183" s="47"/>
      <c r="AY1183" s="47"/>
      <c r="AZ1183" s="47"/>
      <c r="BA1183" s="47"/>
      <c r="BB1183" s="47"/>
      <c r="BC1183" s="47"/>
      <c r="BD1183" s="47"/>
      <c r="BE1183" s="47"/>
      <c r="BF1183" s="47"/>
    </row>
    <row r="1184" spans="3:58">
      <c r="C1184" s="47"/>
      <c r="D1184" s="47"/>
      <c r="E1184" s="47"/>
      <c r="F1184" s="47"/>
      <c r="G1184" s="47"/>
      <c r="H1184" s="47"/>
      <c r="I1184" s="47"/>
      <c r="J1184" s="47"/>
      <c r="K1184" s="47"/>
      <c r="L1184" s="47"/>
      <c r="M1184" s="47"/>
      <c r="N1184" s="47"/>
      <c r="O1184" s="47"/>
      <c r="P1184" s="47"/>
      <c r="Q1184" s="85"/>
      <c r="R1184" s="85"/>
      <c r="S1184" s="85"/>
      <c r="T1184" s="85"/>
      <c r="U1184" s="85"/>
      <c r="V1184" s="85"/>
      <c r="W1184" s="85"/>
      <c r="X1184" s="85"/>
      <c r="Y1184" s="85"/>
      <c r="Z1184" s="85"/>
      <c r="AA1184" s="85"/>
      <c r="AB1184" s="85"/>
      <c r="AC1184" s="85"/>
      <c r="AD1184" s="85"/>
      <c r="AE1184" s="47"/>
      <c r="AF1184" s="47"/>
      <c r="AG1184" s="47"/>
      <c r="AH1184" s="47"/>
      <c r="AI1184" s="47"/>
      <c r="AJ1184" s="47"/>
      <c r="AK1184" s="47"/>
      <c r="AL1184" s="47"/>
      <c r="AM1184" s="47"/>
      <c r="AN1184" s="47"/>
      <c r="AO1184" s="47"/>
      <c r="AP1184" s="47"/>
      <c r="AQ1184" s="47"/>
      <c r="AR1184" s="47"/>
      <c r="AS1184" s="47"/>
      <c r="AT1184" s="47"/>
      <c r="AU1184" s="47"/>
      <c r="AV1184" s="47"/>
      <c r="AW1184" s="47"/>
      <c r="AX1184" s="47"/>
      <c r="AY1184" s="47"/>
      <c r="AZ1184" s="47"/>
      <c r="BA1184" s="47"/>
      <c r="BB1184" s="47"/>
      <c r="BC1184" s="47"/>
      <c r="BD1184" s="47"/>
      <c r="BE1184" s="47"/>
      <c r="BF1184" s="47"/>
    </row>
    <row r="1185" spans="3:58">
      <c r="C1185" s="47"/>
      <c r="D1185" s="47"/>
      <c r="E1185" s="47"/>
      <c r="F1185" s="47"/>
      <c r="G1185" s="47"/>
      <c r="H1185" s="47"/>
      <c r="I1185" s="47"/>
      <c r="J1185" s="47"/>
      <c r="K1185" s="47"/>
      <c r="L1185" s="47"/>
      <c r="M1185" s="47"/>
      <c r="N1185" s="47"/>
      <c r="O1185" s="47"/>
      <c r="P1185" s="47"/>
      <c r="Q1185" s="85"/>
      <c r="R1185" s="85"/>
      <c r="S1185" s="85"/>
      <c r="T1185" s="85"/>
      <c r="U1185" s="85"/>
      <c r="V1185" s="85"/>
      <c r="W1185" s="85"/>
      <c r="X1185" s="85"/>
      <c r="Y1185" s="85"/>
      <c r="Z1185" s="85"/>
      <c r="AA1185" s="85"/>
      <c r="AB1185" s="85"/>
      <c r="AC1185" s="85"/>
      <c r="AD1185" s="85"/>
      <c r="AE1185" s="47"/>
      <c r="AF1185" s="47"/>
      <c r="AG1185" s="47"/>
      <c r="AH1185" s="47"/>
      <c r="AI1185" s="47"/>
      <c r="AJ1185" s="47"/>
      <c r="AK1185" s="47"/>
      <c r="AL1185" s="47"/>
      <c r="AM1185" s="47"/>
      <c r="AN1185" s="47"/>
      <c r="AO1185" s="47"/>
      <c r="AP1185" s="47"/>
      <c r="AQ1185" s="47"/>
      <c r="AR1185" s="47"/>
      <c r="AS1185" s="47"/>
      <c r="AT1185" s="47"/>
      <c r="AU1185" s="47"/>
      <c r="AV1185" s="47"/>
      <c r="AW1185" s="47"/>
      <c r="AX1185" s="47"/>
      <c r="AY1185" s="47"/>
      <c r="AZ1185" s="47"/>
      <c r="BA1185" s="47"/>
      <c r="BB1185" s="47"/>
      <c r="BC1185" s="47"/>
      <c r="BD1185" s="47"/>
      <c r="BE1185" s="47"/>
      <c r="BF1185" s="47"/>
    </row>
    <row r="1186" spans="3:58">
      <c r="C1186" s="47"/>
      <c r="D1186" s="47"/>
      <c r="E1186" s="47"/>
      <c r="F1186" s="47"/>
      <c r="G1186" s="47"/>
      <c r="H1186" s="47"/>
      <c r="I1186" s="47"/>
      <c r="J1186" s="47"/>
      <c r="K1186" s="47"/>
      <c r="L1186" s="47"/>
      <c r="M1186" s="47"/>
      <c r="N1186" s="47"/>
      <c r="O1186" s="47"/>
      <c r="P1186" s="47"/>
      <c r="Q1186" s="85"/>
      <c r="R1186" s="85"/>
      <c r="S1186" s="85"/>
      <c r="T1186" s="85"/>
      <c r="U1186" s="85"/>
      <c r="V1186" s="85"/>
      <c r="W1186" s="85"/>
      <c r="X1186" s="85"/>
      <c r="Y1186" s="85"/>
      <c r="Z1186" s="85"/>
      <c r="AA1186" s="85"/>
      <c r="AB1186" s="85"/>
      <c r="AC1186" s="85"/>
      <c r="AD1186" s="85"/>
      <c r="AE1186" s="47"/>
      <c r="AF1186" s="47"/>
      <c r="AG1186" s="47"/>
      <c r="AH1186" s="47"/>
      <c r="AI1186" s="47"/>
      <c r="AJ1186" s="47"/>
      <c r="AK1186" s="47"/>
      <c r="AL1186" s="47"/>
      <c r="AM1186" s="47"/>
      <c r="AN1186" s="47"/>
      <c r="AO1186" s="47"/>
      <c r="AP1186" s="47"/>
      <c r="AQ1186" s="47"/>
      <c r="AR1186" s="47"/>
      <c r="AS1186" s="47"/>
      <c r="AT1186" s="47"/>
      <c r="AU1186" s="47"/>
      <c r="AV1186" s="47"/>
      <c r="AW1186" s="47"/>
      <c r="AX1186" s="47"/>
      <c r="AY1186" s="47"/>
      <c r="AZ1186" s="47"/>
      <c r="BA1186" s="47"/>
      <c r="BB1186" s="47"/>
      <c r="BC1186" s="47"/>
      <c r="BD1186" s="47"/>
      <c r="BE1186" s="47"/>
      <c r="BF1186" s="47"/>
    </row>
    <row r="1187" spans="3:58">
      <c r="C1187" s="47"/>
      <c r="D1187" s="47"/>
      <c r="E1187" s="47"/>
      <c r="F1187" s="47"/>
      <c r="G1187" s="47"/>
      <c r="H1187" s="47"/>
      <c r="I1187" s="47"/>
      <c r="J1187" s="47"/>
      <c r="K1187" s="47"/>
      <c r="L1187" s="47"/>
      <c r="M1187" s="47"/>
      <c r="N1187" s="47"/>
      <c r="O1187" s="47"/>
      <c r="P1187" s="47"/>
      <c r="Q1187" s="85"/>
      <c r="R1187" s="85"/>
      <c r="S1187" s="85"/>
      <c r="T1187" s="85"/>
      <c r="U1187" s="85"/>
      <c r="V1187" s="85"/>
      <c r="W1187" s="85"/>
      <c r="X1187" s="85"/>
      <c r="Y1187" s="85"/>
      <c r="Z1187" s="85"/>
      <c r="AA1187" s="85"/>
      <c r="AB1187" s="85"/>
      <c r="AC1187" s="85"/>
      <c r="AD1187" s="85"/>
      <c r="AE1187" s="47"/>
      <c r="AF1187" s="47"/>
      <c r="AG1187" s="47"/>
      <c r="AH1187" s="47"/>
      <c r="AI1187" s="47"/>
      <c r="AJ1187" s="47"/>
      <c r="AK1187" s="47"/>
      <c r="AL1187" s="47"/>
      <c r="AM1187" s="47"/>
      <c r="AN1187" s="47"/>
      <c r="AO1187" s="47"/>
      <c r="AP1187" s="47"/>
      <c r="AQ1187" s="47"/>
      <c r="AR1187" s="47"/>
      <c r="AS1187" s="47"/>
      <c r="AT1187" s="47"/>
      <c r="AU1187" s="47"/>
      <c r="AV1187" s="47"/>
      <c r="AW1187" s="47"/>
      <c r="AX1187" s="47"/>
      <c r="AY1187" s="47"/>
      <c r="AZ1187" s="47"/>
      <c r="BA1187" s="47"/>
      <c r="BB1187" s="47"/>
      <c r="BC1187" s="47"/>
      <c r="BD1187" s="47"/>
      <c r="BE1187" s="47"/>
      <c r="BF1187" s="47"/>
    </row>
    <row r="1188" spans="3:58">
      <c r="C1188" s="47"/>
      <c r="D1188" s="47"/>
      <c r="E1188" s="47"/>
      <c r="F1188" s="47"/>
      <c r="G1188" s="47"/>
      <c r="H1188" s="47"/>
      <c r="I1188" s="47"/>
      <c r="J1188" s="47"/>
      <c r="K1188" s="47"/>
      <c r="L1188" s="47"/>
      <c r="M1188" s="47"/>
      <c r="N1188" s="47"/>
      <c r="O1188" s="47"/>
      <c r="P1188" s="47"/>
      <c r="Q1188" s="85"/>
      <c r="R1188" s="85"/>
      <c r="S1188" s="85"/>
      <c r="T1188" s="85"/>
      <c r="U1188" s="85"/>
      <c r="V1188" s="85"/>
      <c r="W1188" s="85"/>
      <c r="X1188" s="85"/>
      <c r="Y1188" s="85"/>
      <c r="Z1188" s="85"/>
      <c r="AA1188" s="85"/>
      <c r="AB1188" s="85"/>
      <c r="AC1188" s="85"/>
      <c r="AD1188" s="85"/>
      <c r="AE1188" s="47"/>
      <c r="AF1188" s="47"/>
      <c r="AG1188" s="47"/>
      <c r="AH1188" s="47"/>
      <c r="AI1188" s="47"/>
      <c r="AJ1188" s="47"/>
      <c r="AK1188" s="47"/>
      <c r="AL1188" s="47"/>
      <c r="AM1188" s="47"/>
      <c r="AN1188" s="47"/>
      <c r="AO1188" s="47"/>
      <c r="AP1188" s="47"/>
      <c r="AQ1188" s="47"/>
      <c r="AR1188" s="47"/>
      <c r="AS1188" s="47"/>
      <c r="AT1188" s="47"/>
      <c r="AU1188" s="47"/>
      <c r="AV1188" s="47"/>
      <c r="AW1188" s="47"/>
      <c r="AX1188" s="47"/>
      <c r="AY1188" s="47"/>
      <c r="AZ1188" s="47"/>
      <c r="BA1188" s="47"/>
      <c r="BB1188" s="47"/>
      <c r="BC1188" s="47"/>
      <c r="BD1188" s="47"/>
      <c r="BE1188" s="47"/>
      <c r="BF1188" s="47"/>
    </row>
    <row r="1189" spans="3:58">
      <c r="C1189" s="47"/>
      <c r="D1189" s="47"/>
      <c r="E1189" s="47"/>
      <c r="F1189" s="47"/>
      <c r="G1189" s="47"/>
      <c r="H1189" s="47"/>
      <c r="I1189" s="47"/>
      <c r="J1189" s="47"/>
      <c r="K1189" s="47"/>
      <c r="L1189" s="47"/>
      <c r="M1189" s="47"/>
      <c r="N1189" s="47"/>
      <c r="O1189" s="47"/>
      <c r="P1189" s="47"/>
      <c r="Q1189" s="85"/>
      <c r="R1189" s="85"/>
      <c r="S1189" s="85"/>
      <c r="T1189" s="85"/>
      <c r="U1189" s="85"/>
      <c r="V1189" s="85"/>
      <c r="W1189" s="85"/>
      <c r="X1189" s="85"/>
      <c r="Y1189" s="85"/>
      <c r="Z1189" s="85"/>
      <c r="AA1189" s="85"/>
      <c r="AB1189" s="85"/>
      <c r="AC1189" s="85"/>
      <c r="AD1189" s="85"/>
      <c r="AE1189" s="47"/>
      <c r="AF1189" s="47"/>
      <c r="AG1189" s="47"/>
      <c r="AH1189" s="47"/>
      <c r="AI1189" s="47"/>
      <c r="AJ1189" s="47"/>
      <c r="AK1189" s="47"/>
      <c r="AL1189" s="47"/>
      <c r="AM1189" s="47"/>
      <c r="AN1189" s="47"/>
      <c r="AO1189" s="47"/>
      <c r="AP1189" s="47"/>
      <c r="AQ1189" s="47"/>
      <c r="AR1189" s="47"/>
      <c r="AS1189" s="47"/>
      <c r="AT1189" s="47"/>
      <c r="AU1189" s="47"/>
      <c r="AV1189" s="47"/>
      <c r="AW1189" s="47"/>
      <c r="AX1189" s="47"/>
      <c r="AY1189" s="47"/>
      <c r="AZ1189" s="47"/>
      <c r="BA1189" s="47"/>
      <c r="BB1189" s="47"/>
      <c r="BC1189" s="47"/>
      <c r="BD1189" s="47"/>
      <c r="BE1189" s="47"/>
      <c r="BF1189" s="47"/>
    </row>
    <row r="1190" spans="3:58">
      <c r="C1190" s="47"/>
      <c r="D1190" s="47"/>
      <c r="E1190" s="47"/>
      <c r="F1190" s="47"/>
      <c r="G1190" s="47"/>
      <c r="H1190" s="47"/>
      <c r="I1190" s="47"/>
      <c r="J1190" s="47"/>
      <c r="K1190" s="47"/>
      <c r="L1190" s="47"/>
      <c r="M1190" s="47"/>
      <c r="N1190" s="47"/>
      <c r="O1190" s="47"/>
      <c r="P1190" s="47"/>
      <c r="Q1190" s="85"/>
      <c r="R1190" s="85"/>
      <c r="S1190" s="85"/>
      <c r="T1190" s="85"/>
      <c r="U1190" s="85"/>
      <c r="V1190" s="85"/>
      <c r="W1190" s="85"/>
      <c r="X1190" s="85"/>
      <c r="Y1190" s="85"/>
      <c r="Z1190" s="85"/>
      <c r="AA1190" s="85"/>
      <c r="AB1190" s="85"/>
      <c r="AC1190" s="85"/>
      <c r="AD1190" s="85"/>
      <c r="AE1190" s="47"/>
      <c r="AF1190" s="47"/>
      <c r="AG1190" s="47"/>
      <c r="AH1190" s="47"/>
      <c r="AI1190" s="47"/>
      <c r="AJ1190" s="47"/>
      <c r="AK1190" s="47"/>
      <c r="AL1190" s="47"/>
      <c r="AM1190" s="47"/>
      <c r="AN1190" s="47"/>
      <c r="AO1190" s="47"/>
      <c r="AP1190" s="47"/>
      <c r="AQ1190" s="47"/>
      <c r="AR1190" s="47"/>
      <c r="AS1190" s="47"/>
      <c r="AT1190" s="47"/>
      <c r="AU1190" s="47"/>
      <c r="AV1190" s="47"/>
      <c r="AW1190" s="47"/>
      <c r="AX1190" s="47"/>
      <c r="AY1190" s="47"/>
      <c r="AZ1190" s="47"/>
      <c r="BA1190" s="47"/>
      <c r="BB1190" s="47"/>
      <c r="BC1190" s="47"/>
      <c r="BD1190" s="47"/>
      <c r="BE1190" s="47"/>
      <c r="BF1190" s="47"/>
    </row>
    <row r="1191" spans="3:58">
      <c r="C1191" s="47"/>
      <c r="D1191" s="47"/>
      <c r="E1191" s="47"/>
      <c r="F1191" s="47"/>
      <c r="G1191" s="47"/>
      <c r="H1191" s="47"/>
      <c r="I1191" s="47"/>
      <c r="J1191" s="47"/>
      <c r="K1191" s="47"/>
      <c r="L1191" s="47"/>
      <c r="M1191" s="47"/>
      <c r="N1191" s="47"/>
      <c r="O1191" s="47"/>
      <c r="P1191" s="47"/>
      <c r="Q1191" s="85"/>
      <c r="R1191" s="85"/>
      <c r="S1191" s="85"/>
      <c r="T1191" s="85"/>
      <c r="U1191" s="85"/>
      <c r="V1191" s="85"/>
      <c r="W1191" s="85"/>
      <c r="X1191" s="85"/>
      <c r="Y1191" s="85"/>
      <c r="Z1191" s="85"/>
      <c r="AA1191" s="85"/>
      <c r="AB1191" s="85"/>
      <c r="AC1191" s="85"/>
      <c r="AD1191" s="85"/>
      <c r="AE1191" s="47"/>
      <c r="AF1191" s="47"/>
      <c r="AG1191" s="47"/>
      <c r="AH1191" s="47"/>
      <c r="AI1191" s="47"/>
      <c r="AJ1191" s="47"/>
      <c r="AK1191" s="47"/>
      <c r="AL1191" s="47"/>
      <c r="AM1191" s="47"/>
      <c r="AN1191" s="47"/>
      <c r="AO1191" s="47"/>
      <c r="AP1191" s="47"/>
      <c r="AQ1191" s="47"/>
      <c r="AR1191" s="47"/>
      <c r="AS1191" s="47"/>
      <c r="AT1191" s="47"/>
      <c r="AU1191" s="47"/>
      <c r="AV1191" s="47"/>
      <c r="AW1191" s="47"/>
      <c r="AX1191" s="47"/>
      <c r="AY1191" s="47"/>
      <c r="AZ1191" s="47"/>
      <c r="BA1191" s="47"/>
      <c r="BB1191" s="47"/>
      <c r="BC1191" s="47"/>
      <c r="BD1191" s="47"/>
      <c r="BE1191" s="47"/>
      <c r="BF1191" s="47"/>
    </row>
    <row r="1192" spans="3:58">
      <c r="C1192" s="47"/>
      <c r="D1192" s="47"/>
      <c r="E1192" s="47"/>
      <c r="F1192" s="47"/>
      <c r="G1192" s="47"/>
      <c r="H1192" s="47"/>
      <c r="I1192" s="47"/>
      <c r="J1192" s="47"/>
      <c r="K1192" s="47"/>
      <c r="L1192" s="47"/>
      <c r="M1192" s="47"/>
      <c r="N1192" s="47"/>
      <c r="O1192" s="47"/>
      <c r="P1192" s="47"/>
      <c r="Q1192" s="85"/>
      <c r="R1192" s="85"/>
      <c r="S1192" s="85"/>
      <c r="T1192" s="85"/>
      <c r="U1192" s="85"/>
      <c r="V1192" s="85"/>
      <c r="W1192" s="85"/>
      <c r="X1192" s="85"/>
      <c r="Y1192" s="85"/>
      <c r="Z1192" s="85"/>
      <c r="AA1192" s="85"/>
      <c r="AB1192" s="85"/>
      <c r="AC1192" s="85"/>
      <c r="AD1192" s="85"/>
      <c r="AE1192" s="47"/>
      <c r="AF1192" s="47"/>
      <c r="AG1192" s="47"/>
      <c r="AH1192" s="47"/>
      <c r="AI1192" s="47"/>
      <c r="AJ1192" s="47"/>
      <c r="AK1192" s="47"/>
      <c r="AL1192" s="47"/>
      <c r="AM1192" s="47"/>
      <c r="AN1192" s="47"/>
      <c r="AO1192" s="47"/>
      <c r="AP1192" s="47"/>
      <c r="AQ1192" s="47"/>
      <c r="AR1192" s="47"/>
      <c r="AS1192" s="47"/>
      <c r="AT1192" s="47"/>
      <c r="AU1192" s="47"/>
      <c r="AV1192" s="47"/>
      <c r="AW1192" s="47"/>
      <c r="AX1192" s="47"/>
      <c r="AY1192" s="47"/>
      <c r="AZ1192" s="47"/>
      <c r="BA1192" s="47"/>
      <c r="BB1192" s="47"/>
      <c r="BC1192" s="47"/>
      <c r="BD1192" s="47"/>
      <c r="BE1192" s="47"/>
      <c r="BF1192" s="47"/>
    </row>
    <row r="1193" spans="3:58">
      <c r="C1193" s="47"/>
      <c r="D1193" s="47"/>
      <c r="E1193" s="47"/>
      <c r="F1193" s="47"/>
      <c r="G1193" s="47"/>
      <c r="H1193" s="47"/>
      <c r="I1193" s="47"/>
      <c r="J1193" s="47"/>
      <c r="K1193" s="47"/>
      <c r="L1193" s="47"/>
      <c r="M1193" s="47"/>
      <c r="N1193" s="47"/>
      <c r="O1193" s="47"/>
      <c r="P1193" s="47"/>
      <c r="Q1193" s="85"/>
      <c r="R1193" s="85"/>
      <c r="S1193" s="85"/>
      <c r="T1193" s="85"/>
      <c r="U1193" s="85"/>
      <c r="V1193" s="85"/>
      <c r="W1193" s="85"/>
      <c r="X1193" s="85"/>
      <c r="Y1193" s="85"/>
      <c r="Z1193" s="85"/>
      <c r="AA1193" s="85"/>
      <c r="AB1193" s="85"/>
      <c r="AC1193" s="85"/>
      <c r="AD1193" s="85"/>
      <c r="AE1193" s="47"/>
      <c r="AF1193" s="47"/>
      <c r="AG1193" s="47"/>
      <c r="AH1193" s="47"/>
      <c r="AI1193" s="47"/>
      <c r="AJ1193" s="47"/>
      <c r="AK1193" s="47"/>
      <c r="AL1193" s="47"/>
      <c r="AM1193" s="47"/>
      <c r="AN1193" s="47"/>
      <c r="AO1193" s="47"/>
      <c r="AP1193" s="47"/>
      <c r="AQ1193" s="47"/>
      <c r="AR1193" s="47"/>
      <c r="AS1193" s="47"/>
      <c r="AT1193" s="47"/>
      <c r="AU1193" s="47"/>
      <c r="AV1193" s="47"/>
      <c r="AW1193" s="47"/>
      <c r="AX1193" s="47"/>
      <c r="AY1193" s="47"/>
      <c r="AZ1193" s="47"/>
      <c r="BA1193" s="47"/>
      <c r="BB1193" s="47"/>
      <c r="BC1193" s="47"/>
      <c r="BD1193" s="47"/>
      <c r="BE1193" s="47"/>
      <c r="BF1193" s="47"/>
    </row>
    <row r="1194" spans="3:58">
      <c r="C1194" s="47"/>
      <c r="D1194" s="47"/>
      <c r="E1194" s="47"/>
      <c r="F1194" s="47"/>
      <c r="G1194" s="47"/>
      <c r="H1194" s="47"/>
      <c r="I1194" s="47"/>
      <c r="J1194" s="47"/>
      <c r="K1194" s="47"/>
      <c r="L1194" s="47"/>
      <c r="M1194" s="47"/>
      <c r="N1194" s="47"/>
      <c r="O1194" s="47"/>
      <c r="P1194" s="47"/>
      <c r="Q1194" s="85"/>
      <c r="R1194" s="85"/>
      <c r="S1194" s="85"/>
      <c r="T1194" s="85"/>
      <c r="U1194" s="85"/>
      <c r="V1194" s="85"/>
      <c r="W1194" s="85"/>
      <c r="X1194" s="85"/>
      <c r="Y1194" s="85"/>
      <c r="Z1194" s="85"/>
      <c r="AA1194" s="85"/>
      <c r="AB1194" s="85"/>
      <c r="AC1194" s="85"/>
      <c r="AD1194" s="85"/>
      <c r="AE1194" s="47"/>
      <c r="AF1194" s="47"/>
      <c r="AG1194" s="47"/>
      <c r="AH1194" s="47"/>
      <c r="AI1194" s="47"/>
      <c r="AJ1194" s="47"/>
      <c r="AK1194" s="47"/>
      <c r="AL1194" s="47"/>
      <c r="AM1194" s="47"/>
      <c r="AN1194" s="47"/>
      <c r="AO1194" s="47"/>
      <c r="AP1194" s="47"/>
      <c r="AQ1194" s="47"/>
      <c r="AR1194" s="47"/>
      <c r="AS1194" s="47"/>
      <c r="AT1194" s="47"/>
      <c r="AU1194" s="47"/>
      <c r="AV1194" s="47"/>
      <c r="AW1194" s="47"/>
      <c r="AX1194" s="47"/>
      <c r="AY1194" s="47"/>
      <c r="AZ1194" s="47"/>
      <c r="BA1194" s="47"/>
      <c r="BB1194" s="47"/>
      <c r="BC1194" s="47"/>
      <c r="BD1194" s="47"/>
      <c r="BE1194" s="47"/>
      <c r="BF1194" s="47"/>
    </row>
    <row r="1195" spans="3:58">
      <c r="C1195" s="47"/>
      <c r="D1195" s="47"/>
      <c r="E1195" s="47"/>
      <c r="F1195" s="47"/>
      <c r="G1195" s="47"/>
      <c r="H1195" s="47"/>
      <c r="I1195" s="47"/>
      <c r="J1195" s="47"/>
      <c r="K1195" s="47"/>
      <c r="L1195" s="47"/>
      <c r="M1195" s="47"/>
      <c r="N1195" s="47"/>
      <c r="O1195" s="47"/>
      <c r="P1195" s="47"/>
      <c r="Q1195" s="85"/>
      <c r="R1195" s="85"/>
      <c r="S1195" s="85"/>
      <c r="T1195" s="85"/>
      <c r="U1195" s="85"/>
      <c r="V1195" s="85"/>
      <c r="W1195" s="85"/>
      <c r="X1195" s="85"/>
      <c r="Y1195" s="85"/>
      <c r="Z1195" s="85"/>
      <c r="AA1195" s="85"/>
      <c r="AB1195" s="85"/>
      <c r="AC1195" s="85"/>
      <c r="AD1195" s="85"/>
      <c r="AE1195" s="47"/>
      <c r="AF1195" s="47"/>
      <c r="AG1195" s="47"/>
      <c r="AH1195" s="47"/>
      <c r="AI1195" s="47"/>
      <c r="AJ1195" s="47"/>
      <c r="AK1195" s="47"/>
      <c r="AL1195" s="47"/>
      <c r="AM1195" s="47"/>
      <c r="AN1195" s="47"/>
      <c r="AO1195" s="47"/>
      <c r="AP1195" s="47"/>
      <c r="AQ1195" s="47"/>
      <c r="AR1195" s="47"/>
      <c r="AS1195" s="47"/>
      <c r="AT1195" s="47"/>
      <c r="AU1195" s="47"/>
      <c r="AV1195" s="47"/>
      <c r="AW1195" s="47"/>
      <c r="AX1195" s="47"/>
      <c r="AY1195" s="47"/>
      <c r="AZ1195" s="47"/>
      <c r="BA1195" s="47"/>
      <c r="BB1195" s="47"/>
      <c r="BC1195" s="47"/>
      <c r="BD1195" s="47"/>
      <c r="BE1195" s="47"/>
      <c r="BF1195" s="47"/>
    </row>
    <row r="1196" spans="3:58">
      <c r="C1196" s="47"/>
      <c r="D1196" s="47"/>
      <c r="E1196" s="47"/>
      <c r="F1196" s="47"/>
      <c r="G1196" s="47"/>
      <c r="H1196" s="47"/>
      <c r="I1196" s="47"/>
      <c r="J1196" s="47"/>
      <c r="K1196" s="47"/>
      <c r="L1196" s="47"/>
      <c r="M1196" s="47"/>
      <c r="N1196" s="47"/>
      <c r="O1196" s="47"/>
      <c r="P1196" s="47"/>
      <c r="Q1196" s="85"/>
      <c r="R1196" s="85"/>
      <c r="S1196" s="85"/>
      <c r="T1196" s="85"/>
      <c r="U1196" s="85"/>
      <c r="V1196" s="85"/>
      <c r="W1196" s="85"/>
      <c r="X1196" s="85"/>
      <c r="Y1196" s="85"/>
      <c r="Z1196" s="85"/>
      <c r="AA1196" s="85"/>
      <c r="AB1196" s="85"/>
      <c r="AC1196" s="85"/>
      <c r="AD1196" s="85"/>
      <c r="AE1196" s="47"/>
      <c r="AF1196" s="47"/>
      <c r="AG1196" s="47"/>
      <c r="AH1196" s="47"/>
      <c r="AI1196" s="47"/>
      <c r="AJ1196" s="47"/>
      <c r="AK1196" s="47"/>
      <c r="AL1196" s="47"/>
      <c r="AM1196" s="47"/>
      <c r="AN1196" s="47"/>
      <c r="AO1196" s="47"/>
      <c r="AP1196" s="47"/>
      <c r="AQ1196" s="47"/>
      <c r="AR1196" s="47"/>
      <c r="AS1196" s="47"/>
      <c r="AT1196" s="47"/>
      <c r="AU1196" s="47"/>
      <c r="AV1196" s="47"/>
      <c r="AW1196" s="47"/>
      <c r="AX1196" s="47"/>
      <c r="AY1196" s="47"/>
      <c r="AZ1196" s="47"/>
      <c r="BA1196" s="47"/>
      <c r="BB1196" s="47"/>
      <c r="BC1196" s="47"/>
      <c r="BD1196" s="47"/>
      <c r="BE1196" s="47"/>
      <c r="BF1196" s="47"/>
    </row>
    <row r="1197" spans="3:58">
      <c r="C1197" s="47"/>
      <c r="D1197" s="47"/>
      <c r="E1197" s="47"/>
      <c r="F1197" s="47"/>
      <c r="G1197" s="47"/>
      <c r="H1197" s="47"/>
      <c r="I1197" s="47"/>
      <c r="J1197" s="47"/>
      <c r="K1197" s="47"/>
      <c r="L1197" s="47"/>
      <c r="M1197" s="47"/>
      <c r="N1197" s="47"/>
      <c r="O1197" s="47"/>
      <c r="P1197" s="47"/>
      <c r="Q1197" s="85"/>
      <c r="R1197" s="85"/>
      <c r="S1197" s="85"/>
      <c r="T1197" s="85"/>
      <c r="U1197" s="85"/>
      <c r="V1197" s="85"/>
      <c r="W1197" s="85"/>
      <c r="X1197" s="85"/>
      <c r="Y1197" s="85"/>
      <c r="Z1197" s="85"/>
      <c r="AA1197" s="85"/>
      <c r="AB1197" s="85"/>
      <c r="AC1197" s="85"/>
      <c r="AD1197" s="85"/>
      <c r="AE1197" s="47"/>
      <c r="AF1197" s="47"/>
      <c r="AG1197" s="47"/>
      <c r="AH1197" s="47"/>
      <c r="AI1197" s="47"/>
      <c r="AJ1197" s="47"/>
      <c r="AK1197" s="47"/>
      <c r="AL1197" s="47"/>
      <c r="AM1197" s="47"/>
      <c r="AN1197" s="47"/>
      <c r="AO1197" s="47"/>
      <c r="AP1197" s="47"/>
      <c r="AQ1197" s="47"/>
      <c r="AR1197" s="47"/>
      <c r="AS1197" s="47"/>
      <c r="AT1197" s="47"/>
      <c r="AU1197" s="47"/>
      <c r="AV1197" s="47"/>
      <c r="AW1197" s="47"/>
      <c r="AX1197" s="47"/>
      <c r="AY1197" s="47"/>
      <c r="AZ1197" s="47"/>
      <c r="BA1197" s="47"/>
      <c r="BB1197" s="47"/>
      <c r="BC1197" s="47"/>
      <c r="BD1197" s="47"/>
      <c r="BE1197" s="47"/>
      <c r="BF1197" s="47"/>
    </row>
    <row r="1198" spans="3:58">
      <c r="C1198" s="47"/>
      <c r="D1198" s="47"/>
      <c r="E1198" s="47"/>
      <c r="F1198" s="47"/>
      <c r="G1198" s="47"/>
      <c r="H1198" s="47"/>
      <c r="I1198" s="47"/>
      <c r="J1198" s="47"/>
      <c r="K1198" s="47"/>
      <c r="L1198" s="47"/>
      <c r="M1198" s="47"/>
      <c r="N1198" s="47"/>
      <c r="O1198" s="47"/>
      <c r="P1198" s="47"/>
      <c r="Q1198" s="85"/>
      <c r="R1198" s="85"/>
      <c r="S1198" s="85"/>
      <c r="T1198" s="85"/>
      <c r="U1198" s="85"/>
      <c r="V1198" s="85"/>
      <c r="W1198" s="85"/>
      <c r="X1198" s="85"/>
      <c r="Y1198" s="85"/>
      <c r="Z1198" s="85"/>
      <c r="AA1198" s="85"/>
      <c r="AB1198" s="85"/>
      <c r="AC1198" s="85"/>
      <c r="AD1198" s="85"/>
      <c r="AE1198" s="47"/>
      <c r="AF1198" s="47"/>
      <c r="AG1198" s="47"/>
      <c r="AH1198" s="47"/>
      <c r="AI1198" s="47"/>
      <c r="AJ1198" s="47"/>
      <c r="AK1198" s="47"/>
      <c r="AL1198" s="47"/>
      <c r="AM1198" s="47"/>
      <c r="AN1198" s="47"/>
      <c r="AO1198" s="47"/>
      <c r="AP1198" s="47"/>
      <c r="AQ1198" s="47"/>
      <c r="AR1198" s="47"/>
      <c r="AS1198" s="47"/>
      <c r="AT1198" s="47"/>
      <c r="AU1198" s="47"/>
      <c r="AV1198" s="47"/>
      <c r="AW1198" s="47"/>
      <c r="AX1198" s="47"/>
      <c r="AY1198" s="47"/>
      <c r="AZ1198" s="47"/>
      <c r="BA1198" s="47"/>
      <c r="BB1198" s="47"/>
      <c r="BC1198" s="47"/>
      <c r="BD1198" s="47"/>
      <c r="BE1198" s="47"/>
      <c r="BF1198" s="47"/>
    </row>
    <row r="1199" spans="3:58">
      <c r="C1199" s="47"/>
      <c r="D1199" s="47"/>
      <c r="E1199" s="47"/>
      <c r="F1199" s="47"/>
      <c r="G1199" s="47"/>
      <c r="H1199" s="47"/>
      <c r="I1199" s="47"/>
      <c r="J1199" s="47"/>
      <c r="K1199" s="47"/>
      <c r="L1199" s="47"/>
      <c r="M1199" s="47"/>
      <c r="N1199" s="47"/>
      <c r="O1199" s="47"/>
      <c r="P1199" s="47"/>
      <c r="Q1199" s="85"/>
      <c r="R1199" s="85"/>
      <c r="S1199" s="85"/>
      <c r="T1199" s="85"/>
      <c r="U1199" s="85"/>
      <c r="V1199" s="85"/>
      <c r="W1199" s="85"/>
      <c r="X1199" s="85"/>
      <c r="Y1199" s="85"/>
      <c r="Z1199" s="85"/>
      <c r="AA1199" s="85"/>
      <c r="AB1199" s="85"/>
      <c r="AC1199" s="85"/>
      <c r="AD1199" s="85"/>
      <c r="AE1199" s="47"/>
      <c r="AF1199" s="47"/>
      <c r="AG1199" s="47"/>
      <c r="AH1199" s="47"/>
      <c r="AI1199" s="47"/>
      <c r="AJ1199" s="47"/>
      <c r="AK1199" s="47"/>
      <c r="AL1199" s="47"/>
      <c r="AM1199" s="47"/>
      <c r="AN1199" s="47"/>
      <c r="AO1199" s="47"/>
      <c r="AP1199" s="47"/>
      <c r="AQ1199" s="47"/>
      <c r="AR1199" s="47"/>
      <c r="AS1199" s="47"/>
      <c r="AT1199" s="47"/>
      <c r="AU1199" s="47"/>
      <c r="AV1199" s="47"/>
      <c r="AW1199" s="47"/>
      <c r="AX1199" s="47"/>
      <c r="AY1199" s="47"/>
      <c r="AZ1199" s="47"/>
      <c r="BA1199" s="47"/>
      <c r="BB1199" s="47"/>
      <c r="BC1199" s="47"/>
      <c r="BD1199" s="47"/>
      <c r="BE1199" s="47"/>
      <c r="BF1199" s="47"/>
    </row>
    <row r="1200" spans="3:58">
      <c r="C1200" s="47"/>
      <c r="D1200" s="47"/>
      <c r="E1200" s="47"/>
      <c r="F1200" s="47"/>
      <c r="G1200" s="47"/>
      <c r="H1200" s="47"/>
      <c r="I1200" s="47"/>
      <c r="J1200" s="47"/>
      <c r="K1200" s="47"/>
      <c r="L1200" s="47"/>
      <c r="M1200" s="47"/>
      <c r="N1200" s="47"/>
      <c r="O1200" s="47"/>
      <c r="P1200" s="47"/>
      <c r="Q1200" s="85"/>
      <c r="R1200" s="85"/>
      <c r="S1200" s="85"/>
      <c r="T1200" s="85"/>
      <c r="U1200" s="85"/>
      <c r="V1200" s="85"/>
      <c r="W1200" s="85"/>
      <c r="X1200" s="85"/>
      <c r="Y1200" s="85"/>
      <c r="Z1200" s="85"/>
      <c r="AA1200" s="85"/>
      <c r="AB1200" s="85"/>
      <c r="AC1200" s="85"/>
      <c r="AD1200" s="85"/>
      <c r="AE1200" s="47"/>
      <c r="AF1200" s="47"/>
      <c r="AG1200" s="47"/>
      <c r="AH1200" s="47"/>
      <c r="AI1200" s="47"/>
      <c r="AJ1200" s="47"/>
      <c r="AK1200" s="47"/>
      <c r="AL1200" s="47"/>
      <c r="AM1200" s="47"/>
      <c r="AN1200" s="47"/>
      <c r="AO1200" s="47"/>
      <c r="AP1200" s="47"/>
      <c r="AQ1200" s="47"/>
      <c r="AR1200" s="47"/>
      <c r="AS1200" s="47"/>
      <c r="AT1200" s="47"/>
      <c r="AU1200" s="47"/>
      <c r="AV1200" s="47"/>
      <c r="AW1200" s="47"/>
      <c r="AX1200" s="47"/>
      <c r="AY1200" s="47"/>
      <c r="AZ1200" s="47"/>
      <c r="BA1200" s="47"/>
      <c r="BB1200" s="47"/>
      <c r="BC1200" s="47"/>
      <c r="BD1200" s="47"/>
      <c r="BE1200" s="47"/>
      <c r="BF1200" s="47"/>
    </row>
    <row r="1201" spans="3:58">
      <c r="C1201" s="47"/>
      <c r="D1201" s="47"/>
      <c r="E1201" s="47"/>
      <c r="F1201" s="47"/>
      <c r="G1201" s="47"/>
      <c r="H1201" s="47"/>
      <c r="I1201" s="47"/>
      <c r="J1201" s="47"/>
      <c r="K1201" s="47"/>
      <c r="L1201" s="47"/>
      <c r="M1201" s="47"/>
      <c r="N1201" s="47"/>
      <c r="O1201" s="47"/>
      <c r="P1201" s="47"/>
      <c r="Q1201" s="85"/>
      <c r="R1201" s="85"/>
      <c r="S1201" s="85"/>
      <c r="T1201" s="85"/>
      <c r="U1201" s="85"/>
      <c r="V1201" s="85"/>
      <c r="W1201" s="85"/>
      <c r="X1201" s="85"/>
      <c r="Y1201" s="85"/>
      <c r="Z1201" s="85"/>
      <c r="AA1201" s="85"/>
      <c r="AB1201" s="85"/>
      <c r="AC1201" s="85"/>
      <c r="AD1201" s="85"/>
      <c r="AE1201" s="47"/>
      <c r="AF1201" s="47"/>
      <c r="AG1201" s="47"/>
      <c r="AH1201" s="47"/>
      <c r="AI1201" s="47"/>
      <c r="AJ1201" s="47"/>
      <c r="AK1201" s="47"/>
      <c r="AL1201" s="47"/>
      <c r="AM1201" s="47"/>
      <c r="AN1201" s="47"/>
      <c r="AO1201" s="47"/>
      <c r="AP1201" s="47"/>
      <c r="AQ1201" s="47"/>
      <c r="AR1201" s="47"/>
      <c r="AS1201" s="47"/>
      <c r="AT1201" s="47"/>
      <c r="AU1201" s="47"/>
      <c r="AV1201" s="47"/>
      <c r="AW1201" s="47"/>
      <c r="AX1201" s="47"/>
      <c r="AY1201" s="47"/>
      <c r="AZ1201" s="47"/>
      <c r="BA1201" s="47"/>
      <c r="BB1201" s="47"/>
      <c r="BC1201" s="47"/>
      <c r="BD1201" s="47"/>
      <c r="BE1201" s="47"/>
      <c r="BF1201" s="47"/>
    </row>
    <row r="1202" spans="3:58">
      <c r="C1202" s="47"/>
      <c r="D1202" s="47"/>
      <c r="E1202" s="47"/>
      <c r="F1202" s="47"/>
      <c r="G1202" s="47"/>
      <c r="H1202" s="47"/>
      <c r="I1202" s="47"/>
      <c r="J1202" s="47"/>
      <c r="K1202" s="47"/>
      <c r="L1202" s="47"/>
      <c r="M1202" s="47"/>
      <c r="N1202" s="47"/>
      <c r="O1202" s="47"/>
      <c r="P1202" s="47"/>
      <c r="Q1202" s="85"/>
      <c r="R1202" s="85"/>
      <c r="S1202" s="85"/>
      <c r="T1202" s="85"/>
      <c r="U1202" s="85"/>
      <c r="V1202" s="85"/>
      <c r="W1202" s="85"/>
      <c r="X1202" s="85"/>
      <c r="Y1202" s="85"/>
      <c r="Z1202" s="85"/>
      <c r="AA1202" s="85"/>
      <c r="AB1202" s="85"/>
      <c r="AC1202" s="85"/>
      <c r="AD1202" s="85"/>
      <c r="AE1202" s="47"/>
      <c r="AF1202" s="47"/>
      <c r="AG1202" s="47"/>
      <c r="AH1202" s="47"/>
      <c r="AI1202" s="47"/>
      <c r="AJ1202" s="47"/>
      <c r="AK1202" s="47"/>
      <c r="AL1202" s="47"/>
      <c r="AM1202" s="47"/>
      <c r="AN1202" s="47"/>
      <c r="AO1202" s="47"/>
      <c r="AP1202" s="47"/>
      <c r="AQ1202" s="47"/>
      <c r="AR1202" s="47"/>
      <c r="AS1202" s="47"/>
      <c r="AT1202" s="47"/>
      <c r="AU1202" s="47"/>
      <c r="AV1202" s="47"/>
      <c r="AW1202" s="47"/>
      <c r="AX1202" s="47"/>
      <c r="AY1202" s="47"/>
      <c r="AZ1202" s="47"/>
      <c r="BA1202" s="47"/>
      <c r="BB1202" s="47"/>
      <c r="BC1202" s="47"/>
      <c r="BD1202" s="47"/>
      <c r="BE1202" s="47"/>
      <c r="BF1202" s="47"/>
    </row>
    <row r="1203" spans="3:58">
      <c r="C1203" s="47"/>
      <c r="D1203" s="47"/>
      <c r="E1203" s="47"/>
      <c r="F1203" s="47"/>
      <c r="G1203" s="47"/>
      <c r="H1203" s="47"/>
      <c r="I1203" s="47"/>
      <c r="J1203" s="47"/>
      <c r="K1203" s="47"/>
      <c r="L1203" s="47"/>
      <c r="M1203" s="47"/>
      <c r="N1203" s="47"/>
      <c r="O1203" s="47"/>
      <c r="P1203" s="47"/>
      <c r="Q1203" s="85"/>
      <c r="R1203" s="85"/>
      <c r="S1203" s="85"/>
      <c r="T1203" s="85"/>
      <c r="U1203" s="85"/>
      <c r="V1203" s="85"/>
      <c r="W1203" s="85"/>
      <c r="X1203" s="85"/>
      <c r="Y1203" s="85"/>
      <c r="Z1203" s="85"/>
      <c r="AA1203" s="85"/>
      <c r="AB1203" s="85"/>
      <c r="AC1203" s="85"/>
      <c r="AD1203" s="85"/>
      <c r="AE1203" s="47"/>
      <c r="AF1203" s="47"/>
      <c r="AG1203" s="47"/>
      <c r="AH1203" s="47"/>
      <c r="AI1203" s="47"/>
      <c r="AJ1203" s="47"/>
      <c r="AK1203" s="47"/>
      <c r="AL1203" s="47"/>
      <c r="AM1203" s="47"/>
      <c r="AN1203" s="47"/>
      <c r="AO1203" s="47"/>
      <c r="AP1203" s="47"/>
      <c r="AQ1203" s="47"/>
      <c r="AR1203" s="47"/>
      <c r="AS1203" s="47"/>
      <c r="AT1203" s="47"/>
      <c r="AU1203" s="47"/>
      <c r="AV1203" s="47"/>
      <c r="AW1203" s="47"/>
      <c r="AX1203" s="47"/>
      <c r="AY1203" s="47"/>
      <c r="AZ1203" s="47"/>
      <c r="BA1203" s="47"/>
      <c r="BB1203" s="47"/>
      <c r="BC1203" s="47"/>
      <c r="BD1203" s="47"/>
      <c r="BE1203" s="47"/>
      <c r="BF1203" s="47"/>
    </row>
    <row r="1204" spans="3:58">
      <c r="C1204" s="47"/>
      <c r="D1204" s="47"/>
      <c r="E1204" s="47"/>
      <c r="F1204" s="47"/>
      <c r="G1204" s="47"/>
      <c r="H1204" s="47"/>
      <c r="I1204" s="47"/>
      <c r="J1204" s="47"/>
      <c r="K1204" s="47"/>
      <c r="L1204" s="47"/>
      <c r="M1204" s="47"/>
      <c r="N1204" s="47"/>
      <c r="O1204" s="47"/>
      <c r="P1204" s="47"/>
      <c r="Q1204" s="85"/>
      <c r="R1204" s="85"/>
      <c r="S1204" s="85"/>
      <c r="T1204" s="85"/>
      <c r="U1204" s="85"/>
      <c r="V1204" s="85"/>
      <c r="W1204" s="85"/>
      <c r="X1204" s="85"/>
      <c r="Y1204" s="85"/>
      <c r="Z1204" s="85"/>
      <c r="AA1204" s="85"/>
      <c r="AB1204" s="85"/>
      <c r="AC1204" s="85"/>
      <c r="AD1204" s="85"/>
      <c r="AE1204" s="47"/>
      <c r="AF1204" s="47"/>
      <c r="AG1204" s="47"/>
      <c r="AH1204" s="47"/>
      <c r="AI1204" s="47"/>
      <c r="AJ1204" s="47"/>
      <c r="AK1204" s="47"/>
      <c r="AL1204" s="47"/>
      <c r="AM1204" s="47"/>
      <c r="AN1204" s="47"/>
      <c r="AO1204" s="47"/>
      <c r="AP1204" s="47"/>
      <c r="AQ1204" s="47"/>
      <c r="AR1204" s="47"/>
      <c r="AS1204" s="47"/>
      <c r="AT1204" s="47"/>
      <c r="AU1204" s="47"/>
      <c r="AV1204" s="47"/>
      <c r="AW1204" s="47"/>
      <c r="AX1204" s="47"/>
      <c r="AY1204" s="47"/>
      <c r="AZ1204" s="47"/>
      <c r="BA1204" s="47"/>
      <c r="BB1204" s="47"/>
      <c r="BC1204" s="47"/>
      <c r="BD1204" s="47"/>
      <c r="BE1204" s="47"/>
      <c r="BF1204" s="47"/>
    </row>
    <row r="1205" spans="3:58">
      <c r="C1205" s="47"/>
      <c r="D1205" s="47"/>
      <c r="E1205" s="47"/>
      <c r="F1205" s="47"/>
      <c r="G1205" s="47"/>
      <c r="H1205" s="47"/>
      <c r="I1205" s="47"/>
      <c r="J1205" s="47"/>
      <c r="K1205" s="47"/>
      <c r="L1205" s="47"/>
      <c r="M1205" s="47"/>
      <c r="N1205" s="47"/>
      <c r="O1205" s="47"/>
      <c r="P1205" s="47"/>
      <c r="Q1205" s="85"/>
      <c r="R1205" s="85"/>
      <c r="S1205" s="85"/>
      <c r="T1205" s="85"/>
      <c r="U1205" s="85"/>
      <c r="V1205" s="85"/>
      <c r="W1205" s="85"/>
      <c r="X1205" s="85"/>
      <c r="Y1205" s="85"/>
      <c r="Z1205" s="85"/>
      <c r="AA1205" s="85"/>
      <c r="AB1205" s="85"/>
      <c r="AC1205" s="85"/>
      <c r="AD1205" s="85"/>
      <c r="AE1205" s="47"/>
      <c r="AF1205" s="47"/>
      <c r="AG1205" s="47"/>
      <c r="AH1205" s="47"/>
      <c r="AI1205" s="47"/>
      <c r="AJ1205" s="47"/>
      <c r="AK1205" s="47"/>
      <c r="AL1205" s="47"/>
      <c r="AM1205" s="47"/>
      <c r="AN1205" s="47"/>
      <c r="AO1205" s="47"/>
      <c r="AP1205" s="47"/>
      <c r="AQ1205" s="47"/>
      <c r="AR1205" s="47"/>
      <c r="AS1205" s="47"/>
      <c r="AT1205" s="47"/>
      <c r="AU1205" s="47"/>
      <c r="AV1205" s="47"/>
      <c r="AW1205" s="47"/>
      <c r="AX1205" s="47"/>
      <c r="AY1205" s="47"/>
      <c r="AZ1205" s="47"/>
      <c r="BA1205" s="47"/>
      <c r="BB1205" s="47"/>
      <c r="BC1205" s="47"/>
      <c r="BD1205" s="47"/>
      <c r="BE1205" s="47"/>
      <c r="BF1205" s="47"/>
    </row>
    <row r="1206" spans="3:58">
      <c r="C1206" s="47"/>
      <c r="D1206" s="47"/>
      <c r="E1206" s="47"/>
      <c r="F1206" s="47"/>
      <c r="G1206" s="47"/>
      <c r="H1206" s="47"/>
      <c r="I1206" s="47"/>
      <c r="J1206" s="47"/>
      <c r="K1206" s="47"/>
      <c r="L1206" s="47"/>
      <c r="M1206" s="47"/>
      <c r="N1206" s="47"/>
      <c r="O1206" s="47"/>
      <c r="P1206" s="47"/>
      <c r="Q1206" s="85"/>
      <c r="R1206" s="85"/>
      <c r="S1206" s="85"/>
      <c r="T1206" s="85"/>
      <c r="U1206" s="85"/>
      <c r="V1206" s="85"/>
      <c r="W1206" s="85"/>
      <c r="X1206" s="85"/>
      <c r="Y1206" s="85"/>
      <c r="Z1206" s="85"/>
      <c r="AA1206" s="85"/>
      <c r="AB1206" s="85"/>
      <c r="AC1206" s="85"/>
      <c r="AD1206" s="85"/>
      <c r="AE1206" s="47"/>
      <c r="AF1206" s="47"/>
      <c r="AG1206" s="47"/>
      <c r="AH1206" s="47"/>
      <c r="AI1206" s="47"/>
      <c r="AJ1206" s="47"/>
      <c r="AK1206" s="47"/>
      <c r="AL1206" s="47"/>
      <c r="AM1206" s="47"/>
      <c r="AN1206" s="47"/>
      <c r="AO1206" s="47"/>
      <c r="AP1206" s="47"/>
      <c r="AQ1206" s="47"/>
      <c r="AR1206" s="47"/>
      <c r="AS1206" s="47"/>
      <c r="AT1206" s="47"/>
      <c r="AU1206" s="47"/>
      <c r="AV1206" s="47"/>
      <c r="AW1206" s="47"/>
      <c r="AX1206" s="47"/>
      <c r="AY1206" s="47"/>
      <c r="AZ1206" s="47"/>
      <c r="BA1206" s="47"/>
      <c r="BB1206" s="47"/>
      <c r="BC1206" s="47"/>
      <c r="BD1206" s="47"/>
      <c r="BE1206" s="47"/>
      <c r="BF1206" s="47"/>
    </row>
    <row r="1207" spans="3:58">
      <c r="C1207" s="47"/>
      <c r="D1207" s="47"/>
      <c r="E1207" s="47"/>
      <c r="F1207" s="47"/>
      <c r="G1207" s="47"/>
      <c r="H1207" s="47"/>
      <c r="I1207" s="47"/>
      <c r="J1207" s="47"/>
      <c r="K1207" s="47"/>
      <c r="L1207" s="47"/>
      <c r="M1207" s="47"/>
      <c r="N1207" s="47"/>
      <c r="O1207" s="47"/>
      <c r="P1207" s="47"/>
      <c r="Q1207" s="85"/>
      <c r="R1207" s="85"/>
      <c r="S1207" s="85"/>
      <c r="T1207" s="85"/>
      <c r="U1207" s="85"/>
      <c r="V1207" s="85"/>
      <c r="W1207" s="85"/>
      <c r="X1207" s="85"/>
      <c r="Y1207" s="85"/>
      <c r="Z1207" s="85"/>
      <c r="AA1207" s="85"/>
      <c r="AB1207" s="85"/>
      <c r="AC1207" s="85"/>
      <c r="AD1207" s="85"/>
      <c r="AE1207" s="47"/>
      <c r="AF1207" s="47"/>
      <c r="AG1207" s="47"/>
      <c r="AH1207" s="47"/>
      <c r="AI1207" s="47"/>
      <c r="AJ1207" s="47"/>
      <c r="AK1207" s="47"/>
      <c r="AL1207" s="47"/>
      <c r="AM1207" s="47"/>
      <c r="AN1207" s="47"/>
      <c r="AO1207" s="47"/>
      <c r="AP1207" s="47"/>
      <c r="AQ1207" s="47"/>
      <c r="AR1207" s="47"/>
      <c r="AS1207" s="47"/>
      <c r="AT1207" s="47"/>
      <c r="AU1207" s="47"/>
      <c r="AV1207" s="47"/>
      <c r="AW1207" s="47"/>
      <c r="AX1207" s="47"/>
      <c r="AY1207" s="47"/>
      <c r="AZ1207" s="47"/>
      <c r="BA1207" s="47"/>
      <c r="BB1207" s="47"/>
      <c r="BC1207" s="47"/>
      <c r="BD1207" s="47"/>
      <c r="BE1207" s="47"/>
      <c r="BF1207" s="47"/>
    </row>
    <row r="1208" spans="3:58">
      <c r="C1208" s="47"/>
      <c r="D1208" s="47"/>
      <c r="E1208" s="47"/>
      <c r="F1208" s="47"/>
      <c r="G1208" s="47"/>
      <c r="H1208" s="47"/>
      <c r="I1208" s="47"/>
      <c r="J1208" s="47"/>
      <c r="K1208" s="47"/>
      <c r="L1208" s="47"/>
      <c r="M1208" s="47"/>
      <c r="N1208" s="47"/>
      <c r="O1208" s="47"/>
      <c r="P1208" s="47"/>
      <c r="Q1208" s="85"/>
      <c r="R1208" s="85"/>
      <c r="S1208" s="85"/>
      <c r="T1208" s="85"/>
      <c r="U1208" s="85"/>
      <c r="V1208" s="85"/>
      <c r="W1208" s="85"/>
      <c r="X1208" s="85"/>
      <c r="Y1208" s="85"/>
      <c r="Z1208" s="85"/>
      <c r="AA1208" s="85"/>
      <c r="AB1208" s="85"/>
      <c r="AC1208" s="85"/>
      <c r="AD1208" s="85"/>
      <c r="AE1208" s="47"/>
      <c r="AF1208" s="47"/>
      <c r="AG1208" s="47"/>
      <c r="AH1208" s="47"/>
      <c r="AI1208" s="47"/>
      <c r="AJ1208" s="47"/>
      <c r="AK1208" s="47"/>
      <c r="AL1208" s="47"/>
      <c r="AM1208" s="47"/>
      <c r="AN1208" s="47"/>
      <c r="AO1208" s="47"/>
      <c r="AP1208" s="47"/>
      <c r="AQ1208" s="47"/>
      <c r="AR1208" s="47"/>
      <c r="AS1208" s="47"/>
      <c r="AT1208" s="47"/>
      <c r="AU1208" s="47"/>
      <c r="AV1208" s="47"/>
      <c r="AW1208" s="47"/>
      <c r="AX1208" s="47"/>
      <c r="AY1208" s="47"/>
      <c r="AZ1208" s="47"/>
      <c r="BA1208" s="47"/>
      <c r="BB1208" s="47"/>
      <c r="BC1208" s="47"/>
      <c r="BD1208" s="47"/>
      <c r="BE1208" s="47"/>
      <c r="BF1208" s="47"/>
    </row>
    <row r="1209" spans="3:58">
      <c r="C1209" s="47"/>
      <c r="D1209" s="47"/>
      <c r="E1209" s="47"/>
      <c r="F1209" s="47"/>
      <c r="G1209" s="47"/>
      <c r="H1209" s="47"/>
      <c r="I1209" s="47"/>
      <c r="J1209" s="47"/>
      <c r="K1209" s="47"/>
      <c r="L1209" s="47"/>
      <c r="M1209" s="47"/>
      <c r="N1209" s="47"/>
      <c r="O1209" s="47"/>
      <c r="P1209" s="47"/>
      <c r="Q1209" s="85"/>
      <c r="R1209" s="85"/>
      <c r="S1209" s="85"/>
      <c r="T1209" s="85"/>
      <c r="U1209" s="85"/>
      <c r="V1209" s="85"/>
      <c r="W1209" s="85"/>
      <c r="X1209" s="85"/>
      <c r="Y1209" s="85"/>
      <c r="Z1209" s="85"/>
      <c r="AA1209" s="85"/>
      <c r="AB1209" s="85"/>
      <c r="AC1209" s="85"/>
      <c r="AD1209" s="85"/>
      <c r="AE1209" s="47"/>
      <c r="AF1209" s="47"/>
      <c r="AG1209" s="47"/>
      <c r="AH1209" s="47"/>
      <c r="AI1209" s="47"/>
      <c r="AJ1209" s="47"/>
      <c r="AK1209" s="47"/>
      <c r="AL1209" s="47"/>
      <c r="AM1209" s="47"/>
      <c r="AN1209" s="47"/>
      <c r="AO1209" s="47"/>
      <c r="AP1209" s="47"/>
      <c r="AQ1209" s="47"/>
      <c r="AR1209" s="47"/>
      <c r="AS1209" s="47"/>
      <c r="AT1209" s="47"/>
      <c r="AU1209" s="47"/>
      <c r="AV1209" s="47"/>
      <c r="AW1209" s="47"/>
      <c r="AX1209" s="47"/>
      <c r="AY1209" s="47"/>
      <c r="AZ1209" s="47"/>
      <c r="BA1209" s="47"/>
      <c r="BB1209" s="47"/>
      <c r="BC1209" s="47"/>
      <c r="BD1209" s="47"/>
      <c r="BE1209" s="47"/>
      <c r="BF1209" s="47"/>
    </row>
    <row r="1210" spans="3:58">
      <c r="C1210" s="47"/>
      <c r="D1210" s="47"/>
      <c r="E1210" s="47"/>
      <c r="F1210" s="47"/>
      <c r="G1210" s="47"/>
      <c r="H1210" s="47"/>
      <c r="I1210" s="47"/>
      <c r="J1210" s="47"/>
      <c r="K1210" s="47"/>
      <c r="L1210" s="47"/>
      <c r="M1210" s="47"/>
      <c r="N1210" s="47"/>
      <c r="O1210" s="47"/>
      <c r="P1210" s="47"/>
      <c r="Q1210" s="85"/>
      <c r="R1210" s="85"/>
      <c r="S1210" s="85"/>
      <c r="T1210" s="85"/>
      <c r="U1210" s="85"/>
      <c r="V1210" s="85"/>
      <c r="W1210" s="85"/>
      <c r="X1210" s="85"/>
      <c r="Y1210" s="85"/>
      <c r="Z1210" s="85"/>
      <c r="AA1210" s="85"/>
      <c r="AB1210" s="85"/>
      <c r="AC1210" s="85"/>
      <c r="AD1210" s="85"/>
      <c r="AE1210" s="47"/>
      <c r="AF1210" s="47"/>
      <c r="AG1210" s="47"/>
      <c r="AH1210" s="47"/>
      <c r="AI1210" s="47"/>
      <c r="AJ1210" s="47"/>
      <c r="AK1210" s="47"/>
      <c r="AL1210" s="47"/>
      <c r="AM1210" s="47"/>
      <c r="AN1210" s="47"/>
      <c r="AO1210" s="47"/>
      <c r="AP1210" s="47"/>
      <c r="AQ1210" s="47"/>
      <c r="AR1210" s="47"/>
      <c r="AS1210" s="47"/>
      <c r="AT1210" s="47"/>
      <c r="AU1210" s="47"/>
      <c r="AV1210" s="47"/>
      <c r="AW1210" s="47"/>
      <c r="AX1210" s="47"/>
      <c r="AY1210" s="47"/>
      <c r="AZ1210" s="47"/>
      <c r="BA1210" s="47"/>
      <c r="BB1210" s="47"/>
      <c r="BC1210" s="47"/>
      <c r="BD1210" s="47"/>
      <c r="BE1210" s="47"/>
      <c r="BF1210" s="47"/>
    </row>
    <row r="1211" spans="3:58">
      <c r="C1211" s="47"/>
      <c r="D1211" s="47"/>
      <c r="E1211" s="47"/>
      <c r="F1211" s="47"/>
      <c r="G1211" s="47"/>
      <c r="H1211" s="47"/>
      <c r="I1211" s="47"/>
      <c r="J1211" s="47"/>
      <c r="K1211" s="47"/>
      <c r="L1211" s="47"/>
      <c r="M1211" s="47"/>
      <c r="N1211" s="47"/>
      <c r="O1211" s="47"/>
      <c r="P1211" s="47"/>
      <c r="Q1211" s="85"/>
      <c r="R1211" s="85"/>
      <c r="S1211" s="85"/>
      <c r="T1211" s="85"/>
      <c r="U1211" s="85"/>
      <c r="V1211" s="85"/>
      <c r="W1211" s="85"/>
      <c r="X1211" s="85"/>
      <c r="Y1211" s="85"/>
      <c r="Z1211" s="85"/>
      <c r="AA1211" s="85"/>
      <c r="AB1211" s="85"/>
      <c r="AC1211" s="85"/>
      <c r="AD1211" s="85"/>
      <c r="AE1211" s="47"/>
      <c r="AF1211" s="47"/>
      <c r="AG1211" s="47"/>
      <c r="AH1211" s="47"/>
      <c r="AI1211" s="47"/>
      <c r="AJ1211" s="47"/>
      <c r="AK1211" s="47"/>
      <c r="AL1211" s="47"/>
      <c r="AM1211" s="47"/>
      <c r="AN1211" s="47"/>
      <c r="AO1211" s="47"/>
      <c r="AP1211" s="47"/>
      <c r="AQ1211" s="47"/>
      <c r="AR1211" s="47"/>
      <c r="AS1211" s="47"/>
      <c r="AT1211" s="47"/>
      <c r="AU1211" s="47"/>
      <c r="AV1211" s="47"/>
      <c r="AW1211" s="47"/>
      <c r="AX1211" s="47"/>
      <c r="AY1211" s="47"/>
      <c r="AZ1211" s="47"/>
      <c r="BA1211" s="47"/>
      <c r="BB1211" s="47"/>
      <c r="BC1211" s="47"/>
      <c r="BD1211" s="47"/>
      <c r="BE1211" s="47"/>
      <c r="BF1211" s="47"/>
    </row>
    <row r="1212" spans="3:58">
      <c r="C1212" s="47"/>
      <c r="D1212" s="47"/>
      <c r="E1212" s="47"/>
      <c r="F1212" s="47"/>
      <c r="G1212" s="47"/>
      <c r="H1212" s="47"/>
      <c r="I1212" s="47"/>
      <c r="J1212" s="47"/>
      <c r="K1212" s="47"/>
      <c r="L1212" s="47"/>
      <c r="M1212" s="47"/>
      <c r="N1212" s="47"/>
      <c r="O1212" s="47"/>
      <c r="P1212" s="47"/>
      <c r="Q1212" s="85"/>
      <c r="R1212" s="85"/>
      <c r="S1212" s="85"/>
      <c r="T1212" s="85"/>
      <c r="U1212" s="85"/>
      <c r="V1212" s="85"/>
      <c r="W1212" s="85"/>
      <c r="X1212" s="85"/>
      <c r="Y1212" s="85"/>
      <c r="Z1212" s="85"/>
      <c r="AA1212" s="85"/>
      <c r="AB1212" s="85"/>
      <c r="AC1212" s="85"/>
      <c r="AD1212" s="85"/>
      <c r="AE1212" s="47"/>
      <c r="AF1212" s="47"/>
      <c r="AG1212" s="47"/>
      <c r="AH1212" s="47"/>
      <c r="AI1212" s="47"/>
      <c r="AJ1212" s="47"/>
      <c r="AK1212" s="47"/>
      <c r="AL1212" s="47"/>
      <c r="AM1212" s="47"/>
      <c r="AN1212" s="47"/>
      <c r="AO1212" s="47"/>
      <c r="AP1212" s="47"/>
      <c r="AQ1212" s="47"/>
      <c r="AR1212" s="47"/>
      <c r="AS1212" s="47"/>
      <c r="AT1212" s="47"/>
      <c r="AU1212" s="47"/>
      <c r="AV1212" s="47"/>
      <c r="AW1212" s="47"/>
      <c r="AX1212" s="47"/>
      <c r="AY1212" s="47"/>
      <c r="AZ1212" s="47"/>
      <c r="BA1212" s="47"/>
      <c r="BB1212" s="47"/>
      <c r="BC1212" s="47"/>
      <c r="BD1212" s="47"/>
      <c r="BE1212" s="47"/>
      <c r="BF1212" s="47"/>
    </row>
    <row r="1213" spans="3:58">
      <c r="C1213" s="47"/>
      <c r="D1213" s="47"/>
      <c r="E1213" s="47"/>
      <c r="F1213" s="47"/>
      <c r="G1213" s="47"/>
      <c r="H1213" s="47"/>
      <c r="I1213" s="47"/>
      <c r="J1213" s="47"/>
      <c r="K1213" s="47"/>
      <c r="L1213" s="47"/>
      <c r="M1213" s="47"/>
      <c r="N1213" s="47"/>
      <c r="O1213" s="47"/>
      <c r="P1213" s="47"/>
      <c r="Q1213" s="85"/>
      <c r="R1213" s="85"/>
      <c r="S1213" s="85"/>
      <c r="T1213" s="85"/>
      <c r="U1213" s="85"/>
      <c r="V1213" s="85"/>
      <c r="W1213" s="85"/>
      <c r="X1213" s="85"/>
      <c r="Y1213" s="85"/>
      <c r="Z1213" s="85"/>
      <c r="AA1213" s="85"/>
      <c r="AB1213" s="85"/>
      <c r="AC1213" s="85"/>
      <c r="AD1213" s="85"/>
      <c r="AE1213" s="47"/>
      <c r="AF1213" s="47"/>
      <c r="AG1213" s="47"/>
      <c r="AH1213" s="47"/>
      <c r="AI1213" s="47"/>
      <c r="AJ1213" s="47"/>
      <c r="AK1213" s="47"/>
      <c r="AL1213" s="47"/>
      <c r="AM1213" s="47"/>
      <c r="AN1213" s="47"/>
      <c r="AO1213" s="47"/>
      <c r="AP1213" s="47"/>
      <c r="AQ1213" s="47"/>
      <c r="AR1213" s="47"/>
      <c r="AS1213" s="47"/>
      <c r="AT1213" s="47"/>
      <c r="AU1213" s="47"/>
      <c r="AV1213" s="47"/>
      <c r="AW1213" s="47"/>
      <c r="AX1213" s="47"/>
      <c r="AY1213" s="47"/>
      <c r="AZ1213" s="47"/>
      <c r="BA1213" s="47"/>
      <c r="BB1213" s="47"/>
      <c r="BC1213" s="47"/>
      <c r="BD1213" s="47"/>
      <c r="BE1213" s="47"/>
      <c r="BF1213" s="47"/>
    </row>
    <row r="1214" spans="3:58">
      <c r="C1214" s="47"/>
      <c r="D1214" s="47"/>
      <c r="E1214" s="47"/>
      <c r="F1214" s="47"/>
      <c r="G1214" s="47"/>
      <c r="H1214" s="47"/>
      <c r="I1214" s="47"/>
      <c r="J1214" s="47"/>
      <c r="K1214" s="47"/>
      <c r="L1214" s="47"/>
      <c r="M1214" s="47"/>
      <c r="N1214" s="47"/>
      <c r="O1214" s="47"/>
      <c r="P1214" s="47"/>
      <c r="Q1214" s="85"/>
      <c r="R1214" s="85"/>
      <c r="S1214" s="85"/>
      <c r="T1214" s="85"/>
      <c r="U1214" s="85"/>
      <c r="V1214" s="85"/>
      <c r="W1214" s="85"/>
      <c r="X1214" s="85"/>
      <c r="Y1214" s="85"/>
      <c r="Z1214" s="85"/>
      <c r="AA1214" s="85"/>
      <c r="AB1214" s="85"/>
      <c r="AC1214" s="85"/>
      <c r="AD1214" s="85"/>
      <c r="AE1214" s="47"/>
      <c r="AF1214" s="47"/>
      <c r="AG1214" s="47"/>
      <c r="AH1214" s="47"/>
      <c r="AI1214" s="47"/>
      <c r="AJ1214" s="47"/>
      <c r="AK1214" s="47"/>
      <c r="AL1214" s="47"/>
      <c r="AM1214" s="47"/>
      <c r="AN1214" s="47"/>
      <c r="AO1214" s="47"/>
      <c r="AP1214" s="47"/>
      <c r="AQ1214" s="47"/>
      <c r="AR1214" s="47"/>
      <c r="AS1214" s="47"/>
      <c r="AT1214" s="47"/>
      <c r="AU1214" s="47"/>
      <c r="AV1214" s="47"/>
      <c r="AW1214" s="47"/>
      <c r="AX1214" s="47"/>
      <c r="AY1214" s="47"/>
      <c r="AZ1214" s="47"/>
      <c r="BA1214" s="47"/>
      <c r="BB1214" s="47"/>
      <c r="BC1214" s="47"/>
      <c r="BD1214" s="47"/>
      <c r="BE1214" s="47"/>
      <c r="BF1214" s="47"/>
    </row>
    <row r="1215" spans="3:58">
      <c r="C1215" s="47"/>
      <c r="D1215" s="47"/>
      <c r="E1215" s="47"/>
      <c r="F1215" s="47"/>
      <c r="G1215" s="47"/>
      <c r="H1215" s="47"/>
      <c r="I1215" s="47"/>
      <c r="J1215" s="47"/>
      <c r="K1215" s="47"/>
      <c r="L1215" s="47"/>
      <c r="M1215" s="47"/>
      <c r="N1215" s="47"/>
      <c r="O1215" s="47"/>
      <c r="P1215" s="47"/>
      <c r="Q1215" s="85"/>
      <c r="R1215" s="85"/>
      <c r="S1215" s="85"/>
      <c r="T1215" s="85"/>
      <c r="U1215" s="85"/>
      <c r="V1215" s="85"/>
      <c r="W1215" s="85"/>
      <c r="X1215" s="85"/>
      <c r="Y1215" s="85"/>
      <c r="Z1215" s="85"/>
      <c r="AA1215" s="85"/>
      <c r="AB1215" s="85"/>
      <c r="AC1215" s="85"/>
      <c r="AD1215" s="85"/>
      <c r="AE1215" s="47"/>
      <c r="AF1215" s="47"/>
      <c r="AG1215" s="47"/>
      <c r="AH1215" s="47"/>
      <c r="AI1215" s="47"/>
      <c r="AJ1215" s="47"/>
      <c r="AK1215" s="47"/>
      <c r="AL1215" s="47"/>
      <c r="AM1215" s="47"/>
      <c r="AN1215" s="47"/>
      <c r="AO1215" s="47"/>
      <c r="AP1215" s="47"/>
      <c r="AQ1215" s="47"/>
      <c r="AR1215" s="47"/>
      <c r="AS1215" s="47"/>
      <c r="AT1215" s="47"/>
      <c r="AU1215" s="47"/>
      <c r="AV1215" s="47"/>
      <c r="AW1215" s="47"/>
      <c r="AX1215" s="47"/>
      <c r="AY1215" s="47"/>
      <c r="AZ1215" s="47"/>
      <c r="BA1215" s="47"/>
      <c r="BB1215" s="47"/>
      <c r="BC1215" s="47"/>
      <c r="BD1215" s="47"/>
      <c r="BE1215" s="47"/>
      <c r="BF1215" s="47"/>
    </row>
    <row r="1216" spans="3:58">
      <c r="C1216" s="47"/>
      <c r="D1216" s="47"/>
      <c r="E1216" s="47"/>
      <c r="F1216" s="47"/>
      <c r="G1216" s="47"/>
      <c r="H1216" s="47"/>
      <c r="I1216" s="47"/>
      <c r="J1216" s="47"/>
      <c r="K1216" s="47"/>
      <c r="L1216" s="47"/>
      <c r="M1216" s="47"/>
      <c r="N1216" s="47"/>
      <c r="O1216" s="47"/>
      <c r="P1216" s="47"/>
      <c r="Q1216" s="85"/>
      <c r="R1216" s="85"/>
      <c r="S1216" s="85"/>
      <c r="T1216" s="85"/>
      <c r="U1216" s="85"/>
      <c r="V1216" s="85"/>
      <c r="W1216" s="85"/>
      <c r="X1216" s="85"/>
      <c r="Y1216" s="85"/>
      <c r="Z1216" s="85"/>
      <c r="AA1216" s="85"/>
      <c r="AB1216" s="85"/>
      <c r="AC1216" s="85"/>
      <c r="AD1216" s="85"/>
      <c r="AE1216" s="47"/>
      <c r="AF1216" s="47"/>
      <c r="AG1216" s="47"/>
      <c r="AH1216" s="47"/>
      <c r="AI1216" s="47"/>
      <c r="AJ1216" s="47"/>
      <c r="AK1216" s="47"/>
      <c r="AL1216" s="47"/>
      <c r="AM1216" s="47"/>
      <c r="AN1216" s="47"/>
      <c r="AO1216" s="47"/>
      <c r="AP1216" s="47"/>
      <c r="AQ1216" s="47"/>
      <c r="AR1216" s="47"/>
      <c r="AS1216" s="47"/>
      <c r="AT1216" s="47"/>
      <c r="AU1216" s="47"/>
      <c r="AV1216" s="47"/>
      <c r="AW1216" s="47"/>
      <c r="AX1216" s="47"/>
      <c r="AY1216" s="47"/>
      <c r="AZ1216" s="47"/>
      <c r="BA1216" s="47"/>
      <c r="BB1216" s="47"/>
      <c r="BC1216" s="47"/>
      <c r="BD1216" s="47"/>
      <c r="BE1216" s="47"/>
      <c r="BF1216" s="47"/>
    </row>
    <row r="1217" spans="3:58">
      <c r="C1217" s="47"/>
      <c r="D1217" s="47"/>
      <c r="E1217" s="47"/>
      <c r="F1217" s="47"/>
      <c r="G1217" s="47"/>
      <c r="H1217" s="47"/>
      <c r="I1217" s="47"/>
      <c r="J1217" s="47"/>
      <c r="K1217" s="47"/>
      <c r="L1217" s="47"/>
      <c r="M1217" s="47"/>
      <c r="N1217" s="47"/>
      <c r="O1217" s="47"/>
      <c r="P1217" s="47"/>
      <c r="Q1217" s="85"/>
      <c r="R1217" s="85"/>
      <c r="S1217" s="85"/>
      <c r="T1217" s="85"/>
      <c r="U1217" s="85"/>
      <c r="V1217" s="85"/>
      <c r="W1217" s="85"/>
      <c r="X1217" s="85"/>
      <c r="Y1217" s="85"/>
      <c r="Z1217" s="85"/>
      <c r="AA1217" s="85"/>
      <c r="AB1217" s="85"/>
      <c r="AC1217" s="85"/>
      <c r="AD1217" s="85"/>
      <c r="AE1217" s="47"/>
      <c r="AF1217" s="47"/>
      <c r="AG1217" s="47"/>
      <c r="AH1217" s="47"/>
      <c r="AI1217" s="47"/>
      <c r="AJ1217" s="47"/>
      <c r="AK1217" s="47"/>
      <c r="AL1217" s="47"/>
      <c r="AM1217" s="47"/>
      <c r="AN1217" s="47"/>
      <c r="AO1217" s="47"/>
      <c r="AP1217" s="47"/>
      <c r="AQ1217" s="47"/>
      <c r="AR1217" s="47"/>
      <c r="AS1217" s="47"/>
      <c r="AT1217" s="47"/>
      <c r="AU1217" s="47"/>
      <c r="AV1217" s="47"/>
      <c r="AW1217" s="47"/>
      <c r="AX1217" s="47"/>
      <c r="AY1217" s="47"/>
      <c r="AZ1217" s="47"/>
      <c r="BA1217" s="47"/>
      <c r="BB1217" s="47"/>
      <c r="BC1217" s="47"/>
      <c r="BD1217" s="47"/>
      <c r="BE1217" s="47"/>
      <c r="BF1217" s="47"/>
    </row>
    <row r="1218" spans="3:58">
      <c r="C1218" s="47"/>
      <c r="D1218" s="47"/>
      <c r="E1218" s="47"/>
      <c r="F1218" s="47"/>
      <c r="G1218" s="47"/>
      <c r="H1218" s="47"/>
      <c r="I1218" s="47"/>
      <c r="J1218" s="47"/>
      <c r="K1218" s="47"/>
      <c r="L1218" s="47"/>
      <c r="M1218" s="47"/>
      <c r="N1218" s="47"/>
      <c r="O1218" s="47"/>
      <c r="P1218" s="47"/>
      <c r="Q1218" s="85"/>
      <c r="R1218" s="85"/>
      <c r="S1218" s="85"/>
      <c r="T1218" s="85"/>
      <c r="U1218" s="85"/>
      <c r="V1218" s="85"/>
      <c r="W1218" s="85"/>
      <c r="X1218" s="85"/>
      <c r="Y1218" s="85"/>
      <c r="Z1218" s="85"/>
      <c r="AA1218" s="85"/>
      <c r="AB1218" s="85"/>
      <c r="AC1218" s="85"/>
      <c r="AD1218" s="85"/>
      <c r="AE1218" s="47"/>
      <c r="AF1218" s="47"/>
      <c r="AG1218" s="47"/>
      <c r="AH1218" s="47"/>
      <c r="AI1218" s="47"/>
      <c r="AJ1218" s="47"/>
      <c r="AK1218" s="47"/>
      <c r="AL1218" s="47"/>
      <c r="AM1218" s="47"/>
      <c r="AN1218" s="47"/>
      <c r="AO1218" s="47"/>
      <c r="AP1218" s="47"/>
      <c r="AQ1218" s="47"/>
      <c r="AR1218" s="47"/>
      <c r="AS1218" s="47"/>
      <c r="AT1218" s="47"/>
      <c r="AU1218" s="47"/>
      <c r="AV1218" s="47"/>
      <c r="AW1218" s="47"/>
      <c r="AX1218" s="47"/>
      <c r="AY1218" s="47"/>
      <c r="AZ1218" s="47"/>
      <c r="BA1218" s="47"/>
      <c r="BB1218" s="47"/>
      <c r="BC1218" s="47"/>
      <c r="BD1218" s="47"/>
      <c r="BE1218" s="47"/>
      <c r="BF1218" s="47"/>
    </row>
    <row r="1219" spans="3:58">
      <c r="C1219" s="47"/>
      <c r="D1219" s="47"/>
      <c r="E1219" s="47"/>
      <c r="F1219" s="47"/>
      <c r="G1219" s="47"/>
      <c r="H1219" s="47"/>
      <c r="I1219" s="47"/>
      <c r="J1219" s="47"/>
      <c r="K1219" s="47"/>
      <c r="L1219" s="47"/>
      <c r="M1219" s="47"/>
      <c r="N1219" s="47"/>
      <c r="O1219" s="47"/>
      <c r="P1219" s="47"/>
      <c r="Q1219" s="85"/>
      <c r="R1219" s="85"/>
      <c r="S1219" s="85"/>
      <c r="T1219" s="85"/>
      <c r="U1219" s="85"/>
      <c r="V1219" s="85"/>
      <c r="W1219" s="85"/>
      <c r="X1219" s="85"/>
      <c r="Y1219" s="85"/>
      <c r="Z1219" s="85"/>
      <c r="AA1219" s="85"/>
      <c r="AB1219" s="85"/>
      <c r="AC1219" s="85"/>
      <c r="AD1219" s="85"/>
      <c r="AE1219" s="47"/>
      <c r="AF1219" s="47"/>
      <c r="AG1219" s="47"/>
      <c r="AH1219" s="47"/>
      <c r="AI1219" s="47"/>
      <c r="AJ1219" s="47"/>
      <c r="AK1219" s="47"/>
      <c r="AL1219" s="47"/>
      <c r="AM1219" s="47"/>
      <c r="AN1219" s="47"/>
      <c r="AO1219" s="47"/>
      <c r="AP1219" s="47"/>
      <c r="AQ1219" s="47"/>
      <c r="AR1219" s="47"/>
      <c r="AS1219" s="47"/>
      <c r="AT1219" s="47"/>
      <c r="AU1219" s="47"/>
      <c r="AV1219" s="47"/>
      <c r="AW1219" s="47"/>
      <c r="AX1219" s="47"/>
      <c r="AY1219" s="47"/>
      <c r="AZ1219" s="47"/>
      <c r="BA1219" s="47"/>
      <c r="BB1219" s="47"/>
      <c r="BC1219" s="47"/>
      <c r="BD1219" s="47"/>
      <c r="BE1219" s="47"/>
      <c r="BF1219" s="47"/>
    </row>
    <row r="1220" spans="3:58">
      <c r="C1220" s="47"/>
      <c r="D1220" s="47"/>
      <c r="E1220" s="47"/>
      <c r="F1220" s="47"/>
      <c r="G1220" s="47"/>
      <c r="H1220" s="47"/>
      <c r="I1220" s="47"/>
      <c r="J1220" s="47"/>
      <c r="K1220" s="47"/>
      <c r="L1220" s="47"/>
      <c r="M1220" s="47"/>
      <c r="N1220" s="47"/>
      <c r="O1220" s="47"/>
      <c r="P1220" s="47"/>
      <c r="Q1220" s="85"/>
      <c r="R1220" s="85"/>
      <c r="S1220" s="85"/>
      <c r="T1220" s="85"/>
      <c r="U1220" s="85"/>
      <c r="V1220" s="85"/>
      <c r="W1220" s="85"/>
      <c r="X1220" s="85"/>
      <c r="Y1220" s="85"/>
      <c r="Z1220" s="85"/>
      <c r="AA1220" s="85"/>
      <c r="AB1220" s="85"/>
      <c r="AC1220" s="85"/>
      <c r="AD1220" s="85"/>
      <c r="AE1220" s="47"/>
      <c r="AF1220" s="47"/>
      <c r="AG1220" s="47"/>
      <c r="AH1220" s="47"/>
      <c r="AI1220" s="47"/>
      <c r="AJ1220" s="47"/>
      <c r="AK1220" s="47"/>
      <c r="AL1220" s="47"/>
      <c r="AM1220" s="47"/>
      <c r="AN1220" s="47"/>
      <c r="AO1220" s="47"/>
      <c r="AP1220" s="47"/>
      <c r="AQ1220" s="47"/>
      <c r="AR1220" s="47"/>
      <c r="AS1220" s="47"/>
      <c r="AT1220" s="47"/>
      <c r="AU1220" s="47"/>
      <c r="AV1220" s="47"/>
      <c r="AW1220" s="47"/>
      <c r="AX1220" s="47"/>
      <c r="AY1220" s="47"/>
      <c r="AZ1220" s="47"/>
      <c r="BA1220" s="47"/>
      <c r="BB1220" s="47"/>
      <c r="BC1220" s="47"/>
      <c r="BD1220" s="47"/>
      <c r="BE1220" s="47"/>
      <c r="BF1220" s="47"/>
    </row>
    <row r="1221" spans="3:58">
      <c r="C1221" s="47"/>
      <c r="D1221" s="47"/>
      <c r="E1221" s="47"/>
      <c r="F1221" s="47"/>
      <c r="G1221" s="47"/>
      <c r="H1221" s="47"/>
      <c r="I1221" s="47"/>
      <c r="J1221" s="47"/>
      <c r="K1221" s="47"/>
      <c r="L1221" s="47"/>
      <c r="M1221" s="47"/>
      <c r="N1221" s="47"/>
      <c r="O1221" s="47"/>
      <c r="P1221" s="47"/>
      <c r="Q1221" s="85"/>
      <c r="R1221" s="85"/>
      <c r="S1221" s="85"/>
      <c r="T1221" s="85"/>
      <c r="U1221" s="85"/>
      <c r="V1221" s="85"/>
      <c r="W1221" s="85"/>
      <c r="X1221" s="85"/>
      <c r="Y1221" s="85"/>
      <c r="Z1221" s="85"/>
      <c r="AA1221" s="85"/>
      <c r="AB1221" s="85"/>
      <c r="AC1221" s="85"/>
      <c r="AD1221" s="85"/>
      <c r="AE1221" s="47"/>
      <c r="AF1221" s="47"/>
      <c r="AG1221" s="47"/>
      <c r="AH1221" s="47"/>
      <c r="AI1221" s="47"/>
      <c r="AJ1221" s="47"/>
      <c r="AK1221" s="47"/>
      <c r="AL1221" s="47"/>
      <c r="AM1221" s="47"/>
      <c r="AN1221" s="47"/>
      <c r="AO1221" s="47"/>
      <c r="AP1221" s="47"/>
      <c r="AQ1221" s="47"/>
      <c r="AR1221" s="47"/>
      <c r="AS1221" s="47"/>
      <c r="AT1221" s="47"/>
      <c r="AU1221" s="47"/>
      <c r="AV1221" s="47"/>
      <c r="AW1221" s="47"/>
      <c r="AX1221" s="47"/>
      <c r="AY1221" s="47"/>
      <c r="AZ1221" s="47"/>
      <c r="BA1221" s="47"/>
      <c r="BB1221" s="47"/>
      <c r="BC1221" s="47"/>
      <c r="BD1221" s="47"/>
      <c r="BE1221" s="47"/>
      <c r="BF1221" s="47"/>
    </row>
    <row r="1222" spans="3:58">
      <c r="C1222" s="47"/>
      <c r="D1222" s="47"/>
      <c r="E1222" s="47"/>
      <c r="F1222" s="47"/>
      <c r="G1222" s="47"/>
      <c r="H1222" s="47"/>
      <c r="I1222" s="47"/>
      <c r="J1222" s="47"/>
      <c r="K1222" s="47"/>
      <c r="L1222" s="47"/>
      <c r="M1222" s="47"/>
      <c r="N1222" s="47"/>
      <c r="O1222" s="47"/>
      <c r="P1222" s="47"/>
      <c r="Q1222" s="85"/>
      <c r="R1222" s="85"/>
      <c r="S1222" s="85"/>
      <c r="T1222" s="85"/>
      <c r="U1222" s="85"/>
      <c r="V1222" s="85"/>
      <c r="W1222" s="85"/>
      <c r="X1222" s="85"/>
      <c r="Y1222" s="85"/>
      <c r="Z1222" s="85"/>
      <c r="AA1222" s="85"/>
      <c r="AB1222" s="85"/>
      <c r="AC1222" s="85"/>
      <c r="AD1222" s="85"/>
      <c r="AE1222" s="47"/>
      <c r="AF1222" s="47"/>
      <c r="AG1222" s="47"/>
      <c r="AH1222" s="47"/>
      <c r="AI1222" s="47"/>
      <c r="AJ1222" s="47"/>
      <c r="AK1222" s="47"/>
      <c r="AL1222" s="47"/>
      <c r="AM1222" s="47"/>
      <c r="AN1222" s="47"/>
      <c r="AO1222" s="47"/>
      <c r="AP1222" s="47"/>
      <c r="AQ1222" s="47"/>
      <c r="AR1222" s="47"/>
      <c r="AS1222" s="47"/>
      <c r="AT1222" s="47"/>
      <c r="AU1222" s="47"/>
      <c r="AV1222" s="47"/>
      <c r="AW1222" s="47"/>
      <c r="AX1222" s="47"/>
      <c r="AY1222" s="47"/>
      <c r="AZ1222" s="47"/>
      <c r="BA1222" s="47"/>
      <c r="BB1222" s="47"/>
      <c r="BC1222" s="47"/>
      <c r="BD1222" s="47"/>
      <c r="BE1222" s="47"/>
      <c r="BF1222" s="47"/>
    </row>
    <row r="1223" spans="3:58">
      <c r="C1223" s="47"/>
      <c r="D1223" s="47"/>
      <c r="E1223" s="47"/>
      <c r="F1223" s="47"/>
      <c r="G1223" s="47"/>
      <c r="H1223" s="47"/>
      <c r="I1223" s="47"/>
      <c r="J1223" s="47"/>
      <c r="K1223" s="47"/>
      <c r="L1223" s="47"/>
      <c r="M1223" s="47"/>
      <c r="N1223" s="47"/>
      <c r="O1223" s="47"/>
      <c r="P1223" s="47"/>
      <c r="Q1223" s="85"/>
      <c r="R1223" s="85"/>
      <c r="S1223" s="85"/>
      <c r="T1223" s="85"/>
      <c r="U1223" s="85"/>
      <c r="V1223" s="85"/>
      <c r="W1223" s="85"/>
      <c r="X1223" s="85"/>
      <c r="Y1223" s="85"/>
      <c r="Z1223" s="85"/>
      <c r="AA1223" s="85"/>
      <c r="AB1223" s="85"/>
      <c r="AC1223" s="85"/>
      <c r="AD1223" s="85"/>
      <c r="AE1223" s="47"/>
      <c r="AF1223" s="47"/>
      <c r="AG1223" s="47"/>
      <c r="AH1223" s="47"/>
      <c r="AI1223" s="47"/>
      <c r="AJ1223" s="47"/>
      <c r="AK1223" s="47"/>
      <c r="AL1223" s="47"/>
      <c r="AM1223" s="47"/>
      <c r="AN1223" s="47"/>
      <c r="AO1223" s="47"/>
      <c r="AP1223" s="47"/>
      <c r="AQ1223" s="47"/>
      <c r="AR1223" s="47"/>
      <c r="AS1223" s="47"/>
      <c r="AT1223" s="47"/>
      <c r="AU1223" s="47"/>
      <c r="AV1223" s="47"/>
      <c r="AW1223" s="47"/>
      <c r="AX1223" s="47"/>
      <c r="AY1223" s="47"/>
      <c r="AZ1223" s="47"/>
      <c r="BA1223" s="47"/>
      <c r="BB1223" s="47"/>
      <c r="BC1223" s="47"/>
      <c r="BD1223" s="47"/>
      <c r="BE1223" s="47"/>
      <c r="BF1223" s="47"/>
    </row>
    <row r="1224" spans="3:58">
      <c r="C1224" s="47"/>
      <c r="D1224" s="47"/>
      <c r="E1224" s="47"/>
      <c r="F1224" s="47"/>
      <c r="G1224" s="47"/>
      <c r="H1224" s="47"/>
      <c r="I1224" s="47"/>
      <c r="J1224" s="47"/>
      <c r="K1224" s="47"/>
      <c r="L1224" s="47"/>
      <c r="M1224" s="47"/>
      <c r="N1224" s="47"/>
      <c r="O1224" s="47"/>
      <c r="P1224" s="47"/>
      <c r="Q1224" s="85"/>
      <c r="R1224" s="85"/>
      <c r="S1224" s="85"/>
      <c r="T1224" s="85"/>
      <c r="U1224" s="85"/>
      <c r="V1224" s="85"/>
      <c r="W1224" s="85"/>
      <c r="X1224" s="85"/>
      <c r="Y1224" s="85"/>
      <c r="Z1224" s="85"/>
      <c r="AA1224" s="85"/>
      <c r="AB1224" s="85"/>
      <c r="AC1224" s="85"/>
      <c r="AD1224" s="85"/>
      <c r="AE1224" s="47"/>
      <c r="AF1224" s="47"/>
      <c r="AG1224" s="47"/>
      <c r="AH1224" s="47"/>
      <c r="AI1224" s="47"/>
      <c r="AJ1224" s="47"/>
      <c r="AK1224" s="47"/>
      <c r="AL1224" s="47"/>
      <c r="AM1224" s="47"/>
      <c r="AN1224" s="47"/>
      <c r="AO1224" s="47"/>
      <c r="AP1224" s="47"/>
      <c r="AQ1224" s="47"/>
      <c r="AR1224" s="47"/>
      <c r="AS1224" s="47"/>
      <c r="AT1224" s="47"/>
      <c r="AU1224" s="47"/>
      <c r="AV1224" s="47"/>
      <c r="AW1224" s="47"/>
      <c r="AX1224" s="47"/>
      <c r="AY1224" s="47"/>
      <c r="AZ1224" s="47"/>
      <c r="BA1224" s="47"/>
      <c r="BB1224" s="47"/>
      <c r="BC1224" s="47"/>
      <c r="BD1224" s="47"/>
      <c r="BE1224" s="47"/>
      <c r="BF1224" s="47"/>
    </row>
    <row r="1225" spans="3:58">
      <c r="C1225" s="47"/>
      <c r="D1225" s="47"/>
      <c r="E1225" s="47"/>
      <c r="F1225" s="47"/>
      <c r="G1225" s="47"/>
      <c r="H1225" s="47"/>
      <c r="I1225" s="47"/>
      <c r="J1225" s="47"/>
      <c r="K1225" s="47"/>
      <c r="L1225" s="47"/>
      <c r="M1225" s="47"/>
      <c r="N1225" s="47"/>
      <c r="O1225" s="47"/>
      <c r="P1225" s="47"/>
      <c r="Q1225" s="85"/>
      <c r="R1225" s="85"/>
      <c r="S1225" s="85"/>
      <c r="T1225" s="85"/>
      <c r="U1225" s="85"/>
      <c r="V1225" s="85"/>
      <c r="W1225" s="85"/>
      <c r="X1225" s="85"/>
      <c r="Y1225" s="85"/>
      <c r="Z1225" s="85"/>
      <c r="AA1225" s="85"/>
      <c r="AB1225" s="85"/>
      <c r="AC1225" s="85"/>
      <c r="AD1225" s="85"/>
      <c r="AE1225" s="47"/>
      <c r="AF1225" s="47"/>
      <c r="AG1225" s="47"/>
      <c r="AH1225" s="47"/>
      <c r="AI1225" s="47"/>
      <c r="AJ1225" s="47"/>
      <c r="AK1225" s="47"/>
      <c r="AL1225" s="47"/>
      <c r="AM1225" s="47"/>
      <c r="AN1225" s="47"/>
      <c r="AO1225" s="47"/>
      <c r="AP1225" s="47"/>
      <c r="AQ1225" s="47"/>
      <c r="AR1225" s="47"/>
      <c r="AS1225" s="47"/>
      <c r="AT1225" s="47"/>
      <c r="AU1225" s="47"/>
      <c r="AV1225" s="47"/>
      <c r="AW1225" s="47"/>
      <c r="AX1225" s="47"/>
      <c r="AY1225" s="47"/>
      <c r="AZ1225" s="47"/>
      <c r="BA1225" s="47"/>
      <c r="BB1225" s="47"/>
      <c r="BC1225" s="47"/>
      <c r="BD1225" s="47"/>
      <c r="BE1225" s="47"/>
      <c r="BF1225" s="47"/>
    </row>
    <row r="1226" spans="3:58">
      <c r="C1226" s="47"/>
      <c r="D1226" s="47"/>
      <c r="E1226" s="47"/>
      <c r="F1226" s="47"/>
      <c r="G1226" s="47"/>
      <c r="H1226" s="47"/>
      <c r="I1226" s="47"/>
      <c r="J1226" s="47"/>
      <c r="K1226" s="47"/>
      <c r="L1226" s="47"/>
      <c r="M1226" s="47"/>
      <c r="N1226" s="47"/>
      <c r="O1226" s="47"/>
      <c r="P1226" s="47"/>
      <c r="Q1226" s="85"/>
      <c r="R1226" s="85"/>
      <c r="S1226" s="85"/>
      <c r="T1226" s="85"/>
      <c r="U1226" s="85"/>
      <c r="V1226" s="85"/>
      <c r="W1226" s="85"/>
      <c r="X1226" s="85"/>
      <c r="Y1226" s="85"/>
      <c r="Z1226" s="85"/>
      <c r="AA1226" s="85"/>
      <c r="AB1226" s="85"/>
      <c r="AC1226" s="85"/>
      <c r="AD1226" s="85"/>
      <c r="AE1226" s="47"/>
      <c r="AF1226" s="47"/>
      <c r="AG1226" s="47"/>
      <c r="AH1226" s="47"/>
      <c r="AI1226" s="47"/>
      <c r="AJ1226" s="47"/>
      <c r="AK1226" s="47"/>
      <c r="AL1226" s="47"/>
      <c r="AM1226" s="47"/>
      <c r="AN1226" s="47"/>
      <c r="AO1226" s="47"/>
      <c r="AP1226" s="47"/>
      <c r="AQ1226" s="47"/>
      <c r="AR1226" s="47"/>
      <c r="AS1226" s="47"/>
      <c r="AT1226" s="47"/>
      <c r="AU1226" s="47"/>
      <c r="AV1226" s="47"/>
      <c r="AW1226" s="47"/>
      <c r="AX1226" s="47"/>
      <c r="AY1226" s="47"/>
      <c r="AZ1226" s="47"/>
      <c r="BA1226" s="47"/>
      <c r="BB1226" s="47"/>
      <c r="BC1226" s="47"/>
      <c r="BD1226" s="47"/>
      <c r="BE1226" s="47"/>
      <c r="BF1226" s="47"/>
    </row>
    <row r="1227" spans="3:58">
      <c r="C1227" s="47"/>
      <c r="D1227" s="47"/>
      <c r="E1227" s="47"/>
      <c r="F1227" s="47"/>
      <c r="G1227" s="47"/>
      <c r="H1227" s="47"/>
      <c r="I1227" s="47"/>
      <c r="J1227" s="47"/>
      <c r="K1227" s="47"/>
      <c r="L1227" s="47"/>
      <c r="M1227" s="47"/>
      <c r="N1227" s="47"/>
      <c r="O1227" s="47"/>
      <c r="P1227" s="47"/>
      <c r="Q1227" s="85"/>
      <c r="R1227" s="85"/>
      <c r="S1227" s="85"/>
      <c r="T1227" s="85"/>
      <c r="U1227" s="85"/>
      <c r="V1227" s="85"/>
      <c r="W1227" s="85"/>
      <c r="X1227" s="85"/>
      <c r="Y1227" s="85"/>
      <c r="Z1227" s="85"/>
      <c r="AA1227" s="85"/>
      <c r="AB1227" s="85"/>
      <c r="AC1227" s="85"/>
      <c r="AD1227" s="85"/>
      <c r="AE1227" s="47"/>
      <c r="AF1227" s="47"/>
      <c r="AG1227" s="47"/>
      <c r="AH1227" s="47"/>
      <c r="AI1227" s="47"/>
      <c r="AJ1227" s="47"/>
      <c r="AK1227" s="47"/>
      <c r="AL1227" s="47"/>
      <c r="AM1227" s="47"/>
      <c r="AN1227" s="47"/>
      <c r="AO1227" s="47"/>
      <c r="AP1227" s="47"/>
      <c r="AQ1227" s="47"/>
      <c r="AR1227" s="47"/>
      <c r="AS1227" s="47"/>
      <c r="AT1227" s="47"/>
      <c r="AU1227" s="47"/>
      <c r="AV1227" s="47"/>
      <c r="AW1227" s="47"/>
      <c r="AX1227" s="47"/>
      <c r="AY1227" s="47"/>
      <c r="AZ1227" s="47"/>
      <c r="BA1227" s="47"/>
      <c r="BB1227" s="47"/>
      <c r="BC1227" s="47"/>
      <c r="BD1227" s="47"/>
      <c r="BE1227" s="47"/>
      <c r="BF1227" s="47"/>
    </row>
    <row r="1228" spans="3:58">
      <c r="C1228" s="47"/>
      <c r="D1228" s="47"/>
      <c r="E1228" s="47"/>
      <c r="F1228" s="47"/>
      <c r="G1228" s="47"/>
      <c r="H1228" s="47"/>
      <c r="I1228" s="47"/>
      <c r="J1228" s="47"/>
      <c r="K1228" s="47"/>
      <c r="L1228" s="47"/>
      <c r="M1228" s="47"/>
      <c r="N1228" s="47"/>
      <c r="O1228" s="47"/>
      <c r="P1228" s="47"/>
      <c r="Q1228" s="85"/>
      <c r="R1228" s="85"/>
      <c r="S1228" s="85"/>
      <c r="T1228" s="85"/>
      <c r="U1228" s="85"/>
      <c r="V1228" s="85"/>
      <c r="W1228" s="85"/>
      <c r="X1228" s="85"/>
      <c r="Y1228" s="85"/>
      <c r="Z1228" s="85"/>
      <c r="AA1228" s="85"/>
      <c r="AB1228" s="85"/>
      <c r="AC1228" s="85"/>
      <c r="AD1228" s="85"/>
      <c r="AE1228" s="47"/>
      <c r="AF1228" s="47"/>
      <c r="AG1228" s="47"/>
      <c r="AH1228" s="47"/>
      <c r="AI1228" s="47"/>
      <c r="AJ1228" s="47"/>
      <c r="AK1228" s="47"/>
      <c r="AL1228" s="47"/>
      <c r="AM1228" s="47"/>
      <c r="AN1228" s="47"/>
      <c r="AO1228" s="47"/>
      <c r="AP1228" s="47"/>
      <c r="AQ1228" s="47"/>
      <c r="AR1228" s="47"/>
      <c r="AS1228" s="47"/>
      <c r="AT1228" s="47"/>
      <c r="AU1228" s="47"/>
      <c r="AV1228" s="47"/>
      <c r="AW1228" s="47"/>
      <c r="AX1228" s="47"/>
      <c r="AY1228" s="47"/>
      <c r="AZ1228" s="47"/>
      <c r="BA1228" s="47"/>
      <c r="BB1228" s="47"/>
      <c r="BC1228" s="47"/>
      <c r="BD1228" s="47"/>
      <c r="BE1228" s="47"/>
      <c r="BF1228" s="47"/>
    </row>
    <row r="1229" spans="3:58">
      <c r="C1229" s="47"/>
      <c r="D1229" s="47"/>
      <c r="E1229" s="47"/>
      <c r="F1229" s="47"/>
      <c r="G1229" s="47"/>
      <c r="H1229" s="47"/>
      <c r="I1229" s="47"/>
      <c r="J1229" s="47"/>
      <c r="K1229" s="47"/>
      <c r="L1229" s="47"/>
      <c r="M1229" s="47"/>
      <c r="N1229" s="47"/>
      <c r="O1229" s="47"/>
      <c r="P1229" s="47"/>
      <c r="Q1229" s="85"/>
      <c r="R1229" s="85"/>
      <c r="S1229" s="85"/>
      <c r="T1229" s="85"/>
      <c r="U1229" s="85"/>
      <c r="V1229" s="85"/>
      <c r="W1229" s="85"/>
      <c r="X1229" s="85"/>
      <c r="Y1229" s="85"/>
      <c r="Z1229" s="85"/>
      <c r="AA1229" s="85"/>
      <c r="AB1229" s="85"/>
      <c r="AC1229" s="85"/>
      <c r="AD1229" s="85"/>
      <c r="AE1229" s="47"/>
      <c r="AF1229" s="47"/>
      <c r="AG1229" s="47"/>
      <c r="AH1229" s="47"/>
      <c r="AI1229" s="47"/>
      <c r="AJ1229" s="47"/>
      <c r="AK1229" s="47"/>
      <c r="AL1229" s="47"/>
      <c r="AM1229" s="47"/>
      <c r="AN1229" s="47"/>
      <c r="AO1229" s="47"/>
      <c r="AP1229" s="47"/>
      <c r="AQ1229" s="47"/>
      <c r="AR1229" s="47"/>
      <c r="AS1229" s="47"/>
      <c r="AT1229" s="47"/>
      <c r="AU1229" s="47"/>
      <c r="AV1229" s="47"/>
      <c r="AW1229" s="47"/>
      <c r="AX1229" s="47"/>
      <c r="AY1229" s="47"/>
      <c r="AZ1229" s="47"/>
      <c r="BA1229" s="47"/>
      <c r="BB1229" s="47"/>
      <c r="BC1229" s="47"/>
      <c r="BD1229" s="47"/>
      <c r="BE1229" s="47"/>
      <c r="BF1229" s="47"/>
    </row>
    <row r="1230" spans="3:58">
      <c r="C1230" s="47"/>
      <c r="D1230" s="47"/>
      <c r="E1230" s="47"/>
      <c r="F1230" s="47"/>
      <c r="G1230" s="47"/>
      <c r="H1230" s="47"/>
      <c r="I1230" s="47"/>
      <c r="J1230" s="47"/>
      <c r="K1230" s="47"/>
      <c r="L1230" s="47"/>
      <c r="M1230" s="47"/>
      <c r="N1230" s="47"/>
      <c r="O1230" s="47"/>
      <c r="P1230" s="47"/>
      <c r="Q1230" s="85"/>
      <c r="R1230" s="85"/>
      <c r="S1230" s="85"/>
      <c r="T1230" s="85"/>
      <c r="U1230" s="85"/>
      <c r="V1230" s="85"/>
      <c r="W1230" s="85"/>
      <c r="X1230" s="85"/>
      <c r="Y1230" s="85"/>
      <c r="Z1230" s="85"/>
      <c r="AA1230" s="85"/>
      <c r="AB1230" s="85"/>
      <c r="AC1230" s="85"/>
      <c r="AD1230" s="85"/>
      <c r="AE1230" s="47"/>
      <c r="AF1230" s="47"/>
      <c r="AG1230" s="47"/>
      <c r="AH1230" s="47"/>
      <c r="AI1230" s="47"/>
      <c r="AJ1230" s="47"/>
      <c r="AK1230" s="47"/>
      <c r="AL1230" s="47"/>
      <c r="AM1230" s="47"/>
      <c r="AN1230" s="47"/>
      <c r="AO1230" s="47"/>
      <c r="AP1230" s="47"/>
      <c r="AQ1230" s="47"/>
      <c r="AR1230" s="47"/>
      <c r="AS1230" s="47"/>
      <c r="AT1230" s="47"/>
      <c r="AU1230" s="47"/>
      <c r="AV1230" s="47"/>
      <c r="AW1230" s="47"/>
      <c r="AX1230" s="47"/>
      <c r="AY1230" s="47"/>
      <c r="AZ1230" s="47"/>
      <c r="BA1230" s="47"/>
      <c r="BB1230" s="47"/>
      <c r="BC1230" s="47"/>
      <c r="BD1230" s="47"/>
      <c r="BE1230" s="47"/>
      <c r="BF1230" s="47"/>
    </row>
    <row r="1231" spans="3:58">
      <c r="C1231" s="47"/>
      <c r="D1231" s="47"/>
      <c r="E1231" s="47"/>
      <c r="F1231" s="47"/>
      <c r="G1231" s="47"/>
      <c r="H1231" s="47"/>
      <c r="I1231" s="47"/>
      <c r="J1231" s="47"/>
      <c r="K1231" s="47"/>
      <c r="L1231" s="47"/>
      <c r="M1231" s="47"/>
      <c r="N1231" s="47"/>
      <c r="O1231" s="47"/>
      <c r="P1231" s="47"/>
      <c r="Q1231" s="85"/>
      <c r="R1231" s="85"/>
      <c r="S1231" s="85"/>
      <c r="T1231" s="85"/>
      <c r="U1231" s="85"/>
      <c r="V1231" s="85"/>
      <c r="W1231" s="85"/>
      <c r="X1231" s="85"/>
      <c r="Y1231" s="85"/>
      <c r="Z1231" s="85"/>
      <c r="AA1231" s="85"/>
      <c r="AB1231" s="85"/>
      <c r="AC1231" s="85"/>
      <c r="AD1231" s="85"/>
      <c r="AE1231" s="47"/>
      <c r="AF1231" s="47"/>
      <c r="AG1231" s="47"/>
      <c r="AH1231" s="47"/>
      <c r="AI1231" s="47"/>
      <c r="AJ1231" s="47"/>
      <c r="AK1231" s="47"/>
      <c r="AL1231" s="47"/>
      <c r="AM1231" s="47"/>
      <c r="AN1231" s="47"/>
      <c r="AO1231" s="47"/>
      <c r="AP1231" s="47"/>
      <c r="AQ1231" s="47"/>
      <c r="AR1231" s="47"/>
      <c r="AS1231" s="47"/>
      <c r="AT1231" s="47"/>
      <c r="AU1231" s="47"/>
      <c r="AV1231" s="47"/>
      <c r="AW1231" s="47"/>
      <c r="AX1231" s="47"/>
      <c r="AY1231" s="47"/>
      <c r="AZ1231" s="47"/>
      <c r="BA1231" s="47"/>
      <c r="BB1231" s="47"/>
      <c r="BC1231" s="47"/>
      <c r="BD1231" s="47"/>
      <c r="BE1231" s="47"/>
      <c r="BF1231" s="47"/>
    </row>
    <row r="1232" spans="3:58">
      <c r="C1232" s="47"/>
      <c r="D1232" s="47"/>
      <c r="E1232" s="47"/>
      <c r="F1232" s="47"/>
      <c r="G1232" s="47"/>
      <c r="H1232" s="47"/>
      <c r="I1232" s="47"/>
      <c r="J1232" s="47"/>
      <c r="K1232" s="47"/>
      <c r="L1232" s="47"/>
      <c r="M1232" s="47"/>
      <c r="N1232" s="47"/>
      <c r="O1232" s="47"/>
      <c r="P1232" s="47"/>
      <c r="Q1232" s="85"/>
      <c r="R1232" s="85"/>
      <c r="S1232" s="85"/>
      <c r="T1232" s="85"/>
      <c r="U1232" s="85"/>
      <c r="V1232" s="85"/>
      <c r="W1232" s="85"/>
      <c r="X1232" s="85"/>
      <c r="Y1232" s="85"/>
      <c r="Z1232" s="85"/>
      <c r="AA1232" s="85"/>
      <c r="AB1232" s="85"/>
      <c r="AC1232" s="85"/>
      <c r="AD1232" s="85"/>
      <c r="AE1232" s="47"/>
      <c r="AF1232" s="47"/>
      <c r="AG1232" s="47"/>
      <c r="AH1232" s="47"/>
      <c r="AI1232" s="47"/>
      <c r="AJ1232" s="47"/>
      <c r="AK1232" s="47"/>
      <c r="AL1232" s="47"/>
      <c r="AM1232" s="47"/>
      <c r="AN1232" s="47"/>
      <c r="AO1232" s="47"/>
      <c r="AP1232" s="47"/>
      <c r="AQ1232" s="47"/>
      <c r="AR1232" s="47"/>
      <c r="AS1232" s="47"/>
      <c r="AT1232" s="47"/>
      <c r="AU1232" s="47"/>
      <c r="AV1232" s="47"/>
      <c r="AW1232" s="47"/>
      <c r="AX1232" s="47"/>
      <c r="AY1232" s="47"/>
      <c r="AZ1232" s="47"/>
      <c r="BA1232" s="47"/>
      <c r="BB1232" s="47"/>
      <c r="BC1232" s="47"/>
      <c r="BD1232" s="47"/>
      <c r="BE1232" s="47"/>
      <c r="BF1232" s="47"/>
    </row>
    <row r="1233" spans="3:58">
      <c r="C1233" s="47"/>
      <c r="D1233" s="47"/>
      <c r="E1233" s="47"/>
      <c r="F1233" s="47"/>
      <c r="G1233" s="47"/>
      <c r="H1233" s="47"/>
      <c r="I1233" s="47"/>
      <c r="J1233" s="47"/>
      <c r="K1233" s="47"/>
      <c r="L1233" s="47"/>
      <c r="M1233" s="47"/>
      <c r="N1233" s="47"/>
      <c r="O1233" s="47"/>
      <c r="P1233" s="47"/>
      <c r="Q1233" s="85"/>
      <c r="R1233" s="85"/>
      <c r="S1233" s="85"/>
      <c r="T1233" s="85"/>
      <c r="U1233" s="85"/>
      <c r="V1233" s="85"/>
      <c r="W1233" s="85"/>
      <c r="X1233" s="85"/>
      <c r="Y1233" s="85"/>
      <c r="Z1233" s="85"/>
      <c r="AA1233" s="85"/>
      <c r="AB1233" s="85"/>
      <c r="AC1233" s="85"/>
      <c r="AD1233" s="85"/>
      <c r="AE1233" s="47"/>
      <c r="AF1233" s="47"/>
      <c r="AG1233" s="47"/>
      <c r="AH1233" s="47"/>
      <c r="AI1233" s="47"/>
      <c r="AJ1233" s="47"/>
      <c r="AK1233" s="47"/>
      <c r="AL1233" s="47"/>
      <c r="AM1233" s="47"/>
      <c r="AN1233" s="47"/>
      <c r="AO1233" s="47"/>
      <c r="AP1233" s="47"/>
      <c r="AQ1233" s="47"/>
      <c r="AR1233" s="47"/>
      <c r="AS1233" s="47"/>
      <c r="AT1233" s="47"/>
      <c r="AU1233" s="47"/>
      <c r="AV1233" s="47"/>
      <c r="AW1233" s="47"/>
      <c r="AX1233" s="47"/>
      <c r="AY1233" s="47"/>
      <c r="AZ1233" s="47"/>
      <c r="BA1233" s="47"/>
      <c r="BB1233" s="47"/>
      <c r="BC1233" s="47"/>
      <c r="BD1233" s="47"/>
      <c r="BE1233" s="47"/>
      <c r="BF1233" s="47"/>
    </row>
    <row r="1234" spans="3:58">
      <c r="C1234" s="47"/>
      <c r="D1234" s="47"/>
      <c r="E1234" s="47"/>
      <c r="F1234" s="47"/>
      <c r="G1234" s="47"/>
      <c r="H1234" s="47"/>
      <c r="I1234" s="47"/>
      <c r="J1234" s="47"/>
      <c r="K1234" s="47"/>
      <c r="L1234" s="47"/>
      <c r="M1234" s="47"/>
      <c r="N1234" s="47"/>
      <c r="O1234" s="47"/>
      <c r="P1234" s="47"/>
      <c r="Q1234" s="85"/>
      <c r="R1234" s="85"/>
      <c r="S1234" s="85"/>
      <c r="T1234" s="85"/>
      <c r="U1234" s="85"/>
      <c r="V1234" s="85"/>
      <c r="W1234" s="85"/>
      <c r="X1234" s="85"/>
      <c r="Y1234" s="85"/>
      <c r="Z1234" s="85"/>
      <c r="AA1234" s="85"/>
      <c r="AB1234" s="85"/>
      <c r="AC1234" s="85"/>
      <c r="AD1234" s="85"/>
      <c r="AE1234" s="47"/>
      <c r="AF1234" s="47"/>
      <c r="AG1234" s="47"/>
      <c r="AH1234" s="47"/>
      <c r="AI1234" s="47"/>
      <c r="AJ1234" s="47"/>
      <c r="AK1234" s="47"/>
      <c r="AL1234" s="47"/>
      <c r="AM1234" s="47"/>
      <c r="AN1234" s="47"/>
      <c r="AO1234" s="47"/>
      <c r="AP1234" s="47"/>
      <c r="AQ1234" s="47"/>
      <c r="AR1234" s="47"/>
      <c r="AS1234" s="47"/>
      <c r="AT1234" s="47"/>
      <c r="AU1234" s="47"/>
      <c r="AV1234" s="47"/>
      <c r="AW1234" s="47"/>
      <c r="AX1234" s="47"/>
      <c r="AY1234" s="47"/>
      <c r="AZ1234" s="47"/>
      <c r="BA1234" s="47"/>
      <c r="BB1234" s="47"/>
      <c r="BC1234" s="47"/>
      <c r="BD1234" s="47"/>
      <c r="BE1234" s="47"/>
      <c r="BF1234" s="47"/>
    </row>
    <row r="1235" spans="3:58">
      <c r="C1235" s="47"/>
      <c r="D1235" s="47"/>
      <c r="E1235" s="47"/>
      <c r="F1235" s="47"/>
      <c r="G1235" s="47"/>
      <c r="H1235" s="47"/>
      <c r="I1235" s="47"/>
      <c r="J1235" s="47"/>
      <c r="K1235" s="47"/>
      <c r="L1235" s="47"/>
      <c r="M1235" s="47"/>
      <c r="N1235" s="47"/>
      <c r="O1235" s="47"/>
      <c r="P1235" s="47"/>
      <c r="Q1235" s="85"/>
      <c r="R1235" s="85"/>
      <c r="S1235" s="85"/>
      <c r="T1235" s="85"/>
      <c r="U1235" s="85"/>
      <c r="V1235" s="85"/>
      <c r="W1235" s="85"/>
      <c r="X1235" s="85"/>
      <c r="Y1235" s="85"/>
      <c r="Z1235" s="85"/>
      <c r="AA1235" s="85"/>
      <c r="AB1235" s="85"/>
      <c r="AC1235" s="85"/>
      <c r="AD1235" s="85"/>
      <c r="AE1235" s="47"/>
      <c r="AF1235" s="47"/>
      <c r="AG1235" s="47"/>
      <c r="AH1235" s="47"/>
      <c r="AI1235" s="47"/>
      <c r="AJ1235" s="47"/>
      <c r="AK1235" s="47"/>
      <c r="AL1235" s="47"/>
      <c r="AM1235" s="47"/>
      <c r="AN1235" s="47"/>
      <c r="AO1235" s="47"/>
      <c r="AP1235" s="47"/>
      <c r="AQ1235" s="47"/>
      <c r="AR1235" s="47"/>
      <c r="AS1235" s="47"/>
      <c r="AT1235" s="47"/>
      <c r="AU1235" s="47"/>
      <c r="AV1235" s="47"/>
      <c r="AW1235" s="47"/>
      <c r="AX1235" s="47"/>
      <c r="AY1235" s="47"/>
      <c r="AZ1235" s="47"/>
      <c r="BA1235" s="47"/>
      <c r="BB1235" s="47"/>
      <c r="BC1235" s="47"/>
      <c r="BD1235" s="47"/>
      <c r="BE1235" s="47"/>
      <c r="BF1235" s="47"/>
    </row>
    <row r="1236" spans="3:58">
      <c r="C1236" s="47"/>
      <c r="D1236" s="47"/>
      <c r="E1236" s="47"/>
      <c r="F1236" s="47"/>
      <c r="G1236" s="47"/>
      <c r="H1236" s="47"/>
      <c r="I1236" s="47"/>
      <c r="J1236" s="47"/>
      <c r="K1236" s="47"/>
      <c r="L1236" s="47"/>
      <c r="M1236" s="47"/>
      <c r="N1236" s="47"/>
      <c r="O1236" s="47"/>
      <c r="P1236" s="47"/>
      <c r="Q1236" s="85"/>
      <c r="R1236" s="85"/>
      <c r="S1236" s="85"/>
      <c r="T1236" s="85"/>
      <c r="U1236" s="85"/>
      <c r="V1236" s="85"/>
      <c r="W1236" s="85"/>
      <c r="X1236" s="85"/>
      <c r="Y1236" s="85"/>
      <c r="Z1236" s="85"/>
      <c r="AA1236" s="85"/>
      <c r="AB1236" s="85"/>
      <c r="AC1236" s="85"/>
      <c r="AD1236" s="85"/>
      <c r="AE1236" s="47"/>
      <c r="AF1236" s="47"/>
      <c r="AG1236" s="47"/>
      <c r="AH1236" s="47"/>
      <c r="AI1236" s="47"/>
      <c r="AJ1236" s="47"/>
      <c r="AK1236" s="47"/>
      <c r="AL1236" s="47"/>
      <c r="AM1236" s="47"/>
      <c r="AN1236" s="47"/>
      <c r="AO1236" s="47"/>
      <c r="AP1236" s="47"/>
      <c r="AQ1236" s="47"/>
      <c r="AR1236" s="47"/>
      <c r="AS1236" s="47"/>
      <c r="AT1236" s="47"/>
      <c r="AU1236" s="47"/>
      <c r="AV1236" s="47"/>
      <c r="AW1236" s="47"/>
      <c r="AX1236" s="47"/>
      <c r="AY1236" s="47"/>
      <c r="AZ1236" s="47"/>
      <c r="BA1236" s="47"/>
      <c r="BB1236" s="47"/>
      <c r="BC1236" s="47"/>
      <c r="BD1236" s="47"/>
      <c r="BE1236" s="47"/>
      <c r="BF1236" s="47"/>
    </row>
    <row r="1237" spans="3:58">
      <c r="C1237" s="47"/>
      <c r="D1237" s="47"/>
      <c r="E1237" s="47"/>
      <c r="F1237" s="47"/>
      <c r="G1237" s="47"/>
      <c r="H1237" s="47"/>
      <c r="I1237" s="47"/>
      <c r="J1237" s="47"/>
      <c r="K1237" s="47"/>
      <c r="L1237" s="47"/>
      <c r="M1237" s="47"/>
      <c r="N1237" s="47"/>
      <c r="O1237" s="47"/>
      <c r="P1237" s="47"/>
      <c r="Q1237" s="85"/>
      <c r="R1237" s="85"/>
      <c r="S1237" s="85"/>
      <c r="T1237" s="85"/>
      <c r="U1237" s="85"/>
      <c r="V1237" s="85"/>
      <c r="W1237" s="85"/>
      <c r="X1237" s="85"/>
      <c r="Y1237" s="85"/>
      <c r="Z1237" s="85"/>
      <c r="AA1237" s="85"/>
      <c r="AB1237" s="85"/>
      <c r="AC1237" s="85"/>
      <c r="AD1237" s="85"/>
      <c r="AE1237" s="47"/>
      <c r="AF1237" s="47"/>
      <c r="AG1237" s="47"/>
      <c r="AH1237" s="47"/>
      <c r="AI1237" s="47"/>
      <c r="AJ1237" s="47"/>
      <c r="AK1237" s="47"/>
      <c r="AL1237" s="47"/>
      <c r="AM1237" s="47"/>
      <c r="AN1237" s="47"/>
      <c r="AO1237" s="47"/>
      <c r="AP1237" s="47"/>
      <c r="AQ1237" s="47"/>
      <c r="AR1237" s="47"/>
      <c r="AS1237" s="47"/>
      <c r="AT1237" s="47"/>
      <c r="AU1237" s="47"/>
      <c r="AV1237" s="47"/>
      <c r="AW1237" s="47"/>
      <c r="AX1237" s="47"/>
      <c r="AY1237" s="47"/>
      <c r="AZ1237" s="47"/>
      <c r="BA1237" s="47"/>
      <c r="BB1237" s="47"/>
      <c r="BC1237" s="47"/>
      <c r="BD1237" s="47"/>
      <c r="BE1237" s="47"/>
      <c r="BF1237" s="47"/>
    </row>
    <row r="1238" spans="3:58">
      <c r="C1238" s="47"/>
      <c r="D1238" s="47"/>
      <c r="E1238" s="47"/>
      <c r="F1238" s="47"/>
      <c r="G1238" s="47"/>
      <c r="H1238" s="47"/>
      <c r="I1238" s="47"/>
      <c r="J1238" s="47"/>
      <c r="K1238" s="47"/>
      <c r="L1238" s="47"/>
      <c r="M1238" s="47"/>
      <c r="N1238" s="47"/>
      <c r="O1238" s="47"/>
      <c r="P1238" s="47"/>
      <c r="Q1238" s="85"/>
      <c r="R1238" s="85"/>
      <c r="S1238" s="85"/>
      <c r="T1238" s="85"/>
      <c r="U1238" s="85"/>
      <c r="V1238" s="85"/>
      <c r="W1238" s="85"/>
      <c r="X1238" s="85"/>
      <c r="Y1238" s="85"/>
      <c r="Z1238" s="85"/>
      <c r="AA1238" s="85"/>
      <c r="AB1238" s="85"/>
      <c r="AC1238" s="85"/>
      <c r="AD1238" s="85"/>
      <c r="AE1238" s="47"/>
      <c r="AF1238" s="47"/>
      <c r="AG1238" s="47"/>
      <c r="AH1238" s="47"/>
      <c r="AI1238" s="47"/>
      <c r="AJ1238" s="47"/>
      <c r="AK1238" s="47"/>
      <c r="AL1238" s="47"/>
      <c r="AM1238" s="47"/>
      <c r="AN1238" s="47"/>
      <c r="AO1238" s="47"/>
      <c r="AP1238" s="47"/>
      <c r="AQ1238" s="47"/>
      <c r="AR1238" s="47"/>
      <c r="AS1238" s="47"/>
      <c r="AT1238" s="47"/>
      <c r="AU1238" s="47"/>
      <c r="AV1238" s="47"/>
      <c r="AW1238" s="47"/>
      <c r="AX1238" s="47"/>
      <c r="AY1238" s="47"/>
      <c r="AZ1238" s="47"/>
      <c r="BA1238" s="47"/>
      <c r="BB1238" s="47"/>
      <c r="BC1238" s="47"/>
      <c r="BD1238" s="47"/>
      <c r="BE1238" s="47"/>
      <c r="BF1238" s="47"/>
    </row>
    <row r="1239" spans="3:58">
      <c r="C1239" s="47"/>
      <c r="D1239" s="47"/>
      <c r="E1239" s="47"/>
      <c r="F1239" s="47"/>
      <c r="G1239" s="47"/>
      <c r="H1239" s="47"/>
      <c r="I1239" s="47"/>
      <c r="J1239" s="47"/>
      <c r="K1239" s="47"/>
      <c r="L1239" s="47"/>
      <c r="M1239" s="47"/>
      <c r="N1239" s="47"/>
      <c r="O1239" s="47"/>
      <c r="P1239" s="47"/>
      <c r="Q1239" s="85"/>
      <c r="R1239" s="85"/>
      <c r="S1239" s="85"/>
      <c r="T1239" s="85"/>
      <c r="U1239" s="85"/>
      <c r="V1239" s="85"/>
      <c r="W1239" s="85"/>
      <c r="X1239" s="85"/>
      <c r="Y1239" s="85"/>
      <c r="Z1239" s="85"/>
      <c r="AA1239" s="85"/>
      <c r="AB1239" s="85"/>
      <c r="AC1239" s="85"/>
      <c r="AD1239" s="85"/>
      <c r="AE1239" s="47"/>
      <c r="AF1239" s="47"/>
      <c r="AG1239" s="47"/>
      <c r="AH1239" s="47"/>
      <c r="AI1239" s="47"/>
      <c r="AJ1239" s="47"/>
      <c r="AK1239" s="47"/>
      <c r="AL1239" s="47"/>
      <c r="AM1239" s="47"/>
      <c r="AN1239" s="47"/>
      <c r="AO1239" s="47"/>
      <c r="AP1239" s="47"/>
      <c r="AQ1239" s="47"/>
      <c r="AR1239" s="47"/>
      <c r="AS1239" s="47"/>
      <c r="AT1239" s="47"/>
      <c r="AU1239" s="47"/>
      <c r="AV1239" s="47"/>
      <c r="AW1239" s="47"/>
      <c r="AX1239" s="47"/>
      <c r="AY1239" s="47"/>
      <c r="AZ1239" s="47"/>
      <c r="BA1239" s="47"/>
      <c r="BB1239" s="47"/>
      <c r="BC1239" s="47"/>
      <c r="BD1239" s="47"/>
      <c r="BE1239" s="47"/>
      <c r="BF1239" s="47"/>
    </row>
    <row r="1240" spans="3:58">
      <c r="C1240" s="47"/>
      <c r="D1240" s="47"/>
      <c r="E1240" s="47"/>
      <c r="F1240" s="47"/>
      <c r="G1240" s="47"/>
      <c r="H1240" s="47"/>
      <c r="I1240" s="47"/>
      <c r="J1240" s="47"/>
      <c r="K1240" s="47"/>
      <c r="L1240" s="47"/>
      <c r="M1240" s="47"/>
      <c r="N1240" s="47"/>
      <c r="O1240" s="47"/>
      <c r="P1240" s="47"/>
      <c r="Q1240" s="85"/>
      <c r="R1240" s="85"/>
      <c r="S1240" s="85"/>
      <c r="T1240" s="85"/>
      <c r="U1240" s="85"/>
      <c r="V1240" s="85"/>
      <c r="W1240" s="85"/>
      <c r="X1240" s="85"/>
      <c r="Y1240" s="85"/>
      <c r="Z1240" s="85"/>
      <c r="AA1240" s="85"/>
      <c r="AB1240" s="85"/>
      <c r="AC1240" s="85"/>
      <c r="AD1240" s="85"/>
      <c r="AE1240" s="47"/>
      <c r="AF1240" s="47"/>
      <c r="AG1240" s="47"/>
      <c r="AH1240" s="47"/>
      <c r="AI1240" s="47"/>
      <c r="AJ1240" s="47"/>
      <c r="AK1240" s="47"/>
      <c r="AL1240" s="47"/>
      <c r="AM1240" s="47"/>
      <c r="AN1240" s="47"/>
      <c r="AO1240" s="47"/>
      <c r="AP1240" s="47"/>
      <c r="AQ1240" s="47"/>
      <c r="AR1240" s="47"/>
      <c r="AS1240" s="47"/>
      <c r="AT1240" s="47"/>
      <c r="AU1240" s="47"/>
      <c r="AV1240" s="47"/>
      <c r="AW1240" s="47"/>
      <c r="AX1240" s="47"/>
      <c r="AY1240" s="47"/>
      <c r="AZ1240" s="47"/>
      <c r="BA1240" s="47"/>
      <c r="BB1240" s="47"/>
      <c r="BC1240" s="47"/>
      <c r="BD1240" s="47"/>
      <c r="BE1240" s="47"/>
      <c r="BF1240" s="47"/>
    </row>
    <row r="1241" spans="3:58">
      <c r="C1241" s="47"/>
      <c r="D1241" s="47"/>
      <c r="E1241" s="47"/>
      <c r="F1241" s="47"/>
      <c r="G1241" s="47"/>
      <c r="H1241" s="47"/>
      <c r="I1241" s="47"/>
      <c r="J1241" s="47"/>
      <c r="K1241" s="47"/>
      <c r="L1241" s="47"/>
      <c r="M1241" s="47"/>
      <c r="N1241" s="47"/>
      <c r="O1241" s="47"/>
      <c r="P1241" s="47"/>
      <c r="Q1241" s="85"/>
      <c r="R1241" s="85"/>
      <c r="S1241" s="85"/>
      <c r="T1241" s="85"/>
      <c r="U1241" s="85"/>
      <c r="V1241" s="85"/>
      <c r="W1241" s="85"/>
      <c r="X1241" s="85"/>
      <c r="Y1241" s="85"/>
      <c r="Z1241" s="85"/>
      <c r="AA1241" s="85"/>
      <c r="AB1241" s="85"/>
      <c r="AC1241" s="85"/>
      <c r="AD1241" s="85"/>
      <c r="AE1241" s="47"/>
      <c r="AF1241" s="47"/>
      <c r="AG1241" s="47"/>
      <c r="AH1241" s="47"/>
      <c r="AI1241" s="47"/>
      <c r="AJ1241" s="47"/>
      <c r="AK1241" s="47"/>
      <c r="AL1241" s="47"/>
      <c r="AM1241" s="47"/>
      <c r="AN1241" s="47"/>
      <c r="AO1241" s="47"/>
      <c r="AP1241" s="47"/>
      <c r="AQ1241" s="47"/>
      <c r="AR1241" s="47"/>
      <c r="AS1241" s="47"/>
      <c r="AT1241" s="47"/>
      <c r="AU1241" s="47"/>
      <c r="AV1241" s="47"/>
      <c r="AW1241" s="47"/>
      <c r="AX1241" s="47"/>
      <c r="AY1241" s="47"/>
      <c r="AZ1241" s="47"/>
      <c r="BA1241" s="47"/>
      <c r="BB1241" s="47"/>
      <c r="BC1241" s="47"/>
      <c r="BD1241" s="47"/>
      <c r="BE1241" s="47"/>
      <c r="BF1241" s="47"/>
    </row>
    <row r="1242" spans="3:58">
      <c r="C1242" s="47"/>
      <c r="D1242" s="47"/>
      <c r="E1242" s="47"/>
      <c r="F1242" s="47"/>
      <c r="G1242" s="47"/>
      <c r="H1242" s="47"/>
      <c r="I1242" s="47"/>
      <c r="J1242" s="47"/>
      <c r="K1242" s="47"/>
      <c r="L1242" s="47"/>
      <c r="M1242" s="47"/>
      <c r="N1242" s="47"/>
      <c r="O1242" s="47"/>
      <c r="P1242" s="47"/>
      <c r="Q1242" s="85"/>
      <c r="R1242" s="85"/>
      <c r="S1242" s="85"/>
      <c r="T1242" s="85"/>
      <c r="U1242" s="85"/>
      <c r="V1242" s="85"/>
      <c r="W1242" s="85"/>
      <c r="X1242" s="85"/>
      <c r="Y1242" s="85"/>
      <c r="Z1242" s="85"/>
      <c r="AA1242" s="85"/>
      <c r="AB1242" s="85"/>
      <c r="AC1242" s="85"/>
      <c r="AD1242" s="85"/>
      <c r="AE1242" s="47"/>
      <c r="AF1242" s="47"/>
      <c r="AG1242" s="47"/>
      <c r="AH1242" s="47"/>
      <c r="AI1242" s="47"/>
      <c r="AJ1242" s="47"/>
      <c r="AK1242" s="47"/>
      <c r="AL1242" s="47"/>
      <c r="AM1242" s="47"/>
      <c r="AN1242" s="47"/>
      <c r="AO1242" s="47"/>
      <c r="AP1242" s="47"/>
      <c r="AQ1242" s="47"/>
      <c r="AR1242" s="47"/>
      <c r="AS1242" s="47"/>
      <c r="AT1242" s="47"/>
      <c r="AU1242" s="47"/>
      <c r="AV1242" s="47"/>
      <c r="AW1242" s="47"/>
      <c r="AX1242" s="47"/>
      <c r="AY1242" s="47"/>
      <c r="AZ1242" s="47"/>
      <c r="BA1242" s="47"/>
      <c r="BB1242" s="47"/>
      <c r="BC1242" s="47"/>
      <c r="BD1242" s="47"/>
      <c r="BE1242" s="47"/>
      <c r="BF1242" s="47"/>
    </row>
    <row r="1243" spans="3:58">
      <c r="C1243" s="47"/>
      <c r="D1243" s="47"/>
      <c r="E1243" s="47"/>
      <c r="F1243" s="47"/>
      <c r="G1243" s="47"/>
      <c r="H1243" s="47"/>
      <c r="I1243" s="47"/>
      <c r="J1243" s="47"/>
      <c r="K1243" s="47"/>
      <c r="L1243" s="47"/>
      <c r="M1243" s="47"/>
      <c r="N1243" s="47"/>
      <c r="O1243" s="47"/>
      <c r="P1243" s="47"/>
      <c r="Q1243" s="85"/>
      <c r="R1243" s="85"/>
      <c r="S1243" s="85"/>
      <c r="T1243" s="85"/>
      <c r="U1243" s="85"/>
      <c r="V1243" s="85"/>
      <c r="W1243" s="85"/>
      <c r="X1243" s="85"/>
      <c r="Y1243" s="85"/>
      <c r="Z1243" s="85"/>
      <c r="AA1243" s="85"/>
      <c r="AB1243" s="85"/>
      <c r="AC1243" s="85"/>
      <c r="AD1243" s="85"/>
      <c r="AE1243" s="47"/>
      <c r="AF1243" s="47"/>
      <c r="AG1243" s="47"/>
      <c r="AH1243" s="47"/>
      <c r="AI1243" s="47"/>
      <c r="AJ1243" s="47"/>
      <c r="AK1243" s="47"/>
      <c r="AL1243" s="47"/>
      <c r="AM1243" s="47"/>
      <c r="AN1243" s="47"/>
      <c r="AO1243" s="47"/>
      <c r="AP1243" s="47"/>
      <c r="AQ1243" s="47"/>
      <c r="AR1243" s="47"/>
      <c r="AS1243" s="47"/>
      <c r="AT1243" s="47"/>
      <c r="AU1243" s="47"/>
      <c r="AV1243" s="47"/>
      <c r="AW1243" s="47"/>
      <c r="AX1243" s="47"/>
      <c r="AY1243" s="47"/>
      <c r="AZ1243" s="47"/>
      <c r="BA1243" s="47"/>
      <c r="BB1243" s="47"/>
      <c r="BC1243" s="47"/>
      <c r="BD1243" s="47"/>
      <c r="BE1243" s="47"/>
      <c r="BF1243" s="47"/>
    </row>
    <row r="1244" spans="3:58">
      <c r="C1244" s="47"/>
      <c r="D1244" s="47"/>
      <c r="E1244" s="47"/>
      <c r="F1244" s="47"/>
      <c r="G1244" s="47"/>
      <c r="H1244" s="47"/>
      <c r="I1244" s="47"/>
      <c r="J1244" s="47"/>
      <c r="K1244" s="47"/>
      <c r="L1244" s="47"/>
      <c r="M1244" s="47"/>
      <c r="N1244" s="47"/>
      <c r="O1244" s="47"/>
      <c r="P1244" s="47"/>
      <c r="Q1244" s="85"/>
      <c r="R1244" s="85"/>
      <c r="S1244" s="85"/>
      <c r="T1244" s="85"/>
      <c r="U1244" s="85"/>
      <c r="V1244" s="85"/>
      <c r="W1244" s="85"/>
      <c r="X1244" s="85"/>
      <c r="Y1244" s="85"/>
      <c r="Z1244" s="85"/>
      <c r="AA1244" s="85"/>
      <c r="AB1244" s="85"/>
      <c r="AC1244" s="85"/>
      <c r="AD1244" s="85"/>
      <c r="AE1244" s="47"/>
      <c r="AF1244" s="47"/>
      <c r="AG1244" s="47"/>
      <c r="AH1244" s="47"/>
      <c r="AI1244" s="47"/>
      <c r="AJ1244" s="47"/>
      <c r="AK1244" s="47"/>
      <c r="AL1244" s="47"/>
      <c r="AM1244" s="47"/>
      <c r="AN1244" s="47"/>
      <c r="AO1244" s="47"/>
      <c r="AP1244" s="47"/>
      <c r="AQ1244" s="47"/>
      <c r="AR1244" s="47"/>
      <c r="AS1244" s="47"/>
      <c r="AT1244" s="47"/>
      <c r="AU1244" s="47"/>
      <c r="AV1244" s="47"/>
      <c r="AW1244" s="47"/>
      <c r="AX1244" s="47"/>
      <c r="AY1244" s="47"/>
      <c r="AZ1244" s="47"/>
      <c r="BA1244" s="47"/>
      <c r="BB1244" s="47"/>
      <c r="BC1244" s="47"/>
      <c r="BD1244" s="47"/>
      <c r="BE1244" s="47"/>
      <c r="BF1244" s="47"/>
    </row>
    <row r="1245" spans="3:58">
      <c r="C1245" s="47"/>
      <c r="D1245" s="47"/>
      <c r="E1245" s="47"/>
      <c r="F1245" s="47"/>
      <c r="G1245" s="47"/>
      <c r="H1245" s="47"/>
      <c r="I1245" s="47"/>
      <c r="J1245" s="47"/>
      <c r="K1245" s="47"/>
      <c r="L1245" s="47"/>
      <c r="M1245" s="47"/>
      <c r="N1245" s="47"/>
      <c r="O1245" s="47"/>
      <c r="P1245" s="47"/>
      <c r="Q1245" s="85"/>
      <c r="R1245" s="85"/>
      <c r="S1245" s="85"/>
      <c r="T1245" s="85"/>
      <c r="U1245" s="85"/>
      <c r="V1245" s="85"/>
      <c r="W1245" s="85"/>
      <c r="X1245" s="85"/>
      <c r="Y1245" s="85"/>
      <c r="Z1245" s="85"/>
      <c r="AA1245" s="85"/>
      <c r="AB1245" s="85"/>
      <c r="AC1245" s="85"/>
      <c r="AD1245" s="85"/>
      <c r="AE1245" s="47"/>
      <c r="AF1245" s="47"/>
      <c r="AG1245" s="47"/>
      <c r="AH1245" s="47"/>
      <c r="AI1245" s="47"/>
      <c r="AJ1245" s="47"/>
      <c r="AK1245" s="47"/>
      <c r="AL1245" s="47"/>
      <c r="AM1245" s="47"/>
      <c r="AN1245" s="47"/>
      <c r="AO1245" s="47"/>
      <c r="AP1245" s="47"/>
      <c r="AQ1245" s="47"/>
      <c r="AR1245" s="47"/>
      <c r="AS1245" s="47"/>
      <c r="AT1245" s="47"/>
      <c r="AU1245" s="47"/>
      <c r="AV1245" s="47"/>
      <c r="AW1245" s="47"/>
      <c r="AX1245" s="47"/>
      <c r="AY1245" s="47"/>
      <c r="AZ1245" s="47"/>
      <c r="BA1245" s="47"/>
      <c r="BB1245" s="47"/>
      <c r="BC1245" s="47"/>
      <c r="BD1245" s="47"/>
      <c r="BE1245" s="47"/>
      <c r="BF1245" s="47"/>
    </row>
    <row r="1246" spans="3:58">
      <c r="C1246" s="47"/>
      <c r="D1246" s="47"/>
      <c r="E1246" s="47"/>
      <c r="F1246" s="47"/>
      <c r="G1246" s="47"/>
      <c r="H1246" s="47"/>
      <c r="I1246" s="47"/>
      <c r="J1246" s="47"/>
      <c r="K1246" s="47"/>
      <c r="L1246" s="47"/>
      <c r="M1246" s="47"/>
      <c r="N1246" s="47"/>
      <c r="O1246" s="47"/>
      <c r="P1246" s="47"/>
      <c r="Q1246" s="85"/>
      <c r="R1246" s="85"/>
      <c r="S1246" s="85"/>
      <c r="T1246" s="85"/>
      <c r="U1246" s="85"/>
      <c r="V1246" s="85"/>
      <c r="W1246" s="85"/>
      <c r="X1246" s="85"/>
      <c r="Y1246" s="85"/>
      <c r="Z1246" s="85"/>
      <c r="AA1246" s="85"/>
      <c r="AB1246" s="85"/>
      <c r="AC1246" s="85"/>
      <c r="AD1246" s="85"/>
      <c r="AE1246" s="47"/>
      <c r="AF1246" s="47"/>
      <c r="AG1246" s="47"/>
      <c r="AH1246" s="47"/>
      <c r="AI1246" s="47"/>
      <c r="AJ1246" s="47"/>
      <c r="AK1246" s="47"/>
      <c r="AL1246" s="47"/>
      <c r="AM1246" s="47"/>
      <c r="AN1246" s="47"/>
      <c r="AO1246" s="47"/>
      <c r="AP1246" s="47"/>
      <c r="AQ1246" s="47"/>
      <c r="AR1246" s="47"/>
      <c r="AS1246" s="47"/>
      <c r="AT1246" s="47"/>
      <c r="AU1246" s="47"/>
      <c r="AV1246" s="47"/>
      <c r="AW1246" s="47"/>
      <c r="AX1246" s="47"/>
      <c r="AY1246" s="47"/>
      <c r="AZ1246" s="47"/>
      <c r="BA1246" s="47"/>
      <c r="BB1246" s="47"/>
      <c r="BC1246" s="47"/>
      <c r="BD1246" s="47"/>
      <c r="BE1246" s="47"/>
      <c r="BF1246" s="47"/>
    </row>
    <row r="1247" spans="3:58">
      <c r="C1247" s="47"/>
      <c r="D1247" s="47"/>
      <c r="E1247" s="47"/>
      <c r="F1247" s="47"/>
      <c r="G1247" s="47"/>
      <c r="H1247" s="47"/>
      <c r="I1247" s="47"/>
      <c r="J1247" s="47"/>
      <c r="K1247" s="47"/>
      <c r="L1247" s="47"/>
      <c r="M1247" s="47"/>
      <c r="N1247" s="47"/>
      <c r="O1247" s="47"/>
      <c r="P1247" s="47"/>
      <c r="Q1247" s="85"/>
      <c r="R1247" s="85"/>
      <c r="S1247" s="85"/>
      <c r="T1247" s="85"/>
      <c r="U1247" s="85"/>
      <c r="V1247" s="85"/>
      <c r="W1247" s="85"/>
      <c r="X1247" s="85"/>
      <c r="Y1247" s="85"/>
      <c r="Z1247" s="85"/>
      <c r="AA1247" s="85"/>
      <c r="AB1247" s="85"/>
      <c r="AC1247" s="85"/>
      <c r="AD1247" s="85"/>
      <c r="AE1247" s="47"/>
      <c r="AF1247" s="47"/>
      <c r="AG1247" s="47"/>
      <c r="AH1247" s="47"/>
      <c r="AI1247" s="47"/>
      <c r="AJ1247" s="47"/>
      <c r="AK1247" s="47"/>
      <c r="AL1247" s="47"/>
      <c r="AM1247" s="47"/>
      <c r="AN1247" s="47"/>
      <c r="AO1247" s="47"/>
      <c r="AP1247" s="47"/>
      <c r="AQ1247" s="47"/>
      <c r="AR1247" s="47"/>
      <c r="AS1247" s="47"/>
      <c r="AT1247" s="47"/>
      <c r="AU1247" s="47"/>
      <c r="AV1247" s="47"/>
      <c r="AW1247" s="47"/>
      <c r="AX1247" s="47"/>
      <c r="AY1247" s="47"/>
      <c r="AZ1247" s="47"/>
      <c r="BA1247" s="47"/>
      <c r="BB1247" s="47"/>
      <c r="BC1247" s="47"/>
      <c r="BD1247" s="47"/>
      <c r="BE1247" s="47"/>
      <c r="BF1247" s="47"/>
    </row>
    <row r="1248" spans="3:58">
      <c r="C1248" s="47"/>
      <c r="D1248" s="47"/>
      <c r="E1248" s="47"/>
      <c r="F1248" s="47"/>
      <c r="G1248" s="47"/>
      <c r="H1248" s="47"/>
      <c r="I1248" s="47"/>
      <c r="J1248" s="47"/>
      <c r="K1248" s="47"/>
      <c r="L1248" s="47"/>
      <c r="M1248" s="47"/>
      <c r="N1248" s="47"/>
      <c r="O1248" s="47"/>
      <c r="P1248" s="47"/>
      <c r="Q1248" s="85"/>
      <c r="R1248" s="85"/>
      <c r="S1248" s="85"/>
      <c r="T1248" s="85"/>
      <c r="U1248" s="85"/>
      <c r="V1248" s="85"/>
      <c r="W1248" s="85"/>
      <c r="X1248" s="85"/>
      <c r="Y1248" s="85"/>
      <c r="Z1248" s="85"/>
      <c r="AA1248" s="85"/>
      <c r="AB1248" s="85"/>
      <c r="AC1248" s="85"/>
      <c r="AD1248" s="85"/>
      <c r="AE1248" s="47"/>
      <c r="AF1248" s="47"/>
      <c r="AG1248" s="47"/>
      <c r="AH1248" s="47"/>
      <c r="AI1248" s="47"/>
      <c r="AJ1248" s="47"/>
      <c r="AK1248" s="47"/>
      <c r="AL1248" s="47"/>
      <c r="AM1248" s="47"/>
      <c r="AN1248" s="47"/>
      <c r="AO1248" s="47"/>
      <c r="AP1248" s="47"/>
      <c r="AQ1248" s="47"/>
      <c r="AR1248" s="47"/>
      <c r="AS1248" s="47"/>
      <c r="AT1248" s="47"/>
      <c r="AU1248" s="47"/>
      <c r="AV1248" s="47"/>
      <c r="AW1248" s="47"/>
      <c r="AX1248" s="47"/>
      <c r="AY1248" s="47"/>
      <c r="AZ1248" s="47"/>
      <c r="BA1248" s="47"/>
      <c r="BB1248" s="47"/>
      <c r="BC1248" s="47"/>
      <c r="BD1248" s="47"/>
      <c r="BE1248" s="47"/>
      <c r="BF1248" s="47"/>
    </row>
    <row r="1249" spans="3:58">
      <c r="C1249" s="47"/>
      <c r="D1249" s="47"/>
      <c r="E1249" s="47"/>
      <c r="F1249" s="47"/>
      <c r="G1249" s="47"/>
      <c r="H1249" s="47"/>
      <c r="I1249" s="47"/>
      <c r="J1249" s="47"/>
      <c r="K1249" s="47"/>
      <c r="L1249" s="47"/>
      <c r="M1249" s="47"/>
      <c r="N1249" s="47"/>
      <c r="O1249" s="47"/>
      <c r="P1249" s="47"/>
      <c r="Q1249" s="85"/>
      <c r="R1249" s="85"/>
      <c r="S1249" s="85"/>
      <c r="T1249" s="85"/>
      <c r="U1249" s="85"/>
      <c r="V1249" s="85"/>
      <c r="W1249" s="85"/>
      <c r="X1249" s="85"/>
      <c r="Y1249" s="85"/>
      <c r="Z1249" s="85"/>
      <c r="AA1249" s="85"/>
      <c r="AB1249" s="85"/>
      <c r="AC1249" s="85"/>
      <c r="AD1249" s="85"/>
      <c r="AE1249" s="47"/>
      <c r="AF1249" s="47"/>
      <c r="AG1249" s="47"/>
      <c r="AH1249" s="47"/>
      <c r="AI1249" s="47"/>
      <c r="AJ1249" s="47"/>
      <c r="AK1249" s="47"/>
      <c r="AL1249" s="47"/>
      <c r="AM1249" s="47"/>
      <c r="AN1249" s="47"/>
      <c r="AO1249" s="47"/>
      <c r="AP1249" s="47"/>
      <c r="AQ1249" s="47"/>
      <c r="AR1249" s="47"/>
      <c r="AS1249" s="47"/>
      <c r="AT1249" s="47"/>
      <c r="AU1249" s="47"/>
      <c r="AV1249" s="47"/>
      <c r="AW1249" s="47"/>
      <c r="AX1249" s="47"/>
      <c r="AY1249" s="47"/>
      <c r="AZ1249" s="47"/>
      <c r="BA1249" s="47"/>
      <c r="BB1249" s="47"/>
      <c r="BC1249" s="47"/>
      <c r="BD1249" s="47"/>
      <c r="BE1249" s="47"/>
      <c r="BF1249" s="47"/>
    </row>
    <row r="1250" spans="3:58">
      <c r="C1250" s="47"/>
      <c r="D1250" s="47"/>
      <c r="E1250" s="47"/>
      <c r="F1250" s="47"/>
      <c r="G1250" s="47"/>
      <c r="H1250" s="47"/>
      <c r="I1250" s="47"/>
      <c r="J1250" s="47"/>
      <c r="K1250" s="47"/>
      <c r="L1250" s="47"/>
      <c r="M1250" s="47"/>
      <c r="N1250" s="47"/>
      <c r="O1250" s="47"/>
      <c r="P1250" s="47"/>
      <c r="Q1250" s="85"/>
      <c r="R1250" s="85"/>
      <c r="S1250" s="85"/>
      <c r="T1250" s="85"/>
      <c r="U1250" s="85"/>
      <c r="V1250" s="85"/>
      <c r="W1250" s="85"/>
      <c r="X1250" s="85"/>
      <c r="Y1250" s="85"/>
      <c r="Z1250" s="85"/>
      <c r="AA1250" s="85"/>
      <c r="AB1250" s="85"/>
      <c r="AC1250" s="85"/>
      <c r="AD1250" s="85"/>
      <c r="AE1250" s="47"/>
      <c r="AF1250" s="47"/>
      <c r="AG1250" s="47"/>
      <c r="AH1250" s="47"/>
      <c r="AI1250" s="47"/>
      <c r="AJ1250" s="47"/>
      <c r="AK1250" s="47"/>
      <c r="AL1250" s="47"/>
      <c r="AM1250" s="47"/>
      <c r="AN1250" s="47"/>
      <c r="AO1250" s="47"/>
      <c r="AP1250" s="47"/>
      <c r="AQ1250" s="47"/>
      <c r="AR1250" s="47"/>
      <c r="AS1250" s="47"/>
      <c r="AT1250" s="47"/>
      <c r="AU1250" s="47"/>
      <c r="AV1250" s="47"/>
      <c r="AW1250" s="47"/>
      <c r="AX1250" s="47"/>
      <c r="AY1250" s="47"/>
      <c r="AZ1250" s="47"/>
      <c r="BA1250" s="47"/>
      <c r="BB1250" s="47"/>
      <c r="BC1250" s="47"/>
      <c r="BD1250" s="47"/>
      <c r="BE1250" s="47"/>
      <c r="BF1250" s="47"/>
    </row>
    <row r="1251" spans="3:58">
      <c r="C1251" s="47"/>
      <c r="D1251" s="47"/>
      <c r="E1251" s="47"/>
      <c r="F1251" s="47"/>
      <c r="G1251" s="47"/>
      <c r="H1251" s="47"/>
      <c r="I1251" s="47"/>
      <c r="J1251" s="47"/>
      <c r="K1251" s="47"/>
      <c r="L1251" s="47"/>
      <c r="M1251" s="47"/>
      <c r="N1251" s="47"/>
      <c r="O1251" s="47"/>
      <c r="P1251" s="47"/>
      <c r="Q1251" s="85"/>
      <c r="R1251" s="85"/>
      <c r="S1251" s="85"/>
      <c r="T1251" s="85"/>
      <c r="U1251" s="85"/>
      <c r="V1251" s="85"/>
      <c r="W1251" s="85"/>
      <c r="X1251" s="85"/>
      <c r="Y1251" s="85"/>
      <c r="Z1251" s="85"/>
      <c r="AA1251" s="85"/>
      <c r="AB1251" s="85"/>
      <c r="AC1251" s="85"/>
      <c r="AD1251" s="85"/>
      <c r="AE1251" s="47"/>
      <c r="AF1251" s="47"/>
      <c r="AG1251" s="47"/>
      <c r="AH1251" s="47"/>
      <c r="AI1251" s="47"/>
      <c r="AJ1251" s="47"/>
      <c r="AK1251" s="47"/>
      <c r="AL1251" s="47"/>
      <c r="AM1251" s="47"/>
      <c r="AN1251" s="47"/>
      <c r="AO1251" s="47"/>
      <c r="AP1251" s="47"/>
      <c r="AQ1251" s="47"/>
      <c r="AR1251" s="47"/>
      <c r="AS1251" s="47"/>
      <c r="AT1251" s="47"/>
      <c r="AU1251" s="47"/>
      <c r="AV1251" s="47"/>
      <c r="AW1251" s="47"/>
      <c r="AX1251" s="47"/>
      <c r="AY1251" s="47"/>
      <c r="AZ1251" s="47"/>
      <c r="BA1251" s="47"/>
      <c r="BB1251" s="47"/>
      <c r="BC1251" s="47"/>
      <c r="BD1251" s="47"/>
      <c r="BE1251" s="47"/>
      <c r="BF1251" s="47"/>
    </row>
    <row r="1252" spans="3:58">
      <c r="C1252" s="47"/>
      <c r="D1252" s="47"/>
      <c r="E1252" s="47"/>
      <c r="F1252" s="47"/>
      <c r="G1252" s="47"/>
      <c r="H1252" s="47"/>
      <c r="I1252" s="47"/>
      <c r="J1252" s="47"/>
      <c r="K1252" s="47"/>
      <c r="L1252" s="47"/>
      <c r="M1252" s="47"/>
      <c r="N1252" s="47"/>
      <c r="O1252" s="47"/>
      <c r="P1252" s="47"/>
      <c r="Q1252" s="85"/>
      <c r="R1252" s="85"/>
      <c r="S1252" s="85"/>
      <c r="T1252" s="85"/>
      <c r="U1252" s="85"/>
      <c r="V1252" s="85"/>
      <c r="W1252" s="85"/>
      <c r="X1252" s="85"/>
      <c r="Y1252" s="85"/>
      <c r="Z1252" s="85"/>
      <c r="AA1252" s="85"/>
      <c r="AB1252" s="85"/>
      <c r="AC1252" s="85"/>
      <c r="AD1252" s="85"/>
      <c r="AE1252" s="47"/>
      <c r="AF1252" s="47"/>
      <c r="AG1252" s="47"/>
      <c r="AH1252" s="47"/>
      <c r="AI1252" s="47"/>
      <c r="AJ1252" s="47"/>
      <c r="AK1252" s="47"/>
      <c r="AL1252" s="47"/>
      <c r="AM1252" s="47"/>
      <c r="AN1252" s="47"/>
      <c r="AO1252" s="47"/>
      <c r="AP1252" s="47"/>
      <c r="AQ1252" s="47"/>
      <c r="AR1252" s="47"/>
      <c r="AS1252" s="47"/>
      <c r="AT1252" s="47"/>
      <c r="AU1252" s="47"/>
      <c r="AV1252" s="47"/>
      <c r="AW1252" s="47"/>
      <c r="AX1252" s="47"/>
      <c r="AY1252" s="47"/>
      <c r="AZ1252" s="47"/>
      <c r="BA1252" s="47"/>
      <c r="BB1252" s="47"/>
      <c r="BC1252" s="47"/>
      <c r="BD1252" s="47"/>
      <c r="BE1252" s="47"/>
      <c r="BF1252" s="47"/>
    </row>
    <row r="1253" spans="3:58">
      <c r="C1253" s="47"/>
      <c r="D1253" s="47"/>
      <c r="E1253" s="47"/>
      <c r="F1253" s="47"/>
      <c r="G1253" s="47"/>
      <c r="H1253" s="47"/>
      <c r="I1253" s="47"/>
      <c r="J1253" s="47"/>
      <c r="K1253" s="47"/>
      <c r="L1253" s="47"/>
      <c r="M1253" s="47"/>
      <c r="N1253" s="47"/>
      <c r="O1253" s="47"/>
      <c r="P1253" s="47"/>
      <c r="Q1253" s="85"/>
      <c r="R1253" s="85"/>
      <c r="S1253" s="85"/>
      <c r="T1253" s="85"/>
      <c r="U1253" s="85"/>
      <c r="V1253" s="85"/>
      <c r="W1253" s="85"/>
      <c r="X1253" s="85"/>
      <c r="Y1253" s="85"/>
      <c r="Z1253" s="85"/>
      <c r="AA1253" s="85"/>
      <c r="AB1253" s="85"/>
      <c r="AC1253" s="85"/>
      <c r="AD1253" s="85"/>
      <c r="AE1253" s="47"/>
      <c r="AF1253" s="47"/>
      <c r="AG1253" s="47"/>
      <c r="AH1253" s="47"/>
      <c r="AI1253" s="47"/>
      <c r="AJ1253" s="47"/>
      <c r="AK1253" s="47"/>
      <c r="AL1253" s="47"/>
      <c r="AM1253" s="47"/>
      <c r="AN1253" s="47"/>
      <c r="AO1253" s="47"/>
      <c r="AP1253" s="47"/>
      <c r="AQ1253" s="47"/>
      <c r="AR1253" s="47"/>
      <c r="AS1253" s="47"/>
      <c r="AT1253" s="47"/>
      <c r="AU1253" s="47"/>
      <c r="AV1253" s="47"/>
      <c r="AW1253" s="47"/>
      <c r="AX1253" s="47"/>
      <c r="AY1253" s="47"/>
      <c r="AZ1253" s="47"/>
      <c r="BA1253" s="47"/>
      <c r="BB1253" s="47"/>
      <c r="BC1253" s="47"/>
      <c r="BD1253" s="47"/>
      <c r="BE1253" s="47"/>
      <c r="BF1253" s="47"/>
    </row>
    <row r="1254" spans="3:58">
      <c r="C1254" s="47"/>
      <c r="D1254" s="47"/>
      <c r="E1254" s="47"/>
      <c r="F1254" s="47"/>
      <c r="G1254" s="47"/>
      <c r="H1254" s="47"/>
      <c r="I1254" s="47"/>
      <c r="J1254" s="47"/>
      <c r="K1254" s="47"/>
      <c r="L1254" s="47"/>
      <c r="M1254" s="47"/>
      <c r="N1254" s="47"/>
      <c r="O1254" s="47"/>
      <c r="P1254" s="47"/>
      <c r="Q1254" s="85"/>
      <c r="R1254" s="85"/>
      <c r="S1254" s="85"/>
      <c r="T1254" s="85"/>
      <c r="U1254" s="85"/>
      <c r="V1254" s="85"/>
      <c r="W1254" s="85"/>
      <c r="X1254" s="85"/>
      <c r="Y1254" s="85"/>
      <c r="Z1254" s="85"/>
      <c r="AA1254" s="85"/>
      <c r="AB1254" s="85"/>
      <c r="AC1254" s="85"/>
      <c r="AD1254" s="85"/>
      <c r="AE1254" s="47"/>
      <c r="AF1254" s="47"/>
      <c r="AG1254" s="47"/>
      <c r="AH1254" s="47"/>
      <c r="AI1254" s="47"/>
      <c r="AJ1254" s="47"/>
      <c r="AK1254" s="47"/>
      <c r="AL1254" s="47"/>
      <c r="AM1254" s="47"/>
      <c r="AN1254" s="47"/>
      <c r="AO1254" s="47"/>
      <c r="AP1254" s="47"/>
      <c r="AQ1254" s="47"/>
      <c r="AR1254" s="47"/>
      <c r="AS1254" s="47"/>
      <c r="AT1254" s="47"/>
      <c r="AU1254" s="47"/>
      <c r="AV1254" s="47"/>
      <c r="AW1254" s="47"/>
      <c r="AX1254" s="47"/>
      <c r="AY1254" s="47"/>
      <c r="AZ1254" s="47"/>
      <c r="BA1254" s="47"/>
      <c r="BB1254" s="47"/>
      <c r="BC1254" s="47"/>
      <c r="BD1254" s="47"/>
      <c r="BE1254" s="47"/>
      <c r="BF1254" s="47"/>
    </row>
    <row r="1255" spans="3:58">
      <c r="C1255" s="47"/>
      <c r="D1255" s="47"/>
      <c r="E1255" s="47"/>
      <c r="F1255" s="47"/>
      <c r="G1255" s="47"/>
      <c r="H1255" s="47"/>
      <c r="I1255" s="47"/>
      <c r="J1255" s="47"/>
      <c r="K1255" s="47"/>
      <c r="L1255" s="47"/>
      <c r="M1255" s="47"/>
      <c r="N1255" s="47"/>
      <c r="O1255" s="47"/>
      <c r="P1255" s="47"/>
      <c r="Q1255" s="85"/>
      <c r="R1255" s="85"/>
      <c r="S1255" s="85"/>
      <c r="T1255" s="85"/>
      <c r="U1255" s="85"/>
      <c r="V1255" s="85"/>
      <c r="W1255" s="85"/>
      <c r="X1255" s="85"/>
      <c r="Y1255" s="85"/>
      <c r="Z1255" s="85"/>
      <c r="AA1255" s="85"/>
      <c r="AB1255" s="85"/>
      <c r="AC1255" s="85"/>
      <c r="AD1255" s="85"/>
      <c r="AE1255" s="47"/>
      <c r="AF1255" s="47"/>
      <c r="AG1255" s="47"/>
      <c r="AH1255" s="47"/>
      <c r="AI1255" s="47"/>
      <c r="AJ1255" s="47"/>
      <c r="AK1255" s="47"/>
      <c r="AL1255" s="47"/>
      <c r="AM1255" s="47"/>
      <c r="AN1255" s="47"/>
      <c r="AO1255" s="47"/>
      <c r="AP1255" s="47"/>
      <c r="AQ1255" s="47"/>
      <c r="AR1255" s="47"/>
      <c r="AS1255" s="47"/>
      <c r="AT1255" s="47"/>
      <c r="AU1255" s="47"/>
      <c r="AV1255" s="47"/>
      <c r="AW1255" s="47"/>
      <c r="AX1255" s="47"/>
      <c r="AY1255" s="47"/>
      <c r="AZ1255" s="47"/>
      <c r="BA1255" s="47"/>
      <c r="BB1255" s="47"/>
      <c r="BC1255" s="47"/>
      <c r="BD1255" s="47"/>
      <c r="BE1255" s="47"/>
      <c r="BF1255" s="47"/>
    </row>
    <row r="1256" spans="3:58">
      <c r="C1256" s="47"/>
      <c r="D1256" s="47"/>
      <c r="E1256" s="47"/>
      <c r="F1256" s="47"/>
      <c r="G1256" s="47"/>
      <c r="H1256" s="47"/>
      <c r="I1256" s="47"/>
      <c r="J1256" s="47"/>
      <c r="K1256" s="47"/>
      <c r="L1256" s="47"/>
      <c r="M1256" s="47"/>
      <c r="N1256" s="47"/>
      <c r="O1256" s="47"/>
      <c r="P1256" s="47"/>
      <c r="Q1256" s="85"/>
      <c r="R1256" s="85"/>
      <c r="S1256" s="85"/>
      <c r="T1256" s="85"/>
      <c r="U1256" s="85"/>
      <c r="V1256" s="85"/>
      <c r="W1256" s="85"/>
      <c r="X1256" s="85"/>
      <c r="Y1256" s="85"/>
      <c r="Z1256" s="85"/>
      <c r="AA1256" s="85"/>
      <c r="AB1256" s="85"/>
      <c r="AC1256" s="85"/>
      <c r="AD1256" s="85"/>
      <c r="AE1256" s="47"/>
      <c r="AF1256" s="47"/>
      <c r="AG1256" s="47"/>
      <c r="AH1256" s="47"/>
      <c r="AI1256" s="47"/>
      <c r="AJ1256" s="47"/>
      <c r="AK1256" s="47"/>
      <c r="AL1256" s="47"/>
      <c r="AM1256" s="47"/>
      <c r="AN1256" s="47"/>
      <c r="AO1256" s="47"/>
      <c r="AP1256" s="47"/>
      <c r="AQ1256" s="47"/>
      <c r="AR1256" s="47"/>
      <c r="AS1256" s="47"/>
      <c r="AT1256" s="47"/>
      <c r="AU1256" s="47"/>
      <c r="AV1256" s="47"/>
      <c r="AW1256" s="47"/>
      <c r="AX1256" s="47"/>
      <c r="AY1256" s="47"/>
      <c r="AZ1256" s="47"/>
      <c r="BA1256" s="47"/>
      <c r="BB1256" s="47"/>
      <c r="BC1256" s="47"/>
      <c r="BD1256" s="47"/>
      <c r="BE1256" s="47"/>
      <c r="BF1256" s="47"/>
    </row>
    <row r="1257" spans="3:58">
      <c r="C1257" s="47"/>
      <c r="D1257" s="47"/>
      <c r="E1257" s="47"/>
      <c r="F1257" s="47"/>
      <c r="G1257" s="47"/>
      <c r="H1257" s="47"/>
      <c r="I1257" s="47"/>
      <c r="J1257" s="47"/>
      <c r="K1257" s="47"/>
      <c r="L1257" s="47"/>
      <c r="M1257" s="47"/>
      <c r="N1257" s="47"/>
      <c r="O1257" s="47"/>
      <c r="P1257" s="47"/>
      <c r="Q1257" s="85"/>
      <c r="R1257" s="85"/>
      <c r="S1257" s="85"/>
      <c r="T1257" s="85"/>
      <c r="U1257" s="85"/>
      <c r="V1257" s="85"/>
      <c r="W1257" s="85"/>
      <c r="X1257" s="85"/>
      <c r="Y1257" s="85"/>
      <c r="Z1257" s="85"/>
      <c r="AA1257" s="85"/>
      <c r="AB1257" s="85"/>
      <c r="AC1257" s="85"/>
      <c r="AD1257" s="85"/>
      <c r="AE1257" s="47"/>
      <c r="AF1257" s="47"/>
      <c r="AG1257" s="47"/>
      <c r="AH1257" s="47"/>
      <c r="AI1257" s="47"/>
      <c r="AJ1257" s="47"/>
      <c r="AK1257" s="47"/>
      <c r="AL1257" s="47"/>
      <c r="AM1257" s="47"/>
      <c r="AN1257" s="47"/>
      <c r="AO1257" s="47"/>
      <c r="AP1257" s="47"/>
      <c r="AQ1257" s="47"/>
      <c r="AR1257" s="47"/>
      <c r="AS1257" s="47"/>
      <c r="AT1257" s="47"/>
      <c r="AU1257" s="47"/>
      <c r="AV1257" s="47"/>
      <c r="AW1257" s="47"/>
      <c r="AX1257" s="47"/>
      <c r="AY1257" s="47"/>
      <c r="AZ1257" s="47"/>
      <c r="BA1257" s="47"/>
      <c r="BB1257" s="47"/>
      <c r="BC1257" s="47"/>
      <c r="BD1257" s="47"/>
      <c r="BE1257" s="47"/>
      <c r="BF1257" s="47"/>
    </row>
    <row r="1258" spans="3:58">
      <c r="C1258" s="47"/>
      <c r="D1258" s="47"/>
      <c r="E1258" s="47"/>
      <c r="F1258" s="47"/>
      <c r="G1258" s="47"/>
      <c r="H1258" s="47"/>
      <c r="I1258" s="47"/>
      <c r="J1258" s="47"/>
      <c r="K1258" s="47"/>
      <c r="L1258" s="47"/>
      <c r="M1258" s="47"/>
      <c r="N1258" s="47"/>
      <c r="O1258" s="47"/>
      <c r="P1258" s="47"/>
      <c r="Q1258" s="85"/>
      <c r="R1258" s="85"/>
      <c r="S1258" s="85"/>
      <c r="T1258" s="85"/>
      <c r="U1258" s="85"/>
      <c r="V1258" s="85"/>
      <c r="W1258" s="85"/>
      <c r="X1258" s="85"/>
      <c r="Y1258" s="85"/>
      <c r="Z1258" s="85"/>
      <c r="AA1258" s="85"/>
      <c r="AB1258" s="85"/>
      <c r="AC1258" s="85"/>
      <c r="AD1258" s="85"/>
      <c r="AE1258" s="47"/>
      <c r="AF1258" s="47"/>
      <c r="AG1258" s="47"/>
      <c r="AH1258" s="47"/>
      <c r="AI1258" s="47"/>
      <c r="AJ1258" s="47"/>
      <c r="AK1258" s="47"/>
      <c r="AL1258" s="47"/>
      <c r="AM1258" s="47"/>
      <c r="AN1258" s="47"/>
      <c r="AO1258" s="47"/>
      <c r="AP1258" s="47"/>
      <c r="AQ1258" s="47"/>
      <c r="AR1258" s="47"/>
      <c r="AS1258" s="47"/>
      <c r="AT1258" s="47"/>
      <c r="AU1258" s="47"/>
      <c r="AV1258" s="47"/>
      <c r="AW1258" s="47"/>
      <c r="AX1258" s="47"/>
      <c r="AY1258" s="47"/>
      <c r="AZ1258" s="47"/>
      <c r="BA1258" s="47"/>
      <c r="BB1258" s="47"/>
      <c r="BC1258" s="47"/>
      <c r="BD1258" s="47"/>
      <c r="BE1258" s="47"/>
      <c r="BF1258" s="47"/>
    </row>
    <row r="1259" spans="3:58">
      <c r="C1259" s="47"/>
      <c r="D1259" s="47"/>
      <c r="E1259" s="47"/>
      <c r="F1259" s="47"/>
      <c r="G1259" s="47"/>
      <c r="H1259" s="47"/>
      <c r="I1259" s="47"/>
      <c r="J1259" s="47"/>
      <c r="K1259" s="47"/>
      <c r="L1259" s="47"/>
      <c r="M1259" s="47"/>
      <c r="N1259" s="47"/>
      <c r="O1259" s="47"/>
      <c r="P1259" s="47"/>
      <c r="Q1259" s="85"/>
      <c r="R1259" s="85"/>
      <c r="S1259" s="85"/>
      <c r="T1259" s="85"/>
      <c r="U1259" s="85"/>
      <c r="V1259" s="85"/>
      <c r="W1259" s="85"/>
      <c r="X1259" s="85"/>
      <c r="Y1259" s="85"/>
      <c r="Z1259" s="85"/>
      <c r="AA1259" s="85"/>
      <c r="AB1259" s="85"/>
      <c r="AC1259" s="85"/>
      <c r="AD1259" s="85"/>
      <c r="AE1259" s="47"/>
      <c r="AF1259" s="47"/>
      <c r="AG1259" s="47"/>
      <c r="AH1259" s="47"/>
      <c r="AI1259" s="47"/>
      <c r="AJ1259" s="47"/>
      <c r="AK1259" s="47"/>
      <c r="AL1259" s="47"/>
      <c r="AM1259" s="47"/>
      <c r="AN1259" s="47"/>
      <c r="AO1259" s="47"/>
      <c r="AP1259" s="47"/>
      <c r="AQ1259" s="47"/>
      <c r="AR1259" s="47"/>
      <c r="AS1259" s="47"/>
      <c r="AT1259" s="47"/>
      <c r="AU1259" s="47"/>
      <c r="AV1259" s="47"/>
      <c r="AW1259" s="47"/>
      <c r="AX1259" s="47"/>
      <c r="AY1259" s="47"/>
      <c r="AZ1259" s="47"/>
      <c r="BA1259" s="47"/>
      <c r="BB1259" s="47"/>
      <c r="BC1259" s="47"/>
      <c r="BD1259" s="47"/>
      <c r="BE1259" s="47"/>
      <c r="BF1259" s="47"/>
    </row>
    <row r="1260" spans="3:58">
      <c r="C1260" s="47"/>
      <c r="D1260" s="47"/>
      <c r="E1260" s="47"/>
      <c r="F1260" s="47"/>
      <c r="G1260" s="47"/>
      <c r="H1260" s="47"/>
      <c r="I1260" s="47"/>
      <c r="J1260" s="47"/>
      <c r="K1260" s="47"/>
      <c r="L1260" s="47"/>
      <c r="M1260" s="47"/>
      <c r="N1260" s="47"/>
      <c r="O1260" s="47"/>
      <c r="P1260" s="47"/>
      <c r="Q1260" s="85"/>
      <c r="R1260" s="85"/>
      <c r="S1260" s="85"/>
      <c r="T1260" s="85"/>
      <c r="U1260" s="85"/>
      <c r="V1260" s="85"/>
      <c r="W1260" s="85"/>
      <c r="X1260" s="85"/>
      <c r="Y1260" s="85"/>
      <c r="Z1260" s="85"/>
      <c r="AA1260" s="85"/>
      <c r="AB1260" s="85"/>
      <c r="AC1260" s="85"/>
      <c r="AD1260" s="85"/>
      <c r="AE1260" s="47"/>
      <c r="AF1260" s="47"/>
      <c r="AG1260" s="47"/>
      <c r="AH1260" s="47"/>
      <c r="AI1260" s="47"/>
      <c r="AJ1260" s="47"/>
      <c r="AK1260" s="47"/>
      <c r="AL1260" s="47"/>
      <c r="AM1260" s="47"/>
      <c r="AN1260" s="47"/>
      <c r="AO1260" s="47"/>
      <c r="AP1260" s="47"/>
      <c r="AQ1260" s="47"/>
      <c r="AR1260" s="47"/>
      <c r="AS1260" s="47"/>
      <c r="AT1260" s="47"/>
      <c r="AU1260" s="47"/>
      <c r="AV1260" s="47"/>
      <c r="AW1260" s="47"/>
      <c r="AX1260" s="47"/>
      <c r="AY1260" s="47"/>
      <c r="AZ1260" s="47"/>
      <c r="BA1260" s="47"/>
      <c r="BB1260" s="47"/>
      <c r="BC1260" s="47"/>
      <c r="BD1260" s="47"/>
      <c r="BE1260" s="47"/>
      <c r="BF1260" s="47"/>
    </row>
    <row r="1261" spans="3:58">
      <c r="C1261" s="47"/>
      <c r="D1261" s="47"/>
      <c r="E1261" s="47"/>
      <c r="F1261" s="47"/>
      <c r="G1261" s="47"/>
      <c r="H1261" s="47"/>
      <c r="I1261" s="47"/>
      <c r="J1261" s="47"/>
      <c r="K1261" s="47"/>
      <c r="L1261" s="47"/>
      <c r="M1261" s="47"/>
      <c r="N1261" s="47"/>
      <c r="O1261" s="47"/>
      <c r="P1261" s="47"/>
      <c r="Q1261" s="85"/>
      <c r="R1261" s="85"/>
      <c r="S1261" s="85"/>
      <c r="T1261" s="85"/>
      <c r="U1261" s="85"/>
      <c r="V1261" s="85"/>
      <c r="W1261" s="85"/>
      <c r="X1261" s="85"/>
      <c r="Y1261" s="85"/>
      <c r="Z1261" s="85"/>
      <c r="AA1261" s="85"/>
      <c r="AB1261" s="85"/>
      <c r="AC1261" s="85"/>
      <c r="AD1261" s="85"/>
      <c r="AE1261" s="47"/>
      <c r="AF1261" s="47"/>
      <c r="AG1261" s="47"/>
      <c r="AH1261" s="47"/>
      <c r="AI1261" s="47"/>
      <c r="AJ1261" s="47"/>
      <c r="AK1261" s="47"/>
      <c r="AL1261" s="47"/>
      <c r="AM1261" s="47"/>
      <c r="AN1261" s="47"/>
      <c r="AO1261" s="47"/>
      <c r="AP1261" s="47"/>
      <c r="AQ1261" s="47"/>
      <c r="AR1261" s="47"/>
      <c r="AS1261" s="47"/>
      <c r="AT1261" s="47"/>
      <c r="AU1261" s="47"/>
      <c r="AV1261" s="47"/>
      <c r="AW1261" s="47"/>
      <c r="AX1261" s="47"/>
      <c r="AY1261" s="47"/>
      <c r="AZ1261" s="47"/>
      <c r="BA1261" s="47"/>
      <c r="BB1261" s="47"/>
      <c r="BC1261" s="47"/>
      <c r="BD1261" s="47"/>
      <c r="BE1261" s="47"/>
      <c r="BF1261" s="47"/>
    </row>
    <row r="1262" spans="3:58">
      <c r="C1262" s="47"/>
      <c r="D1262" s="47"/>
      <c r="E1262" s="47"/>
      <c r="F1262" s="47"/>
      <c r="G1262" s="47"/>
      <c r="H1262" s="47"/>
      <c r="I1262" s="47"/>
      <c r="J1262" s="47"/>
      <c r="K1262" s="47"/>
      <c r="L1262" s="47"/>
      <c r="M1262" s="47"/>
      <c r="N1262" s="47"/>
      <c r="O1262" s="47"/>
      <c r="P1262" s="47"/>
      <c r="Q1262" s="85"/>
      <c r="R1262" s="85"/>
      <c r="S1262" s="85"/>
      <c r="T1262" s="85"/>
      <c r="U1262" s="85"/>
      <c r="V1262" s="85"/>
      <c r="W1262" s="85"/>
      <c r="X1262" s="85"/>
      <c r="Y1262" s="85"/>
      <c r="Z1262" s="85"/>
      <c r="AA1262" s="85"/>
      <c r="AB1262" s="85"/>
      <c r="AC1262" s="85"/>
      <c r="AD1262" s="85"/>
      <c r="AE1262" s="47"/>
      <c r="AF1262" s="47"/>
      <c r="AG1262" s="47"/>
      <c r="AH1262" s="47"/>
      <c r="AI1262" s="47"/>
      <c r="AJ1262" s="47"/>
      <c r="AK1262" s="47"/>
      <c r="AL1262" s="47"/>
      <c r="AM1262" s="47"/>
      <c r="AN1262" s="47"/>
      <c r="AO1262" s="47"/>
      <c r="AP1262" s="47"/>
      <c r="AQ1262" s="47"/>
      <c r="AR1262" s="47"/>
      <c r="AS1262" s="47"/>
      <c r="AT1262" s="47"/>
      <c r="AU1262" s="47"/>
      <c r="AV1262" s="47"/>
      <c r="AW1262" s="47"/>
      <c r="AX1262" s="47"/>
      <c r="AY1262" s="47"/>
      <c r="AZ1262" s="47"/>
      <c r="BA1262" s="47"/>
      <c r="BB1262" s="47"/>
      <c r="BC1262" s="47"/>
      <c r="BD1262" s="47"/>
      <c r="BE1262" s="47"/>
      <c r="BF1262" s="47"/>
    </row>
    <row r="1263" spans="3:58">
      <c r="C1263" s="47"/>
      <c r="D1263" s="47"/>
      <c r="E1263" s="47"/>
      <c r="F1263" s="47"/>
      <c r="G1263" s="47"/>
      <c r="H1263" s="47"/>
      <c r="I1263" s="47"/>
      <c r="J1263" s="47"/>
      <c r="K1263" s="47"/>
      <c r="L1263" s="47"/>
      <c r="M1263" s="47"/>
      <c r="N1263" s="47"/>
      <c r="O1263" s="47"/>
      <c r="P1263" s="47"/>
      <c r="Q1263" s="85"/>
      <c r="R1263" s="85"/>
      <c r="S1263" s="85"/>
      <c r="T1263" s="85"/>
      <c r="U1263" s="85"/>
      <c r="V1263" s="85"/>
      <c r="W1263" s="85"/>
      <c r="X1263" s="85"/>
      <c r="Y1263" s="85"/>
      <c r="Z1263" s="85"/>
      <c r="AA1263" s="85"/>
      <c r="AB1263" s="85"/>
      <c r="AC1263" s="85"/>
      <c r="AD1263" s="85"/>
      <c r="AE1263" s="47"/>
      <c r="AF1263" s="47"/>
      <c r="AG1263" s="47"/>
      <c r="AH1263" s="47"/>
      <c r="AI1263" s="47"/>
      <c r="AJ1263" s="47"/>
      <c r="AK1263" s="47"/>
      <c r="AL1263" s="47"/>
      <c r="AM1263" s="47"/>
      <c r="AN1263" s="47"/>
      <c r="AO1263" s="47"/>
      <c r="AP1263" s="47"/>
      <c r="AQ1263" s="47"/>
      <c r="AR1263" s="47"/>
      <c r="AS1263" s="47"/>
      <c r="AT1263" s="47"/>
      <c r="AU1263" s="47"/>
      <c r="AV1263" s="47"/>
      <c r="AW1263" s="47"/>
      <c r="AX1263" s="47"/>
      <c r="AY1263" s="47"/>
      <c r="AZ1263" s="47"/>
      <c r="BA1263" s="47"/>
      <c r="BB1263" s="47"/>
      <c r="BC1263" s="47"/>
      <c r="BD1263" s="47"/>
      <c r="BE1263" s="47"/>
      <c r="BF1263" s="47"/>
    </row>
    <row r="1264" spans="3:58">
      <c r="C1264" s="47"/>
      <c r="D1264" s="47"/>
      <c r="E1264" s="47"/>
      <c r="F1264" s="47"/>
      <c r="G1264" s="47"/>
      <c r="H1264" s="47"/>
      <c r="I1264" s="47"/>
      <c r="J1264" s="47"/>
      <c r="K1264" s="47"/>
      <c r="L1264" s="47"/>
      <c r="M1264" s="47"/>
      <c r="N1264" s="47"/>
      <c r="O1264" s="47"/>
      <c r="P1264" s="47"/>
      <c r="Q1264" s="85"/>
      <c r="R1264" s="85"/>
      <c r="S1264" s="85"/>
      <c r="T1264" s="85"/>
      <c r="U1264" s="85"/>
      <c r="V1264" s="85"/>
      <c r="W1264" s="85"/>
      <c r="X1264" s="85"/>
      <c r="Y1264" s="85"/>
      <c r="Z1264" s="85"/>
      <c r="AA1264" s="85"/>
      <c r="AB1264" s="85"/>
      <c r="AC1264" s="85"/>
      <c r="AD1264" s="85"/>
      <c r="AE1264" s="47"/>
      <c r="AF1264" s="47"/>
      <c r="AG1264" s="47"/>
      <c r="AH1264" s="47"/>
      <c r="AI1264" s="47"/>
      <c r="AJ1264" s="47"/>
      <c r="AK1264" s="47"/>
      <c r="AL1264" s="47"/>
      <c r="AM1264" s="47"/>
      <c r="AN1264" s="47"/>
      <c r="AO1264" s="47"/>
      <c r="AP1264" s="47"/>
      <c r="AQ1264" s="47"/>
      <c r="AR1264" s="47"/>
      <c r="AS1264" s="47"/>
      <c r="AT1264" s="47"/>
      <c r="AU1264" s="47"/>
      <c r="AV1264" s="47"/>
      <c r="AW1264" s="47"/>
      <c r="AX1264" s="47"/>
      <c r="AY1264" s="47"/>
      <c r="AZ1264" s="47"/>
      <c r="BA1264" s="47"/>
      <c r="BB1264" s="47"/>
      <c r="BC1264" s="47"/>
      <c r="BD1264" s="47"/>
      <c r="BE1264" s="47"/>
      <c r="BF1264" s="47"/>
    </row>
    <row r="1265" spans="3:58">
      <c r="C1265" s="47"/>
      <c r="D1265" s="47"/>
      <c r="E1265" s="47"/>
      <c r="F1265" s="47"/>
      <c r="G1265" s="47"/>
      <c r="H1265" s="47"/>
      <c r="I1265" s="47"/>
      <c r="J1265" s="47"/>
      <c r="K1265" s="47"/>
      <c r="L1265" s="47"/>
      <c r="M1265" s="47"/>
      <c r="N1265" s="47"/>
      <c r="O1265" s="47"/>
      <c r="P1265" s="47"/>
      <c r="Q1265" s="85"/>
      <c r="R1265" s="85"/>
      <c r="S1265" s="85"/>
      <c r="T1265" s="85"/>
      <c r="U1265" s="85"/>
      <c r="V1265" s="85"/>
      <c r="W1265" s="85"/>
      <c r="X1265" s="85"/>
      <c r="Y1265" s="85"/>
      <c r="Z1265" s="85"/>
      <c r="AA1265" s="85"/>
      <c r="AB1265" s="85"/>
      <c r="AC1265" s="85"/>
      <c r="AD1265" s="85"/>
      <c r="AE1265" s="47"/>
      <c r="AF1265" s="47"/>
      <c r="AG1265" s="47"/>
      <c r="AH1265" s="47"/>
      <c r="AI1265" s="47"/>
      <c r="AJ1265" s="47"/>
      <c r="AK1265" s="47"/>
      <c r="AL1265" s="47"/>
      <c r="AM1265" s="47"/>
      <c r="AN1265" s="47"/>
      <c r="AO1265" s="47"/>
      <c r="AP1265" s="47"/>
      <c r="AQ1265" s="47"/>
      <c r="AR1265" s="47"/>
      <c r="AS1265" s="47"/>
      <c r="AT1265" s="47"/>
      <c r="AU1265" s="47"/>
      <c r="AV1265" s="47"/>
      <c r="AW1265" s="47"/>
      <c r="AX1265" s="47"/>
      <c r="AY1265" s="47"/>
      <c r="AZ1265" s="47"/>
      <c r="BA1265" s="47"/>
      <c r="BB1265" s="47"/>
      <c r="BC1265" s="47"/>
      <c r="BD1265" s="47"/>
      <c r="BE1265" s="47"/>
      <c r="BF1265" s="47"/>
    </row>
    <row r="1266" spans="3:58">
      <c r="C1266" s="47"/>
      <c r="D1266" s="47"/>
      <c r="E1266" s="47"/>
      <c r="F1266" s="47"/>
      <c r="G1266" s="47"/>
      <c r="H1266" s="47"/>
      <c r="I1266" s="47"/>
      <c r="J1266" s="47"/>
      <c r="K1266" s="47"/>
      <c r="L1266" s="47"/>
      <c r="M1266" s="47"/>
      <c r="N1266" s="47"/>
      <c r="O1266" s="47"/>
      <c r="P1266" s="47"/>
      <c r="Q1266" s="85"/>
      <c r="R1266" s="85"/>
      <c r="S1266" s="85"/>
      <c r="T1266" s="85"/>
      <c r="U1266" s="85"/>
      <c r="V1266" s="85"/>
      <c r="W1266" s="85"/>
      <c r="X1266" s="85"/>
      <c r="Y1266" s="85"/>
      <c r="Z1266" s="85"/>
      <c r="AA1266" s="85"/>
      <c r="AB1266" s="85"/>
      <c r="AC1266" s="85"/>
      <c r="AD1266" s="85"/>
      <c r="AE1266" s="47"/>
      <c r="AF1266" s="47"/>
      <c r="AG1266" s="47"/>
      <c r="AH1266" s="47"/>
      <c r="AI1266" s="47"/>
      <c r="AJ1266" s="47"/>
      <c r="AK1266" s="47"/>
      <c r="AL1266" s="47"/>
      <c r="AM1266" s="47"/>
      <c r="AN1266" s="47"/>
      <c r="AO1266" s="47"/>
      <c r="AP1266" s="47"/>
      <c r="AQ1266" s="47"/>
      <c r="AR1266" s="47"/>
      <c r="AS1266" s="47"/>
      <c r="AT1266" s="47"/>
      <c r="AU1266" s="47"/>
      <c r="AV1266" s="47"/>
      <c r="AW1266" s="47"/>
      <c r="AX1266" s="47"/>
      <c r="AY1266" s="47"/>
      <c r="AZ1266" s="47"/>
      <c r="BA1266" s="47"/>
      <c r="BB1266" s="47"/>
      <c r="BC1266" s="47"/>
      <c r="BD1266" s="47"/>
      <c r="BE1266" s="47"/>
      <c r="BF1266" s="47"/>
    </row>
    <row r="1267" spans="3:58">
      <c r="C1267" s="47"/>
      <c r="D1267" s="47"/>
      <c r="E1267" s="47"/>
      <c r="F1267" s="47"/>
      <c r="G1267" s="47"/>
      <c r="H1267" s="47"/>
      <c r="I1267" s="47"/>
      <c r="J1267" s="47"/>
      <c r="K1267" s="47"/>
      <c r="L1267" s="47"/>
      <c r="M1267" s="47"/>
      <c r="N1267" s="47"/>
      <c r="O1267" s="47"/>
      <c r="P1267" s="47"/>
      <c r="Q1267" s="85"/>
      <c r="R1267" s="85"/>
      <c r="S1267" s="85"/>
      <c r="T1267" s="85"/>
      <c r="U1267" s="85"/>
      <c r="V1267" s="85"/>
      <c r="W1267" s="85"/>
      <c r="X1267" s="85"/>
      <c r="Y1267" s="85"/>
      <c r="Z1267" s="85"/>
      <c r="AA1267" s="85"/>
      <c r="AB1267" s="85"/>
      <c r="AC1267" s="85"/>
      <c r="AD1267" s="85"/>
      <c r="AE1267" s="47"/>
      <c r="AF1267" s="47"/>
      <c r="AG1267" s="47"/>
      <c r="AH1267" s="47"/>
      <c r="AI1267" s="47"/>
      <c r="AJ1267" s="47"/>
      <c r="AK1267" s="47"/>
      <c r="AL1267" s="47"/>
      <c r="AM1267" s="47"/>
      <c r="AN1267" s="47"/>
      <c r="AO1267" s="47"/>
      <c r="AP1267" s="47"/>
      <c r="AQ1267" s="47"/>
      <c r="AR1267" s="47"/>
      <c r="AS1267" s="47"/>
      <c r="AT1267" s="47"/>
      <c r="AU1267" s="47"/>
      <c r="AV1267" s="47"/>
      <c r="AW1267" s="47"/>
      <c r="AX1267" s="47"/>
      <c r="AY1267" s="47"/>
      <c r="AZ1267" s="47"/>
      <c r="BA1267" s="47"/>
      <c r="BB1267" s="47"/>
      <c r="BC1267" s="47"/>
      <c r="BD1267" s="47"/>
      <c r="BE1267" s="47"/>
      <c r="BF1267" s="47"/>
    </row>
    <row r="1268" spans="3:58">
      <c r="C1268" s="47"/>
      <c r="D1268" s="47"/>
      <c r="E1268" s="47"/>
      <c r="F1268" s="47"/>
      <c r="G1268" s="47"/>
      <c r="H1268" s="47"/>
      <c r="I1268" s="47"/>
      <c r="J1268" s="47"/>
      <c r="K1268" s="47"/>
      <c r="L1268" s="47"/>
      <c r="M1268" s="47"/>
      <c r="N1268" s="47"/>
      <c r="O1268" s="47"/>
      <c r="P1268" s="47"/>
      <c r="Q1268" s="85"/>
      <c r="R1268" s="85"/>
      <c r="S1268" s="85"/>
      <c r="T1268" s="85"/>
      <c r="U1268" s="85"/>
      <c r="V1268" s="85"/>
      <c r="W1268" s="85"/>
      <c r="X1268" s="85"/>
      <c r="Y1268" s="85"/>
      <c r="Z1268" s="85"/>
      <c r="AA1268" s="85"/>
      <c r="AB1268" s="85"/>
      <c r="AC1268" s="85"/>
      <c r="AD1268" s="85"/>
      <c r="AE1268" s="47"/>
      <c r="AF1268" s="47"/>
      <c r="AG1268" s="47"/>
      <c r="AH1268" s="47"/>
      <c r="AI1268" s="47"/>
      <c r="AJ1268" s="47"/>
      <c r="AK1268" s="47"/>
      <c r="AL1268" s="47"/>
      <c r="AM1268" s="47"/>
      <c r="AN1268" s="47"/>
      <c r="AO1268" s="47"/>
      <c r="AP1268" s="47"/>
      <c r="AQ1268" s="47"/>
      <c r="AR1268" s="47"/>
      <c r="AS1268" s="47"/>
      <c r="AT1268" s="47"/>
      <c r="AU1268" s="47"/>
      <c r="AV1268" s="47"/>
      <c r="AW1268" s="47"/>
      <c r="AX1268" s="47"/>
      <c r="AY1268" s="47"/>
      <c r="AZ1268" s="47"/>
      <c r="BA1268" s="47"/>
      <c r="BB1268" s="47"/>
      <c r="BC1268" s="47"/>
      <c r="BD1268" s="47"/>
      <c r="BE1268" s="47"/>
      <c r="BF1268" s="47"/>
    </row>
    <row r="1269" spans="3:58">
      <c r="C1269" s="47"/>
      <c r="D1269" s="47"/>
      <c r="E1269" s="47"/>
      <c r="F1269" s="47"/>
      <c r="G1269" s="47"/>
      <c r="H1269" s="47"/>
      <c r="I1269" s="47"/>
      <c r="J1269" s="47"/>
      <c r="K1269" s="47"/>
      <c r="L1269" s="47"/>
      <c r="M1269" s="47"/>
      <c r="N1269" s="47"/>
      <c r="O1269" s="47"/>
      <c r="P1269" s="47"/>
      <c r="Q1269" s="85"/>
      <c r="R1269" s="85"/>
      <c r="S1269" s="85"/>
      <c r="T1269" s="85"/>
      <c r="U1269" s="85"/>
      <c r="V1269" s="85"/>
      <c r="W1269" s="85"/>
      <c r="X1269" s="85"/>
      <c r="Y1269" s="85"/>
      <c r="Z1269" s="85"/>
      <c r="AA1269" s="85"/>
      <c r="AB1269" s="85"/>
      <c r="AC1269" s="85"/>
      <c r="AD1269" s="85"/>
      <c r="AE1269" s="47"/>
      <c r="AF1269" s="47"/>
      <c r="AG1269" s="47"/>
      <c r="AH1269" s="47"/>
      <c r="AI1269" s="47"/>
      <c r="AJ1269" s="47"/>
      <c r="AK1269" s="47"/>
      <c r="AL1269" s="47"/>
      <c r="AM1269" s="47"/>
      <c r="AN1269" s="47"/>
      <c r="AO1269" s="47"/>
      <c r="AP1269" s="47"/>
      <c r="AQ1269" s="47"/>
      <c r="AR1269" s="47"/>
      <c r="AS1269" s="47"/>
      <c r="AT1269" s="47"/>
      <c r="AU1269" s="47"/>
      <c r="AV1269" s="47"/>
      <c r="AW1269" s="47"/>
      <c r="AX1269" s="47"/>
      <c r="AY1269" s="47"/>
      <c r="AZ1269" s="47"/>
      <c r="BA1269" s="47"/>
      <c r="BB1269" s="47"/>
      <c r="BC1269" s="47"/>
      <c r="BD1269" s="47"/>
      <c r="BE1269" s="47"/>
      <c r="BF1269" s="47"/>
    </row>
    <row r="1270" spans="3:58">
      <c r="C1270" s="47"/>
      <c r="D1270" s="47"/>
      <c r="E1270" s="47"/>
      <c r="F1270" s="47"/>
      <c r="G1270" s="47"/>
      <c r="H1270" s="47"/>
      <c r="I1270" s="47"/>
      <c r="J1270" s="47"/>
      <c r="K1270" s="47"/>
      <c r="L1270" s="47"/>
      <c r="M1270" s="47"/>
      <c r="N1270" s="47"/>
      <c r="O1270" s="47"/>
      <c r="P1270" s="47"/>
      <c r="Q1270" s="85"/>
      <c r="R1270" s="85"/>
      <c r="S1270" s="85"/>
      <c r="T1270" s="85"/>
      <c r="U1270" s="85"/>
      <c r="V1270" s="85"/>
      <c r="W1270" s="85"/>
      <c r="X1270" s="85"/>
      <c r="Y1270" s="85"/>
      <c r="Z1270" s="85"/>
      <c r="AA1270" s="85"/>
      <c r="AB1270" s="85"/>
      <c r="AC1270" s="85"/>
      <c r="AD1270" s="85"/>
      <c r="AE1270" s="47"/>
      <c r="AF1270" s="47"/>
      <c r="AG1270" s="47"/>
      <c r="AH1270" s="47"/>
      <c r="AI1270" s="47"/>
      <c r="AJ1270" s="47"/>
      <c r="AK1270" s="47"/>
      <c r="AL1270" s="47"/>
      <c r="AM1270" s="47"/>
      <c r="AN1270" s="47"/>
      <c r="AO1270" s="47"/>
      <c r="AP1270" s="47"/>
      <c r="AQ1270" s="47"/>
      <c r="AR1270" s="47"/>
      <c r="AS1270" s="47"/>
      <c r="AT1270" s="47"/>
      <c r="AU1270" s="47"/>
      <c r="AV1270" s="47"/>
      <c r="AW1270" s="47"/>
      <c r="AX1270" s="47"/>
      <c r="AY1270" s="47"/>
      <c r="AZ1270" s="47"/>
      <c r="BA1270" s="47"/>
      <c r="BB1270" s="47"/>
      <c r="BC1270" s="47"/>
      <c r="BD1270" s="47"/>
      <c r="BE1270" s="47"/>
      <c r="BF1270" s="47"/>
    </row>
    <row r="1271" spans="3:58">
      <c r="C1271" s="47"/>
      <c r="D1271" s="47"/>
      <c r="E1271" s="47"/>
      <c r="F1271" s="47"/>
      <c r="G1271" s="47"/>
      <c r="H1271" s="47"/>
      <c r="I1271" s="47"/>
      <c r="J1271" s="47"/>
      <c r="K1271" s="47"/>
      <c r="L1271" s="47"/>
      <c r="M1271" s="47"/>
      <c r="N1271" s="47"/>
      <c r="O1271" s="47"/>
      <c r="P1271" s="47"/>
      <c r="Q1271" s="85"/>
      <c r="R1271" s="85"/>
      <c r="S1271" s="85"/>
      <c r="T1271" s="85"/>
      <c r="U1271" s="85"/>
      <c r="V1271" s="85"/>
      <c r="W1271" s="85"/>
      <c r="X1271" s="85"/>
      <c r="Y1271" s="85"/>
      <c r="Z1271" s="85"/>
      <c r="AA1271" s="85"/>
      <c r="AB1271" s="85"/>
      <c r="AC1271" s="85"/>
      <c r="AD1271" s="85"/>
      <c r="AE1271" s="47"/>
      <c r="AF1271" s="47"/>
      <c r="AG1271" s="47"/>
      <c r="AH1271" s="47"/>
      <c r="AI1271" s="47"/>
      <c r="AJ1271" s="47"/>
      <c r="AK1271" s="47"/>
      <c r="AL1271" s="47"/>
      <c r="AM1271" s="47"/>
      <c r="AN1271" s="47"/>
      <c r="AO1271" s="47"/>
      <c r="AP1271" s="47"/>
      <c r="AQ1271" s="47"/>
      <c r="AR1271" s="47"/>
      <c r="AS1271" s="47"/>
      <c r="AT1271" s="47"/>
      <c r="AU1271" s="47"/>
      <c r="AV1271" s="47"/>
      <c r="AW1271" s="47"/>
      <c r="AX1271" s="47"/>
      <c r="AY1271" s="47"/>
      <c r="AZ1271" s="47"/>
      <c r="BA1271" s="47"/>
      <c r="BB1271" s="47"/>
      <c r="BC1271" s="47"/>
      <c r="BD1271" s="47"/>
      <c r="BE1271" s="47"/>
      <c r="BF1271" s="47"/>
    </row>
    <row r="1272" spans="3:58">
      <c r="C1272" s="47"/>
      <c r="D1272" s="47"/>
      <c r="E1272" s="47"/>
      <c r="F1272" s="47"/>
      <c r="G1272" s="47"/>
      <c r="H1272" s="47"/>
      <c r="I1272" s="47"/>
      <c r="J1272" s="47"/>
      <c r="K1272" s="47"/>
      <c r="L1272" s="47"/>
      <c r="M1272" s="47"/>
      <c r="N1272" s="47"/>
      <c r="O1272" s="47"/>
      <c r="P1272" s="47"/>
      <c r="Q1272" s="85"/>
      <c r="R1272" s="85"/>
      <c r="S1272" s="85"/>
      <c r="T1272" s="85"/>
      <c r="U1272" s="85"/>
      <c r="V1272" s="85"/>
      <c r="W1272" s="85"/>
      <c r="X1272" s="85"/>
      <c r="Y1272" s="85"/>
      <c r="Z1272" s="85"/>
      <c r="AA1272" s="85"/>
      <c r="AB1272" s="85"/>
      <c r="AC1272" s="85"/>
      <c r="AD1272" s="85"/>
      <c r="AE1272" s="47"/>
      <c r="AF1272" s="47"/>
      <c r="AG1272" s="47"/>
      <c r="AH1272" s="47"/>
      <c r="AI1272" s="47"/>
      <c r="AJ1272" s="47"/>
      <c r="AK1272" s="47"/>
      <c r="AL1272" s="47"/>
      <c r="AM1272" s="47"/>
      <c r="AN1272" s="47"/>
      <c r="AO1272" s="47"/>
      <c r="AP1272" s="47"/>
      <c r="AQ1272" s="47"/>
      <c r="AR1272" s="47"/>
      <c r="AS1272" s="47"/>
      <c r="AT1272" s="47"/>
      <c r="AU1272" s="47"/>
      <c r="AV1272" s="47"/>
      <c r="AW1272" s="47"/>
      <c r="AX1272" s="47"/>
      <c r="AY1272" s="47"/>
      <c r="AZ1272" s="47"/>
      <c r="BA1272" s="47"/>
      <c r="BB1272" s="47"/>
      <c r="BC1272" s="47"/>
      <c r="BD1272" s="47"/>
      <c r="BE1272" s="47"/>
      <c r="BF1272" s="47"/>
    </row>
    <row r="1273" spans="3:58">
      <c r="C1273" s="47"/>
      <c r="D1273" s="47"/>
      <c r="E1273" s="47"/>
      <c r="F1273" s="47"/>
      <c r="G1273" s="47"/>
      <c r="H1273" s="47"/>
      <c r="I1273" s="47"/>
      <c r="J1273" s="47"/>
      <c r="K1273" s="47"/>
      <c r="L1273" s="47"/>
      <c r="M1273" s="47"/>
      <c r="N1273" s="47"/>
      <c r="O1273" s="47"/>
      <c r="P1273" s="47"/>
      <c r="Q1273" s="85"/>
      <c r="R1273" s="85"/>
      <c r="S1273" s="85"/>
      <c r="T1273" s="85"/>
      <c r="U1273" s="85"/>
      <c r="V1273" s="85"/>
      <c r="W1273" s="85"/>
      <c r="X1273" s="85"/>
      <c r="Y1273" s="85"/>
      <c r="Z1273" s="85"/>
      <c r="AA1273" s="85"/>
      <c r="AB1273" s="85"/>
      <c r="AC1273" s="85"/>
      <c r="AD1273" s="85"/>
      <c r="AE1273" s="47"/>
      <c r="AF1273" s="47"/>
      <c r="AG1273" s="47"/>
      <c r="AH1273" s="47"/>
      <c r="AI1273" s="47"/>
      <c r="AJ1273" s="47"/>
      <c r="AK1273" s="47"/>
      <c r="AL1273" s="47"/>
      <c r="AM1273" s="47"/>
      <c r="AN1273" s="47"/>
      <c r="AO1273" s="47"/>
      <c r="AP1273" s="47"/>
      <c r="AQ1273" s="47"/>
      <c r="AR1273" s="47"/>
      <c r="AS1273" s="47"/>
      <c r="AT1273" s="47"/>
      <c r="AU1273" s="47"/>
      <c r="AV1273" s="47"/>
      <c r="AW1273" s="47"/>
      <c r="AX1273" s="47"/>
      <c r="AY1273" s="47"/>
      <c r="AZ1273" s="47"/>
      <c r="BA1273" s="47"/>
      <c r="BB1273" s="47"/>
      <c r="BC1273" s="47"/>
      <c r="BD1273" s="47"/>
      <c r="BE1273" s="47"/>
      <c r="BF1273" s="47"/>
    </row>
    <row r="1274" spans="3:58">
      <c r="C1274" s="47"/>
      <c r="D1274" s="47"/>
      <c r="E1274" s="47"/>
      <c r="F1274" s="47"/>
      <c r="G1274" s="47"/>
      <c r="H1274" s="47"/>
      <c r="I1274" s="47"/>
      <c r="J1274" s="47"/>
      <c r="K1274" s="47"/>
      <c r="L1274" s="47"/>
      <c r="M1274" s="47"/>
      <c r="N1274" s="47"/>
      <c r="O1274" s="47"/>
      <c r="P1274" s="47"/>
      <c r="Q1274" s="85"/>
      <c r="R1274" s="85"/>
      <c r="S1274" s="85"/>
      <c r="T1274" s="85"/>
      <c r="U1274" s="85"/>
      <c r="V1274" s="85"/>
      <c r="W1274" s="85"/>
      <c r="X1274" s="85"/>
      <c r="Y1274" s="85"/>
      <c r="Z1274" s="85"/>
      <c r="AA1274" s="85"/>
      <c r="AB1274" s="85"/>
      <c r="AC1274" s="85"/>
      <c r="AD1274" s="85"/>
      <c r="AE1274" s="47"/>
      <c r="AF1274" s="47"/>
      <c r="AG1274" s="47"/>
      <c r="AH1274" s="47"/>
      <c r="AI1274" s="47"/>
      <c r="AJ1274" s="47"/>
      <c r="AK1274" s="47"/>
      <c r="AL1274" s="47"/>
      <c r="AM1274" s="47"/>
      <c r="AN1274" s="47"/>
      <c r="AO1274" s="47"/>
      <c r="AP1274" s="47"/>
      <c r="AQ1274" s="47"/>
      <c r="AR1274" s="47"/>
      <c r="AS1274" s="47"/>
      <c r="AT1274" s="47"/>
      <c r="AU1274" s="47"/>
      <c r="AV1274" s="47"/>
      <c r="AW1274" s="47"/>
      <c r="AX1274" s="47"/>
      <c r="AY1274" s="47"/>
      <c r="AZ1274" s="47"/>
      <c r="BA1274" s="47"/>
      <c r="BB1274" s="47"/>
      <c r="BC1274" s="47"/>
      <c r="BD1274" s="47"/>
      <c r="BE1274" s="47"/>
      <c r="BF1274" s="47"/>
    </row>
    <row r="1275" spans="3:58">
      <c r="C1275" s="47"/>
      <c r="D1275" s="47"/>
      <c r="E1275" s="47"/>
      <c r="F1275" s="47"/>
      <c r="G1275" s="47"/>
      <c r="H1275" s="47"/>
      <c r="I1275" s="47"/>
      <c r="J1275" s="47"/>
      <c r="K1275" s="47"/>
      <c r="L1275" s="47"/>
      <c r="M1275" s="47"/>
      <c r="N1275" s="47"/>
      <c r="O1275" s="47"/>
      <c r="P1275" s="47"/>
      <c r="Q1275" s="85"/>
      <c r="R1275" s="85"/>
      <c r="S1275" s="85"/>
      <c r="T1275" s="85"/>
      <c r="U1275" s="85"/>
      <c r="V1275" s="85"/>
      <c r="W1275" s="85"/>
      <c r="X1275" s="85"/>
      <c r="Y1275" s="85"/>
      <c r="Z1275" s="85"/>
      <c r="AA1275" s="85"/>
      <c r="AB1275" s="85"/>
      <c r="AC1275" s="85"/>
      <c r="AD1275" s="85"/>
      <c r="AE1275" s="47"/>
      <c r="AF1275" s="47"/>
      <c r="AG1275" s="47"/>
      <c r="AH1275" s="47"/>
      <c r="AI1275" s="47"/>
      <c r="AJ1275" s="47"/>
      <c r="AK1275" s="47"/>
      <c r="AL1275" s="47"/>
      <c r="AM1275" s="47"/>
      <c r="AN1275" s="47"/>
      <c r="AO1275" s="47"/>
      <c r="AP1275" s="47"/>
      <c r="AQ1275" s="47"/>
      <c r="AR1275" s="47"/>
      <c r="AS1275" s="47"/>
      <c r="AT1275" s="47"/>
      <c r="AU1275" s="47"/>
      <c r="AV1275" s="47"/>
      <c r="AW1275" s="47"/>
      <c r="AX1275" s="47"/>
      <c r="AY1275" s="47"/>
      <c r="AZ1275" s="47"/>
      <c r="BA1275" s="47"/>
      <c r="BB1275" s="47"/>
      <c r="BC1275" s="47"/>
      <c r="BD1275" s="47"/>
      <c r="BE1275" s="47"/>
      <c r="BF1275" s="47"/>
    </row>
    <row r="1276" spans="3:58">
      <c r="C1276" s="47"/>
      <c r="D1276" s="47"/>
      <c r="E1276" s="47"/>
      <c r="F1276" s="47"/>
      <c r="G1276" s="47"/>
      <c r="H1276" s="47"/>
      <c r="I1276" s="47"/>
      <c r="J1276" s="47"/>
      <c r="K1276" s="47"/>
      <c r="L1276" s="47"/>
      <c r="M1276" s="47"/>
      <c r="N1276" s="47"/>
      <c r="O1276" s="47"/>
      <c r="P1276" s="47"/>
      <c r="Q1276" s="85"/>
      <c r="R1276" s="85"/>
      <c r="S1276" s="85"/>
      <c r="T1276" s="85"/>
      <c r="U1276" s="85"/>
      <c r="V1276" s="85"/>
      <c r="W1276" s="85"/>
      <c r="X1276" s="85"/>
      <c r="Y1276" s="85"/>
      <c r="Z1276" s="85"/>
      <c r="AA1276" s="85"/>
      <c r="AB1276" s="85"/>
      <c r="AC1276" s="85"/>
      <c r="AD1276" s="85"/>
      <c r="AE1276" s="47"/>
      <c r="AF1276" s="47"/>
      <c r="AG1276" s="47"/>
      <c r="AH1276" s="47"/>
      <c r="AI1276" s="47"/>
      <c r="AJ1276" s="47"/>
      <c r="AK1276" s="47"/>
      <c r="AL1276" s="47"/>
      <c r="AM1276" s="47"/>
      <c r="AN1276" s="47"/>
      <c r="AO1276" s="47"/>
      <c r="AP1276" s="47"/>
      <c r="AQ1276" s="47"/>
      <c r="AR1276" s="47"/>
      <c r="AS1276" s="47"/>
      <c r="AT1276" s="47"/>
      <c r="AU1276" s="47"/>
      <c r="AV1276" s="47"/>
      <c r="AW1276" s="47"/>
      <c r="AX1276" s="47"/>
      <c r="AY1276" s="47"/>
      <c r="AZ1276" s="47"/>
      <c r="BA1276" s="47"/>
      <c r="BB1276" s="47"/>
      <c r="BC1276" s="47"/>
      <c r="BD1276" s="47"/>
      <c r="BE1276" s="47"/>
      <c r="BF1276" s="47"/>
    </row>
    <row r="1277" spans="3:58">
      <c r="C1277" s="47"/>
      <c r="D1277" s="47"/>
      <c r="E1277" s="47"/>
      <c r="F1277" s="47"/>
      <c r="G1277" s="47"/>
      <c r="H1277" s="47"/>
      <c r="I1277" s="47"/>
      <c r="J1277" s="47"/>
      <c r="K1277" s="47"/>
      <c r="L1277" s="47"/>
      <c r="M1277" s="47"/>
      <c r="N1277" s="47"/>
      <c r="O1277" s="47"/>
      <c r="P1277" s="47"/>
      <c r="Q1277" s="85"/>
      <c r="R1277" s="85"/>
      <c r="S1277" s="85"/>
      <c r="T1277" s="85"/>
      <c r="U1277" s="85"/>
      <c r="V1277" s="85"/>
      <c r="W1277" s="85"/>
      <c r="X1277" s="85"/>
      <c r="Y1277" s="85"/>
      <c r="Z1277" s="85"/>
      <c r="AA1277" s="85"/>
      <c r="AB1277" s="85"/>
      <c r="AC1277" s="85"/>
      <c r="AD1277" s="85"/>
      <c r="AE1277" s="47"/>
      <c r="AF1277" s="47"/>
      <c r="AG1277" s="47"/>
      <c r="AH1277" s="47"/>
      <c r="AI1277" s="47"/>
      <c r="AJ1277" s="47"/>
      <c r="AK1277" s="47"/>
      <c r="AL1277" s="47"/>
      <c r="AM1277" s="47"/>
      <c r="AN1277" s="47"/>
      <c r="AO1277" s="47"/>
      <c r="AP1277" s="47"/>
      <c r="AQ1277" s="47"/>
      <c r="AR1277" s="47"/>
      <c r="AS1277" s="47"/>
      <c r="AT1277" s="47"/>
      <c r="AU1277" s="47"/>
      <c r="AV1277" s="47"/>
      <c r="AW1277" s="47"/>
      <c r="AX1277" s="47"/>
      <c r="AY1277" s="47"/>
      <c r="AZ1277" s="47"/>
      <c r="BA1277" s="47"/>
      <c r="BB1277" s="47"/>
      <c r="BC1277" s="47"/>
      <c r="BD1277" s="47"/>
      <c r="BE1277" s="47"/>
      <c r="BF1277" s="47"/>
    </row>
    <row r="1278" spans="3:58">
      <c r="C1278" s="47"/>
      <c r="D1278" s="47"/>
      <c r="E1278" s="47"/>
      <c r="F1278" s="47"/>
      <c r="G1278" s="47"/>
      <c r="H1278" s="47"/>
      <c r="I1278" s="47"/>
      <c r="J1278" s="47"/>
      <c r="K1278" s="47"/>
      <c r="L1278" s="47"/>
      <c r="M1278" s="47"/>
      <c r="N1278" s="47"/>
      <c r="O1278" s="47"/>
      <c r="P1278" s="47"/>
      <c r="Q1278" s="85"/>
      <c r="R1278" s="85"/>
      <c r="S1278" s="85"/>
      <c r="T1278" s="85"/>
      <c r="U1278" s="85"/>
      <c r="V1278" s="85"/>
      <c r="W1278" s="85"/>
      <c r="X1278" s="85"/>
      <c r="Y1278" s="85"/>
      <c r="Z1278" s="85"/>
      <c r="AA1278" s="85"/>
      <c r="AB1278" s="85"/>
      <c r="AC1278" s="85"/>
      <c r="AD1278" s="85"/>
      <c r="AE1278" s="47"/>
      <c r="AF1278" s="47"/>
      <c r="AG1278" s="47"/>
      <c r="AH1278" s="47"/>
      <c r="AI1278" s="47"/>
      <c r="AJ1278" s="47"/>
      <c r="AK1278" s="47"/>
      <c r="AL1278" s="47"/>
      <c r="AM1278" s="47"/>
      <c r="AN1278" s="47"/>
      <c r="AO1278" s="47"/>
      <c r="AP1278" s="47"/>
      <c r="AQ1278" s="47"/>
      <c r="AR1278" s="47"/>
      <c r="AS1278" s="47"/>
      <c r="AT1278" s="47"/>
      <c r="AU1278" s="47"/>
      <c r="AV1278" s="47"/>
      <c r="AW1278" s="47"/>
      <c r="AX1278" s="47"/>
      <c r="AY1278" s="47"/>
      <c r="AZ1278" s="47"/>
      <c r="BA1278" s="47"/>
      <c r="BB1278" s="47"/>
      <c r="BC1278" s="47"/>
      <c r="BD1278" s="47"/>
      <c r="BE1278" s="47"/>
      <c r="BF1278" s="47"/>
    </row>
    <row r="1279" spans="3:58">
      <c r="C1279" s="47"/>
      <c r="D1279" s="47"/>
      <c r="E1279" s="47"/>
      <c r="F1279" s="47"/>
      <c r="G1279" s="47"/>
      <c r="H1279" s="47"/>
      <c r="I1279" s="47"/>
      <c r="J1279" s="47"/>
      <c r="K1279" s="47"/>
      <c r="L1279" s="47"/>
      <c r="M1279" s="47"/>
      <c r="N1279" s="47"/>
      <c r="O1279" s="47"/>
      <c r="P1279" s="47"/>
      <c r="Q1279" s="85"/>
      <c r="R1279" s="85"/>
      <c r="S1279" s="85"/>
      <c r="T1279" s="85"/>
      <c r="U1279" s="85"/>
      <c r="V1279" s="85"/>
      <c r="W1279" s="85"/>
      <c r="X1279" s="85"/>
      <c r="Y1279" s="85"/>
      <c r="Z1279" s="85"/>
      <c r="AA1279" s="85"/>
      <c r="AB1279" s="85"/>
      <c r="AC1279" s="85"/>
      <c r="AD1279" s="85"/>
      <c r="AE1279" s="47"/>
      <c r="AF1279" s="47"/>
      <c r="AG1279" s="47"/>
      <c r="AH1279" s="47"/>
      <c r="AI1279" s="47"/>
      <c r="AJ1279" s="47"/>
      <c r="AK1279" s="47"/>
      <c r="AL1279" s="47"/>
      <c r="AM1279" s="47"/>
      <c r="AN1279" s="47"/>
      <c r="AO1279" s="47"/>
      <c r="AP1279" s="47"/>
      <c r="AQ1279" s="47"/>
      <c r="AR1279" s="47"/>
      <c r="AS1279" s="47"/>
      <c r="AT1279" s="47"/>
      <c r="AU1279" s="47"/>
      <c r="AV1279" s="47"/>
      <c r="AW1279" s="47"/>
      <c r="AX1279" s="47"/>
      <c r="AY1279" s="47"/>
      <c r="AZ1279" s="47"/>
      <c r="BA1279" s="47"/>
      <c r="BB1279" s="47"/>
      <c r="BC1279" s="47"/>
      <c r="BD1279" s="47"/>
      <c r="BE1279" s="47"/>
      <c r="BF1279" s="47"/>
    </row>
    <row r="1280" spans="3:58">
      <c r="C1280" s="47"/>
      <c r="D1280" s="47"/>
      <c r="E1280" s="47"/>
      <c r="F1280" s="47"/>
      <c r="G1280" s="47"/>
      <c r="H1280" s="47"/>
      <c r="I1280" s="47"/>
      <c r="J1280" s="47"/>
      <c r="K1280" s="47"/>
      <c r="L1280" s="47"/>
      <c r="M1280" s="47"/>
      <c r="N1280" s="47"/>
      <c r="O1280" s="47"/>
      <c r="P1280" s="47"/>
      <c r="Q1280" s="85"/>
      <c r="R1280" s="85"/>
      <c r="S1280" s="85"/>
      <c r="T1280" s="85"/>
      <c r="U1280" s="85"/>
      <c r="V1280" s="85"/>
      <c r="W1280" s="85"/>
      <c r="X1280" s="85"/>
      <c r="Y1280" s="85"/>
      <c r="Z1280" s="85"/>
      <c r="AA1280" s="85"/>
      <c r="AB1280" s="85"/>
      <c r="AC1280" s="85"/>
      <c r="AD1280" s="85"/>
      <c r="AE1280" s="47"/>
      <c r="AF1280" s="47"/>
      <c r="AG1280" s="47"/>
      <c r="AH1280" s="47"/>
      <c r="AI1280" s="47"/>
      <c r="AJ1280" s="47"/>
      <c r="AK1280" s="47"/>
      <c r="AL1280" s="47"/>
      <c r="AM1280" s="47"/>
      <c r="AN1280" s="47"/>
      <c r="AO1280" s="47"/>
      <c r="AP1280" s="47"/>
      <c r="AQ1280" s="47"/>
      <c r="AR1280" s="47"/>
      <c r="AS1280" s="47"/>
      <c r="AT1280" s="47"/>
      <c r="AU1280" s="47"/>
      <c r="AV1280" s="47"/>
      <c r="AW1280" s="47"/>
      <c r="AX1280" s="47"/>
      <c r="AY1280" s="47"/>
      <c r="AZ1280" s="47"/>
      <c r="BA1280" s="47"/>
      <c r="BB1280" s="47"/>
      <c r="BC1280" s="47"/>
      <c r="BD1280" s="47"/>
      <c r="BE1280" s="47"/>
      <c r="BF1280" s="47"/>
    </row>
    <row r="1281" spans="3:58">
      <c r="C1281" s="47"/>
      <c r="D1281" s="47"/>
      <c r="E1281" s="47"/>
      <c r="F1281" s="47"/>
      <c r="G1281" s="47"/>
      <c r="H1281" s="47"/>
      <c r="I1281" s="47"/>
      <c r="J1281" s="47"/>
      <c r="K1281" s="47"/>
      <c r="L1281" s="47"/>
      <c r="M1281" s="47"/>
      <c r="N1281" s="47"/>
      <c r="O1281" s="47"/>
      <c r="P1281" s="47"/>
      <c r="Q1281" s="85"/>
      <c r="R1281" s="85"/>
      <c r="S1281" s="85"/>
      <c r="T1281" s="85"/>
      <c r="U1281" s="85"/>
      <c r="V1281" s="85"/>
      <c r="W1281" s="85"/>
      <c r="X1281" s="85"/>
      <c r="Y1281" s="85"/>
      <c r="Z1281" s="85"/>
      <c r="AA1281" s="85"/>
      <c r="AB1281" s="85"/>
      <c r="AC1281" s="85"/>
      <c r="AD1281" s="85"/>
      <c r="AE1281" s="47"/>
      <c r="AF1281" s="47"/>
      <c r="AG1281" s="47"/>
      <c r="AH1281" s="47"/>
      <c r="AI1281" s="47"/>
      <c r="AJ1281" s="47"/>
      <c r="AK1281" s="47"/>
      <c r="AL1281" s="47"/>
      <c r="AM1281" s="47"/>
      <c r="AN1281" s="47"/>
      <c r="AO1281" s="47"/>
      <c r="AP1281" s="47"/>
      <c r="AQ1281" s="47"/>
      <c r="AR1281" s="47"/>
      <c r="AS1281" s="47"/>
      <c r="AT1281" s="47"/>
      <c r="AU1281" s="47"/>
      <c r="AV1281" s="47"/>
      <c r="AW1281" s="47"/>
      <c r="AX1281" s="47"/>
      <c r="AY1281" s="47"/>
      <c r="AZ1281" s="47"/>
      <c r="BA1281" s="47"/>
      <c r="BB1281" s="47"/>
      <c r="BC1281" s="47"/>
      <c r="BD1281" s="47"/>
      <c r="BE1281" s="47"/>
      <c r="BF1281" s="47"/>
    </row>
    <row r="1282" spans="3:58">
      <c r="C1282" s="47"/>
      <c r="D1282" s="47"/>
      <c r="E1282" s="47"/>
      <c r="F1282" s="47"/>
      <c r="G1282" s="47"/>
      <c r="H1282" s="47"/>
      <c r="I1282" s="47"/>
      <c r="J1282" s="47"/>
      <c r="K1282" s="47"/>
      <c r="L1282" s="47"/>
      <c r="M1282" s="47"/>
      <c r="N1282" s="47"/>
      <c r="O1282" s="47"/>
      <c r="P1282" s="47"/>
      <c r="Q1282" s="85"/>
      <c r="R1282" s="85"/>
      <c r="S1282" s="85"/>
      <c r="T1282" s="85"/>
      <c r="U1282" s="85"/>
      <c r="V1282" s="85"/>
      <c r="W1282" s="85"/>
      <c r="X1282" s="85"/>
      <c r="Y1282" s="85"/>
      <c r="Z1282" s="85"/>
      <c r="AA1282" s="85"/>
      <c r="AB1282" s="85"/>
      <c r="AC1282" s="85"/>
      <c r="AD1282" s="85"/>
      <c r="AE1282" s="47"/>
      <c r="AF1282" s="47"/>
      <c r="AG1282" s="47"/>
      <c r="AH1282" s="47"/>
      <c r="AI1282" s="47"/>
      <c r="AJ1282" s="47"/>
      <c r="AK1282" s="47"/>
      <c r="AL1282" s="47"/>
      <c r="AM1282" s="47"/>
      <c r="AN1282" s="47"/>
      <c r="AO1282" s="47"/>
      <c r="AP1282" s="47"/>
      <c r="AQ1282" s="47"/>
      <c r="AR1282" s="47"/>
      <c r="AS1282" s="47"/>
      <c r="AT1282" s="47"/>
      <c r="AU1282" s="47"/>
      <c r="AV1282" s="47"/>
      <c r="AW1282" s="47"/>
      <c r="AX1282" s="47"/>
      <c r="AY1282" s="47"/>
      <c r="AZ1282" s="47"/>
      <c r="BA1282" s="47"/>
      <c r="BB1282" s="47"/>
      <c r="BC1282" s="47"/>
      <c r="BD1282" s="47"/>
      <c r="BE1282" s="47"/>
      <c r="BF1282" s="47"/>
    </row>
    <row r="1283" spans="3:58">
      <c r="C1283" s="47"/>
      <c r="D1283" s="47"/>
      <c r="E1283" s="47"/>
      <c r="F1283" s="47"/>
      <c r="G1283" s="47"/>
      <c r="H1283" s="47"/>
      <c r="I1283" s="47"/>
      <c r="J1283" s="47"/>
      <c r="K1283" s="47"/>
      <c r="L1283" s="47"/>
      <c r="M1283" s="47"/>
      <c r="N1283" s="47"/>
      <c r="O1283" s="47"/>
      <c r="P1283" s="47"/>
      <c r="Q1283" s="85"/>
      <c r="R1283" s="85"/>
      <c r="S1283" s="85"/>
      <c r="T1283" s="85"/>
      <c r="U1283" s="85"/>
      <c r="V1283" s="85"/>
      <c r="W1283" s="85"/>
      <c r="X1283" s="85"/>
      <c r="Y1283" s="85"/>
      <c r="Z1283" s="85"/>
      <c r="AA1283" s="85"/>
      <c r="AB1283" s="85"/>
      <c r="AC1283" s="85"/>
      <c r="AD1283" s="85"/>
      <c r="AE1283" s="47"/>
      <c r="AF1283" s="47"/>
      <c r="AG1283" s="47"/>
      <c r="AH1283" s="47"/>
      <c r="AI1283" s="47"/>
      <c r="AJ1283" s="47"/>
      <c r="AK1283" s="47"/>
      <c r="AL1283" s="47"/>
      <c r="AM1283" s="47"/>
      <c r="AN1283" s="47"/>
      <c r="AO1283" s="47"/>
      <c r="AP1283" s="47"/>
      <c r="AQ1283" s="47"/>
      <c r="AR1283" s="47"/>
      <c r="AS1283" s="47"/>
      <c r="AT1283" s="47"/>
      <c r="AU1283" s="47"/>
      <c r="AV1283" s="47"/>
      <c r="AW1283" s="47"/>
      <c r="AX1283" s="47"/>
      <c r="AY1283" s="47"/>
      <c r="AZ1283" s="47"/>
      <c r="BA1283" s="47"/>
      <c r="BB1283" s="47"/>
      <c r="BC1283" s="47"/>
      <c r="BD1283" s="47"/>
      <c r="BE1283" s="47"/>
      <c r="BF1283" s="47"/>
    </row>
    <row r="1284" spans="3:58">
      <c r="C1284" s="47"/>
      <c r="D1284" s="47"/>
      <c r="E1284" s="47"/>
      <c r="F1284" s="47"/>
      <c r="G1284" s="47"/>
      <c r="H1284" s="47"/>
      <c r="I1284" s="47"/>
      <c r="J1284" s="47"/>
      <c r="K1284" s="47"/>
      <c r="L1284" s="47"/>
      <c r="M1284" s="47"/>
      <c r="N1284" s="47"/>
      <c r="O1284" s="47"/>
      <c r="P1284" s="47"/>
      <c r="Q1284" s="85"/>
      <c r="R1284" s="85"/>
      <c r="S1284" s="85"/>
      <c r="T1284" s="85"/>
      <c r="U1284" s="85"/>
      <c r="V1284" s="85"/>
      <c r="W1284" s="85"/>
      <c r="X1284" s="85"/>
      <c r="Y1284" s="85"/>
      <c r="Z1284" s="85"/>
      <c r="AA1284" s="85"/>
      <c r="AB1284" s="85"/>
      <c r="AC1284" s="85"/>
      <c r="AD1284" s="85"/>
      <c r="AE1284" s="47"/>
      <c r="AF1284" s="47"/>
      <c r="AG1284" s="47"/>
      <c r="AH1284" s="47"/>
      <c r="AI1284" s="47"/>
      <c r="AJ1284" s="47"/>
      <c r="AK1284" s="47"/>
      <c r="AL1284" s="47"/>
      <c r="AM1284" s="47"/>
      <c r="AN1284" s="47"/>
      <c r="AO1284" s="47"/>
      <c r="AP1284" s="47"/>
      <c r="AQ1284" s="47"/>
      <c r="AR1284" s="47"/>
      <c r="AS1284" s="47"/>
      <c r="AT1284" s="47"/>
      <c r="AU1284" s="47"/>
      <c r="AV1284" s="47"/>
      <c r="AW1284" s="47"/>
      <c r="AX1284" s="47"/>
      <c r="AY1284" s="47"/>
      <c r="AZ1284" s="47"/>
      <c r="BA1284" s="47"/>
      <c r="BB1284" s="47"/>
      <c r="BC1284" s="47"/>
      <c r="BD1284" s="47"/>
      <c r="BE1284" s="47"/>
      <c r="BF1284" s="47"/>
    </row>
    <row r="1285" spans="3:58">
      <c r="C1285" s="47"/>
      <c r="D1285" s="47"/>
      <c r="E1285" s="47"/>
      <c r="F1285" s="47"/>
      <c r="G1285" s="47"/>
      <c r="H1285" s="47"/>
      <c r="I1285" s="47"/>
      <c r="J1285" s="47"/>
      <c r="K1285" s="47"/>
      <c r="L1285" s="47"/>
      <c r="M1285" s="47"/>
      <c r="N1285" s="47"/>
      <c r="O1285" s="47"/>
      <c r="P1285" s="47"/>
      <c r="Q1285" s="85"/>
      <c r="R1285" s="85"/>
      <c r="S1285" s="85"/>
      <c r="T1285" s="85"/>
      <c r="U1285" s="85"/>
      <c r="V1285" s="85"/>
      <c r="W1285" s="85"/>
      <c r="X1285" s="85"/>
      <c r="Y1285" s="85"/>
      <c r="Z1285" s="85"/>
      <c r="AA1285" s="85"/>
      <c r="AB1285" s="85"/>
      <c r="AC1285" s="85"/>
      <c r="AD1285" s="85"/>
      <c r="AE1285" s="47"/>
      <c r="AF1285" s="47"/>
      <c r="AG1285" s="47"/>
      <c r="AH1285" s="47"/>
      <c r="AI1285" s="47"/>
      <c r="AJ1285" s="47"/>
      <c r="AK1285" s="47"/>
      <c r="AL1285" s="47"/>
      <c r="AM1285" s="47"/>
      <c r="AN1285" s="47"/>
      <c r="AO1285" s="47"/>
      <c r="AP1285" s="47"/>
      <c r="AQ1285" s="47"/>
      <c r="AR1285" s="47"/>
      <c r="AS1285" s="47"/>
      <c r="AT1285" s="47"/>
      <c r="AU1285" s="47"/>
      <c r="AV1285" s="47"/>
      <c r="AW1285" s="47"/>
      <c r="AX1285" s="47"/>
      <c r="AY1285" s="47"/>
      <c r="AZ1285" s="47"/>
      <c r="BA1285" s="47"/>
      <c r="BB1285" s="47"/>
      <c r="BC1285" s="47"/>
      <c r="BD1285" s="47"/>
      <c r="BE1285" s="47"/>
      <c r="BF1285" s="47"/>
    </row>
    <row r="1286" spans="3:58">
      <c r="C1286" s="47"/>
      <c r="D1286" s="47"/>
      <c r="E1286" s="47"/>
      <c r="F1286" s="47"/>
      <c r="G1286" s="47"/>
      <c r="H1286" s="47"/>
      <c r="I1286" s="47"/>
      <c r="J1286" s="47"/>
      <c r="K1286" s="47"/>
      <c r="L1286" s="47"/>
      <c r="M1286" s="47"/>
      <c r="N1286" s="47"/>
      <c r="O1286" s="47"/>
      <c r="P1286" s="47"/>
      <c r="Q1286" s="85"/>
      <c r="R1286" s="85"/>
      <c r="S1286" s="85"/>
      <c r="T1286" s="85"/>
      <c r="U1286" s="85"/>
      <c r="V1286" s="85"/>
      <c r="W1286" s="85"/>
      <c r="X1286" s="85"/>
      <c r="Y1286" s="85"/>
      <c r="Z1286" s="85"/>
      <c r="AA1286" s="85"/>
      <c r="AB1286" s="85"/>
      <c r="AC1286" s="85"/>
      <c r="AD1286" s="85"/>
      <c r="AE1286" s="47"/>
      <c r="AF1286" s="47"/>
      <c r="AG1286" s="47"/>
      <c r="AH1286" s="47"/>
      <c r="AI1286" s="47"/>
      <c r="AJ1286" s="47"/>
      <c r="AK1286" s="47"/>
      <c r="AL1286" s="47"/>
      <c r="AM1286" s="47"/>
      <c r="AN1286" s="47"/>
      <c r="AO1286" s="47"/>
      <c r="AP1286" s="47"/>
      <c r="AQ1286" s="47"/>
      <c r="AR1286" s="47"/>
      <c r="AS1286" s="47"/>
      <c r="AT1286" s="47"/>
      <c r="AU1286" s="47"/>
      <c r="AV1286" s="47"/>
      <c r="AW1286" s="47"/>
      <c r="AX1286" s="47"/>
      <c r="AY1286" s="47"/>
      <c r="AZ1286" s="47"/>
      <c r="BA1286" s="47"/>
      <c r="BB1286" s="47"/>
      <c r="BC1286" s="47"/>
      <c r="BD1286" s="47"/>
      <c r="BE1286" s="47"/>
      <c r="BF1286" s="47"/>
    </row>
    <row r="1287" spans="3:58">
      <c r="C1287" s="47"/>
      <c r="D1287" s="47"/>
      <c r="E1287" s="47"/>
      <c r="F1287" s="47"/>
      <c r="G1287" s="47"/>
      <c r="H1287" s="47"/>
      <c r="I1287" s="47"/>
      <c r="J1287" s="47"/>
      <c r="K1287" s="47"/>
      <c r="L1287" s="47"/>
      <c r="M1287" s="47"/>
      <c r="N1287" s="47"/>
      <c r="O1287" s="47"/>
      <c r="P1287" s="47"/>
      <c r="Q1287" s="85"/>
      <c r="R1287" s="85"/>
      <c r="S1287" s="85"/>
      <c r="T1287" s="85"/>
      <c r="U1287" s="85"/>
      <c r="V1287" s="85"/>
      <c r="W1287" s="85"/>
      <c r="X1287" s="85"/>
      <c r="Y1287" s="85"/>
      <c r="Z1287" s="85"/>
      <c r="AA1287" s="85"/>
      <c r="AB1287" s="85"/>
      <c r="AC1287" s="85"/>
      <c r="AD1287" s="85"/>
      <c r="AE1287" s="47"/>
      <c r="AF1287" s="47"/>
      <c r="AG1287" s="47"/>
      <c r="AH1287" s="47"/>
      <c r="AI1287" s="47"/>
      <c r="AJ1287" s="47"/>
      <c r="AK1287" s="47"/>
      <c r="AL1287" s="47"/>
      <c r="AM1287" s="47"/>
      <c r="AN1287" s="47"/>
      <c r="AO1287" s="47"/>
      <c r="AP1287" s="47"/>
      <c r="AQ1287" s="47"/>
      <c r="AR1287" s="47"/>
      <c r="AS1287" s="47"/>
      <c r="AT1287" s="47"/>
      <c r="AU1287" s="47"/>
      <c r="AV1287" s="47"/>
      <c r="AW1287" s="47"/>
      <c r="AX1287" s="47"/>
      <c r="AY1287" s="47"/>
      <c r="AZ1287" s="47"/>
      <c r="BA1287" s="47"/>
      <c r="BB1287" s="47"/>
      <c r="BC1287" s="47"/>
      <c r="BD1287" s="47"/>
      <c r="BE1287" s="47"/>
      <c r="BF1287" s="47"/>
    </row>
    <row r="1288" spans="3:58">
      <c r="C1288" s="47"/>
      <c r="D1288" s="47"/>
      <c r="E1288" s="47"/>
      <c r="F1288" s="47"/>
      <c r="G1288" s="47"/>
      <c r="H1288" s="47"/>
      <c r="I1288" s="47"/>
      <c r="J1288" s="47"/>
      <c r="K1288" s="47"/>
      <c r="L1288" s="47"/>
      <c r="M1288" s="47"/>
      <c r="N1288" s="47"/>
      <c r="O1288" s="47"/>
      <c r="P1288" s="47"/>
      <c r="Q1288" s="85"/>
      <c r="R1288" s="85"/>
      <c r="S1288" s="85"/>
      <c r="T1288" s="85"/>
      <c r="U1288" s="85"/>
      <c r="V1288" s="85"/>
      <c r="W1288" s="85"/>
      <c r="X1288" s="85"/>
      <c r="Y1288" s="85"/>
      <c r="Z1288" s="85"/>
      <c r="AA1288" s="85"/>
      <c r="AB1288" s="85"/>
      <c r="AC1288" s="85"/>
      <c r="AD1288" s="85"/>
      <c r="AE1288" s="47"/>
      <c r="AF1288" s="47"/>
      <c r="AG1288" s="47"/>
      <c r="AH1288" s="47"/>
      <c r="AI1288" s="47"/>
      <c r="AJ1288" s="47"/>
      <c r="AK1288" s="47"/>
      <c r="AL1288" s="47"/>
      <c r="AM1288" s="47"/>
      <c r="AN1288" s="47"/>
      <c r="AO1288" s="47"/>
      <c r="AP1288" s="47"/>
      <c r="AQ1288" s="47"/>
      <c r="AR1288" s="47"/>
      <c r="AS1288" s="47"/>
      <c r="AT1288" s="47"/>
      <c r="AU1288" s="47"/>
      <c r="AV1288" s="47"/>
      <c r="AW1288" s="47"/>
      <c r="AX1288" s="47"/>
      <c r="AY1288" s="47"/>
      <c r="AZ1288" s="47"/>
      <c r="BA1288" s="47"/>
      <c r="BB1288" s="47"/>
      <c r="BC1288" s="47"/>
      <c r="BD1288" s="47"/>
      <c r="BE1288" s="47"/>
      <c r="BF1288" s="47"/>
    </row>
    <row r="1289" spans="3:58">
      <c r="C1289" s="47"/>
      <c r="D1289" s="47"/>
      <c r="E1289" s="47"/>
      <c r="F1289" s="47"/>
      <c r="G1289" s="47"/>
      <c r="H1289" s="47"/>
      <c r="I1289" s="47"/>
      <c r="J1289" s="47"/>
      <c r="K1289" s="47"/>
      <c r="L1289" s="47"/>
      <c r="M1289" s="47"/>
      <c r="N1289" s="47"/>
      <c r="O1289" s="47"/>
      <c r="P1289" s="47"/>
      <c r="Q1289" s="85"/>
      <c r="R1289" s="85"/>
      <c r="S1289" s="85"/>
      <c r="T1289" s="85"/>
      <c r="U1289" s="85"/>
      <c r="V1289" s="85"/>
      <c r="W1289" s="85"/>
      <c r="X1289" s="85"/>
      <c r="Y1289" s="85"/>
      <c r="Z1289" s="85"/>
      <c r="AA1289" s="85"/>
      <c r="AB1289" s="85"/>
      <c r="AC1289" s="85"/>
      <c r="AD1289" s="85"/>
      <c r="AE1289" s="47"/>
      <c r="AF1289" s="47"/>
      <c r="AG1289" s="47"/>
      <c r="AH1289" s="47"/>
      <c r="AI1289" s="47"/>
      <c r="AJ1289" s="47"/>
      <c r="AK1289" s="47"/>
      <c r="AL1289" s="47"/>
      <c r="AM1289" s="47"/>
      <c r="AN1289" s="47"/>
      <c r="AO1289" s="47"/>
      <c r="AP1289" s="47"/>
      <c r="AQ1289" s="47"/>
      <c r="AR1289" s="47"/>
      <c r="AS1289" s="47"/>
      <c r="AT1289" s="47"/>
      <c r="AU1289" s="47"/>
      <c r="AV1289" s="47"/>
      <c r="AW1289" s="47"/>
      <c r="AX1289" s="47"/>
      <c r="AY1289" s="47"/>
      <c r="AZ1289" s="47"/>
      <c r="BA1289" s="47"/>
      <c r="BB1289" s="47"/>
      <c r="BC1289" s="47"/>
      <c r="BD1289" s="47"/>
      <c r="BE1289" s="47"/>
      <c r="BF1289" s="47"/>
    </row>
    <row r="1290" spans="3:58">
      <c r="C1290" s="47"/>
      <c r="D1290" s="47"/>
      <c r="E1290" s="47"/>
      <c r="F1290" s="47"/>
      <c r="G1290" s="47"/>
      <c r="H1290" s="47"/>
      <c r="I1290" s="47"/>
      <c r="J1290" s="47"/>
      <c r="K1290" s="47"/>
      <c r="L1290" s="47"/>
      <c r="M1290" s="47"/>
      <c r="N1290" s="47"/>
      <c r="O1290" s="47"/>
      <c r="P1290" s="47"/>
      <c r="Q1290" s="85"/>
      <c r="R1290" s="85"/>
      <c r="S1290" s="85"/>
      <c r="T1290" s="85"/>
      <c r="U1290" s="85"/>
      <c r="V1290" s="85"/>
      <c r="W1290" s="85"/>
      <c r="X1290" s="85"/>
      <c r="Y1290" s="85"/>
      <c r="Z1290" s="85"/>
      <c r="AA1290" s="85"/>
      <c r="AB1290" s="85"/>
      <c r="AC1290" s="85"/>
      <c r="AD1290" s="85"/>
      <c r="AE1290" s="47"/>
      <c r="AF1290" s="47"/>
      <c r="AG1290" s="47"/>
      <c r="AH1290" s="47"/>
      <c r="AI1290" s="47"/>
      <c r="AJ1290" s="47"/>
      <c r="AK1290" s="47"/>
      <c r="AL1290" s="47"/>
      <c r="AM1290" s="47"/>
      <c r="AN1290" s="47"/>
      <c r="AO1290" s="47"/>
      <c r="AP1290" s="47"/>
      <c r="AQ1290" s="47"/>
      <c r="AR1290" s="47"/>
      <c r="AS1290" s="47"/>
      <c r="AT1290" s="47"/>
      <c r="AU1290" s="47"/>
      <c r="AV1290" s="47"/>
      <c r="AW1290" s="47"/>
      <c r="AX1290" s="47"/>
      <c r="AY1290" s="47"/>
      <c r="AZ1290" s="47"/>
      <c r="BA1290" s="47"/>
      <c r="BB1290" s="47"/>
      <c r="BC1290" s="47"/>
      <c r="BD1290" s="47"/>
      <c r="BE1290" s="47"/>
      <c r="BF1290" s="47"/>
    </row>
    <row r="1291" spans="3:58">
      <c r="C1291" s="47"/>
      <c r="D1291" s="47"/>
      <c r="E1291" s="47"/>
      <c r="F1291" s="47"/>
      <c r="G1291" s="47"/>
      <c r="H1291" s="47"/>
      <c r="I1291" s="47"/>
      <c r="J1291" s="47"/>
      <c r="K1291" s="47"/>
      <c r="L1291" s="47"/>
      <c r="M1291" s="47"/>
      <c r="N1291" s="47"/>
      <c r="O1291" s="47"/>
      <c r="P1291" s="47"/>
      <c r="Q1291" s="85"/>
      <c r="R1291" s="85"/>
      <c r="S1291" s="85"/>
      <c r="T1291" s="85"/>
      <c r="U1291" s="85"/>
      <c r="V1291" s="85"/>
      <c r="W1291" s="85"/>
      <c r="X1291" s="85"/>
      <c r="Y1291" s="85"/>
      <c r="Z1291" s="85"/>
      <c r="AA1291" s="85"/>
      <c r="AB1291" s="85"/>
      <c r="AC1291" s="85"/>
      <c r="AD1291" s="85"/>
      <c r="AE1291" s="47"/>
      <c r="AF1291" s="47"/>
      <c r="AG1291" s="47"/>
      <c r="AH1291" s="47"/>
      <c r="AI1291" s="47"/>
      <c r="AJ1291" s="47"/>
      <c r="AK1291" s="47"/>
      <c r="AL1291" s="47"/>
      <c r="AM1291" s="47"/>
      <c r="AN1291" s="47"/>
      <c r="AO1291" s="47"/>
      <c r="AP1291" s="47"/>
      <c r="AQ1291" s="47"/>
      <c r="AR1291" s="47"/>
      <c r="AS1291" s="47"/>
      <c r="AT1291" s="47"/>
      <c r="AU1291" s="47"/>
      <c r="AV1291" s="47"/>
      <c r="AW1291" s="47"/>
      <c r="AX1291" s="47"/>
      <c r="AY1291" s="47"/>
      <c r="AZ1291" s="47"/>
      <c r="BA1291" s="47"/>
      <c r="BB1291" s="47"/>
      <c r="BC1291" s="47"/>
      <c r="BD1291" s="47"/>
      <c r="BE1291" s="47"/>
      <c r="BF1291" s="47"/>
    </row>
    <row r="1292" spans="3:58">
      <c r="C1292" s="47"/>
      <c r="D1292" s="47"/>
      <c r="E1292" s="47"/>
      <c r="F1292" s="47"/>
      <c r="G1292" s="47"/>
      <c r="H1292" s="47"/>
      <c r="I1292" s="47"/>
      <c r="J1292" s="47"/>
      <c r="K1292" s="47"/>
      <c r="L1292" s="47"/>
      <c r="M1292" s="47"/>
      <c r="N1292" s="47"/>
      <c r="O1292" s="47"/>
      <c r="P1292" s="47"/>
      <c r="Q1292" s="85"/>
      <c r="R1292" s="85"/>
      <c r="S1292" s="85"/>
      <c r="T1292" s="85"/>
      <c r="U1292" s="85"/>
      <c r="V1292" s="85"/>
      <c r="W1292" s="85"/>
      <c r="X1292" s="85"/>
      <c r="Y1292" s="85"/>
      <c r="Z1292" s="85"/>
      <c r="AA1292" s="85"/>
      <c r="AB1292" s="85"/>
      <c r="AC1292" s="85"/>
      <c r="AD1292" s="85"/>
      <c r="AE1292" s="47"/>
      <c r="AF1292" s="47"/>
      <c r="AG1292" s="47"/>
      <c r="AH1292" s="47"/>
      <c r="AI1292" s="47"/>
      <c r="AJ1292" s="47"/>
      <c r="AK1292" s="47"/>
      <c r="AL1292" s="47"/>
      <c r="AM1292" s="47"/>
      <c r="AN1292" s="47"/>
      <c r="AO1292" s="47"/>
      <c r="AP1292" s="47"/>
      <c r="AQ1292" s="47"/>
      <c r="AR1292" s="47"/>
      <c r="AS1292" s="47"/>
      <c r="AT1292" s="47"/>
      <c r="AU1292" s="47"/>
      <c r="AV1292" s="47"/>
      <c r="AW1292" s="47"/>
      <c r="AX1292" s="47"/>
      <c r="AY1292" s="47"/>
      <c r="AZ1292" s="47"/>
      <c r="BA1292" s="47"/>
      <c r="BB1292" s="47"/>
      <c r="BC1292" s="47"/>
      <c r="BD1292" s="47"/>
      <c r="BE1292" s="47"/>
      <c r="BF1292" s="47"/>
    </row>
    <row r="1293" spans="3:58">
      <c r="C1293" s="47"/>
      <c r="D1293" s="47"/>
      <c r="E1293" s="47"/>
      <c r="F1293" s="47"/>
      <c r="G1293" s="47"/>
      <c r="H1293" s="47"/>
      <c r="I1293" s="47"/>
      <c r="J1293" s="47"/>
      <c r="K1293" s="47"/>
      <c r="L1293" s="47"/>
      <c r="M1293" s="47"/>
      <c r="N1293" s="47"/>
      <c r="O1293" s="47"/>
      <c r="P1293" s="47"/>
      <c r="Q1293" s="85"/>
      <c r="R1293" s="85"/>
      <c r="S1293" s="85"/>
      <c r="T1293" s="85"/>
      <c r="U1293" s="85"/>
      <c r="V1293" s="85"/>
      <c r="W1293" s="85"/>
      <c r="X1293" s="85"/>
      <c r="Y1293" s="85"/>
      <c r="Z1293" s="85"/>
      <c r="AA1293" s="85"/>
      <c r="AB1293" s="85"/>
      <c r="AC1293" s="85"/>
      <c r="AD1293" s="85"/>
      <c r="AE1293" s="47"/>
      <c r="AF1293" s="47"/>
      <c r="AG1293" s="47"/>
      <c r="AH1293" s="47"/>
      <c r="AI1293" s="47"/>
      <c r="AJ1293" s="47"/>
      <c r="AK1293" s="47"/>
      <c r="AL1293" s="47"/>
      <c r="AM1293" s="47"/>
      <c r="AN1293" s="47"/>
      <c r="AO1293" s="47"/>
      <c r="AP1293" s="47"/>
      <c r="AQ1293" s="47"/>
      <c r="AR1293" s="47"/>
      <c r="AS1293" s="47"/>
      <c r="AT1293" s="47"/>
      <c r="AU1293" s="47"/>
      <c r="AV1293" s="47"/>
      <c r="AW1293" s="47"/>
      <c r="AX1293" s="47"/>
      <c r="AY1293" s="47"/>
      <c r="AZ1293" s="47"/>
      <c r="BA1293" s="47"/>
      <c r="BB1293" s="47"/>
      <c r="BC1293" s="47"/>
      <c r="BD1293" s="47"/>
      <c r="BE1293" s="47"/>
      <c r="BF1293" s="47"/>
    </row>
    <row r="1294" spans="3:58">
      <c r="C1294" s="47"/>
      <c r="D1294" s="47"/>
      <c r="E1294" s="47"/>
      <c r="F1294" s="47"/>
      <c r="G1294" s="47"/>
      <c r="H1294" s="47"/>
      <c r="I1294" s="47"/>
      <c r="J1294" s="47"/>
      <c r="K1294" s="47"/>
      <c r="L1294" s="47"/>
      <c r="M1294" s="47"/>
      <c r="N1294" s="47"/>
      <c r="O1294" s="47"/>
      <c r="P1294" s="47"/>
      <c r="Q1294" s="85"/>
      <c r="R1294" s="85"/>
      <c r="S1294" s="85"/>
      <c r="T1294" s="85"/>
      <c r="U1294" s="85"/>
      <c r="V1294" s="85"/>
      <c r="W1294" s="85"/>
      <c r="X1294" s="85"/>
      <c r="Y1294" s="85"/>
      <c r="Z1294" s="85"/>
      <c r="AA1294" s="85"/>
      <c r="AB1294" s="85"/>
      <c r="AC1294" s="85"/>
      <c r="AD1294" s="85"/>
      <c r="AE1294" s="47"/>
      <c r="AF1294" s="47"/>
      <c r="AG1294" s="47"/>
      <c r="AH1294" s="47"/>
      <c r="AI1294" s="47"/>
      <c r="AJ1294" s="47"/>
      <c r="AK1294" s="47"/>
      <c r="AL1294" s="47"/>
      <c r="AM1294" s="47"/>
      <c r="AN1294" s="47"/>
      <c r="AO1294" s="47"/>
      <c r="AP1294" s="47"/>
      <c r="AQ1294" s="47"/>
      <c r="AR1294" s="47"/>
      <c r="AS1294" s="47"/>
      <c r="AT1294" s="47"/>
      <c r="AU1294" s="47"/>
      <c r="AV1294" s="47"/>
      <c r="AW1294" s="47"/>
      <c r="AX1294" s="47"/>
      <c r="AY1294" s="47"/>
      <c r="AZ1294" s="47"/>
      <c r="BA1294" s="47"/>
      <c r="BB1294" s="47"/>
      <c r="BC1294" s="47"/>
      <c r="BD1294" s="47"/>
      <c r="BE1294" s="47"/>
      <c r="BF1294" s="47"/>
    </row>
    <row r="1295" spans="3:58">
      <c r="C1295" s="47"/>
      <c r="D1295" s="47"/>
      <c r="E1295" s="47"/>
      <c r="F1295" s="47"/>
      <c r="G1295" s="47"/>
      <c r="H1295" s="47"/>
      <c r="I1295" s="47"/>
      <c r="J1295" s="47"/>
      <c r="K1295" s="47"/>
      <c r="L1295" s="47"/>
      <c r="M1295" s="47"/>
      <c r="N1295" s="47"/>
      <c r="O1295" s="47"/>
      <c r="P1295" s="47"/>
      <c r="Q1295" s="85"/>
      <c r="R1295" s="85"/>
      <c r="S1295" s="85"/>
      <c r="T1295" s="85"/>
      <c r="U1295" s="85"/>
      <c r="V1295" s="85"/>
      <c r="W1295" s="85"/>
      <c r="X1295" s="85"/>
      <c r="Y1295" s="85"/>
      <c r="Z1295" s="85"/>
      <c r="AA1295" s="85"/>
      <c r="AB1295" s="85"/>
      <c r="AC1295" s="85"/>
      <c r="AD1295" s="85"/>
      <c r="AE1295" s="47"/>
      <c r="AF1295" s="47"/>
      <c r="AG1295" s="47"/>
      <c r="AH1295" s="47"/>
      <c r="AI1295" s="47"/>
      <c r="AJ1295" s="47"/>
      <c r="AK1295" s="47"/>
      <c r="AL1295" s="47"/>
      <c r="AM1295" s="47"/>
      <c r="AN1295" s="47"/>
      <c r="AO1295" s="47"/>
      <c r="AP1295" s="47"/>
      <c r="AQ1295" s="47"/>
      <c r="AR1295" s="47"/>
      <c r="AS1295" s="47"/>
      <c r="AT1295" s="47"/>
      <c r="AU1295" s="47"/>
      <c r="AV1295" s="47"/>
      <c r="AW1295" s="47"/>
      <c r="AX1295" s="47"/>
      <c r="AY1295" s="47"/>
      <c r="AZ1295" s="47"/>
      <c r="BA1295" s="47"/>
      <c r="BB1295" s="47"/>
      <c r="BC1295" s="47"/>
      <c r="BD1295" s="47"/>
      <c r="BE1295" s="47"/>
      <c r="BF1295" s="47"/>
    </row>
    <row r="1296" spans="3:58">
      <c r="C1296" s="47"/>
      <c r="D1296" s="47"/>
      <c r="E1296" s="47"/>
      <c r="F1296" s="47"/>
      <c r="G1296" s="47"/>
      <c r="H1296" s="47"/>
      <c r="I1296" s="47"/>
      <c r="J1296" s="47"/>
      <c r="K1296" s="47"/>
      <c r="L1296" s="47"/>
      <c r="M1296" s="47"/>
      <c r="N1296" s="47"/>
      <c r="O1296" s="47"/>
      <c r="P1296" s="47"/>
      <c r="Q1296" s="85"/>
      <c r="R1296" s="85"/>
      <c r="S1296" s="85"/>
      <c r="T1296" s="85"/>
      <c r="U1296" s="85"/>
      <c r="V1296" s="85"/>
      <c r="W1296" s="85"/>
      <c r="X1296" s="85"/>
      <c r="Y1296" s="85"/>
      <c r="Z1296" s="85"/>
      <c r="AA1296" s="85"/>
      <c r="AB1296" s="85"/>
      <c r="AC1296" s="85"/>
      <c r="AD1296" s="85"/>
      <c r="AE1296" s="47"/>
      <c r="AF1296" s="47"/>
      <c r="AG1296" s="47"/>
      <c r="AH1296" s="47"/>
      <c r="AI1296" s="47"/>
      <c r="AJ1296" s="47"/>
      <c r="AK1296" s="47"/>
      <c r="AL1296" s="47"/>
      <c r="AM1296" s="47"/>
      <c r="AN1296" s="47"/>
      <c r="AO1296" s="47"/>
      <c r="AP1296" s="47"/>
      <c r="AQ1296" s="47"/>
      <c r="AR1296" s="47"/>
      <c r="AS1296" s="47"/>
      <c r="AT1296" s="47"/>
      <c r="AU1296" s="47"/>
      <c r="AV1296" s="47"/>
      <c r="AW1296" s="47"/>
      <c r="AX1296" s="47"/>
      <c r="AY1296" s="47"/>
      <c r="AZ1296" s="47"/>
      <c r="BA1296" s="47"/>
      <c r="BB1296" s="47"/>
      <c r="BC1296" s="47"/>
      <c r="BD1296" s="47"/>
      <c r="BE1296" s="47"/>
      <c r="BF1296" s="47"/>
    </row>
    <row r="1297" spans="3:58">
      <c r="C1297" s="47"/>
      <c r="D1297" s="47"/>
      <c r="E1297" s="47"/>
      <c r="F1297" s="47"/>
      <c r="G1297" s="47"/>
      <c r="H1297" s="47"/>
      <c r="I1297" s="47"/>
      <c r="J1297" s="47"/>
      <c r="K1297" s="47"/>
      <c r="L1297" s="47"/>
      <c r="M1297" s="47"/>
      <c r="N1297" s="47"/>
      <c r="O1297" s="47"/>
      <c r="P1297" s="47"/>
      <c r="Q1297" s="85"/>
      <c r="R1297" s="85"/>
      <c r="S1297" s="85"/>
      <c r="T1297" s="85"/>
      <c r="U1297" s="85"/>
      <c r="V1297" s="85"/>
      <c r="W1297" s="85"/>
      <c r="X1297" s="85"/>
      <c r="Y1297" s="85"/>
      <c r="Z1297" s="85"/>
      <c r="AA1297" s="85"/>
      <c r="AB1297" s="85"/>
      <c r="AC1297" s="85"/>
      <c r="AD1297" s="85"/>
      <c r="AE1297" s="47"/>
      <c r="AF1297" s="47"/>
      <c r="AG1297" s="47"/>
      <c r="AH1297" s="47"/>
      <c r="AI1297" s="47"/>
      <c r="AJ1297" s="47"/>
      <c r="AK1297" s="47"/>
      <c r="AL1297" s="47"/>
      <c r="AM1297" s="47"/>
      <c r="AN1297" s="47"/>
      <c r="AO1297" s="47"/>
      <c r="AP1297" s="47"/>
      <c r="AQ1297" s="47"/>
      <c r="AR1297" s="47"/>
      <c r="AS1297" s="47"/>
      <c r="AT1297" s="47"/>
      <c r="AU1297" s="47"/>
      <c r="AV1297" s="47"/>
      <c r="AW1297" s="47"/>
      <c r="AX1297" s="47"/>
      <c r="AY1297" s="47"/>
      <c r="AZ1297" s="47"/>
      <c r="BA1297" s="47"/>
      <c r="BB1297" s="47"/>
      <c r="BC1297" s="47"/>
      <c r="BD1297" s="47"/>
      <c r="BE1297" s="47"/>
      <c r="BF1297" s="47"/>
    </row>
    <row r="1298" spans="3:58">
      <c r="C1298" s="47"/>
      <c r="D1298" s="47"/>
      <c r="E1298" s="47"/>
      <c r="F1298" s="47"/>
      <c r="G1298" s="47"/>
      <c r="H1298" s="47"/>
      <c r="I1298" s="47"/>
      <c r="J1298" s="47"/>
      <c r="K1298" s="47"/>
      <c r="L1298" s="47"/>
      <c r="M1298" s="47"/>
      <c r="N1298" s="47"/>
      <c r="O1298" s="47"/>
      <c r="P1298" s="47"/>
      <c r="Q1298" s="85"/>
      <c r="R1298" s="85"/>
      <c r="S1298" s="85"/>
      <c r="T1298" s="85"/>
      <c r="U1298" s="85"/>
      <c r="V1298" s="85"/>
      <c r="W1298" s="85"/>
      <c r="X1298" s="85"/>
      <c r="Y1298" s="85"/>
      <c r="Z1298" s="85"/>
      <c r="AA1298" s="85"/>
      <c r="AB1298" s="85"/>
      <c r="AC1298" s="85"/>
      <c r="AD1298" s="85"/>
      <c r="AE1298" s="47"/>
      <c r="AF1298" s="47"/>
      <c r="AG1298" s="47"/>
      <c r="AH1298" s="47"/>
      <c r="AI1298" s="47"/>
      <c r="AJ1298" s="47"/>
      <c r="AK1298" s="47"/>
      <c r="AL1298" s="47"/>
      <c r="AM1298" s="47"/>
      <c r="AN1298" s="47"/>
      <c r="AO1298" s="47"/>
      <c r="AP1298" s="47"/>
      <c r="AQ1298" s="47"/>
      <c r="AR1298" s="47"/>
      <c r="AS1298" s="47"/>
      <c r="AT1298" s="47"/>
      <c r="AU1298" s="47"/>
      <c r="AV1298" s="47"/>
      <c r="AW1298" s="47"/>
      <c r="AX1298" s="47"/>
      <c r="AY1298" s="47"/>
      <c r="AZ1298" s="47"/>
      <c r="BA1298" s="47"/>
      <c r="BB1298" s="47"/>
      <c r="BC1298" s="47"/>
      <c r="BD1298" s="47"/>
      <c r="BE1298" s="47"/>
      <c r="BF1298" s="47"/>
    </row>
    <row r="1299" spans="3:58">
      <c r="C1299" s="47"/>
      <c r="D1299" s="47"/>
      <c r="E1299" s="47"/>
      <c r="F1299" s="47"/>
      <c r="G1299" s="47"/>
      <c r="H1299" s="47"/>
      <c r="I1299" s="47"/>
      <c r="J1299" s="47"/>
      <c r="K1299" s="47"/>
      <c r="L1299" s="47"/>
      <c r="M1299" s="47"/>
      <c r="N1299" s="47"/>
      <c r="O1299" s="47"/>
      <c r="P1299" s="47"/>
      <c r="Q1299" s="85"/>
      <c r="R1299" s="85"/>
      <c r="S1299" s="85"/>
      <c r="T1299" s="85"/>
      <c r="U1299" s="85"/>
      <c r="V1299" s="85"/>
      <c r="W1299" s="85"/>
      <c r="X1299" s="85"/>
      <c r="Y1299" s="85"/>
      <c r="Z1299" s="85"/>
      <c r="AA1299" s="85"/>
      <c r="AB1299" s="85"/>
      <c r="AC1299" s="85"/>
      <c r="AD1299" s="85"/>
      <c r="AE1299" s="47"/>
      <c r="AF1299" s="47"/>
      <c r="AG1299" s="47"/>
      <c r="AH1299" s="47"/>
      <c r="AI1299" s="47"/>
      <c r="AJ1299" s="47"/>
      <c r="AK1299" s="47"/>
      <c r="AL1299" s="47"/>
      <c r="AM1299" s="47"/>
      <c r="AN1299" s="47"/>
      <c r="AO1299" s="47"/>
      <c r="AP1299" s="47"/>
      <c r="AQ1299" s="47"/>
      <c r="AR1299" s="47"/>
      <c r="AS1299" s="47"/>
      <c r="AT1299" s="47"/>
      <c r="AU1299" s="47"/>
      <c r="AV1299" s="47"/>
      <c r="AW1299" s="47"/>
      <c r="AX1299" s="47"/>
      <c r="AY1299" s="47"/>
      <c r="AZ1299" s="47"/>
      <c r="BA1299" s="47"/>
      <c r="BB1299" s="47"/>
      <c r="BC1299" s="47"/>
      <c r="BD1299" s="47"/>
      <c r="BE1299" s="47"/>
      <c r="BF1299" s="47"/>
    </row>
    <row r="1300" spans="3:58">
      <c r="C1300" s="47"/>
      <c r="D1300" s="47"/>
      <c r="E1300" s="47"/>
      <c r="F1300" s="47"/>
      <c r="G1300" s="47"/>
      <c r="H1300" s="47"/>
      <c r="I1300" s="47"/>
      <c r="J1300" s="47"/>
      <c r="K1300" s="47"/>
      <c r="L1300" s="47"/>
      <c r="M1300" s="47"/>
      <c r="N1300" s="47"/>
      <c r="O1300" s="47"/>
      <c r="P1300" s="47"/>
      <c r="Q1300" s="85"/>
      <c r="R1300" s="85"/>
      <c r="S1300" s="85"/>
      <c r="T1300" s="85"/>
      <c r="U1300" s="85"/>
      <c r="V1300" s="85"/>
      <c r="W1300" s="85"/>
      <c r="X1300" s="85"/>
      <c r="Y1300" s="85"/>
      <c r="Z1300" s="85"/>
      <c r="AA1300" s="85"/>
      <c r="AB1300" s="85"/>
      <c r="AC1300" s="85"/>
      <c r="AD1300" s="85"/>
      <c r="AE1300" s="47"/>
      <c r="AF1300" s="47"/>
      <c r="AG1300" s="47"/>
      <c r="AH1300" s="47"/>
      <c r="AI1300" s="47"/>
      <c r="AJ1300" s="47"/>
      <c r="AK1300" s="47"/>
      <c r="AL1300" s="47"/>
      <c r="AM1300" s="47"/>
      <c r="AN1300" s="47"/>
      <c r="AO1300" s="47"/>
      <c r="AP1300" s="47"/>
      <c r="AQ1300" s="47"/>
      <c r="AR1300" s="47"/>
      <c r="AS1300" s="47"/>
      <c r="AT1300" s="47"/>
      <c r="AU1300" s="47"/>
      <c r="AV1300" s="47"/>
      <c r="AW1300" s="47"/>
      <c r="AX1300" s="47"/>
      <c r="AY1300" s="47"/>
      <c r="AZ1300" s="47"/>
      <c r="BA1300" s="47"/>
      <c r="BB1300" s="47"/>
      <c r="BC1300" s="47"/>
      <c r="BD1300" s="47"/>
      <c r="BE1300" s="47"/>
      <c r="BF1300" s="47"/>
    </row>
    <row r="1301" spans="3:58">
      <c r="C1301" s="47"/>
      <c r="D1301" s="47"/>
      <c r="E1301" s="47"/>
      <c r="F1301" s="47"/>
      <c r="G1301" s="47"/>
      <c r="H1301" s="47"/>
      <c r="I1301" s="47"/>
      <c r="J1301" s="47"/>
      <c r="K1301" s="47"/>
      <c r="L1301" s="47"/>
      <c r="M1301" s="47"/>
      <c r="N1301" s="47"/>
      <c r="O1301" s="47"/>
      <c r="P1301" s="47"/>
      <c r="Q1301" s="85"/>
      <c r="R1301" s="85"/>
      <c r="S1301" s="85"/>
      <c r="T1301" s="85"/>
      <c r="U1301" s="85"/>
      <c r="V1301" s="85"/>
      <c r="W1301" s="85"/>
      <c r="X1301" s="85"/>
      <c r="Y1301" s="85"/>
      <c r="Z1301" s="85"/>
      <c r="AA1301" s="85"/>
      <c r="AB1301" s="85"/>
      <c r="AC1301" s="85"/>
      <c r="AD1301" s="85"/>
      <c r="AE1301" s="47"/>
      <c r="AF1301" s="47"/>
      <c r="AG1301" s="47"/>
      <c r="AH1301" s="47"/>
      <c r="AI1301" s="47"/>
      <c r="AJ1301" s="47"/>
      <c r="AK1301" s="47"/>
      <c r="AL1301" s="47"/>
      <c r="AM1301" s="47"/>
      <c r="AN1301" s="47"/>
      <c r="AO1301" s="47"/>
      <c r="AP1301" s="47"/>
      <c r="AQ1301" s="47"/>
      <c r="AR1301" s="47"/>
      <c r="AS1301" s="47"/>
      <c r="AT1301" s="47"/>
      <c r="AU1301" s="47"/>
      <c r="AV1301" s="47"/>
      <c r="AW1301" s="47"/>
      <c r="AX1301" s="47"/>
      <c r="AY1301" s="47"/>
      <c r="AZ1301" s="47"/>
      <c r="BA1301" s="47"/>
      <c r="BB1301" s="47"/>
      <c r="BC1301" s="47"/>
      <c r="BD1301" s="47"/>
      <c r="BE1301" s="47"/>
      <c r="BF1301" s="47"/>
    </row>
    <row r="1302" spans="3:58">
      <c r="C1302" s="47"/>
      <c r="D1302" s="47"/>
      <c r="E1302" s="47"/>
      <c r="F1302" s="47"/>
      <c r="G1302" s="47"/>
      <c r="H1302" s="47"/>
      <c r="I1302" s="47"/>
      <c r="J1302" s="47"/>
      <c r="K1302" s="47"/>
      <c r="L1302" s="47"/>
      <c r="M1302" s="47"/>
      <c r="N1302" s="47"/>
      <c r="O1302" s="47"/>
      <c r="P1302" s="47"/>
      <c r="Q1302" s="85"/>
      <c r="R1302" s="85"/>
      <c r="S1302" s="85"/>
      <c r="T1302" s="85"/>
      <c r="U1302" s="85"/>
      <c r="V1302" s="85"/>
      <c r="W1302" s="85"/>
      <c r="X1302" s="85"/>
      <c r="Y1302" s="85"/>
      <c r="Z1302" s="85"/>
      <c r="AA1302" s="85"/>
      <c r="AB1302" s="85"/>
      <c r="AC1302" s="85"/>
      <c r="AD1302" s="85"/>
      <c r="AE1302" s="47"/>
      <c r="AF1302" s="47"/>
      <c r="AG1302" s="47"/>
      <c r="AH1302" s="47"/>
      <c r="AI1302" s="47"/>
      <c r="AJ1302" s="47"/>
      <c r="AK1302" s="47"/>
      <c r="AL1302" s="47"/>
      <c r="AM1302" s="47"/>
      <c r="AN1302" s="47"/>
      <c r="AO1302" s="47"/>
      <c r="AP1302" s="47"/>
      <c r="AQ1302" s="47"/>
      <c r="AR1302" s="47"/>
      <c r="AS1302" s="47"/>
      <c r="AT1302" s="47"/>
      <c r="AU1302" s="47"/>
      <c r="AV1302" s="47"/>
      <c r="AW1302" s="47"/>
      <c r="AX1302" s="47"/>
      <c r="AY1302" s="47"/>
      <c r="AZ1302" s="47"/>
      <c r="BA1302" s="47"/>
      <c r="BB1302" s="47"/>
      <c r="BC1302" s="47"/>
      <c r="BD1302" s="47"/>
      <c r="BE1302" s="47"/>
      <c r="BF1302" s="47"/>
    </row>
    <row r="1303" spans="3:58">
      <c r="C1303" s="47"/>
      <c r="D1303" s="47"/>
      <c r="E1303" s="47"/>
      <c r="F1303" s="47"/>
      <c r="G1303" s="47"/>
      <c r="H1303" s="47"/>
      <c r="I1303" s="47"/>
      <c r="J1303" s="47"/>
      <c r="K1303" s="47"/>
      <c r="L1303" s="47"/>
      <c r="M1303" s="47"/>
      <c r="N1303" s="47"/>
      <c r="O1303" s="47"/>
      <c r="P1303" s="47"/>
      <c r="Q1303" s="85"/>
      <c r="R1303" s="85"/>
      <c r="S1303" s="85"/>
      <c r="T1303" s="85"/>
      <c r="U1303" s="85"/>
      <c r="V1303" s="85"/>
      <c r="W1303" s="85"/>
      <c r="X1303" s="85"/>
      <c r="Y1303" s="85"/>
      <c r="Z1303" s="85"/>
      <c r="AA1303" s="85"/>
      <c r="AB1303" s="85"/>
      <c r="AC1303" s="85"/>
      <c r="AD1303" s="85"/>
      <c r="AE1303" s="47"/>
      <c r="AF1303" s="47"/>
      <c r="AG1303" s="47"/>
      <c r="AH1303" s="47"/>
      <c r="AI1303" s="47"/>
      <c r="AJ1303" s="47"/>
      <c r="AK1303" s="47"/>
      <c r="AL1303" s="47"/>
      <c r="AM1303" s="47"/>
      <c r="AN1303" s="47"/>
      <c r="AO1303" s="47"/>
      <c r="AP1303" s="47"/>
      <c r="AQ1303" s="47"/>
      <c r="AR1303" s="47"/>
      <c r="AS1303" s="47"/>
      <c r="AT1303" s="47"/>
      <c r="AU1303" s="47"/>
      <c r="AV1303" s="47"/>
      <c r="AW1303" s="47"/>
      <c r="AX1303" s="47"/>
      <c r="AY1303" s="47"/>
      <c r="AZ1303" s="47"/>
      <c r="BA1303" s="47"/>
      <c r="BB1303" s="47"/>
      <c r="BC1303" s="47"/>
      <c r="BD1303" s="47"/>
      <c r="BE1303" s="47"/>
      <c r="BF1303" s="47"/>
    </row>
    <row r="1304" spans="3:58">
      <c r="C1304" s="47"/>
      <c r="D1304" s="47"/>
      <c r="E1304" s="47"/>
      <c r="F1304" s="47"/>
      <c r="G1304" s="47"/>
      <c r="H1304" s="47"/>
      <c r="I1304" s="47"/>
      <c r="J1304" s="47"/>
      <c r="K1304" s="47"/>
      <c r="L1304" s="47"/>
      <c r="M1304" s="47"/>
      <c r="N1304" s="47"/>
      <c r="O1304" s="47"/>
      <c r="P1304" s="47"/>
      <c r="Q1304" s="85"/>
      <c r="R1304" s="85"/>
      <c r="S1304" s="85"/>
      <c r="T1304" s="85"/>
      <c r="U1304" s="85"/>
      <c r="V1304" s="85"/>
      <c r="W1304" s="85"/>
      <c r="X1304" s="85"/>
      <c r="Y1304" s="85"/>
      <c r="Z1304" s="85"/>
      <c r="AA1304" s="85"/>
      <c r="AB1304" s="85"/>
      <c r="AC1304" s="85"/>
      <c r="AD1304" s="85"/>
      <c r="AE1304" s="47"/>
      <c r="AF1304" s="47"/>
      <c r="AG1304" s="47"/>
      <c r="AH1304" s="47"/>
      <c r="AI1304" s="47"/>
      <c r="AJ1304" s="47"/>
      <c r="AK1304" s="47"/>
      <c r="AL1304" s="47"/>
      <c r="AM1304" s="47"/>
      <c r="AN1304" s="47"/>
      <c r="AO1304" s="47"/>
      <c r="AP1304" s="47"/>
      <c r="AQ1304" s="47"/>
      <c r="AR1304" s="47"/>
      <c r="AS1304" s="47"/>
      <c r="AT1304" s="47"/>
      <c r="AU1304" s="47"/>
      <c r="AV1304" s="47"/>
      <c r="AW1304" s="47"/>
      <c r="AX1304" s="47"/>
      <c r="AY1304" s="47"/>
      <c r="AZ1304" s="47"/>
      <c r="BA1304" s="47"/>
      <c r="BB1304" s="47"/>
      <c r="BC1304" s="47"/>
      <c r="BD1304" s="47"/>
      <c r="BE1304" s="47"/>
      <c r="BF1304" s="47"/>
    </row>
    <row r="1305" spans="3:58">
      <c r="C1305" s="47"/>
      <c r="D1305" s="47"/>
      <c r="E1305" s="47"/>
      <c r="F1305" s="47"/>
      <c r="G1305" s="47"/>
      <c r="H1305" s="47"/>
      <c r="I1305" s="47"/>
      <c r="J1305" s="47"/>
      <c r="K1305" s="47"/>
      <c r="L1305" s="47"/>
      <c r="M1305" s="47"/>
      <c r="N1305" s="47"/>
      <c r="O1305" s="47"/>
      <c r="P1305" s="47"/>
      <c r="Q1305" s="85"/>
      <c r="R1305" s="85"/>
      <c r="S1305" s="85"/>
      <c r="T1305" s="85"/>
      <c r="U1305" s="85"/>
      <c r="V1305" s="85"/>
      <c r="W1305" s="85"/>
      <c r="X1305" s="85"/>
      <c r="Y1305" s="85"/>
      <c r="Z1305" s="85"/>
      <c r="AA1305" s="85"/>
      <c r="AB1305" s="85"/>
      <c r="AC1305" s="85"/>
      <c r="AD1305" s="85"/>
      <c r="AE1305" s="47"/>
      <c r="AF1305" s="47"/>
      <c r="AG1305" s="47"/>
      <c r="AH1305" s="47"/>
      <c r="AI1305" s="47"/>
      <c r="AJ1305" s="47"/>
      <c r="AK1305" s="47"/>
      <c r="AL1305" s="47"/>
      <c r="AM1305" s="47"/>
      <c r="AN1305" s="47"/>
      <c r="AO1305" s="47"/>
      <c r="AP1305" s="47"/>
      <c r="AQ1305" s="47"/>
      <c r="AR1305" s="47"/>
      <c r="AS1305" s="47"/>
      <c r="AT1305" s="47"/>
      <c r="AU1305" s="47"/>
      <c r="AV1305" s="47"/>
      <c r="AW1305" s="47"/>
      <c r="AX1305" s="47"/>
      <c r="AY1305" s="47"/>
      <c r="AZ1305" s="47"/>
      <c r="BA1305" s="47"/>
      <c r="BB1305" s="47"/>
      <c r="BC1305" s="47"/>
      <c r="BD1305" s="47"/>
      <c r="BE1305" s="47"/>
      <c r="BF1305" s="47"/>
    </row>
    <row r="1306" spans="3:58">
      <c r="C1306" s="47"/>
      <c r="D1306" s="47"/>
      <c r="E1306" s="47"/>
      <c r="F1306" s="47"/>
      <c r="G1306" s="47"/>
      <c r="H1306" s="47"/>
      <c r="I1306" s="47"/>
      <c r="J1306" s="47"/>
      <c r="K1306" s="47"/>
      <c r="L1306" s="47"/>
      <c r="M1306" s="47"/>
      <c r="N1306" s="47"/>
      <c r="O1306" s="47"/>
      <c r="P1306" s="47"/>
      <c r="Q1306" s="85"/>
      <c r="R1306" s="85"/>
      <c r="S1306" s="85"/>
      <c r="T1306" s="85"/>
      <c r="U1306" s="85"/>
      <c r="V1306" s="85"/>
      <c r="W1306" s="85"/>
      <c r="X1306" s="85"/>
      <c r="Y1306" s="85"/>
      <c r="Z1306" s="85"/>
      <c r="AA1306" s="85"/>
      <c r="AB1306" s="85"/>
      <c r="AC1306" s="85"/>
      <c r="AD1306" s="85"/>
      <c r="AE1306" s="47"/>
      <c r="AF1306" s="47"/>
      <c r="AG1306" s="47"/>
      <c r="AH1306" s="47"/>
      <c r="AI1306" s="47"/>
      <c r="AJ1306" s="47"/>
      <c r="AK1306" s="47"/>
      <c r="AL1306" s="47"/>
      <c r="AM1306" s="47"/>
      <c r="AN1306" s="47"/>
      <c r="AO1306" s="47"/>
      <c r="AP1306" s="47"/>
      <c r="AQ1306" s="47"/>
      <c r="AR1306" s="47"/>
      <c r="AS1306" s="47"/>
      <c r="AT1306" s="47"/>
      <c r="AU1306" s="47"/>
      <c r="AV1306" s="47"/>
      <c r="AW1306" s="47"/>
      <c r="AX1306" s="47"/>
      <c r="AY1306" s="47"/>
      <c r="AZ1306" s="47"/>
      <c r="BA1306" s="47"/>
      <c r="BB1306" s="47"/>
      <c r="BC1306" s="47"/>
      <c r="BD1306" s="47"/>
      <c r="BE1306" s="47"/>
      <c r="BF1306" s="47"/>
    </row>
    <row r="1307" spans="3:58">
      <c r="C1307" s="47"/>
      <c r="D1307" s="47"/>
      <c r="E1307" s="47"/>
      <c r="F1307" s="47"/>
      <c r="G1307" s="47"/>
      <c r="H1307" s="47"/>
      <c r="I1307" s="47"/>
      <c r="J1307" s="47"/>
      <c r="K1307" s="47"/>
      <c r="L1307" s="47"/>
      <c r="M1307" s="47"/>
      <c r="N1307" s="47"/>
      <c r="O1307" s="47"/>
      <c r="P1307" s="47"/>
      <c r="Q1307" s="85"/>
      <c r="R1307" s="85"/>
      <c r="S1307" s="85"/>
      <c r="T1307" s="85"/>
      <c r="U1307" s="85"/>
      <c r="V1307" s="85"/>
      <c r="W1307" s="85"/>
      <c r="X1307" s="85"/>
      <c r="Y1307" s="85"/>
      <c r="Z1307" s="85"/>
      <c r="AA1307" s="85"/>
      <c r="AB1307" s="85"/>
      <c r="AC1307" s="85"/>
      <c r="AD1307" s="85"/>
      <c r="AE1307" s="47"/>
      <c r="AF1307" s="47"/>
      <c r="AG1307" s="47"/>
      <c r="AH1307" s="47"/>
      <c r="AI1307" s="47"/>
      <c r="AJ1307" s="47"/>
      <c r="AK1307" s="47"/>
      <c r="AL1307" s="47"/>
      <c r="AM1307" s="47"/>
      <c r="AN1307" s="47"/>
      <c r="AO1307" s="47"/>
      <c r="AP1307" s="47"/>
      <c r="AQ1307" s="47"/>
      <c r="AR1307" s="47"/>
      <c r="AS1307" s="47"/>
      <c r="AT1307" s="47"/>
      <c r="AU1307" s="47"/>
      <c r="AV1307" s="47"/>
      <c r="AW1307" s="47"/>
      <c r="AX1307" s="47"/>
      <c r="AY1307" s="47"/>
      <c r="AZ1307" s="47"/>
      <c r="BA1307" s="47"/>
      <c r="BB1307" s="47"/>
      <c r="BC1307" s="47"/>
      <c r="BD1307" s="47"/>
      <c r="BE1307" s="47"/>
      <c r="BF1307" s="47"/>
    </row>
    <row r="1308" spans="3:58">
      <c r="C1308" s="47"/>
      <c r="D1308" s="47"/>
      <c r="E1308" s="47"/>
      <c r="F1308" s="47"/>
      <c r="G1308" s="47"/>
      <c r="H1308" s="47"/>
      <c r="I1308" s="47"/>
      <c r="J1308" s="47"/>
      <c r="K1308" s="47"/>
      <c r="L1308" s="47"/>
      <c r="M1308" s="47"/>
      <c r="N1308" s="47"/>
      <c r="O1308" s="47"/>
      <c r="P1308" s="47"/>
      <c r="Q1308" s="85"/>
      <c r="R1308" s="85"/>
      <c r="S1308" s="85"/>
      <c r="T1308" s="85"/>
      <c r="U1308" s="85"/>
      <c r="V1308" s="85"/>
      <c r="W1308" s="85"/>
      <c r="X1308" s="85"/>
      <c r="Y1308" s="85"/>
      <c r="Z1308" s="85"/>
      <c r="AA1308" s="85"/>
      <c r="AB1308" s="85"/>
      <c r="AC1308" s="85"/>
      <c r="AD1308" s="85"/>
      <c r="AE1308" s="47"/>
      <c r="AF1308" s="47"/>
      <c r="AG1308" s="47"/>
      <c r="AH1308" s="47"/>
      <c r="AI1308" s="47"/>
      <c r="AJ1308" s="47"/>
      <c r="AK1308" s="47"/>
      <c r="AL1308" s="47"/>
      <c r="AM1308" s="47"/>
      <c r="AN1308" s="47"/>
      <c r="AO1308" s="47"/>
      <c r="AP1308" s="47"/>
      <c r="AQ1308" s="47"/>
      <c r="AR1308" s="47"/>
      <c r="AS1308" s="47"/>
      <c r="AT1308" s="47"/>
      <c r="AU1308" s="47"/>
      <c r="AV1308" s="47"/>
      <c r="AW1308" s="47"/>
      <c r="AX1308" s="47"/>
      <c r="AY1308" s="47"/>
      <c r="AZ1308" s="47"/>
      <c r="BA1308" s="47"/>
      <c r="BB1308" s="47"/>
      <c r="BC1308" s="47"/>
      <c r="BD1308" s="47"/>
      <c r="BE1308" s="47"/>
      <c r="BF1308" s="47"/>
    </row>
    <row r="1309" spans="3:58">
      <c r="C1309" s="47"/>
      <c r="D1309" s="47"/>
      <c r="E1309" s="47"/>
      <c r="F1309" s="47"/>
      <c r="G1309" s="47"/>
      <c r="H1309" s="47"/>
      <c r="I1309" s="47"/>
      <c r="J1309" s="47"/>
      <c r="K1309" s="47"/>
      <c r="L1309" s="47"/>
      <c r="M1309" s="47"/>
      <c r="N1309" s="47"/>
      <c r="O1309" s="47"/>
      <c r="P1309" s="47"/>
      <c r="Q1309" s="85"/>
      <c r="R1309" s="85"/>
      <c r="S1309" s="85"/>
      <c r="T1309" s="85"/>
      <c r="U1309" s="85"/>
      <c r="V1309" s="85"/>
      <c r="W1309" s="85"/>
      <c r="X1309" s="85"/>
      <c r="Y1309" s="85"/>
      <c r="Z1309" s="85"/>
      <c r="AA1309" s="85"/>
      <c r="AB1309" s="85"/>
      <c r="AC1309" s="85"/>
      <c r="AD1309" s="85"/>
      <c r="AE1309" s="47"/>
      <c r="AF1309" s="47"/>
      <c r="AG1309" s="47"/>
      <c r="AH1309" s="47"/>
      <c r="AI1309" s="47"/>
      <c r="AJ1309" s="47"/>
      <c r="AK1309" s="47"/>
      <c r="AL1309" s="47"/>
      <c r="AM1309" s="47"/>
      <c r="AN1309" s="47"/>
      <c r="AO1309" s="47"/>
      <c r="AP1309" s="47"/>
      <c r="AQ1309" s="47"/>
      <c r="AR1309" s="47"/>
      <c r="AS1309" s="47"/>
      <c r="AT1309" s="47"/>
      <c r="AU1309" s="47"/>
      <c r="AV1309" s="47"/>
      <c r="AW1309" s="47"/>
      <c r="AX1309" s="47"/>
      <c r="AY1309" s="47"/>
      <c r="AZ1309" s="47"/>
      <c r="BA1309" s="47"/>
      <c r="BB1309" s="47"/>
      <c r="BC1309" s="47"/>
      <c r="BD1309" s="47"/>
      <c r="BE1309" s="47"/>
      <c r="BF1309" s="47"/>
    </row>
    <row r="1310" spans="3:58">
      <c r="C1310" s="47"/>
      <c r="D1310" s="47"/>
      <c r="E1310" s="47"/>
      <c r="F1310" s="47"/>
      <c r="G1310" s="47"/>
      <c r="H1310" s="47"/>
      <c r="I1310" s="47"/>
      <c r="J1310" s="47"/>
      <c r="K1310" s="47"/>
      <c r="L1310" s="47"/>
      <c r="M1310" s="47"/>
      <c r="N1310" s="47"/>
      <c r="O1310" s="47"/>
      <c r="P1310" s="47"/>
      <c r="Q1310" s="85"/>
      <c r="R1310" s="85"/>
      <c r="S1310" s="85"/>
      <c r="T1310" s="85"/>
      <c r="U1310" s="85"/>
      <c r="V1310" s="85"/>
      <c r="W1310" s="85"/>
      <c r="X1310" s="85"/>
      <c r="Y1310" s="85"/>
      <c r="Z1310" s="85"/>
      <c r="AA1310" s="85"/>
      <c r="AB1310" s="85"/>
      <c r="AC1310" s="85"/>
      <c r="AD1310" s="85"/>
      <c r="AE1310" s="47"/>
      <c r="AF1310" s="47"/>
      <c r="AG1310" s="47"/>
      <c r="AH1310" s="47"/>
      <c r="AI1310" s="47"/>
      <c r="AJ1310" s="47"/>
      <c r="AK1310" s="47"/>
      <c r="AL1310" s="47"/>
      <c r="AM1310" s="47"/>
      <c r="AN1310" s="47"/>
      <c r="AO1310" s="47"/>
      <c r="AP1310" s="47"/>
      <c r="AQ1310" s="47"/>
      <c r="AR1310" s="47"/>
      <c r="AS1310" s="47"/>
      <c r="AT1310" s="47"/>
      <c r="AU1310" s="47"/>
      <c r="AV1310" s="47"/>
      <c r="AW1310" s="47"/>
      <c r="AX1310" s="47"/>
      <c r="AY1310" s="47"/>
      <c r="AZ1310" s="47"/>
      <c r="BA1310" s="47"/>
      <c r="BB1310" s="47"/>
      <c r="BC1310" s="47"/>
      <c r="BD1310" s="47"/>
      <c r="BE1310" s="47"/>
      <c r="BF1310" s="47"/>
    </row>
    <row r="1311" spans="3:58">
      <c r="C1311" s="47"/>
      <c r="D1311" s="47"/>
      <c r="E1311" s="47"/>
      <c r="F1311" s="47"/>
      <c r="G1311" s="47"/>
      <c r="H1311" s="47"/>
      <c r="I1311" s="47"/>
      <c r="J1311" s="47"/>
      <c r="K1311" s="47"/>
      <c r="L1311" s="47"/>
      <c r="M1311" s="47"/>
      <c r="N1311" s="47"/>
      <c r="O1311" s="47"/>
      <c r="P1311" s="47"/>
      <c r="Q1311" s="85"/>
      <c r="R1311" s="85"/>
      <c r="S1311" s="85"/>
      <c r="T1311" s="85"/>
      <c r="U1311" s="85"/>
      <c r="V1311" s="85"/>
      <c r="W1311" s="85"/>
      <c r="X1311" s="85"/>
      <c r="Y1311" s="85"/>
      <c r="Z1311" s="85"/>
      <c r="AA1311" s="85"/>
      <c r="AB1311" s="85"/>
      <c r="AC1311" s="85"/>
      <c r="AD1311" s="85"/>
      <c r="AE1311" s="47"/>
      <c r="AF1311" s="47"/>
      <c r="AG1311" s="47"/>
      <c r="AH1311" s="47"/>
      <c r="AI1311" s="47"/>
      <c r="AJ1311" s="47"/>
      <c r="AK1311" s="47"/>
      <c r="AL1311" s="47"/>
      <c r="AM1311" s="47"/>
      <c r="AN1311" s="47"/>
      <c r="AO1311" s="47"/>
      <c r="AP1311" s="47"/>
      <c r="AQ1311" s="47"/>
      <c r="AR1311" s="47"/>
      <c r="AS1311" s="47"/>
      <c r="AT1311" s="47"/>
      <c r="AU1311" s="47"/>
      <c r="AV1311" s="47"/>
      <c r="AW1311" s="47"/>
      <c r="AX1311" s="47"/>
      <c r="AY1311" s="47"/>
      <c r="AZ1311" s="47"/>
      <c r="BA1311" s="47"/>
      <c r="BB1311" s="47"/>
      <c r="BC1311" s="47"/>
      <c r="BD1311" s="47"/>
      <c r="BE1311" s="47"/>
      <c r="BF1311" s="47"/>
    </row>
    <row r="1312" spans="3:58">
      <c r="C1312" s="47"/>
      <c r="D1312" s="47"/>
      <c r="E1312" s="47"/>
      <c r="F1312" s="47"/>
      <c r="G1312" s="47"/>
      <c r="H1312" s="47"/>
      <c r="I1312" s="47"/>
      <c r="J1312" s="47"/>
      <c r="K1312" s="47"/>
      <c r="L1312" s="47"/>
      <c r="M1312" s="47"/>
      <c r="N1312" s="47"/>
      <c r="O1312" s="47"/>
      <c r="P1312" s="47"/>
      <c r="Q1312" s="85"/>
      <c r="R1312" s="85"/>
      <c r="S1312" s="85"/>
      <c r="T1312" s="85"/>
      <c r="U1312" s="85"/>
      <c r="V1312" s="85"/>
      <c r="W1312" s="85"/>
      <c r="X1312" s="85"/>
      <c r="Y1312" s="85"/>
      <c r="Z1312" s="85"/>
      <c r="AA1312" s="85"/>
      <c r="AB1312" s="85"/>
      <c r="AC1312" s="85"/>
      <c r="AD1312" s="85"/>
      <c r="AE1312" s="47"/>
      <c r="AF1312" s="47"/>
      <c r="AG1312" s="47"/>
      <c r="AH1312" s="47"/>
      <c r="AI1312" s="47"/>
      <c r="AJ1312" s="47"/>
      <c r="AK1312" s="47"/>
      <c r="AL1312" s="47"/>
      <c r="AM1312" s="47"/>
      <c r="AN1312" s="47"/>
      <c r="AO1312" s="47"/>
      <c r="AP1312" s="47"/>
      <c r="AQ1312" s="47"/>
      <c r="AR1312" s="47"/>
      <c r="AS1312" s="47"/>
      <c r="AT1312" s="47"/>
      <c r="AU1312" s="47"/>
      <c r="AV1312" s="47"/>
      <c r="AW1312" s="47"/>
      <c r="AX1312" s="47"/>
      <c r="AY1312" s="47"/>
      <c r="AZ1312" s="47"/>
      <c r="BA1312" s="47"/>
      <c r="BB1312" s="47"/>
      <c r="BC1312" s="47"/>
      <c r="BD1312" s="47"/>
      <c r="BE1312" s="47"/>
      <c r="BF1312" s="47"/>
    </row>
    <row r="1313" spans="3:58">
      <c r="C1313" s="47"/>
      <c r="D1313" s="47"/>
      <c r="E1313" s="47"/>
      <c r="F1313" s="47"/>
      <c r="G1313" s="47"/>
      <c r="H1313" s="47"/>
      <c r="I1313" s="47"/>
      <c r="J1313" s="47"/>
      <c r="K1313" s="47"/>
      <c r="L1313" s="47"/>
      <c r="M1313" s="47"/>
      <c r="N1313" s="47"/>
      <c r="O1313" s="47"/>
      <c r="P1313" s="47"/>
      <c r="Q1313" s="85"/>
      <c r="R1313" s="85"/>
      <c r="S1313" s="85"/>
      <c r="T1313" s="85"/>
      <c r="U1313" s="85"/>
      <c r="V1313" s="85"/>
      <c r="W1313" s="85"/>
      <c r="X1313" s="85"/>
      <c r="Y1313" s="85"/>
      <c r="Z1313" s="85"/>
      <c r="AA1313" s="85"/>
      <c r="AB1313" s="85"/>
      <c r="AC1313" s="85"/>
      <c r="AD1313" s="85"/>
      <c r="AE1313" s="47"/>
      <c r="AF1313" s="47"/>
      <c r="AG1313" s="47"/>
      <c r="AH1313" s="47"/>
      <c r="AI1313" s="47"/>
      <c r="AJ1313" s="47"/>
      <c r="AK1313" s="47"/>
      <c r="AL1313" s="47"/>
      <c r="AM1313" s="47"/>
      <c r="AN1313" s="47"/>
      <c r="AO1313" s="47"/>
      <c r="AP1313" s="47"/>
      <c r="AQ1313" s="47"/>
      <c r="AR1313" s="47"/>
      <c r="AS1313" s="47"/>
      <c r="AT1313" s="47"/>
      <c r="AU1313" s="47"/>
      <c r="AV1313" s="47"/>
      <c r="AW1313" s="47"/>
      <c r="AX1313" s="47"/>
      <c r="AY1313" s="47"/>
      <c r="AZ1313" s="47"/>
      <c r="BA1313" s="47"/>
      <c r="BB1313" s="47"/>
      <c r="BC1313" s="47"/>
      <c r="BD1313" s="47"/>
      <c r="BE1313" s="47"/>
      <c r="BF1313" s="47"/>
    </row>
    <row r="1314" spans="3:58">
      <c r="C1314" s="47"/>
      <c r="D1314" s="47"/>
      <c r="E1314" s="47"/>
      <c r="F1314" s="47"/>
      <c r="G1314" s="47"/>
      <c r="H1314" s="47"/>
      <c r="I1314" s="47"/>
      <c r="J1314" s="47"/>
      <c r="K1314" s="47"/>
      <c r="L1314" s="47"/>
      <c r="M1314" s="47"/>
      <c r="N1314" s="47"/>
      <c r="O1314" s="47"/>
      <c r="P1314" s="47"/>
      <c r="Q1314" s="85"/>
      <c r="R1314" s="85"/>
      <c r="S1314" s="85"/>
      <c r="T1314" s="85"/>
      <c r="U1314" s="85"/>
      <c r="V1314" s="85"/>
      <c r="W1314" s="85"/>
      <c r="X1314" s="85"/>
      <c r="Y1314" s="85"/>
      <c r="Z1314" s="85"/>
      <c r="AA1314" s="85"/>
      <c r="AB1314" s="85"/>
      <c r="AC1314" s="85"/>
      <c r="AD1314" s="85"/>
      <c r="AE1314" s="47"/>
      <c r="AF1314" s="47"/>
      <c r="AG1314" s="47"/>
      <c r="AH1314" s="47"/>
      <c r="AI1314" s="47"/>
      <c r="AJ1314" s="47"/>
      <c r="AK1314" s="47"/>
      <c r="AL1314" s="47"/>
      <c r="AM1314" s="47"/>
      <c r="AN1314" s="47"/>
      <c r="AO1314" s="47"/>
      <c r="AP1314" s="47"/>
      <c r="AQ1314" s="47"/>
      <c r="AR1314" s="47"/>
      <c r="AS1314" s="47"/>
      <c r="AT1314" s="47"/>
      <c r="AU1314" s="47"/>
      <c r="AV1314" s="47"/>
      <c r="AW1314" s="47"/>
      <c r="AX1314" s="47"/>
      <c r="AY1314" s="47"/>
      <c r="AZ1314" s="47"/>
      <c r="BA1314" s="47"/>
      <c r="BB1314" s="47"/>
      <c r="BC1314" s="47"/>
      <c r="BD1314" s="47"/>
      <c r="BE1314" s="47"/>
      <c r="BF1314" s="47"/>
    </row>
    <row r="1315" spans="3:58">
      <c r="C1315" s="47"/>
      <c r="D1315" s="47"/>
      <c r="E1315" s="47"/>
      <c r="F1315" s="47"/>
      <c r="G1315" s="47"/>
      <c r="H1315" s="47"/>
      <c r="I1315" s="47"/>
      <c r="J1315" s="47"/>
      <c r="K1315" s="47"/>
      <c r="L1315" s="47"/>
      <c r="M1315" s="47"/>
      <c r="N1315" s="47"/>
      <c r="O1315" s="47"/>
      <c r="P1315" s="47"/>
      <c r="Q1315" s="85"/>
      <c r="R1315" s="85"/>
      <c r="S1315" s="85"/>
      <c r="T1315" s="85"/>
      <c r="U1315" s="85"/>
      <c r="V1315" s="85"/>
      <c r="W1315" s="85"/>
      <c r="X1315" s="85"/>
      <c r="Y1315" s="85"/>
      <c r="Z1315" s="85"/>
      <c r="AA1315" s="85"/>
      <c r="AB1315" s="85"/>
      <c r="AC1315" s="85"/>
      <c r="AD1315" s="85"/>
      <c r="AE1315" s="47"/>
      <c r="AF1315" s="47"/>
      <c r="AG1315" s="47"/>
      <c r="AH1315" s="47"/>
      <c r="AI1315" s="47"/>
      <c r="AJ1315" s="47"/>
      <c r="AK1315" s="47"/>
      <c r="AL1315" s="47"/>
      <c r="AM1315" s="47"/>
      <c r="AN1315" s="47"/>
      <c r="AO1315" s="47"/>
      <c r="AP1315" s="47"/>
      <c r="AQ1315" s="47"/>
      <c r="AR1315" s="47"/>
      <c r="AS1315" s="47"/>
      <c r="AT1315" s="47"/>
      <c r="AU1315" s="47"/>
      <c r="AV1315" s="47"/>
      <c r="AW1315" s="47"/>
      <c r="AX1315" s="47"/>
      <c r="AY1315" s="47"/>
      <c r="AZ1315" s="47"/>
      <c r="BA1315" s="47"/>
      <c r="BB1315" s="47"/>
      <c r="BC1315" s="47"/>
      <c r="BD1315" s="47"/>
      <c r="BE1315" s="47"/>
      <c r="BF1315" s="47"/>
    </row>
    <row r="1316" spans="3:58">
      <c r="C1316" s="47"/>
      <c r="D1316" s="47"/>
      <c r="E1316" s="47"/>
      <c r="F1316" s="47"/>
      <c r="G1316" s="47"/>
      <c r="H1316" s="47"/>
      <c r="I1316" s="47"/>
      <c r="J1316" s="47"/>
      <c r="K1316" s="47"/>
      <c r="L1316" s="47"/>
      <c r="M1316" s="47"/>
      <c r="N1316" s="47"/>
      <c r="O1316" s="47"/>
      <c r="P1316" s="47"/>
      <c r="Q1316" s="85"/>
      <c r="R1316" s="85"/>
      <c r="S1316" s="85"/>
      <c r="T1316" s="85"/>
      <c r="U1316" s="85"/>
      <c r="V1316" s="85"/>
      <c r="W1316" s="85"/>
      <c r="X1316" s="85"/>
      <c r="Y1316" s="85"/>
      <c r="Z1316" s="85"/>
      <c r="AA1316" s="85"/>
      <c r="AB1316" s="85"/>
      <c r="AC1316" s="85"/>
      <c r="AD1316" s="85"/>
      <c r="AE1316" s="47"/>
      <c r="AF1316" s="47"/>
      <c r="AG1316" s="47"/>
      <c r="AH1316" s="47"/>
      <c r="AI1316" s="47"/>
      <c r="AJ1316" s="47"/>
      <c r="AK1316" s="47"/>
      <c r="AL1316" s="47"/>
      <c r="AM1316" s="47"/>
      <c r="AN1316" s="47"/>
      <c r="AO1316" s="47"/>
      <c r="AP1316" s="47"/>
      <c r="AQ1316" s="47"/>
      <c r="AR1316" s="47"/>
      <c r="AS1316" s="47"/>
      <c r="AT1316" s="47"/>
      <c r="AU1316" s="47"/>
      <c r="AV1316" s="47"/>
      <c r="AW1316" s="47"/>
      <c r="AX1316" s="47"/>
      <c r="AY1316" s="47"/>
      <c r="AZ1316" s="47"/>
      <c r="BA1316" s="47"/>
      <c r="BB1316" s="47"/>
      <c r="BC1316" s="47"/>
      <c r="BD1316" s="47"/>
      <c r="BE1316" s="47"/>
      <c r="BF1316" s="47"/>
    </row>
    <row r="1317" spans="3:58">
      <c r="C1317" s="47"/>
      <c r="D1317" s="47"/>
      <c r="E1317" s="47"/>
      <c r="F1317" s="47"/>
      <c r="G1317" s="47"/>
      <c r="H1317" s="47"/>
      <c r="I1317" s="47"/>
      <c r="J1317" s="47"/>
      <c r="K1317" s="47"/>
      <c r="L1317" s="47"/>
      <c r="M1317" s="47"/>
      <c r="N1317" s="47"/>
      <c r="O1317" s="47"/>
      <c r="P1317" s="47"/>
      <c r="Q1317" s="85"/>
      <c r="R1317" s="85"/>
      <c r="S1317" s="85"/>
      <c r="T1317" s="85"/>
      <c r="U1317" s="85"/>
      <c r="V1317" s="85"/>
      <c r="W1317" s="85"/>
      <c r="X1317" s="85"/>
      <c r="Y1317" s="85"/>
      <c r="Z1317" s="85"/>
      <c r="AA1317" s="85"/>
      <c r="AB1317" s="85"/>
      <c r="AC1317" s="85"/>
      <c r="AD1317" s="85"/>
      <c r="AE1317" s="47"/>
      <c r="AF1317" s="47"/>
      <c r="AG1317" s="47"/>
      <c r="AH1317" s="47"/>
      <c r="AI1317" s="47"/>
      <c r="AJ1317" s="47"/>
      <c r="AK1317" s="47"/>
      <c r="AL1317" s="47"/>
      <c r="AM1317" s="47"/>
      <c r="AN1317" s="47"/>
      <c r="AO1317" s="47"/>
      <c r="AP1317" s="47"/>
      <c r="AQ1317" s="47"/>
      <c r="AR1317" s="47"/>
      <c r="AS1317" s="47"/>
      <c r="AT1317" s="47"/>
      <c r="AU1317" s="47"/>
      <c r="AV1317" s="47"/>
      <c r="AW1317" s="47"/>
      <c r="AX1317" s="47"/>
      <c r="AY1317" s="47"/>
      <c r="AZ1317" s="47"/>
      <c r="BA1317" s="47"/>
      <c r="BB1317" s="47"/>
      <c r="BC1317" s="47"/>
      <c r="BD1317" s="47"/>
      <c r="BE1317" s="47"/>
      <c r="BF1317" s="47"/>
    </row>
    <row r="1318" spans="3:58">
      <c r="C1318" s="47"/>
      <c r="D1318" s="47"/>
      <c r="E1318" s="47"/>
      <c r="F1318" s="47"/>
      <c r="G1318" s="47"/>
      <c r="H1318" s="47"/>
      <c r="I1318" s="47"/>
      <c r="J1318" s="47"/>
      <c r="K1318" s="47"/>
      <c r="L1318" s="47"/>
      <c r="M1318" s="47"/>
      <c r="N1318" s="47"/>
      <c r="O1318" s="47"/>
      <c r="P1318" s="47"/>
      <c r="Q1318" s="85"/>
      <c r="R1318" s="85"/>
      <c r="S1318" s="85"/>
      <c r="T1318" s="85"/>
      <c r="U1318" s="85"/>
      <c r="V1318" s="85"/>
      <c r="W1318" s="85"/>
      <c r="X1318" s="85"/>
      <c r="Y1318" s="85"/>
      <c r="Z1318" s="85"/>
      <c r="AA1318" s="85"/>
      <c r="AB1318" s="85"/>
      <c r="AC1318" s="85"/>
      <c r="AD1318" s="85"/>
      <c r="AE1318" s="47"/>
      <c r="AF1318" s="47"/>
      <c r="AG1318" s="47"/>
      <c r="AH1318" s="47"/>
      <c r="AI1318" s="47"/>
      <c r="AJ1318" s="47"/>
      <c r="AK1318" s="47"/>
      <c r="AL1318" s="47"/>
      <c r="AM1318" s="47"/>
      <c r="AN1318" s="47"/>
      <c r="AO1318" s="47"/>
      <c r="AP1318" s="47"/>
      <c r="AQ1318" s="47"/>
      <c r="AR1318" s="47"/>
      <c r="AS1318" s="47"/>
      <c r="AT1318" s="47"/>
      <c r="AU1318" s="47"/>
      <c r="AV1318" s="47"/>
      <c r="AW1318" s="47"/>
      <c r="AX1318" s="47"/>
      <c r="AY1318" s="47"/>
      <c r="AZ1318" s="47"/>
      <c r="BA1318" s="47"/>
      <c r="BB1318" s="47"/>
      <c r="BC1318" s="47"/>
      <c r="BD1318" s="47"/>
      <c r="BE1318" s="47"/>
      <c r="BF1318" s="47"/>
    </row>
    <row r="1319" spans="3:58">
      <c r="C1319" s="47"/>
      <c r="D1319" s="47"/>
      <c r="E1319" s="47"/>
      <c r="F1319" s="47"/>
      <c r="G1319" s="47"/>
      <c r="H1319" s="47"/>
      <c r="I1319" s="47"/>
      <c r="J1319" s="47"/>
      <c r="K1319" s="47"/>
      <c r="L1319" s="47"/>
      <c r="M1319" s="47"/>
      <c r="N1319" s="47"/>
      <c r="O1319" s="47"/>
      <c r="P1319" s="47"/>
      <c r="Q1319" s="85"/>
      <c r="R1319" s="85"/>
      <c r="S1319" s="85"/>
      <c r="T1319" s="85"/>
      <c r="U1319" s="85"/>
      <c r="V1319" s="85"/>
      <c r="W1319" s="85"/>
      <c r="X1319" s="85"/>
      <c r="Y1319" s="85"/>
      <c r="Z1319" s="85"/>
      <c r="AA1319" s="85"/>
      <c r="AB1319" s="85"/>
      <c r="AC1319" s="85"/>
      <c r="AD1319" s="85"/>
      <c r="AE1319" s="47"/>
      <c r="AF1319" s="47"/>
      <c r="AG1319" s="47"/>
      <c r="AH1319" s="47"/>
      <c r="AI1319" s="47"/>
      <c r="AJ1319" s="47"/>
      <c r="AK1319" s="47"/>
      <c r="AL1319" s="47"/>
      <c r="AM1319" s="47"/>
      <c r="AN1319" s="47"/>
      <c r="AO1319" s="47"/>
      <c r="AP1319" s="47"/>
      <c r="AQ1319" s="47"/>
      <c r="AR1319" s="47"/>
      <c r="AS1319" s="47"/>
      <c r="AT1319" s="47"/>
      <c r="AU1319" s="47"/>
      <c r="AV1319" s="47"/>
      <c r="AW1319" s="47"/>
      <c r="AX1319" s="47"/>
      <c r="AY1319" s="47"/>
      <c r="AZ1319" s="47"/>
      <c r="BA1319" s="47"/>
      <c r="BB1319" s="47"/>
      <c r="BC1319" s="47"/>
      <c r="BD1319" s="47"/>
      <c r="BE1319" s="47"/>
      <c r="BF1319" s="47"/>
    </row>
    <row r="1320" spans="3:58">
      <c r="C1320" s="47"/>
      <c r="D1320" s="47"/>
      <c r="E1320" s="47"/>
      <c r="F1320" s="47"/>
      <c r="G1320" s="47"/>
      <c r="H1320" s="47"/>
      <c r="I1320" s="47"/>
      <c r="J1320" s="47"/>
      <c r="K1320" s="47"/>
      <c r="L1320" s="47"/>
      <c r="M1320" s="47"/>
      <c r="N1320" s="47"/>
      <c r="O1320" s="47"/>
      <c r="P1320" s="47"/>
      <c r="Q1320" s="85"/>
      <c r="R1320" s="85"/>
      <c r="S1320" s="85"/>
      <c r="T1320" s="85"/>
      <c r="U1320" s="85"/>
      <c r="V1320" s="85"/>
      <c r="W1320" s="85"/>
      <c r="X1320" s="85"/>
      <c r="Y1320" s="85"/>
      <c r="Z1320" s="85"/>
      <c r="AA1320" s="85"/>
      <c r="AB1320" s="85"/>
      <c r="AC1320" s="85"/>
      <c r="AD1320" s="85"/>
      <c r="AE1320" s="47"/>
      <c r="AF1320" s="47"/>
      <c r="AG1320" s="47"/>
      <c r="AH1320" s="47"/>
      <c r="AI1320" s="47"/>
      <c r="AJ1320" s="47"/>
      <c r="AK1320" s="47"/>
      <c r="AL1320" s="47"/>
      <c r="AM1320" s="47"/>
      <c r="AN1320" s="47"/>
      <c r="AO1320" s="47"/>
      <c r="AP1320" s="47"/>
      <c r="AQ1320" s="47"/>
      <c r="AR1320" s="47"/>
      <c r="AS1320" s="47"/>
      <c r="AT1320" s="47"/>
      <c r="AU1320" s="47"/>
      <c r="AV1320" s="47"/>
      <c r="AW1320" s="47"/>
      <c r="AX1320" s="47"/>
      <c r="AY1320" s="47"/>
      <c r="AZ1320" s="47"/>
      <c r="BA1320" s="47"/>
      <c r="BB1320" s="47"/>
      <c r="BC1320" s="47"/>
      <c r="BD1320" s="47"/>
      <c r="BE1320" s="47"/>
      <c r="BF1320" s="47"/>
    </row>
    <row r="1321" spans="3:58">
      <c r="C1321" s="47"/>
      <c r="D1321" s="47"/>
      <c r="E1321" s="47"/>
      <c r="F1321" s="47"/>
      <c r="G1321" s="47"/>
      <c r="H1321" s="47"/>
      <c r="I1321" s="47"/>
      <c r="J1321" s="47"/>
      <c r="K1321" s="47"/>
      <c r="L1321" s="47"/>
      <c r="M1321" s="47"/>
      <c r="N1321" s="47"/>
      <c r="O1321" s="47"/>
      <c r="P1321" s="47"/>
      <c r="Q1321" s="85"/>
      <c r="R1321" s="85"/>
      <c r="S1321" s="85"/>
      <c r="T1321" s="85"/>
      <c r="U1321" s="85"/>
      <c r="V1321" s="85"/>
      <c r="W1321" s="85"/>
      <c r="X1321" s="85"/>
      <c r="Y1321" s="85"/>
      <c r="Z1321" s="85"/>
      <c r="AA1321" s="85"/>
      <c r="AB1321" s="85"/>
      <c r="AC1321" s="85"/>
      <c r="AD1321" s="85"/>
      <c r="AE1321" s="47"/>
      <c r="AF1321" s="47"/>
      <c r="AG1321" s="47"/>
      <c r="AH1321" s="47"/>
      <c r="AI1321" s="47"/>
      <c r="AJ1321" s="47"/>
      <c r="AK1321" s="47"/>
      <c r="AL1321" s="47"/>
      <c r="AM1321" s="47"/>
      <c r="AN1321" s="47"/>
      <c r="AO1321" s="47"/>
      <c r="AP1321" s="47"/>
      <c r="AQ1321" s="47"/>
      <c r="AR1321" s="47"/>
      <c r="AS1321" s="47"/>
      <c r="AT1321" s="47"/>
      <c r="AU1321" s="47"/>
      <c r="AV1321" s="47"/>
      <c r="AW1321" s="47"/>
      <c r="AX1321" s="47"/>
      <c r="AY1321" s="47"/>
      <c r="AZ1321" s="47"/>
      <c r="BA1321" s="47"/>
      <c r="BB1321" s="47"/>
      <c r="BC1321" s="47"/>
      <c r="BD1321" s="47"/>
      <c r="BE1321" s="47"/>
      <c r="BF1321" s="47"/>
    </row>
    <row r="1322" spans="3:58">
      <c r="C1322" s="47"/>
      <c r="D1322" s="47"/>
      <c r="E1322" s="47"/>
      <c r="F1322" s="47"/>
      <c r="G1322" s="47"/>
      <c r="H1322" s="47"/>
      <c r="I1322" s="47"/>
      <c r="J1322" s="47"/>
      <c r="K1322" s="47"/>
      <c r="L1322" s="47"/>
      <c r="M1322" s="47"/>
      <c r="N1322" s="47"/>
      <c r="O1322" s="47"/>
      <c r="P1322" s="47"/>
      <c r="Q1322" s="85"/>
      <c r="R1322" s="85"/>
      <c r="S1322" s="85"/>
      <c r="T1322" s="85"/>
      <c r="U1322" s="85"/>
      <c r="V1322" s="85"/>
      <c r="W1322" s="85"/>
      <c r="X1322" s="85"/>
      <c r="Y1322" s="85"/>
      <c r="Z1322" s="85"/>
      <c r="AA1322" s="85"/>
      <c r="AB1322" s="85"/>
      <c r="AC1322" s="85"/>
      <c r="AD1322" s="85"/>
      <c r="AE1322" s="47"/>
      <c r="AF1322" s="47"/>
      <c r="AG1322" s="47"/>
      <c r="AH1322" s="47"/>
      <c r="AI1322" s="47"/>
      <c r="AJ1322" s="47"/>
      <c r="AK1322" s="47"/>
      <c r="AL1322" s="47"/>
      <c r="AM1322" s="47"/>
      <c r="AN1322" s="47"/>
      <c r="AO1322" s="47"/>
      <c r="AP1322" s="47"/>
      <c r="AQ1322" s="47"/>
      <c r="AR1322" s="47"/>
      <c r="AS1322" s="47"/>
      <c r="AT1322" s="47"/>
      <c r="AU1322" s="47"/>
      <c r="AV1322" s="47"/>
      <c r="AW1322" s="47"/>
      <c r="AX1322" s="47"/>
      <c r="AY1322" s="47"/>
      <c r="AZ1322" s="47"/>
      <c r="BA1322" s="47"/>
      <c r="BB1322" s="47"/>
      <c r="BC1322" s="47"/>
      <c r="BD1322" s="47"/>
      <c r="BE1322" s="47"/>
      <c r="BF1322" s="47"/>
    </row>
    <row r="1323" spans="3:58">
      <c r="C1323" s="47"/>
      <c r="D1323" s="47"/>
      <c r="E1323" s="47"/>
      <c r="F1323" s="47"/>
      <c r="G1323" s="47"/>
      <c r="H1323" s="47"/>
      <c r="I1323" s="47"/>
      <c r="J1323" s="47"/>
      <c r="K1323" s="47"/>
      <c r="L1323" s="47"/>
      <c r="M1323" s="47"/>
      <c r="N1323" s="47"/>
      <c r="O1323" s="47"/>
      <c r="P1323" s="47"/>
      <c r="Q1323" s="85"/>
      <c r="R1323" s="85"/>
      <c r="S1323" s="85"/>
      <c r="T1323" s="85"/>
      <c r="U1323" s="85"/>
      <c r="V1323" s="85"/>
      <c r="W1323" s="85"/>
      <c r="X1323" s="85"/>
      <c r="Y1323" s="85"/>
      <c r="Z1323" s="85"/>
      <c r="AA1323" s="85"/>
      <c r="AB1323" s="85"/>
      <c r="AC1323" s="85"/>
      <c r="AD1323" s="85"/>
      <c r="AE1323" s="47"/>
      <c r="AF1323" s="47"/>
      <c r="AG1323" s="47"/>
      <c r="AH1323" s="47"/>
      <c r="AI1323" s="47"/>
      <c r="AJ1323" s="47"/>
      <c r="AK1323" s="47"/>
      <c r="AL1323" s="47"/>
      <c r="AM1323" s="47"/>
      <c r="AN1323" s="47"/>
      <c r="AO1323" s="47"/>
      <c r="AP1323" s="47"/>
      <c r="AQ1323" s="47"/>
      <c r="AR1323" s="47"/>
      <c r="AS1323" s="47"/>
      <c r="AT1323" s="47"/>
      <c r="AU1323" s="47"/>
      <c r="AV1323" s="47"/>
      <c r="AW1323" s="47"/>
      <c r="AX1323" s="47"/>
      <c r="AY1323" s="47"/>
      <c r="AZ1323" s="47"/>
      <c r="BA1323" s="47"/>
      <c r="BB1323" s="47"/>
      <c r="BC1323" s="47"/>
      <c r="BD1323" s="47"/>
      <c r="BE1323" s="47"/>
      <c r="BF1323" s="47"/>
    </row>
    <row r="1324" spans="3:58">
      <c r="C1324" s="47"/>
      <c r="D1324" s="47"/>
      <c r="E1324" s="47"/>
      <c r="F1324" s="47"/>
      <c r="G1324" s="47"/>
      <c r="H1324" s="47"/>
      <c r="I1324" s="47"/>
      <c r="J1324" s="47"/>
      <c r="K1324" s="47"/>
      <c r="L1324" s="47"/>
      <c r="M1324" s="47"/>
      <c r="N1324" s="47"/>
      <c r="O1324" s="47"/>
      <c r="P1324" s="47"/>
      <c r="Q1324" s="85"/>
      <c r="R1324" s="85"/>
      <c r="S1324" s="85"/>
      <c r="T1324" s="85"/>
      <c r="U1324" s="85"/>
      <c r="V1324" s="85"/>
      <c r="W1324" s="85"/>
      <c r="X1324" s="85"/>
      <c r="Y1324" s="85"/>
      <c r="Z1324" s="85"/>
      <c r="AA1324" s="85"/>
      <c r="AB1324" s="85"/>
      <c r="AC1324" s="85"/>
      <c r="AD1324" s="85"/>
      <c r="AE1324" s="47"/>
      <c r="AF1324" s="47"/>
      <c r="AG1324" s="47"/>
      <c r="AH1324" s="47"/>
      <c r="AI1324" s="47"/>
      <c r="AJ1324" s="47"/>
      <c r="AK1324" s="47"/>
      <c r="AL1324" s="47"/>
      <c r="AM1324" s="47"/>
      <c r="AN1324" s="47"/>
      <c r="AO1324" s="47"/>
      <c r="AP1324" s="47"/>
      <c r="AQ1324" s="47"/>
      <c r="AR1324" s="47"/>
      <c r="AS1324" s="47"/>
      <c r="AT1324" s="47"/>
      <c r="AU1324" s="47"/>
      <c r="AV1324" s="47"/>
      <c r="AW1324" s="47"/>
      <c r="AX1324" s="47"/>
      <c r="AY1324" s="47"/>
      <c r="AZ1324" s="47"/>
      <c r="BA1324" s="47"/>
      <c r="BB1324" s="47"/>
      <c r="BC1324" s="47"/>
      <c r="BD1324" s="47"/>
      <c r="BE1324" s="47"/>
      <c r="BF1324" s="47"/>
    </row>
    <row r="1325" spans="3:58">
      <c r="C1325" s="47"/>
      <c r="D1325" s="47"/>
      <c r="E1325" s="47"/>
      <c r="F1325" s="47"/>
      <c r="G1325" s="47"/>
      <c r="H1325" s="47"/>
      <c r="I1325" s="47"/>
      <c r="J1325" s="47"/>
      <c r="K1325" s="47"/>
      <c r="L1325" s="47"/>
      <c r="M1325" s="47"/>
      <c r="N1325" s="47"/>
      <c r="O1325" s="47"/>
      <c r="P1325" s="47"/>
      <c r="Q1325" s="85"/>
      <c r="R1325" s="85"/>
      <c r="S1325" s="85"/>
      <c r="T1325" s="85"/>
      <c r="U1325" s="85"/>
      <c r="V1325" s="85"/>
      <c r="W1325" s="85"/>
      <c r="X1325" s="85"/>
      <c r="Y1325" s="85"/>
      <c r="Z1325" s="85"/>
      <c r="AA1325" s="85"/>
      <c r="AB1325" s="85"/>
      <c r="AC1325" s="85"/>
      <c r="AD1325" s="85"/>
      <c r="AE1325" s="47"/>
      <c r="AF1325" s="47"/>
      <c r="AG1325" s="47"/>
      <c r="AH1325" s="47"/>
      <c r="AI1325" s="47"/>
      <c r="AJ1325" s="47"/>
      <c r="AK1325" s="47"/>
      <c r="AL1325" s="47"/>
      <c r="AM1325" s="47"/>
      <c r="AN1325" s="47"/>
      <c r="AO1325" s="47"/>
      <c r="AP1325" s="47"/>
      <c r="AQ1325" s="47"/>
      <c r="AR1325" s="47"/>
      <c r="AS1325" s="47"/>
      <c r="AT1325" s="47"/>
      <c r="AU1325" s="47"/>
      <c r="AV1325" s="47"/>
      <c r="AW1325" s="47"/>
      <c r="AX1325" s="47"/>
      <c r="AY1325" s="47"/>
      <c r="AZ1325" s="47"/>
      <c r="BA1325" s="47"/>
      <c r="BB1325" s="47"/>
      <c r="BC1325" s="47"/>
      <c r="BD1325" s="47"/>
      <c r="BE1325" s="47"/>
      <c r="BF1325" s="47"/>
    </row>
    <row r="1326" spans="3:58">
      <c r="C1326" s="47"/>
      <c r="D1326" s="47"/>
      <c r="E1326" s="47"/>
      <c r="F1326" s="47"/>
      <c r="G1326" s="47"/>
      <c r="H1326" s="47"/>
      <c r="I1326" s="47"/>
      <c r="J1326" s="47"/>
      <c r="K1326" s="47"/>
      <c r="L1326" s="47"/>
      <c r="M1326" s="47"/>
      <c r="N1326" s="47"/>
      <c r="O1326" s="47"/>
      <c r="P1326" s="47"/>
      <c r="Q1326" s="85"/>
      <c r="R1326" s="85"/>
      <c r="S1326" s="85"/>
      <c r="T1326" s="85"/>
      <c r="U1326" s="85"/>
      <c r="V1326" s="85"/>
      <c r="W1326" s="85"/>
      <c r="X1326" s="85"/>
      <c r="Y1326" s="85"/>
      <c r="Z1326" s="85"/>
      <c r="AA1326" s="85"/>
      <c r="AB1326" s="85"/>
      <c r="AC1326" s="85"/>
      <c r="AD1326" s="85"/>
      <c r="AE1326" s="47"/>
      <c r="AF1326" s="47"/>
      <c r="AG1326" s="47"/>
      <c r="AH1326" s="47"/>
      <c r="AI1326" s="47"/>
      <c r="AJ1326" s="47"/>
      <c r="AK1326" s="47"/>
      <c r="AL1326" s="47"/>
      <c r="AM1326" s="47"/>
      <c r="AN1326" s="47"/>
      <c r="AO1326" s="47"/>
      <c r="AP1326" s="47"/>
      <c r="AQ1326" s="47"/>
      <c r="AR1326" s="47"/>
      <c r="AS1326" s="47"/>
      <c r="AT1326" s="47"/>
      <c r="AU1326" s="47"/>
      <c r="AV1326" s="47"/>
      <c r="AW1326" s="47"/>
      <c r="AX1326" s="47"/>
      <c r="AY1326" s="47"/>
      <c r="AZ1326" s="47"/>
      <c r="BA1326" s="47"/>
      <c r="BB1326" s="47"/>
      <c r="BC1326" s="47"/>
      <c r="BD1326" s="47"/>
      <c r="BE1326" s="47"/>
      <c r="BF1326" s="47"/>
    </row>
    <row r="1327" spans="3:58">
      <c r="C1327" s="47"/>
      <c r="D1327" s="47"/>
      <c r="E1327" s="47"/>
      <c r="F1327" s="47"/>
      <c r="G1327" s="47"/>
      <c r="H1327" s="47"/>
      <c r="I1327" s="47"/>
      <c r="J1327" s="47"/>
      <c r="K1327" s="47"/>
      <c r="L1327" s="47"/>
      <c r="M1327" s="47"/>
      <c r="N1327" s="47"/>
      <c r="O1327" s="47"/>
      <c r="P1327" s="47"/>
      <c r="Q1327" s="85"/>
      <c r="R1327" s="85"/>
      <c r="S1327" s="85"/>
      <c r="T1327" s="85"/>
      <c r="U1327" s="85"/>
      <c r="V1327" s="85"/>
      <c r="W1327" s="85"/>
      <c r="X1327" s="85"/>
      <c r="Y1327" s="85"/>
      <c r="Z1327" s="85"/>
      <c r="AA1327" s="85"/>
      <c r="AB1327" s="85"/>
      <c r="AC1327" s="85"/>
      <c r="AD1327" s="85"/>
      <c r="AE1327" s="47"/>
      <c r="AF1327" s="47"/>
      <c r="AG1327" s="47"/>
      <c r="AH1327" s="47"/>
      <c r="AI1327" s="47"/>
      <c r="AJ1327" s="47"/>
      <c r="AK1327" s="47"/>
      <c r="AL1327" s="47"/>
      <c r="AM1327" s="47"/>
      <c r="AN1327" s="47"/>
      <c r="AO1327" s="47"/>
      <c r="AP1327" s="47"/>
      <c r="AQ1327" s="47"/>
      <c r="AR1327" s="47"/>
      <c r="AS1327" s="47"/>
      <c r="AT1327" s="47"/>
      <c r="AU1327" s="47"/>
      <c r="AV1327" s="47"/>
      <c r="AW1327" s="47"/>
      <c r="AX1327" s="47"/>
      <c r="AY1327" s="47"/>
      <c r="AZ1327" s="47"/>
      <c r="BA1327" s="47"/>
      <c r="BB1327" s="47"/>
      <c r="BC1327" s="47"/>
      <c r="BD1327" s="47"/>
      <c r="BE1327" s="47"/>
      <c r="BF1327" s="47"/>
    </row>
    <row r="1328" spans="3:58">
      <c r="C1328" s="47"/>
      <c r="D1328" s="47"/>
      <c r="E1328" s="47"/>
      <c r="F1328" s="47"/>
      <c r="G1328" s="47"/>
      <c r="H1328" s="47"/>
      <c r="I1328" s="47"/>
      <c r="J1328" s="47"/>
      <c r="K1328" s="47"/>
      <c r="L1328" s="47"/>
      <c r="M1328" s="47"/>
      <c r="N1328" s="47"/>
      <c r="O1328" s="47"/>
      <c r="P1328" s="47"/>
      <c r="Q1328" s="85"/>
      <c r="R1328" s="85"/>
      <c r="S1328" s="85"/>
      <c r="T1328" s="85"/>
      <c r="U1328" s="85"/>
      <c r="V1328" s="85"/>
      <c r="W1328" s="85"/>
      <c r="X1328" s="85"/>
      <c r="Y1328" s="85"/>
      <c r="Z1328" s="85"/>
      <c r="AA1328" s="85"/>
      <c r="AB1328" s="85"/>
      <c r="AC1328" s="85"/>
      <c r="AD1328" s="85"/>
      <c r="AE1328" s="47"/>
      <c r="AF1328" s="47"/>
      <c r="AG1328" s="47"/>
      <c r="AH1328" s="47"/>
      <c r="AI1328" s="47"/>
      <c r="AJ1328" s="47"/>
      <c r="AK1328" s="47"/>
      <c r="AL1328" s="47"/>
      <c r="AM1328" s="47"/>
      <c r="AN1328" s="47"/>
      <c r="AO1328" s="47"/>
      <c r="AP1328" s="47"/>
      <c r="AQ1328" s="47"/>
      <c r="AR1328" s="47"/>
      <c r="AS1328" s="47"/>
      <c r="AT1328" s="47"/>
      <c r="AU1328" s="47"/>
      <c r="AV1328" s="47"/>
      <c r="AW1328" s="47"/>
      <c r="AX1328" s="47"/>
      <c r="AY1328" s="47"/>
      <c r="AZ1328" s="47"/>
      <c r="BA1328" s="47"/>
      <c r="BB1328" s="47"/>
      <c r="BC1328" s="47"/>
      <c r="BD1328" s="47"/>
      <c r="BE1328" s="47"/>
      <c r="BF1328" s="47"/>
    </row>
    <row r="1329" spans="3:58">
      <c r="C1329" s="47"/>
      <c r="D1329" s="47"/>
      <c r="E1329" s="47"/>
      <c r="F1329" s="47"/>
      <c r="G1329" s="47"/>
      <c r="H1329" s="47"/>
      <c r="I1329" s="47"/>
      <c r="J1329" s="47"/>
      <c r="K1329" s="47"/>
      <c r="L1329" s="47"/>
      <c r="M1329" s="47"/>
      <c r="N1329" s="47"/>
      <c r="O1329" s="47"/>
      <c r="P1329" s="47"/>
      <c r="Q1329" s="85"/>
      <c r="R1329" s="85"/>
      <c r="S1329" s="85"/>
      <c r="T1329" s="85"/>
      <c r="U1329" s="85"/>
      <c r="V1329" s="85"/>
      <c r="W1329" s="85"/>
      <c r="X1329" s="85"/>
      <c r="Y1329" s="85"/>
      <c r="Z1329" s="85"/>
      <c r="AA1329" s="85"/>
      <c r="AB1329" s="85"/>
      <c r="AC1329" s="85"/>
      <c r="AD1329" s="85"/>
      <c r="AE1329" s="47"/>
      <c r="AF1329" s="47"/>
      <c r="AG1329" s="47"/>
      <c r="AH1329" s="47"/>
      <c r="AI1329" s="47"/>
      <c r="AJ1329" s="47"/>
      <c r="AK1329" s="47"/>
      <c r="AL1329" s="47"/>
      <c r="AM1329" s="47"/>
      <c r="AN1329" s="47"/>
      <c r="AO1329" s="47"/>
      <c r="AP1329" s="47"/>
      <c r="AQ1329" s="47"/>
      <c r="AR1329" s="47"/>
      <c r="AS1329" s="47"/>
      <c r="AT1329" s="47"/>
      <c r="AU1329" s="47"/>
      <c r="AV1329" s="47"/>
      <c r="AW1329" s="47"/>
      <c r="AX1329" s="47"/>
      <c r="AY1329" s="47"/>
      <c r="AZ1329" s="47"/>
      <c r="BA1329" s="47"/>
      <c r="BB1329" s="47"/>
      <c r="BC1329" s="47"/>
      <c r="BD1329" s="47"/>
      <c r="BE1329" s="47"/>
      <c r="BF1329" s="47"/>
    </row>
    <row r="1330" spans="3:58">
      <c r="C1330" s="47"/>
      <c r="D1330" s="47"/>
      <c r="E1330" s="47"/>
      <c r="F1330" s="47"/>
      <c r="G1330" s="47"/>
      <c r="H1330" s="47"/>
      <c r="I1330" s="47"/>
      <c r="J1330" s="47"/>
      <c r="K1330" s="47"/>
      <c r="L1330" s="47"/>
      <c r="M1330" s="47"/>
      <c r="N1330" s="47"/>
      <c r="O1330" s="47"/>
      <c r="P1330" s="47"/>
      <c r="Q1330" s="85"/>
      <c r="R1330" s="85"/>
      <c r="S1330" s="85"/>
      <c r="T1330" s="85"/>
      <c r="U1330" s="85"/>
      <c r="V1330" s="85"/>
      <c r="W1330" s="85"/>
      <c r="X1330" s="85"/>
      <c r="Y1330" s="85"/>
      <c r="Z1330" s="85"/>
      <c r="AA1330" s="85"/>
      <c r="AB1330" s="85"/>
      <c r="AC1330" s="85"/>
      <c r="AD1330" s="85"/>
      <c r="AE1330" s="47"/>
      <c r="AF1330" s="47"/>
      <c r="AG1330" s="47"/>
      <c r="AH1330" s="47"/>
      <c r="AI1330" s="47"/>
      <c r="AJ1330" s="47"/>
      <c r="AK1330" s="47"/>
      <c r="AL1330" s="47"/>
      <c r="AM1330" s="47"/>
      <c r="AN1330" s="47"/>
      <c r="AO1330" s="47"/>
      <c r="AP1330" s="47"/>
      <c r="AQ1330" s="47"/>
      <c r="AR1330" s="47"/>
      <c r="AS1330" s="47"/>
      <c r="AT1330" s="47"/>
      <c r="AU1330" s="47"/>
      <c r="AV1330" s="47"/>
      <c r="AW1330" s="47"/>
      <c r="AX1330" s="47"/>
      <c r="AY1330" s="47"/>
      <c r="AZ1330" s="47"/>
      <c r="BA1330" s="47"/>
      <c r="BB1330" s="47"/>
      <c r="BC1330" s="47"/>
      <c r="BD1330" s="47"/>
      <c r="BE1330" s="47"/>
      <c r="BF1330" s="47"/>
    </row>
    <row r="1331" spans="3:58">
      <c r="C1331" s="47"/>
      <c r="D1331" s="47"/>
      <c r="E1331" s="47"/>
      <c r="F1331" s="47"/>
      <c r="G1331" s="47"/>
      <c r="H1331" s="47"/>
      <c r="I1331" s="47"/>
      <c r="J1331" s="47"/>
      <c r="K1331" s="47"/>
      <c r="L1331" s="47"/>
      <c r="M1331" s="47"/>
      <c r="N1331" s="47"/>
      <c r="O1331" s="47"/>
      <c r="P1331" s="47"/>
      <c r="Q1331" s="85"/>
      <c r="R1331" s="85"/>
      <c r="S1331" s="85"/>
      <c r="T1331" s="85"/>
      <c r="U1331" s="85"/>
      <c r="V1331" s="85"/>
      <c r="W1331" s="85"/>
      <c r="X1331" s="85"/>
      <c r="Y1331" s="85"/>
      <c r="Z1331" s="85"/>
      <c r="AA1331" s="85"/>
      <c r="AB1331" s="85"/>
      <c r="AC1331" s="85"/>
      <c r="AD1331" s="85"/>
      <c r="AE1331" s="47"/>
      <c r="AF1331" s="47"/>
      <c r="AG1331" s="47"/>
      <c r="AH1331" s="47"/>
      <c r="AI1331" s="47"/>
      <c r="AJ1331" s="47"/>
      <c r="AK1331" s="47"/>
      <c r="AL1331" s="47"/>
      <c r="AM1331" s="47"/>
      <c r="AN1331" s="47"/>
      <c r="AO1331" s="47"/>
      <c r="AP1331" s="47"/>
      <c r="AQ1331" s="47"/>
      <c r="AR1331" s="47"/>
      <c r="AS1331" s="47"/>
      <c r="AT1331" s="47"/>
      <c r="AU1331" s="47"/>
      <c r="AV1331" s="47"/>
      <c r="AW1331" s="47"/>
      <c r="AX1331" s="47"/>
      <c r="AY1331" s="47"/>
      <c r="AZ1331" s="47"/>
      <c r="BA1331" s="47"/>
      <c r="BB1331" s="47"/>
      <c r="BC1331" s="47"/>
      <c r="BD1331" s="47"/>
      <c r="BE1331" s="47"/>
      <c r="BF1331" s="47"/>
    </row>
    <row r="1332" spans="3:58">
      <c r="C1332" s="47"/>
      <c r="D1332" s="47"/>
      <c r="E1332" s="47"/>
      <c r="F1332" s="47"/>
      <c r="G1332" s="47"/>
      <c r="H1332" s="47"/>
      <c r="I1332" s="47"/>
      <c r="J1332" s="47"/>
      <c r="K1332" s="47"/>
      <c r="L1332" s="47"/>
      <c r="M1332" s="47"/>
      <c r="N1332" s="47"/>
      <c r="O1332" s="47"/>
      <c r="P1332" s="47"/>
      <c r="Q1332" s="85"/>
      <c r="R1332" s="85"/>
      <c r="S1332" s="85"/>
      <c r="T1332" s="85"/>
      <c r="U1332" s="85"/>
      <c r="V1332" s="85"/>
      <c r="W1332" s="85"/>
      <c r="X1332" s="85"/>
      <c r="Y1332" s="85"/>
      <c r="Z1332" s="85"/>
      <c r="AA1332" s="85"/>
      <c r="AB1332" s="85"/>
      <c r="AC1332" s="85"/>
      <c r="AD1332" s="85"/>
      <c r="AE1332" s="47"/>
      <c r="AF1332" s="47"/>
      <c r="AG1332" s="47"/>
      <c r="AH1332" s="47"/>
      <c r="AI1332" s="47"/>
      <c r="AJ1332" s="47"/>
      <c r="AK1332" s="47"/>
      <c r="AL1332" s="47"/>
      <c r="AM1332" s="47"/>
      <c r="AN1332" s="47"/>
      <c r="AO1332" s="47"/>
      <c r="AP1332" s="47"/>
      <c r="AQ1332" s="47"/>
      <c r="AR1332" s="47"/>
      <c r="AS1332" s="47"/>
      <c r="AT1332" s="47"/>
      <c r="AU1332" s="47"/>
      <c r="AV1332" s="47"/>
      <c r="AW1332" s="47"/>
      <c r="AX1332" s="47"/>
      <c r="AY1332" s="47"/>
      <c r="AZ1332" s="47"/>
      <c r="BA1332" s="47"/>
      <c r="BB1332" s="47"/>
      <c r="BC1332" s="47"/>
      <c r="BD1332" s="47"/>
      <c r="BE1332" s="47"/>
      <c r="BF1332" s="47"/>
    </row>
    <row r="1333" spans="3:58">
      <c r="C1333" s="47"/>
      <c r="D1333" s="47"/>
      <c r="E1333" s="47"/>
      <c r="F1333" s="47"/>
      <c r="G1333" s="47"/>
      <c r="H1333" s="47"/>
      <c r="I1333" s="47"/>
      <c r="J1333" s="47"/>
      <c r="K1333" s="47"/>
      <c r="L1333" s="47"/>
      <c r="M1333" s="47"/>
      <c r="N1333" s="47"/>
      <c r="O1333" s="47"/>
      <c r="P1333" s="47"/>
      <c r="Q1333" s="85"/>
      <c r="R1333" s="85"/>
      <c r="S1333" s="85"/>
      <c r="T1333" s="85"/>
      <c r="U1333" s="85"/>
      <c r="V1333" s="85"/>
      <c r="W1333" s="85"/>
      <c r="X1333" s="85"/>
      <c r="Y1333" s="85"/>
      <c r="Z1333" s="85"/>
      <c r="AA1333" s="85"/>
      <c r="AB1333" s="85"/>
      <c r="AC1333" s="85"/>
      <c r="AD1333" s="85"/>
      <c r="AE1333" s="47"/>
      <c r="AF1333" s="47"/>
      <c r="AG1333" s="47"/>
      <c r="AH1333" s="47"/>
      <c r="AI1333" s="47"/>
      <c r="AJ1333" s="47"/>
      <c r="AK1333" s="47"/>
      <c r="AL1333" s="47"/>
      <c r="AM1333" s="47"/>
      <c r="AN1333" s="47"/>
      <c r="AO1333" s="47"/>
      <c r="AP1333" s="47"/>
      <c r="AQ1333" s="47"/>
      <c r="AR1333" s="47"/>
      <c r="AS1333" s="47"/>
      <c r="AT1333" s="47"/>
      <c r="AU1333" s="47"/>
      <c r="AV1333" s="47"/>
      <c r="AW1333" s="47"/>
      <c r="AX1333" s="47"/>
      <c r="AY1333" s="47"/>
      <c r="AZ1333" s="47"/>
      <c r="BA1333" s="47"/>
      <c r="BB1333" s="47"/>
      <c r="BC1333" s="47"/>
      <c r="BD1333" s="47"/>
      <c r="BE1333" s="47"/>
      <c r="BF1333" s="47"/>
    </row>
    <row r="1334" spans="3:58">
      <c r="C1334" s="47"/>
      <c r="D1334" s="47"/>
      <c r="E1334" s="47"/>
      <c r="F1334" s="47"/>
      <c r="G1334" s="47"/>
      <c r="H1334" s="47"/>
      <c r="I1334" s="47"/>
      <c r="J1334" s="47"/>
      <c r="K1334" s="47"/>
      <c r="L1334" s="47"/>
      <c r="M1334" s="47"/>
      <c r="N1334" s="47"/>
      <c r="O1334" s="47"/>
      <c r="P1334" s="47"/>
      <c r="Q1334" s="85"/>
      <c r="R1334" s="85"/>
      <c r="S1334" s="85"/>
      <c r="T1334" s="85"/>
      <c r="U1334" s="85"/>
      <c r="V1334" s="85"/>
      <c r="W1334" s="85"/>
      <c r="X1334" s="85"/>
      <c r="Y1334" s="85"/>
      <c r="Z1334" s="85"/>
      <c r="AA1334" s="85"/>
      <c r="AB1334" s="85"/>
      <c r="AC1334" s="85"/>
      <c r="AD1334" s="85"/>
      <c r="AE1334" s="47"/>
      <c r="AF1334" s="47"/>
      <c r="AG1334" s="47"/>
      <c r="AH1334" s="47"/>
      <c r="AI1334" s="47"/>
      <c r="AJ1334" s="47"/>
      <c r="AK1334" s="47"/>
      <c r="AL1334" s="47"/>
      <c r="AM1334" s="47"/>
      <c r="AN1334" s="47"/>
      <c r="AO1334" s="47"/>
      <c r="AP1334" s="47"/>
      <c r="AQ1334" s="47"/>
      <c r="AR1334" s="47"/>
      <c r="AS1334" s="47"/>
      <c r="AT1334" s="47"/>
      <c r="AU1334" s="47"/>
      <c r="AV1334" s="47"/>
      <c r="AW1334" s="47"/>
      <c r="AX1334" s="47"/>
      <c r="AY1334" s="47"/>
      <c r="AZ1334" s="47"/>
      <c r="BA1334" s="47"/>
      <c r="BB1334" s="47"/>
      <c r="BC1334" s="47"/>
      <c r="BD1334" s="47"/>
      <c r="BE1334" s="47"/>
      <c r="BF1334" s="47"/>
    </row>
    <row r="1335" spans="3:58">
      <c r="C1335" s="47"/>
      <c r="D1335" s="47"/>
      <c r="E1335" s="47"/>
      <c r="F1335" s="47"/>
      <c r="G1335" s="47"/>
      <c r="H1335" s="47"/>
      <c r="I1335" s="47"/>
      <c r="J1335" s="47"/>
      <c r="K1335" s="47"/>
      <c r="L1335" s="47"/>
      <c r="M1335" s="47"/>
      <c r="N1335" s="47"/>
      <c r="O1335" s="47"/>
      <c r="P1335" s="47"/>
      <c r="Q1335" s="85"/>
      <c r="R1335" s="85"/>
      <c r="S1335" s="85"/>
      <c r="T1335" s="85"/>
      <c r="U1335" s="85"/>
      <c r="V1335" s="85"/>
      <c r="W1335" s="85"/>
      <c r="X1335" s="85"/>
      <c r="Y1335" s="85"/>
      <c r="Z1335" s="85"/>
      <c r="AA1335" s="85"/>
      <c r="AB1335" s="85"/>
      <c r="AC1335" s="85"/>
      <c r="AD1335" s="85"/>
      <c r="AE1335" s="47"/>
      <c r="AF1335" s="47"/>
      <c r="AG1335" s="47"/>
      <c r="AH1335" s="47"/>
      <c r="AI1335" s="47"/>
      <c r="AJ1335" s="47"/>
      <c r="AK1335" s="47"/>
      <c r="AL1335" s="47"/>
      <c r="AM1335" s="47"/>
      <c r="AN1335" s="47"/>
      <c r="AO1335" s="47"/>
      <c r="AP1335" s="47"/>
      <c r="AQ1335" s="47"/>
      <c r="AR1335" s="47"/>
      <c r="AS1335" s="47"/>
      <c r="AT1335" s="47"/>
      <c r="AU1335" s="47"/>
      <c r="AV1335" s="47"/>
      <c r="AW1335" s="47"/>
      <c r="AX1335" s="47"/>
      <c r="AY1335" s="47"/>
      <c r="AZ1335" s="47"/>
      <c r="BA1335" s="47"/>
      <c r="BB1335" s="47"/>
      <c r="BC1335" s="47"/>
      <c r="BD1335" s="47"/>
      <c r="BE1335" s="47"/>
      <c r="BF1335" s="47"/>
    </row>
    <row r="1336" spans="3:58">
      <c r="C1336" s="47"/>
      <c r="D1336" s="47"/>
      <c r="E1336" s="47"/>
      <c r="F1336" s="47"/>
      <c r="G1336" s="47"/>
      <c r="H1336" s="47"/>
      <c r="I1336" s="47"/>
      <c r="J1336" s="47"/>
      <c r="K1336" s="47"/>
      <c r="L1336" s="47"/>
      <c r="M1336" s="47"/>
      <c r="N1336" s="47"/>
      <c r="O1336" s="47"/>
      <c r="P1336" s="47"/>
      <c r="Q1336" s="85"/>
      <c r="R1336" s="85"/>
      <c r="S1336" s="85"/>
      <c r="T1336" s="85"/>
      <c r="U1336" s="85"/>
      <c r="V1336" s="85"/>
      <c r="W1336" s="85"/>
      <c r="X1336" s="85"/>
      <c r="Y1336" s="85"/>
      <c r="Z1336" s="85"/>
      <c r="AA1336" s="85"/>
      <c r="AB1336" s="85"/>
      <c r="AC1336" s="85"/>
      <c r="AD1336" s="85"/>
      <c r="AE1336" s="47"/>
      <c r="AF1336" s="47"/>
      <c r="AG1336" s="47"/>
      <c r="AH1336" s="47"/>
      <c r="AI1336" s="47"/>
      <c r="AJ1336" s="47"/>
      <c r="AK1336" s="47"/>
      <c r="AL1336" s="47"/>
      <c r="AM1336" s="47"/>
      <c r="AN1336" s="47"/>
      <c r="AO1336" s="47"/>
      <c r="AP1336" s="47"/>
      <c r="AQ1336" s="47"/>
      <c r="AR1336" s="47"/>
      <c r="AS1336" s="47"/>
      <c r="AT1336" s="47"/>
      <c r="AU1336" s="47"/>
      <c r="AV1336" s="47"/>
      <c r="AW1336" s="47"/>
      <c r="AX1336" s="47"/>
      <c r="AY1336" s="47"/>
      <c r="AZ1336" s="47"/>
      <c r="BA1336" s="47"/>
      <c r="BB1336" s="47"/>
      <c r="BC1336" s="47"/>
      <c r="BD1336" s="47"/>
      <c r="BE1336" s="47"/>
      <c r="BF1336" s="47"/>
    </row>
    <row r="1337" spans="3:58">
      <c r="C1337" s="47"/>
      <c r="D1337" s="47"/>
      <c r="E1337" s="47"/>
      <c r="F1337" s="47"/>
      <c r="G1337" s="47"/>
      <c r="H1337" s="47"/>
      <c r="I1337" s="47"/>
      <c r="J1337" s="47"/>
      <c r="K1337" s="47"/>
      <c r="L1337" s="47"/>
      <c r="M1337" s="47"/>
      <c r="N1337" s="47"/>
      <c r="O1337" s="47"/>
      <c r="P1337" s="47"/>
      <c r="Q1337" s="85"/>
      <c r="R1337" s="85"/>
      <c r="S1337" s="85"/>
      <c r="T1337" s="85"/>
      <c r="U1337" s="85"/>
      <c r="V1337" s="85"/>
      <c r="W1337" s="85"/>
      <c r="X1337" s="85"/>
      <c r="Y1337" s="85"/>
      <c r="Z1337" s="85"/>
      <c r="AA1337" s="85"/>
      <c r="AB1337" s="85"/>
      <c r="AC1337" s="85"/>
      <c r="AD1337" s="85"/>
      <c r="AE1337" s="47"/>
      <c r="AF1337" s="47"/>
      <c r="AG1337" s="47"/>
      <c r="AH1337" s="47"/>
      <c r="AI1337" s="47"/>
      <c r="AJ1337" s="47"/>
      <c r="AK1337" s="47"/>
      <c r="AL1337" s="47"/>
      <c r="AM1337" s="47"/>
      <c r="AN1337" s="47"/>
      <c r="AO1337" s="47"/>
      <c r="AP1337" s="47"/>
      <c r="AQ1337" s="47"/>
      <c r="AR1337" s="47"/>
      <c r="AS1337" s="47"/>
      <c r="AT1337" s="47"/>
      <c r="AU1337" s="47"/>
      <c r="AV1337" s="47"/>
      <c r="AW1337" s="47"/>
      <c r="AX1337" s="47"/>
      <c r="AY1337" s="47"/>
      <c r="AZ1337" s="47"/>
      <c r="BA1337" s="47"/>
      <c r="BB1337" s="47"/>
      <c r="BC1337" s="47"/>
      <c r="BD1337" s="47"/>
      <c r="BE1337" s="47"/>
      <c r="BF1337" s="47"/>
    </row>
    <row r="1338" spans="3:58">
      <c r="C1338" s="47"/>
      <c r="D1338" s="47"/>
      <c r="E1338" s="47"/>
      <c r="F1338" s="47"/>
      <c r="G1338" s="47"/>
      <c r="H1338" s="47"/>
      <c r="I1338" s="47"/>
      <c r="J1338" s="47"/>
      <c r="K1338" s="47"/>
      <c r="L1338" s="47"/>
      <c r="M1338" s="47"/>
      <c r="N1338" s="47"/>
      <c r="O1338" s="47"/>
      <c r="P1338" s="47"/>
      <c r="Q1338" s="85"/>
      <c r="R1338" s="85"/>
      <c r="S1338" s="85"/>
      <c r="T1338" s="85"/>
      <c r="U1338" s="85"/>
      <c r="V1338" s="85"/>
      <c r="W1338" s="85"/>
      <c r="X1338" s="85"/>
      <c r="Y1338" s="85"/>
      <c r="Z1338" s="85"/>
      <c r="AA1338" s="85"/>
      <c r="AB1338" s="85"/>
      <c r="AC1338" s="85"/>
      <c r="AD1338" s="85"/>
      <c r="AE1338" s="47"/>
      <c r="AF1338" s="47"/>
      <c r="AG1338" s="47"/>
      <c r="AH1338" s="47"/>
      <c r="AI1338" s="47"/>
      <c r="AJ1338" s="47"/>
      <c r="AK1338" s="47"/>
      <c r="AL1338" s="47"/>
      <c r="AM1338" s="47"/>
      <c r="AN1338" s="47"/>
      <c r="AO1338" s="47"/>
      <c r="AP1338" s="47"/>
      <c r="AQ1338" s="47"/>
      <c r="AR1338" s="47"/>
      <c r="AS1338" s="47"/>
      <c r="AT1338" s="47"/>
      <c r="AU1338" s="47"/>
      <c r="AV1338" s="47"/>
      <c r="AW1338" s="47"/>
      <c r="AX1338" s="47"/>
      <c r="AY1338" s="47"/>
      <c r="AZ1338" s="47"/>
      <c r="BA1338" s="47"/>
      <c r="BB1338" s="47"/>
      <c r="BC1338" s="47"/>
      <c r="BD1338" s="47"/>
      <c r="BE1338" s="47"/>
      <c r="BF1338" s="47"/>
    </row>
    <row r="1339" spans="3:58">
      <c r="C1339" s="47"/>
      <c r="D1339" s="47"/>
      <c r="E1339" s="47"/>
      <c r="F1339" s="47"/>
      <c r="G1339" s="47"/>
      <c r="H1339" s="47"/>
      <c r="I1339" s="47"/>
      <c r="J1339" s="47"/>
      <c r="K1339" s="47"/>
      <c r="L1339" s="47"/>
      <c r="M1339" s="47"/>
      <c r="N1339" s="47"/>
      <c r="O1339" s="47"/>
      <c r="P1339" s="47"/>
      <c r="Q1339" s="85"/>
      <c r="R1339" s="85"/>
      <c r="S1339" s="85"/>
      <c r="T1339" s="85"/>
      <c r="U1339" s="85"/>
      <c r="V1339" s="85"/>
      <c r="W1339" s="85"/>
      <c r="X1339" s="85"/>
      <c r="Y1339" s="85"/>
      <c r="Z1339" s="85"/>
      <c r="AA1339" s="85"/>
      <c r="AB1339" s="85"/>
      <c r="AC1339" s="85"/>
      <c r="AD1339" s="85"/>
      <c r="AE1339" s="47"/>
      <c r="AF1339" s="47"/>
      <c r="AG1339" s="47"/>
      <c r="AH1339" s="47"/>
      <c r="AI1339" s="47"/>
      <c r="AJ1339" s="47"/>
      <c r="AK1339" s="47"/>
      <c r="AL1339" s="47"/>
      <c r="AM1339" s="47"/>
      <c r="AN1339" s="47"/>
      <c r="AO1339" s="47"/>
      <c r="AP1339" s="47"/>
      <c r="AQ1339" s="47"/>
      <c r="AR1339" s="47"/>
      <c r="AS1339" s="47"/>
      <c r="AT1339" s="47"/>
      <c r="AU1339" s="47"/>
      <c r="AV1339" s="47"/>
      <c r="AW1339" s="47"/>
      <c r="AX1339" s="47"/>
      <c r="AY1339" s="47"/>
      <c r="AZ1339" s="47"/>
      <c r="BA1339" s="47"/>
      <c r="BB1339" s="47"/>
      <c r="BC1339" s="47"/>
      <c r="BD1339" s="47"/>
      <c r="BE1339" s="47"/>
      <c r="BF1339" s="47"/>
    </row>
    <row r="1340" spans="3:58">
      <c r="C1340" s="47"/>
      <c r="D1340" s="47"/>
      <c r="E1340" s="47"/>
      <c r="F1340" s="47"/>
      <c r="G1340" s="47"/>
      <c r="H1340" s="47"/>
      <c r="I1340" s="47"/>
      <c r="J1340" s="47"/>
      <c r="K1340" s="47"/>
      <c r="L1340" s="47"/>
      <c r="M1340" s="47"/>
      <c r="N1340" s="47"/>
      <c r="O1340" s="47"/>
      <c r="P1340" s="47"/>
      <c r="Q1340" s="85"/>
      <c r="R1340" s="85"/>
      <c r="S1340" s="85"/>
      <c r="T1340" s="85"/>
      <c r="U1340" s="85"/>
      <c r="V1340" s="85"/>
      <c r="W1340" s="85"/>
      <c r="X1340" s="85"/>
      <c r="Y1340" s="85"/>
      <c r="Z1340" s="85"/>
      <c r="AA1340" s="85"/>
      <c r="AB1340" s="85"/>
      <c r="AC1340" s="85"/>
      <c r="AD1340" s="85"/>
      <c r="AE1340" s="47"/>
      <c r="AF1340" s="47"/>
      <c r="AG1340" s="47"/>
      <c r="AH1340" s="47"/>
      <c r="AI1340" s="47"/>
      <c r="AJ1340" s="47"/>
      <c r="AK1340" s="47"/>
      <c r="AL1340" s="47"/>
      <c r="AM1340" s="47"/>
      <c r="AN1340" s="47"/>
      <c r="AO1340" s="47"/>
      <c r="AP1340" s="47"/>
      <c r="AQ1340" s="47"/>
      <c r="AR1340" s="47"/>
      <c r="AS1340" s="47"/>
      <c r="AT1340" s="47"/>
      <c r="AU1340" s="47"/>
      <c r="AV1340" s="47"/>
      <c r="AW1340" s="47"/>
      <c r="AX1340" s="47"/>
      <c r="AY1340" s="47"/>
      <c r="AZ1340" s="47"/>
      <c r="BA1340" s="47"/>
      <c r="BB1340" s="47"/>
      <c r="BC1340" s="47"/>
      <c r="BD1340" s="47"/>
      <c r="BE1340" s="47"/>
      <c r="BF1340" s="47"/>
    </row>
    <row r="1341" spans="3:58">
      <c r="C1341" s="47"/>
      <c r="D1341" s="47"/>
      <c r="E1341" s="47"/>
      <c r="F1341" s="47"/>
      <c r="G1341" s="47"/>
      <c r="H1341" s="47"/>
      <c r="I1341" s="47"/>
      <c r="J1341" s="47"/>
      <c r="K1341" s="47"/>
      <c r="L1341" s="47"/>
      <c r="M1341" s="47"/>
      <c r="N1341" s="47"/>
      <c r="O1341" s="47"/>
      <c r="P1341" s="47"/>
      <c r="Q1341" s="85"/>
      <c r="R1341" s="85"/>
      <c r="S1341" s="85"/>
      <c r="T1341" s="85"/>
      <c r="U1341" s="85"/>
      <c r="V1341" s="85"/>
      <c r="W1341" s="85"/>
      <c r="X1341" s="85"/>
      <c r="Y1341" s="85"/>
      <c r="Z1341" s="85"/>
      <c r="AA1341" s="85"/>
      <c r="AB1341" s="85"/>
      <c r="AC1341" s="85"/>
      <c r="AD1341" s="85"/>
      <c r="AE1341" s="47"/>
      <c r="AF1341" s="47"/>
      <c r="AG1341" s="47"/>
      <c r="AH1341" s="47"/>
      <c r="AI1341" s="47"/>
      <c r="AJ1341" s="47"/>
      <c r="AK1341" s="47"/>
      <c r="AL1341" s="47"/>
      <c r="AM1341" s="47"/>
      <c r="AN1341" s="47"/>
      <c r="AO1341" s="47"/>
      <c r="AP1341" s="47"/>
      <c r="AQ1341" s="47"/>
      <c r="AR1341" s="47"/>
      <c r="AS1341" s="47"/>
      <c r="AT1341" s="47"/>
      <c r="AU1341" s="47"/>
      <c r="AV1341" s="47"/>
      <c r="AW1341" s="47"/>
      <c r="AX1341" s="47"/>
      <c r="AY1341" s="47"/>
      <c r="AZ1341" s="47"/>
      <c r="BA1341" s="47"/>
      <c r="BB1341" s="47"/>
      <c r="BC1341" s="47"/>
      <c r="BD1341" s="47"/>
      <c r="BE1341" s="47"/>
      <c r="BF1341" s="47"/>
    </row>
    <row r="1342" spans="3:58">
      <c r="C1342" s="47"/>
      <c r="D1342" s="47"/>
      <c r="E1342" s="47"/>
      <c r="F1342" s="47"/>
      <c r="G1342" s="47"/>
      <c r="H1342" s="47"/>
      <c r="I1342" s="47"/>
      <c r="J1342" s="47"/>
      <c r="K1342" s="47"/>
      <c r="L1342" s="47"/>
      <c r="M1342" s="47"/>
      <c r="N1342" s="47"/>
      <c r="O1342" s="47"/>
      <c r="P1342" s="47"/>
      <c r="Q1342" s="85"/>
      <c r="R1342" s="85"/>
      <c r="S1342" s="85"/>
      <c r="T1342" s="85"/>
      <c r="U1342" s="85"/>
      <c r="V1342" s="85"/>
      <c r="W1342" s="85"/>
      <c r="X1342" s="85"/>
      <c r="Y1342" s="85"/>
      <c r="Z1342" s="85"/>
      <c r="AA1342" s="85"/>
      <c r="AB1342" s="85"/>
      <c r="AC1342" s="85"/>
      <c r="AD1342" s="85"/>
      <c r="AE1342" s="47"/>
      <c r="AF1342" s="47"/>
      <c r="AG1342" s="47"/>
      <c r="AH1342" s="47"/>
      <c r="AI1342" s="47"/>
      <c r="AJ1342" s="47"/>
      <c r="AK1342" s="47"/>
      <c r="AL1342" s="47"/>
      <c r="AM1342" s="47"/>
      <c r="AN1342" s="47"/>
      <c r="AO1342" s="47"/>
      <c r="AP1342" s="47"/>
      <c r="AQ1342" s="47"/>
      <c r="AR1342" s="47"/>
      <c r="AS1342" s="47"/>
      <c r="AT1342" s="47"/>
      <c r="AU1342" s="47"/>
      <c r="AV1342" s="47"/>
      <c r="AW1342" s="47"/>
      <c r="AX1342" s="47"/>
      <c r="AY1342" s="47"/>
      <c r="AZ1342" s="47"/>
      <c r="BA1342" s="47"/>
      <c r="BB1342" s="47"/>
      <c r="BC1342" s="47"/>
      <c r="BD1342" s="47"/>
      <c r="BE1342" s="47"/>
      <c r="BF1342" s="47"/>
    </row>
    <row r="1343" spans="3:58">
      <c r="C1343" s="47"/>
      <c r="D1343" s="47"/>
      <c r="E1343" s="47"/>
      <c r="F1343" s="47"/>
      <c r="G1343" s="47"/>
      <c r="H1343" s="47"/>
      <c r="I1343" s="47"/>
      <c r="J1343" s="47"/>
      <c r="K1343" s="47"/>
      <c r="L1343" s="47"/>
      <c r="M1343" s="47"/>
      <c r="N1343" s="47"/>
      <c r="O1343" s="47"/>
      <c r="P1343" s="47"/>
      <c r="Q1343" s="85"/>
      <c r="R1343" s="85"/>
      <c r="S1343" s="85"/>
      <c r="T1343" s="85"/>
      <c r="U1343" s="85"/>
      <c r="V1343" s="85"/>
      <c r="W1343" s="85"/>
      <c r="X1343" s="85"/>
      <c r="Y1343" s="85"/>
      <c r="Z1343" s="85"/>
      <c r="AA1343" s="85"/>
      <c r="AB1343" s="85"/>
      <c r="AC1343" s="85"/>
      <c r="AD1343" s="85"/>
      <c r="AE1343" s="47"/>
      <c r="AF1343" s="47"/>
      <c r="AG1343" s="47"/>
      <c r="AH1343" s="47"/>
      <c r="AI1343" s="47"/>
      <c r="AJ1343" s="47"/>
      <c r="AK1343" s="47"/>
      <c r="AL1343" s="47"/>
      <c r="AM1343" s="47"/>
      <c r="AN1343" s="47"/>
      <c r="AO1343" s="47"/>
      <c r="AP1343" s="47"/>
      <c r="AQ1343" s="47"/>
      <c r="AR1343" s="47"/>
      <c r="AS1343" s="47"/>
      <c r="AT1343" s="47"/>
      <c r="AU1343" s="47"/>
      <c r="AV1343" s="47"/>
      <c r="AW1343" s="47"/>
      <c r="AX1343" s="47"/>
      <c r="AY1343" s="47"/>
      <c r="AZ1343" s="47"/>
      <c r="BA1343" s="47"/>
      <c r="BB1343" s="47"/>
      <c r="BC1343" s="47"/>
      <c r="BD1343" s="47"/>
      <c r="BE1343" s="47"/>
      <c r="BF1343" s="47"/>
    </row>
    <row r="1344" spans="3:58">
      <c r="C1344" s="47"/>
      <c r="D1344" s="47"/>
      <c r="E1344" s="47"/>
      <c r="F1344" s="47"/>
      <c r="G1344" s="47"/>
      <c r="H1344" s="47"/>
      <c r="I1344" s="47"/>
      <c r="J1344" s="47"/>
      <c r="K1344" s="47"/>
      <c r="L1344" s="47"/>
      <c r="M1344" s="47"/>
      <c r="N1344" s="47"/>
      <c r="O1344" s="47"/>
      <c r="P1344" s="47"/>
      <c r="Q1344" s="85"/>
      <c r="R1344" s="85"/>
      <c r="S1344" s="85"/>
      <c r="T1344" s="85"/>
      <c r="U1344" s="85"/>
      <c r="V1344" s="85"/>
      <c r="W1344" s="85"/>
      <c r="X1344" s="85"/>
      <c r="Y1344" s="85"/>
      <c r="Z1344" s="85"/>
      <c r="AA1344" s="85"/>
      <c r="AB1344" s="85"/>
      <c r="AC1344" s="85"/>
      <c r="AD1344" s="85"/>
      <c r="AE1344" s="47"/>
      <c r="AF1344" s="47"/>
      <c r="AG1344" s="47"/>
      <c r="AH1344" s="47"/>
      <c r="AI1344" s="47"/>
      <c r="AJ1344" s="47"/>
      <c r="AK1344" s="47"/>
      <c r="AL1344" s="47"/>
      <c r="AM1344" s="47"/>
      <c r="AN1344" s="47"/>
      <c r="AO1344" s="47"/>
      <c r="AP1344" s="47"/>
      <c r="AQ1344" s="47"/>
      <c r="AR1344" s="47"/>
      <c r="AS1344" s="47"/>
      <c r="AT1344" s="47"/>
      <c r="AU1344" s="47"/>
      <c r="AV1344" s="47"/>
      <c r="AW1344" s="47"/>
      <c r="AX1344" s="47"/>
      <c r="AY1344" s="47"/>
      <c r="AZ1344" s="47"/>
      <c r="BA1344" s="47"/>
      <c r="BB1344" s="47"/>
      <c r="BC1344" s="47"/>
      <c r="BD1344" s="47"/>
      <c r="BE1344" s="47"/>
      <c r="BF1344" s="47"/>
    </row>
    <row r="1345" spans="3:58">
      <c r="C1345" s="47"/>
      <c r="D1345" s="47"/>
      <c r="E1345" s="47"/>
      <c r="F1345" s="47"/>
      <c r="G1345" s="47"/>
      <c r="H1345" s="47"/>
      <c r="I1345" s="47"/>
      <c r="J1345" s="47"/>
      <c r="K1345" s="47"/>
      <c r="L1345" s="47"/>
      <c r="M1345" s="47"/>
      <c r="N1345" s="47"/>
      <c r="O1345" s="47"/>
      <c r="P1345" s="47"/>
      <c r="Q1345" s="85"/>
      <c r="R1345" s="85"/>
      <c r="S1345" s="85"/>
      <c r="T1345" s="85"/>
      <c r="U1345" s="85"/>
      <c r="V1345" s="85"/>
      <c r="W1345" s="85"/>
      <c r="X1345" s="85"/>
      <c r="Y1345" s="85"/>
      <c r="Z1345" s="85"/>
      <c r="AA1345" s="85"/>
      <c r="AB1345" s="85"/>
      <c r="AC1345" s="85"/>
      <c r="AD1345" s="85"/>
      <c r="AE1345" s="47"/>
      <c r="AF1345" s="47"/>
      <c r="AG1345" s="47"/>
      <c r="AH1345" s="47"/>
      <c r="AI1345" s="47"/>
      <c r="AJ1345" s="47"/>
      <c r="AK1345" s="47"/>
      <c r="AL1345" s="47"/>
      <c r="AM1345" s="47"/>
      <c r="AN1345" s="47"/>
      <c r="AO1345" s="47"/>
      <c r="AP1345" s="47"/>
      <c r="AQ1345" s="47"/>
      <c r="AR1345" s="47"/>
      <c r="AS1345" s="47"/>
      <c r="AT1345" s="47"/>
      <c r="AU1345" s="47"/>
      <c r="AV1345" s="47"/>
      <c r="AW1345" s="47"/>
      <c r="AX1345" s="47"/>
      <c r="AY1345" s="47"/>
      <c r="AZ1345" s="47"/>
      <c r="BA1345" s="47"/>
      <c r="BB1345" s="47"/>
      <c r="BC1345" s="47"/>
      <c r="BD1345" s="47"/>
      <c r="BE1345" s="47"/>
      <c r="BF1345" s="47"/>
    </row>
    <row r="1346" spans="3:58">
      <c r="C1346" s="47"/>
      <c r="D1346" s="47"/>
      <c r="E1346" s="47"/>
      <c r="F1346" s="47"/>
      <c r="G1346" s="47"/>
      <c r="H1346" s="47"/>
      <c r="I1346" s="47"/>
      <c r="J1346" s="47"/>
      <c r="K1346" s="47"/>
      <c r="L1346" s="47"/>
      <c r="M1346" s="47"/>
      <c r="N1346" s="47"/>
      <c r="O1346" s="47"/>
      <c r="P1346" s="47"/>
      <c r="Q1346" s="85"/>
      <c r="R1346" s="85"/>
      <c r="S1346" s="85"/>
      <c r="T1346" s="85"/>
      <c r="U1346" s="85"/>
      <c r="V1346" s="85"/>
      <c r="W1346" s="85"/>
      <c r="X1346" s="85"/>
      <c r="Y1346" s="85"/>
      <c r="Z1346" s="85"/>
      <c r="AA1346" s="85"/>
      <c r="AB1346" s="85"/>
      <c r="AC1346" s="85"/>
      <c r="AD1346" s="85"/>
      <c r="AE1346" s="47"/>
      <c r="AF1346" s="47"/>
      <c r="AG1346" s="47"/>
      <c r="AH1346" s="47"/>
      <c r="AI1346" s="47"/>
      <c r="AJ1346" s="47"/>
      <c r="AK1346" s="47"/>
      <c r="AL1346" s="47"/>
      <c r="AM1346" s="47"/>
      <c r="AN1346" s="47"/>
      <c r="AO1346" s="47"/>
      <c r="AP1346" s="47"/>
      <c r="AQ1346" s="47"/>
      <c r="AR1346" s="47"/>
      <c r="AS1346" s="47"/>
      <c r="AT1346" s="47"/>
      <c r="AU1346" s="47"/>
      <c r="AV1346" s="47"/>
      <c r="AW1346" s="47"/>
      <c r="AX1346" s="47"/>
      <c r="AY1346" s="47"/>
      <c r="AZ1346" s="47"/>
      <c r="BA1346" s="47"/>
      <c r="BB1346" s="47"/>
      <c r="BC1346" s="47"/>
      <c r="BD1346" s="47"/>
      <c r="BE1346" s="47"/>
      <c r="BF1346" s="47"/>
    </row>
    <row r="1347" spans="3:58">
      <c r="C1347" s="47"/>
      <c r="D1347" s="47"/>
      <c r="E1347" s="47"/>
      <c r="F1347" s="47"/>
      <c r="G1347" s="47"/>
      <c r="H1347" s="47"/>
      <c r="I1347" s="47"/>
      <c r="J1347" s="47"/>
      <c r="K1347" s="47"/>
      <c r="L1347" s="47"/>
      <c r="M1347" s="47"/>
      <c r="N1347" s="47"/>
      <c r="O1347" s="47"/>
      <c r="P1347" s="47"/>
      <c r="Q1347" s="85"/>
      <c r="R1347" s="85"/>
      <c r="S1347" s="85"/>
      <c r="T1347" s="85"/>
      <c r="U1347" s="85"/>
      <c r="V1347" s="85"/>
      <c r="W1347" s="85"/>
      <c r="X1347" s="85"/>
      <c r="Y1347" s="85"/>
      <c r="Z1347" s="85"/>
      <c r="AA1347" s="85"/>
      <c r="AB1347" s="85"/>
      <c r="AC1347" s="85"/>
      <c r="AD1347" s="85"/>
      <c r="AE1347" s="47"/>
      <c r="AF1347" s="47"/>
      <c r="AG1347" s="47"/>
      <c r="AH1347" s="47"/>
      <c r="AI1347" s="47"/>
      <c r="AJ1347" s="47"/>
      <c r="AK1347" s="47"/>
      <c r="AL1347" s="47"/>
      <c r="AM1347" s="47"/>
      <c r="AN1347" s="47"/>
      <c r="AO1347" s="47"/>
      <c r="AP1347" s="47"/>
      <c r="AQ1347" s="47"/>
      <c r="AR1347" s="47"/>
      <c r="AS1347" s="47"/>
      <c r="AT1347" s="47"/>
      <c r="AU1347" s="47"/>
      <c r="AV1347" s="47"/>
      <c r="AW1347" s="47"/>
      <c r="AX1347" s="47"/>
      <c r="AY1347" s="47"/>
      <c r="AZ1347" s="47"/>
      <c r="BA1347" s="47"/>
      <c r="BB1347" s="47"/>
      <c r="BC1347" s="47"/>
      <c r="BD1347" s="47"/>
      <c r="BE1347" s="47"/>
      <c r="BF1347" s="47"/>
    </row>
    <row r="1348" spans="3:58">
      <c r="C1348" s="47"/>
      <c r="D1348" s="47"/>
      <c r="E1348" s="47"/>
      <c r="F1348" s="47"/>
      <c r="G1348" s="47"/>
      <c r="H1348" s="47"/>
      <c r="I1348" s="47"/>
      <c r="J1348" s="47"/>
      <c r="K1348" s="47"/>
      <c r="L1348" s="47"/>
      <c r="M1348" s="47"/>
      <c r="N1348" s="47"/>
      <c r="O1348" s="47"/>
      <c r="P1348" s="47"/>
      <c r="Q1348" s="85"/>
      <c r="R1348" s="85"/>
      <c r="S1348" s="85"/>
      <c r="T1348" s="85"/>
      <c r="U1348" s="85"/>
      <c r="V1348" s="85"/>
      <c r="W1348" s="85"/>
      <c r="X1348" s="85"/>
      <c r="Y1348" s="85"/>
      <c r="Z1348" s="85"/>
      <c r="AA1348" s="85"/>
      <c r="AB1348" s="85"/>
      <c r="AC1348" s="85"/>
      <c r="AD1348" s="85"/>
      <c r="AE1348" s="47"/>
      <c r="AF1348" s="47"/>
      <c r="AG1348" s="47"/>
      <c r="AH1348" s="47"/>
      <c r="AI1348" s="47"/>
      <c r="AJ1348" s="47"/>
      <c r="AK1348" s="47"/>
      <c r="AL1348" s="47"/>
      <c r="AM1348" s="47"/>
      <c r="AN1348" s="47"/>
      <c r="AO1348" s="47"/>
      <c r="AP1348" s="47"/>
      <c r="AQ1348" s="47"/>
      <c r="AR1348" s="47"/>
      <c r="AS1348" s="47"/>
      <c r="AT1348" s="47"/>
      <c r="AU1348" s="47"/>
      <c r="AV1348" s="47"/>
      <c r="AW1348" s="47"/>
      <c r="AX1348" s="47"/>
      <c r="AY1348" s="47"/>
      <c r="AZ1348" s="47"/>
      <c r="BA1348" s="47"/>
      <c r="BB1348" s="47"/>
      <c r="BC1348" s="47"/>
      <c r="BD1348" s="47"/>
      <c r="BE1348" s="47"/>
      <c r="BF1348" s="47"/>
    </row>
    <row r="1349" spans="3:58">
      <c r="C1349" s="47"/>
      <c r="D1349" s="47"/>
      <c r="E1349" s="47"/>
      <c r="F1349" s="47"/>
      <c r="G1349" s="47"/>
      <c r="H1349" s="47"/>
      <c r="I1349" s="47"/>
      <c r="J1349" s="47"/>
      <c r="K1349" s="47"/>
      <c r="L1349" s="47"/>
      <c r="M1349" s="47"/>
      <c r="N1349" s="47"/>
      <c r="O1349" s="47"/>
      <c r="P1349" s="47"/>
      <c r="Q1349" s="85"/>
      <c r="R1349" s="85"/>
      <c r="S1349" s="85"/>
      <c r="T1349" s="85"/>
      <c r="U1349" s="85"/>
      <c r="V1349" s="85"/>
      <c r="W1349" s="85"/>
      <c r="X1349" s="85"/>
      <c r="Y1349" s="85"/>
      <c r="Z1349" s="85"/>
      <c r="AA1349" s="85"/>
      <c r="AB1349" s="85"/>
      <c r="AC1349" s="85"/>
      <c r="AD1349" s="85"/>
      <c r="AE1349" s="47"/>
      <c r="AF1349" s="47"/>
      <c r="AG1349" s="47"/>
      <c r="AH1349" s="47"/>
      <c r="AI1349" s="47"/>
      <c r="AJ1349" s="47"/>
      <c r="AK1349" s="47"/>
      <c r="AL1349" s="47"/>
      <c r="AM1349" s="47"/>
      <c r="AN1349" s="47"/>
      <c r="AO1349" s="47"/>
      <c r="AP1349" s="47"/>
      <c r="AQ1349" s="47"/>
      <c r="AR1349" s="47"/>
      <c r="AS1349" s="47"/>
      <c r="AT1349" s="47"/>
      <c r="AU1349" s="47"/>
      <c r="AV1349" s="47"/>
      <c r="AW1349" s="47"/>
      <c r="AX1349" s="47"/>
      <c r="AY1349" s="47"/>
      <c r="AZ1349" s="47"/>
      <c r="BA1349" s="47"/>
      <c r="BB1349" s="47"/>
      <c r="BC1349" s="47"/>
      <c r="BD1349" s="47"/>
      <c r="BE1349" s="47"/>
      <c r="BF1349" s="47"/>
    </row>
    <row r="1350" spans="3:58">
      <c r="C1350" s="47"/>
      <c r="D1350" s="47"/>
      <c r="E1350" s="47"/>
      <c r="F1350" s="47"/>
      <c r="G1350" s="47"/>
      <c r="H1350" s="47"/>
      <c r="I1350" s="47"/>
      <c r="J1350" s="47"/>
      <c r="K1350" s="47"/>
      <c r="L1350" s="47"/>
      <c r="M1350" s="47"/>
      <c r="N1350" s="47"/>
      <c r="O1350" s="47"/>
      <c r="P1350" s="47"/>
      <c r="Q1350" s="85"/>
      <c r="R1350" s="85"/>
      <c r="S1350" s="85"/>
      <c r="T1350" s="85"/>
      <c r="U1350" s="85"/>
      <c r="V1350" s="85"/>
      <c r="W1350" s="85"/>
      <c r="X1350" s="85"/>
      <c r="Y1350" s="85"/>
      <c r="Z1350" s="85"/>
      <c r="AA1350" s="85"/>
      <c r="AB1350" s="85"/>
      <c r="AC1350" s="85"/>
      <c r="AD1350" s="85"/>
      <c r="AE1350" s="47"/>
      <c r="AF1350" s="47"/>
      <c r="AG1350" s="47"/>
      <c r="AH1350" s="47"/>
      <c r="AI1350" s="47"/>
      <c r="AJ1350" s="47"/>
      <c r="AK1350" s="47"/>
      <c r="AL1350" s="47"/>
      <c r="AM1350" s="47"/>
      <c r="AN1350" s="47"/>
      <c r="AO1350" s="47"/>
      <c r="AP1350" s="47"/>
      <c r="AQ1350" s="47"/>
      <c r="AR1350" s="47"/>
      <c r="AS1350" s="47"/>
      <c r="AT1350" s="47"/>
      <c r="AU1350" s="47"/>
      <c r="AV1350" s="47"/>
      <c r="AW1350" s="47"/>
      <c r="AX1350" s="47"/>
      <c r="AY1350" s="47"/>
      <c r="AZ1350" s="47"/>
      <c r="BA1350" s="47"/>
      <c r="BB1350" s="47"/>
      <c r="BC1350" s="47"/>
      <c r="BD1350" s="47"/>
      <c r="BE1350" s="47"/>
      <c r="BF1350" s="47"/>
    </row>
    <row r="1351" spans="3:58">
      <c r="C1351" s="47"/>
      <c r="D1351" s="47"/>
      <c r="E1351" s="47"/>
      <c r="F1351" s="47"/>
      <c r="G1351" s="47"/>
      <c r="H1351" s="47"/>
      <c r="I1351" s="47"/>
      <c r="J1351" s="47"/>
      <c r="K1351" s="47"/>
      <c r="L1351" s="47"/>
      <c r="M1351" s="47"/>
      <c r="N1351" s="47"/>
      <c r="O1351" s="47"/>
      <c r="P1351" s="47"/>
      <c r="Q1351" s="85"/>
      <c r="R1351" s="85"/>
      <c r="S1351" s="85"/>
      <c r="T1351" s="85"/>
      <c r="U1351" s="85"/>
      <c r="V1351" s="85"/>
      <c r="W1351" s="85"/>
      <c r="X1351" s="85"/>
      <c r="Y1351" s="85"/>
      <c r="Z1351" s="85"/>
      <c r="AA1351" s="85"/>
      <c r="AB1351" s="85"/>
      <c r="AC1351" s="85"/>
      <c r="AD1351" s="85"/>
      <c r="AE1351" s="47"/>
      <c r="AF1351" s="47"/>
      <c r="AG1351" s="47"/>
      <c r="AH1351" s="47"/>
      <c r="AI1351" s="47"/>
      <c r="AJ1351" s="47"/>
      <c r="AK1351" s="47"/>
      <c r="AL1351" s="47"/>
      <c r="AM1351" s="47"/>
      <c r="AN1351" s="47"/>
      <c r="AO1351" s="47"/>
      <c r="AP1351" s="47"/>
      <c r="AQ1351" s="47"/>
      <c r="AR1351" s="47"/>
      <c r="AS1351" s="47"/>
      <c r="AT1351" s="47"/>
      <c r="AU1351" s="47"/>
      <c r="AV1351" s="47"/>
      <c r="AW1351" s="47"/>
      <c r="AX1351" s="47"/>
      <c r="AY1351" s="47"/>
      <c r="AZ1351" s="47"/>
      <c r="BA1351" s="47"/>
      <c r="BB1351" s="47"/>
      <c r="BC1351" s="47"/>
      <c r="BD1351" s="47"/>
      <c r="BE1351" s="47"/>
      <c r="BF1351" s="47"/>
    </row>
    <row r="1352" spans="3:58">
      <c r="C1352" s="47"/>
      <c r="D1352" s="47"/>
      <c r="E1352" s="47"/>
      <c r="F1352" s="47"/>
      <c r="G1352" s="47"/>
      <c r="H1352" s="47"/>
      <c r="I1352" s="47"/>
      <c r="J1352" s="47"/>
      <c r="K1352" s="47"/>
      <c r="L1352" s="47"/>
      <c r="M1352" s="47"/>
      <c r="N1352" s="47"/>
      <c r="O1352" s="47"/>
      <c r="P1352" s="47"/>
      <c r="Q1352" s="85"/>
      <c r="R1352" s="85"/>
      <c r="S1352" s="85"/>
      <c r="T1352" s="85"/>
      <c r="U1352" s="85"/>
      <c r="V1352" s="85"/>
      <c r="W1352" s="85"/>
      <c r="X1352" s="85"/>
      <c r="Y1352" s="85"/>
      <c r="Z1352" s="85"/>
      <c r="AA1352" s="85"/>
      <c r="AB1352" s="85"/>
      <c r="AC1352" s="85"/>
      <c r="AD1352" s="85"/>
      <c r="AE1352" s="47"/>
      <c r="AF1352" s="47"/>
      <c r="AG1352" s="47"/>
      <c r="AH1352" s="47"/>
      <c r="AI1352" s="47"/>
      <c r="AJ1352" s="47"/>
      <c r="AK1352" s="47"/>
      <c r="AL1352" s="47"/>
      <c r="AM1352" s="47"/>
      <c r="AN1352" s="47"/>
      <c r="AO1352" s="47"/>
      <c r="AP1352" s="47"/>
      <c r="AQ1352" s="47"/>
      <c r="AR1352" s="47"/>
      <c r="AS1352" s="47"/>
      <c r="AT1352" s="47"/>
      <c r="AU1352" s="47"/>
      <c r="AV1352" s="47"/>
      <c r="AW1352" s="47"/>
      <c r="AX1352" s="47"/>
      <c r="AY1352" s="47"/>
      <c r="AZ1352" s="47"/>
      <c r="BA1352" s="47"/>
      <c r="BB1352" s="47"/>
      <c r="BC1352" s="47"/>
      <c r="BD1352" s="47"/>
      <c r="BE1352" s="47"/>
      <c r="BF1352" s="47"/>
    </row>
    <row r="1353" spans="3:58">
      <c r="C1353" s="47"/>
      <c r="D1353" s="47"/>
      <c r="E1353" s="47"/>
      <c r="F1353" s="47"/>
      <c r="G1353" s="47"/>
      <c r="H1353" s="47"/>
      <c r="I1353" s="47"/>
      <c r="J1353" s="47"/>
      <c r="K1353" s="47"/>
      <c r="L1353" s="47"/>
      <c r="M1353" s="47"/>
      <c r="N1353" s="47"/>
      <c r="O1353" s="47"/>
      <c r="P1353" s="47"/>
      <c r="Q1353" s="85"/>
      <c r="R1353" s="85"/>
      <c r="S1353" s="85"/>
      <c r="T1353" s="85"/>
      <c r="U1353" s="85"/>
      <c r="V1353" s="85"/>
      <c r="W1353" s="85"/>
      <c r="X1353" s="85"/>
      <c r="Y1353" s="85"/>
      <c r="Z1353" s="85"/>
      <c r="AA1353" s="85"/>
      <c r="AB1353" s="85"/>
      <c r="AC1353" s="85"/>
      <c r="AD1353" s="85"/>
      <c r="AE1353" s="47"/>
      <c r="AF1353" s="47"/>
      <c r="AG1353" s="47"/>
      <c r="AH1353" s="47"/>
      <c r="AI1353" s="47"/>
      <c r="AJ1353" s="47"/>
      <c r="AK1353" s="47"/>
      <c r="AL1353" s="47"/>
      <c r="AM1353" s="47"/>
      <c r="AN1353" s="47"/>
      <c r="AO1353" s="47"/>
      <c r="AP1353" s="47"/>
      <c r="AQ1353" s="47"/>
      <c r="AR1353" s="47"/>
      <c r="AS1353" s="47"/>
      <c r="AT1353" s="47"/>
      <c r="AU1353" s="47"/>
      <c r="AV1353" s="47"/>
      <c r="AW1353" s="47"/>
      <c r="AX1353" s="47"/>
      <c r="AY1353" s="47"/>
      <c r="AZ1353" s="47"/>
      <c r="BA1353" s="47"/>
      <c r="BB1353" s="47"/>
      <c r="BC1353" s="47"/>
      <c r="BD1353" s="47"/>
      <c r="BE1353" s="47"/>
      <c r="BF1353" s="47"/>
    </row>
    <row r="1354" spans="3:58">
      <c r="C1354" s="47"/>
      <c r="D1354" s="47"/>
      <c r="E1354" s="47"/>
      <c r="F1354" s="47"/>
      <c r="G1354" s="47"/>
      <c r="H1354" s="47"/>
      <c r="I1354" s="47"/>
      <c r="J1354" s="47"/>
      <c r="K1354" s="47"/>
      <c r="L1354" s="47"/>
      <c r="M1354" s="47"/>
      <c r="N1354" s="47"/>
      <c r="O1354" s="47"/>
      <c r="P1354" s="47"/>
      <c r="Q1354" s="85"/>
      <c r="R1354" s="85"/>
      <c r="S1354" s="85"/>
      <c r="T1354" s="85"/>
      <c r="U1354" s="85"/>
      <c r="V1354" s="85"/>
      <c r="W1354" s="85"/>
      <c r="X1354" s="85"/>
      <c r="Y1354" s="85"/>
      <c r="Z1354" s="85"/>
      <c r="AA1354" s="85"/>
      <c r="AB1354" s="85"/>
      <c r="AC1354" s="85"/>
      <c r="AD1354" s="85"/>
      <c r="AE1354" s="47"/>
      <c r="AF1354" s="47"/>
      <c r="AG1354" s="47"/>
      <c r="AH1354" s="47"/>
      <c r="AI1354" s="47"/>
      <c r="AJ1354" s="47"/>
      <c r="AK1354" s="47"/>
      <c r="AL1354" s="47"/>
      <c r="AM1354" s="47"/>
      <c r="AN1354" s="47"/>
      <c r="AO1354" s="47"/>
      <c r="AP1354" s="47"/>
      <c r="AQ1354" s="47"/>
      <c r="AR1354" s="47"/>
      <c r="AS1354" s="47"/>
      <c r="AT1354" s="47"/>
      <c r="AU1354" s="47"/>
      <c r="AV1354" s="47"/>
      <c r="AW1354" s="47"/>
      <c r="AX1354" s="47"/>
      <c r="AY1354" s="47"/>
      <c r="AZ1354" s="47"/>
      <c r="BA1354" s="47"/>
      <c r="BB1354" s="47"/>
      <c r="BC1354" s="47"/>
      <c r="BD1354" s="47"/>
      <c r="BE1354" s="47"/>
      <c r="BF1354" s="47"/>
    </row>
    <row r="1355" spans="3:58">
      <c r="C1355" s="47"/>
      <c r="D1355" s="47"/>
      <c r="E1355" s="47"/>
      <c r="F1355" s="47"/>
      <c r="G1355" s="47"/>
      <c r="H1355" s="47"/>
      <c r="I1355" s="47"/>
      <c r="J1355" s="47"/>
      <c r="K1355" s="47"/>
      <c r="L1355" s="47"/>
      <c r="M1355" s="47"/>
      <c r="N1355" s="47"/>
      <c r="O1355" s="47"/>
      <c r="P1355" s="47"/>
      <c r="Q1355" s="85"/>
      <c r="R1355" s="85"/>
      <c r="S1355" s="85"/>
      <c r="T1355" s="85"/>
      <c r="U1355" s="85"/>
      <c r="V1355" s="85"/>
      <c r="W1355" s="85"/>
      <c r="X1355" s="85"/>
      <c r="Y1355" s="85"/>
      <c r="Z1355" s="85"/>
      <c r="AA1355" s="85"/>
      <c r="AB1355" s="85"/>
      <c r="AC1355" s="85"/>
      <c r="AD1355" s="85"/>
      <c r="AE1355" s="47"/>
      <c r="AF1355" s="47"/>
      <c r="AG1355" s="47"/>
      <c r="AH1355" s="47"/>
      <c r="AI1355" s="47"/>
      <c r="AJ1355" s="47"/>
      <c r="AK1355" s="47"/>
      <c r="AL1355" s="47"/>
      <c r="AM1355" s="47"/>
      <c r="AN1355" s="47"/>
      <c r="AO1355" s="47"/>
      <c r="AP1355" s="47"/>
      <c r="AQ1355" s="47"/>
      <c r="AR1355" s="47"/>
      <c r="AS1355" s="47"/>
      <c r="AT1355" s="47"/>
      <c r="AU1355" s="47"/>
      <c r="AV1355" s="47"/>
      <c r="AW1355" s="47"/>
      <c r="AX1355" s="47"/>
      <c r="AY1355" s="47"/>
      <c r="AZ1355" s="47"/>
      <c r="BA1355" s="47"/>
      <c r="BB1355" s="47"/>
      <c r="BC1355" s="47"/>
      <c r="BD1355" s="47"/>
      <c r="BE1355" s="47"/>
      <c r="BF1355" s="47"/>
    </row>
    <row r="1356" spans="3:58">
      <c r="C1356" s="47"/>
      <c r="D1356" s="47"/>
      <c r="E1356" s="47"/>
      <c r="F1356" s="47"/>
      <c r="G1356" s="47"/>
      <c r="H1356" s="47"/>
      <c r="I1356" s="47"/>
      <c r="J1356" s="47"/>
      <c r="K1356" s="47"/>
      <c r="L1356" s="47"/>
      <c r="M1356" s="47"/>
      <c r="N1356" s="47"/>
      <c r="O1356" s="47"/>
      <c r="P1356" s="47"/>
      <c r="Q1356" s="85"/>
      <c r="R1356" s="85"/>
      <c r="S1356" s="85"/>
      <c r="T1356" s="85"/>
      <c r="U1356" s="85"/>
      <c r="V1356" s="85"/>
      <c r="W1356" s="85"/>
      <c r="X1356" s="85"/>
      <c r="Y1356" s="85"/>
      <c r="Z1356" s="85"/>
      <c r="AA1356" s="85"/>
      <c r="AB1356" s="85"/>
      <c r="AC1356" s="85"/>
      <c r="AD1356" s="85"/>
      <c r="AE1356" s="47"/>
      <c r="AF1356" s="47"/>
      <c r="AG1356" s="47"/>
      <c r="AH1356" s="47"/>
      <c r="AI1356" s="47"/>
      <c r="AJ1356" s="47"/>
      <c r="AK1356" s="47"/>
      <c r="AL1356" s="47"/>
      <c r="AM1356" s="47"/>
      <c r="AN1356" s="47"/>
      <c r="AO1356" s="47"/>
      <c r="AP1356" s="47"/>
      <c r="AQ1356" s="47"/>
      <c r="AR1356" s="47"/>
      <c r="AS1356" s="47"/>
      <c r="AT1356" s="47"/>
      <c r="AU1356" s="47"/>
      <c r="AV1356" s="47"/>
      <c r="AW1356" s="47"/>
      <c r="AX1356" s="47"/>
      <c r="AY1356" s="47"/>
      <c r="AZ1356" s="47"/>
      <c r="BA1356" s="47"/>
      <c r="BB1356" s="47"/>
      <c r="BC1356" s="47"/>
      <c r="BD1356" s="47"/>
      <c r="BE1356" s="47"/>
      <c r="BF1356" s="47"/>
    </row>
    <row r="1357" spans="3:58">
      <c r="C1357" s="47"/>
      <c r="D1357" s="47"/>
      <c r="E1357" s="47"/>
      <c r="F1357" s="47"/>
      <c r="G1357" s="47"/>
      <c r="H1357" s="47"/>
      <c r="I1357" s="47"/>
      <c r="J1357" s="47"/>
      <c r="K1357" s="47"/>
      <c r="L1357" s="47"/>
      <c r="M1357" s="47"/>
      <c r="N1357" s="47"/>
      <c r="O1357" s="47"/>
      <c r="P1357" s="47"/>
      <c r="Q1357" s="85"/>
      <c r="R1357" s="85"/>
      <c r="S1357" s="85"/>
      <c r="T1357" s="85"/>
      <c r="U1357" s="85"/>
      <c r="V1357" s="85"/>
      <c r="W1357" s="85"/>
      <c r="X1357" s="85"/>
      <c r="Y1357" s="85"/>
      <c r="Z1357" s="85"/>
      <c r="AA1357" s="85"/>
      <c r="AB1357" s="85"/>
      <c r="AC1357" s="85"/>
      <c r="AD1357" s="85"/>
      <c r="AE1357" s="47"/>
      <c r="AF1357" s="47"/>
      <c r="AG1357" s="47"/>
      <c r="AH1357" s="47"/>
      <c r="AI1357" s="47"/>
      <c r="AJ1357" s="47"/>
      <c r="AK1357" s="47"/>
      <c r="AL1357" s="47"/>
      <c r="AM1357" s="47"/>
      <c r="AN1357" s="47"/>
      <c r="AO1357" s="47"/>
      <c r="AP1357" s="47"/>
      <c r="AQ1357" s="47"/>
      <c r="AR1357" s="47"/>
      <c r="AS1357" s="47"/>
      <c r="AT1357" s="47"/>
      <c r="AU1357" s="47"/>
      <c r="AV1357" s="47"/>
      <c r="AW1357" s="47"/>
      <c r="AX1357" s="47"/>
      <c r="AY1357" s="47"/>
      <c r="AZ1357" s="47"/>
      <c r="BA1357" s="47"/>
      <c r="BB1357" s="47"/>
      <c r="BC1357" s="47"/>
      <c r="BD1357" s="47"/>
      <c r="BE1357" s="47"/>
      <c r="BF1357" s="47"/>
    </row>
    <row r="1358" spans="3:58">
      <c r="C1358" s="47"/>
      <c r="D1358" s="47"/>
      <c r="E1358" s="47"/>
      <c r="F1358" s="47"/>
      <c r="G1358" s="47"/>
      <c r="H1358" s="47"/>
      <c r="I1358" s="47"/>
      <c r="J1358" s="47"/>
      <c r="K1358" s="47"/>
      <c r="L1358" s="47"/>
      <c r="M1358" s="47"/>
      <c r="N1358" s="47"/>
      <c r="O1358" s="47"/>
      <c r="P1358" s="47"/>
      <c r="Q1358" s="85"/>
      <c r="R1358" s="85"/>
      <c r="S1358" s="85"/>
      <c r="T1358" s="85"/>
      <c r="U1358" s="85"/>
      <c r="V1358" s="85"/>
      <c r="W1358" s="85"/>
      <c r="X1358" s="85"/>
      <c r="Y1358" s="85"/>
      <c r="Z1358" s="85"/>
      <c r="AA1358" s="85"/>
      <c r="AB1358" s="85"/>
      <c r="AC1358" s="85"/>
      <c r="AD1358" s="85"/>
      <c r="AE1358" s="47"/>
      <c r="AF1358" s="47"/>
      <c r="AG1358" s="47"/>
      <c r="AH1358" s="47"/>
      <c r="AI1358" s="47"/>
      <c r="AJ1358" s="47"/>
      <c r="AK1358" s="47"/>
      <c r="AL1358" s="47"/>
      <c r="AM1358" s="47"/>
      <c r="AN1358" s="47"/>
      <c r="AO1358" s="47"/>
      <c r="AP1358" s="47"/>
      <c r="AQ1358" s="47"/>
      <c r="AR1358" s="47"/>
      <c r="AS1358" s="47"/>
      <c r="AT1358" s="47"/>
      <c r="AU1358" s="47"/>
      <c r="AV1358" s="47"/>
      <c r="AW1358" s="47"/>
      <c r="AX1358" s="47"/>
      <c r="AY1358" s="47"/>
      <c r="AZ1358" s="47"/>
      <c r="BA1358" s="47"/>
      <c r="BB1358" s="47"/>
      <c r="BC1358" s="47"/>
      <c r="BD1358" s="47"/>
      <c r="BE1358" s="47"/>
      <c r="BF1358" s="47"/>
    </row>
    <row r="1359" spans="3:58">
      <c r="C1359" s="47"/>
      <c r="D1359" s="47"/>
      <c r="E1359" s="47"/>
      <c r="F1359" s="47"/>
      <c r="G1359" s="47"/>
      <c r="H1359" s="47"/>
      <c r="I1359" s="47"/>
      <c r="J1359" s="47"/>
      <c r="K1359" s="47"/>
      <c r="L1359" s="47"/>
      <c r="M1359" s="47"/>
      <c r="N1359" s="47"/>
      <c r="O1359" s="47"/>
      <c r="P1359" s="47"/>
      <c r="Q1359" s="85"/>
      <c r="R1359" s="85"/>
      <c r="S1359" s="85"/>
      <c r="T1359" s="85"/>
      <c r="U1359" s="85"/>
      <c r="V1359" s="85"/>
      <c r="W1359" s="85"/>
      <c r="X1359" s="85"/>
      <c r="Y1359" s="85"/>
      <c r="Z1359" s="85"/>
      <c r="AA1359" s="85"/>
      <c r="AB1359" s="85"/>
      <c r="AC1359" s="85"/>
      <c r="AD1359" s="85"/>
      <c r="AE1359" s="47"/>
      <c r="AF1359" s="47"/>
      <c r="AG1359" s="47"/>
      <c r="AH1359" s="47"/>
      <c r="AI1359" s="47"/>
      <c r="AJ1359" s="47"/>
      <c r="AK1359" s="47"/>
      <c r="AL1359" s="47"/>
      <c r="AM1359" s="47"/>
      <c r="AN1359" s="47"/>
      <c r="AO1359" s="47"/>
      <c r="AP1359" s="47"/>
      <c r="AQ1359" s="47"/>
      <c r="AR1359" s="47"/>
      <c r="AS1359" s="47"/>
      <c r="AT1359" s="47"/>
      <c r="AU1359" s="47"/>
      <c r="AV1359" s="47"/>
      <c r="AW1359" s="47"/>
      <c r="AX1359" s="47"/>
      <c r="AY1359" s="47"/>
      <c r="AZ1359" s="47"/>
      <c r="BA1359" s="47"/>
      <c r="BB1359" s="47"/>
      <c r="BC1359" s="47"/>
      <c r="BD1359" s="47"/>
      <c r="BE1359" s="47"/>
      <c r="BF1359" s="47"/>
    </row>
    <row r="1360" spans="3:58">
      <c r="C1360" s="47"/>
      <c r="D1360" s="47"/>
      <c r="E1360" s="47"/>
      <c r="F1360" s="47"/>
      <c r="G1360" s="47"/>
      <c r="H1360" s="47"/>
      <c r="I1360" s="47"/>
      <c r="J1360" s="47"/>
      <c r="K1360" s="47"/>
      <c r="L1360" s="47"/>
      <c r="M1360" s="47"/>
      <c r="N1360" s="47"/>
      <c r="O1360" s="47"/>
      <c r="P1360" s="47"/>
      <c r="Q1360" s="85"/>
      <c r="R1360" s="85"/>
      <c r="S1360" s="85"/>
      <c r="T1360" s="85"/>
      <c r="U1360" s="85"/>
      <c r="V1360" s="85"/>
      <c r="W1360" s="85"/>
      <c r="X1360" s="85"/>
      <c r="Y1360" s="85"/>
      <c r="Z1360" s="85"/>
      <c r="AA1360" s="85"/>
      <c r="AB1360" s="85"/>
      <c r="AC1360" s="85"/>
      <c r="AD1360" s="85"/>
      <c r="AE1360" s="47"/>
      <c r="AF1360" s="47"/>
      <c r="AG1360" s="47"/>
      <c r="AH1360" s="47"/>
      <c r="AI1360" s="47"/>
      <c r="AJ1360" s="47"/>
      <c r="AK1360" s="47"/>
      <c r="AL1360" s="47"/>
      <c r="AM1360" s="47"/>
      <c r="AN1360" s="47"/>
      <c r="AO1360" s="47"/>
      <c r="AP1360" s="47"/>
      <c r="AQ1360" s="47"/>
      <c r="AR1360" s="47"/>
      <c r="AS1360" s="47"/>
      <c r="AT1360" s="47"/>
      <c r="AU1360" s="47"/>
      <c r="AV1360" s="47"/>
      <c r="AW1360" s="47"/>
      <c r="AX1360" s="47"/>
      <c r="AY1360" s="47"/>
      <c r="AZ1360" s="47"/>
      <c r="BA1360" s="47"/>
      <c r="BB1360" s="47"/>
      <c r="BC1360" s="47"/>
      <c r="BD1360" s="47"/>
      <c r="BE1360" s="47"/>
      <c r="BF1360" s="47"/>
    </row>
    <row r="1361" spans="3:58">
      <c r="C1361" s="47"/>
      <c r="D1361" s="47"/>
      <c r="E1361" s="47"/>
      <c r="F1361" s="47"/>
      <c r="G1361" s="47"/>
      <c r="H1361" s="47"/>
      <c r="I1361" s="47"/>
      <c r="J1361" s="47"/>
      <c r="K1361" s="47"/>
      <c r="L1361" s="47"/>
      <c r="M1361" s="47"/>
      <c r="N1361" s="47"/>
      <c r="O1361" s="47"/>
      <c r="P1361" s="47"/>
      <c r="Q1361" s="85"/>
      <c r="R1361" s="85"/>
      <c r="S1361" s="85"/>
      <c r="T1361" s="85"/>
      <c r="U1361" s="85"/>
      <c r="V1361" s="85"/>
      <c r="W1361" s="85"/>
      <c r="X1361" s="85"/>
      <c r="Y1361" s="85"/>
      <c r="Z1361" s="85"/>
      <c r="AA1361" s="85"/>
      <c r="AB1361" s="85"/>
      <c r="AC1361" s="85"/>
      <c r="AD1361" s="85"/>
      <c r="AE1361" s="47"/>
      <c r="AF1361" s="47"/>
      <c r="AG1361" s="47"/>
      <c r="AH1361" s="47"/>
      <c r="AI1361" s="47"/>
      <c r="AJ1361" s="47"/>
      <c r="AK1361" s="47"/>
      <c r="AL1361" s="47"/>
      <c r="AM1361" s="47"/>
      <c r="AN1361" s="47"/>
      <c r="AO1361" s="47"/>
      <c r="AP1361" s="47"/>
      <c r="AQ1361" s="47"/>
      <c r="AR1361" s="47"/>
      <c r="AS1361" s="47"/>
      <c r="AT1361" s="47"/>
      <c r="AU1361" s="47"/>
      <c r="AV1361" s="47"/>
      <c r="AW1361" s="47"/>
      <c r="AX1361" s="47"/>
      <c r="AY1361" s="47"/>
      <c r="AZ1361" s="47"/>
      <c r="BA1361" s="47"/>
      <c r="BB1361" s="47"/>
      <c r="BC1361" s="47"/>
      <c r="BD1361" s="47"/>
      <c r="BE1361" s="47"/>
      <c r="BF1361" s="47"/>
    </row>
    <row r="1362" spans="3:58">
      <c r="C1362" s="47"/>
      <c r="D1362" s="47"/>
      <c r="E1362" s="47"/>
      <c r="F1362" s="47"/>
      <c r="G1362" s="47"/>
      <c r="H1362" s="47"/>
      <c r="I1362" s="47"/>
      <c r="J1362" s="47"/>
      <c r="K1362" s="47"/>
      <c r="L1362" s="47"/>
      <c r="M1362" s="47"/>
      <c r="N1362" s="47"/>
      <c r="O1362" s="47"/>
      <c r="P1362" s="47"/>
      <c r="Q1362" s="85"/>
      <c r="R1362" s="85"/>
      <c r="S1362" s="85"/>
      <c r="T1362" s="85"/>
      <c r="U1362" s="85"/>
      <c r="V1362" s="85"/>
      <c r="W1362" s="85"/>
      <c r="X1362" s="85"/>
      <c r="Y1362" s="85"/>
      <c r="Z1362" s="85"/>
      <c r="AA1362" s="85"/>
      <c r="AB1362" s="85"/>
      <c r="AC1362" s="85"/>
      <c r="AD1362" s="85"/>
      <c r="AE1362" s="47"/>
      <c r="AF1362" s="47"/>
      <c r="AG1362" s="47"/>
      <c r="AH1362" s="47"/>
      <c r="AI1362" s="47"/>
      <c r="AJ1362" s="47"/>
      <c r="AK1362" s="47"/>
      <c r="AL1362" s="47"/>
      <c r="AM1362" s="47"/>
      <c r="AN1362" s="47"/>
      <c r="AO1362" s="47"/>
      <c r="AP1362" s="47"/>
      <c r="AQ1362" s="47"/>
      <c r="AR1362" s="47"/>
      <c r="AS1362" s="47"/>
      <c r="AT1362" s="47"/>
      <c r="AU1362" s="47"/>
      <c r="AV1362" s="47"/>
      <c r="AW1362" s="47"/>
      <c r="AX1362" s="47"/>
      <c r="AY1362" s="47"/>
      <c r="AZ1362" s="47"/>
      <c r="BA1362" s="47"/>
      <c r="BB1362" s="47"/>
      <c r="BC1362" s="47"/>
      <c r="BD1362" s="47"/>
      <c r="BE1362" s="47"/>
      <c r="BF1362" s="47"/>
    </row>
    <row r="1363" spans="3:58">
      <c r="C1363" s="47"/>
      <c r="D1363" s="47"/>
      <c r="E1363" s="47"/>
      <c r="F1363" s="47"/>
      <c r="G1363" s="47"/>
      <c r="H1363" s="47"/>
      <c r="I1363" s="47"/>
      <c r="J1363" s="47"/>
      <c r="K1363" s="47"/>
      <c r="L1363" s="47"/>
      <c r="M1363" s="47"/>
      <c r="N1363" s="47"/>
      <c r="O1363" s="47"/>
      <c r="P1363" s="47"/>
      <c r="Q1363" s="85"/>
      <c r="R1363" s="85"/>
      <c r="S1363" s="85"/>
      <c r="T1363" s="85"/>
      <c r="U1363" s="85"/>
      <c r="V1363" s="85"/>
      <c r="W1363" s="85"/>
      <c r="X1363" s="85"/>
      <c r="Y1363" s="85"/>
      <c r="Z1363" s="85"/>
      <c r="AA1363" s="85"/>
      <c r="AB1363" s="85"/>
      <c r="AC1363" s="85"/>
      <c r="AD1363" s="85"/>
      <c r="AE1363" s="47"/>
      <c r="AF1363" s="47"/>
      <c r="AG1363" s="47"/>
      <c r="AH1363" s="47"/>
      <c r="AI1363" s="47"/>
      <c r="AJ1363" s="47"/>
      <c r="AK1363" s="47"/>
      <c r="AL1363" s="47"/>
      <c r="AM1363" s="47"/>
      <c r="AN1363" s="47"/>
      <c r="AO1363" s="47"/>
      <c r="AP1363" s="47"/>
      <c r="AQ1363" s="47"/>
      <c r="AR1363" s="47"/>
      <c r="AS1363" s="47"/>
      <c r="AT1363" s="47"/>
      <c r="AU1363" s="47"/>
      <c r="AV1363" s="47"/>
      <c r="AW1363" s="47"/>
      <c r="AX1363" s="47"/>
      <c r="AY1363" s="47"/>
      <c r="AZ1363" s="47"/>
      <c r="BA1363" s="47"/>
      <c r="BB1363" s="47"/>
      <c r="BC1363" s="47"/>
      <c r="BD1363" s="47"/>
      <c r="BE1363" s="47"/>
      <c r="BF1363" s="47"/>
    </row>
    <row r="1364" spans="3:58">
      <c r="C1364" s="47"/>
      <c r="D1364" s="47"/>
      <c r="E1364" s="47"/>
      <c r="F1364" s="47"/>
      <c r="G1364" s="47"/>
      <c r="H1364" s="47"/>
      <c r="I1364" s="47"/>
      <c r="J1364" s="47"/>
      <c r="K1364" s="47"/>
      <c r="L1364" s="47"/>
      <c r="M1364" s="47"/>
      <c r="N1364" s="47"/>
      <c r="O1364" s="47"/>
      <c r="P1364" s="47"/>
      <c r="Q1364" s="85"/>
      <c r="R1364" s="85"/>
      <c r="S1364" s="85"/>
      <c r="T1364" s="85"/>
      <c r="U1364" s="85"/>
      <c r="V1364" s="85"/>
      <c r="W1364" s="85"/>
      <c r="X1364" s="85"/>
      <c r="Y1364" s="85"/>
      <c r="Z1364" s="85"/>
      <c r="AA1364" s="85"/>
      <c r="AB1364" s="85"/>
      <c r="AC1364" s="85"/>
      <c r="AD1364" s="85"/>
      <c r="AE1364" s="47"/>
      <c r="AF1364" s="47"/>
      <c r="AG1364" s="47"/>
      <c r="AH1364" s="47"/>
      <c r="AI1364" s="47"/>
      <c r="AJ1364" s="47"/>
      <c r="AK1364" s="47"/>
      <c r="AL1364" s="47"/>
      <c r="AM1364" s="47"/>
      <c r="AN1364" s="47"/>
      <c r="AO1364" s="47"/>
      <c r="AP1364" s="47"/>
      <c r="AQ1364" s="47"/>
      <c r="AR1364" s="47"/>
      <c r="AS1364" s="47"/>
      <c r="AT1364" s="47"/>
      <c r="AU1364" s="47"/>
      <c r="AV1364" s="47"/>
      <c r="AW1364" s="47"/>
      <c r="AX1364" s="47"/>
      <c r="AY1364" s="47"/>
      <c r="AZ1364" s="47"/>
      <c r="BA1364" s="47"/>
      <c r="BB1364" s="47"/>
      <c r="BC1364" s="47"/>
      <c r="BD1364" s="47"/>
      <c r="BE1364" s="47"/>
      <c r="BF1364" s="47"/>
    </row>
    <row r="1365" spans="3:58">
      <c r="C1365" s="47"/>
      <c r="D1365" s="47"/>
      <c r="E1365" s="47"/>
      <c r="F1365" s="47"/>
      <c r="G1365" s="47"/>
      <c r="H1365" s="47"/>
      <c r="I1365" s="47"/>
      <c r="J1365" s="47"/>
      <c r="K1365" s="47"/>
      <c r="L1365" s="47"/>
      <c r="M1365" s="47"/>
      <c r="N1365" s="47"/>
      <c r="O1365" s="47"/>
      <c r="P1365" s="47"/>
      <c r="Q1365" s="85"/>
      <c r="R1365" s="85"/>
      <c r="S1365" s="85"/>
      <c r="T1365" s="85"/>
      <c r="U1365" s="85"/>
      <c r="V1365" s="85"/>
      <c r="W1365" s="85"/>
      <c r="X1365" s="85"/>
      <c r="Y1365" s="85"/>
      <c r="Z1365" s="85"/>
      <c r="AA1365" s="85"/>
      <c r="AB1365" s="85"/>
      <c r="AC1365" s="85"/>
      <c r="AD1365" s="85"/>
      <c r="AE1365" s="47"/>
      <c r="AF1365" s="47"/>
      <c r="AG1365" s="47"/>
      <c r="AH1365" s="47"/>
      <c r="AI1365" s="47"/>
      <c r="AJ1365" s="47"/>
      <c r="AK1365" s="47"/>
      <c r="AL1365" s="47"/>
      <c r="AM1365" s="47"/>
      <c r="AN1365" s="47"/>
      <c r="AO1365" s="47"/>
      <c r="AP1365" s="47"/>
      <c r="AQ1365" s="47"/>
      <c r="AR1365" s="47"/>
      <c r="AS1365" s="47"/>
      <c r="AT1365" s="47"/>
      <c r="AU1365" s="47"/>
      <c r="AV1365" s="47"/>
      <c r="AW1365" s="47"/>
      <c r="AX1365" s="47"/>
      <c r="AY1365" s="47"/>
      <c r="AZ1365" s="47"/>
      <c r="BA1365" s="47"/>
      <c r="BB1365" s="47"/>
      <c r="BC1365" s="47"/>
      <c r="BD1365" s="47"/>
      <c r="BE1365" s="47"/>
      <c r="BF1365" s="47"/>
    </row>
    <row r="1366" spans="3:58">
      <c r="C1366" s="47"/>
      <c r="D1366" s="47"/>
      <c r="E1366" s="47"/>
      <c r="F1366" s="47"/>
      <c r="G1366" s="47"/>
      <c r="H1366" s="47"/>
      <c r="I1366" s="47"/>
      <c r="J1366" s="47"/>
      <c r="K1366" s="47"/>
      <c r="L1366" s="47"/>
      <c r="M1366" s="47"/>
      <c r="N1366" s="47"/>
      <c r="O1366" s="47"/>
      <c r="P1366" s="47"/>
      <c r="Q1366" s="85"/>
      <c r="R1366" s="85"/>
      <c r="S1366" s="85"/>
      <c r="T1366" s="85"/>
      <c r="U1366" s="85"/>
      <c r="V1366" s="85"/>
      <c r="W1366" s="85"/>
      <c r="X1366" s="85"/>
      <c r="Y1366" s="85"/>
      <c r="Z1366" s="85"/>
      <c r="AA1366" s="85"/>
      <c r="AB1366" s="85"/>
      <c r="AC1366" s="85"/>
      <c r="AD1366" s="85"/>
      <c r="AE1366" s="47"/>
      <c r="AF1366" s="47"/>
      <c r="AG1366" s="47"/>
      <c r="AH1366" s="47"/>
      <c r="AI1366" s="47"/>
      <c r="AJ1366" s="47"/>
      <c r="AK1366" s="47"/>
      <c r="AL1366" s="47"/>
      <c r="AM1366" s="47"/>
      <c r="AN1366" s="47"/>
      <c r="AO1366" s="47"/>
      <c r="AP1366" s="47"/>
      <c r="AQ1366" s="47"/>
      <c r="AR1366" s="47"/>
      <c r="AS1366" s="47"/>
      <c r="AT1366" s="47"/>
      <c r="AU1366" s="47"/>
      <c r="AV1366" s="47"/>
      <c r="AW1366" s="47"/>
      <c r="AX1366" s="47"/>
      <c r="AY1366" s="47"/>
      <c r="AZ1366" s="47"/>
      <c r="BA1366" s="47"/>
      <c r="BB1366" s="47"/>
      <c r="BC1366" s="47"/>
      <c r="BD1366" s="47"/>
      <c r="BE1366" s="47"/>
      <c r="BF1366" s="47"/>
    </row>
    <row r="1367" spans="3:58">
      <c r="C1367" s="47"/>
      <c r="D1367" s="47"/>
      <c r="E1367" s="47"/>
      <c r="F1367" s="47"/>
      <c r="G1367" s="47"/>
      <c r="H1367" s="47"/>
      <c r="I1367" s="47"/>
      <c r="J1367" s="47"/>
      <c r="K1367" s="47"/>
      <c r="L1367" s="47"/>
      <c r="M1367" s="47"/>
      <c r="N1367" s="47"/>
      <c r="O1367" s="47"/>
      <c r="P1367" s="47"/>
      <c r="Q1367" s="85"/>
      <c r="R1367" s="85"/>
      <c r="S1367" s="85"/>
      <c r="T1367" s="85"/>
      <c r="U1367" s="85"/>
      <c r="V1367" s="85"/>
      <c r="W1367" s="85"/>
      <c r="X1367" s="85"/>
      <c r="Y1367" s="85"/>
      <c r="Z1367" s="85"/>
      <c r="AA1367" s="85"/>
      <c r="AB1367" s="85"/>
      <c r="AC1367" s="85"/>
      <c r="AD1367" s="85"/>
      <c r="AE1367" s="47"/>
      <c r="AF1367" s="47"/>
      <c r="AG1367" s="47"/>
      <c r="AH1367" s="47"/>
      <c r="AI1367" s="47"/>
      <c r="AJ1367" s="47"/>
      <c r="AK1367" s="47"/>
      <c r="AL1367" s="47"/>
      <c r="AM1367" s="47"/>
      <c r="AN1367" s="47"/>
      <c r="AO1367" s="47"/>
      <c r="AP1367" s="47"/>
      <c r="AQ1367" s="47"/>
      <c r="AR1367" s="47"/>
      <c r="AS1367" s="47"/>
      <c r="AT1367" s="47"/>
      <c r="AU1367" s="47"/>
      <c r="AV1367" s="47"/>
      <c r="AW1367" s="47"/>
      <c r="AX1367" s="47"/>
      <c r="AY1367" s="47"/>
      <c r="AZ1367" s="47"/>
      <c r="BA1367" s="47"/>
      <c r="BB1367" s="47"/>
      <c r="BC1367" s="47"/>
      <c r="BD1367" s="47"/>
      <c r="BE1367" s="47"/>
      <c r="BF1367" s="47"/>
    </row>
    <row r="1368" spans="3:58">
      <c r="C1368" s="47"/>
      <c r="D1368" s="47"/>
      <c r="E1368" s="47"/>
      <c r="F1368" s="47"/>
      <c r="G1368" s="47"/>
      <c r="H1368" s="47"/>
      <c r="I1368" s="47"/>
      <c r="J1368" s="47"/>
      <c r="K1368" s="47"/>
      <c r="L1368" s="47"/>
      <c r="M1368" s="47"/>
      <c r="N1368" s="47"/>
      <c r="O1368" s="47"/>
      <c r="P1368" s="47"/>
      <c r="Q1368" s="85"/>
      <c r="R1368" s="85"/>
      <c r="S1368" s="85"/>
      <c r="T1368" s="85"/>
      <c r="U1368" s="85"/>
      <c r="V1368" s="85"/>
      <c r="W1368" s="85"/>
      <c r="X1368" s="85"/>
      <c r="Y1368" s="85"/>
      <c r="Z1368" s="85"/>
      <c r="AA1368" s="85"/>
      <c r="AB1368" s="85"/>
      <c r="AC1368" s="85"/>
      <c r="AD1368" s="85"/>
      <c r="AE1368" s="47"/>
      <c r="AF1368" s="47"/>
      <c r="AG1368" s="47"/>
      <c r="AH1368" s="47"/>
      <c r="AI1368" s="47"/>
      <c r="AJ1368" s="47"/>
      <c r="AK1368" s="47"/>
      <c r="AL1368" s="47"/>
      <c r="AM1368" s="47"/>
      <c r="AN1368" s="47"/>
      <c r="AO1368" s="47"/>
      <c r="AP1368" s="47"/>
      <c r="AQ1368" s="47"/>
      <c r="AR1368" s="47"/>
      <c r="AS1368" s="47"/>
      <c r="AT1368" s="47"/>
      <c r="AU1368" s="47"/>
      <c r="AV1368" s="47"/>
      <c r="AW1368" s="47"/>
      <c r="AX1368" s="47"/>
      <c r="AY1368" s="47"/>
      <c r="AZ1368" s="47"/>
      <c r="BA1368" s="47"/>
      <c r="BB1368" s="47"/>
      <c r="BC1368" s="47"/>
      <c r="BD1368" s="47"/>
      <c r="BE1368" s="47"/>
      <c r="BF1368" s="47"/>
    </row>
    <row r="1369" spans="3:58">
      <c r="C1369" s="47"/>
      <c r="D1369" s="47"/>
      <c r="E1369" s="47"/>
      <c r="F1369" s="47"/>
      <c r="G1369" s="47"/>
      <c r="H1369" s="47"/>
      <c r="I1369" s="47"/>
      <c r="J1369" s="47"/>
      <c r="K1369" s="47"/>
      <c r="L1369" s="47"/>
      <c r="M1369" s="47"/>
      <c r="N1369" s="47"/>
      <c r="O1369" s="47"/>
      <c r="P1369" s="47"/>
      <c r="Q1369" s="85"/>
      <c r="R1369" s="85"/>
      <c r="S1369" s="85"/>
      <c r="T1369" s="85"/>
      <c r="U1369" s="85"/>
      <c r="V1369" s="85"/>
      <c r="W1369" s="85"/>
      <c r="X1369" s="85"/>
      <c r="Y1369" s="85"/>
      <c r="Z1369" s="85"/>
      <c r="AA1369" s="85"/>
      <c r="AB1369" s="85"/>
      <c r="AC1369" s="85"/>
      <c r="AD1369" s="85"/>
      <c r="AE1369" s="47"/>
      <c r="AF1369" s="47"/>
      <c r="AG1369" s="47"/>
      <c r="AH1369" s="47"/>
      <c r="AI1369" s="47"/>
      <c r="AJ1369" s="47"/>
      <c r="AK1369" s="47"/>
      <c r="AL1369" s="47"/>
      <c r="AM1369" s="47"/>
      <c r="AN1369" s="47"/>
      <c r="AO1369" s="47"/>
      <c r="AP1369" s="47"/>
      <c r="AQ1369" s="47"/>
      <c r="AR1369" s="47"/>
      <c r="AS1369" s="47"/>
      <c r="AT1369" s="47"/>
      <c r="AU1369" s="47"/>
      <c r="AV1369" s="47"/>
      <c r="AW1369" s="47"/>
      <c r="AX1369" s="47"/>
      <c r="AY1369" s="47"/>
      <c r="AZ1369" s="47"/>
      <c r="BA1369" s="47"/>
      <c r="BB1369" s="47"/>
      <c r="BC1369" s="47"/>
      <c r="BD1369" s="47"/>
      <c r="BE1369" s="47"/>
      <c r="BF1369" s="47"/>
    </row>
    <row r="1370" spans="3:58">
      <c r="C1370" s="47"/>
      <c r="D1370" s="47"/>
      <c r="E1370" s="47"/>
      <c r="F1370" s="47"/>
      <c r="G1370" s="47"/>
      <c r="H1370" s="47"/>
      <c r="I1370" s="47"/>
      <c r="J1370" s="47"/>
      <c r="K1370" s="47"/>
      <c r="L1370" s="47"/>
      <c r="M1370" s="47"/>
      <c r="N1370" s="47"/>
      <c r="O1370" s="47"/>
      <c r="P1370" s="47"/>
      <c r="Q1370" s="85"/>
      <c r="R1370" s="85"/>
      <c r="S1370" s="85"/>
      <c r="T1370" s="85"/>
      <c r="U1370" s="85"/>
      <c r="V1370" s="85"/>
      <c r="W1370" s="85"/>
      <c r="X1370" s="85"/>
      <c r="Y1370" s="85"/>
      <c r="Z1370" s="85"/>
      <c r="AA1370" s="85"/>
      <c r="AB1370" s="85"/>
      <c r="AC1370" s="85"/>
      <c r="AD1370" s="85"/>
      <c r="AE1370" s="47"/>
      <c r="AF1370" s="47"/>
      <c r="AG1370" s="47"/>
      <c r="AH1370" s="47"/>
      <c r="AI1370" s="47"/>
      <c r="AJ1370" s="47"/>
      <c r="AK1370" s="47"/>
      <c r="AL1370" s="47"/>
      <c r="AM1370" s="47"/>
      <c r="AN1370" s="47"/>
      <c r="AO1370" s="47"/>
      <c r="AP1370" s="47"/>
      <c r="AQ1370" s="47"/>
      <c r="AR1370" s="47"/>
      <c r="AS1370" s="47"/>
      <c r="AT1370" s="47"/>
      <c r="AU1370" s="47"/>
      <c r="AV1370" s="47"/>
      <c r="AW1370" s="47"/>
      <c r="AX1370" s="47"/>
      <c r="AY1370" s="47"/>
      <c r="AZ1370" s="47"/>
      <c r="BA1370" s="47"/>
      <c r="BB1370" s="47"/>
      <c r="BC1370" s="47"/>
      <c r="BD1370" s="47"/>
      <c r="BE1370" s="47"/>
      <c r="BF1370" s="47"/>
    </row>
    <row r="1371" spans="3:58">
      <c r="C1371" s="47"/>
      <c r="D1371" s="47"/>
      <c r="E1371" s="47"/>
      <c r="F1371" s="47"/>
      <c r="G1371" s="47"/>
      <c r="H1371" s="47"/>
      <c r="I1371" s="47"/>
      <c r="J1371" s="47"/>
      <c r="K1371" s="47"/>
      <c r="L1371" s="47"/>
      <c r="M1371" s="47"/>
      <c r="N1371" s="47"/>
      <c r="O1371" s="47"/>
      <c r="P1371" s="47"/>
      <c r="Q1371" s="85"/>
      <c r="R1371" s="85"/>
      <c r="S1371" s="85"/>
      <c r="T1371" s="85"/>
      <c r="U1371" s="85"/>
      <c r="V1371" s="85"/>
      <c r="W1371" s="85"/>
      <c r="X1371" s="85"/>
      <c r="Y1371" s="85"/>
      <c r="Z1371" s="85"/>
      <c r="AA1371" s="85"/>
      <c r="AB1371" s="85"/>
      <c r="AC1371" s="85"/>
      <c r="AD1371" s="85"/>
      <c r="AE1371" s="47"/>
      <c r="AF1371" s="47"/>
      <c r="AG1371" s="47"/>
      <c r="AH1371" s="47"/>
      <c r="AI1371" s="47"/>
      <c r="AJ1371" s="47"/>
      <c r="AK1371" s="47"/>
      <c r="AL1371" s="47"/>
      <c r="AM1371" s="47"/>
      <c r="AN1371" s="47"/>
      <c r="AO1371" s="47"/>
      <c r="AP1371" s="47"/>
      <c r="AQ1371" s="47"/>
      <c r="AR1371" s="47"/>
      <c r="AS1371" s="47"/>
      <c r="AT1371" s="47"/>
      <c r="AU1371" s="47"/>
      <c r="AV1371" s="47"/>
      <c r="AW1371" s="47"/>
      <c r="AX1371" s="47"/>
      <c r="AY1371" s="47"/>
      <c r="AZ1371" s="47"/>
      <c r="BA1371" s="47"/>
      <c r="BB1371" s="47"/>
      <c r="BC1371" s="47"/>
      <c r="BD1371" s="47"/>
      <c r="BE1371" s="47"/>
      <c r="BF1371" s="47"/>
    </row>
    <row r="1372" spans="3:58">
      <c r="C1372" s="47"/>
      <c r="D1372" s="47"/>
      <c r="E1372" s="47"/>
      <c r="F1372" s="47"/>
      <c r="G1372" s="47"/>
      <c r="H1372" s="47"/>
      <c r="I1372" s="47"/>
      <c r="J1372" s="47"/>
      <c r="K1372" s="47"/>
      <c r="L1372" s="47"/>
      <c r="M1372" s="47"/>
      <c r="N1372" s="47"/>
      <c r="O1372" s="47"/>
      <c r="P1372" s="47"/>
      <c r="Q1372" s="85"/>
      <c r="R1372" s="85"/>
      <c r="S1372" s="85"/>
      <c r="T1372" s="85"/>
      <c r="U1372" s="85"/>
      <c r="V1372" s="85"/>
      <c r="W1372" s="85"/>
      <c r="X1372" s="85"/>
      <c r="Y1372" s="85"/>
      <c r="Z1372" s="85"/>
      <c r="AA1372" s="85"/>
      <c r="AB1372" s="85"/>
      <c r="AC1372" s="85"/>
      <c r="AD1372" s="85"/>
      <c r="AE1372" s="47"/>
      <c r="AF1372" s="47"/>
      <c r="AG1372" s="47"/>
      <c r="AH1372" s="47"/>
      <c r="AI1372" s="47"/>
      <c r="AJ1372" s="47"/>
      <c r="AK1372" s="47"/>
      <c r="AL1372" s="47"/>
      <c r="AM1372" s="47"/>
      <c r="AN1372" s="47"/>
      <c r="AO1372" s="47"/>
      <c r="AP1372" s="47"/>
      <c r="AQ1372" s="47"/>
      <c r="AR1372" s="47"/>
      <c r="AS1372" s="47"/>
      <c r="AT1372" s="47"/>
      <c r="AU1372" s="47"/>
      <c r="AV1372" s="47"/>
      <c r="AW1372" s="47"/>
      <c r="AX1372" s="47"/>
      <c r="AY1372" s="47"/>
      <c r="AZ1372" s="47"/>
      <c r="BA1372" s="47"/>
      <c r="BB1372" s="47"/>
      <c r="BC1372" s="47"/>
      <c r="BD1372" s="47"/>
      <c r="BE1372" s="47"/>
      <c r="BF1372" s="47"/>
    </row>
    <row r="1373" spans="3:58">
      <c r="C1373" s="47"/>
      <c r="D1373" s="47"/>
      <c r="E1373" s="47"/>
      <c r="F1373" s="47"/>
      <c r="G1373" s="47"/>
      <c r="H1373" s="47"/>
      <c r="I1373" s="47"/>
      <c r="J1373" s="47"/>
      <c r="K1373" s="47"/>
      <c r="L1373" s="47"/>
      <c r="M1373" s="47"/>
      <c r="N1373" s="47"/>
      <c r="O1373" s="47"/>
      <c r="P1373" s="47"/>
      <c r="Q1373" s="85"/>
      <c r="R1373" s="85"/>
      <c r="S1373" s="85"/>
      <c r="T1373" s="85"/>
      <c r="U1373" s="85"/>
      <c r="V1373" s="85"/>
      <c r="W1373" s="85"/>
      <c r="X1373" s="85"/>
      <c r="Y1373" s="85"/>
      <c r="Z1373" s="85"/>
      <c r="AA1373" s="85"/>
      <c r="AB1373" s="85"/>
      <c r="AC1373" s="85"/>
      <c r="AD1373" s="85"/>
      <c r="AE1373" s="47"/>
      <c r="AF1373" s="47"/>
      <c r="AG1373" s="47"/>
      <c r="AH1373" s="47"/>
      <c r="AI1373" s="47"/>
      <c r="AJ1373" s="47"/>
      <c r="AK1373" s="47"/>
      <c r="AL1373" s="47"/>
      <c r="AM1373" s="47"/>
      <c r="AN1373" s="47"/>
      <c r="AO1373" s="47"/>
      <c r="AP1373" s="47"/>
      <c r="AQ1373" s="47"/>
      <c r="AR1373" s="47"/>
      <c r="AS1373" s="47"/>
      <c r="AT1373" s="47"/>
      <c r="AU1373" s="47"/>
      <c r="AV1373" s="47"/>
      <c r="AW1373" s="47"/>
      <c r="AX1373" s="47"/>
      <c r="AY1373" s="47"/>
      <c r="AZ1373" s="47"/>
      <c r="BA1373" s="47"/>
      <c r="BB1373" s="47"/>
      <c r="BC1373" s="47"/>
      <c r="BD1373" s="47"/>
      <c r="BE1373" s="47"/>
      <c r="BF1373" s="47"/>
    </row>
    <row r="1374" spans="3:58">
      <c r="C1374" s="47"/>
      <c r="D1374" s="47"/>
      <c r="E1374" s="47"/>
      <c r="F1374" s="47"/>
      <c r="G1374" s="47"/>
      <c r="H1374" s="47"/>
      <c r="I1374" s="47"/>
      <c r="J1374" s="47"/>
      <c r="K1374" s="47"/>
      <c r="L1374" s="47"/>
      <c r="M1374" s="47"/>
      <c r="N1374" s="47"/>
      <c r="O1374" s="47"/>
      <c r="P1374" s="47"/>
      <c r="Q1374" s="85"/>
      <c r="R1374" s="85"/>
      <c r="S1374" s="85"/>
      <c r="T1374" s="85"/>
      <c r="U1374" s="85"/>
      <c r="V1374" s="85"/>
      <c r="W1374" s="85"/>
      <c r="X1374" s="85"/>
      <c r="Y1374" s="85"/>
      <c r="Z1374" s="85"/>
      <c r="AA1374" s="85"/>
      <c r="AB1374" s="85"/>
      <c r="AC1374" s="85"/>
      <c r="AD1374" s="85"/>
      <c r="AE1374" s="47"/>
      <c r="AF1374" s="47"/>
      <c r="AG1374" s="47"/>
      <c r="AH1374" s="47"/>
      <c r="AI1374" s="47"/>
      <c r="AJ1374" s="47"/>
      <c r="AK1374" s="47"/>
      <c r="AL1374" s="47"/>
      <c r="AM1374" s="47"/>
      <c r="AN1374" s="47"/>
      <c r="AO1374" s="47"/>
      <c r="AP1374" s="47"/>
      <c r="AQ1374" s="47"/>
      <c r="AR1374" s="47"/>
      <c r="AS1374" s="47"/>
      <c r="AT1374" s="47"/>
      <c r="AU1374" s="47"/>
      <c r="AV1374" s="47"/>
      <c r="AW1374" s="47"/>
      <c r="AX1374" s="47"/>
      <c r="AY1374" s="47"/>
      <c r="AZ1374" s="47"/>
      <c r="BA1374" s="47"/>
      <c r="BB1374" s="47"/>
      <c r="BC1374" s="47"/>
      <c r="BD1374" s="47"/>
      <c r="BE1374" s="47"/>
      <c r="BF1374" s="47"/>
    </row>
    <row r="1375" spans="3:58">
      <c r="C1375" s="47"/>
      <c r="D1375" s="47"/>
      <c r="E1375" s="47"/>
      <c r="F1375" s="47"/>
      <c r="G1375" s="47"/>
      <c r="H1375" s="47"/>
      <c r="I1375" s="47"/>
      <c r="J1375" s="47"/>
      <c r="K1375" s="47"/>
      <c r="L1375" s="47"/>
      <c r="M1375" s="47"/>
      <c r="N1375" s="47"/>
      <c r="O1375" s="47"/>
      <c r="P1375" s="47"/>
      <c r="Q1375" s="85"/>
      <c r="R1375" s="85"/>
      <c r="S1375" s="85"/>
      <c r="T1375" s="85"/>
      <c r="U1375" s="85"/>
      <c r="V1375" s="85"/>
      <c r="W1375" s="85"/>
      <c r="X1375" s="85"/>
      <c r="Y1375" s="85"/>
      <c r="Z1375" s="85"/>
      <c r="AA1375" s="85"/>
      <c r="AB1375" s="85"/>
      <c r="AC1375" s="85"/>
      <c r="AD1375" s="85"/>
      <c r="AE1375" s="47"/>
      <c r="AF1375" s="47"/>
      <c r="AG1375" s="47"/>
      <c r="AH1375" s="47"/>
      <c r="AI1375" s="47"/>
      <c r="AJ1375" s="47"/>
      <c r="AK1375" s="47"/>
      <c r="AL1375" s="47"/>
      <c r="AM1375" s="47"/>
      <c r="AN1375" s="47"/>
      <c r="AO1375" s="47"/>
      <c r="AP1375" s="47"/>
      <c r="AQ1375" s="47"/>
      <c r="AR1375" s="47"/>
      <c r="AS1375" s="47"/>
      <c r="AT1375" s="47"/>
      <c r="AU1375" s="47"/>
      <c r="AV1375" s="47"/>
      <c r="AW1375" s="47"/>
      <c r="AX1375" s="47"/>
      <c r="AY1375" s="47"/>
      <c r="AZ1375" s="47"/>
      <c r="BA1375" s="47"/>
      <c r="BB1375" s="47"/>
      <c r="BC1375" s="47"/>
      <c r="BD1375" s="47"/>
      <c r="BE1375" s="47"/>
      <c r="BF1375" s="47"/>
    </row>
    <row r="1376" spans="3:58">
      <c r="C1376" s="47"/>
      <c r="D1376" s="47"/>
      <c r="E1376" s="47"/>
      <c r="F1376" s="47"/>
      <c r="G1376" s="47"/>
      <c r="H1376" s="47"/>
      <c r="I1376" s="47"/>
      <c r="J1376" s="47"/>
      <c r="K1376" s="47"/>
      <c r="L1376" s="47"/>
      <c r="M1376" s="47"/>
      <c r="N1376" s="47"/>
      <c r="O1376" s="47"/>
      <c r="P1376" s="47"/>
      <c r="Q1376" s="85"/>
      <c r="R1376" s="85"/>
      <c r="S1376" s="85"/>
      <c r="T1376" s="85"/>
      <c r="U1376" s="85"/>
      <c r="V1376" s="85"/>
      <c r="W1376" s="85"/>
      <c r="X1376" s="85"/>
      <c r="Y1376" s="85"/>
      <c r="Z1376" s="85"/>
      <c r="AA1376" s="85"/>
      <c r="AB1376" s="85"/>
      <c r="AC1376" s="85"/>
      <c r="AD1376" s="85"/>
      <c r="AE1376" s="47"/>
      <c r="AF1376" s="47"/>
      <c r="AG1376" s="47"/>
      <c r="AH1376" s="47"/>
      <c r="AI1376" s="47"/>
      <c r="AJ1376" s="47"/>
      <c r="AK1376" s="47"/>
      <c r="AL1376" s="47"/>
      <c r="AM1376" s="47"/>
      <c r="AN1376" s="47"/>
      <c r="AO1376" s="47"/>
      <c r="AP1376" s="47"/>
      <c r="AQ1376" s="47"/>
      <c r="AR1376" s="47"/>
      <c r="AS1376" s="47"/>
      <c r="AT1376" s="47"/>
      <c r="AU1376" s="47"/>
      <c r="AV1376" s="47"/>
      <c r="AW1376" s="47"/>
      <c r="AX1376" s="47"/>
      <c r="AY1376" s="47"/>
      <c r="AZ1376" s="47"/>
      <c r="BA1376" s="47"/>
      <c r="BB1376" s="47"/>
      <c r="BC1376" s="47"/>
      <c r="BD1376" s="47"/>
      <c r="BE1376" s="47"/>
      <c r="BF1376" s="47"/>
    </row>
    <row r="1377" spans="3:58">
      <c r="C1377" s="47"/>
      <c r="D1377" s="47"/>
      <c r="E1377" s="47"/>
      <c r="F1377" s="47"/>
      <c r="G1377" s="47"/>
      <c r="H1377" s="47"/>
      <c r="I1377" s="47"/>
      <c r="J1377" s="47"/>
      <c r="K1377" s="47"/>
      <c r="L1377" s="47"/>
      <c r="M1377" s="47"/>
      <c r="N1377" s="47"/>
      <c r="O1377" s="47"/>
      <c r="P1377" s="47"/>
      <c r="Q1377" s="85"/>
      <c r="R1377" s="85"/>
      <c r="S1377" s="85"/>
      <c r="T1377" s="85"/>
      <c r="U1377" s="85"/>
      <c r="V1377" s="85"/>
      <c r="W1377" s="85"/>
      <c r="X1377" s="85"/>
      <c r="Y1377" s="85"/>
      <c r="Z1377" s="85"/>
      <c r="AA1377" s="85"/>
      <c r="AB1377" s="85"/>
      <c r="AC1377" s="85"/>
      <c r="AD1377" s="85"/>
      <c r="AE1377" s="47"/>
      <c r="AF1377" s="47"/>
      <c r="AG1377" s="47"/>
      <c r="AH1377" s="47"/>
      <c r="AI1377" s="47"/>
      <c r="AJ1377" s="47"/>
      <c r="AK1377" s="47"/>
      <c r="AL1377" s="47"/>
      <c r="AM1377" s="47"/>
      <c r="AN1377" s="47"/>
      <c r="AO1377" s="47"/>
      <c r="AP1377" s="47"/>
      <c r="AQ1377" s="47"/>
      <c r="AR1377" s="47"/>
      <c r="AS1377" s="47"/>
      <c r="AT1377" s="47"/>
      <c r="AU1377" s="47"/>
      <c r="AV1377" s="47"/>
      <c r="AW1377" s="47"/>
      <c r="AX1377" s="47"/>
      <c r="AY1377" s="47"/>
      <c r="AZ1377" s="47"/>
      <c r="BA1377" s="47"/>
      <c r="BB1377" s="47"/>
      <c r="BC1377" s="47"/>
      <c r="BD1377" s="47"/>
      <c r="BE1377" s="47"/>
      <c r="BF1377" s="47"/>
    </row>
    <row r="1378" spans="3:58">
      <c r="C1378" s="47"/>
      <c r="D1378" s="47"/>
      <c r="E1378" s="47"/>
      <c r="F1378" s="47"/>
      <c r="G1378" s="47"/>
      <c r="H1378" s="47"/>
      <c r="I1378" s="47"/>
      <c r="J1378" s="47"/>
      <c r="K1378" s="47"/>
      <c r="L1378" s="47"/>
      <c r="M1378" s="47"/>
      <c r="N1378" s="47"/>
      <c r="O1378" s="47"/>
      <c r="P1378" s="47"/>
      <c r="Q1378" s="85"/>
      <c r="R1378" s="85"/>
      <c r="S1378" s="85"/>
      <c r="T1378" s="85"/>
      <c r="U1378" s="85"/>
      <c r="V1378" s="85"/>
      <c r="W1378" s="85"/>
      <c r="X1378" s="85"/>
      <c r="Y1378" s="85"/>
      <c r="Z1378" s="85"/>
      <c r="AA1378" s="85"/>
      <c r="AB1378" s="85"/>
      <c r="AC1378" s="85"/>
      <c r="AD1378" s="85"/>
      <c r="AE1378" s="47"/>
      <c r="AF1378" s="47"/>
      <c r="AG1378" s="47"/>
      <c r="AH1378" s="47"/>
      <c r="AI1378" s="47"/>
      <c r="AJ1378" s="47"/>
      <c r="AK1378" s="47"/>
      <c r="AL1378" s="47"/>
      <c r="AM1378" s="47"/>
      <c r="AN1378" s="47"/>
      <c r="AO1378" s="47"/>
      <c r="AP1378" s="47"/>
      <c r="AQ1378" s="47"/>
      <c r="AR1378" s="47"/>
      <c r="AS1378" s="47"/>
      <c r="AT1378" s="47"/>
      <c r="AU1378" s="47"/>
      <c r="AV1378" s="47"/>
      <c r="AW1378" s="47"/>
      <c r="AX1378" s="47"/>
      <c r="AY1378" s="47"/>
      <c r="AZ1378" s="47"/>
      <c r="BA1378" s="47"/>
      <c r="BB1378" s="47"/>
      <c r="BC1378" s="47"/>
      <c r="BD1378" s="47"/>
      <c r="BE1378" s="47"/>
      <c r="BF1378" s="47"/>
    </row>
    <row r="1379" spans="3:58">
      <c r="C1379" s="47"/>
      <c r="D1379" s="47"/>
      <c r="E1379" s="47"/>
      <c r="F1379" s="47"/>
      <c r="G1379" s="47"/>
      <c r="H1379" s="47"/>
      <c r="I1379" s="47"/>
      <c r="J1379" s="47"/>
      <c r="K1379" s="47"/>
      <c r="L1379" s="47"/>
      <c r="M1379" s="47"/>
      <c r="N1379" s="47"/>
      <c r="O1379" s="47"/>
      <c r="P1379" s="47"/>
      <c r="Q1379" s="85"/>
      <c r="R1379" s="85"/>
      <c r="S1379" s="85"/>
      <c r="T1379" s="85"/>
      <c r="U1379" s="85"/>
      <c r="V1379" s="85"/>
      <c r="W1379" s="85"/>
      <c r="X1379" s="85"/>
      <c r="Y1379" s="85"/>
      <c r="Z1379" s="85"/>
      <c r="AA1379" s="85"/>
      <c r="AB1379" s="85"/>
      <c r="AC1379" s="85"/>
      <c r="AD1379" s="85"/>
      <c r="AE1379" s="47"/>
      <c r="AF1379" s="47"/>
      <c r="AG1379" s="47"/>
      <c r="AH1379" s="47"/>
      <c r="AI1379" s="47"/>
      <c r="AJ1379" s="47"/>
      <c r="AK1379" s="47"/>
      <c r="AL1379" s="47"/>
      <c r="AM1379" s="47"/>
      <c r="AN1379" s="47"/>
      <c r="AO1379" s="47"/>
      <c r="AP1379" s="47"/>
      <c r="AQ1379" s="47"/>
      <c r="AR1379" s="47"/>
      <c r="AS1379" s="47"/>
      <c r="AT1379" s="47"/>
      <c r="AU1379" s="47"/>
      <c r="AV1379" s="47"/>
      <c r="AW1379" s="47"/>
      <c r="AX1379" s="47"/>
      <c r="AY1379" s="47"/>
      <c r="AZ1379" s="47"/>
      <c r="BA1379" s="47"/>
      <c r="BB1379" s="47"/>
      <c r="BC1379" s="47"/>
      <c r="BD1379" s="47"/>
      <c r="BE1379" s="47"/>
      <c r="BF1379" s="47"/>
    </row>
    <row r="1380" spans="3:58">
      <c r="C1380" s="47"/>
      <c r="D1380" s="47"/>
      <c r="E1380" s="47"/>
      <c r="F1380" s="47"/>
      <c r="G1380" s="47"/>
      <c r="H1380" s="47"/>
      <c r="I1380" s="47"/>
      <c r="J1380" s="47"/>
      <c r="K1380" s="47"/>
      <c r="L1380" s="47"/>
      <c r="M1380" s="47"/>
      <c r="N1380" s="47"/>
      <c r="O1380" s="47"/>
      <c r="P1380" s="47"/>
      <c r="Q1380" s="85"/>
      <c r="R1380" s="85"/>
      <c r="S1380" s="85"/>
      <c r="T1380" s="85"/>
      <c r="U1380" s="85"/>
      <c r="V1380" s="85"/>
      <c r="W1380" s="85"/>
      <c r="X1380" s="85"/>
      <c r="Y1380" s="85"/>
      <c r="Z1380" s="85"/>
      <c r="AA1380" s="85"/>
      <c r="AB1380" s="85"/>
      <c r="AC1380" s="85"/>
      <c r="AD1380" s="85"/>
      <c r="AE1380" s="47"/>
      <c r="AF1380" s="47"/>
      <c r="AG1380" s="47"/>
      <c r="AH1380" s="47"/>
      <c r="AI1380" s="47"/>
      <c r="AJ1380" s="47"/>
      <c r="AK1380" s="47"/>
      <c r="AL1380" s="47"/>
      <c r="AM1380" s="47"/>
      <c r="AN1380" s="47"/>
      <c r="AO1380" s="47"/>
      <c r="AP1380" s="47"/>
      <c r="AQ1380" s="47"/>
      <c r="AR1380" s="47"/>
      <c r="AS1380" s="47"/>
      <c r="AT1380" s="47"/>
      <c r="AU1380" s="47"/>
      <c r="AV1380" s="47"/>
      <c r="AW1380" s="47"/>
      <c r="AX1380" s="47"/>
      <c r="AY1380" s="47"/>
      <c r="AZ1380" s="47"/>
      <c r="BA1380" s="47"/>
      <c r="BB1380" s="47"/>
      <c r="BC1380" s="47"/>
      <c r="BD1380" s="47"/>
      <c r="BE1380" s="47"/>
      <c r="BF1380" s="47"/>
    </row>
    <row r="1381" spans="3:58">
      <c r="C1381" s="47"/>
      <c r="D1381" s="47"/>
      <c r="E1381" s="47"/>
      <c r="F1381" s="47"/>
      <c r="G1381" s="47"/>
      <c r="H1381" s="47"/>
      <c r="I1381" s="47"/>
      <c r="J1381" s="47"/>
      <c r="K1381" s="47"/>
      <c r="L1381" s="47"/>
      <c r="M1381" s="47"/>
      <c r="N1381" s="47"/>
      <c r="O1381" s="47"/>
      <c r="P1381" s="47"/>
      <c r="Q1381" s="85"/>
      <c r="R1381" s="85"/>
      <c r="S1381" s="85"/>
      <c r="T1381" s="85"/>
      <c r="U1381" s="85"/>
      <c r="V1381" s="85"/>
      <c r="W1381" s="85"/>
      <c r="X1381" s="85"/>
      <c r="Y1381" s="85"/>
      <c r="Z1381" s="85"/>
      <c r="AA1381" s="85"/>
      <c r="AB1381" s="85"/>
      <c r="AC1381" s="85"/>
      <c r="AD1381" s="85"/>
      <c r="AE1381" s="47"/>
      <c r="AF1381" s="47"/>
      <c r="AG1381" s="47"/>
      <c r="AH1381" s="47"/>
      <c r="AI1381" s="47"/>
      <c r="AJ1381" s="47"/>
      <c r="AK1381" s="47"/>
      <c r="AL1381" s="47"/>
      <c r="AM1381" s="47"/>
      <c r="AN1381" s="47"/>
      <c r="AO1381" s="47"/>
      <c r="AP1381" s="47"/>
      <c r="AQ1381" s="47"/>
      <c r="AR1381" s="47"/>
      <c r="AS1381" s="47"/>
      <c r="AT1381" s="47"/>
      <c r="AU1381" s="47"/>
      <c r="AV1381" s="47"/>
      <c r="AW1381" s="47"/>
      <c r="AX1381" s="47"/>
      <c r="AY1381" s="47"/>
      <c r="AZ1381" s="47"/>
      <c r="BA1381" s="47"/>
      <c r="BB1381" s="47"/>
      <c r="BC1381" s="47"/>
      <c r="BD1381" s="47"/>
      <c r="BE1381" s="47"/>
      <c r="BF1381" s="47"/>
    </row>
    <row r="1382" spans="3:58">
      <c r="C1382" s="47"/>
      <c r="D1382" s="47"/>
      <c r="E1382" s="47"/>
      <c r="F1382" s="47"/>
      <c r="G1382" s="47"/>
      <c r="H1382" s="47"/>
      <c r="I1382" s="47"/>
      <c r="J1382" s="47"/>
      <c r="K1382" s="47"/>
      <c r="L1382" s="47"/>
      <c r="M1382" s="47"/>
      <c r="N1382" s="47"/>
      <c r="O1382" s="47"/>
      <c r="P1382" s="47"/>
      <c r="Q1382" s="85"/>
      <c r="R1382" s="85"/>
      <c r="S1382" s="85"/>
      <c r="T1382" s="85"/>
      <c r="U1382" s="85"/>
      <c r="V1382" s="85"/>
      <c r="W1382" s="85"/>
      <c r="X1382" s="85"/>
      <c r="Y1382" s="85"/>
      <c r="Z1382" s="85"/>
      <c r="AA1382" s="85"/>
      <c r="AB1382" s="85"/>
      <c r="AC1382" s="85"/>
      <c r="AD1382" s="85"/>
      <c r="AE1382" s="47"/>
      <c r="AF1382" s="47"/>
      <c r="AG1382" s="47"/>
      <c r="AH1382" s="47"/>
      <c r="AI1382" s="47"/>
      <c r="AJ1382" s="47"/>
      <c r="AK1382" s="47"/>
      <c r="AL1382" s="47"/>
      <c r="AM1382" s="47"/>
      <c r="AN1382" s="47"/>
      <c r="AO1382" s="47"/>
      <c r="AP1382" s="47"/>
      <c r="AQ1382" s="47"/>
      <c r="AR1382" s="47"/>
      <c r="AS1382" s="47"/>
      <c r="AT1382" s="47"/>
      <c r="AU1382" s="47"/>
      <c r="AV1382" s="47"/>
      <c r="AW1382" s="47"/>
      <c r="AX1382" s="47"/>
      <c r="AY1382" s="47"/>
      <c r="AZ1382" s="47"/>
      <c r="BA1382" s="47"/>
      <c r="BB1382" s="47"/>
      <c r="BC1382" s="47"/>
      <c r="BD1382" s="47"/>
      <c r="BE1382" s="47"/>
      <c r="BF1382" s="47"/>
    </row>
    <row r="1383" spans="3:58">
      <c r="C1383" s="47"/>
      <c r="D1383" s="47"/>
      <c r="E1383" s="47"/>
      <c r="F1383" s="47"/>
      <c r="G1383" s="47"/>
      <c r="H1383" s="47"/>
      <c r="I1383" s="47"/>
      <c r="J1383" s="47"/>
      <c r="K1383" s="47"/>
      <c r="L1383" s="47"/>
      <c r="M1383" s="47"/>
      <c r="N1383" s="47"/>
      <c r="O1383" s="47"/>
      <c r="P1383" s="47"/>
      <c r="Q1383" s="85"/>
      <c r="R1383" s="85"/>
      <c r="S1383" s="85"/>
      <c r="T1383" s="85"/>
      <c r="U1383" s="85"/>
      <c r="V1383" s="85"/>
      <c r="W1383" s="85"/>
      <c r="X1383" s="85"/>
      <c r="Y1383" s="85"/>
      <c r="Z1383" s="85"/>
      <c r="AA1383" s="85"/>
      <c r="AB1383" s="85"/>
      <c r="AC1383" s="85"/>
      <c r="AD1383" s="85"/>
      <c r="AE1383" s="47"/>
      <c r="AF1383" s="47"/>
      <c r="AG1383" s="47"/>
      <c r="AH1383" s="47"/>
      <c r="AI1383" s="47"/>
      <c r="AJ1383" s="47"/>
      <c r="AK1383" s="47"/>
      <c r="AL1383" s="47"/>
      <c r="AM1383" s="47"/>
      <c r="AN1383" s="47"/>
      <c r="AO1383" s="47"/>
      <c r="AP1383" s="47"/>
      <c r="AQ1383" s="47"/>
      <c r="AR1383" s="47"/>
      <c r="AS1383" s="47"/>
      <c r="AT1383" s="47"/>
      <c r="AU1383" s="47"/>
      <c r="AV1383" s="47"/>
      <c r="AW1383" s="47"/>
      <c r="AX1383" s="47"/>
      <c r="AY1383" s="47"/>
      <c r="AZ1383" s="47"/>
      <c r="BA1383" s="47"/>
      <c r="BB1383" s="47"/>
      <c r="BC1383" s="47"/>
      <c r="BD1383" s="47"/>
      <c r="BE1383" s="47"/>
      <c r="BF1383" s="47"/>
    </row>
    <row r="1384" spans="3:58">
      <c r="C1384" s="47"/>
      <c r="D1384" s="47"/>
      <c r="E1384" s="47"/>
      <c r="F1384" s="47"/>
      <c r="G1384" s="47"/>
      <c r="H1384" s="47"/>
      <c r="I1384" s="47"/>
      <c r="J1384" s="47"/>
      <c r="K1384" s="47"/>
      <c r="L1384" s="47"/>
      <c r="M1384" s="47"/>
      <c r="N1384" s="47"/>
      <c r="O1384" s="47"/>
      <c r="P1384" s="47"/>
      <c r="Q1384" s="85"/>
      <c r="R1384" s="85"/>
      <c r="S1384" s="85"/>
      <c r="T1384" s="85"/>
      <c r="U1384" s="85"/>
      <c r="V1384" s="85"/>
      <c r="W1384" s="85"/>
      <c r="X1384" s="85"/>
      <c r="Y1384" s="85"/>
      <c r="Z1384" s="85"/>
      <c r="AA1384" s="85"/>
      <c r="AB1384" s="85"/>
      <c r="AC1384" s="85"/>
      <c r="AD1384" s="85"/>
      <c r="AE1384" s="47"/>
      <c r="AF1384" s="47"/>
      <c r="AG1384" s="47"/>
      <c r="AH1384" s="47"/>
      <c r="AI1384" s="47"/>
      <c r="AJ1384" s="47"/>
      <c r="AK1384" s="47"/>
      <c r="AL1384" s="47"/>
      <c r="AM1384" s="47"/>
      <c r="AN1384" s="47"/>
      <c r="AO1384" s="47"/>
      <c r="AP1384" s="47"/>
      <c r="AQ1384" s="47"/>
      <c r="AR1384" s="47"/>
      <c r="AS1384" s="47"/>
      <c r="AT1384" s="47"/>
      <c r="AU1384" s="47"/>
      <c r="AV1384" s="47"/>
      <c r="AW1384" s="47"/>
      <c r="AX1384" s="47"/>
      <c r="AY1384" s="47"/>
      <c r="AZ1384" s="47"/>
      <c r="BA1384" s="47"/>
      <c r="BB1384" s="47"/>
      <c r="BC1384" s="47"/>
      <c r="BD1384" s="47"/>
      <c r="BE1384" s="47"/>
      <c r="BF1384" s="47"/>
    </row>
    <row r="1385" spans="3:58">
      <c r="C1385" s="47"/>
      <c r="D1385" s="47"/>
      <c r="E1385" s="47"/>
      <c r="F1385" s="47"/>
      <c r="G1385" s="47"/>
      <c r="H1385" s="47"/>
      <c r="I1385" s="47"/>
      <c r="J1385" s="47"/>
      <c r="K1385" s="47"/>
      <c r="L1385" s="47"/>
      <c r="M1385" s="47"/>
      <c r="N1385" s="47"/>
      <c r="O1385" s="47"/>
      <c r="P1385" s="47"/>
      <c r="Q1385" s="85"/>
      <c r="R1385" s="85"/>
      <c r="S1385" s="85"/>
      <c r="T1385" s="85"/>
      <c r="U1385" s="85"/>
      <c r="V1385" s="85"/>
      <c r="W1385" s="85"/>
      <c r="X1385" s="85"/>
      <c r="Y1385" s="85"/>
      <c r="Z1385" s="85"/>
      <c r="AA1385" s="85"/>
      <c r="AB1385" s="85"/>
      <c r="AC1385" s="85"/>
      <c r="AD1385" s="85"/>
      <c r="AE1385" s="47"/>
      <c r="AF1385" s="47"/>
      <c r="AG1385" s="47"/>
      <c r="AH1385" s="47"/>
      <c r="AI1385" s="47"/>
      <c r="AJ1385" s="47"/>
      <c r="AK1385" s="47"/>
      <c r="AL1385" s="47"/>
      <c r="AM1385" s="47"/>
      <c r="AN1385" s="47"/>
      <c r="AO1385" s="47"/>
      <c r="AP1385" s="47"/>
      <c r="AQ1385" s="47"/>
      <c r="AR1385" s="47"/>
      <c r="AS1385" s="47"/>
      <c r="AT1385" s="47"/>
      <c r="AU1385" s="47"/>
      <c r="AV1385" s="47"/>
      <c r="AW1385" s="47"/>
      <c r="AX1385" s="47"/>
      <c r="AY1385" s="47"/>
      <c r="AZ1385" s="47"/>
      <c r="BA1385" s="47"/>
      <c r="BB1385" s="47"/>
      <c r="BC1385" s="47"/>
      <c r="BD1385" s="47"/>
      <c r="BE1385" s="47"/>
      <c r="BF1385" s="47"/>
    </row>
    <row r="1386" spans="3:58">
      <c r="C1386" s="47"/>
      <c r="D1386" s="47"/>
      <c r="E1386" s="47"/>
      <c r="F1386" s="47"/>
      <c r="G1386" s="47"/>
      <c r="H1386" s="47"/>
      <c r="I1386" s="47"/>
      <c r="J1386" s="47"/>
      <c r="K1386" s="47"/>
      <c r="L1386" s="47"/>
      <c r="M1386" s="47"/>
      <c r="N1386" s="47"/>
      <c r="O1386" s="47"/>
      <c r="P1386" s="47"/>
      <c r="Q1386" s="85"/>
      <c r="R1386" s="85"/>
      <c r="S1386" s="85"/>
      <c r="T1386" s="85"/>
      <c r="U1386" s="85"/>
      <c r="V1386" s="85"/>
      <c r="W1386" s="85"/>
      <c r="X1386" s="85"/>
      <c r="Y1386" s="85"/>
      <c r="Z1386" s="85"/>
      <c r="AA1386" s="85"/>
      <c r="AB1386" s="85"/>
      <c r="AC1386" s="85"/>
      <c r="AD1386" s="85"/>
      <c r="AE1386" s="47"/>
      <c r="AF1386" s="47"/>
      <c r="AG1386" s="47"/>
      <c r="AH1386" s="47"/>
      <c r="AI1386" s="47"/>
      <c r="AJ1386" s="47"/>
      <c r="AK1386" s="47"/>
      <c r="AL1386" s="47"/>
      <c r="AM1386" s="47"/>
      <c r="AN1386" s="47"/>
      <c r="AO1386" s="47"/>
      <c r="AP1386" s="47"/>
      <c r="AQ1386" s="47"/>
      <c r="AR1386" s="47"/>
      <c r="AS1386" s="47"/>
      <c r="AT1386" s="47"/>
      <c r="AU1386" s="47"/>
      <c r="AV1386" s="47"/>
      <c r="AW1386" s="47"/>
      <c r="AX1386" s="47"/>
      <c r="AY1386" s="47"/>
      <c r="AZ1386" s="47"/>
      <c r="BA1386" s="47"/>
      <c r="BB1386" s="47"/>
      <c r="BC1386" s="47"/>
      <c r="BD1386" s="47"/>
      <c r="BE1386" s="47"/>
      <c r="BF1386" s="47"/>
    </row>
    <row r="1387" spans="3:58">
      <c r="C1387" s="47"/>
      <c r="D1387" s="47"/>
      <c r="E1387" s="47"/>
      <c r="F1387" s="47"/>
      <c r="G1387" s="47"/>
      <c r="H1387" s="47"/>
      <c r="I1387" s="47"/>
      <c r="J1387" s="47"/>
      <c r="K1387" s="47"/>
      <c r="L1387" s="47"/>
      <c r="M1387" s="47"/>
      <c r="N1387" s="47"/>
      <c r="O1387" s="47"/>
      <c r="P1387" s="47"/>
      <c r="Q1387" s="85"/>
      <c r="R1387" s="85"/>
      <c r="S1387" s="85"/>
      <c r="T1387" s="85"/>
      <c r="U1387" s="85"/>
      <c r="V1387" s="85"/>
      <c r="W1387" s="85"/>
      <c r="X1387" s="85"/>
      <c r="Y1387" s="85"/>
      <c r="Z1387" s="85"/>
      <c r="AA1387" s="85"/>
      <c r="AB1387" s="85"/>
      <c r="AC1387" s="85"/>
      <c r="AD1387" s="85"/>
      <c r="AE1387" s="47"/>
      <c r="AF1387" s="47"/>
      <c r="AG1387" s="47"/>
      <c r="AH1387" s="47"/>
      <c r="AI1387" s="47"/>
      <c r="AJ1387" s="47"/>
      <c r="AK1387" s="47"/>
      <c r="AL1387" s="47"/>
      <c r="AM1387" s="47"/>
      <c r="AN1387" s="47"/>
      <c r="AO1387" s="47"/>
      <c r="AP1387" s="47"/>
      <c r="AQ1387" s="47"/>
      <c r="AR1387" s="47"/>
      <c r="AS1387" s="47"/>
      <c r="AT1387" s="47"/>
      <c r="AU1387" s="47"/>
      <c r="AV1387" s="47"/>
      <c r="AW1387" s="47"/>
      <c r="AX1387" s="47"/>
      <c r="AY1387" s="47"/>
      <c r="AZ1387" s="47"/>
      <c r="BA1387" s="47"/>
      <c r="BB1387" s="47"/>
      <c r="BC1387" s="47"/>
      <c r="BD1387" s="47"/>
      <c r="BE1387" s="47"/>
      <c r="BF1387" s="47"/>
    </row>
    <row r="1388" spans="3:58">
      <c r="C1388" s="47"/>
      <c r="D1388" s="47"/>
      <c r="E1388" s="47"/>
      <c r="F1388" s="47"/>
      <c r="G1388" s="47"/>
      <c r="H1388" s="47"/>
      <c r="I1388" s="47"/>
      <c r="J1388" s="47"/>
      <c r="K1388" s="47"/>
      <c r="L1388" s="47"/>
      <c r="M1388" s="47"/>
      <c r="N1388" s="47"/>
      <c r="O1388" s="47"/>
      <c r="P1388" s="47"/>
      <c r="Q1388" s="85"/>
      <c r="R1388" s="85"/>
      <c r="S1388" s="85"/>
      <c r="T1388" s="85"/>
      <c r="U1388" s="85"/>
      <c r="V1388" s="85"/>
      <c r="W1388" s="85"/>
      <c r="X1388" s="85"/>
      <c r="Y1388" s="85"/>
      <c r="Z1388" s="85"/>
      <c r="AA1388" s="85"/>
      <c r="AB1388" s="85"/>
      <c r="AC1388" s="85"/>
      <c r="AD1388" s="85"/>
      <c r="AE1388" s="47"/>
      <c r="AF1388" s="47"/>
      <c r="AG1388" s="47"/>
      <c r="AH1388" s="47"/>
      <c r="AI1388" s="47"/>
      <c r="AJ1388" s="47"/>
      <c r="AK1388" s="47"/>
      <c r="AL1388" s="47"/>
      <c r="AM1388" s="47"/>
      <c r="AN1388" s="47"/>
      <c r="AO1388" s="47"/>
      <c r="AP1388" s="47"/>
      <c r="AQ1388" s="47"/>
      <c r="AR1388" s="47"/>
      <c r="AS1388" s="47"/>
      <c r="AT1388" s="47"/>
      <c r="AU1388" s="47"/>
      <c r="AV1388" s="47"/>
      <c r="AW1388" s="47"/>
      <c r="AX1388" s="47"/>
      <c r="AY1388" s="47"/>
      <c r="AZ1388" s="47"/>
      <c r="BA1388" s="47"/>
      <c r="BB1388" s="47"/>
      <c r="BC1388" s="47"/>
      <c r="BD1388" s="47"/>
      <c r="BE1388" s="47"/>
      <c r="BF1388" s="47"/>
    </row>
    <row r="1389" spans="3:58">
      <c r="C1389" s="47"/>
      <c r="D1389" s="47"/>
      <c r="E1389" s="47"/>
      <c r="F1389" s="47"/>
      <c r="G1389" s="47"/>
      <c r="H1389" s="47"/>
      <c r="I1389" s="47"/>
      <c r="J1389" s="47"/>
      <c r="K1389" s="47"/>
      <c r="L1389" s="47"/>
      <c r="M1389" s="47"/>
      <c r="N1389" s="47"/>
      <c r="O1389" s="47"/>
      <c r="P1389" s="47"/>
      <c r="Q1389" s="85"/>
      <c r="R1389" s="85"/>
      <c r="S1389" s="85"/>
      <c r="T1389" s="85"/>
      <c r="U1389" s="85"/>
      <c r="V1389" s="85"/>
      <c r="W1389" s="85"/>
      <c r="X1389" s="85"/>
      <c r="Y1389" s="85"/>
      <c r="Z1389" s="85"/>
      <c r="AA1389" s="85"/>
      <c r="AB1389" s="85"/>
      <c r="AC1389" s="85"/>
      <c r="AD1389" s="85"/>
      <c r="AE1389" s="47"/>
      <c r="AF1389" s="47"/>
      <c r="AG1389" s="47"/>
      <c r="AH1389" s="47"/>
      <c r="AI1389" s="47"/>
      <c r="AJ1389" s="47"/>
      <c r="AK1389" s="47"/>
      <c r="AL1389" s="47"/>
      <c r="AM1389" s="47"/>
      <c r="AN1389" s="47"/>
      <c r="AO1389" s="47"/>
      <c r="AP1389" s="47"/>
      <c r="AQ1389" s="47"/>
      <c r="AR1389" s="47"/>
      <c r="AS1389" s="47"/>
      <c r="AT1389" s="47"/>
      <c r="AU1389" s="47"/>
      <c r="AV1389" s="47"/>
      <c r="AW1389" s="47"/>
      <c r="AX1389" s="47"/>
      <c r="AY1389" s="47"/>
      <c r="AZ1389" s="47"/>
      <c r="BA1389" s="47"/>
      <c r="BB1389" s="47"/>
      <c r="BC1389" s="47"/>
      <c r="BD1389" s="47"/>
      <c r="BE1389" s="47"/>
      <c r="BF1389" s="47"/>
    </row>
    <row r="1390" spans="3:58">
      <c r="C1390" s="47"/>
      <c r="D1390" s="47"/>
      <c r="E1390" s="47"/>
      <c r="F1390" s="47"/>
      <c r="G1390" s="47"/>
      <c r="H1390" s="47"/>
      <c r="I1390" s="47"/>
      <c r="J1390" s="47"/>
      <c r="K1390" s="47"/>
      <c r="L1390" s="47"/>
      <c r="M1390" s="47"/>
      <c r="N1390" s="47"/>
      <c r="O1390" s="47"/>
      <c r="P1390" s="47"/>
      <c r="Q1390" s="85"/>
      <c r="R1390" s="85"/>
      <c r="S1390" s="85"/>
      <c r="T1390" s="85"/>
      <c r="U1390" s="85"/>
      <c r="V1390" s="85"/>
      <c r="W1390" s="85"/>
      <c r="X1390" s="85"/>
      <c r="Y1390" s="85"/>
      <c r="Z1390" s="85"/>
      <c r="AA1390" s="85"/>
      <c r="AB1390" s="85"/>
      <c r="AC1390" s="85"/>
      <c r="AD1390" s="85"/>
      <c r="AE1390" s="47"/>
      <c r="AF1390" s="47"/>
      <c r="AG1390" s="47"/>
      <c r="AH1390" s="47"/>
      <c r="AI1390" s="47"/>
      <c r="AJ1390" s="47"/>
      <c r="AK1390" s="47"/>
      <c r="AL1390" s="47"/>
      <c r="AM1390" s="47"/>
      <c r="AN1390" s="47"/>
      <c r="AO1390" s="47"/>
      <c r="AP1390" s="47"/>
      <c r="AQ1390" s="47"/>
      <c r="AR1390" s="47"/>
      <c r="AS1390" s="47"/>
      <c r="AT1390" s="47"/>
      <c r="AU1390" s="47"/>
      <c r="AV1390" s="47"/>
      <c r="AW1390" s="47"/>
      <c r="AX1390" s="47"/>
      <c r="AY1390" s="47"/>
      <c r="AZ1390" s="47"/>
      <c r="BA1390" s="47"/>
      <c r="BB1390" s="47"/>
      <c r="BC1390" s="47"/>
      <c r="BD1390" s="47"/>
      <c r="BE1390" s="47"/>
      <c r="BF1390" s="47"/>
    </row>
    <row r="1391" spans="3:58">
      <c r="C1391" s="47"/>
      <c r="D1391" s="47"/>
      <c r="E1391" s="47"/>
      <c r="F1391" s="47"/>
      <c r="G1391" s="47"/>
      <c r="H1391" s="47"/>
      <c r="I1391" s="47"/>
      <c r="J1391" s="47"/>
      <c r="K1391" s="47"/>
      <c r="L1391" s="47"/>
      <c r="M1391" s="47"/>
      <c r="N1391" s="47"/>
      <c r="O1391" s="47"/>
      <c r="P1391" s="47"/>
      <c r="Q1391" s="85"/>
      <c r="R1391" s="85"/>
      <c r="S1391" s="85"/>
      <c r="T1391" s="85"/>
      <c r="U1391" s="85"/>
      <c r="V1391" s="85"/>
      <c r="W1391" s="85"/>
      <c r="X1391" s="85"/>
      <c r="Y1391" s="85"/>
      <c r="Z1391" s="85"/>
      <c r="AA1391" s="85"/>
      <c r="AB1391" s="85"/>
      <c r="AC1391" s="85"/>
      <c r="AD1391" s="85"/>
      <c r="AE1391" s="47"/>
      <c r="AF1391" s="47"/>
      <c r="AG1391" s="47"/>
      <c r="AH1391" s="47"/>
      <c r="AI1391" s="47"/>
      <c r="AJ1391" s="47"/>
      <c r="AK1391" s="47"/>
      <c r="AL1391" s="47"/>
      <c r="AM1391" s="47"/>
      <c r="AN1391" s="47"/>
      <c r="AO1391" s="47"/>
      <c r="AP1391" s="47"/>
      <c r="AQ1391" s="47"/>
      <c r="AR1391" s="47"/>
      <c r="AS1391" s="47"/>
      <c r="AT1391" s="47"/>
      <c r="AU1391" s="47"/>
      <c r="AV1391" s="47"/>
      <c r="AW1391" s="47"/>
      <c r="AX1391" s="47"/>
      <c r="AY1391" s="47"/>
      <c r="AZ1391" s="47"/>
      <c r="BA1391" s="47"/>
      <c r="BB1391" s="47"/>
      <c r="BC1391" s="47"/>
      <c r="BD1391" s="47"/>
      <c r="BE1391" s="47"/>
      <c r="BF1391" s="47"/>
    </row>
    <row r="1392" spans="3:58">
      <c r="C1392" s="47"/>
      <c r="D1392" s="47"/>
      <c r="E1392" s="47"/>
      <c r="F1392" s="47"/>
      <c r="G1392" s="47"/>
      <c r="H1392" s="47"/>
      <c r="I1392" s="47"/>
      <c r="J1392" s="47"/>
      <c r="K1392" s="47"/>
      <c r="L1392" s="47"/>
      <c r="M1392" s="47"/>
      <c r="N1392" s="47"/>
      <c r="O1392" s="47"/>
      <c r="P1392" s="47"/>
      <c r="Q1392" s="85"/>
      <c r="R1392" s="85"/>
      <c r="S1392" s="85"/>
      <c r="T1392" s="85"/>
      <c r="U1392" s="85"/>
      <c r="V1392" s="85"/>
      <c r="W1392" s="85"/>
      <c r="X1392" s="85"/>
      <c r="Y1392" s="85"/>
      <c r="Z1392" s="85"/>
      <c r="AA1392" s="85"/>
      <c r="AB1392" s="85"/>
      <c r="AC1392" s="85"/>
      <c r="AD1392" s="85"/>
      <c r="AE1392" s="47"/>
      <c r="AF1392" s="47"/>
      <c r="AG1392" s="47"/>
      <c r="AH1392" s="47"/>
      <c r="AI1392" s="47"/>
      <c r="AJ1392" s="47"/>
      <c r="AK1392" s="47"/>
      <c r="AL1392" s="47"/>
      <c r="AM1392" s="47"/>
      <c r="AN1392" s="47"/>
      <c r="AO1392" s="47"/>
      <c r="AP1392" s="47"/>
      <c r="AQ1392" s="47"/>
      <c r="AR1392" s="47"/>
      <c r="AS1392" s="47"/>
      <c r="AT1392" s="47"/>
      <c r="AU1392" s="47"/>
      <c r="AV1392" s="47"/>
      <c r="AW1392" s="47"/>
      <c r="AX1392" s="47"/>
      <c r="AY1392" s="47"/>
      <c r="AZ1392" s="47"/>
      <c r="BA1392" s="47"/>
      <c r="BB1392" s="47"/>
      <c r="BC1392" s="47"/>
      <c r="BD1392" s="47"/>
      <c r="BE1392" s="47"/>
      <c r="BF1392" s="47"/>
    </row>
    <row r="1393" spans="3:58">
      <c r="C1393" s="47"/>
      <c r="D1393" s="47"/>
      <c r="E1393" s="47"/>
      <c r="F1393" s="47"/>
      <c r="G1393" s="47"/>
      <c r="H1393" s="47"/>
      <c r="I1393" s="47"/>
      <c r="J1393" s="47"/>
      <c r="K1393" s="47"/>
      <c r="L1393" s="47"/>
      <c r="M1393" s="47"/>
      <c r="N1393" s="47"/>
      <c r="O1393" s="47"/>
      <c r="P1393" s="47"/>
      <c r="Q1393" s="85"/>
      <c r="R1393" s="85"/>
      <c r="S1393" s="85"/>
      <c r="T1393" s="85"/>
      <c r="U1393" s="85"/>
      <c r="V1393" s="85"/>
      <c r="W1393" s="85"/>
      <c r="X1393" s="85"/>
      <c r="Y1393" s="85"/>
      <c r="Z1393" s="85"/>
      <c r="AA1393" s="85"/>
      <c r="AB1393" s="85"/>
      <c r="AC1393" s="85"/>
      <c r="AD1393" s="85"/>
      <c r="AE1393" s="47"/>
      <c r="AF1393" s="47"/>
      <c r="AG1393" s="47"/>
      <c r="AH1393" s="47"/>
      <c r="AI1393" s="47"/>
      <c r="AJ1393" s="47"/>
      <c r="AK1393" s="47"/>
      <c r="AL1393" s="47"/>
      <c r="AM1393" s="47"/>
      <c r="AN1393" s="47"/>
      <c r="AO1393" s="47"/>
      <c r="AP1393" s="47"/>
      <c r="AQ1393" s="47"/>
      <c r="AR1393" s="47"/>
      <c r="AS1393" s="47"/>
      <c r="AT1393" s="47"/>
      <c r="AU1393" s="47"/>
      <c r="AV1393" s="47"/>
      <c r="AW1393" s="47"/>
      <c r="AX1393" s="47"/>
      <c r="AY1393" s="47"/>
      <c r="AZ1393" s="47"/>
      <c r="BA1393" s="47"/>
      <c r="BB1393" s="47"/>
      <c r="BC1393" s="47"/>
      <c r="BD1393" s="47"/>
      <c r="BE1393" s="47"/>
      <c r="BF1393" s="47"/>
    </row>
    <row r="1394" spans="3:58">
      <c r="C1394" s="47"/>
      <c r="D1394" s="47"/>
      <c r="E1394" s="47"/>
      <c r="F1394" s="47"/>
      <c r="G1394" s="47"/>
      <c r="H1394" s="47"/>
      <c r="I1394" s="47"/>
      <c r="J1394" s="47"/>
      <c r="K1394" s="47"/>
      <c r="L1394" s="47"/>
      <c r="M1394" s="47"/>
      <c r="N1394" s="47"/>
      <c r="O1394" s="47"/>
      <c r="P1394" s="47"/>
      <c r="Q1394" s="85"/>
      <c r="R1394" s="85"/>
      <c r="S1394" s="85"/>
      <c r="T1394" s="85"/>
      <c r="U1394" s="85"/>
      <c r="V1394" s="85"/>
      <c r="W1394" s="85"/>
      <c r="X1394" s="85"/>
      <c r="Y1394" s="85"/>
      <c r="Z1394" s="85"/>
      <c r="AA1394" s="85"/>
      <c r="AB1394" s="85"/>
      <c r="AC1394" s="85"/>
      <c r="AD1394" s="85"/>
      <c r="AE1394" s="47"/>
      <c r="AF1394" s="47"/>
      <c r="AG1394" s="47"/>
      <c r="AH1394" s="47"/>
      <c r="AI1394" s="47"/>
      <c r="AJ1394" s="47"/>
      <c r="AK1394" s="47"/>
      <c r="AL1394" s="47"/>
      <c r="AM1394" s="47"/>
      <c r="AN1394" s="47"/>
      <c r="AO1394" s="47"/>
      <c r="AP1394" s="47"/>
      <c r="AQ1394" s="47"/>
      <c r="AR1394" s="47"/>
      <c r="AS1394" s="47"/>
      <c r="AT1394" s="47"/>
      <c r="AU1394" s="47"/>
      <c r="AV1394" s="47"/>
      <c r="AW1394" s="47"/>
      <c r="AX1394" s="47"/>
      <c r="AY1394" s="47"/>
      <c r="AZ1394" s="47"/>
      <c r="BA1394" s="47"/>
      <c r="BB1394" s="47"/>
      <c r="BC1394" s="47"/>
      <c r="BD1394" s="47"/>
      <c r="BE1394" s="47"/>
      <c r="BF1394" s="47"/>
    </row>
    <row r="1395" spans="3:58">
      <c r="C1395" s="47"/>
      <c r="D1395" s="47"/>
      <c r="E1395" s="47"/>
      <c r="F1395" s="47"/>
      <c r="G1395" s="47"/>
      <c r="H1395" s="47"/>
      <c r="I1395" s="47"/>
      <c r="J1395" s="47"/>
      <c r="K1395" s="47"/>
      <c r="L1395" s="47"/>
      <c r="M1395" s="47"/>
      <c r="N1395" s="47"/>
      <c r="O1395" s="47"/>
      <c r="P1395" s="47"/>
      <c r="Q1395" s="85"/>
      <c r="R1395" s="85"/>
      <c r="S1395" s="85"/>
      <c r="T1395" s="85"/>
      <c r="U1395" s="85"/>
      <c r="V1395" s="85"/>
      <c r="W1395" s="85"/>
      <c r="X1395" s="85"/>
      <c r="Y1395" s="85"/>
      <c r="Z1395" s="85"/>
      <c r="AA1395" s="85"/>
      <c r="AB1395" s="85"/>
      <c r="AC1395" s="85"/>
      <c r="AD1395" s="85"/>
      <c r="AE1395" s="47"/>
      <c r="AF1395" s="47"/>
      <c r="AG1395" s="47"/>
      <c r="AH1395" s="47"/>
      <c r="AI1395" s="47"/>
      <c r="AJ1395" s="47"/>
      <c r="AK1395" s="47"/>
      <c r="AL1395" s="47"/>
      <c r="AM1395" s="47"/>
      <c r="AN1395" s="47"/>
      <c r="AO1395" s="47"/>
      <c r="AP1395" s="47"/>
      <c r="AQ1395" s="47"/>
      <c r="AR1395" s="47"/>
      <c r="AS1395" s="47"/>
      <c r="AT1395" s="47"/>
      <c r="AU1395" s="47"/>
      <c r="AV1395" s="47"/>
      <c r="AW1395" s="47"/>
      <c r="AX1395" s="47"/>
      <c r="AY1395" s="47"/>
      <c r="AZ1395" s="47"/>
      <c r="BA1395" s="47"/>
      <c r="BB1395" s="47"/>
      <c r="BC1395" s="47"/>
      <c r="BD1395" s="47"/>
      <c r="BE1395" s="47"/>
      <c r="BF1395" s="47"/>
    </row>
    <row r="1396" spans="3:58">
      <c r="C1396" s="47"/>
      <c r="D1396" s="47"/>
      <c r="E1396" s="47"/>
      <c r="F1396" s="47"/>
      <c r="G1396" s="47"/>
      <c r="H1396" s="47"/>
      <c r="I1396" s="47"/>
      <c r="J1396" s="47"/>
      <c r="K1396" s="47"/>
      <c r="L1396" s="47"/>
      <c r="M1396" s="47"/>
      <c r="N1396" s="47"/>
      <c r="O1396" s="47"/>
      <c r="P1396" s="47"/>
      <c r="Q1396" s="85"/>
      <c r="R1396" s="85"/>
      <c r="S1396" s="85"/>
      <c r="T1396" s="85"/>
      <c r="U1396" s="85"/>
      <c r="V1396" s="85"/>
      <c r="W1396" s="85"/>
      <c r="X1396" s="85"/>
      <c r="Y1396" s="85"/>
      <c r="Z1396" s="85"/>
      <c r="AA1396" s="85"/>
      <c r="AB1396" s="85"/>
      <c r="AC1396" s="85"/>
      <c r="AD1396" s="85"/>
      <c r="AE1396" s="47"/>
      <c r="AF1396" s="47"/>
      <c r="AG1396" s="47"/>
      <c r="AH1396" s="47"/>
      <c r="AI1396" s="47"/>
      <c r="AJ1396" s="47"/>
      <c r="AK1396" s="47"/>
      <c r="AL1396" s="47"/>
      <c r="AM1396" s="47"/>
      <c r="AN1396" s="47"/>
      <c r="AO1396" s="47"/>
      <c r="AP1396" s="47"/>
      <c r="AQ1396" s="47"/>
      <c r="AR1396" s="47"/>
      <c r="AS1396" s="47"/>
      <c r="AT1396" s="47"/>
      <c r="AU1396" s="47"/>
      <c r="AV1396" s="47"/>
      <c r="AW1396" s="47"/>
      <c r="AX1396" s="47"/>
      <c r="AY1396" s="47"/>
      <c r="AZ1396" s="47"/>
      <c r="BA1396" s="47"/>
      <c r="BB1396" s="47"/>
      <c r="BC1396" s="47"/>
      <c r="BD1396" s="47"/>
      <c r="BE1396" s="47"/>
      <c r="BF1396" s="47"/>
    </row>
    <row r="1397" spans="3:58">
      <c r="C1397" s="47"/>
      <c r="D1397" s="47"/>
      <c r="E1397" s="47"/>
      <c r="F1397" s="47"/>
      <c r="G1397" s="47"/>
      <c r="H1397" s="47"/>
      <c r="I1397" s="47"/>
      <c r="J1397" s="47"/>
      <c r="K1397" s="47"/>
      <c r="L1397" s="47"/>
      <c r="M1397" s="47"/>
      <c r="N1397" s="47"/>
      <c r="O1397" s="47"/>
      <c r="P1397" s="47"/>
      <c r="Q1397" s="85"/>
      <c r="R1397" s="85"/>
      <c r="S1397" s="85"/>
      <c r="T1397" s="85"/>
      <c r="U1397" s="85"/>
      <c r="V1397" s="85"/>
      <c r="W1397" s="85"/>
      <c r="X1397" s="85"/>
      <c r="Y1397" s="85"/>
      <c r="Z1397" s="85"/>
      <c r="AA1397" s="85"/>
      <c r="AB1397" s="85"/>
      <c r="AC1397" s="85"/>
      <c r="AD1397" s="85"/>
      <c r="AE1397" s="47"/>
      <c r="AF1397" s="47"/>
      <c r="AG1397" s="47"/>
      <c r="AH1397" s="47"/>
      <c r="AI1397" s="47"/>
      <c r="AJ1397" s="47"/>
      <c r="AK1397" s="47"/>
      <c r="AL1397" s="47"/>
      <c r="AM1397" s="47"/>
      <c r="AN1397" s="47"/>
      <c r="AO1397" s="47"/>
      <c r="AP1397" s="47"/>
      <c r="AQ1397" s="47"/>
      <c r="AR1397" s="47"/>
      <c r="AS1397" s="47"/>
      <c r="AT1397" s="47"/>
      <c r="AU1397" s="47"/>
      <c r="AV1397" s="47"/>
      <c r="AW1397" s="47"/>
      <c r="AX1397" s="47"/>
      <c r="AY1397" s="47"/>
      <c r="AZ1397" s="47"/>
      <c r="BA1397" s="47"/>
      <c r="BB1397" s="47"/>
      <c r="BC1397" s="47"/>
      <c r="BD1397" s="47"/>
      <c r="BE1397" s="47"/>
      <c r="BF1397" s="47"/>
    </row>
    <row r="1398" spans="3:58">
      <c r="C1398" s="47"/>
      <c r="D1398" s="47"/>
      <c r="E1398" s="47"/>
      <c r="F1398" s="47"/>
      <c r="G1398" s="47"/>
      <c r="H1398" s="47"/>
      <c r="I1398" s="47"/>
      <c r="J1398" s="47"/>
      <c r="K1398" s="47"/>
      <c r="L1398" s="47"/>
      <c r="M1398" s="47"/>
      <c r="N1398" s="47"/>
      <c r="O1398" s="47"/>
      <c r="P1398" s="47"/>
      <c r="Q1398" s="85"/>
      <c r="R1398" s="85"/>
      <c r="S1398" s="85"/>
      <c r="T1398" s="85"/>
      <c r="U1398" s="85"/>
      <c r="V1398" s="85"/>
      <c r="W1398" s="85"/>
      <c r="X1398" s="85"/>
      <c r="Y1398" s="85"/>
      <c r="Z1398" s="85"/>
      <c r="AA1398" s="85"/>
      <c r="AB1398" s="85"/>
      <c r="AC1398" s="85"/>
      <c r="AD1398" s="85"/>
      <c r="AE1398" s="47"/>
      <c r="AF1398" s="47"/>
      <c r="AG1398" s="47"/>
      <c r="AH1398" s="47"/>
      <c r="AI1398" s="47"/>
      <c r="AJ1398" s="47"/>
      <c r="AK1398" s="47"/>
      <c r="AL1398" s="47"/>
      <c r="AM1398" s="47"/>
      <c r="AN1398" s="47"/>
      <c r="AO1398" s="47"/>
      <c r="AP1398" s="47"/>
      <c r="AQ1398" s="47"/>
      <c r="AR1398" s="47"/>
      <c r="AS1398" s="47"/>
      <c r="AT1398" s="47"/>
      <c r="AU1398" s="47"/>
      <c r="AV1398" s="47"/>
      <c r="AW1398" s="47"/>
      <c r="AX1398" s="47"/>
      <c r="AY1398" s="47"/>
      <c r="AZ1398" s="47"/>
      <c r="BA1398" s="47"/>
      <c r="BB1398" s="47"/>
      <c r="BC1398" s="47"/>
      <c r="BD1398" s="47"/>
      <c r="BE1398" s="47"/>
      <c r="BF1398" s="47"/>
    </row>
    <row r="1399" spans="3:58">
      <c r="C1399" s="47"/>
      <c r="D1399" s="47"/>
      <c r="E1399" s="47"/>
      <c r="F1399" s="47"/>
      <c r="G1399" s="47"/>
      <c r="H1399" s="47"/>
      <c r="I1399" s="47"/>
      <c r="J1399" s="47"/>
      <c r="K1399" s="47"/>
      <c r="L1399" s="47"/>
      <c r="M1399" s="47"/>
      <c r="N1399" s="47"/>
      <c r="O1399" s="47"/>
      <c r="P1399" s="47"/>
      <c r="Q1399" s="85"/>
      <c r="R1399" s="85"/>
      <c r="S1399" s="85"/>
      <c r="T1399" s="85"/>
      <c r="U1399" s="85"/>
      <c r="V1399" s="85"/>
      <c r="W1399" s="85"/>
      <c r="X1399" s="85"/>
      <c r="Y1399" s="85"/>
      <c r="Z1399" s="85"/>
      <c r="AA1399" s="85"/>
      <c r="AB1399" s="85"/>
      <c r="AC1399" s="85"/>
      <c r="AD1399" s="85"/>
      <c r="AE1399" s="47"/>
      <c r="AF1399" s="47"/>
      <c r="AG1399" s="47"/>
      <c r="AH1399" s="47"/>
      <c r="AI1399" s="47"/>
      <c r="AJ1399" s="47"/>
      <c r="AK1399" s="47"/>
      <c r="AL1399" s="47"/>
      <c r="AM1399" s="47"/>
      <c r="AN1399" s="47"/>
      <c r="AO1399" s="47"/>
      <c r="AP1399" s="47"/>
      <c r="AQ1399" s="47"/>
      <c r="AR1399" s="47"/>
      <c r="AS1399" s="47"/>
      <c r="AT1399" s="47"/>
      <c r="AU1399" s="47"/>
      <c r="AV1399" s="47"/>
      <c r="AW1399" s="47"/>
      <c r="AX1399" s="47"/>
      <c r="AY1399" s="47"/>
      <c r="AZ1399" s="47"/>
      <c r="BA1399" s="47"/>
      <c r="BB1399" s="47"/>
      <c r="BC1399" s="47"/>
      <c r="BD1399" s="47"/>
      <c r="BE1399" s="47"/>
      <c r="BF1399" s="47"/>
    </row>
    <row r="1400" spans="3:58">
      <c r="C1400" s="47"/>
      <c r="D1400" s="47"/>
      <c r="E1400" s="47"/>
      <c r="F1400" s="47"/>
      <c r="G1400" s="47"/>
      <c r="H1400" s="47"/>
      <c r="I1400" s="47"/>
      <c r="J1400" s="47"/>
      <c r="K1400" s="47"/>
      <c r="L1400" s="47"/>
      <c r="M1400" s="47"/>
      <c r="N1400" s="47"/>
      <c r="O1400" s="47"/>
      <c r="P1400" s="47"/>
      <c r="Q1400" s="85"/>
      <c r="R1400" s="85"/>
      <c r="S1400" s="85"/>
      <c r="T1400" s="85"/>
      <c r="U1400" s="85"/>
      <c r="V1400" s="85"/>
      <c r="W1400" s="85"/>
      <c r="X1400" s="85"/>
      <c r="Y1400" s="85"/>
      <c r="Z1400" s="85"/>
      <c r="AA1400" s="85"/>
      <c r="AB1400" s="85"/>
      <c r="AC1400" s="85"/>
      <c r="AD1400" s="85"/>
      <c r="AE1400" s="47"/>
      <c r="AF1400" s="47"/>
      <c r="AG1400" s="47"/>
      <c r="AH1400" s="47"/>
      <c r="AI1400" s="47"/>
      <c r="AJ1400" s="47"/>
      <c r="AK1400" s="47"/>
      <c r="AL1400" s="47"/>
      <c r="AM1400" s="47"/>
      <c r="AN1400" s="47"/>
      <c r="AO1400" s="47"/>
      <c r="AP1400" s="47"/>
      <c r="AQ1400" s="47"/>
      <c r="AR1400" s="47"/>
      <c r="AS1400" s="47"/>
      <c r="AT1400" s="47"/>
      <c r="AU1400" s="47"/>
      <c r="AV1400" s="47"/>
      <c r="AW1400" s="47"/>
      <c r="AX1400" s="47"/>
      <c r="AY1400" s="47"/>
      <c r="AZ1400" s="47"/>
      <c r="BA1400" s="47"/>
      <c r="BB1400" s="47"/>
      <c r="BC1400" s="47"/>
      <c r="BD1400" s="47"/>
      <c r="BE1400" s="47"/>
      <c r="BF1400" s="47"/>
    </row>
    <row r="1401" spans="3:58">
      <c r="C1401" s="47"/>
      <c r="D1401" s="47"/>
      <c r="E1401" s="47"/>
      <c r="F1401" s="47"/>
      <c r="G1401" s="47"/>
      <c r="H1401" s="47"/>
      <c r="I1401" s="47"/>
      <c r="J1401" s="47"/>
      <c r="K1401" s="47"/>
      <c r="L1401" s="47"/>
      <c r="M1401" s="47"/>
      <c r="N1401" s="47"/>
      <c r="O1401" s="47"/>
      <c r="P1401" s="47"/>
      <c r="Q1401" s="85"/>
      <c r="R1401" s="85"/>
      <c r="S1401" s="85"/>
      <c r="T1401" s="85"/>
      <c r="U1401" s="85"/>
      <c r="V1401" s="85"/>
      <c r="W1401" s="85"/>
      <c r="X1401" s="85"/>
      <c r="Y1401" s="85"/>
      <c r="Z1401" s="85"/>
      <c r="AA1401" s="85"/>
      <c r="AB1401" s="85"/>
      <c r="AC1401" s="85"/>
      <c r="AD1401" s="85"/>
      <c r="AE1401" s="47"/>
      <c r="AF1401" s="47"/>
      <c r="AG1401" s="47"/>
      <c r="AH1401" s="47"/>
      <c r="AI1401" s="47"/>
      <c r="AJ1401" s="47"/>
      <c r="AK1401" s="47"/>
      <c r="AL1401" s="47"/>
      <c r="AM1401" s="47"/>
      <c r="AN1401" s="47"/>
      <c r="AO1401" s="47"/>
      <c r="AP1401" s="47"/>
      <c r="AQ1401" s="47"/>
      <c r="AR1401" s="47"/>
      <c r="AS1401" s="47"/>
      <c r="AT1401" s="47"/>
      <c r="AU1401" s="47"/>
      <c r="AV1401" s="47"/>
      <c r="AW1401" s="47"/>
      <c r="AX1401" s="47"/>
      <c r="AY1401" s="47"/>
      <c r="AZ1401" s="47"/>
      <c r="BA1401" s="47"/>
      <c r="BB1401" s="47"/>
      <c r="BC1401" s="47"/>
      <c r="BD1401" s="47"/>
      <c r="BE1401" s="47"/>
      <c r="BF1401" s="47"/>
    </row>
    <row r="1402" spans="3:58">
      <c r="C1402" s="47"/>
      <c r="D1402" s="47"/>
      <c r="E1402" s="47"/>
      <c r="F1402" s="47"/>
      <c r="G1402" s="47"/>
      <c r="H1402" s="47"/>
      <c r="I1402" s="47"/>
      <c r="J1402" s="47"/>
      <c r="K1402" s="47"/>
      <c r="L1402" s="47"/>
      <c r="M1402" s="47"/>
      <c r="N1402" s="47"/>
      <c r="O1402" s="47"/>
      <c r="P1402" s="47"/>
      <c r="Q1402" s="85"/>
      <c r="R1402" s="85"/>
      <c r="S1402" s="85"/>
      <c r="T1402" s="85"/>
      <c r="U1402" s="85"/>
      <c r="V1402" s="85"/>
      <c r="W1402" s="85"/>
      <c r="X1402" s="85"/>
      <c r="Y1402" s="85"/>
      <c r="Z1402" s="85"/>
      <c r="AA1402" s="85"/>
      <c r="AB1402" s="85"/>
      <c r="AC1402" s="85"/>
      <c r="AD1402" s="85"/>
      <c r="AE1402" s="47"/>
      <c r="AF1402" s="47"/>
      <c r="AG1402" s="47"/>
      <c r="AH1402" s="47"/>
      <c r="AI1402" s="47"/>
      <c r="AJ1402" s="47"/>
      <c r="AK1402" s="47"/>
      <c r="AL1402" s="47"/>
      <c r="AM1402" s="47"/>
      <c r="AN1402" s="47"/>
      <c r="AO1402" s="47"/>
      <c r="AP1402" s="47"/>
      <c r="AQ1402" s="47"/>
      <c r="AR1402" s="47"/>
      <c r="AS1402" s="47"/>
      <c r="AT1402" s="47"/>
      <c r="AU1402" s="47"/>
      <c r="AV1402" s="47"/>
      <c r="AW1402" s="47"/>
      <c r="AX1402" s="47"/>
      <c r="AY1402" s="47"/>
      <c r="AZ1402" s="47"/>
      <c r="BA1402" s="47"/>
      <c r="BB1402" s="47"/>
      <c r="BC1402" s="47"/>
      <c r="BD1402" s="47"/>
      <c r="BE1402" s="47"/>
      <c r="BF1402" s="47"/>
    </row>
    <row r="1403" spans="3:58">
      <c r="C1403" s="47"/>
      <c r="D1403" s="47"/>
      <c r="E1403" s="47"/>
      <c r="F1403" s="47"/>
      <c r="G1403" s="47"/>
      <c r="H1403" s="47"/>
      <c r="I1403" s="47"/>
      <c r="J1403" s="47"/>
      <c r="K1403" s="47"/>
      <c r="L1403" s="47"/>
      <c r="M1403" s="47"/>
      <c r="N1403" s="47"/>
      <c r="O1403" s="47"/>
      <c r="P1403" s="47"/>
      <c r="Q1403" s="85"/>
      <c r="R1403" s="85"/>
      <c r="S1403" s="85"/>
      <c r="T1403" s="85"/>
      <c r="U1403" s="85"/>
      <c r="V1403" s="85"/>
      <c r="W1403" s="85"/>
      <c r="X1403" s="85"/>
      <c r="Y1403" s="85"/>
      <c r="Z1403" s="85"/>
      <c r="AA1403" s="85"/>
      <c r="AB1403" s="85"/>
      <c r="AC1403" s="85"/>
      <c r="AD1403" s="85"/>
      <c r="AE1403" s="47"/>
      <c r="AF1403" s="47"/>
      <c r="AG1403" s="47"/>
      <c r="AH1403" s="47"/>
      <c r="AI1403" s="47"/>
      <c r="AJ1403" s="47"/>
      <c r="AK1403" s="47"/>
      <c r="AL1403" s="47"/>
      <c r="AM1403" s="47"/>
      <c r="AN1403" s="47"/>
      <c r="AO1403" s="47"/>
      <c r="AP1403" s="47"/>
      <c r="AQ1403" s="47"/>
      <c r="AR1403" s="47"/>
      <c r="AS1403" s="47"/>
      <c r="AT1403" s="47"/>
      <c r="AU1403" s="47"/>
      <c r="AV1403" s="47"/>
      <c r="AW1403" s="47"/>
      <c r="AX1403" s="47"/>
      <c r="AY1403" s="47"/>
      <c r="AZ1403" s="47"/>
      <c r="BA1403" s="47"/>
      <c r="BB1403" s="47"/>
      <c r="BC1403" s="47"/>
      <c r="BD1403" s="47"/>
      <c r="BE1403" s="47"/>
      <c r="BF1403" s="47"/>
    </row>
    <row r="1404" spans="3:58">
      <c r="C1404" s="47"/>
      <c r="D1404" s="47"/>
      <c r="E1404" s="47"/>
      <c r="F1404" s="47"/>
      <c r="G1404" s="47"/>
      <c r="H1404" s="47"/>
      <c r="I1404" s="47"/>
      <c r="J1404" s="47"/>
      <c r="K1404" s="47"/>
      <c r="L1404" s="47"/>
      <c r="M1404" s="47"/>
      <c r="N1404" s="47"/>
      <c r="O1404" s="47"/>
      <c r="P1404" s="47"/>
      <c r="Q1404" s="85"/>
      <c r="R1404" s="85"/>
      <c r="S1404" s="85"/>
      <c r="T1404" s="85"/>
      <c r="U1404" s="85"/>
      <c r="V1404" s="85"/>
      <c r="W1404" s="85"/>
      <c r="X1404" s="85"/>
      <c r="Y1404" s="85"/>
      <c r="Z1404" s="85"/>
      <c r="AA1404" s="85"/>
      <c r="AB1404" s="85"/>
      <c r="AC1404" s="85"/>
      <c r="AD1404" s="85"/>
      <c r="AE1404" s="47"/>
      <c r="AF1404" s="47"/>
      <c r="AG1404" s="47"/>
      <c r="AH1404" s="47"/>
      <c r="AI1404" s="47"/>
      <c r="AJ1404" s="47"/>
      <c r="AK1404" s="47"/>
      <c r="AL1404" s="47"/>
      <c r="AM1404" s="47"/>
      <c r="AN1404" s="47"/>
      <c r="AO1404" s="47"/>
      <c r="AP1404" s="47"/>
      <c r="AQ1404" s="47"/>
      <c r="AR1404" s="47"/>
      <c r="AS1404" s="47"/>
      <c r="AT1404" s="47"/>
      <c r="AU1404" s="47"/>
      <c r="AV1404" s="47"/>
      <c r="AW1404" s="47"/>
      <c r="AX1404" s="47"/>
      <c r="AY1404" s="47"/>
      <c r="AZ1404" s="47"/>
      <c r="BA1404" s="47"/>
      <c r="BB1404" s="47"/>
      <c r="BC1404" s="47"/>
      <c r="BD1404" s="47"/>
      <c r="BE1404" s="47"/>
      <c r="BF1404" s="47"/>
    </row>
    <row r="1405" spans="3:58">
      <c r="C1405" s="47"/>
      <c r="D1405" s="47"/>
      <c r="E1405" s="47"/>
      <c r="F1405" s="47"/>
      <c r="G1405" s="47"/>
      <c r="H1405" s="47"/>
      <c r="I1405" s="47"/>
      <c r="J1405" s="47"/>
      <c r="K1405" s="47"/>
      <c r="L1405" s="47"/>
      <c r="M1405" s="47"/>
      <c r="N1405" s="47"/>
      <c r="O1405" s="47"/>
      <c r="P1405" s="47"/>
      <c r="Q1405" s="85"/>
      <c r="R1405" s="85"/>
      <c r="S1405" s="85"/>
      <c r="T1405" s="85"/>
      <c r="U1405" s="85"/>
      <c r="V1405" s="85"/>
      <c r="W1405" s="85"/>
      <c r="X1405" s="85"/>
      <c r="Y1405" s="85"/>
      <c r="Z1405" s="85"/>
      <c r="AA1405" s="85"/>
      <c r="AB1405" s="85"/>
      <c r="AC1405" s="85"/>
      <c r="AD1405" s="85"/>
      <c r="AE1405" s="47"/>
      <c r="AF1405" s="47"/>
      <c r="AG1405" s="47"/>
      <c r="AH1405" s="47"/>
      <c r="AI1405" s="47"/>
      <c r="AJ1405" s="47"/>
      <c r="AK1405" s="47"/>
      <c r="AL1405" s="47"/>
      <c r="AM1405" s="47"/>
      <c r="AN1405" s="47"/>
      <c r="AO1405" s="47"/>
      <c r="AP1405" s="47"/>
      <c r="AQ1405" s="47"/>
      <c r="AR1405" s="47"/>
      <c r="AS1405" s="47"/>
      <c r="AT1405" s="47"/>
      <c r="AU1405" s="47"/>
      <c r="AV1405" s="47"/>
      <c r="AW1405" s="47"/>
      <c r="AX1405" s="47"/>
      <c r="AY1405" s="47"/>
      <c r="AZ1405" s="47"/>
      <c r="BA1405" s="47"/>
      <c r="BB1405" s="47"/>
      <c r="BC1405" s="47"/>
      <c r="BD1405" s="47"/>
      <c r="BE1405" s="47"/>
      <c r="BF1405" s="47"/>
    </row>
    <row r="1406" spans="3:58">
      <c r="C1406" s="47"/>
      <c r="D1406" s="47"/>
      <c r="E1406" s="47"/>
      <c r="F1406" s="47"/>
      <c r="G1406" s="47"/>
      <c r="H1406" s="47"/>
      <c r="I1406" s="47"/>
      <c r="J1406" s="47"/>
      <c r="K1406" s="47"/>
      <c r="L1406" s="47"/>
      <c r="M1406" s="47"/>
      <c r="N1406" s="47"/>
      <c r="O1406" s="47"/>
      <c r="P1406" s="47"/>
      <c r="Q1406" s="85"/>
      <c r="R1406" s="85"/>
      <c r="S1406" s="85"/>
      <c r="T1406" s="85"/>
      <c r="U1406" s="85"/>
      <c r="V1406" s="85"/>
      <c r="W1406" s="85"/>
      <c r="X1406" s="85"/>
      <c r="Y1406" s="85"/>
      <c r="Z1406" s="85"/>
      <c r="AA1406" s="85"/>
      <c r="AB1406" s="85"/>
      <c r="AC1406" s="85"/>
      <c r="AD1406" s="85"/>
      <c r="AE1406" s="47"/>
      <c r="AF1406" s="47"/>
      <c r="AG1406" s="47"/>
      <c r="AH1406" s="47"/>
      <c r="AI1406" s="47"/>
      <c r="AJ1406" s="47"/>
      <c r="AK1406" s="47"/>
      <c r="AL1406" s="47"/>
      <c r="AM1406" s="47"/>
      <c r="AN1406" s="47"/>
      <c r="AO1406" s="47"/>
      <c r="AP1406" s="47"/>
      <c r="AQ1406" s="47"/>
      <c r="AR1406" s="47"/>
      <c r="AS1406" s="47"/>
      <c r="AT1406" s="47"/>
      <c r="AU1406" s="47"/>
      <c r="AV1406" s="47"/>
      <c r="AW1406" s="47"/>
      <c r="AX1406" s="47"/>
      <c r="AY1406" s="47"/>
      <c r="AZ1406" s="47"/>
      <c r="BA1406" s="47"/>
      <c r="BB1406" s="47"/>
      <c r="BC1406" s="47"/>
      <c r="BD1406" s="47"/>
      <c r="BE1406" s="47"/>
      <c r="BF1406" s="47"/>
    </row>
    <row r="1407" spans="3:58">
      <c r="C1407" s="47"/>
      <c r="D1407" s="47"/>
      <c r="E1407" s="47"/>
      <c r="F1407" s="47"/>
      <c r="G1407" s="47"/>
      <c r="H1407" s="47"/>
      <c r="I1407" s="47"/>
      <c r="J1407" s="47"/>
      <c r="K1407" s="47"/>
      <c r="L1407" s="47"/>
      <c r="M1407" s="47"/>
      <c r="N1407" s="47"/>
      <c r="O1407" s="47"/>
      <c r="P1407" s="47"/>
      <c r="Q1407" s="85"/>
      <c r="R1407" s="85"/>
      <c r="S1407" s="85"/>
      <c r="T1407" s="85"/>
      <c r="U1407" s="85"/>
      <c r="V1407" s="85"/>
      <c r="W1407" s="85"/>
      <c r="X1407" s="85"/>
      <c r="Y1407" s="85"/>
      <c r="Z1407" s="85"/>
      <c r="AA1407" s="85"/>
      <c r="AB1407" s="85"/>
      <c r="AC1407" s="85"/>
      <c r="AD1407" s="85"/>
      <c r="AE1407" s="47"/>
      <c r="AF1407" s="47"/>
      <c r="AG1407" s="47"/>
      <c r="AH1407" s="47"/>
      <c r="AI1407" s="47"/>
      <c r="AJ1407" s="47"/>
      <c r="AK1407" s="47"/>
      <c r="AL1407" s="47"/>
      <c r="AM1407" s="47"/>
      <c r="AN1407" s="47"/>
      <c r="AO1407" s="47"/>
      <c r="AP1407" s="47"/>
      <c r="AQ1407" s="47"/>
      <c r="AR1407" s="47"/>
      <c r="AS1407" s="47"/>
      <c r="AT1407" s="47"/>
      <c r="AU1407" s="47"/>
      <c r="AV1407" s="47"/>
      <c r="AW1407" s="47"/>
      <c r="AX1407" s="47"/>
      <c r="AY1407" s="47"/>
      <c r="AZ1407" s="47"/>
      <c r="BA1407" s="47"/>
      <c r="BB1407" s="47"/>
      <c r="BC1407" s="47"/>
      <c r="BD1407" s="47"/>
      <c r="BE1407" s="47"/>
      <c r="BF1407" s="47"/>
    </row>
    <row r="1408" spans="3:58">
      <c r="C1408" s="47"/>
      <c r="D1408" s="47"/>
      <c r="E1408" s="47"/>
      <c r="F1408" s="47"/>
      <c r="G1408" s="47"/>
      <c r="H1408" s="47"/>
      <c r="I1408" s="47"/>
      <c r="J1408" s="47"/>
      <c r="K1408" s="47"/>
      <c r="L1408" s="47"/>
      <c r="M1408" s="47"/>
      <c r="N1408" s="47"/>
      <c r="O1408" s="47"/>
      <c r="P1408" s="47"/>
      <c r="Q1408" s="85"/>
      <c r="R1408" s="85"/>
      <c r="S1408" s="85"/>
      <c r="T1408" s="85"/>
      <c r="U1408" s="85"/>
      <c r="V1408" s="85"/>
      <c r="W1408" s="85"/>
      <c r="X1408" s="85"/>
      <c r="Y1408" s="85"/>
      <c r="Z1408" s="85"/>
      <c r="AA1408" s="85"/>
      <c r="AB1408" s="85"/>
      <c r="AC1408" s="85"/>
      <c r="AD1408" s="85"/>
      <c r="AE1408" s="47"/>
      <c r="AF1408" s="47"/>
      <c r="AG1408" s="47"/>
      <c r="AH1408" s="47"/>
      <c r="AI1408" s="47"/>
      <c r="AJ1408" s="47"/>
      <c r="AK1408" s="47"/>
      <c r="AL1408" s="47"/>
      <c r="AM1408" s="47"/>
      <c r="AN1408" s="47"/>
      <c r="AO1408" s="47"/>
      <c r="AP1408" s="47"/>
      <c r="AQ1408" s="47"/>
      <c r="AR1408" s="47"/>
      <c r="AS1408" s="47"/>
      <c r="AT1408" s="47"/>
      <c r="AU1408" s="47"/>
      <c r="AV1408" s="47"/>
      <c r="AW1408" s="47"/>
      <c r="AX1408" s="47"/>
      <c r="AY1408" s="47"/>
      <c r="AZ1408" s="47"/>
      <c r="BA1408" s="47"/>
      <c r="BB1408" s="47"/>
      <c r="BC1408" s="47"/>
      <c r="BD1408" s="47"/>
      <c r="BE1408" s="47"/>
      <c r="BF1408" s="47"/>
    </row>
    <row r="1409" spans="3:58">
      <c r="C1409" s="47"/>
      <c r="D1409" s="47"/>
      <c r="E1409" s="47"/>
      <c r="F1409" s="47"/>
      <c r="G1409" s="47"/>
      <c r="H1409" s="47"/>
      <c r="I1409" s="47"/>
      <c r="J1409" s="47"/>
      <c r="K1409" s="47"/>
      <c r="L1409" s="47"/>
      <c r="M1409" s="47"/>
      <c r="N1409" s="47"/>
      <c r="O1409" s="47"/>
      <c r="P1409" s="47"/>
      <c r="Q1409" s="85"/>
      <c r="R1409" s="85"/>
      <c r="S1409" s="85"/>
      <c r="T1409" s="85"/>
      <c r="U1409" s="85"/>
      <c r="V1409" s="85"/>
      <c r="W1409" s="85"/>
      <c r="X1409" s="85"/>
      <c r="Y1409" s="85"/>
      <c r="Z1409" s="85"/>
      <c r="AA1409" s="85"/>
      <c r="AB1409" s="85"/>
      <c r="AC1409" s="85"/>
      <c r="AD1409" s="85"/>
      <c r="AE1409" s="47"/>
      <c r="AF1409" s="47"/>
      <c r="AG1409" s="47"/>
      <c r="AH1409" s="47"/>
      <c r="AI1409" s="47"/>
      <c r="AJ1409" s="47"/>
      <c r="AK1409" s="47"/>
      <c r="AL1409" s="47"/>
      <c r="AM1409" s="47"/>
      <c r="AN1409" s="47"/>
      <c r="AO1409" s="47"/>
      <c r="AP1409" s="47"/>
      <c r="AQ1409" s="47"/>
      <c r="AR1409" s="47"/>
      <c r="AS1409" s="47"/>
      <c r="AT1409" s="47"/>
      <c r="AU1409" s="47"/>
      <c r="AV1409" s="47"/>
      <c r="AW1409" s="47"/>
      <c r="AX1409" s="47"/>
      <c r="AY1409" s="47"/>
      <c r="AZ1409" s="47"/>
      <c r="BA1409" s="47"/>
      <c r="BB1409" s="47"/>
      <c r="BC1409" s="47"/>
      <c r="BD1409" s="47"/>
      <c r="BE1409" s="47"/>
      <c r="BF1409" s="47"/>
    </row>
    <row r="1410" spans="3:58">
      <c r="C1410" s="47"/>
      <c r="D1410" s="47"/>
      <c r="E1410" s="47"/>
      <c r="F1410" s="47"/>
      <c r="G1410" s="47"/>
      <c r="H1410" s="47"/>
      <c r="I1410" s="47"/>
      <c r="J1410" s="47"/>
      <c r="K1410" s="47"/>
      <c r="L1410" s="47"/>
      <c r="M1410" s="47"/>
      <c r="N1410" s="47"/>
      <c r="O1410" s="47"/>
      <c r="P1410" s="47"/>
      <c r="Q1410" s="85"/>
      <c r="R1410" s="85"/>
      <c r="S1410" s="85"/>
      <c r="T1410" s="85"/>
      <c r="U1410" s="85"/>
      <c r="V1410" s="85"/>
      <c r="W1410" s="85"/>
      <c r="X1410" s="85"/>
      <c r="Y1410" s="85"/>
      <c r="Z1410" s="85"/>
      <c r="AA1410" s="85"/>
      <c r="AB1410" s="85"/>
      <c r="AC1410" s="85"/>
      <c r="AD1410" s="85"/>
      <c r="AE1410" s="47"/>
      <c r="AF1410" s="47"/>
      <c r="AG1410" s="47"/>
      <c r="AH1410" s="47"/>
      <c r="AI1410" s="47"/>
      <c r="AJ1410" s="47"/>
      <c r="AK1410" s="47"/>
      <c r="AL1410" s="47"/>
      <c r="AM1410" s="47"/>
      <c r="AN1410" s="47"/>
      <c r="AO1410" s="47"/>
      <c r="AP1410" s="47"/>
      <c r="AQ1410" s="47"/>
      <c r="AR1410" s="47"/>
      <c r="AS1410" s="47"/>
      <c r="AT1410" s="47"/>
      <c r="AU1410" s="47"/>
      <c r="AV1410" s="47"/>
      <c r="AW1410" s="47"/>
      <c r="AX1410" s="47"/>
      <c r="AY1410" s="47"/>
      <c r="AZ1410" s="47"/>
      <c r="BA1410" s="47"/>
      <c r="BB1410" s="47"/>
      <c r="BC1410" s="47"/>
      <c r="BD1410" s="47"/>
      <c r="BE1410" s="47"/>
      <c r="BF1410" s="47"/>
    </row>
    <row r="1411" spans="3:58">
      <c r="C1411" s="47"/>
      <c r="D1411" s="47"/>
      <c r="E1411" s="47"/>
      <c r="F1411" s="47"/>
      <c r="G1411" s="47"/>
      <c r="H1411" s="47"/>
      <c r="I1411" s="47"/>
      <c r="J1411" s="47"/>
      <c r="K1411" s="47"/>
      <c r="L1411" s="47"/>
      <c r="M1411" s="47"/>
      <c r="N1411" s="47"/>
      <c r="O1411" s="47"/>
      <c r="P1411" s="47"/>
      <c r="Q1411" s="85"/>
      <c r="R1411" s="85"/>
      <c r="S1411" s="85"/>
      <c r="T1411" s="85"/>
      <c r="U1411" s="85"/>
      <c r="V1411" s="85"/>
      <c r="W1411" s="85"/>
      <c r="X1411" s="85"/>
      <c r="Y1411" s="85"/>
      <c r="Z1411" s="85"/>
      <c r="AA1411" s="85"/>
      <c r="AB1411" s="85"/>
      <c r="AC1411" s="85"/>
      <c r="AD1411" s="85"/>
      <c r="AE1411" s="47"/>
      <c r="AF1411" s="47"/>
      <c r="AG1411" s="47"/>
      <c r="AH1411" s="47"/>
      <c r="AI1411" s="47"/>
      <c r="AJ1411" s="47"/>
      <c r="AK1411" s="47"/>
      <c r="AL1411" s="47"/>
      <c r="AM1411" s="47"/>
      <c r="AN1411" s="47"/>
      <c r="AO1411" s="47"/>
      <c r="AP1411" s="47"/>
      <c r="AQ1411" s="47"/>
      <c r="AR1411" s="47"/>
      <c r="AS1411" s="47"/>
      <c r="AT1411" s="47"/>
      <c r="AU1411" s="47"/>
      <c r="AV1411" s="47"/>
      <c r="AW1411" s="47"/>
      <c r="AX1411" s="47"/>
      <c r="AY1411" s="47"/>
      <c r="AZ1411" s="47"/>
      <c r="BA1411" s="47"/>
      <c r="BB1411" s="47"/>
      <c r="BC1411" s="47"/>
      <c r="BD1411" s="47"/>
      <c r="BE1411" s="47"/>
      <c r="BF1411" s="47"/>
    </row>
    <row r="1412" spans="3:58">
      <c r="C1412" s="47"/>
      <c r="D1412" s="47"/>
      <c r="E1412" s="47"/>
      <c r="F1412" s="47"/>
      <c r="G1412" s="47"/>
      <c r="H1412" s="47"/>
      <c r="I1412" s="47"/>
      <c r="J1412" s="47"/>
      <c r="K1412" s="47"/>
      <c r="L1412" s="47"/>
      <c r="M1412" s="47"/>
      <c r="N1412" s="47"/>
      <c r="O1412" s="47"/>
      <c r="P1412" s="47"/>
      <c r="Q1412" s="85"/>
      <c r="R1412" s="85"/>
      <c r="S1412" s="85"/>
      <c r="T1412" s="85"/>
      <c r="U1412" s="85"/>
      <c r="V1412" s="85"/>
      <c r="W1412" s="85"/>
      <c r="X1412" s="85"/>
      <c r="Y1412" s="85"/>
      <c r="Z1412" s="85"/>
      <c r="AA1412" s="85"/>
      <c r="AB1412" s="85"/>
      <c r="AC1412" s="85"/>
      <c r="AD1412" s="85"/>
      <c r="AE1412" s="47"/>
      <c r="AF1412" s="47"/>
      <c r="AG1412" s="47"/>
      <c r="AH1412" s="47"/>
      <c r="AI1412" s="47"/>
      <c r="AJ1412" s="47"/>
      <c r="AK1412" s="47"/>
      <c r="AL1412" s="47"/>
      <c r="AM1412" s="47"/>
      <c r="AN1412" s="47"/>
      <c r="AO1412" s="47"/>
      <c r="AP1412" s="47"/>
      <c r="AQ1412" s="47"/>
      <c r="AR1412" s="47"/>
      <c r="AS1412" s="47"/>
      <c r="AT1412" s="47"/>
      <c r="AU1412" s="47"/>
      <c r="AV1412" s="47"/>
      <c r="AW1412" s="47"/>
      <c r="AX1412" s="47"/>
      <c r="AY1412" s="47"/>
      <c r="AZ1412" s="47"/>
      <c r="BA1412" s="47"/>
      <c r="BB1412" s="47"/>
      <c r="BC1412" s="47"/>
      <c r="BD1412" s="47"/>
      <c r="BE1412" s="47"/>
      <c r="BF1412" s="47"/>
    </row>
    <row r="1413" spans="3:58">
      <c r="C1413" s="47"/>
      <c r="D1413" s="47"/>
      <c r="E1413" s="47"/>
      <c r="F1413" s="47"/>
      <c r="G1413" s="47"/>
      <c r="H1413" s="47"/>
      <c r="I1413" s="47"/>
      <c r="J1413" s="47"/>
      <c r="K1413" s="47"/>
      <c r="L1413" s="47"/>
      <c r="M1413" s="47"/>
      <c r="N1413" s="47"/>
      <c r="O1413" s="47"/>
      <c r="P1413" s="47"/>
      <c r="Q1413" s="85"/>
      <c r="R1413" s="85"/>
      <c r="S1413" s="85"/>
      <c r="T1413" s="85"/>
      <c r="U1413" s="85"/>
      <c r="V1413" s="85"/>
      <c r="W1413" s="85"/>
      <c r="X1413" s="85"/>
      <c r="Y1413" s="85"/>
      <c r="Z1413" s="85"/>
      <c r="AA1413" s="85"/>
      <c r="AB1413" s="85"/>
      <c r="AC1413" s="85"/>
      <c r="AD1413" s="85"/>
      <c r="AE1413" s="47"/>
      <c r="AF1413" s="47"/>
      <c r="AG1413" s="47"/>
      <c r="AH1413" s="47"/>
      <c r="AI1413" s="47"/>
      <c r="AJ1413" s="47"/>
      <c r="AK1413" s="47"/>
      <c r="AL1413" s="47"/>
      <c r="AM1413" s="47"/>
      <c r="AN1413" s="47"/>
      <c r="AO1413" s="47"/>
      <c r="AP1413" s="47"/>
      <c r="AQ1413" s="47"/>
      <c r="AR1413" s="47"/>
      <c r="AS1413" s="47"/>
      <c r="AT1413" s="47"/>
      <c r="AU1413" s="47"/>
      <c r="AV1413" s="47"/>
      <c r="AW1413" s="47"/>
      <c r="AX1413" s="47"/>
      <c r="AY1413" s="47"/>
      <c r="AZ1413" s="47"/>
      <c r="BA1413" s="47"/>
      <c r="BB1413" s="47"/>
      <c r="BC1413" s="47"/>
      <c r="BD1413" s="47"/>
      <c r="BE1413" s="47"/>
      <c r="BF1413" s="47"/>
    </row>
    <row r="1414" spans="3:58">
      <c r="C1414" s="47"/>
      <c r="D1414" s="47"/>
      <c r="E1414" s="47"/>
      <c r="F1414" s="47"/>
      <c r="G1414" s="47"/>
      <c r="H1414" s="47"/>
      <c r="I1414" s="47"/>
      <c r="J1414" s="47"/>
      <c r="K1414" s="47"/>
      <c r="L1414" s="47"/>
      <c r="M1414" s="47"/>
      <c r="N1414" s="47"/>
      <c r="O1414" s="47"/>
      <c r="P1414" s="47"/>
      <c r="Q1414" s="85"/>
      <c r="R1414" s="85"/>
      <c r="S1414" s="85"/>
      <c r="T1414" s="85"/>
      <c r="U1414" s="85"/>
      <c r="V1414" s="85"/>
      <c r="W1414" s="85"/>
      <c r="X1414" s="85"/>
      <c r="Y1414" s="85"/>
      <c r="Z1414" s="85"/>
      <c r="AA1414" s="85"/>
      <c r="AB1414" s="85"/>
      <c r="AC1414" s="85"/>
      <c r="AD1414" s="85"/>
      <c r="AE1414" s="47"/>
      <c r="AF1414" s="47"/>
      <c r="AG1414" s="47"/>
      <c r="AH1414" s="47"/>
      <c r="AI1414" s="47"/>
      <c r="AJ1414" s="47"/>
      <c r="AK1414" s="47"/>
      <c r="AL1414" s="47"/>
      <c r="AM1414" s="47"/>
      <c r="AN1414" s="47"/>
      <c r="AO1414" s="47"/>
      <c r="AP1414" s="47"/>
      <c r="AQ1414" s="47"/>
      <c r="AR1414" s="47"/>
      <c r="AS1414" s="47"/>
      <c r="AT1414" s="47"/>
      <c r="AU1414" s="47"/>
      <c r="AV1414" s="47"/>
      <c r="AW1414" s="47"/>
      <c r="AX1414" s="47"/>
      <c r="AY1414" s="47"/>
      <c r="AZ1414" s="47"/>
      <c r="BA1414" s="47"/>
      <c r="BB1414" s="47"/>
      <c r="BC1414" s="47"/>
      <c r="BD1414" s="47"/>
      <c r="BE1414" s="47"/>
      <c r="BF1414" s="47"/>
    </row>
    <row r="1415" spans="3:58">
      <c r="C1415" s="47"/>
      <c r="D1415" s="47"/>
      <c r="E1415" s="47"/>
      <c r="F1415" s="47"/>
      <c r="G1415" s="47"/>
      <c r="H1415" s="47"/>
      <c r="I1415" s="47"/>
      <c r="J1415" s="47"/>
      <c r="K1415" s="47"/>
      <c r="L1415" s="47"/>
      <c r="M1415" s="47"/>
      <c r="N1415" s="47"/>
      <c r="O1415" s="47"/>
      <c r="P1415" s="47"/>
      <c r="Q1415" s="85"/>
      <c r="R1415" s="85"/>
      <c r="S1415" s="85"/>
      <c r="T1415" s="85"/>
      <c r="U1415" s="85"/>
      <c r="V1415" s="85"/>
      <c r="W1415" s="85"/>
      <c r="X1415" s="85"/>
      <c r="Y1415" s="85"/>
      <c r="Z1415" s="85"/>
      <c r="AA1415" s="85"/>
      <c r="AB1415" s="85"/>
      <c r="AC1415" s="85"/>
      <c r="AD1415" s="85"/>
      <c r="AE1415" s="47"/>
      <c r="AF1415" s="47"/>
      <c r="AG1415" s="47"/>
      <c r="AH1415" s="47"/>
      <c r="AI1415" s="47"/>
      <c r="AJ1415" s="47"/>
      <c r="AK1415" s="47"/>
      <c r="AL1415" s="47"/>
      <c r="AM1415" s="47"/>
      <c r="AN1415" s="47"/>
      <c r="AO1415" s="47"/>
      <c r="AP1415" s="47"/>
      <c r="AQ1415" s="47"/>
      <c r="AR1415" s="47"/>
      <c r="AS1415" s="47"/>
      <c r="AT1415" s="47"/>
      <c r="AU1415" s="47"/>
      <c r="AV1415" s="47"/>
      <c r="AW1415" s="47"/>
      <c r="AX1415" s="47"/>
      <c r="AY1415" s="47"/>
      <c r="AZ1415" s="47"/>
      <c r="BA1415" s="47"/>
      <c r="BB1415" s="47"/>
      <c r="BC1415" s="47"/>
      <c r="BD1415" s="47"/>
      <c r="BE1415" s="47"/>
      <c r="BF1415" s="47"/>
    </row>
    <row r="1416" spans="3:58">
      <c r="C1416" s="47"/>
      <c r="D1416" s="47"/>
      <c r="E1416" s="47"/>
      <c r="F1416" s="47"/>
      <c r="G1416" s="47"/>
      <c r="H1416" s="47"/>
      <c r="I1416" s="47"/>
      <c r="J1416" s="47"/>
      <c r="K1416" s="47"/>
      <c r="L1416" s="47"/>
      <c r="M1416" s="47"/>
      <c r="N1416" s="47"/>
      <c r="O1416" s="47"/>
      <c r="P1416" s="47"/>
      <c r="Q1416" s="85"/>
      <c r="R1416" s="85"/>
      <c r="S1416" s="85"/>
      <c r="T1416" s="85"/>
      <c r="U1416" s="85"/>
      <c r="V1416" s="85"/>
      <c r="W1416" s="85"/>
      <c r="X1416" s="85"/>
      <c r="Y1416" s="85"/>
      <c r="Z1416" s="85"/>
      <c r="AA1416" s="85"/>
      <c r="AB1416" s="85"/>
      <c r="AC1416" s="85"/>
      <c r="AD1416" s="85"/>
      <c r="AE1416" s="47"/>
      <c r="AF1416" s="47"/>
      <c r="AG1416" s="47"/>
      <c r="AH1416" s="47"/>
      <c r="AI1416" s="47"/>
      <c r="AJ1416" s="47"/>
      <c r="AK1416" s="47"/>
      <c r="AL1416" s="47"/>
      <c r="AM1416" s="47"/>
      <c r="AN1416" s="47"/>
      <c r="AO1416" s="47"/>
      <c r="AP1416" s="47"/>
      <c r="AQ1416" s="47"/>
      <c r="AR1416" s="47"/>
      <c r="AS1416" s="47"/>
      <c r="AT1416" s="47"/>
      <c r="AU1416" s="47"/>
      <c r="AV1416" s="47"/>
      <c r="AW1416" s="47"/>
      <c r="AX1416" s="47"/>
      <c r="AY1416" s="47"/>
      <c r="AZ1416" s="47"/>
      <c r="BA1416" s="47"/>
      <c r="BB1416" s="47"/>
      <c r="BC1416" s="47"/>
      <c r="BD1416" s="47"/>
      <c r="BE1416" s="47"/>
      <c r="BF1416" s="47"/>
    </row>
    <row r="1417" spans="3:58">
      <c r="C1417" s="47"/>
      <c r="D1417" s="47"/>
      <c r="E1417" s="47"/>
      <c r="F1417" s="47"/>
      <c r="G1417" s="47"/>
      <c r="H1417" s="47"/>
      <c r="I1417" s="47"/>
      <c r="J1417" s="47"/>
      <c r="K1417" s="47"/>
      <c r="L1417" s="47"/>
      <c r="M1417" s="47"/>
      <c r="N1417" s="47"/>
      <c r="O1417" s="47"/>
      <c r="P1417" s="47"/>
      <c r="Q1417" s="85"/>
      <c r="R1417" s="85"/>
      <c r="S1417" s="85"/>
      <c r="T1417" s="85"/>
      <c r="U1417" s="85"/>
      <c r="V1417" s="85"/>
      <c r="W1417" s="85"/>
      <c r="X1417" s="85"/>
      <c r="Y1417" s="85"/>
      <c r="Z1417" s="85"/>
      <c r="AA1417" s="85"/>
      <c r="AB1417" s="85"/>
      <c r="AC1417" s="85"/>
      <c r="AD1417" s="85"/>
      <c r="AE1417" s="47"/>
      <c r="AF1417" s="47"/>
      <c r="AG1417" s="47"/>
      <c r="AH1417" s="47"/>
      <c r="AI1417" s="47"/>
      <c r="AJ1417" s="47"/>
      <c r="AK1417" s="47"/>
      <c r="AL1417" s="47"/>
      <c r="AM1417" s="47"/>
      <c r="AN1417" s="47"/>
      <c r="AO1417" s="47"/>
      <c r="AP1417" s="47"/>
      <c r="AQ1417" s="47"/>
      <c r="AR1417" s="47"/>
      <c r="AS1417" s="47"/>
      <c r="AT1417" s="47"/>
      <c r="AU1417" s="47"/>
      <c r="AV1417" s="47"/>
      <c r="AW1417" s="47"/>
      <c r="AX1417" s="47"/>
      <c r="AY1417" s="47"/>
      <c r="AZ1417" s="47"/>
      <c r="BA1417" s="47"/>
      <c r="BB1417" s="47"/>
      <c r="BC1417" s="47"/>
      <c r="BD1417" s="47"/>
      <c r="BE1417" s="47"/>
      <c r="BF1417" s="47"/>
    </row>
    <row r="1418" spans="3:58">
      <c r="C1418" s="47"/>
      <c r="D1418" s="47"/>
      <c r="E1418" s="47"/>
      <c r="F1418" s="47"/>
      <c r="G1418" s="47"/>
      <c r="H1418" s="47"/>
      <c r="I1418" s="47"/>
      <c r="J1418" s="47"/>
      <c r="K1418" s="47"/>
      <c r="L1418" s="47"/>
      <c r="M1418" s="47"/>
      <c r="N1418" s="47"/>
      <c r="O1418" s="47"/>
      <c r="P1418" s="47"/>
      <c r="Q1418" s="85"/>
      <c r="R1418" s="85"/>
      <c r="S1418" s="85"/>
      <c r="T1418" s="85"/>
      <c r="U1418" s="85"/>
      <c r="V1418" s="85"/>
      <c r="W1418" s="85"/>
      <c r="X1418" s="85"/>
      <c r="Y1418" s="85"/>
      <c r="Z1418" s="85"/>
      <c r="AA1418" s="85"/>
      <c r="AB1418" s="85"/>
      <c r="AC1418" s="85"/>
      <c r="AD1418" s="85"/>
      <c r="AE1418" s="47"/>
      <c r="AF1418" s="47"/>
      <c r="AG1418" s="47"/>
      <c r="AH1418" s="47"/>
      <c r="AI1418" s="47"/>
      <c r="AJ1418" s="47"/>
      <c r="AK1418" s="47"/>
      <c r="AL1418" s="47"/>
      <c r="AM1418" s="47"/>
      <c r="AN1418" s="47"/>
      <c r="AO1418" s="47"/>
      <c r="AP1418" s="47"/>
      <c r="AQ1418" s="47"/>
      <c r="AR1418" s="47"/>
      <c r="AS1418" s="47"/>
      <c r="AT1418" s="47"/>
      <c r="AU1418" s="47"/>
      <c r="AV1418" s="47"/>
      <c r="AW1418" s="47"/>
      <c r="AX1418" s="47"/>
      <c r="AY1418" s="47"/>
      <c r="AZ1418" s="47"/>
      <c r="BA1418" s="47"/>
      <c r="BB1418" s="47"/>
      <c r="BC1418" s="47"/>
      <c r="BD1418" s="47"/>
      <c r="BE1418" s="47"/>
      <c r="BF1418" s="47"/>
    </row>
    <row r="1419" spans="3:58">
      <c r="C1419" s="47"/>
      <c r="D1419" s="47"/>
      <c r="E1419" s="47"/>
      <c r="F1419" s="47"/>
      <c r="G1419" s="47"/>
      <c r="H1419" s="47"/>
      <c r="I1419" s="47"/>
      <c r="J1419" s="47"/>
      <c r="K1419" s="47"/>
      <c r="L1419" s="47"/>
      <c r="M1419" s="47"/>
      <c r="N1419" s="47"/>
      <c r="O1419" s="47"/>
      <c r="P1419" s="47"/>
      <c r="Q1419" s="85"/>
      <c r="R1419" s="85"/>
      <c r="S1419" s="85"/>
      <c r="T1419" s="85"/>
      <c r="U1419" s="85"/>
      <c r="V1419" s="85"/>
      <c r="W1419" s="85"/>
      <c r="X1419" s="85"/>
      <c r="Y1419" s="85"/>
      <c r="Z1419" s="85"/>
      <c r="AA1419" s="85"/>
      <c r="AB1419" s="85"/>
      <c r="AC1419" s="85"/>
      <c r="AD1419" s="85"/>
      <c r="AE1419" s="47"/>
      <c r="AF1419" s="47"/>
      <c r="AG1419" s="47"/>
      <c r="AH1419" s="47"/>
      <c r="AI1419" s="47"/>
      <c r="AJ1419" s="47"/>
      <c r="AK1419" s="47"/>
      <c r="AL1419" s="47"/>
      <c r="AM1419" s="47"/>
      <c r="AN1419" s="47"/>
      <c r="AO1419" s="47"/>
      <c r="AP1419" s="47"/>
      <c r="AQ1419" s="47"/>
      <c r="AR1419" s="47"/>
      <c r="AS1419" s="47"/>
      <c r="AT1419" s="47"/>
      <c r="AU1419" s="47"/>
      <c r="AV1419" s="47"/>
      <c r="AW1419" s="47"/>
      <c r="AX1419" s="47"/>
      <c r="AY1419" s="47"/>
      <c r="AZ1419" s="47"/>
      <c r="BA1419" s="47"/>
      <c r="BB1419" s="47"/>
      <c r="BC1419" s="47"/>
      <c r="BD1419" s="47"/>
      <c r="BE1419" s="47"/>
      <c r="BF1419" s="47"/>
    </row>
    <row r="1420" spans="3:58">
      <c r="C1420" s="47"/>
      <c r="D1420" s="47"/>
      <c r="E1420" s="47"/>
      <c r="F1420" s="47"/>
      <c r="G1420" s="47"/>
      <c r="H1420" s="47"/>
      <c r="I1420" s="47"/>
      <c r="J1420" s="47"/>
      <c r="K1420" s="47"/>
      <c r="L1420" s="47"/>
      <c r="M1420" s="47"/>
      <c r="N1420" s="47"/>
      <c r="O1420" s="47"/>
      <c r="P1420" s="47"/>
      <c r="Q1420" s="85"/>
      <c r="R1420" s="85"/>
      <c r="S1420" s="85"/>
      <c r="T1420" s="85"/>
      <c r="U1420" s="85"/>
      <c r="V1420" s="85"/>
      <c r="W1420" s="85"/>
      <c r="X1420" s="85"/>
      <c r="Y1420" s="85"/>
      <c r="Z1420" s="85"/>
      <c r="AA1420" s="85"/>
      <c r="AB1420" s="85"/>
      <c r="AC1420" s="85"/>
      <c r="AD1420" s="85"/>
      <c r="AE1420" s="47"/>
      <c r="AF1420" s="47"/>
      <c r="AG1420" s="47"/>
      <c r="AH1420" s="47"/>
      <c r="AI1420" s="47"/>
      <c r="AJ1420" s="47"/>
      <c r="AK1420" s="47"/>
      <c r="AL1420" s="47"/>
      <c r="AM1420" s="47"/>
      <c r="AN1420" s="47"/>
      <c r="AO1420" s="47"/>
      <c r="AP1420" s="47"/>
      <c r="AQ1420" s="47"/>
      <c r="AR1420" s="47"/>
      <c r="AS1420" s="47"/>
      <c r="AT1420" s="47"/>
      <c r="AU1420" s="47"/>
      <c r="AV1420" s="47"/>
      <c r="AW1420" s="47"/>
      <c r="AX1420" s="47"/>
      <c r="AY1420" s="47"/>
      <c r="AZ1420" s="47"/>
      <c r="BA1420" s="47"/>
      <c r="BB1420" s="47"/>
      <c r="BC1420" s="47"/>
      <c r="BD1420" s="47"/>
      <c r="BE1420" s="47"/>
      <c r="BF1420" s="47"/>
    </row>
    <row r="1421" spans="3:58">
      <c r="C1421" s="47"/>
      <c r="D1421" s="47"/>
      <c r="E1421" s="47"/>
      <c r="F1421" s="47"/>
      <c r="G1421" s="47"/>
      <c r="H1421" s="47"/>
      <c r="I1421" s="47"/>
      <c r="J1421" s="47"/>
      <c r="K1421" s="47"/>
      <c r="L1421" s="47"/>
      <c r="M1421" s="47"/>
      <c r="N1421" s="47"/>
      <c r="O1421" s="47"/>
      <c r="P1421" s="47"/>
      <c r="Q1421" s="85"/>
      <c r="R1421" s="85"/>
      <c r="S1421" s="85"/>
      <c r="T1421" s="85"/>
      <c r="U1421" s="85"/>
      <c r="V1421" s="85"/>
      <c r="W1421" s="85"/>
      <c r="X1421" s="85"/>
      <c r="Y1421" s="85"/>
      <c r="Z1421" s="85"/>
      <c r="AA1421" s="85"/>
      <c r="AB1421" s="85"/>
      <c r="AC1421" s="85"/>
      <c r="AD1421" s="85"/>
      <c r="AE1421" s="47"/>
      <c r="AF1421" s="47"/>
      <c r="AG1421" s="47"/>
      <c r="AH1421" s="47"/>
      <c r="AI1421" s="47"/>
      <c r="AJ1421" s="47"/>
      <c r="AK1421" s="47"/>
      <c r="AL1421" s="47"/>
      <c r="AM1421" s="47"/>
      <c r="AN1421" s="47"/>
      <c r="AO1421" s="47"/>
      <c r="AP1421" s="47"/>
      <c r="AQ1421" s="47"/>
      <c r="AR1421" s="47"/>
      <c r="AS1421" s="47"/>
      <c r="AT1421" s="47"/>
      <c r="AU1421" s="47"/>
      <c r="AV1421" s="47"/>
      <c r="AW1421" s="47"/>
      <c r="AX1421" s="47"/>
      <c r="AY1421" s="47"/>
      <c r="AZ1421" s="47"/>
      <c r="BA1421" s="47"/>
      <c r="BB1421" s="47"/>
      <c r="BC1421" s="47"/>
      <c r="BD1421" s="47"/>
      <c r="BE1421" s="47"/>
      <c r="BF1421" s="47"/>
    </row>
    <row r="1422" spans="3:58">
      <c r="C1422" s="47"/>
      <c r="D1422" s="47"/>
      <c r="E1422" s="47"/>
      <c r="F1422" s="47"/>
      <c r="G1422" s="47"/>
      <c r="H1422" s="47"/>
      <c r="I1422" s="47"/>
      <c r="J1422" s="47"/>
      <c r="K1422" s="47"/>
      <c r="L1422" s="47"/>
      <c r="M1422" s="47"/>
      <c r="N1422" s="47"/>
      <c r="O1422" s="47"/>
      <c r="P1422" s="47"/>
      <c r="Q1422" s="85"/>
      <c r="R1422" s="85"/>
      <c r="S1422" s="85"/>
      <c r="T1422" s="85"/>
      <c r="U1422" s="85"/>
      <c r="V1422" s="85"/>
      <c r="W1422" s="85"/>
      <c r="X1422" s="85"/>
      <c r="Y1422" s="85"/>
      <c r="Z1422" s="85"/>
      <c r="AA1422" s="85"/>
      <c r="AB1422" s="85"/>
      <c r="AC1422" s="85"/>
      <c r="AD1422" s="85"/>
      <c r="AE1422" s="47"/>
      <c r="AF1422" s="47"/>
      <c r="AG1422" s="47"/>
      <c r="AH1422" s="47"/>
      <c r="AI1422" s="47"/>
      <c r="AJ1422" s="47"/>
      <c r="AK1422" s="47"/>
      <c r="AL1422" s="47"/>
      <c r="AM1422" s="47"/>
      <c r="AN1422" s="47"/>
      <c r="AO1422" s="47"/>
      <c r="AP1422" s="47"/>
      <c r="AQ1422" s="47"/>
      <c r="AR1422" s="47"/>
      <c r="AS1422" s="47"/>
      <c r="AT1422" s="47"/>
      <c r="AU1422" s="47"/>
      <c r="AV1422" s="47"/>
      <c r="AW1422" s="47"/>
      <c r="AX1422" s="47"/>
      <c r="AY1422" s="47"/>
      <c r="AZ1422" s="47"/>
      <c r="BA1422" s="47"/>
      <c r="BB1422" s="47"/>
      <c r="BC1422" s="47"/>
      <c r="BD1422" s="47"/>
      <c r="BE1422" s="47"/>
      <c r="BF1422" s="47"/>
    </row>
    <row r="1423" spans="3:58">
      <c r="C1423" s="47"/>
      <c r="D1423" s="47"/>
      <c r="E1423" s="47"/>
      <c r="F1423" s="47"/>
      <c r="G1423" s="47"/>
      <c r="H1423" s="47"/>
      <c r="I1423" s="47"/>
      <c r="J1423" s="47"/>
      <c r="K1423" s="47"/>
      <c r="L1423" s="47"/>
      <c r="M1423" s="47"/>
      <c r="N1423" s="47"/>
      <c r="O1423" s="47"/>
      <c r="P1423" s="47"/>
      <c r="Q1423" s="85"/>
      <c r="R1423" s="85"/>
      <c r="S1423" s="85"/>
      <c r="T1423" s="85"/>
      <c r="U1423" s="85"/>
      <c r="V1423" s="85"/>
      <c r="W1423" s="85"/>
      <c r="X1423" s="85"/>
      <c r="Y1423" s="85"/>
      <c r="Z1423" s="85"/>
      <c r="AA1423" s="85"/>
      <c r="AB1423" s="85"/>
      <c r="AC1423" s="85"/>
      <c r="AD1423" s="85"/>
      <c r="AE1423" s="47"/>
      <c r="AF1423" s="47"/>
      <c r="AG1423" s="47"/>
      <c r="AH1423" s="47"/>
      <c r="AI1423" s="47"/>
      <c r="AJ1423" s="47"/>
      <c r="AK1423" s="47"/>
      <c r="AL1423" s="47"/>
      <c r="AM1423" s="47"/>
      <c r="AN1423" s="47"/>
      <c r="AO1423" s="47"/>
      <c r="AP1423" s="47"/>
      <c r="AQ1423" s="47"/>
      <c r="AR1423" s="47"/>
      <c r="AS1423" s="47"/>
      <c r="AT1423" s="47"/>
      <c r="AU1423" s="47"/>
      <c r="AV1423" s="47"/>
      <c r="AW1423" s="47"/>
      <c r="AX1423" s="47"/>
      <c r="AY1423" s="47"/>
      <c r="AZ1423" s="47"/>
      <c r="BA1423" s="47"/>
      <c r="BB1423" s="47"/>
      <c r="BC1423" s="47"/>
      <c r="BD1423" s="47"/>
      <c r="BE1423" s="47"/>
      <c r="BF1423" s="47"/>
    </row>
    <row r="1424" spans="3:58">
      <c r="C1424" s="47"/>
      <c r="D1424" s="47"/>
      <c r="E1424" s="47"/>
      <c r="F1424" s="47"/>
      <c r="G1424" s="47"/>
      <c r="H1424" s="47"/>
      <c r="I1424" s="47"/>
      <c r="J1424" s="47"/>
      <c r="K1424" s="47"/>
      <c r="L1424" s="47"/>
      <c r="M1424" s="47"/>
      <c r="N1424" s="47"/>
      <c r="O1424" s="47"/>
      <c r="P1424" s="47"/>
      <c r="Q1424" s="85"/>
      <c r="R1424" s="85"/>
      <c r="S1424" s="85"/>
      <c r="T1424" s="85"/>
      <c r="U1424" s="85"/>
      <c r="V1424" s="85"/>
      <c r="W1424" s="85"/>
      <c r="X1424" s="85"/>
      <c r="Y1424" s="85"/>
      <c r="Z1424" s="85"/>
      <c r="AA1424" s="85"/>
      <c r="AB1424" s="85"/>
      <c r="AC1424" s="85"/>
      <c r="AD1424" s="85"/>
      <c r="AE1424" s="47"/>
      <c r="AF1424" s="47"/>
      <c r="AG1424" s="47"/>
      <c r="AH1424" s="47"/>
      <c r="AI1424" s="47"/>
      <c r="AJ1424" s="47"/>
      <c r="AK1424" s="47"/>
      <c r="AL1424" s="47"/>
      <c r="AM1424" s="47"/>
      <c r="AN1424" s="47"/>
      <c r="AO1424" s="47"/>
      <c r="AP1424" s="47"/>
      <c r="AQ1424" s="47"/>
      <c r="AR1424" s="47"/>
      <c r="AS1424" s="47"/>
      <c r="AT1424" s="47"/>
      <c r="AU1424" s="47"/>
      <c r="AV1424" s="47"/>
      <c r="AW1424" s="47"/>
      <c r="AX1424" s="47"/>
      <c r="AY1424" s="47"/>
      <c r="AZ1424" s="47"/>
      <c r="BA1424" s="47"/>
      <c r="BB1424" s="47"/>
      <c r="BC1424" s="47"/>
      <c r="BD1424" s="47"/>
      <c r="BE1424" s="47"/>
      <c r="BF1424" s="47"/>
    </row>
    <row r="1425" spans="3:58">
      <c r="C1425" s="47"/>
      <c r="D1425" s="47"/>
      <c r="E1425" s="47"/>
      <c r="F1425" s="47"/>
      <c r="G1425" s="47"/>
      <c r="H1425" s="47"/>
      <c r="I1425" s="47"/>
      <c r="J1425" s="47"/>
      <c r="K1425" s="47"/>
      <c r="L1425" s="47"/>
      <c r="M1425" s="47"/>
      <c r="N1425" s="47"/>
      <c r="O1425" s="47"/>
      <c r="P1425" s="47"/>
      <c r="Q1425" s="85"/>
      <c r="R1425" s="85"/>
      <c r="S1425" s="85"/>
      <c r="T1425" s="85"/>
      <c r="U1425" s="85"/>
      <c r="V1425" s="85"/>
      <c r="W1425" s="85"/>
      <c r="X1425" s="85"/>
      <c r="Y1425" s="85"/>
      <c r="Z1425" s="85"/>
      <c r="AA1425" s="85"/>
      <c r="AB1425" s="85"/>
      <c r="AC1425" s="85"/>
      <c r="AD1425" s="85"/>
      <c r="AE1425" s="47"/>
      <c r="AF1425" s="47"/>
      <c r="AG1425" s="47"/>
      <c r="AH1425" s="47"/>
      <c r="AI1425" s="47"/>
      <c r="AJ1425" s="47"/>
      <c r="AK1425" s="47"/>
      <c r="AL1425" s="47"/>
      <c r="AM1425" s="47"/>
      <c r="AN1425" s="47"/>
      <c r="AO1425" s="47"/>
      <c r="AP1425" s="47"/>
      <c r="AQ1425" s="47"/>
      <c r="AR1425" s="47"/>
      <c r="AS1425" s="47"/>
      <c r="AT1425" s="47"/>
      <c r="AU1425" s="47"/>
      <c r="AV1425" s="47"/>
      <c r="AW1425" s="47"/>
      <c r="AX1425" s="47"/>
      <c r="AY1425" s="47"/>
      <c r="AZ1425" s="47"/>
      <c r="BA1425" s="47"/>
      <c r="BB1425" s="47"/>
      <c r="BC1425" s="47"/>
      <c r="BD1425" s="47"/>
      <c r="BE1425" s="47"/>
      <c r="BF1425" s="47"/>
    </row>
    <row r="1426" spans="3:58">
      <c r="C1426" s="47"/>
      <c r="D1426" s="47"/>
      <c r="E1426" s="47"/>
      <c r="F1426" s="47"/>
      <c r="G1426" s="47"/>
      <c r="H1426" s="47"/>
      <c r="I1426" s="47"/>
      <c r="J1426" s="47"/>
      <c r="K1426" s="47"/>
      <c r="L1426" s="47"/>
      <c r="M1426" s="47"/>
      <c r="N1426" s="47"/>
      <c r="O1426" s="47"/>
      <c r="P1426" s="47"/>
      <c r="Q1426" s="85"/>
      <c r="R1426" s="85"/>
      <c r="S1426" s="85"/>
      <c r="T1426" s="85"/>
      <c r="U1426" s="85"/>
      <c r="V1426" s="85"/>
      <c r="W1426" s="85"/>
      <c r="X1426" s="85"/>
      <c r="Y1426" s="85"/>
      <c r="Z1426" s="85"/>
      <c r="AA1426" s="85"/>
      <c r="AB1426" s="85"/>
      <c r="AC1426" s="85"/>
      <c r="AD1426" s="85"/>
      <c r="AE1426" s="47"/>
      <c r="AF1426" s="47"/>
      <c r="AG1426" s="47"/>
      <c r="AH1426" s="47"/>
      <c r="AI1426" s="47"/>
      <c r="AJ1426" s="47"/>
      <c r="AK1426" s="47"/>
      <c r="AL1426" s="47"/>
      <c r="AM1426" s="47"/>
      <c r="AN1426" s="47"/>
      <c r="AO1426" s="47"/>
      <c r="AP1426" s="47"/>
      <c r="AQ1426" s="47"/>
      <c r="AR1426" s="47"/>
      <c r="AS1426" s="47"/>
      <c r="AT1426" s="47"/>
      <c r="AU1426" s="47"/>
      <c r="AV1426" s="47"/>
      <c r="AW1426" s="47"/>
      <c r="AX1426" s="47"/>
      <c r="AY1426" s="47"/>
      <c r="AZ1426" s="47"/>
      <c r="BA1426" s="47"/>
      <c r="BB1426" s="47"/>
      <c r="BC1426" s="47"/>
      <c r="BD1426" s="47"/>
      <c r="BE1426" s="47"/>
      <c r="BF1426" s="47"/>
    </row>
    <row r="1427" spans="3:58">
      <c r="C1427" s="47"/>
      <c r="D1427" s="47"/>
      <c r="E1427" s="47"/>
      <c r="F1427" s="47"/>
      <c r="G1427" s="47"/>
      <c r="H1427" s="47"/>
      <c r="I1427" s="47"/>
      <c r="J1427" s="47"/>
      <c r="K1427" s="47"/>
      <c r="L1427" s="47"/>
      <c r="M1427" s="47"/>
      <c r="N1427" s="47"/>
      <c r="O1427" s="47"/>
      <c r="P1427" s="47"/>
      <c r="Q1427" s="85"/>
      <c r="R1427" s="85"/>
      <c r="S1427" s="85"/>
      <c r="T1427" s="85"/>
      <c r="U1427" s="85"/>
      <c r="V1427" s="85"/>
      <c r="W1427" s="85"/>
      <c r="X1427" s="85"/>
      <c r="Y1427" s="85"/>
      <c r="Z1427" s="85"/>
      <c r="AA1427" s="85"/>
      <c r="AB1427" s="85"/>
      <c r="AC1427" s="85"/>
      <c r="AD1427" s="85"/>
      <c r="AE1427" s="47"/>
      <c r="AF1427" s="47"/>
      <c r="AG1427" s="47"/>
      <c r="AH1427" s="47"/>
      <c r="AI1427" s="47"/>
      <c r="AJ1427" s="47"/>
      <c r="AK1427" s="47"/>
      <c r="AL1427" s="47"/>
      <c r="AM1427" s="47"/>
      <c r="AN1427" s="47"/>
      <c r="AO1427" s="47"/>
      <c r="AP1427" s="47"/>
      <c r="AQ1427" s="47"/>
      <c r="AR1427" s="47"/>
      <c r="AS1427" s="47"/>
      <c r="AT1427" s="47"/>
      <c r="AU1427" s="47"/>
      <c r="AV1427" s="47"/>
      <c r="AW1427" s="47"/>
      <c r="AX1427" s="47"/>
      <c r="AY1427" s="47"/>
      <c r="AZ1427" s="47"/>
      <c r="BA1427" s="47"/>
      <c r="BB1427" s="47"/>
      <c r="BC1427" s="47"/>
      <c r="BD1427" s="47"/>
      <c r="BE1427" s="47"/>
      <c r="BF1427" s="47"/>
    </row>
    <row r="1428" spans="3:58">
      <c r="C1428" s="47"/>
      <c r="D1428" s="47"/>
      <c r="E1428" s="47"/>
      <c r="F1428" s="47"/>
      <c r="G1428" s="47"/>
      <c r="H1428" s="47"/>
      <c r="I1428" s="47"/>
      <c r="J1428" s="47"/>
      <c r="K1428" s="47"/>
      <c r="L1428" s="47"/>
      <c r="M1428" s="47"/>
      <c r="N1428" s="47"/>
      <c r="O1428" s="47"/>
      <c r="P1428" s="47"/>
      <c r="Q1428" s="85"/>
      <c r="R1428" s="85"/>
      <c r="S1428" s="85"/>
      <c r="T1428" s="85"/>
      <c r="U1428" s="85"/>
      <c r="V1428" s="85"/>
      <c r="W1428" s="85"/>
      <c r="X1428" s="85"/>
      <c r="Y1428" s="85"/>
      <c r="Z1428" s="85"/>
      <c r="AA1428" s="85"/>
      <c r="AB1428" s="85"/>
      <c r="AC1428" s="85"/>
      <c r="AD1428" s="85"/>
      <c r="AE1428" s="47"/>
      <c r="AF1428" s="47"/>
      <c r="AG1428" s="47"/>
      <c r="AH1428" s="47"/>
      <c r="AI1428" s="47"/>
      <c r="AJ1428" s="47"/>
      <c r="AK1428" s="47"/>
      <c r="AL1428" s="47"/>
      <c r="AM1428" s="47"/>
      <c r="AN1428" s="47"/>
      <c r="AO1428" s="47"/>
      <c r="AP1428" s="47"/>
      <c r="AQ1428" s="47"/>
      <c r="AR1428" s="47"/>
      <c r="AS1428" s="47"/>
      <c r="AT1428" s="47"/>
      <c r="AU1428" s="47"/>
      <c r="AV1428" s="47"/>
      <c r="AW1428" s="47"/>
      <c r="AX1428" s="47"/>
      <c r="AY1428" s="47"/>
      <c r="AZ1428" s="47"/>
      <c r="BA1428" s="47"/>
      <c r="BB1428" s="47"/>
      <c r="BC1428" s="47"/>
      <c r="BD1428" s="47"/>
      <c r="BE1428" s="47"/>
      <c r="BF1428" s="47"/>
    </row>
    <row r="1429" spans="3:58">
      <c r="C1429" s="47"/>
      <c r="D1429" s="47"/>
      <c r="E1429" s="47"/>
      <c r="F1429" s="47"/>
      <c r="G1429" s="47"/>
      <c r="H1429" s="47"/>
      <c r="I1429" s="47"/>
      <c r="J1429" s="47"/>
      <c r="K1429" s="47"/>
      <c r="L1429" s="47"/>
      <c r="M1429" s="47"/>
      <c r="N1429" s="47"/>
      <c r="O1429" s="47"/>
      <c r="P1429" s="47"/>
      <c r="Q1429" s="85"/>
      <c r="R1429" s="85"/>
      <c r="S1429" s="85"/>
      <c r="T1429" s="85"/>
      <c r="U1429" s="85"/>
      <c r="V1429" s="85"/>
      <c r="W1429" s="85"/>
      <c r="X1429" s="85"/>
      <c r="Y1429" s="85"/>
      <c r="Z1429" s="85"/>
      <c r="AA1429" s="85"/>
      <c r="AB1429" s="85"/>
      <c r="AC1429" s="85"/>
      <c r="AD1429" s="85"/>
      <c r="AE1429" s="47"/>
      <c r="AF1429" s="47"/>
      <c r="AG1429" s="47"/>
      <c r="AH1429" s="47"/>
      <c r="AI1429" s="47"/>
      <c r="AJ1429" s="47"/>
      <c r="AK1429" s="47"/>
      <c r="AL1429" s="47"/>
      <c r="AM1429" s="47"/>
      <c r="AN1429" s="47"/>
      <c r="AO1429" s="47"/>
      <c r="AP1429" s="47"/>
      <c r="AQ1429" s="47"/>
      <c r="AR1429" s="47"/>
      <c r="AS1429" s="47"/>
      <c r="AT1429" s="47"/>
      <c r="AU1429" s="47"/>
      <c r="AV1429" s="47"/>
      <c r="AW1429" s="47"/>
      <c r="AX1429" s="47"/>
      <c r="AY1429" s="47"/>
      <c r="AZ1429" s="47"/>
      <c r="BA1429" s="47"/>
      <c r="BB1429" s="47"/>
      <c r="BC1429" s="47"/>
      <c r="BD1429" s="47"/>
      <c r="BE1429" s="47"/>
      <c r="BF1429" s="47"/>
    </row>
    <row r="1430" spans="3:58">
      <c r="C1430" s="47"/>
      <c r="D1430" s="47"/>
      <c r="E1430" s="47"/>
      <c r="F1430" s="47"/>
      <c r="G1430" s="47"/>
      <c r="H1430" s="47"/>
      <c r="I1430" s="47"/>
      <c r="J1430" s="47"/>
      <c r="K1430" s="47"/>
      <c r="L1430" s="47"/>
      <c r="M1430" s="47"/>
      <c r="N1430" s="47"/>
      <c r="O1430" s="47"/>
      <c r="P1430" s="47"/>
      <c r="Q1430" s="85"/>
      <c r="R1430" s="85"/>
      <c r="S1430" s="85"/>
      <c r="T1430" s="85"/>
      <c r="U1430" s="85"/>
      <c r="V1430" s="85"/>
      <c r="W1430" s="85"/>
      <c r="X1430" s="85"/>
      <c r="Y1430" s="85"/>
      <c r="Z1430" s="85"/>
      <c r="AA1430" s="85"/>
      <c r="AB1430" s="85"/>
      <c r="AC1430" s="85"/>
      <c r="AD1430" s="85"/>
      <c r="AE1430" s="47"/>
      <c r="AF1430" s="47"/>
      <c r="AG1430" s="47"/>
      <c r="AH1430" s="47"/>
      <c r="AI1430" s="47"/>
      <c r="AJ1430" s="47"/>
      <c r="AK1430" s="47"/>
      <c r="AL1430" s="47"/>
      <c r="AM1430" s="47"/>
      <c r="AN1430" s="47"/>
      <c r="AO1430" s="47"/>
      <c r="AP1430" s="47"/>
      <c r="AQ1430" s="47"/>
      <c r="AR1430" s="47"/>
      <c r="AS1430" s="47"/>
      <c r="AT1430" s="47"/>
      <c r="AU1430" s="47"/>
      <c r="AV1430" s="47"/>
      <c r="AW1430" s="47"/>
      <c r="AX1430" s="47"/>
      <c r="AY1430" s="47"/>
      <c r="AZ1430" s="47"/>
      <c r="BA1430" s="47"/>
      <c r="BB1430" s="47"/>
      <c r="BC1430" s="47"/>
      <c r="BD1430" s="47"/>
      <c r="BE1430" s="47"/>
      <c r="BF1430" s="47"/>
    </row>
    <row r="1431" spans="3:58">
      <c r="C1431" s="47"/>
      <c r="D1431" s="47"/>
      <c r="E1431" s="47"/>
      <c r="F1431" s="47"/>
      <c r="G1431" s="47"/>
      <c r="H1431" s="47"/>
      <c r="I1431" s="47"/>
      <c r="J1431" s="47"/>
      <c r="K1431" s="47"/>
      <c r="L1431" s="47"/>
      <c r="M1431" s="47"/>
      <c r="N1431" s="47"/>
      <c r="O1431" s="47"/>
      <c r="P1431" s="47"/>
      <c r="Q1431" s="85"/>
      <c r="R1431" s="85"/>
      <c r="S1431" s="85"/>
      <c r="T1431" s="85"/>
      <c r="U1431" s="85"/>
      <c r="V1431" s="85"/>
      <c r="W1431" s="85"/>
      <c r="X1431" s="85"/>
      <c r="Y1431" s="85"/>
      <c r="Z1431" s="85"/>
      <c r="AA1431" s="85"/>
      <c r="AB1431" s="85"/>
      <c r="AC1431" s="85"/>
      <c r="AD1431" s="85"/>
      <c r="AE1431" s="47"/>
      <c r="AF1431" s="47"/>
      <c r="AG1431" s="47"/>
      <c r="AH1431" s="47"/>
      <c r="AI1431" s="47"/>
      <c r="AJ1431" s="47"/>
      <c r="AK1431" s="47"/>
      <c r="AL1431" s="47"/>
      <c r="AM1431" s="47"/>
      <c r="AN1431" s="47"/>
      <c r="AO1431" s="47"/>
      <c r="AP1431" s="47"/>
      <c r="AQ1431" s="47"/>
      <c r="AR1431" s="47"/>
      <c r="AS1431" s="47"/>
      <c r="AT1431" s="47"/>
      <c r="AU1431" s="47"/>
      <c r="AV1431" s="47"/>
      <c r="AW1431" s="47"/>
      <c r="AX1431" s="47"/>
      <c r="AY1431" s="47"/>
      <c r="AZ1431" s="47"/>
      <c r="BA1431" s="47"/>
      <c r="BB1431" s="47"/>
      <c r="BC1431" s="47"/>
      <c r="BD1431" s="47"/>
      <c r="BE1431" s="47"/>
      <c r="BF1431" s="47"/>
    </row>
    <row r="1432" spans="3:58">
      <c r="C1432" s="47"/>
      <c r="D1432" s="47"/>
      <c r="E1432" s="47"/>
      <c r="F1432" s="47"/>
      <c r="G1432" s="47"/>
      <c r="H1432" s="47"/>
      <c r="I1432" s="47"/>
      <c r="J1432" s="47"/>
      <c r="K1432" s="47"/>
      <c r="L1432" s="47"/>
      <c r="M1432" s="47"/>
      <c r="N1432" s="47"/>
      <c r="O1432" s="47"/>
      <c r="P1432" s="47"/>
      <c r="Q1432" s="85"/>
      <c r="R1432" s="85"/>
      <c r="S1432" s="85"/>
      <c r="T1432" s="85"/>
      <c r="U1432" s="85"/>
      <c r="V1432" s="85"/>
      <c r="W1432" s="85"/>
      <c r="X1432" s="85"/>
      <c r="Y1432" s="85"/>
      <c r="Z1432" s="85"/>
      <c r="AA1432" s="85"/>
      <c r="AB1432" s="85"/>
      <c r="AC1432" s="85"/>
      <c r="AD1432" s="85"/>
      <c r="AE1432" s="47"/>
      <c r="AF1432" s="47"/>
      <c r="AG1432" s="47"/>
      <c r="AH1432" s="47"/>
      <c r="AI1432" s="47"/>
      <c r="AJ1432" s="47"/>
      <c r="AK1432" s="47"/>
      <c r="AL1432" s="47"/>
      <c r="AM1432" s="47"/>
      <c r="AN1432" s="47"/>
      <c r="AO1432" s="47"/>
      <c r="AP1432" s="47"/>
      <c r="AQ1432" s="47"/>
      <c r="AR1432" s="47"/>
      <c r="AS1432" s="47"/>
      <c r="AT1432" s="47"/>
      <c r="AU1432" s="47"/>
      <c r="AV1432" s="47"/>
      <c r="AW1432" s="47"/>
      <c r="AX1432" s="47"/>
      <c r="AY1432" s="47"/>
      <c r="AZ1432" s="47"/>
      <c r="BA1432" s="47"/>
      <c r="BB1432" s="47"/>
      <c r="BC1432" s="47"/>
      <c r="BD1432" s="47"/>
      <c r="BE1432" s="47"/>
      <c r="BF1432" s="47"/>
    </row>
    <row r="1433" spans="3:58">
      <c r="C1433" s="47"/>
      <c r="D1433" s="47"/>
      <c r="E1433" s="47"/>
      <c r="F1433" s="47"/>
      <c r="G1433" s="47"/>
      <c r="H1433" s="47"/>
      <c r="I1433" s="47"/>
      <c r="J1433" s="47"/>
      <c r="K1433" s="47"/>
      <c r="L1433" s="47"/>
      <c r="M1433" s="47"/>
      <c r="N1433" s="47"/>
      <c r="O1433" s="47"/>
      <c r="P1433" s="47"/>
      <c r="Q1433" s="85"/>
      <c r="R1433" s="85"/>
      <c r="S1433" s="85"/>
      <c r="T1433" s="85"/>
      <c r="U1433" s="85"/>
      <c r="V1433" s="85"/>
      <c r="W1433" s="85"/>
      <c r="X1433" s="85"/>
      <c r="Y1433" s="85"/>
      <c r="Z1433" s="85"/>
      <c r="AA1433" s="85"/>
      <c r="AB1433" s="85"/>
      <c r="AC1433" s="85"/>
      <c r="AD1433" s="85"/>
      <c r="AE1433" s="47"/>
      <c r="AF1433" s="47"/>
      <c r="AG1433" s="47"/>
      <c r="AH1433" s="47"/>
      <c r="AI1433" s="47"/>
      <c r="AJ1433" s="47"/>
      <c r="AK1433" s="47"/>
      <c r="AL1433" s="47"/>
      <c r="AM1433" s="47"/>
      <c r="AN1433" s="47"/>
      <c r="AO1433" s="47"/>
      <c r="AP1433" s="47"/>
      <c r="AQ1433" s="47"/>
      <c r="AR1433" s="47"/>
      <c r="AS1433" s="47"/>
      <c r="AT1433" s="47"/>
      <c r="AU1433" s="47"/>
      <c r="AV1433" s="47"/>
      <c r="AW1433" s="47"/>
      <c r="AX1433" s="47"/>
      <c r="AY1433" s="47"/>
      <c r="AZ1433" s="47"/>
      <c r="BA1433" s="47"/>
      <c r="BB1433" s="47"/>
      <c r="BC1433" s="47"/>
      <c r="BD1433" s="47"/>
      <c r="BE1433" s="47"/>
      <c r="BF1433" s="47"/>
    </row>
    <row r="1434" spans="3:58">
      <c r="C1434" s="47"/>
      <c r="D1434" s="47"/>
      <c r="E1434" s="47"/>
      <c r="F1434" s="47"/>
      <c r="G1434" s="47"/>
      <c r="H1434" s="47"/>
      <c r="I1434" s="47"/>
      <c r="J1434" s="47"/>
      <c r="K1434" s="47"/>
      <c r="L1434" s="47"/>
      <c r="M1434" s="47"/>
      <c r="N1434" s="47"/>
      <c r="O1434" s="47"/>
      <c r="P1434" s="47"/>
      <c r="Q1434" s="85"/>
      <c r="R1434" s="85"/>
      <c r="S1434" s="85"/>
      <c r="T1434" s="85"/>
      <c r="U1434" s="85"/>
      <c r="V1434" s="85"/>
      <c r="W1434" s="85"/>
      <c r="X1434" s="85"/>
      <c r="Y1434" s="85"/>
      <c r="Z1434" s="85"/>
      <c r="AA1434" s="85"/>
      <c r="AB1434" s="85"/>
      <c r="AC1434" s="85"/>
      <c r="AD1434" s="85"/>
      <c r="AE1434" s="47"/>
      <c r="AF1434" s="47"/>
      <c r="AG1434" s="47"/>
      <c r="AH1434" s="47"/>
      <c r="AI1434" s="47"/>
      <c r="AJ1434" s="47"/>
      <c r="AK1434" s="47"/>
      <c r="AL1434" s="47"/>
      <c r="AM1434" s="47"/>
      <c r="AN1434" s="47"/>
      <c r="AO1434" s="47"/>
      <c r="AP1434" s="47"/>
      <c r="AQ1434" s="47"/>
      <c r="AR1434" s="47"/>
      <c r="AS1434" s="47"/>
      <c r="AT1434" s="47"/>
      <c r="AU1434" s="47"/>
      <c r="AV1434" s="47"/>
      <c r="AW1434" s="47"/>
      <c r="AX1434" s="47"/>
      <c r="AY1434" s="47"/>
      <c r="AZ1434" s="47"/>
      <c r="BA1434" s="47"/>
      <c r="BB1434" s="47"/>
      <c r="BC1434" s="47"/>
      <c r="BD1434" s="47"/>
      <c r="BE1434" s="47"/>
      <c r="BF1434" s="47"/>
    </row>
    <row r="1435" spans="3:58">
      <c r="C1435" s="47"/>
      <c r="D1435" s="47"/>
      <c r="E1435" s="47"/>
      <c r="F1435" s="47"/>
      <c r="G1435" s="47"/>
      <c r="H1435" s="47"/>
      <c r="I1435" s="47"/>
      <c r="J1435" s="47"/>
      <c r="K1435" s="47"/>
      <c r="L1435" s="47"/>
      <c r="M1435" s="47"/>
      <c r="N1435" s="47"/>
      <c r="O1435" s="47"/>
      <c r="P1435" s="47"/>
      <c r="Q1435" s="85"/>
      <c r="R1435" s="85"/>
      <c r="S1435" s="85"/>
      <c r="T1435" s="85"/>
      <c r="U1435" s="85"/>
      <c r="V1435" s="85"/>
      <c r="W1435" s="85"/>
      <c r="X1435" s="85"/>
      <c r="Y1435" s="85"/>
      <c r="Z1435" s="85"/>
      <c r="AA1435" s="85"/>
      <c r="AB1435" s="85"/>
      <c r="AC1435" s="85"/>
      <c r="AD1435" s="85"/>
      <c r="AE1435" s="47"/>
      <c r="AF1435" s="47"/>
      <c r="AG1435" s="47"/>
      <c r="AH1435" s="47"/>
      <c r="AI1435" s="47"/>
      <c r="AJ1435" s="47"/>
      <c r="AK1435" s="47"/>
      <c r="AL1435" s="47"/>
      <c r="AM1435" s="47"/>
      <c r="AN1435" s="47"/>
      <c r="AO1435" s="47"/>
      <c r="AP1435" s="47"/>
      <c r="AQ1435" s="47"/>
      <c r="AR1435" s="47"/>
      <c r="AS1435" s="47"/>
      <c r="AT1435" s="47"/>
      <c r="AU1435" s="47"/>
      <c r="AV1435" s="47"/>
      <c r="AW1435" s="47"/>
      <c r="AX1435" s="47"/>
      <c r="AY1435" s="47"/>
      <c r="AZ1435" s="47"/>
      <c r="BA1435" s="47"/>
      <c r="BB1435" s="47"/>
      <c r="BC1435" s="47"/>
      <c r="BD1435" s="47"/>
      <c r="BE1435" s="47"/>
      <c r="BF1435" s="47"/>
    </row>
    <row r="1436" spans="3:58">
      <c r="C1436" s="47"/>
      <c r="D1436" s="47"/>
      <c r="E1436" s="47"/>
      <c r="F1436" s="47"/>
      <c r="G1436" s="47"/>
      <c r="H1436" s="47"/>
      <c r="I1436" s="47"/>
      <c r="J1436" s="47"/>
      <c r="K1436" s="47"/>
      <c r="L1436" s="47"/>
      <c r="M1436" s="47"/>
      <c r="N1436" s="47"/>
      <c r="O1436" s="47"/>
      <c r="P1436" s="47"/>
      <c r="Q1436" s="85"/>
      <c r="R1436" s="85"/>
      <c r="S1436" s="85"/>
      <c r="T1436" s="85"/>
      <c r="U1436" s="85"/>
      <c r="V1436" s="85"/>
      <c r="W1436" s="85"/>
      <c r="X1436" s="85"/>
      <c r="Y1436" s="85"/>
      <c r="Z1436" s="85"/>
      <c r="AA1436" s="85"/>
      <c r="AB1436" s="85"/>
      <c r="AC1436" s="85"/>
      <c r="AD1436" s="85"/>
      <c r="AE1436" s="47"/>
      <c r="AF1436" s="47"/>
      <c r="AG1436" s="47"/>
      <c r="AH1436" s="47"/>
      <c r="AI1436" s="47"/>
      <c r="AJ1436" s="47"/>
      <c r="AK1436" s="47"/>
      <c r="AL1436" s="47"/>
      <c r="AM1436" s="47"/>
      <c r="AN1436" s="47"/>
      <c r="AO1436" s="47"/>
      <c r="AP1436" s="47"/>
      <c r="AQ1436" s="47"/>
      <c r="AR1436" s="47"/>
      <c r="AS1436" s="47"/>
      <c r="AT1436" s="47"/>
      <c r="AU1436" s="47"/>
      <c r="AV1436" s="47"/>
      <c r="AW1436" s="47"/>
      <c r="AX1436" s="47"/>
      <c r="AY1436" s="47"/>
      <c r="AZ1436" s="47"/>
      <c r="BA1436" s="47"/>
      <c r="BB1436" s="47"/>
      <c r="BC1436" s="47"/>
      <c r="BD1436" s="47"/>
      <c r="BE1436" s="47"/>
      <c r="BF1436" s="47"/>
    </row>
    <row r="1437" spans="3:58">
      <c r="C1437" s="47"/>
      <c r="D1437" s="47"/>
      <c r="E1437" s="47"/>
      <c r="F1437" s="47"/>
      <c r="G1437" s="47"/>
      <c r="H1437" s="47"/>
      <c r="I1437" s="47"/>
      <c r="J1437" s="47"/>
      <c r="K1437" s="47"/>
      <c r="L1437" s="47"/>
      <c r="M1437" s="47"/>
      <c r="N1437" s="47"/>
      <c r="O1437" s="47"/>
      <c r="P1437" s="47"/>
      <c r="Q1437" s="85"/>
      <c r="R1437" s="85"/>
      <c r="S1437" s="85"/>
      <c r="T1437" s="85"/>
      <c r="U1437" s="85"/>
      <c r="V1437" s="85"/>
      <c r="W1437" s="85"/>
      <c r="X1437" s="85"/>
      <c r="Y1437" s="85"/>
      <c r="Z1437" s="85"/>
      <c r="AA1437" s="85"/>
      <c r="AB1437" s="85"/>
      <c r="AC1437" s="85"/>
      <c r="AD1437" s="85"/>
      <c r="AE1437" s="47"/>
      <c r="AF1437" s="47"/>
      <c r="AG1437" s="47"/>
      <c r="AH1437" s="47"/>
      <c r="AI1437" s="47"/>
      <c r="AJ1437" s="47"/>
      <c r="AK1437" s="47"/>
      <c r="AL1437" s="47"/>
      <c r="AM1437" s="47"/>
      <c r="AN1437" s="47"/>
      <c r="AO1437" s="47"/>
      <c r="AP1437" s="47"/>
      <c r="AQ1437" s="47"/>
      <c r="AR1437" s="47"/>
      <c r="AS1437" s="47"/>
      <c r="AT1437" s="47"/>
      <c r="AU1437" s="47"/>
      <c r="AV1437" s="47"/>
      <c r="AW1437" s="47"/>
      <c r="AX1437" s="47"/>
      <c r="AY1437" s="47"/>
      <c r="AZ1437" s="47"/>
      <c r="BA1437" s="47"/>
      <c r="BB1437" s="47"/>
      <c r="BC1437" s="47"/>
      <c r="BD1437" s="47"/>
      <c r="BE1437" s="47"/>
      <c r="BF1437" s="47"/>
    </row>
    <row r="1438" spans="3:58">
      <c r="C1438" s="47"/>
      <c r="D1438" s="47"/>
      <c r="E1438" s="47"/>
      <c r="F1438" s="47"/>
      <c r="G1438" s="47"/>
      <c r="H1438" s="47"/>
      <c r="I1438" s="47"/>
      <c r="J1438" s="47"/>
      <c r="K1438" s="47"/>
      <c r="L1438" s="47"/>
      <c r="M1438" s="47"/>
      <c r="N1438" s="47"/>
      <c r="O1438" s="47"/>
      <c r="P1438" s="47"/>
      <c r="Q1438" s="85"/>
      <c r="R1438" s="85"/>
      <c r="S1438" s="85"/>
      <c r="T1438" s="85"/>
      <c r="U1438" s="85"/>
      <c r="V1438" s="85"/>
      <c r="W1438" s="85"/>
      <c r="X1438" s="85"/>
      <c r="Y1438" s="85"/>
      <c r="Z1438" s="85"/>
      <c r="AA1438" s="85"/>
      <c r="AB1438" s="85"/>
      <c r="AC1438" s="85"/>
      <c r="AD1438" s="85"/>
      <c r="AE1438" s="47"/>
      <c r="AF1438" s="47"/>
      <c r="AG1438" s="47"/>
      <c r="AH1438" s="47"/>
      <c r="AI1438" s="47"/>
      <c r="AJ1438" s="47"/>
      <c r="AK1438" s="47"/>
      <c r="AL1438" s="47"/>
      <c r="AM1438" s="47"/>
      <c r="AN1438" s="47"/>
      <c r="AO1438" s="47"/>
      <c r="AP1438" s="47"/>
      <c r="AQ1438" s="47"/>
      <c r="AR1438" s="47"/>
      <c r="AS1438" s="47"/>
      <c r="AT1438" s="47"/>
      <c r="AU1438" s="47"/>
      <c r="AV1438" s="47"/>
      <c r="AW1438" s="47"/>
      <c r="AX1438" s="47"/>
      <c r="AY1438" s="47"/>
      <c r="AZ1438" s="47"/>
      <c r="BA1438" s="47"/>
      <c r="BB1438" s="47"/>
      <c r="BC1438" s="47"/>
      <c r="BD1438" s="47"/>
      <c r="BE1438" s="47"/>
      <c r="BF1438" s="47"/>
    </row>
    <row r="1439" spans="3:58">
      <c r="C1439" s="47"/>
      <c r="D1439" s="47"/>
      <c r="E1439" s="47"/>
      <c r="F1439" s="47"/>
      <c r="G1439" s="47"/>
      <c r="H1439" s="47"/>
      <c r="I1439" s="47"/>
      <c r="J1439" s="47"/>
      <c r="K1439" s="47"/>
      <c r="L1439" s="47"/>
      <c r="M1439" s="47"/>
      <c r="N1439" s="47"/>
      <c r="O1439" s="47"/>
      <c r="P1439" s="47"/>
      <c r="Q1439" s="85"/>
      <c r="R1439" s="85"/>
      <c r="S1439" s="85"/>
      <c r="T1439" s="85"/>
      <c r="U1439" s="85"/>
      <c r="V1439" s="85"/>
      <c r="W1439" s="85"/>
      <c r="X1439" s="85"/>
      <c r="Y1439" s="85"/>
      <c r="Z1439" s="85"/>
      <c r="AA1439" s="85"/>
      <c r="AB1439" s="85"/>
      <c r="AC1439" s="85"/>
      <c r="AD1439" s="85"/>
      <c r="AE1439" s="47"/>
      <c r="AF1439" s="47"/>
      <c r="AG1439" s="47"/>
      <c r="AH1439" s="47"/>
      <c r="AI1439" s="47"/>
      <c r="AJ1439" s="47"/>
      <c r="AK1439" s="47"/>
      <c r="AL1439" s="47"/>
      <c r="AM1439" s="47"/>
      <c r="AN1439" s="47"/>
      <c r="AO1439" s="47"/>
      <c r="AP1439" s="47"/>
      <c r="AQ1439" s="47"/>
      <c r="AR1439" s="47"/>
      <c r="AS1439" s="47"/>
      <c r="AT1439" s="47"/>
      <c r="AU1439" s="47"/>
      <c r="AV1439" s="47"/>
      <c r="AW1439" s="47"/>
      <c r="AX1439" s="47"/>
      <c r="AY1439" s="47"/>
      <c r="AZ1439" s="47"/>
      <c r="BA1439" s="47"/>
      <c r="BB1439" s="47"/>
      <c r="BC1439" s="47"/>
      <c r="BD1439" s="47"/>
      <c r="BE1439" s="47"/>
      <c r="BF1439" s="47"/>
    </row>
    <row r="1440" spans="3:58">
      <c r="C1440" s="47"/>
      <c r="D1440" s="47"/>
      <c r="E1440" s="47"/>
      <c r="F1440" s="47"/>
      <c r="G1440" s="47"/>
      <c r="H1440" s="47"/>
      <c r="I1440" s="47"/>
      <c r="J1440" s="47"/>
      <c r="K1440" s="47"/>
      <c r="L1440" s="47"/>
      <c r="M1440" s="47"/>
      <c r="N1440" s="47"/>
      <c r="O1440" s="47"/>
      <c r="P1440" s="47"/>
      <c r="Q1440" s="85"/>
      <c r="R1440" s="85"/>
      <c r="S1440" s="85"/>
      <c r="T1440" s="85"/>
      <c r="U1440" s="85"/>
      <c r="V1440" s="85"/>
      <c r="W1440" s="85"/>
      <c r="X1440" s="85"/>
      <c r="Y1440" s="85"/>
      <c r="Z1440" s="85"/>
      <c r="AA1440" s="85"/>
      <c r="AB1440" s="85"/>
      <c r="AC1440" s="85"/>
      <c r="AD1440" s="85"/>
      <c r="AE1440" s="47"/>
      <c r="AF1440" s="47"/>
      <c r="AG1440" s="47"/>
      <c r="AH1440" s="47"/>
      <c r="AI1440" s="47"/>
      <c r="AJ1440" s="47"/>
      <c r="AK1440" s="47"/>
      <c r="AL1440" s="47"/>
      <c r="AM1440" s="47"/>
      <c r="AN1440" s="47"/>
      <c r="AO1440" s="47"/>
      <c r="AP1440" s="47"/>
      <c r="AQ1440" s="47"/>
      <c r="AR1440" s="47"/>
      <c r="AS1440" s="47"/>
      <c r="AT1440" s="47"/>
      <c r="AU1440" s="47"/>
      <c r="AV1440" s="47"/>
      <c r="AW1440" s="47"/>
      <c r="AX1440" s="47"/>
      <c r="AY1440" s="47"/>
      <c r="AZ1440" s="47"/>
      <c r="BA1440" s="47"/>
      <c r="BB1440" s="47"/>
      <c r="BC1440" s="47"/>
      <c r="BD1440" s="47"/>
      <c r="BE1440" s="47"/>
      <c r="BF1440" s="47"/>
    </row>
    <row r="1441" spans="3:58">
      <c r="C1441" s="47"/>
      <c r="D1441" s="47"/>
      <c r="E1441" s="47"/>
      <c r="F1441" s="47"/>
      <c r="G1441" s="47"/>
      <c r="H1441" s="47"/>
      <c r="I1441" s="47"/>
      <c r="J1441" s="47"/>
      <c r="K1441" s="47"/>
      <c r="L1441" s="47"/>
      <c r="M1441" s="47"/>
      <c r="N1441" s="47"/>
      <c r="O1441" s="47"/>
      <c r="P1441" s="47"/>
      <c r="Q1441" s="85"/>
      <c r="R1441" s="85"/>
      <c r="S1441" s="85"/>
      <c r="T1441" s="85"/>
      <c r="U1441" s="85"/>
      <c r="V1441" s="85"/>
      <c r="W1441" s="85"/>
      <c r="X1441" s="85"/>
      <c r="Y1441" s="85"/>
      <c r="Z1441" s="85"/>
      <c r="AA1441" s="85"/>
      <c r="AB1441" s="85"/>
      <c r="AC1441" s="85"/>
      <c r="AD1441" s="85"/>
      <c r="AE1441" s="47"/>
      <c r="AF1441" s="47"/>
      <c r="AG1441" s="47"/>
      <c r="AH1441" s="47"/>
      <c r="AI1441" s="47"/>
      <c r="AJ1441" s="47"/>
      <c r="AK1441" s="47"/>
      <c r="AL1441" s="47"/>
      <c r="AM1441" s="47"/>
      <c r="AN1441" s="47"/>
      <c r="AO1441" s="47"/>
      <c r="AP1441" s="47"/>
      <c r="AQ1441" s="47"/>
      <c r="AR1441" s="47"/>
      <c r="AS1441" s="47"/>
      <c r="AT1441" s="47"/>
      <c r="AU1441" s="47"/>
      <c r="AV1441" s="47"/>
      <c r="AW1441" s="47"/>
      <c r="AX1441" s="47"/>
      <c r="AY1441" s="47"/>
      <c r="AZ1441" s="47"/>
      <c r="BA1441" s="47"/>
      <c r="BB1441" s="47"/>
      <c r="BC1441" s="47"/>
      <c r="BD1441" s="47"/>
      <c r="BE1441" s="47"/>
      <c r="BF1441" s="47"/>
    </row>
    <row r="1442" spans="3:58">
      <c r="C1442" s="47"/>
      <c r="D1442" s="47"/>
      <c r="E1442" s="47"/>
      <c r="F1442" s="47"/>
      <c r="G1442" s="47"/>
      <c r="H1442" s="47"/>
      <c r="I1442" s="47"/>
      <c r="J1442" s="47"/>
      <c r="K1442" s="47"/>
      <c r="L1442" s="47"/>
      <c r="M1442" s="47"/>
      <c r="N1442" s="47"/>
      <c r="O1442" s="47"/>
      <c r="P1442" s="47"/>
      <c r="Q1442" s="85"/>
      <c r="R1442" s="85"/>
      <c r="S1442" s="85"/>
      <c r="T1442" s="85"/>
      <c r="U1442" s="85"/>
      <c r="V1442" s="85"/>
      <c r="W1442" s="85"/>
      <c r="X1442" s="85"/>
      <c r="Y1442" s="85"/>
      <c r="Z1442" s="85"/>
      <c r="AA1442" s="85"/>
      <c r="AB1442" s="85"/>
      <c r="AC1442" s="85"/>
      <c r="AD1442" s="85"/>
      <c r="AE1442" s="47"/>
      <c r="AF1442" s="47"/>
      <c r="AG1442" s="47"/>
      <c r="AH1442" s="47"/>
      <c r="AI1442" s="47"/>
      <c r="AJ1442" s="47"/>
      <c r="AK1442" s="47"/>
      <c r="AL1442" s="47"/>
      <c r="AM1442" s="47"/>
      <c r="AN1442" s="47"/>
      <c r="AO1442" s="47"/>
      <c r="AP1442" s="47"/>
      <c r="AQ1442" s="47"/>
      <c r="AR1442" s="47"/>
      <c r="AS1442" s="47"/>
      <c r="AT1442" s="47"/>
      <c r="AU1442" s="47"/>
      <c r="AV1442" s="47"/>
      <c r="AW1442" s="47"/>
      <c r="AX1442" s="47"/>
      <c r="AY1442" s="47"/>
      <c r="AZ1442" s="47"/>
      <c r="BA1442" s="47"/>
      <c r="BB1442" s="47"/>
      <c r="BC1442" s="47"/>
      <c r="BD1442" s="47"/>
      <c r="BE1442" s="47"/>
      <c r="BF1442" s="47"/>
    </row>
    <row r="1443" spans="3:58">
      <c r="C1443" s="47"/>
      <c r="D1443" s="47"/>
      <c r="E1443" s="47"/>
      <c r="F1443" s="47"/>
      <c r="G1443" s="47"/>
      <c r="H1443" s="47"/>
      <c r="I1443" s="47"/>
      <c r="J1443" s="47"/>
      <c r="K1443" s="47"/>
      <c r="L1443" s="47"/>
      <c r="M1443" s="47"/>
      <c r="N1443" s="47"/>
      <c r="O1443" s="47"/>
      <c r="P1443" s="47"/>
      <c r="Q1443" s="85"/>
      <c r="R1443" s="85"/>
      <c r="S1443" s="85"/>
      <c r="T1443" s="85"/>
      <c r="U1443" s="85"/>
      <c r="V1443" s="85"/>
      <c r="W1443" s="85"/>
      <c r="X1443" s="85"/>
      <c r="Y1443" s="85"/>
      <c r="Z1443" s="85"/>
      <c r="AA1443" s="85"/>
      <c r="AB1443" s="85"/>
      <c r="AC1443" s="85"/>
      <c r="AD1443" s="85"/>
      <c r="AE1443" s="47"/>
      <c r="AF1443" s="47"/>
      <c r="AG1443" s="47"/>
      <c r="AH1443" s="47"/>
      <c r="AI1443" s="47"/>
      <c r="AJ1443" s="47"/>
      <c r="AK1443" s="47"/>
      <c r="AL1443" s="47"/>
      <c r="AM1443" s="47"/>
      <c r="AN1443" s="47"/>
      <c r="AO1443" s="47"/>
      <c r="AP1443" s="47"/>
      <c r="AQ1443" s="47"/>
      <c r="AR1443" s="47"/>
      <c r="AS1443" s="47"/>
      <c r="AT1443" s="47"/>
      <c r="AU1443" s="47"/>
      <c r="AV1443" s="47"/>
      <c r="AW1443" s="47"/>
      <c r="AX1443" s="47"/>
      <c r="AY1443" s="47"/>
      <c r="AZ1443" s="47"/>
      <c r="BA1443" s="47"/>
      <c r="BB1443" s="47"/>
      <c r="BC1443" s="47"/>
      <c r="BD1443" s="47"/>
      <c r="BE1443" s="47"/>
      <c r="BF1443" s="47"/>
    </row>
    <row r="1444" spans="3:58">
      <c r="C1444" s="47"/>
      <c r="D1444" s="47"/>
      <c r="E1444" s="47"/>
      <c r="F1444" s="47"/>
      <c r="G1444" s="47"/>
      <c r="H1444" s="47"/>
      <c r="I1444" s="47"/>
      <c r="J1444" s="47"/>
      <c r="K1444" s="47"/>
      <c r="L1444" s="47"/>
      <c r="M1444" s="47"/>
      <c r="N1444" s="47"/>
      <c r="O1444" s="47"/>
      <c r="P1444" s="47"/>
      <c r="Q1444" s="85"/>
      <c r="R1444" s="85"/>
      <c r="S1444" s="85"/>
      <c r="T1444" s="85"/>
      <c r="U1444" s="85"/>
      <c r="V1444" s="85"/>
      <c r="W1444" s="85"/>
      <c r="X1444" s="85"/>
      <c r="Y1444" s="85"/>
      <c r="Z1444" s="85"/>
      <c r="AA1444" s="85"/>
      <c r="AB1444" s="85"/>
      <c r="AC1444" s="85"/>
      <c r="AD1444" s="85"/>
      <c r="AE1444" s="47"/>
      <c r="AF1444" s="47"/>
      <c r="AG1444" s="47"/>
      <c r="AH1444" s="47"/>
      <c r="AI1444" s="47"/>
      <c r="AJ1444" s="47"/>
      <c r="AK1444" s="47"/>
      <c r="AL1444" s="47"/>
      <c r="AM1444" s="47"/>
      <c r="AN1444" s="47"/>
      <c r="AO1444" s="47"/>
      <c r="AP1444" s="47"/>
      <c r="AQ1444" s="47"/>
      <c r="AR1444" s="47"/>
      <c r="AS1444" s="47"/>
      <c r="AT1444" s="47"/>
      <c r="AU1444" s="47"/>
      <c r="AV1444" s="47"/>
      <c r="AW1444" s="47"/>
      <c r="AX1444" s="47"/>
      <c r="AY1444" s="47"/>
      <c r="AZ1444" s="47"/>
      <c r="BA1444" s="47"/>
      <c r="BB1444" s="47"/>
      <c r="BC1444" s="47"/>
      <c r="BD1444" s="47"/>
      <c r="BE1444" s="47"/>
      <c r="BF1444" s="47"/>
    </row>
    <row r="1445" spans="3:58">
      <c r="C1445" s="47"/>
      <c r="D1445" s="47"/>
      <c r="E1445" s="47"/>
      <c r="F1445" s="47"/>
      <c r="G1445" s="47"/>
      <c r="H1445" s="47"/>
      <c r="I1445" s="47"/>
      <c r="J1445" s="47"/>
      <c r="K1445" s="47"/>
      <c r="L1445" s="47"/>
      <c r="M1445" s="47"/>
      <c r="N1445" s="47"/>
      <c r="O1445" s="47"/>
      <c r="P1445" s="47"/>
      <c r="Q1445" s="85"/>
      <c r="R1445" s="85"/>
      <c r="S1445" s="85"/>
      <c r="T1445" s="85"/>
      <c r="U1445" s="85"/>
      <c r="V1445" s="85"/>
      <c r="W1445" s="85"/>
      <c r="X1445" s="85"/>
      <c r="Y1445" s="85"/>
      <c r="Z1445" s="85"/>
      <c r="AA1445" s="85"/>
      <c r="AB1445" s="85"/>
      <c r="AC1445" s="85"/>
      <c r="AD1445" s="85"/>
      <c r="AE1445" s="47"/>
      <c r="AF1445" s="47"/>
      <c r="AG1445" s="47"/>
      <c r="AH1445" s="47"/>
      <c r="AI1445" s="47"/>
      <c r="AJ1445" s="47"/>
      <c r="AK1445" s="47"/>
      <c r="AL1445" s="47"/>
      <c r="AM1445" s="47"/>
      <c r="AN1445" s="47"/>
      <c r="AO1445" s="47"/>
      <c r="AP1445" s="47"/>
      <c r="AQ1445" s="47"/>
      <c r="AR1445" s="47"/>
      <c r="AS1445" s="47"/>
      <c r="AT1445" s="47"/>
      <c r="AU1445" s="47"/>
      <c r="AV1445" s="47"/>
      <c r="AW1445" s="47"/>
      <c r="AX1445" s="47"/>
      <c r="AY1445" s="47"/>
      <c r="AZ1445" s="47"/>
      <c r="BA1445" s="47"/>
      <c r="BB1445" s="47"/>
      <c r="BC1445" s="47"/>
      <c r="BD1445" s="47"/>
      <c r="BE1445" s="47"/>
      <c r="BF1445" s="47"/>
    </row>
    <row r="1446" spans="3:58">
      <c r="C1446" s="47"/>
      <c r="D1446" s="47"/>
      <c r="E1446" s="47"/>
      <c r="F1446" s="47"/>
      <c r="G1446" s="47"/>
      <c r="H1446" s="47"/>
      <c r="I1446" s="47"/>
      <c r="J1446" s="47"/>
      <c r="K1446" s="47"/>
      <c r="L1446" s="47"/>
      <c r="M1446" s="47"/>
      <c r="N1446" s="47"/>
      <c r="O1446" s="47"/>
      <c r="P1446" s="47"/>
      <c r="Q1446" s="85"/>
      <c r="R1446" s="85"/>
      <c r="S1446" s="85"/>
      <c r="T1446" s="85"/>
      <c r="U1446" s="85"/>
      <c r="V1446" s="85"/>
      <c r="W1446" s="85"/>
      <c r="X1446" s="85"/>
      <c r="Y1446" s="85"/>
      <c r="Z1446" s="85"/>
      <c r="AA1446" s="85"/>
      <c r="AB1446" s="85"/>
      <c r="AC1446" s="85"/>
      <c r="AD1446" s="85"/>
      <c r="AE1446" s="47"/>
      <c r="AF1446" s="47"/>
      <c r="AG1446" s="47"/>
      <c r="AH1446" s="47"/>
      <c r="AI1446" s="47"/>
      <c r="AJ1446" s="47"/>
      <c r="AK1446" s="47"/>
      <c r="AL1446" s="47"/>
      <c r="AM1446" s="47"/>
      <c r="AN1446" s="47"/>
      <c r="AO1446" s="47"/>
      <c r="AP1446" s="47"/>
      <c r="AQ1446" s="47"/>
      <c r="AR1446" s="47"/>
      <c r="AS1446" s="47"/>
      <c r="AT1446" s="47"/>
      <c r="AU1446" s="47"/>
      <c r="AV1446" s="47"/>
      <c r="AW1446" s="47"/>
      <c r="AX1446" s="47"/>
      <c r="AY1446" s="47"/>
      <c r="AZ1446" s="47"/>
      <c r="BA1446" s="47"/>
      <c r="BB1446" s="47"/>
      <c r="BC1446" s="47"/>
      <c r="BD1446" s="47"/>
      <c r="BE1446" s="47"/>
      <c r="BF1446" s="47"/>
    </row>
    <row r="1447" spans="3:58">
      <c r="C1447" s="47"/>
      <c r="D1447" s="47"/>
      <c r="E1447" s="47"/>
      <c r="F1447" s="47"/>
      <c r="G1447" s="47"/>
      <c r="H1447" s="47"/>
      <c r="I1447" s="47"/>
      <c r="J1447" s="47"/>
      <c r="K1447" s="47"/>
      <c r="L1447" s="47"/>
      <c r="M1447" s="47"/>
      <c r="N1447" s="47"/>
      <c r="O1447" s="47"/>
      <c r="P1447" s="47"/>
      <c r="Q1447" s="85"/>
      <c r="R1447" s="85"/>
      <c r="S1447" s="85"/>
      <c r="T1447" s="85"/>
      <c r="U1447" s="85"/>
      <c r="V1447" s="85"/>
      <c r="W1447" s="85"/>
      <c r="X1447" s="85"/>
      <c r="Y1447" s="85"/>
      <c r="Z1447" s="85"/>
      <c r="AA1447" s="85"/>
      <c r="AB1447" s="85"/>
      <c r="AC1447" s="85"/>
      <c r="AD1447" s="85"/>
      <c r="AE1447" s="47"/>
      <c r="AF1447" s="47"/>
      <c r="AG1447" s="47"/>
      <c r="AH1447" s="47"/>
      <c r="AI1447" s="47"/>
      <c r="AJ1447" s="47"/>
      <c r="AK1447" s="47"/>
      <c r="AL1447" s="47"/>
      <c r="AM1447" s="47"/>
      <c r="AN1447" s="47"/>
      <c r="AO1447" s="47"/>
      <c r="AP1447" s="47"/>
      <c r="AQ1447" s="47"/>
      <c r="AR1447" s="47"/>
      <c r="AS1447" s="47"/>
      <c r="AT1447" s="47"/>
      <c r="AU1447" s="47"/>
      <c r="AV1447" s="47"/>
      <c r="AW1447" s="47"/>
      <c r="AX1447" s="47"/>
      <c r="AY1447" s="47"/>
      <c r="AZ1447" s="47"/>
      <c r="BA1447" s="47"/>
      <c r="BB1447" s="47"/>
      <c r="BC1447" s="47"/>
      <c r="BD1447" s="47"/>
      <c r="BE1447" s="47"/>
      <c r="BF1447" s="47"/>
    </row>
    <row r="1448" spans="3:58">
      <c r="C1448" s="47"/>
      <c r="D1448" s="47"/>
      <c r="E1448" s="47"/>
      <c r="F1448" s="47"/>
      <c r="G1448" s="47"/>
      <c r="H1448" s="47"/>
      <c r="I1448" s="47"/>
      <c r="J1448" s="47"/>
      <c r="K1448" s="47"/>
      <c r="L1448" s="47"/>
      <c r="M1448" s="47"/>
      <c r="N1448" s="47"/>
      <c r="O1448" s="47"/>
      <c r="P1448" s="47"/>
      <c r="Q1448" s="85"/>
      <c r="R1448" s="85"/>
      <c r="S1448" s="85"/>
      <c r="T1448" s="85"/>
      <c r="U1448" s="85"/>
      <c r="V1448" s="85"/>
      <c r="W1448" s="85"/>
      <c r="X1448" s="85"/>
      <c r="Y1448" s="85"/>
      <c r="Z1448" s="85"/>
      <c r="AA1448" s="85"/>
      <c r="AB1448" s="85"/>
      <c r="AC1448" s="85"/>
      <c r="AD1448" s="85"/>
      <c r="AE1448" s="47"/>
      <c r="AF1448" s="47"/>
      <c r="AG1448" s="47"/>
      <c r="AH1448" s="47"/>
      <c r="AI1448" s="47"/>
      <c r="AJ1448" s="47"/>
      <c r="AK1448" s="47"/>
      <c r="AL1448" s="47"/>
      <c r="AM1448" s="47"/>
      <c r="AN1448" s="47"/>
      <c r="AO1448" s="47"/>
      <c r="AP1448" s="47"/>
      <c r="AQ1448" s="47"/>
      <c r="AR1448" s="47"/>
      <c r="AS1448" s="47"/>
      <c r="AT1448" s="47"/>
      <c r="AU1448" s="47"/>
      <c r="AV1448" s="47"/>
      <c r="AW1448" s="47"/>
      <c r="AX1448" s="47"/>
      <c r="AY1448" s="47"/>
      <c r="AZ1448" s="47"/>
      <c r="BA1448" s="47"/>
      <c r="BB1448" s="47"/>
      <c r="BC1448" s="47"/>
      <c r="BD1448" s="47"/>
      <c r="BE1448" s="47"/>
      <c r="BF1448" s="47"/>
    </row>
    <row r="1449" spans="3:58">
      <c r="C1449" s="47"/>
      <c r="D1449" s="47"/>
      <c r="E1449" s="47"/>
      <c r="F1449" s="47"/>
      <c r="G1449" s="47"/>
      <c r="H1449" s="47"/>
      <c r="I1449" s="47"/>
      <c r="J1449" s="47"/>
      <c r="K1449" s="47"/>
      <c r="L1449" s="47"/>
      <c r="M1449" s="47"/>
      <c r="N1449" s="47"/>
      <c r="O1449" s="47"/>
      <c r="P1449" s="47"/>
      <c r="Q1449" s="85"/>
      <c r="R1449" s="85"/>
      <c r="S1449" s="85"/>
      <c r="T1449" s="85"/>
      <c r="U1449" s="85"/>
      <c r="V1449" s="85"/>
      <c r="W1449" s="85"/>
      <c r="X1449" s="85"/>
      <c r="Y1449" s="85"/>
      <c r="Z1449" s="85"/>
      <c r="AA1449" s="85"/>
      <c r="AB1449" s="85"/>
      <c r="AC1449" s="85"/>
      <c r="AD1449" s="85"/>
      <c r="AE1449" s="47"/>
      <c r="AF1449" s="47"/>
      <c r="AG1449" s="47"/>
      <c r="AH1449" s="47"/>
      <c r="AI1449" s="47"/>
      <c r="AJ1449" s="47"/>
      <c r="AK1449" s="47"/>
      <c r="AL1449" s="47"/>
      <c r="AM1449" s="47"/>
      <c r="AN1449" s="47"/>
      <c r="AO1449" s="47"/>
      <c r="AP1449" s="47"/>
      <c r="AQ1449" s="47"/>
      <c r="AR1449" s="47"/>
      <c r="AS1449" s="47"/>
      <c r="AT1449" s="47"/>
      <c r="AU1449" s="47"/>
      <c r="AV1449" s="47"/>
      <c r="AW1449" s="47"/>
      <c r="AX1449" s="47"/>
      <c r="AY1449" s="47"/>
      <c r="AZ1449" s="47"/>
      <c r="BA1449" s="47"/>
      <c r="BB1449" s="47"/>
      <c r="BC1449" s="47"/>
      <c r="BD1449" s="47"/>
      <c r="BE1449" s="47"/>
      <c r="BF1449" s="47"/>
    </row>
    <row r="1450" spans="3:58">
      <c r="C1450" s="47"/>
      <c r="D1450" s="47"/>
      <c r="E1450" s="47"/>
      <c r="F1450" s="47"/>
      <c r="G1450" s="47"/>
      <c r="H1450" s="47"/>
      <c r="I1450" s="47"/>
      <c r="J1450" s="47"/>
      <c r="K1450" s="47"/>
      <c r="L1450" s="47"/>
      <c r="M1450" s="47"/>
      <c r="N1450" s="47"/>
      <c r="O1450" s="47"/>
      <c r="P1450" s="47"/>
      <c r="Q1450" s="85"/>
      <c r="R1450" s="85"/>
      <c r="S1450" s="85"/>
      <c r="T1450" s="85"/>
      <c r="U1450" s="85"/>
      <c r="V1450" s="85"/>
      <c r="W1450" s="85"/>
      <c r="X1450" s="85"/>
      <c r="Y1450" s="85"/>
      <c r="Z1450" s="85"/>
      <c r="AA1450" s="85"/>
      <c r="AB1450" s="85"/>
      <c r="AC1450" s="85"/>
      <c r="AD1450" s="85"/>
      <c r="AE1450" s="47"/>
      <c r="AF1450" s="47"/>
      <c r="AG1450" s="47"/>
      <c r="AH1450" s="47"/>
      <c r="AI1450" s="47"/>
      <c r="AJ1450" s="47"/>
      <c r="AK1450" s="47"/>
      <c r="AL1450" s="47"/>
      <c r="AM1450" s="47"/>
      <c r="AN1450" s="47"/>
      <c r="AO1450" s="47"/>
      <c r="AP1450" s="47"/>
      <c r="AQ1450" s="47"/>
      <c r="AR1450" s="47"/>
      <c r="AS1450" s="47"/>
      <c r="AT1450" s="47"/>
      <c r="AU1450" s="47"/>
      <c r="AV1450" s="47"/>
      <c r="AW1450" s="47"/>
      <c r="AX1450" s="47"/>
      <c r="AY1450" s="47"/>
      <c r="AZ1450" s="47"/>
      <c r="BA1450" s="47"/>
      <c r="BB1450" s="47"/>
      <c r="BC1450" s="47"/>
      <c r="BD1450" s="47"/>
      <c r="BE1450" s="47"/>
      <c r="BF1450" s="47"/>
    </row>
    <row r="1451" spans="3:58">
      <c r="C1451" s="47"/>
      <c r="D1451" s="47"/>
      <c r="E1451" s="47"/>
      <c r="F1451" s="47"/>
      <c r="G1451" s="47"/>
      <c r="H1451" s="47"/>
      <c r="I1451" s="47"/>
      <c r="J1451" s="47"/>
      <c r="K1451" s="47"/>
      <c r="L1451" s="47"/>
      <c r="M1451" s="47"/>
      <c r="N1451" s="47"/>
      <c r="O1451" s="47"/>
      <c r="P1451" s="47"/>
      <c r="Q1451" s="85"/>
      <c r="R1451" s="85"/>
      <c r="S1451" s="85"/>
      <c r="T1451" s="85"/>
      <c r="U1451" s="85"/>
      <c r="V1451" s="85"/>
      <c r="W1451" s="85"/>
      <c r="X1451" s="85"/>
      <c r="Y1451" s="85"/>
      <c r="Z1451" s="85"/>
      <c r="AA1451" s="85"/>
      <c r="AB1451" s="85"/>
      <c r="AC1451" s="85"/>
      <c r="AD1451" s="85"/>
      <c r="AE1451" s="47"/>
      <c r="AF1451" s="47"/>
      <c r="AG1451" s="47"/>
      <c r="AH1451" s="47"/>
      <c r="AI1451" s="47"/>
      <c r="AJ1451" s="47"/>
      <c r="AK1451" s="47"/>
      <c r="AL1451" s="47"/>
      <c r="AM1451" s="47"/>
      <c r="AN1451" s="47"/>
      <c r="AO1451" s="47"/>
      <c r="AP1451" s="47"/>
      <c r="AQ1451" s="47"/>
      <c r="AR1451" s="47"/>
      <c r="AS1451" s="47"/>
      <c r="AT1451" s="47"/>
      <c r="AU1451" s="47"/>
      <c r="AV1451" s="47"/>
      <c r="AW1451" s="47"/>
      <c r="AX1451" s="47"/>
      <c r="AY1451" s="47"/>
      <c r="AZ1451" s="47"/>
      <c r="BA1451" s="47"/>
      <c r="BB1451" s="47"/>
      <c r="BC1451" s="47"/>
      <c r="BD1451" s="47"/>
      <c r="BE1451" s="47"/>
      <c r="BF1451" s="47"/>
    </row>
    <row r="1452" spans="3:58">
      <c r="C1452" s="47"/>
      <c r="D1452" s="47"/>
      <c r="E1452" s="47"/>
      <c r="F1452" s="47"/>
      <c r="G1452" s="47"/>
      <c r="H1452" s="47"/>
      <c r="I1452" s="47"/>
      <c r="J1452" s="47"/>
      <c r="K1452" s="47"/>
      <c r="L1452" s="47"/>
      <c r="M1452" s="47"/>
      <c r="N1452" s="47"/>
      <c r="O1452" s="47"/>
      <c r="P1452" s="47"/>
      <c r="Q1452" s="85"/>
      <c r="R1452" s="85"/>
      <c r="S1452" s="85"/>
      <c r="T1452" s="85"/>
      <c r="U1452" s="85"/>
      <c r="V1452" s="85"/>
      <c r="W1452" s="85"/>
      <c r="X1452" s="85"/>
      <c r="Y1452" s="85"/>
      <c r="Z1452" s="85"/>
      <c r="AA1452" s="85"/>
      <c r="AB1452" s="85"/>
      <c r="AC1452" s="85"/>
      <c r="AD1452" s="85"/>
      <c r="AE1452" s="47"/>
      <c r="AF1452" s="47"/>
      <c r="AG1452" s="47"/>
      <c r="AH1452" s="47"/>
      <c r="AI1452" s="47"/>
      <c r="AJ1452" s="47"/>
      <c r="AK1452" s="47"/>
      <c r="AL1452" s="47"/>
      <c r="AM1452" s="47"/>
      <c r="AN1452" s="47"/>
      <c r="AO1452" s="47"/>
      <c r="AP1452" s="47"/>
      <c r="AQ1452" s="47"/>
      <c r="AR1452" s="47"/>
      <c r="AS1452" s="47"/>
      <c r="AT1452" s="47"/>
      <c r="AU1452" s="47"/>
      <c r="AV1452" s="47"/>
      <c r="AW1452" s="47"/>
      <c r="AX1452" s="47"/>
      <c r="AY1452" s="47"/>
      <c r="AZ1452" s="47"/>
      <c r="BA1452" s="47"/>
      <c r="BB1452" s="47"/>
      <c r="BC1452" s="47"/>
      <c r="BD1452" s="47"/>
      <c r="BE1452" s="47"/>
      <c r="BF1452" s="47"/>
    </row>
    <row r="1453" spans="3:58">
      <c r="C1453" s="47"/>
      <c r="D1453" s="47"/>
      <c r="E1453" s="47"/>
      <c r="F1453" s="47"/>
      <c r="G1453" s="47"/>
      <c r="H1453" s="47"/>
      <c r="I1453" s="47"/>
      <c r="J1453" s="47"/>
      <c r="K1453" s="47"/>
      <c r="L1453" s="47"/>
      <c r="M1453" s="47"/>
      <c r="N1453" s="47"/>
      <c r="O1453" s="47"/>
      <c r="P1453" s="47"/>
      <c r="Q1453" s="85"/>
      <c r="R1453" s="85"/>
      <c r="S1453" s="85"/>
      <c r="T1453" s="85"/>
      <c r="U1453" s="85"/>
      <c r="V1453" s="85"/>
      <c r="W1453" s="85"/>
      <c r="X1453" s="85"/>
      <c r="Y1453" s="85"/>
      <c r="Z1453" s="85"/>
      <c r="AA1453" s="85"/>
      <c r="AB1453" s="85"/>
      <c r="AC1453" s="85"/>
      <c r="AD1453" s="85"/>
      <c r="AE1453" s="47"/>
      <c r="AF1453" s="47"/>
      <c r="AG1453" s="47"/>
      <c r="AH1453" s="47"/>
      <c r="AI1453" s="47"/>
      <c r="AJ1453" s="47"/>
      <c r="AK1453" s="47"/>
      <c r="AL1453" s="47"/>
      <c r="AM1453" s="47"/>
      <c r="AN1453" s="47"/>
      <c r="AO1453" s="47"/>
      <c r="AP1453" s="47"/>
      <c r="AQ1453" s="47"/>
      <c r="AR1453" s="47"/>
      <c r="AS1453" s="47"/>
      <c r="AT1453" s="47"/>
      <c r="AU1453" s="47"/>
      <c r="AV1453" s="47"/>
      <c r="AW1453" s="47"/>
      <c r="AX1453" s="47"/>
      <c r="AY1453" s="47"/>
      <c r="AZ1453" s="47"/>
      <c r="BA1453" s="47"/>
      <c r="BB1453" s="47"/>
      <c r="BC1453" s="47"/>
      <c r="BD1453" s="47"/>
      <c r="BE1453" s="47"/>
      <c r="BF1453" s="47"/>
    </row>
    <row r="1454" spans="3:58">
      <c r="C1454" s="47"/>
      <c r="D1454" s="47"/>
      <c r="E1454" s="47"/>
      <c r="F1454" s="47"/>
      <c r="G1454" s="47"/>
      <c r="H1454" s="47"/>
      <c r="I1454" s="47"/>
      <c r="J1454" s="47"/>
      <c r="K1454" s="47"/>
      <c r="L1454" s="47"/>
      <c r="M1454" s="47"/>
      <c r="N1454" s="47"/>
      <c r="O1454" s="47"/>
      <c r="P1454" s="47"/>
      <c r="Q1454" s="85"/>
      <c r="R1454" s="85"/>
      <c r="S1454" s="85"/>
      <c r="T1454" s="85"/>
      <c r="U1454" s="85"/>
      <c r="V1454" s="85"/>
      <c r="W1454" s="85"/>
      <c r="X1454" s="85"/>
      <c r="Y1454" s="85"/>
      <c r="Z1454" s="85"/>
      <c r="AA1454" s="85"/>
      <c r="AB1454" s="85"/>
      <c r="AC1454" s="85"/>
      <c r="AD1454" s="85"/>
      <c r="AE1454" s="47"/>
      <c r="AF1454" s="47"/>
      <c r="AG1454" s="47"/>
      <c r="AH1454" s="47"/>
      <c r="AI1454" s="47"/>
      <c r="AJ1454" s="47"/>
      <c r="AK1454" s="47"/>
      <c r="AL1454" s="47"/>
      <c r="AM1454" s="47"/>
      <c r="AN1454" s="47"/>
      <c r="AO1454" s="47"/>
      <c r="AP1454" s="47"/>
      <c r="AQ1454" s="47"/>
      <c r="AR1454" s="47"/>
      <c r="AS1454" s="47"/>
      <c r="AT1454" s="47"/>
      <c r="AU1454" s="47"/>
      <c r="AV1454" s="47"/>
      <c r="AW1454" s="47"/>
      <c r="AX1454" s="47"/>
      <c r="AY1454" s="47"/>
      <c r="AZ1454" s="47"/>
      <c r="BA1454" s="47"/>
      <c r="BB1454" s="47"/>
      <c r="BC1454" s="47"/>
      <c r="BD1454" s="47"/>
      <c r="BE1454" s="47"/>
      <c r="BF1454" s="47"/>
    </row>
    <row r="1455" spans="3:58">
      <c r="C1455" s="47"/>
      <c r="D1455" s="47"/>
      <c r="E1455" s="47"/>
      <c r="F1455" s="47"/>
      <c r="G1455" s="47"/>
      <c r="H1455" s="47"/>
      <c r="I1455" s="47"/>
      <c r="J1455" s="47"/>
      <c r="K1455" s="47"/>
      <c r="L1455" s="47"/>
      <c r="M1455" s="47"/>
      <c r="N1455" s="47"/>
      <c r="O1455" s="47"/>
      <c r="P1455" s="47"/>
      <c r="Q1455" s="85"/>
      <c r="R1455" s="85"/>
      <c r="S1455" s="85"/>
      <c r="T1455" s="85"/>
      <c r="U1455" s="85"/>
      <c r="V1455" s="85"/>
      <c r="W1455" s="85"/>
      <c r="X1455" s="85"/>
      <c r="Y1455" s="85"/>
      <c r="Z1455" s="85"/>
      <c r="AA1455" s="85"/>
      <c r="AB1455" s="85"/>
      <c r="AC1455" s="85"/>
      <c r="AD1455" s="85"/>
      <c r="AE1455" s="47"/>
      <c r="AF1455" s="47"/>
      <c r="AG1455" s="47"/>
      <c r="AH1455" s="47"/>
      <c r="AI1455" s="47"/>
      <c r="AJ1455" s="47"/>
      <c r="AK1455" s="47"/>
      <c r="AL1455" s="47"/>
      <c r="AM1455" s="47"/>
      <c r="AN1455" s="47"/>
      <c r="AO1455" s="47"/>
      <c r="AP1455" s="47"/>
      <c r="AQ1455" s="47"/>
      <c r="AR1455" s="47"/>
      <c r="AS1455" s="47"/>
      <c r="AT1455" s="47"/>
      <c r="AU1455" s="47"/>
      <c r="AV1455" s="47"/>
      <c r="AW1455" s="47"/>
      <c r="AX1455" s="47"/>
      <c r="AY1455" s="47"/>
      <c r="AZ1455" s="47"/>
      <c r="BA1455" s="47"/>
      <c r="BB1455" s="47"/>
      <c r="BC1455" s="47"/>
      <c r="BD1455" s="47"/>
      <c r="BE1455" s="47"/>
      <c r="BF1455" s="47"/>
    </row>
    <row r="1456" spans="3:58">
      <c r="C1456" s="47"/>
      <c r="D1456" s="47"/>
      <c r="E1456" s="47"/>
      <c r="F1456" s="47"/>
      <c r="G1456" s="47"/>
      <c r="H1456" s="47"/>
      <c r="I1456" s="47"/>
      <c r="J1456" s="47"/>
      <c r="K1456" s="47"/>
      <c r="L1456" s="47"/>
      <c r="M1456" s="47"/>
      <c r="N1456" s="47"/>
      <c r="O1456" s="47"/>
      <c r="P1456" s="47"/>
      <c r="Q1456" s="85"/>
      <c r="R1456" s="85"/>
      <c r="S1456" s="85"/>
      <c r="T1456" s="85"/>
      <c r="U1456" s="85"/>
      <c r="V1456" s="85"/>
      <c r="W1456" s="85"/>
      <c r="X1456" s="85"/>
      <c r="Y1456" s="85"/>
      <c r="Z1456" s="85"/>
      <c r="AA1456" s="85"/>
      <c r="AB1456" s="85"/>
      <c r="AC1456" s="85"/>
      <c r="AD1456" s="85"/>
      <c r="AE1456" s="47"/>
      <c r="AF1456" s="47"/>
      <c r="AG1456" s="47"/>
      <c r="AH1456" s="47"/>
      <c r="AI1456" s="47"/>
      <c r="AJ1456" s="47"/>
      <c r="AK1456" s="47"/>
      <c r="AL1456" s="47"/>
      <c r="AM1456" s="47"/>
      <c r="AN1456" s="47"/>
      <c r="AO1456" s="47"/>
      <c r="AP1456" s="47"/>
      <c r="AQ1456" s="47"/>
      <c r="AR1456" s="47"/>
      <c r="AS1456" s="47"/>
      <c r="AT1456" s="47"/>
      <c r="AU1456" s="47"/>
      <c r="AV1456" s="47"/>
      <c r="AW1456" s="47"/>
      <c r="AX1456" s="47"/>
      <c r="AY1456" s="47"/>
      <c r="AZ1456" s="47"/>
      <c r="BA1456" s="47"/>
      <c r="BB1456" s="47"/>
      <c r="BC1456" s="47"/>
      <c r="BD1456" s="47"/>
      <c r="BE1456" s="47"/>
      <c r="BF1456" s="47"/>
    </row>
    <row r="1457" spans="3:58">
      <c r="C1457" s="47"/>
      <c r="D1457" s="47"/>
      <c r="E1457" s="47"/>
      <c r="F1457" s="47"/>
      <c r="G1457" s="47"/>
      <c r="H1457" s="47"/>
      <c r="I1457" s="47"/>
      <c r="J1457" s="47"/>
      <c r="K1457" s="47"/>
      <c r="L1457" s="47"/>
      <c r="M1457" s="47"/>
      <c r="N1457" s="47"/>
      <c r="O1457" s="47"/>
      <c r="P1457" s="47"/>
      <c r="Q1457" s="85"/>
      <c r="R1457" s="85"/>
      <c r="S1457" s="85"/>
      <c r="T1457" s="85"/>
      <c r="U1457" s="85"/>
      <c r="V1457" s="85"/>
      <c r="W1457" s="85"/>
      <c r="X1457" s="85"/>
      <c r="Y1457" s="85"/>
      <c r="Z1457" s="85"/>
      <c r="AA1457" s="85"/>
      <c r="AB1457" s="85"/>
      <c r="AC1457" s="85"/>
      <c r="AD1457" s="85"/>
      <c r="AE1457" s="47"/>
      <c r="AF1457" s="47"/>
      <c r="AG1457" s="47"/>
      <c r="AH1457" s="47"/>
      <c r="AI1457" s="47"/>
      <c r="AJ1457" s="47"/>
      <c r="AK1457" s="47"/>
      <c r="AL1457" s="47"/>
      <c r="AM1457" s="47"/>
      <c r="AN1457" s="47"/>
      <c r="AO1457" s="47"/>
      <c r="AP1457" s="47"/>
      <c r="AQ1457" s="47"/>
      <c r="AR1457" s="47"/>
      <c r="AS1457" s="47"/>
      <c r="AT1457" s="47"/>
      <c r="AU1457" s="47"/>
      <c r="AV1457" s="47"/>
      <c r="AW1457" s="47"/>
      <c r="AX1457" s="47"/>
      <c r="AY1457" s="47"/>
      <c r="AZ1457" s="47"/>
      <c r="BA1457" s="47"/>
      <c r="BB1457" s="47"/>
      <c r="BC1457" s="47"/>
      <c r="BD1457" s="47"/>
      <c r="BE1457" s="47"/>
      <c r="BF1457" s="47"/>
    </row>
    <row r="1458" spans="3:58">
      <c r="C1458" s="47"/>
      <c r="D1458" s="47"/>
      <c r="E1458" s="47"/>
      <c r="F1458" s="47"/>
      <c r="G1458" s="47"/>
      <c r="H1458" s="47"/>
      <c r="I1458" s="47"/>
      <c r="J1458" s="47"/>
      <c r="K1458" s="47"/>
      <c r="L1458" s="47"/>
      <c r="M1458" s="47"/>
      <c r="N1458" s="47"/>
      <c r="O1458" s="47"/>
      <c r="P1458" s="47"/>
      <c r="Q1458" s="85"/>
      <c r="R1458" s="85"/>
      <c r="S1458" s="85"/>
      <c r="T1458" s="85"/>
      <c r="U1458" s="85"/>
      <c r="V1458" s="85"/>
      <c r="W1458" s="85"/>
      <c r="X1458" s="85"/>
      <c r="Y1458" s="85"/>
      <c r="Z1458" s="85"/>
      <c r="AA1458" s="85"/>
      <c r="AB1458" s="85"/>
      <c r="AC1458" s="85"/>
      <c r="AD1458" s="85"/>
      <c r="AE1458" s="47"/>
      <c r="AF1458" s="47"/>
      <c r="AG1458" s="47"/>
      <c r="AH1458" s="47"/>
      <c r="AI1458" s="47"/>
      <c r="AJ1458" s="47"/>
      <c r="AK1458" s="47"/>
      <c r="AL1458" s="47"/>
      <c r="AM1458" s="47"/>
      <c r="AN1458" s="47"/>
      <c r="AO1458" s="47"/>
      <c r="AP1458" s="47"/>
      <c r="AQ1458" s="47"/>
      <c r="AR1458" s="47"/>
      <c r="AS1458" s="47"/>
      <c r="AT1458" s="47"/>
      <c r="AU1458" s="47"/>
      <c r="AV1458" s="47"/>
      <c r="AW1458" s="47"/>
      <c r="AX1458" s="47"/>
      <c r="AY1458" s="47"/>
      <c r="AZ1458" s="47"/>
      <c r="BA1458" s="47"/>
      <c r="BB1458" s="47"/>
      <c r="BC1458" s="47"/>
      <c r="BD1458" s="47"/>
      <c r="BE1458" s="47"/>
      <c r="BF1458" s="47"/>
    </row>
    <row r="1459" spans="3:58">
      <c r="C1459" s="47"/>
      <c r="D1459" s="47"/>
      <c r="E1459" s="47"/>
      <c r="F1459" s="47"/>
      <c r="G1459" s="47"/>
      <c r="H1459" s="47"/>
      <c r="I1459" s="47"/>
      <c r="J1459" s="47"/>
      <c r="K1459" s="47"/>
      <c r="L1459" s="47"/>
      <c r="M1459" s="47"/>
      <c r="N1459" s="47"/>
      <c r="O1459" s="47"/>
      <c r="P1459" s="47"/>
      <c r="Q1459" s="85"/>
      <c r="R1459" s="85"/>
      <c r="S1459" s="85"/>
      <c r="T1459" s="85"/>
      <c r="U1459" s="85"/>
      <c r="V1459" s="85"/>
      <c r="W1459" s="85"/>
      <c r="X1459" s="85"/>
      <c r="Y1459" s="85"/>
      <c r="Z1459" s="85"/>
      <c r="AA1459" s="85"/>
      <c r="AB1459" s="85"/>
      <c r="AC1459" s="85"/>
      <c r="AD1459" s="85"/>
      <c r="AE1459" s="47"/>
      <c r="AF1459" s="47"/>
      <c r="AG1459" s="47"/>
      <c r="AH1459" s="47"/>
      <c r="AI1459" s="47"/>
      <c r="AJ1459" s="47"/>
      <c r="AK1459" s="47"/>
      <c r="AL1459" s="47"/>
      <c r="AM1459" s="47"/>
      <c r="AN1459" s="47"/>
      <c r="AO1459" s="47"/>
      <c r="AP1459" s="47"/>
      <c r="AQ1459" s="47"/>
      <c r="AR1459" s="47"/>
      <c r="AS1459" s="47"/>
      <c r="AT1459" s="47"/>
      <c r="AU1459" s="47"/>
      <c r="AV1459" s="47"/>
      <c r="AW1459" s="47"/>
      <c r="AX1459" s="47"/>
      <c r="AY1459" s="47"/>
      <c r="AZ1459" s="47"/>
      <c r="BA1459" s="47"/>
      <c r="BB1459" s="47"/>
      <c r="BC1459" s="47"/>
      <c r="BD1459" s="47"/>
      <c r="BE1459" s="47"/>
      <c r="BF1459" s="47"/>
    </row>
    <row r="1460" spans="3:58">
      <c r="C1460" s="47"/>
      <c r="D1460" s="47"/>
      <c r="E1460" s="47"/>
      <c r="F1460" s="47"/>
      <c r="G1460" s="47"/>
      <c r="H1460" s="47"/>
      <c r="I1460" s="47"/>
      <c r="J1460" s="47"/>
      <c r="K1460" s="47"/>
      <c r="L1460" s="47"/>
      <c r="M1460" s="47"/>
      <c r="N1460" s="47"/>
      <c r="O1460" s="47"/>
      <c r="P1460" s="47"/>
      <c r="Q1460" s="85"/>
      <c r="R1460" s="85"/>
      <c r="S1460" s="85"/>
      <c r="T1460" s="85"/>
      <c r="U1460" s="85"/>
      <c r="V1460" s="85"/>
      <c r="W1460" s="85"/>
      <c r="X1460" s="85"/>
      <c r="Y1460" s="85"/>
      <c r="Z1460" s="85"/>
      <c r="AA1460" s="85"/>
      <c r="AB1460" s="85"/>
      <c r="AC1460" s="85"/>
      <c r="AD1460" s="85"/>
      <c r="AE1460" s="47"/>
      <c r="AF1460" s="47"/>
      <c r="AG1460" s="47"/>
      <c r="AH1460" s="47"/>
      <c r="AI1460" s="47"/>
      <c r="AJ1460" s="47"/>
      <c r="AK1460" s="47"/>
      <c r="AL1460" s="47"/>
      <c r="AM1460" s="47"/>
      <c r="AN1460" s="47"/>
      <c r="AO1460" s="47"/>
      <c r="AP1460" s="47"/>
      <c r="AQ1460" s="47"/>
      <c r="AR1460" s="47"/>
      <c r="AS1460" s="47"/>
      <c r="AT1460" s="47"/>
      <c r="AU1460" s="47"/>
      <c r="AV1460" s="47"/>
      <c r="AW1460" s="47"/>
      <c r="AX1460" s="47"/>
      <c r="AY1460" s="47"/>
      <c r="AZ1460" s="47"/>
      <c r="BA1460" s="47"/>
      <c r="BB1460" s="47"/>
      <c r="BC1460" s="47"/>
      <c r="BD1460" s="47"/>
      <c r="BE1460" s="47"/>
      <c r="BF1460" s="47"/>
    </row>
    <row r="1461" spans="3:58">
      <c r="C1461" s="47"/>
      <c r="D1461" s="47"/>
      <c r="E1461" s="47"/>
      <c r="F1461" s="47"/>
      <c r="G1461" s="47"/>
      <c r="H1461" s="47"/>
      <c r="I1461" s="47"/>
      <c r="J1461" s="47"/>
      <c r="K1461" s="47"/>
      <c r="L1461" s="47"/>
      <c r="M1461" s="47"/>
      <c r="N1461" s="47"/>
      <c r="O1461" s="47"/>
      <c r="P1461" s="47"/>
      <c r="Q1461" s="85"/>
      <c r="R1461" s="85"/>
      <c r="S1461" s="85"/>
      <c r="T1461" s="85"/>
      <c r="U1461" s="85"/>
      <c r="V1461" s="85"/>
      <c r="W1461" s="85"/>
      <c r="X1461" s="85"/>
      <c r="Y1461" s="85"/>
      <c r="Z1461" s="85"/>
      <c r="AA1461" s="85"/>
      <c r="AB1461" s="85"/>
      <c r="AC1461" s="85"/>
      <c r="AD1461" s="85"/>
      <c r="AE1461" s="47"/>
      <c r="AF1461" s="47"/>
      <c r="AG1461" s="47"/>
      <c r="AH1461" s="47"/>
      <c r="AI1461" s="47"/>
      <c r="AJ1461" s="47"/>
      <c r="AK1461" s="47"/>
      <c r="AL1461" s="47"/>
      <c r="AM1461" s="47"/>
      <c r="AN1461" s="47"/>
      <c r="AO1461" s="47"/>
      <c r="AP1461" s="47"/>
      <c r="AQ1461" s="47"/>
      <c r="AR1461" s="47"/>
      <c r="AS1461" s="47"/>
      <c r="AT1461" s="47"/>
      <c r="AU1461" s="47"/>
      <c r="AV1461" s="47"/>
      <c r="AW1461" s="47"/>
      <c r="AX1461" s="47"/>
      <c r="AY1461" s="47"/>
      <c r="AZ1461" s="47"/>
      <c r="BA1461" s="47"/>
      <c r="BB1461" s="47"/>
      <c r="BC1461" s="47"/>
      <c r="BD1461" s="47"/>
      <c r="BE1461" s="47"/>
      <c r="BF1461" s="47"/>
    </row>
    <row r="1462" spans="3:58">
      <c r="C1462" s="47"/>
      <c r="D1462" s="47"/>
      <c r="E1462" s="47"/>
      <c r="F1462" s="47"/>
      <c r="G1462" s="47"/>
      <c r="H1462" s="47"/>
      <c r="I1462" s="47"/>
      <c r="J1462" s="47"/>
      <c r="K1462" s="47"/>
      <c r="L1462" s="47"/>
      <c r="M1462" s="47"/>
      <c r="N1462" s="47"/>
      <c r="O1462" s="47"/>
      <c r="P1462" s="47"/>
      <c r="Q1462" s="85"/>
      <c r="R1462" s="85"/>
      <c r="S1462" s="85"/>
      <c r="T1462" s="85"/>
      <c r="U1462" s="85"/>
      <c r="V1462" s="85"/>
      <c r="W1462" s="85"/>
      <c r="X1462" s="85"/>
      <c r="Y1462" s="85"/>
      <c r="Z1462" s="85"/>
      <c r="AA1462" s="85"/>
      <c r="AB1462" s="85"/>
      <c r="AC1462" s="85"/>
      <c r="AD1462" s="85"/>
      <c r="AE1462" s="47"/>
      <c r="AF1462" s="47"/>
      <c r="AG1462" s="47"/>
      <c r="AH1462" s="47"/>
      <c r="AI1462" s="47"/>
      <c r="AJ1462" s="47"/>
      <c r="AK1462" s="47"/>
      <c r="AL1462" s="47"/>
      <c r="AM1462" s="47"/>
      <c r="AN1462" s="47"/>
      <c r="AO1462" s="47"/>
      <c r="AP1462" s="47"/>
      <c r="AQ1462" s="47"/>
      <c r="AR1462" s="47"/>
      <c r="AS1462" s="47"/>
      <c r="AT1462" s="47"/>
      <c r="AU1462" s="47"/>
      <c r="AV1462" s="47"/>
      <c r="AW1462" s="47"/>
      <c r="AX1462" s="47"/>
      <c r="AY1462" s="47"/>
      <c r="AZ1462" s="47"/>
      <c r="BA1462" s="47"/>
      <c r="BB1462" s="47"/>
      <c r="BC1462" s="47"/>
      <c r="BD1462" s="47"/>
      <c r="BE1462" s="47"/>
      <c r="BF1462" s="47"/>
    </row>
    <row r="1463" spans="3:58">
      <c r="C1463" s="47"/>
      <c r="D1463" s="47"/>
      <c r="E1463" s="47"/>
      <c r="F1463" s="47"/>
      <c r="G1463" s="47"/>
      <c r="H1463" s="47"/>
      <c r="I1463" s="47"/>
      <c r="J1463" s="47"/>
      <c r="K1463" s="47"/>
      <c r="L1463" s="47"/>
      <c r="M1463" s="47"/>
      <c r="N1463" s="47"/>
      <c r="O1463" s="47"/>
      <c r="P1463" s="47"/>
      <c r="Q1463" s="85"/>
      <c r="R1463" s="85"/>
      <c r="S1463" s="85"/>
      <c r="T1463" s="85"/>
      <c r="U1463" s="85"/>
      <c r="V1463" s="85"/>
      <c r="W1463" s="85"/>
      <c r="X1463" s="85"/>
      <c r="Y1463" s="85"/>
      <c r="Z1463" s="85"/>
      <c r="AA1463" s="85"/>
      <c r="AB1463" s="85"/>
      <c r="AC1463" s="85"/>
      <c r="AD1463" s="85"/>
      <c r="AE1463" s="47"/>
      <c r="AF1463" s="47"/>
      <c r="AG1463" s="47"/>
      <c r="AH1463" s="47"/>
      <c r="AI1463" s="47"/>
      <c r="AJ1463" s="47"/>
      <c r="AK1463" s="47"/>
      <c r="AL1463" s="47"/>
      <c r="AM1463" s="47"/>
      <c r="AN1463" s="47"/>
      <c r="AO1463" s="47"/>
      <c r="AP1463" s="47"/>
      <c r="AQ1463" s="47"/>
      <c r="AR1463" s="47"/>
      <c r="AS1463" s="47"/>
      <c r="AT1463" s="47"/>
      <c r="AU1463" s="47"/>
      <c r="AV1463" s="47"/>
      <c r="AW1463" s="47"/>
      <c r="AX1463" s="47"/>
      <c r="AY1463" s="47"/>
      <c r="AZ1463" s="47"/>
      <c r="BA1463" s="47"/>
      <c r="BB1463" s="47"/>
      <c r="BC1463" s="47"/>
      <c r="BD1463" s="47"/>
      <c r="BE1463" s="47"/>
      <c r="BF1463" s="47"/>
    </row>
    <row r="1464" spans="3:58">
      <c r="C1464" s="47"/>
      <c r="D1464" s="47"/>
      <c r="E1464" s="47"/>
      <c r="F1464" s="47"/>
      <c r="G1464" s="47"/>
      <c r="H1464" s="47"/>
      <c r="I1464" s="47"/>
      <c r="J1464" s="47"/>
      <c r="K1464" s="47"/>
      <c r="L1464" s="47"/>
      <c r="M1464" s="47"/>
      <c r="N1464" s="47"/>
      <c r="O1464" s="47"/>
      <c r="P1464" s="47"/>
      <c r="Q1464" s="85"/>
      <c r="R1464" s="85"/>
      <c r="S1464" s="85"/>
      <c r="T1464" s="85"/>
      <c r="U1464" s="85"/>
      <c r="V1464" s="85"/>
      <c r="W1464" s="85"/>
      <c r="X1464" s="85"/>
      <c r="Y1464" s="85"/>
      <c r="Z1464" s="85"/>
      <c r="AA1464" s="85"/>
      <c r="AB1464" s="85"/>
      <c r="AC1464" s="85"/>
      <c r="AD1464" s="85"/>
      <c r="AE1464" s="47"/>
      <c r="AF1464" s="47"/>
      <c r="AG1464" s="47"/>
      <c r="AH1464" s="47"/>
      <c r="AI1464" s="47"/>
      <c r="AJ1464" s="47"/>
      <c r="AK1464" s="47"/>
      <c r="AL1464" s="47"/>
      <c r="AM1464" s="47"/>
      <c r="AN1464" s="47"/>
      <c r="AO1464" s="47"/>
      <c r="AP1464" s="47"/>
      <c r="AQ1464" s="47"/>
      <c r="AR1464" s="47"/>
      <c r="AS1464" s="47"/>
      <c r="AT1464" s="47"/>
      <c r="AU1464" s="47"/>
      <c r="AV1464" s="47"/>
      <c r="AW1464" s="47"/>
      <c r="AX1464" s="47"/>
      <c r="AY1464" s="47"/>
      <c r="AZ1464" s="47"/>
      <c r="BA1464" s="47"/>
      <c r="BB1464" s="47"/>
      <c r="BC1464" s="47"/>
      <c r="BD1464" s="47"/>
      <c r="BE1464" s="47"/>
      <c r="BF1464" s="47"/>
    </row>
    <row r="1465" spans="3:58">
      <c r="C1465" s="47"/>
      <c r="D1465" s="47"/>
      <c r="E1465" s="47"/>
      <c r="F1465" s="47"/>
      <c r="G1465" s="47"/>
      <c r="H1465" s="47"/>
      <c r="I1465" s="47"/>
      <c r="J1465" s="47"/>
      <c r="K1465" s="47"/>
      <c r="L1465" s="47"/>
      <c r="M1465" s="47"/>
      <c r="N1465" s="47"/>
      <c r="O1465" s="47"/>
      <c r="P1465" s="47"/>
      <c r="Q1465" s="85"/>
      <c r="R1465" s="85"/>
      <c r="S1465" s="85"/>
      <c r="T1465" s="85"/>
      <c r="U1465" s="85"/>
      <c r="V1465" s="85"/>
      <c r="W1465" s="85"/>
      <c r="X1465" s="85"/>
      <c r="Y1465" s="85"/>
      <c r="Z1465" s="85"/>
      <c r="AA1465" s="85"/>
      <c r="AB1465" s="85"/>
      <c r="AC1465" s="85"/>
      <c r="AD1465" s="85"/>
      <c r="AE1465" s="47"/>
      <c r="AF1465" s="47"/>
      <c r="AG1465" s="47"/>
      <c r="AH1465" s="47"/>
      <c r="AI1465" s="47"/>
      <c r="AJ1465" s="47"/>
      <c r="AK1465" s="47"/>
      <c r="AL1465" s="47"/>
      <c r="AM1465" s="47"/>
      <c r="AN1465" s="47"/>
      <c r="AO1465" s="47"/>
      <c r="AP1465" s="47"/>
      <c r="AQ1465" s="47"/>
      <c r="AR1465" s="47"/>
      <c r="AS1465" s="47"/>
      <c r="AT1465" s="47"/>
      <c r="AU1465" s="47"/>
      <c r="AV1465" s="47"/>
      <c r="AW1465" s="47"/>
      <c r="AX1465" s="47"/>
      <c r="AY1465" s="47"/>
      <c r="AZ1465" s="47"/>
      <c r="BA1465" s="47"/>
      <c r="BB1465" s="47"/>
      <c r="BC1465" s="47"/>
      <c r="BD1465" s="47"/>
      <c r="BE1465" s="47"/>
      <c r="BF1465" s="47"/>
    </row>
    <row r="1466" spans="3:58">
      <c r="C1466" s="47"/>
      <c r="D1466" s="47"/>
      <c r="E1466" s="47"/>
      <c r="F1466" s="47"/>
      <c r="G1466" s="47"/>
      <c r="H1466" s="47"/>
      <c r="I1466" s="47"/>
      <c r="J1466" s="47"/>
      <c r="K1466" s="47"/>
      <c r="L1466" s="47"/>
      <c r="M1466" s="47"/>
      <c r="N1466" s="47"/>
      <c r="O1466" s="47"/>
      <c r="P1466" s="47"/>
      <c r="Q1466" s="85"/>
      <c r="R1466" s="85"/>
      <c r="S1466" s="85"/>
      <c r="T1466" s="85"/>
      <c r="U1466" s="85"/>
      <c r="V1466" s="85"/>
      <c r="W1466" s="85"/>
      <c r="X1466" s="85"/>
      <c r="Y1466" s="85"/>
      <c r="Z1466" s="85"/>
      <c r="AA1466" s="85"/>
      <c r="AB1466" s="85"/>
      <c r="AC1466" s="85"/>
      <c r="AD1466" s="85"/>
      <c r="AE1466" s="47"/>
      <c r="AF1466" s="47"/>
      <c r="AG1466" s="47"/>
      <c r="AH1466" s="47"/>
      <c r="AI1466" s="47"/>
      <c r="AJ1466" s="47"/>
      <c r="AK1466" s="47"/>
      <c r="AL1466" s="47"/>
      <c r="AM1466" s="47"/>
      <c r="AN1466" s="47"/>
      <c r="AO1466" s="47"/>
      <c r="AP1466" s="47"/>
      <c r="AQ1466" s="47"/>
      <c r="AR1466" s="47"/>
      <c r="AS1466" s="47"/>
      <c r="AT1466" s="47"/>
      <c r="AU1466" s="47"/>
      <c r="AV1466" s="47"/>
      <c r="AW1466" s="47"/>
      <c r="AX1466" s="47"/>
      <c r="AY1466" s="47"/>
      <c r="AZ1466" s="47"/>
      <c r="BA1466" s="47"/>
      <c r="BB1466" s="47"/>
      <c r="BC1466" s="47"/>
      <c r="BD1466" s="47"/>
      <c r="BE1466" s="47"/>
      <c r="BF1466" s="47"/>
    </row>
    <row r="1467" spans="3:58">
      <c r="C1467" s="47"/>
      <c r="D1467" s="47"/>
      <c r="E1467" s="47"/>
      <c r="F1467" s="47"/>
      <c r="G1467" s="47"/>
      <c r="H1467" s="47"/>
      <c r="I1467" s="47"/>
      <c r="J1467" s="47"/>
      <c r="K1467" s="47"/>
      <c r="L1467" s="47"/>
      <c r="M1467" s="47"/>
      <c r="N1467" s="47"/>
      <c r="O1467" s="47"/>
      <c r="P1467" s="47"/>
      <c r="Q1467" s="85"/>
      <c r="R1467" s="85"/>
      <c r="S1467" s="85"/>
      <c r="T1467" s="85"/>
      <c r="U1467" s="85"/>
      <c r="V1467" s="85"/>
      <c r="W1467" s="85"/>
      <c r="X1467" s="85"/>
      <c r="Y1467" s="85"/>
      <c r="Z1467" s="85"/>
      <c r="AA1467" s="85"/>
      <c r="AB1467" s="85"/>
      <c r="AC1467" s="85"/>
      <c r="AD1467" s="85"/>
      <c r="AE1467" s="47"/>
      <c r="AF1467" s="47"/>
      <c r="AG1467" s="47"/>
      <c r="AH1467" s="47"/>
      <c r="AI1467" s="47"/>
      <c r="AJ1467" s="47"/>
      <c r="AK1467" s="47"/>
      <c r="AL1467" s="47"/>
      <c r="AM1467" s="47"/>
      <c r="AN1467" s="47"/>
      <c r="AO1467" s="47"/>
      <c r="AP1467" s="47"/>
      <c r="AQ1467" s="47"/>
      <c r="AR1467" s="47"/>
      <c r="AS1467" s="47"/>
      <c r="AT1467" s="47"/>
      <c r="AU1467" s="47"/>
      <c r="AV1467" s="47"/>
      <c r="AW1467" s="47"/>
      <c r="AX1467" s="47"/>
      <c r="AY1467" s="47"/>
      <c r="AZ1467" s="47"/>
      <c r="BA1467" s="47"/>
      <c r="BB1467" s="47"/>
      <c r="BC1467" s="47"/>
      <c r="BD1467" s="47"/>
      <c r="BE1467" s="47"/>
      <c r="BF1467" s="47"/>
    </row>
    <row r="1468" spans="3:58">
      <c r="C1468" s="47"/>
      <c r="D1468" s="47"/>
      <c r="E1468" s="47"/>
      <c r="F1468" s="47"/>
      <c r="G1468" s="47"/>
      <c r="H1468" s="47"/>
      <c r="I1468" s="47"/>
      <c r="J1468" s="47"/>
      <c r="K1468" s="47"/>
      <c r="L1468" s="47"/>
      <c r="M1468" s="47"/>
      <c r="N1468" s="47"/>
      <c r="O1468" s="47"/>
      <c r="P1468" s="47"/>
      <c r="Q1468" s="85"/>
      <c r="R1468" s="85"/>
      <c r="S1468" s="85"/>
      <c r="T1468" s="85"/>
      <c r="U1468" s="85"/>
      <c r="V1468" s="85"/>
      <c r="W1468" s="85"/>
      <c r="X1468" s="85"/>
      <c r="Y1468" s="85"/>
      <c r="Z1468" s="85"/>
      <c r="AA1468" s="85"/>
      <c r="AB1468" s="85"/>
      <c r="AC1468" s="85"/>
      <c r="AD1468" s="85"/>
      <c r="AE1468" s="47"/>
      <c r="AF1468" s="47"/>
      <c r="AG1468" s="47"/>
      <c r="AH1468" s="47"/>
      <c r="AI1468" s="47"/>
      <c r="AJ1468" s="47"/>
      <c r="AK1468" s="47"/>
      <c r="AL1468" s="47"/>
      <c r="AM1468" s="47"/>
      <c r="AN1468" s="47"/>
      <c r="AO1468" s="47"/>
      <c r="AP1468" s="47"/>
      <c r="AQ1468" s="47"/>
      <c r="AR1468" s="47"/>
      <c r="AS1468" s="47"/>
      <c r="AT1468" s="47"/>
      <c r="AU1468" s="47"/>
      <c r="AV1468" s="47"/>
      <c r="AW1468" s="47"/>
      <c r="AX1468" s="47"/>
      <c r="AY1468" s="47"/>
      <c r="AZ1468" s="47"/>
      <c r="BA1468" s="47"/>
      <c r="BB1468" s="47"/>
      <c r="BC1468" s="47"/>
      <c r="BD1468" s="47"/>
      <c r="BE1468" s="47"/>
      <c r="BF1468" s="47"/>
    </row>
    <row r="1469" spans="3:58">
      <c r="C1469" s="47"/>
      <c r="D1469" s="47"/>
      <c r="E1469" s="47"/>
      <c r="F1469" s="47"/>
      <c r="G1469" s="47"/>
      <c r="H1469" s="47"/>
      <c r="I1469" s="47"/>
      <c r="J1469" s="47"/>
      <c r="K1469" s="47"/>
      <c r="L1469" s="47"/>
      <c r="M1469" s="47"/>
      <c r="N1469" s="47"/>
      <c r="O1469" s="47"/>
      <c r="P1469" s="47"/>
      <c r="Q1469" s="85"/>
      <c r="R1469" s="85"/>
      <c r="S1469" s="85"/>
      <c r="T1469" s="85"/>
      <c r="U1469" s="85"/>
      <c r="V1469" s="85"/>
      <c r="W1469" s="85"/>
      <c r="X1469" s="85"/>
      <c r="Y1469" s="85"/>
      <c r="Z1469" s="85"/>
      <c r="AA1469" s="85"/>
      <c r="AB1469" s="85"/>
      <c r="AC1469" s="85"/>
      <c r="AD1469" s="85"/>
      <c r="AE1469" s="47"/>
      <c r="AF1469" s="47"/>
      <c r="AG1469" s="47"/>
      <c r="AH1469" s="47"/>
      <c r="AI1469" s="47"/>
      <c r="AJ1469" s="47"/>
      <c r="AK1469" s="47"/>
      <c r="AL1469" s="47"/>
      <c r="AM1469" s="47"/>
      <c r="AN1469" s="47"/>
      <c r="AO1469" s="47"/>
      <c r="AP1469" s="47"/>
      <c r="AQ1469" s="47"/>
      <c r="AR1469" s="47"/>
      <c r="AS1469" s="47"/>
      <c r="AT1469" s="47"/>
      <c r="AU1469" s="47"/>
      <c r="AV1469" s="47"/>
      <c r="AW1469" s="47"/>
      <c r="AX1469" s="47"/>
      <c r="AY1469" s="47"/>
      <c r="AZ1469" s="47"/>
      <c r="BA1469" s="47"/>
      <c r="BB1469" s="47"/>
      <c r="BC1469" s="47"/>
      <c r="BD1469" s="47"/>
      <c r="BE1469" s="47"/>
      <c r="BF1469" s="47"/>
    </row>
    <row r="1470" spans="3:58">
      <c r="C1470" s="47"/>
      <c r="D1470" s="47"/>
      <c r="E1470" s="47"/>
      <c r="F1470" s="47"/>
      <c r="G1470" s="47"/>
      <c r="H1470" s="47"/>
      <c r="I1470" s="47"/>
      <c r="J1470" s="47"/>
      <c r="K1470" s="47"/>
      <c r="L1470" s="47"/>
      <c r="M1470" s="47"/>
      <c r="N1470" s="47"/>
      <c r="O1470" s="47"/>
      <c r="P1470" s="47"/>
      <c r="Q1470" s="85"/>
      <c r="R1470" s="85"/>
      <c r="S1470" s="85"/>
      <c r="T1470" s="85"/>
      <c r="U1470" s="85"/>
      <c r="V1470" s="85"/>
      <c r="W1470" s="85"/>
      <c r="X1470" s="85"/>
      <c r="Y1470" s="85"/>
      <c r="Z1470" s="85"/>
      <c r="AA1470" s="85"/>
      <c r="AB1470" s="85"/>
      <c r="AC1470" s="85"/>
      <c r="AD1470" s="85"/>
      <c r="AE1470" s="47"/>
      <c r="AF1470" s="47"/>
      <c r="AG1470" s="47"/>
      <c r="AH1470" s="47"/>
      <c r="AI1470" s="47"/>
      <c r="AJ1470" s="47"/>
      <c r="AK1470" s="47"/>
      <c r="AL1470" s="47"/>
      <c r="AM1470" s="47"/>
      <c r="AN1470" s="47"/>
      <c r="AO1470" s="47"/>
      <c r="AP1470" s="47"/>
      <c r="AQ1470" s="47"/>
      <c r="AR1470" s="47"/>
      <c r="AS1470" s="47"/>
      <c r="AT1470" s="47"/>
      <c r="AU1470" s="47"/>
      <c r="AV1470" s="47"/>
      <c r="AW1470" s="47"/>
      <c r="AX1470" s="47"/>
      <c r="AY1470" s="47"/>
      <c r="AZ1470" s="47"/>
      <c r="BA1470" s="47"/>
      <c r="BB1470" s="47"/>
      <c r="BC1470" s="47"/>
      <c r="BD1470" s="47"/>
      <c r="BE1470" s="47"/>
      <c r="BF1470" s="47"/>
    </row>
    <row r="1471" spans="3:58">
      <c r="C1471" s="47"/>
      <c r="D1471" s="47"/>
      <c r="E1471" s="47"/>
      <c r="F1471" s="47"/>
      <c r="G1471" s="47"/>
      <c r="H1471" s="47"/>
      <c r="I1471" s="47"/>
      <c r="J1471" s="47"/>
      <c r="K1471" s="47"/>
      <c r="L1471" s="47"/>
      <c r="M1471" s="47"/>
      <c r="N1471" s="47"/>
      <c r="O1471" s="47"/>
      <c r="P1471" s="47"/>
      <c r="Q1471" s="85"/>
      <c r="R1471" s="85"/>
      <c r="S1471" s="85"/>
      <c r="T1471" s="85"/>
      <c r="U1471" s="85"/>
      <c r="V1471" s="85"/>
      <c r="W1471" s="85"/>
      <c r="X1471" s="85"/>
      <c r="Y1471" s="85"/>
      <c r="Z1471" s="85"/>
      <c r="AA1471" s="85"/>
      <c r="AB1471" s="85"/>
      <c r="AC1471" s="85"/>
      <c r="AD1471" s="85"/>
      <c r="AE1471" s="47"/>
      <c r="AF1471" s="47"/>
      <c r="AG1471" s="47"/>
      <c r="AH1471" s="47"/>
      <c r="AI1471" s="47"/>
      <c r="AJ1471" s="47"/>
      <c r="AK1471" s="47"/>
      <c r="AL1471" s="47"/>
      <c r="AM1471" s="47"/>
      <c r="AN1471" s="47"/>
      <c r="AO1471" s="47"/>
      <c r="AP1471" s="47"/>
      <c r="AQ1471" s="47"/>
      <c r="AR1471" s="47"/>
      <c r="AS1471" s="47"/>
      <c r="AT1471" s="47"/>
      <c r="AU1471" s="47"/>
      <c r="AV1471" s="47"/>
      <c r="AW1471" s="47"/>
      <c r="AX1471" s="47"/>
      <c r="AY1471" s="47"/>
      <c r="AZ1471" s="47"/>
      <c r="BA1471" s="47"/>
      <c r="BB1471" s="47"/>
      <c r="BC1471" s="47"/>
      <c r="BD1471" s="47"/>
      <c r="BE1471" s="47"/>
      <c r="BF1471" s="47"/>
    </row>
    <row r="1472" spans="3:58">
      <c r="C1472" s="47"/>
      <c r="D1472" s="47"/>
      <c r="E1472" s="47"/>
      <c r="F1472" s="47"/>
      <c r="G1472" s="47"/>
      <c r="H1472" s="47"/>
      <c r="I1472" s="47"/>
      <c r="J1472" s="47"/>
      <c r="K1472" s="47"/>
      <c r="L1472" s="47"/>
      <c r="M1472" s="47"/>
      <c r="N1472" s="47"/>
      <c r="O1472" s="47"/>
      <c r="P1472" s="47"/>
      <c r="Q1472" s="85"/>
      <c r="R1472" s="85"/>
      <c r="S1472" s="85"/>
      <c r="T1472" s="85"/>
      <c r="U1472" s="85"/>
      <c r="V1472" s="85"/>
      <c r="W1472" s="85"/>
      <c r="X1472" s="85"/>
      <c r="Y1472" s="85"/>
      <c r="Z1472" s="85"/>
      <c r="AA1472" s="85"/>
      <c r="AB1472" s="85"/>
      <c r="AC1472" s="85"/>
      <c r="AD1472" s="85"/>
      <c r="AE1472" s="47"/>
      <c r="AF1472" s="47"/>
      <c r="AG1472" s="47"/>
      <c r="AH1472" s="47"/>
      <c r="AI1472" s="47"/>
      <c r="AJ1472" s="47"/>
      <c r="AK1472" s="47"/>
      <c r="AL1472" s="47"/>
      <c r="AM1472" s="47"/>
      <c r="AN1472" s="47"/>
      <c r="AO1472" s="47"/>
      <c r="AP1472" s="47"/>
      <c r="AQ1472" s="47"/>
      <c r="AR1472" s="47"/>
      <c r="AS1472" s="47"/>
      <c r="AT1472" s="47"/>
      <c r="AU1472" s="47"/>
      <c r="AV1472" s="47"/>
      <c r="AW1472" s="47"/>
      <c r="AX1472" s="47"/>
      <c r="AY1472" s="47"/>
      <c r="AZ1472" s="47"/>
      <c r="BA1472" s="47"/>
      <c r="BB1472" s="47"/>
      <c r="BC1472" s="47"/>
      <c r="BD1472" s="47"/>
      <c r="BE1472" s="47"/>
      <c r="BF1472" s="47"/>
    </row>
    <row r="1473" spans="3:58">
      <c r="C1473" s="47"/>
      <c r="D1473" s="47"/>
      <c r="E1473" s="47"/>
      <c r="F1473" s="47"/>
      <c r="G1473" s="47"/>
      <c r="H1473" s="47"/>
      <c r="I1473" s="47"/>
      <c r="J1473" s="47"/>
      <c r="K1473" s="47"/>
      <c r="L1473" s="47"/>
      <c r="M1473" s="47"/>
      <c r="N1473" s="47"/>
      <c r="O1473" s="47"/>
      <c r="P1473" s="47"/>
      <c r="Q1473" s="85"/>
      <c r="R1473" s="85"/>
      <c r="S1473" s="85"/>
      <c r="T1473" s="85"/>
      <c r="U1473" s="85"/>
      <c r="V1473" s="85"/>
      <c r="W1473" s="85"/>
      <c r="X1473" s="85"/>
      <c r="Y1473" s="85"/>
      <c r="Z1473" s="85"/>
      <c r="AA1473" s="85"/>
      <c r="AB1473" s="85"/>
      <c r="AC1473" s="85"/>
      <c r="AD1473" s="85"/>
      <c r="AE1473" s="47"/>
      <c r="AF1473" s="47"/>
      <c r="AG1473" s="47"/>
      <c r="AH1473" s="47"/>
      <c r="AI1473" s="47"/>
      <c r="AJ1473" s="47"/>
      <c r="AK1473" s="47"/>
      <c r="AL1473" s="47"/>
      <c r="AM1473" s="47"/>
      <c r="AN1473" s="47"/>
      <c r="AO1473" s="47"/>
      <c r="AP1473" s="47"/>
      <c r="AQ1473" s="47"/>
      <c r="AR1473" s="47"/>
      <c r="AS1473" s="47"/>
      <c r="AT1473" s="47"/>
      <c r="AU1473" s="47"/>
      <c r="AV1473" s="47"/>
      <c r="AW1473" s="47"/>
      <c r="AX1473" s="47"/>
      <c r="AY1473" s="47"/>
      <c r="AZ1473" s="47"/>
      <c r="BA1473" s="47"/>
      <c r="BB1473" s="47"/>
      <c r="BC1473" s="47"/>
      <c r="BD1473" s="47"/>
      <c r="BE1473" s="47"/>
      <c r="BF1473" s="47"/>
    </row>
    <row r="1474" spans="3:58">
      <c r="C1474" s="47"/>
      <c r="D1474" s="47"/>
      <c r="E1474" s="47"/>
      <c r="F1474" s="47"/>
      <c r="G1474" s="47"/>
      <c r="H1474" s="47"/>
      <c r="I1474" s="47"/>
      <c r="J1474" s="47"/>
      <c r="K1474" s="47"/>
      <c r="L1474" s="47"/>
      <c r="M1474" s="47"/>
      <c r="N1474" s="47"/>
      <c r="O1474" s="47"/>
      <c r="P1474" s="47"/>
      <c r="Q1474" s="85"/>
      <c r="R1474" s="85"/>
      <c r="S1474" s="85"/>
      <c r="T1474" s="85"/>
      <c r="U1474" s="85"/>
      <c r="V1474" s="85"/>
      <c r="W1474" s="85"/>
      <c r="X1474" s="85"/>
      <c r="Y1474" s="85"/>
      <c r="Z1474" s="85"/>
      <c r="AA1474" s="85"/>
      <c r="AB1474" s="85"/>
      <c r="AC1474" s="85"/>
      <c r="AD1474" s="85"/>
      <c r="AE1474" s="47"/>
      <c r="AF1474" s="47"/>
      <c r="AG1474" s="47"/>
      <c r="AH1474" s="47"/>
      <c r="AI1474" s="47"/>
      <c r="AJ1474" s="47"/>
      <c r="AK1474" s="47"/>
      <c r="AL1474" s="47"/>
      <c r="AM1474" s="47"/>
      <c r="AN1474" s="47"/>
      <c r="AO1474" s="47"/>
      <c r="AP1474" s="47"/>
      <c r="AQ1474" s="47"/>
      <c r="AR1474" s="47"/>
      <c r="AS1474" s="47"/>
      <c r="AT1474" s="47"/>
      <c r="AU1474" s="47"/>
      <c r="AV1474" s="47"/>
      <c r="AW1474" s="47"/>
      <c r="AX1474" s="47"/>
      <c r="AY1474" s="47"/>
      <c r="AZ1474" s="47"/>
      <c r="BA1474" s="47"/>
      <c r="BB1474" s="47"/>
      <c r="BC1474" s="47"/>
      <c r="BD1474" s="47"/>
      <c r="BE1474" s="47"/>
      <c r="BF1474" s="47"/>
    </row>
    <row r="1475" spans="3:58">
      <c r="C1475" s="47"/>
      <c r="D1475" s="47"/>
      <c r="E1475" s="47"/>
      <c r="F1475" s="47"/>
      <c r="G1475" s="47"/>
      <c r="H1475" s="47"/>
      <c r="I1475" s="47"/>
      <c r="J1475" s="47"/>
      <c r="K1475" s="47"/>
      <c r="L1475" s="47"/>
      <c r="M1475" s="47"/>
      <c r="N1475" s="47"/>
      <c r="O1475" s="47"/>
      <c r="P1475" s="47"/>
      <c r="Q1475" s="85"/>
      <c r="R1475" s="85"/>
      <c r="S1475" s="85"/>
      <c r="T1475" s="85"/>
      <c r="U1475" s="85"/>
      <c r="V1475" s="85"/>
      <c r="W1475" s="85"/>
      <c r="X1475" s="85"/>
      <c r="Y1475" s="85"/>
      <c r="Z1475" s="85"/>
      <c r="AA1475" s="85"/>
      <c r="AB1475" s="85"/>
      <c r="AC1475" s="85"/>
      <c r="AD1475" s="85"/>
      <c r="AE1475" s="47"/>
      <c r="AF1475" s="47"/>
      <c r="AG1475" s="47"/>
      <c r="AH1475" s="47"/>
      <c r="AI1475" s="47"/>
      <c r="AJ1475" s="47"/>
      <c r="AK1475" s="47"/>
      <c r="AL1475" s="47"/>
      <c r="AM1475" s="47"/>
      <c r="AN1475" s="47"/>
      <c r="AO1475" s="47"/>
      <c r="AP1475" s="47"/>
      <c r="AQ1475" s="47"/>
      <c r="AR1475" s="47"/>
      <c r="AS1475" s="47"/>
      <c r="AT1475" s="47"/>
      <c r="AU1475" s="47"/>
      <c r="AV1475" s="47"/>
      <c r="AW1475" s="47"/>
      <c r="AX1475" s="47"/>
      <c r="AY1475" s="47"/>
      <c r="AZ1475" s="47"/>
      <c r="BA1475" s="47"/>
      <c r="BB1475" s="47"/>
      <c r="BC1475" s="47"/>
      <c r="BD1475" s="47"/>
      <c r="BE1475" s="47"/>
      <c r="BF1475" s="47"/>
    </row>
    <row r="1476" spans="3:58">
      <c r="C1476" s="47"/>
      <c r="D1476" s="47"/>
      <c r="E1476" s="47"/>
      <c r="F1476" s="47"/>
      <c r="G1476" s="47"/>
      <c r="H1476" s="47"/>
      <c r="I1476" s="47"/>
      <c r="J1476" s="47"/>
      <c r="K1476" s="47"/>
      <c r="L1476" s="47"/>
      <c r="M1476" s="47"/>
      <c r="N1476" s="47"/>
      <c r="O1476" s="47"/>
      <c r="P1476" s="47"/>
      <c r="Q1476" s="85"/>
      <c r="R1476" s="85"/>
      <c r="S1476" s="85"/>
      <c r="T1476" s="85"/>
      <c r="U1476" s="85"/>
      <c r="V1476" s="85"/>
      <c r="W1476" s="85"/>
      <c r="X1476" s="85"/>
      <c r="Y1476" s="85"/>
      <c r="Z1476" s="85"/>
      <c r="AA1476" s="85"/>
      <c r="AB1476" s="85"/>
      <c r="AC1476" s="85"/>
      <c r="AD1476" s="85"/>
      <c r="AE1476" s="47"/>
      <c r="AF1476" s="47"/>
      <c r="AG1476" s="47"/>
      <c r="AH1476" s="47"/>
      <c r="AI1476" s="47"/>
      <c r="AJ1476" s="47"/>
      <c r="AK1476" s="47"/>
      <c r="AL1476" s="47"/>
      <c r="AM1476" s="47"/>
      <c r="AN1476" s="47"/>
      <c r="AO1476" s="47"/>
      <c r="AP1476" s="47"/>
      <c r="AQ1476" s="47"/>
      <c r="AR1476" s="47"/>
      <c r="AS1476" s="47"/>
      <c r="AT1476" s="47"/>
      <c r="AU1476" s="47"/>
      <c r="AV1476" s="47"/>
      <c r="AW1476" s="47"/>
      <c r="AX1476" s="47"/>
      <c r="AY1476" s="47"/>
      <c r="AZ1476" s="47"/>
      <c r="BA1476" s="47"/>
      <c r="BB1476" s="47"/>
      <c r="BC1476" s="47"/>
      <c r="BD1476" s="47"/>
      <c r="BE1476" s="47"/>
      <c r="BF1476" s="47"/>
    </row>
    <row r="1477" spans="3:58">
      <c r="C1477" s="47"/>
      <c r="D1477" s="47"/>
      <c r="E1477" s="47"/>
      <c r="F1477" s="47"/>
      <c r="G1477" s="47"/>
      <c r="H1477" s="47"/>
      <c r="I1477" s="47"/>
      <c r="J1477" s="47"/>
      <c r="K1477" s="47"/>
      <c r="L1477" s="47"/>
      <c r="M1477" s="47"/>
      <c r="N1477" s="47"/>
      <c r="O1477" s="47"/>
      <c r="P1477" s="47"/>
      <c r="Q1477" s="85"/>
      <c r="R1477" s="85"/>
      <c r="S1477" s="85"/>
      <c r="T1477" s="85"/>
      <c r="U1477" s="85"/>
      <c r="V1477" s="85"/>
      <c r="W1477" s="85"/>
      <c r="X1477" s="85"/>
      <c r="Y1477" s="85"/>
      <c r="Z1477" s="85"/>
      <c r="AA1477" s="85"/>
      <c r="AB1477" s="85"/>
      <c r="AC1477" s="85"/>
      <c r="AD1477" s="85"/>
      <c r="AE1477" s="47"/>
      <c r="AF1477" s="47"/>
      <c r="AG1477" s="47"/>
      <c r="AH1477" s="47"/>
      <c r="AI1477" s="47"/>
      <c r="AJ1477" s="47"/>
      <c r="AK1477" s="47"/>
      <c r="AL1477" s="47"/>
      <c r="AM1477" s="47"/>
      <c r="AN1477" s="47"/>
      <c r="AO1477" s="47"/>
      <c r="AP1477" s="47"/>
      <c r="AQ1477" s="47"/>
      <c r="AR1477" s="47"/>
      <c r="AS1477" s="47"/>
      <c r="AT1477" s="47"/>
      <c r="AU1477" s="47"/>
      <c r="AV1477" s="47"/>
      <c r="AW1477" s="47"/>
      <c r="AX1477" s="47"/>
      <c r="AY1477" s="47"/>
      <c r="AZ1477" s="47"/>
      <c r="BA1477" s="47"/>
      <c r="BB1477" s="47"/>
      <c r="BC1477" s="47"/>
      <c r="BD1477" s="47"/>
      <c r="BE1477" s="47"/>
      <c r="BF1477" s="47"/>
    </row>
    <row r="1478" spans="3:58">
      <c r="C1478" s="47"/>
      <c r="D1478" s="47"/>
      <c r="E1478" s="47"/>
      <c r="F1478" s="47"/>
      <c r="G1478" s="47"/>
      <c r="H1478" s="47"/>
      <c r="I1478" s="47"/>
      <c r="J1478" s="47"/>
      <c r="K1478" s="47"/>
      <c r="L1478" s="47"/>
      <c r="M1478" s="47"/>
      <c r="N1478" s="47"/>
      <c r="O1478" s="47"/>
      <c r="P1478" s="47"/>
      <c r="Q1478" s="85"/>
      <c r="R1478" s="85"/>
      <c r="S1478" s="85"/>
      <c r="T1478" s="85"/>
      <c r="U1478" s="85"/>
      <c r="V1478" s="85"/>
      <c r="W1478" s="85"/>
      <c r="X1478" s="85"/>
      <c r="Y1478" s="85"/>
      <c r="Z1478" s="85"/>
      <c r="AA1478" s="85"/>
      <c r="AB1478" s="85"/>
      <c r="AC1478" s="85"/>
      <c r="AD1478" s="85"/>
      <c r="AE1478" s="47"/>
      <c r="AF1478" s="47"/>
      <c r="AG1478" s="47"/>
      <c r="AH1478" s="47"/>
      <c r="AI1478" s="47"/>
      <c r="AJ1478" s="47"/>
      <c r="AK1478" s="47"/>
      <c r="AL1478" s="47"/>
      <c r="AM1478" s="47"/>
      <c r="AN1478" s="47"/>
      <c r="AO1478" s="47"/>
      <c r="AP1478" s="47"/>
      <c r="AQ1478" s="47"/>
      <c r="AR1478" s="47"/>
      <c r="AS1478" s="47"/>
      <c r="AT1478" s="47"/>
      <c r="AU1478" s="47"/>
      <c r="AV1478" s="47"/>
      <c r="AW1478" s="47"/>
      <c r="AX1478" s="47"/>
      <c r="AY1478" s="47"/>
      <c r="AZ1478" s="47"/>
      <c r="BA1478" s="47"/>
      <c r="BB1478" s="47"/>
      <c r="BC1478" s="47"/>
      <c r="BD1478" s="47"/>
      <c r="BE1478" s="47"/>
      <c r="BF1478" s="47"/>
    </row>
    <row r="1479" spans="3:58">
      <c r="C1479" s="47"/>
      <c r="D1479" s="47"/>
      <c r="E1479" s="47"/>
      <c r="F1479" s="47"/>
      <c r="G1479" s="47"/>
      <c r="H1479" s="47"/>
      <c r="I1479" s="47"/>
      <c r="J1479" s="47"/>
      <c r="K1479" s="47"/>
      <c r="L1479" s="47"/>
      <c r="M1479" s="47"/>
      <c r="N1479" s="47"/>
      <c r="O1479" s="47"/>
      <c r="P1479" s="47"/>
      <c r="Q1479" s="85"/>
      <c r="R1479" s="85"/>
      <c r="S1479" s="85"/>
      <c r="T1479" s="85"/>
      <c r="U1479" s="85"/>
      <c r="V1479" s="85"/>
      <c r="W1479" s="85"/>
      <c r="X1479" s="85"/>
      <c r="Y1479" s="85"/>
      <c r="Z1479" s="85"/>
      <c r="AA1479" s="85"/>
      <c r="AB1479" s="85"/>
      <c r="AC1479" s="85"/>
      <c r="AD1479" s="85"/>
      <c r="AE1479" s="47"/>
      <c r="AF1479" s="47"/>
      <c r="AG1479" s="47"/>
      <c r="AH1479" s="47"/>
      <c r="AI1479" s="47"/>
      <c r="AJ1479" s="47"/>
      <c r="AK1479" s="47"/>
      <c r="AL1479" s="47"/>
      <c r="AM1479" s="47"/>
      <c r="AN1479" s="47"/>
      <c r="AO1479" s="47"/>
      <c r="AP1479" s="47"/>
      <c r="AQ1479" s="47"/>
      <c r="AR1479" s="47"/>
      <c r="AS1479" s="47"/>
      <c r="AT1479" s="47"/>
      <c r="AU1479" s="47"/>
      <c r="AV1479" s="47"/>
      <c r="AW1479" s="47"/>
      <c r="AX1479" s="47"/>
      <c r="AY1479" s="47"/>
      <c r="AZ1479" s="47"/>
      <c r="BA1479" s="47"/>
      <c r="BB1479" s="47"/>
      <c r="BC1479" s="47"/>
      <c r="BD1479" s="47"/>
      <c r="BE1479" s="47"/>
      <c r="BF1479" s="47"/>
    </row>
    <row r="1480" spans="3:58">
      <c r="C1480" s="47"/>
      <c r="D1480" s="47"/>
      <c r="E1480" s="47"/>
      <c r="F1480" s="47"/>
      <c r="G1480" s="47"/>
      <c r="H1480" s="47"/>
      <c r="I1480" s="47"/>
      <c r="J1480" s="47"/>
      <c r="K1480" s="47"/>
      <c r="L1480" s="47"/>
      <c r="M1480" s="47"/>
      <c r="N1480" s="47"/>
      <c r="O1480" s="47"/>
      <c r="P1480" s="47"/>
      <c r="Q1480" s="85"/>
      <c r="R1480" s="85"/>
      <c r="S1480" s="85"/>
      <c r="T1480" s="85"/>
      <c r="U1480" s="85"/>
      <c r="V1480" s="85"/>
      <c r="W1480" s="85"/>
      <c r="X1480" s="85"/>
      <c r="Y1480" s="85"/>
      <c r="Z1480" s="85"/>
      <c r="AA1480" s="85"/>
      <c r="AB1480" s="85"/>
      <c r="AC1480" s="85"/>
      <c r="AD1480" s="85"/>
      <c r="AE1480" s="47"/>
      <c r="AF1480" s="47"/>
      <c r="AG1480" s="47"/>
      <c r="AH1480" s="47"/>
      <c r="AI1480" s="47"/>
      <c r="AJ1480" s="47"/>
      <c r="AK1480" s="47"/>
      <c r="AL1480" s="47"/>
      <c r="AM1480" s="47"/>
      <c r="AN1480" s="47"/>
      <c r="AO1480" s="47"/>
      <c r="AP1480" s="47"/>
      <c r="AQ1480" s="47"/>
      <c r="AR1480" s="47"/>
      <c r="AS1480" s="47"/>
      <c r="AT1480" s="47"/>
      <c r="AU1480" s="47"/>
      <c r="AV1480" s="47"/>
      <c r="AW1480" s="47"/>
      <c r="AX1480" s="47"/>
      <c r="AY1480" s="47"/>
      <c r="AZ1480" s="47"/>
      <c r="BA1480" s="47"/>
      <c r="BB1480" s="47"/>
      <c r="BC1480" s="47"/>
      <c r="BD1480" s="47"/>
      <c r="BE1480" s="47"/>
      <c r="BF1480" s="47"/>
    </row>
    <row r="1481" spans="3:58">
      <c r="C1481" s="47"/>
      <c r="D1481" s="47"/>
      <c r="E1481" s="47"/>
      <c r="F1481" s="47"/>
      <c r="G1481" s="47"/>
      <c r="H1481" s="47"/>
      <c r="I1481" s="47"/>
      <c r="J1481" s="47"/>
      <c r="K1481" s="47"/>
      <c r="L1481" s="47"/>
      <c r="M1481" s="47"/>
      <c r="N1481" s="47"/>
      <c r="O1481" s="47"/>
      <c r="P1481" s="47"/>
      <c r="Q1481" s="85"/>
      <c r="R1481" s="85"/>
      <c r="S1481" s="85"/>
      <c r="T1481" s="85"/>
      <c r="U1481" s="85"/>
      <c r="V1481" s="85"/>
      <c r="W1481" s="85"/>
      <c r="X1481" s="85"/>
      <c r="Y1481" s="85"/>
      <c r="Z1481" s="85"/>
      <c r="AA1481" s="85"/>
      <c r="AB1481" s="85"/>
      <c r="AC1481" s="85"/>
      <c r="AD1481" s="85"/>
      <c r="AE1481" s="47"/>
      <c r="AF1481" s="47"/>
      <c r="AG1481" s="47"/>
      <c r="AH1481" s="47"/>
      <c r="AI1481" s="47"/>
      <c r="AJ1481" s="47"/>
      <c r="AK1481" s="47"/>
      <c r="AL1481" s="47"/>
      <c r="AM1481" s="47"/>
      <c r="AN1481" s="47"/>
      <c r="AO1481" s="47"/>
      <c r="AP1481" s="47"/>
      <c r="AQ1481" s="47"/>
      <c r="AR1481" s="47"/>
      <c r="AS1481" s="47"/>
      <c r="AT1481" s="47"/>
      <c r="AU1481" s="47"/>
      <c r="AV1481" s="47"/>
      <c r="AW1481" s="47"/>
      <c r="AX1481" s="47"/>
      <c r="AY1481" s="47"/>
      <c r="AZ1481" s="47"/>
      <c r="BA1481" s="47"/>
      <c r="BB1481" s="47"/>
      <c r="BC1481" s="47"/>
      <c r="BD1481" s="47"/>
      <c r="BE1481" s="47"/>
      <c r="BF1481" s="47"/>
    </row>
    <row r="1482" spans="3:58">
      <c r="C1482" s="47"/>
      <c r="D1482" s="47"/>
      <c r="E1482" s="47"/>
      <c r="F1482" s="47"/>
      <c r="G1482" s="47"/>
      <c r="H1482" s="47"/>
      <c r="I1482" s="47"/>
      <c r="J1482" s="47"/>
      <c r="K1482" s="47"/>
      <c r="L1482" s="47"/>
      <c r="M1482" s="47"/>
      <c r="N1482" s="47"/>
      <c r="O1482" s="47"/>
      <c r="P1482" s="47"/>
      <c r="Q1482" s="85"/>
      <c r="R1482" s="85"/>
      <c r="S1482" s="85"/>
      <c r="T1482" s="85"/>
      <c r="U1482" s="85"/>
      <c r="V1482" s="85"/>
      <c r="W1482" s="85"/>
      <c r="X1482" s="85"/>
      <c r="Y1482" s="85"/>
      <c r="Z1482" s="85"/>
      <c r="AA1482" s="85"/>
      <c r="AB1482" s="85"/>
      <c r="AC1482" s="85"/>
      <c r="AD1482" s="85"/>
      <c r="AE1482" s="47"/>
      <c r="AF1482" s="47"/>
      <c r="AG1482" s="47"/>
      <c r="AH1482" s="47"/>
      <c r="AI1482" s="47"/>
      <c r="AJ1482" s="47"/>
      <c r="AK1482" s="47"/>
      <c r="AL1482" s="47"/>
      <c r="AM1482" s="47"/>
      <c r="AN1482" s="47"/>
      <c r="AO1482" s="47"/>
      <c r="AP1482" s="47"/>
      <c r="AQ1482" s="47"/>
      <c r="AR1482" s="47"/>
      <c r="AS1482" s="47"/>
      <c r="AT1482" s="47"/>
      <c r="AU1482" s="47"/>
      <c r="AV1482" s="47"/>
      <c r="AW1482" s="47"/>
      <c r="AX1482" s="47"/>
      <c r="AY1482" s="47"/>
      <c r="AZ1482" s="47"/>
      <c r="BA1482" s="47"/>
      <c r="BB1482" s="47"/>
      <c r="BC1482" s="47"/>
      <c r="BD1482" s="47"/>
      <c r="BE1482" s="47"/>
      <c r="BF1482" s="47"/>
    </row>
    <row r="1483" spans="3:58">
      <c r="C1483" s="47"/>
      <c r="D1483" s="47"/>
      <c r="E1483" s="47"/>
      <c r="F1483" s="47"/>
      <c r="G1483" s="47"/>
      <c r="H1483" s="47"/>
      <c r="I1483" s="47"/>
      <c r="J1483" s="47"/>
      <c r="K1483" s="47"/>
      <c r="L1483" s="47"/>
      <c r="M1483" s="47"/>
      <c r="N1483" s="47"/>
      <c r="O1483" s="47"/>
      <c r="P1483" s="47"/>
      <c r="Q1483" s="85"/>
      <c r="R1483" s="85"/>
      <c r="S1483" s="85"/>
      <c r="T1483" s="85"/>
      <c r="U1483" s="85"/>
      <c r="V1483" s="85"/>
      <c r="W1483" s="85"/>
      <c r="X1483" s="85"/>
      <c r="Y1483" s="85"/>
      <c r="Z1483" s="85"/>
      <c r="AA1483" s="85"/>
      <c r="AB1483" s="85"/>
      <c r="AC1483" s="85"/>
      <c r="AD1483" s="85"/>
      <c r="AE1483" s="47"/>
      <c r="AF1483" s="47"/>
      <c r="AG1483" s="47"/>
      <c r="AH1483" s="47"/>
      <c r="AI1483" s="47"/>
      <c r="AJ1483" s="47"/>
      <c r="AK1483" s="47"/>
      <c r="AL1483" s="47"/>
      <c r="AM1483" s="47"/>
      <c r="AN1483" s="47"/>
      <c r="AO1483" s="47"/>
      <c r="AP1483" s="47"/>
      <c r="AQ1483" s="47"/>
      <c r="AR1483" s="47"/>
      <c r="AS1483" s="47"/>
      <c r="AT1483" s="47"/>
      <c r="AU1483" s="47"/>
      <c r="AV1483" s="47"/>
      <c r="AW1483" s="47"/>
      <c r="AX1483" s="47"/>
      <c r="AY1483" s="47"/>
      <c r="AZ1483" s="47"/>
      <c r="BA1483" s="47"/>
      <c r="BB1483" s="47"/>
      <c r="BC1483" s="47"/>
      <c r="BD1483" s="47"/>
      <c r="BE1483" s="47"/>
      <c r="BF1483" s="47"/>
    </row>
    <row r="1484" spans="3:58">
      <c r="C1484" s="47"/>
      <c r="D1484" s="47"/>
      <c r="E1484" s="47"/>
      <c r="F1484" s="47"/>
      <c r="G1484" s="47"/>
      <c r="H1484" s="47"/>
      <c r="I1484" s="47"/>
      <c r="J1484" s="47"/>
      <c r="K1484" s="47"/>
      <c r="L1484" s="47"/>
      <c r="M1484" s="47"/>
      <c r="N1484" s="47"/>
      <c r="O1484" s="47"/>
      <c r="P1484" s="47"/>
      <c r="Q1484" s="85"/>
      <c r="R1484" s="85"/>
      <c r="S1484" s="85"/>
      <c r="T1484" s="85"/>
      <c r="U1484" s="85"/>
      <c r="V1484" s="85"/>
      <c r="W1484" s="85"/>
      <c r="X1484" s="85"/>
      <c r="Y1484" s="85"/>
      <c r="Z1484" s="85"/>
      <c r="AA1484" s="85"/>
      <c r="AB1484" s="85"/>
      <c r="AC1484" s="85"/>
      <c r="AD1484" s="85"/>
      <c r="AE1484" s="47"/>
      <c r="AF1484" s="47"/>
      <c r="AG1484" s="47"/>
      <c r="AH1484" s="47"/>
      <c r="AI1484" s="47"/>
      <c r="AJ1484" s="47"/>
      <c r="AK1484" s="47"/>
      <c r="AL1484" s="47"/>
      <c r="AM1484" s="47"/>
      <c r="AN1484" s="47"/>
      <c r="AO1484" s="47"/>
      <c r="AP1484" s="47"/>
      <c r="AQ1484" s="47"/>
      <c r="AR1484" s="47"/>
      <c r="AS1484" s="47"/>
      <c r="AT1484" s="47"/>
      <c r="AU1484" s="47"/>
      <c r="AV1484" s="47"/>
      <c r="AW1484" s="47"/>
      <c r="AX1484" s="47"/>
      <c r="AY1484" s="47"/>
      <c r="AZ1484" s="47"/>
      <c r="BA1484" s="47"/>
      <c r="BB1484" s="47"/>
      <c r="BC1484" s="47"/>
      <c r="BD1484" s="47"/>
      <c r="BE1484" s="47"/>
      <c r="BF1484" s="47"/>
    </row>
    <row r="1485" spans="3:58">
      <c r="C1485" s="47"/>
      <c r="D1485" s="47"/>
      <c r="E1485" s="47"/>
      <c r="F1485" s="47"/>
      <c r="G1485" s="47"/>
      <c r="H1485" s="47"/>
      <c r="I1485" s="47"/>
      <c r="J1485" s="47"/>
      <c r="K1485" s="47"/>
      <c r="L1485" s="47"/>
      <c r="M1485" s="47"/>
      <c r="N1485" s="47"/>
      <c r="O1485" s="47"/>
      <c r="P1485" s="47"/>
      <c r="Q1485" s="85"/>
      <c r="R1485" s="85"/>
      <c r="S1485" s="85"/>
      <c r="T1485" s="85"/>
      <c r="U1485" s="85"/>
      <c r="V1485" s="85"/>
      <c r="W1485" s="85"/>
      <c r="X1485" s="85"/>
      <c r="Y1485" s="85"/>
      <c r="Z1485" s="85"/>
      <c r="AA1485" s="85"/>
      <c r="AB1485" s="85"/>
      <c r="AC1485" s="85"/>
      <c r="AD1485" s="85"/>
      <c r="AE1485" s="47"/>
      <c r="AF1485" s="47"/>
      <c r="AG1485" s="47"/>
      <c r="AH1485" s="47"/>
      <c r="AI1485" s="47"/>
      <c r="AJ1485" s="47"/>
      <c r="AK1485" s="47"/>
      <c r="AL1485" s="47"/>
      <c r="AM1485" s="47"/>
      <c r="AN1485" s="47"/>
      <c r="AO1485" s="47"/>
      <c r="AP1485" s="47"/>
      <c r="AQ1485" s="47"/>
      <c r="AR1485" s="47"/>
      <c r="AS1485" s="47"/>
      <c r="AT1485" s="47"/>
      <c r="AU1485" s="47"/>
      <c r="AV1485" s="47"/>
      <c r="AW1485" s="47"/>
      <c r="AX1485" s="47"/>
      <c r="AY1485" s="47"/>
      <c r="AZ1485" s="47"/>
      <c r="BA1485" s="47"/>
      <c r="BB1485" s="47"/>
      <c r="BC1485" s="47"/>
      <c r="BD1485" s="47"/>
      <c r="BE1485" s="47"/>
      <c r="BF1485" s="47"/>
    </row>
    <row r="1486" spans="3:58">
      <c r="C1486" s="47"/>
      <c r="D1486" s="47"/>
      <c r="E1486" s="47"/>
      <c r="F1486" s="47"/>
      <c r="G1486" s="47"/>
      <c r="H1486" s="47"/>
      <c r="I1486" s="47"/>
      <c r="J1486" s="47"/>
      <c r="K1486" s="47"/>
      <c r="L1486" s="47"/>
      <c r="M1486" s="47"/>
      <c r="N1486" s="47"/>
      <c r="O1486" s="47"/>
      <c r="P1486" s="47"/>
      <c r="Q1486" s="85"/>
      <c r="R1486" s="85"/>
      <c r="S1486" s="85"/>
      <c r="T1486" s="85"/>
      <c r="U1486" s="85"/>
      <c r="V1486" s="85"/>
      <c r="W1486" s="85"/>
      <c r="X1486" s="85"/>
      <c r="Y1486" s="85"/>
      <c r="Z1486" s="85"/>
      <c r="AA1486" s="85"/>
      <c r="AB1486" s="85"/>
      <c r="AC1486" s="85"/>
      <c r="AD1486" s="85"/>
      <c r="AE1486" s="47"/>
      <c r="AF1486" s="47"/>
      <c r="AG1486" s="47"/>
      <c r="AH1486" s="47"/>
      <c r="AI1486" s="47"/>
      <c r="AJ1486" s="47"/>
      <c r="AK1486" s="47"/>
      <c r="AL1486" s="47"/>
      <c r="AM1486" s="47"/>
      <c r="AN1486" s="47"/>
      <c r="AO1486" s="47"/>
      <c r="AP1486" s="47"/>
      <c r="AQ1486" s="47"/>
      <c r="AR1486" s="47"/>
      <c r="AS1486" s="47"/>
      <c r="AT1486" s="47"/>
      <c r="AU1486" s="47"/>
      <c r="AV1486" s="47"/>
      <c r="AW1486" s="47"/>
      <c r="AX1486" s="47"/>
      <c r="AY1486" s="47"/>
      <c r="AZ1486" s="47"/>
      <c r="BA1486" s="47"/>
      <c r="BB1486" s="47"/>
      <c r="BC1486" s="47"/>
      <c r="BD1486" s="47"/>
      <c r="BE1486" s="47"/>
      <c r="BF1486" s="47"/>
    </row>
    <row r="1487" spans="3:58">
      <c r="C1487" s="47"/>
      <c r="D1487" s="47"/>
      <c r="E1487" s="47"/>
      <c r="F1487" s="47"/>
      <c r="G1487" s="47"/>
      <c r="H1487" s="47"/>
      <c r="I1487" s="47"/>
      <c r="J1487" s="47"/>
      <c r="K1487" s="47"/>
      <c r="L1487" s="47"/>
      <c r="M1487" s="47"/>
      <c r="N1487" s="47"/>
      <c r="O1487" s="47"/>
      <c r="P1487" s="47"/>
      <c r="Q1487" s="85"/>
      <c r="R1487" s="85"/>
      <c r="S1487" s="85"/>
      <c r="T1487" s="85"/>
      <c r="U1487" s="85"/>
      <c r="V1487" s="85"/>
      <c r="W1487" s="85"/>
      <c r="X1487" s="85"/>
      <c r="Y1487" s="85"/>
      <c r="Z1487" s="85"/>
      <c r="AA1487" s="85"/>
      <c r="AB1487" s="85"/>
      <c r="AC1487" s="85"/>
      <c r="AD1487" s="85"/>
      <c r="AE1487" s="47"/>
      <c r="AF1487" s="47"/>
      <c r="AG1487" s="47"/>
      <c r="AH1487" s="47"/>
      <c r="AI1487" s="47"/>
      <c r="AJ1487" s="47"/>
      <c r="AK1487" s="47"/>
      <c r="AL1487" s="47"/>
      <c r="AM1487" s="47"/>
      <c r="AN1487" s="47"/>
      <c r="AO1487" s="47"/>
      <c r="AP1487" s="47"/>
      <c r="AQ1487" s="47"/>
      <c r="AR1487" s="47"/>
      <c r="AS1487" s="47"/>
      <c r="AT1487" s="47"/>
      <c r="AU1487" s="47"/>
      <c r="AV1487" s="47"/>
      <c r="AW1487" s="47"/>
      <c r="AX1487" s="47"/>
      <c r="AY1487" s="47"/>
      <c r="AZ1487" s="47"/>
      <c r="BA1487" s="47"/>
      <c r="BB1487" s="47"/>
      <c r="BC1487" s="47"/>
      <c r="BD1487" s="47"/>
      <c r="BE1487" s="47"/>
      <c r="BF1487" s="47"/>
    </row>
    <row r="1488" spans="3:58">
      <c r="C1488" s="47"/>
      <c r="D1488" s="47"/>
      <c r="E1488" s="47"/>
      <c r="F1488" s="47"/>
      <c r="G1488" s="47"/>
      <c r="H1488" s="47"/>
      <c r="I1488" s="47"/>
      <c r="J1488" s="47"/>
      <c r="K1488" s="47"/>
      <c r="L1488" s="47"/>
      <c r="M1488" s="47"/>
      <c r="N1488" s="47"/>
      <c r="O1488" s="47"/>
      <c r="P1488" s="47"/>
      <c r="Q1488" s="85"/>
      <c r="R1488" s="85"/>
      <c r="S1488" s="85"/>
      <c r="T1488" s="85"/>
      <c r="U1488" s="85"/>
      <c r="V1488" s="85"/>
      <c r="W1488" s="85"/>
      <c r="X1488" s="85"/>
      <c r="Y1488" s="85"/>
      <c r="Z1488" s="85"/>
      <c r="AA1488" s="85"/>
      <c r="AB1488" s="85"/>
      <c r="AC1488" s="85"/>
      <c r="AD1488" s="85"/>
      <c r="AE1488" s="47"/>
      <c r="AF1488" s="47"/>
      <c r="AG1488" s="47"/>
      <c r="AH1488" s="47"/>
      <c r="AI1488" s="47"/>
      <c r="AJ1488" s="47"/>
      <c r="AK1488" s="47"/>
      <c r="AL1488" s="47"/>
      <c r="AM1488" s="47"/>
      <c r="AN1488" s="47"/>
      <c r="AO1488" s="47"/>
      <c r="AP1488" s="47"/>
      <c r="AQ1488" s="47"/>
      <c r="AR1488" s="47"/>
      <c r="AS1488" s="47"/>
      <c r="AT1488" s="47"/>
      <c r="AU1488" s="47"/>
      <c r="AV1488" s="47"/>
      <c r="AW1488" s="47"/>
      <c r="AX1488" s="47"/>
      <c r="AY1488" s="47"/>
      <c r="AZ1488" s="47"/>
      <c r="BA1488" s="47"/>
      <c r="BB1488" s="47"/>
      <c r="BC1488" s="47"/>
      <c r="BD1488" s="47"/>
      <c r="BE1488" s="47"/>
      <c r="BF1488" s="47"/>
    </row>
    <row r="1489" spans="3:58">
      <c r="C1489" s="47"/>
      <c r="D1489" s="47"/>
      <c r="E1489" s="47"/>
      <c r="F1489" s="47"/>
      <c r="G1489" s="47"/>
      <c r="H1489" s="47"/>
      <c r="I1489" s="47"/>
      <c r="J1489" s="47"/>
      <c r="K1489" s="47"/>
      <c r="L1489" s="47"/>
      <c r="M1489" s="47"/>
      <c r="N1489" s="47"/>
      <c r="O1489" s="47"/>
      <c r="P1489" s="47"/>
      <c r="Q1489" s="85"/>
      <c r="R1489" s="85"/>
      <c r="S1489" s="85"/>
      <c r="T1489" s="85"/>
      <c r="U1489" s="85"/>
      <c r="V1489" s="85"/>
      <c r="W1489" s="85"/>
      <c r="X1489" s="85"/>
      <c r="Y1489" s="85"/>
      <c r="Z1489" s="85"/>
      <c r="AA1489" s="85"/>
      <c r="AB1489" s="85"/>
      <c r="AC1489" s="85"/>
      <c r="AD1489" s="85"/>
      <c r="AE1489" s="47"/>
      <c r="AF1489" s="47"/>
      <c r="AG1489" s="47"/>
      <c r="AH1489" s="47"/>
      <c r="AI1489" s="47"/>
      <c r="AJ1489" s="47"/>
      <c r="AK1489" s="47"/>
      <c r="AL1489" s="47"/>
      <c r="AM1489" s="47"/>
      <c r="AN1489" s="47"/>
      <c r="AO1489" s="47"/>
      <c r="AP1489" s="47"/>
      <c r="AQ1489" s="47"/>
      <c r="AR1489" s="47"/>
      <c r="AS1489" s="47"/>
      <c r="AT1489" s="47"/>
      <c r="AU1489" s="47"/>
      <c r="AV1489" s="47"/>
      <c r="AW1489" s="47"/>
      <c r="AX1489" s="47"/>
      <c r="AY1489" s="47"/>
      <c r="AZ1489" s="47"/>
      <c r="BA1489" s="47"/>
      <c r="BB1489" s="47"/>
      <c r="BC1489" s="47"/>
      <c r="BD1489" s="47"/>
      <c r="BE1489" s="47"/>
      <c r="BF1489" s="47"/>
    </row>
    <row r="1490" spans="3:58">
      <c r="C1490" s="47"/>
      <c r="D1490" s="47"/>
      <c r="E1490" s="47"/>
      <c r="F1490" s="47"/>
      <c r="G1490" s="47"/>
      <c r="H1490" s="47"/>
      <c r="I1490" s="47"/>
      <c r="J1490" s="47"/>
      <c r="K1490" s="47"/>
      <c r="L1490" s="47"/>
      <c r="M1490" s="47"/>
      <c r="N1490" s="47"/>
      <c r="O1490" s="47"/>
      <c r="P1490" s="47"/>
      <c r="Q1490" s="85"/>
      <c r="R1490" s="85"/>
      <c r="S1490" s="85"/>
      <c r="T1490" s="85"/>
      <c r="U1490" s="85"/>
      <c r="V1490" s="85"/>
      <c r="W1490" s="85"/>
      <c r="X1490" s="85"/>
      <c r="Y1490" s="85"/>
      <c r="Z1490" s="85"/>
      <c r="AA1490" s="85"/>
      <c r="AB1490" s="85"/>
      <c r="AC1490" s="85"/>
      <c r="AD1490" s="85"/>
      <c r="AE1490" s="47"/>
      <c r="AF1490" s="47"/>
      <c r="AG1490" s="47"/>
      <c r="AH1490" s="47"/>
      <c r="AI1490" s="47"/>
      <c r="AJ1490" s="47"/>
      <c r="AK1490" s="47"/>
      <c r="AL1490" s="47"/>
      <c r="AM1490" s="47"/>
      <c r="AN1490" s="47"/>
      <c r="AO1490" s="47"/>
      <c r="AP1490" s="47"/>
      <c r="AQ1490" s="47"/>
      <c r="AR1490" s="47"/>
      <c r="AS1490" s="47"/>
      <c r="AT1490" s="47"/>
      <c r="AU1490" s="47"/>
      <c r="AV1490" s="47"/>
      <c r="AW1490" s="47"/>
      <c r="AX1490" s="47"/>
      <c r="AY1490" s="47"/>
      <c r="AZ1490" s="47"/>
      <c r="BA1490" s="47"/>
      <c r="BB1490" s="47"/>
      <c r="BC1490" s="47"/>
      <c r="BD1490" s="47"/>
      <c r="BE1490" s="47"/>
      <c r="BF1490" s="47"/>
    </row>
    <row r="1491" spans="3:58">
      <c r="C1491" s="47"/>
      <c r="D1491" s="47"/>
      <c r="E1491" s="47"/>
      <c r="F1491" s="47"/>
      <c r="G1491" s="47"/>
      <c r="H1491" s="47"/>
      <c r="I1491" s="47"/>
      <c r="J1491" s="47"/>
      <c r="K1491" s="47"/>
      <c r="L1491" s="47"/>
      <c r="M1491" s="47"/>
      <c r="N1491" s="47"/>
      <c r="O1491" s="47"/>
      <c r="P1491" s="47"/>
      <c r="Q1491" s="85"/>
      <c r="R1491" s="85"/>
      <c r="S1491" s="85"/>
      <c r="T1491" s="85"/>
      <c r="U1491" s="85"/>
      <c r="V1491" s="85"/>
      <c r="W1491" s="85"/>
      <c r="X1491" s="85"/>
      <c r="Y1491" s="85"/>
      <c r="Z1491" s="85"/>
      <c r="AA1491" s="85"/>
      <c r="AB1491" s="85"/>
      <c r="AC1491" s="85"/>
      <c r="AD1491" s="85"/>
      <c r="AE1491" s="47"/>
      <c r="AF1491" s="47"/>
      <c r="AG1491" s="47"/>
      <c r="AH1491" s="47"/>
      <c r="AI1491" s="47"/>
      <c r="AJ1491" s="47"/>
      <c r="AK1491" s="47"/>
      <c r="AL1491" s="47"/>
      <c r="AM1491" s="47"/>
      <c r="AN1491" s="47"/>
      <c r="AO1491" s="47"/>
      <c r="AP1491" s="47"/>
      <c r="AQ1491" s="47"/>
      <c r="AR1491" s="47"/>
      <c r="AS1491" s="47"/>
      <c r="AT1491" s="47"/>
      <c r="AU1491" s="47"/>
      <c r="AV1491" s="47"/>
      <c r="AW1491" s="47"/>
      <c r="AX1491" s="47"/>
      <c r="AY1491" s="47"/>
      <c r="AZ1491" s="47"/>
      <c r="BA1491" s="47"/>
      <c r="BB1491" s="47"/>
      <c r="BC1491" s="47"/>
      <c r="BD1491" s="47"/>
      <c r="BE1491" s="47"/>
      <c r="BF1491" s="47"/>
    </row>
    <row r="1492" spans="3:58">
      <c r="C1492" s="47"/>
      <c r="D1492" s="47"/>
      <c r="E1492" s="47"/>
      <c r="F1492" s="47"/>
      <c r="G1492" s="47"/>
      <c r="H1492" s="47"/>
      <c r="I1492" s="47"/>
      <c r="J1492" s="47"/>
      <c r="K1492" s="47"/>
      <c r="L1492" s="47"/>
      <c r="M1492" s="47"/>
      <c r="N1492" s="47"/>
      <c r="O1492" s="47"/>
      <c r="P1492" s="47"/>
      <c r="Q1492" s="85"/>
      <c r="R1492" s="85"/>
      <c r="S1492" s="85"/>
      <c r="T1492" s="85"/>
      <c r="U1492" s="85"/>
      <c r="V1492" s="85"/>
      <c r="W1492" s="85"/>
      <c r="X1492" s="85"/>
      <c r="Y1492" s="85"/>
      <c r="Z1492" s="85"/>
      <c r="AA1492" s="85"/>
      <c r="AB1492" s="85"/>
      <c r="AC1492" s="85"/>
      <c r="AD1492" s="85"/>
      <c r="AE1492" s="47"/>
      <c r="AF1492" s="47"/>
      <c r="AG1492" s="47"/>
      <c r="AH1492" s="47"/>
      <c r="AI1492" s="47"/>
      <c r="AJ1492" s="47"/>
      <c r="AK1492" s="47"/>
      <c r="AL1492" s="47"/>
      <c r="AM1492" s="47"/>
      <c r="AN1492" s="47"/>
      <c r="AO1492" s="47"/>
      <c r="AP1492" s="47"/>
      <c r="AQ1492" s="47"/>
      <c r="AR1492" s="47"/>
      <c r="AS1492" s="47"/>
      <c r="AT1492" s="47"/>
      <c r="AU1492" s="47"/>
      <c r="AV1492" s="47"/>
      <c r="AW1492" s="47"/>
      <c r="AX1492" s="47"/>
      <c r="AY1492" s="47"/>
      <c r="AZ1492" s="47"/>
      <c r="BA1492" s="47"/>
      <c r="BB1492" s="47"/>
      <c r="BC1492" s="47"/>
      <c r="BD1492" s="47"/>
      <c r="BE1492" s="47"/>
      <c r="BF1492" s="47"/>
    </row>
    <row r="1493" spans="3:58">
      <c r="C1493" s="47"/>
      <c r="D1493" s="47"/>
      <c r="E1493" s="47"/>
      <c r="F1493" s="47"/>
      <c r="G1493" s="47"/>
      <c r="H1493" s="47"/>
      <c r="I1493" s="47"/>
      <c r="J1493" s="47"/>
      <c r="K1493" s="47"/>
      <c r="L1493" s="47"/>
      <c r="M1493" s="47"/>
      <c r="N1493" s="47"/>
      <c r="O1493" s="47"/>
      <c r="P1493" s="47"/>
      <c r="Q1493" s="85"/>
      <c r="R1493" s="85"/>
      <c r="S1493" s="85"/>
      <c r="T1493" s="85"/>
      <c r="U1493" s="85"/>
      <c r="V1493" s="85"/>
      <c r="W1493" s="85"/>
      <c r="X1493" s="85"/>
      <c r="Y1493" s="85"/>
      <c r="Z1493" s="85"/>
      <c r="AA1493" s="85"/>
      <c r="AB1493" s="85"/>
      <c r="AC1493" s="85"/>
      <c r="AD1493" s="85"/>
      <c r="AE1493" s="47"/>
      <c r="AF1493" s="47"/>
      <c r="AG1493" s="47"/>
      <c r="AH1493" s="47"/>
      <c r="AI1493" s="47"/>
      <c r="AJ1493" s="47"/>
      <c r="AK1493" s="47"/>
      <c r="AL1493" s="47"/>
      <c r="AM1493" s="47"/>
      <c r="AN1493" s="47"/>
      <c r="AO1493" s="47"/>
      <c r="AP1493" s="47"/>
      <c r="AQ1493" s="47"/>
      <c r="AR1493" s="47"/>
      <c r="AS1493" s="47"/>
      <c r="AT1493" s="47"/>
      <c r="AU1493" s="47"/>
      <c r="AV1493" s="47"/>
      <c r="AW1493" s="47"/>
      <c r="AX1493" s="47"/>
      <c r="AY1493" s="47"/>
      <c r="AZ1493" s="47"/>
      <c r="BA1493" s="47"/>
      <c r="BB1493" s="47"/>
      <c r="BC1493" s="47"/>
      <c r="BD1493" s="47"/>
      <c r="BE1493" s="47"/>
      <c r="BF1493" s="47"/>
    </row>
    <row r="1494" spans="3:58">
      <c r="C1494" s="47"/>
      <c r="D1494" s="47"/>
      <c r="E1494" s="47"/>
      <c r="F1494" s="47"/>
      <c r="G1494" s="47"/>
      <c r="H1494" s="47"/>
      <c r="I1494" s="47"/>
      <c r="J1494" s="47"/>
      <c r="K1494" s="47"/>
      <c r="L1494" s="47"/>
      <c r="M1494" s="47"/>
      <c r="N1494" s="47"/>
      <c r="O1494" s="47"/>
      <c r="P1494" s="47"/>
      <c r="Q1494" s="85"/>
      <c r="R1494" s="85"/>
      <c r="S1494" s="85"/>
      <c r="T1494" s="85"/>
      <c r="U1494" s="85"/>
      <c r="V1494" s="85"/>
      <c r="W1494" s="85"/>
      <c r="X1494" s="85"/>
      <c r="Y1494" s="85"/>
      <c r="Z1494" s="85"/>
      <c r="AA1494" s="85"/>
      <c r="AB1494" s="85"/>
      <c r="AC1494" s="85"/>
      <c r="AD1494" s="85"/>
      <c r="AE1494" s="47"/>
      <c r="AF1494" s="47"/>
      <c r="AG1494" s="47"/>
      <c r="AH1494" s="47"/>
      <c r="AI1494" s="47"/>
      <c r="AJ1494" s="47"/>
      <c r="AK1494" s="47"/>
      <c r="AL1494" s="47"/>
      <c r="AM1494" s="47"/>
      <c r="AN1494" s="47"/>
      <c r="AO1494" s="47"/>
      <c r="AP1494" s="47"/>
      <c r="AQ1494" s="47"/>
      <c r="AR1494" s="47"/>
      <c r="AS1494" s="47"/>
      <c r="AT1494" s="47"/>
      <c r="AU1494" s="47"/>
      <c r="AV1494" s="47"/>
      <c r="AW1494" s="47"/>
      <c r="AX1494" s="47"/>
      <c r="AY1494" s="47"/>
      <c r="AZ1494" s="47"/>
      <c r="BA1494" s="47"/>
      <c r="BB1494" s="47"/>
      <c r="BC1494" s="47"/>
      <c r="BD1494" s="47"/>
      <c r="BE1494" s="47"/>
      <c r="BF1494" s="47"/>
    </row>
    <row r="1495" spans="3:58">
      <c r="C1495" s="47"/>
      <c r="D1495" s="47"/>
      <c r="E1495" s="47"/>
      <c r="F1495" s="47"/>
      <c r="G1495" s="47"/>
      <c r="H1495" s="47"/>
      <c r="I1495" s="47"/>
      <c r="J1495" s="47"/>
      <c r="K1495" s="47"/>
      <c r="L1495" s="47"/>
      <c r="M1495" s="47"/>
      <c r="N1495" s="47"/>
      <c r="O1495" s="47"/>
      <c r="P1495" s="47"/>
      <c r="Q1495" s="85"/>
      <c r="R1495" s="85"/>
      <c r="S1495" s="85"/>
      <c r="T1495" s="85"/>
      <c r="U1495" s="85"/>
      <c r="V1495" s="85"/>
      <c r="W1495" s="85"/>
      <c r="X1495" s="85"/>
      <c r="Y1495" s="85"/>
      <c r="Z1495" s="85"/>
      <c r="AA1495" s="85"/>
      <c r="AB1495" s="85"/>
      <c r="AC1495" s="85"/>
      <c r="AD1495" s="85"/>
      <c r="AE1495" s="47"/>
      <c r="AF1495" s="47"/>
      <c r="AG1495" s="47"/>
      <c r="AH1495" s="47"/>
      <c r="AI1495" s="47"/>
      <c r="AJ1495" s="47"/>
      <c r="AK1495" s="47"/>
      <c r="AL1495" s="47"/>
      <c r="AM1495" s="47"/>
      <c r="AN1495" s="47"/>
      <c r="AO1495" s="47"/>
      <c r="AP1495" s="47"/>
      <c r="AQ1495" s="47"/>
      <c r="AR1495" s="47"/>
      <c r="AS1495" s="47"/>
      <c r="AT1495" s="47"/>
      <c r="AU1495" s="47"/>
      <c r="AV1495" s="47"/>
      <c r="AW1495" s="47"/>
      <c r="AX1495" s="47"/>
      <c r="AY1495" s="47"/>
      <c r="AZ1495" s="47"/>
      <c r="BA1495" s="47"/>
      <c r="BB1495" s="47"/>
      <c r="BC1495" s="47"/>
      <c r="BD1495" s="47"/>
      <c r="BE1495" s="47"/>
      <c r="BF1495" s="47"/>
    </row>
    <row r="1496" spans="3:58">
      <c r="C1496" s="47"/>
      <c r="D1496" s="47"/>
      <c r="E1496" s="47"/>
      <c r="F1496" s="47"/>
      <c r="G1496" s="47"/>
      <c r="H1496" s="47"/>
      <c r="I1496" s="47"/>
      <c r="J1496" s="47"/>
      <c r="K1496" s="47"/>
      <c r="L1496" s="47"/>
      <c r="M1496" s="47"/>
      <c r="N1496" s="47"/>
      <c r="O1496" s="47"/>
      <c r="P1496" s="47"/>
      <c r="Q1496" s="85"/>
      <c r="R1496" s="85"/>
      <c r="S1496" s="85"/>
      <c r="T1496" s="85"/>
      <c r="U1496" s="85"/>
      <c r="V1496" s="85"/>
      <c r="W1496" s="85"/>
      <c r="X1496" s="85"/>
      <c r="Y1496" s="85"/>
      <c r="Z1496" s="85"/>
      <c r="AA1496" s="85"/>
      <c r="AB1496" s="85"/>
      <c r="AC1496" s="85"/>
      <c r="AD1496" s="85"/>
      <c r="AE1496" s="47"/>
      <c r="AF1496" s="47"/>
      <c r="AG1496" s="47"/>
      <c r="AH1496" s="47"/>
      <c r="AI1496" s="47"/>
      <c r="AJ1496" s="47"/>
      <c r="AK1496" s="47"/>
      <c r="AL1496" s="47"/>
      <c r="AM1496" s="47"/>
      <c r="AN1496" s="47"/>
      <c r="AO1496" s="47"/>
      <c r="AP1496" s="47"/>
      <c r="AQ1496" s="47"/>
      <c r="AR1496" s="47"/>
      <c r="AS1496" s="47"/>
      <c r="AT1496" s="47"/>
      <c r="AU1496" s="47"/>
      <c r="AV1496" s="47"/>
      <c r="AW1496" s="47"/>
      <c r="AX1496" s="47"/>
      <c r="AY1496" s="47"/>
      <c r="AZ1496" s="47"/>
      <c r="BA1496" s="47"/>
      <c r="BB1496" s="47"/>
      <c r="BC1496" s="47"/>
      <c r="BD1496" s="47"/>
      <c r="BE1496" s="47"/>
      <c r="BF1496" s="47"/>
    </row>
    <row r="1497" spans="3:58">
      <c r="C1497" s="47"/>
      <c r="D1497" s="47"/>
      <c r="E1497" s="47"/>
      <c r="F1497" s="47"/>
      <c r="G1497" s="47"/>
      <c r="H1497" s="47"/>
      <c r="I1497" s="47"/>
      <c r="J1497" s="47"/>
      <c r="K1497" s="47"/>
      <c r="L1497" s="47"/>
      <c r="M1497" s="47"/>
      <c r="N1497" s="47"/>
      <c r="O1497" s="47"/>
      <c r="P1497" s="47"/>
      <c r="Q1497" s="85"/>
      <c r="R1497" s="85"/>
      <c r="S1497" s="85"/>
      <c r="T1497" s="85"/>
      <c r="U1497" s="85"/>
      <c r="V1497" s="85"/>
      <c r="W1497" s="85"/>
      <c r="X1497" s="85"/>
      <c r="Y1497" s="85"/>
      <c r="Z1497" s="85"/>
      <c r="AA1497" s="85"/>
      <c r="AB1497" s="85"/>
      <c r="AC1497" s="85"/>
      <c r="AD1497" s="85"/>
      <c r="AE1497" s="47"/>
      <c r="AF1497" s="47"/>
      <c r="AG1497" s="47"/>
      <c r="AH1497" s="47"/>
      <c r="AI1497" s="47"/>
      <c r="AJ1497" s="47"/>
      <c r="AK1497" s="47"/>
      <c r="AL1497" s="47"/>
      <c r="AM1497" s="47"/>
      <c r="AN1497" s="47"/>
      <c r="AO1497" s="47"/>
      <c r="AP1497" s="47"/>
      <c r="AQ1497" s="47"/>
      <c r="AR1497" s="47"/>
      <c r="AS1497" s="47"/>
      <c r="AT1497" s="47"/>
      <c r="AU1497" s="47"/>
      <c r="AV1497" s="47"/>
      <c r="AW1497" s="47"/>
      <c r="AX1497" s="47"/>
      <c r="AY1497" s="47"/>
      <c r="AZ1497" s="47"/>
      <c r="BA1497" s="47"/>
      <c r="BB1497" s="47"/>
      <c r="BC1497" s="47"/>
      <c r="BD1497" s="47"/>
      <c r="BE1497" s="47"/>
      <c r="BF1497" s="47"/>
    </row>
    <row r="1498" spans="3:58">
      <c r="C1498" s="47"/>
      <c r="D1498" s="47"/>
      <c r="E1498" s="47"/>
      <c r="F1498" s="47"/>
      <c r="G1498" s="47"/>
      <c r="H1498" s="47"/>
      <c r="I1498" s="47"/>
      <c r="J1498" s="47"/>
      <c r="K1498" s="47"/>
      <c r="L1498" s="47"/>
      <c r="M1498" s="47"/>
      <c r="N1498" s="47"/>
      <c r="O1498" s="47"/>
      <c r="P1498" s="47"/>
      <c r="Q1498" s="85"/>
      <c r="R1498" s="85"/>
      <c r="S1498" s="85"/>
      <c r="T1498" s="85"/>
      <c r="U1498" s="85"/>
      <c r="V1498" s="85"/>
      <c r="W1498" s="85"/>
      <c r="X1498" s="85"/>
      <c r="Y1498" s="85"/>
      <c r="Z1498" s="85"/>
      <c r="AA1498" s="85"/>
      <c r="AB1498" s="85"/>
      <c r="AC1498" s="85"/>
      <c r="AD1498" s="85"/>
      <c r="AE1498" s="47"/>
      <c r="AF1498" s="47"/>
      <c r="AG1498" s="47"/>
      <c r="AH1498" s="47"/>
      <c r="AI1498" s="47"/>
      <c r="AJ1498" s="47"/>
      <c r="AK1498" s="47"/>
      <c r="AL1498" s="47"/>
      <c r="AM1498" s="47"/>
      <c r="AN1498" s="47"/>
      <c r="AO1498" s="47"/>
      <c r="AP1498" s="47"/>
      <c r="AQ1498" s="47"/>
      <c r="AR1498" s="47"/>
      <c r="AS1498" s="47"/>
      <c r="AT1498" s="47"/>
      <c r="AU1498" s="47"/>
      <c r="AV1498" s="47"/>
      <c r="AW1498" s="47"/>
      <c r="AX1498" s="47"/>
      <c r="AY1498" s="47"/>
      <c r="AZ1498" s="47"/>
      <c r="BA1498" s="47"/>
      <c r="BB1498" s="47"/>
      <c r="BC1498" s="47"/>
      <c r="BD1498" s="47"/>
      <c r="BE1498" s="47"/>
      <c r="BF1498" s="47"/>
    </row>
    <row r="1499" spans="3:58">
      <c r="C1499" s="47"/>
      <c r="D1499" s="47"/>
      <c r="E1499" s="47"/>
      <c r="F1499" s="47"/>
      <c r="G1499" s="47"/>
      <c r="H1499" s="47"/>
      <c r="I1499" s="47"/>
      <c r="J1499" s="47"/>
      <c r="K1499" s="47"/>
      <c r="L1499" s="47"/>
      <c r="M1499" s="47"/>
      <c r="N1499" s="47"/>
      <c r="O1499" s="47"/>
      <c r="P1499" s="47"/>
      <c r="Q1499" s="85"/>
      <c r="R1499" s="85"/>
      <c r="S1499" s="85"/>
      <c r="T1499" s="85"/>
      <c r="U1499" s="85"/>
      <c r="V1499" s="85"/>
      <c r="W1499" s="85"/>
      <c r="X1499" s="85"/>
      <c r="Y1499" s="85"/>
      <c r="Z1499" s="85"/>
      <c r="AA1499" s="85"/>
      <c r="AB1499" s="85"/>
      <c r="AC1499" s="85"/>
      <c r="AD1499" s="85"/>
      <c r="AE1499" s="47"/>
      <c r="AF1499" s="47"/>
      <c r="AG1499" s="47"/>
      <c r="AH1499" s="47"/>
      <c r="AI1499" s="47"/>
      <c r="AJ1499" s="47"/>
      <c r="AK1499" s="47"/>
      <c r="AL1499" s="47"/>
      <c r="AM1499" s="47"/>
      <c r="AN1499" s="47"/>
      <c r="AO1499" s="47"/>
      <c r="AP1499" s="47"/>
      <c r="AQ1499" s="47"/>
      <c r="AR1499" s="47"/>
      <c r="AS1499" s="47"/>
      <c r="AT1499" s="47"/>
      <c r="AU1499" s="47"/>
      <c r="AV1499" s="47"/>
      <c r="AW1499" s="47"/>
      <c r="AX1499" s="47"/>
      <c r="AY1499" s="47"/>
      <c r="AZ1499" s="47"/>
      <c r="BA1499" s="47"/>
      <c r="BB1499" s="47"/>
      <c r="BC1499" s="47"/>
      <c r="BD1499" s="47"/>
      <c r="BE1499" s="47"/>
      <c r="BF1499" s="47"/>
    </row>
    <row r="1500" spans="3:58">
      <c r="C1500" s="47"/>
      <c r="D1500" s="47"/>
      <c r="E1500" s="47"/>
      <c r="F1500" s="47"/>
      <c r="G1500" s="47"/>
      <c r="H1500" s="47"/>
      <c r="I1500" s="47"/>
      <c r="J1500" s="47"/>
      <c r="K1500" s="47"/>
      <c r="L1500" s="47"/>
      <c r="M1500" s="47"/>
      <c r="N1500" s="47"/>
      <c r="O1500" s="47"/>
      <c r="P1500" s="47"/>
      <c r="Q1500" s="85"/>
      <c r="R1500" s="85"/>
      <c r="S1500" s="85"/>
      <c r="T1500" s="85"/>
      <c r="U1500" s="85"/>
      <c r="V1500" s="85"/>
      <c r="W1500" s="85"/>
      <c r="X1500" s="85"/>
      <c r="Y1500" s="85"/>
      <c r="Z1500" s="85"/>
      <c r="AA1500" s="85"/>
      <c r="AB1500" s="85"/>
      <c r="AC1500" s="85"/>
      <c r="AD1500" s="85"/>
      <c r="AE1500" s="47"/>
      <c r="AF1500" s="47"/>
      <c r="AG1500" s="47"/>
      <c r="AH1500" s="47"/>
      <c r="AI1500" s="47"/>
      <c r="AJ1500" s="47"/>
      <c r="AK1500" s="47"/>
      <c r="AL1500" s="47"/>
      <c r="AM1500" s="47"/>
      <c r="AN1500" s="47"/>
      <c r="AO1500" s="47"/>
      <c r="AP1500" s="47"/>
      <c r="AQ1500" s="47"/>
      <c r="AR1500" s="47"/>
      <c r="AS1500" s="47"/>
      <c r="AT1500" s="47"/>
      <c r="AU1500" s="47"/>
      <c r="AV1500" s="47"/>
      <c r="AW1500" s="47"/>
      <c r="AX1500" s="47"/>
      <c r="AY1500" s="47"/>
      <c r="AZ1500" s="47"/>
      <c r="BA1500" s="47"/>
      <c r="BB1500" s="47"/>
      <c r="BC1500" s="47"/>
      <c r="BD1500" s="47"/>
      <c r="BE1500" s="47"/>
      <c r="BF1500" s="47"/>
    </row>
  </sheetData>
  <phoneticPr fontId="43" type="noConversion"/>
  <pageMargins left="0.7" right="0.7" top="0.75" bottom="0.75" header="0.3" footer="0.3"/>
  <pageSetup paperSize="9" orientation="portrait" horizontalDpi="300" verticalDpi="300"/>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8E69-8402-4D05-82D9-E7F1EAB45DC2}">
  <dimension ref="A1:H38"/>
  <sheetViews>
    <sheetView workbookViewId="0">
      <selection activeCell="L33" sqref="L33"/>
    </sheetView>
  </sheetViews>
  <sheetFormatPr baseColWidth="10" defaultRowHeight="14.4"/>
  <sheetData>
    <row r="1" spans="1:8">
      <c r="A1" t="s">
        <v>326</v>
      </c>
    </row>
    <row r="3" spans="1:8">
      <c r="A3" t="s">
        <v>316</v>
      </c>
      <c r="F3" s="748" t="s">
        <v>325</v>
      </c>
      <c r="G3" s="748"/>
      <c r="H3" s="748"/>
    </row>
    <row r="4" spans="1:8">
      <c r="F4">
        <v>2015</v>
      </c>
      <c r="G4">
        <v>2019</v>
      </c>
      <c r="H4">
        <v>2023</v>
      </c>
    </row>
    <row r="5" spans="1:8">
      <c r="G5">
        <v>21</v>
      </c>
      <c r="H5">
        <v>21</v>
      </c>
    </row>
    <row r="8" spans="1:8">
      <c r="A8" t="s">
        <v>300</v>
      </c>
    </row>
    <row r="9" spans="1:8">
      <c r="F9" t="s">
        <v>328</v>
      </c>
    </row>
    <row r="10" spans="1:8">
      <c r="H10">
        <v>75</v>
      </c>
    </row>
    <row r="13" spans="1:8">
      <c r="A13" t="s">
        <v>320</v>
      </c>
    </row>
    <row r="14" spans="1:8">
      <c r="H14">
        <v>4</v>
      </c>
    </row>
    <row r="17" spans="1:8">
      <c r="A17" t="s">
        <v>315</v>
      </c>
    </row>
    <row r="18" spans="1:8">
      <c r="H18">
        <v>60</v>
      </c>
    </row>
    <row r="21" spans="1:8">
      <c r="A21" t="s">
        <v>321</v>
      </c>
    </row>
    <row r="24" spans="1:8">
      <c r="A24" t="s">
        <v>311</v>
      </c>
    </row>
    <row r="25" spans="1:8">
      <c r="F25" t="s">
        <v>327</v>
      </c>
    </row>
    <row r="26" spans="1:8">
      <c r="F26" t="s">
        <v>329</v>
      </c>
    </row>
    <row r="28" spans="1:8">
      <c r="A28" t="s">
        <v>322</v>
      </c>
    </row>
    <row r="30" spans="1:8">
      <c r="H30">
        <v>0.4</v>
      </c>
    </row>
    <row r="33" spans="1:8">
      <c r="A33" t="s">
        <v>323</v>
      </c>
    </row>
    <row r="35" spans="1:8">
      <c r="F35">
        <v>0</v>
      </c>
      <c r="G35">
        <v>0</v>
      </c>
      <c r="H35">
        <v>0</v>
      </c>
    </row>
    <row r="38" spans="1:8">
      <c r="A38" t="s">
        <v>314</v>
      </c>
    </row>
  </sheetData>
  <mergeCells count="1">
    <mergeCell ref="F3:H3"/>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1083-665C-4D62-893C-C1A6547F643D}">
  <dimension ref="A1:E8"/>
  <sheetViews>
    <sheetView workbookViewId="0">
      <selection activeCell="L33" sqref="L33"/>
    </sheetView>
  </sheetViews>
  <sheetFormatPr baseColWidth="10" defaultRowHeight="14.4"/>
  <cols>
    <col min="2" max="2" width="16.6640625" bestFit="1" customWidth="1"/>
  </cols>
  <sheetData>
    <row r="1" spans="1:5">
      <c r="A1" t="s">
        <v>332</v>
      </c>
    </row>
    <row r="3" spans="1:5">
      <c r="B3" t="s">
        <v>39</v>
      </c>
      <c r="C3">
        <v>2015</v>
      </c>
      <c r="D3">
        <v>2019</v>
      </c>
      <c r="E3">
        <v>2023</v>
      </c>
    </row>
    <row r="4" spans="1:5">
      <c r="B4" t="s">
        <v>335</v>
      </c>
      <c r="C4">
        <v>350</v>
      </c>
      <c r="D4">
        <v>490</v>
      </c>
      <c r="E4">
        <v>715</v>
      </c>
    </row>
    <row r="5" spans="1:5">
      <c r="B5" t="s">
        <v>334</v>
      </c>
      <c r="C5">
        <v>5</v>
      </c>
      <c r="D5">
        <v>5</v>
      </c>
      <c r="E5">
        <v>5</v>
      </c>
    </row>
    <row r="6" spans="1:5">
      <c r="B6" t="s">
        <v>298</v>
      </c>
      <c r="C6" s="86">
        <f>C4*C5/10^3</f>
        <v>1.75</v>
      </c>
      <c r="D6" s="86">
        <f t="shared" ref="D6:E6" si="0">D4*D5/10^3</f>
        <v>2.4500000000000002</v>
      </c>
      <c r="E6" s="86">
        <f t="shared" si="0"/>
        <v>3.5750000000000002</v>
      </c>
    </row>
    <row r="8" spans="1:5">
      <c r="D8" t="s">
        <v>336</v>
      </c>
    </row>
  </sheetData>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6D0C9-53C2-4640-9AEF-138B51B4F14A}">
  <dimension ref="A1"/>
  <sheetViews>
    <sheetView workbookViewId="0">
      <selection activeCell="L33" sqref="L33"/>
    </sheetView>
  </sheetViews>
  <sheetFormatPr baseColWidth="10" defaultRowHeight="14.4"/>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C76F0-DE00-4C7B-80E0-3CCB961DAC7A}">
  <sheetPr filterMode="1"/>
  <dimension ref="A1:N4091"/>
  <sheetViews>
    <sheetView zoomScaleNormal="100" workbookViewId="0">
      <pane xSplit="4" ySplit="5" topLeftCell="E3544" activePane="bottomRight" state="frozen"/>
      <selection activeCell="L33" sqref="L33"/>
      <selection pane="topRight" activeCell="L33" sqref="L33"/>
      <selection pane="bottomLeft" activeCell="L33" sqref="L33"/>
      <selection pane="bottomRight" activeCell="L33" sqref="L33"/>
    </sheetView>
  </sheetViews>
  <sheetFormatPr baseColWidth="10" defaultRowHeight="12" customHeight="1"/>
  <cols>
    <col min="1" max="1" width="8.6640625" style="49" bestFit="1" customWidth="1"/>
    <col min="2" max="2" width="6.6640625" style="49" bestFit="1" customWidth="1"/>
    <col min="3" max="3" width="10.6640625" style="49" bestFit="1" customWidth="1"/>
    <col min="4" max="4" width="5.6640625" style="49" bestFit="1" customWidth="1"/>
    <col min="5" max="5" width="15.6640625" style="49" bestFit="1" customWidth="1"/>
    <col min="6" max="6" width="10.6640625" style="49" bestFit="1" customWidth="1"/>
    <col min="7" max="7" width="9.6640625" style="49" bestFit="1" customWidth="1"/>
    <col min="8" max="8" width="15.6640625" style="49" bestFit="1" customWidth="1"/>
    <col min="9" max="9" width="10.6640625" style="49" bestFit="1" customWidth="1"/>
    <col min="10" max="14" width="8.6640625" style="49" bestFit="1" customWidth="1"/>
    <col min="15" max="16384" width="11.5546875" style="49"/>
  </cols>
  <sheetData>
    <row r="1" spans="1:14" ht="19.05" customHeight="1">
      <c r="A1" s="777" t="s">
        <v>88</v>
      </c>
      <c r="B1" s="738"/>
      <c r="C1" s="738"/>
      <c r="D1" s="738"/>
      <c r="E1" s="738"/>
      <c r="F1" s="738"/>
      <c r="G1" s="738"/>
      <c r="H1" s="738"/>
      <c r="I1" s="738"/>
      <c r="J1" s="738"/>
      <c r="K1" s="738"/>
      <c r="L1" s="738"/>
      <c r="M1" s="738"/>
      <c r="N1" s="738"/>
    </row>
    <row r="2" spans="1:14" ht="15" customHeight="1">
      <c r="A2" s="778" t="s">
        <v>89</v>
      </c>
      <c r="B2" s="738"/>
      <c r="C2" s="738"/>
      <c r="D2" s="738"/>
      <c r="E2" s="738"/>
      <c r="F2" s="738"/>
      <c r="G2" s="738"/>
      <c r="H2" s="738"/>
      <c r="I2" s="738"/>
      <c r="J2" s="738"/>
      <c r="K2" s="738"/>
      <c r="L2" s="738"/>
      <c r="M2" s="738"/>
      <c r="N2" s="738"/>
    </row>
    <row r="3" spans="1:14" ht="15" customHeight="1">
      <c r="A3" s="779" t="s">
        <v>90</v>
      </c>
      <c r="B3" s="738"/>
      <c r="C3" s="738"/>
      <c r="D3" s="738"/>
      <c r="E3" s="738"/>
      <c r="F3" s="738"/>
      <c r="G3" s="738"/>
      <c r="H3" s="738"/>
      <c r="I3" s="738"/>
      <c r="J3" s="738"/>
      <c r="K3" s="738"/>
      <c r="L3" s="738"/>
      <c r="M3" s="738"/>
      <c r="N3" s="738"/>
    </row>
    <row r="5" spans="1:14" ht="30" customHeight="1">
      <c r="A5" s="50" t="s">
        <v>91</v>
      </c>
      <c r="B5" s="50" t="s">
        <v>92</v>
      </c>
      <c r="C5" s="50" t="s">
        <v>93</v>
      </c>
      <c r="D5" s="50" t="s">
        <v>94</v>
      </c>
      <c r="E5" s="51" t="s">
        <v>95</v>
      </c>
      <c r="F5" s="51" t="s">
        <v>96</v>
      </c>
      <c r="G5" s="51" t="s">
        <v>97</v>
      </c>
      <c r="H5" s="51" t="s">
        <v>98</v>
      </c>
      <c r="I5" s="51" t="s">
        <v>99</v>
      </c>
      <c r="J5" s="51" t="s">
        <v>100</v>
      </c>
      <c r="K5" s="51" t="s">
        <v>101</v>
      </c>
      <c r="L5" s="51" t="s">
        <v>102</v>
      </c>
      <c r="M5" s="51" t="s">
        <v>103</v>
      </c>
      <c r="N5" s="51" t="s">
        <v>104</v>
      </c>
    </row>
    <row r="6" spans="1:14" ht="10.050000000000001" hidden="1" customHeight="1">
      <c r="A6" s="52" t="s">
        <v>314</v>
      </c>
      <c r="B6" s="53">
        <v>2000</v>
      </c>
      <c r="C6" s="52" t="s">
        <v>105</v>
      </c>
      <c r="D6" s="54">
        <v>7</v>
      </c>
      <c r="E6" s="55">
        <v>570.20000000000005</v>
      </c>
      <c r="F6" s="55">
        <v>0</v>
      </c>
      <c r="G6" s="55">
        <v>570.20000000000005</v>
      </c>
      <c r="H6" s="55">
        <v>0</v>
      </c>
      <c r="I6" s="55">
        <v>0</v>
      </c>
      <c r="J6" s="55">
        <v>0</v>
      </c>
      <c r="K6" s="55">
        <v>0</v>
      </c>
      <c r="L6" s="55">
        <v>0</v>
      </c>
      <c r="M6" s="55">
        <v>0</v>
      </c>
      <c r="N6" s="55">
        <v>0</v>
      </c>
    </row>
    <row r="7" spans="1:14" ht="10.050000000000001" hidden="1" customHeight="1">
      <c r="A7" s="52" t="s">
        <v>306</v>
      </c>
      <c r="B7" s="53">
        <v>2000</v>
      </c>
      <c r="C7" s="52" t="s">
        <v>105</v>
      </c>
      <c r="D7" s="54">
        <v>7</v>
      </c>
      <c r="E7" s="55">
        <v>43869.1</v>
      </c>
      <c r="F7" s="55">
        <v>1263.0999999999999</v>
      </c>
      <c r="G7" s="55">
        <v>45132.2</v>
      </c>
      <c r="H7" s="55">
        <v>67603.5</v>
      </c>
      <c r="I7" s="55">
        <v>3809.9</v>
      </c>
      <c r="J7" s="55">
        <v>71413.399999999994</v>
      </c>
      <c r="K7" s="55">
        <v>6649.3</v>
      </c>
      <c r="L7" s="55">
        <v>6661.3</v>
      </c>
      <c r="M7" s="55">
        <v>339.3</v>
      </c>
      <c r="N7" s="55">
        <v>294.8</v>
      </c>
    </row>
    <row r="8" spans="1:14" ht="10.050000000000001" hidden="1" customHeight="1">
      <c r="A8" s="52" t="s">
        <v>172</v>
      </c>
      <c r="B8" s="53">
        <v>2000</v>
      </c>
      <c r="C8" s="52" t="s">
        <v>105</v>
      </c>
      <c r="D8" s="54">
        <v>7</v>
      </c>
      <c r="E8" s="55">
        <v>699424.6</v>
      </c>
      <c r="F8" s="55">
        <v>52786.6</v>
      </c>
      <c r="G8" s="55">
        <v>752211.2</v>
      </c>
      <c r="H8" s="55">
        <v>701002.8</v>
      </c>
      <c r="I8" s="55">
        <v>41904.5</v>
      </c>
      <c r="J8" s="55">
        <v>742907.3</v>
      </c>
      <c r="K8" s="55">
        <v>117911.1</v>
      </c>
      <c r="L8" s="55">
        <v>119837</v>
      </c>
      <c r="M8" s="55">
        <v>2537.8000000000002</v>
      </c>
      <c r="N8" s="55">
        <v>694.7</v>
      </c>
    </row>
    <row r="9" spans="1:14" ht="10.050000000000001" hidden="1" customHeight="1">
      <c r="A9" s="52" t="s">
        <v>171</v>
      </c>
      <c r="B9" s="53">
        <v>2000</v>
      </c>
      <c r="C9" s="52" t="s">
        <v>105</v>
      </c>
      <c r="D9" s="54">
        <v>7</v>
      </c>
      <c r="E9" s="55">
        <v>8218067.5999999996</v>
      </c>
      <c r="F9" s="55">
        <v>96019.199999999997</v>
      </c>
      <c r="G9" s="55">
        <v>8314086.7999999998</v>
      </c>
      <c r="H9" s="55">
        <v>7507117.7000000002</v>
      </c>
      <c r="I9" s="55">
        <v>120706.2</v>
      </c>
      <c r="J9" s="55">
        <v>7627823.9000000004</v>
      </c>
      <c r="K9" s="55">
        <v>1398898</v>
      </c>
      <c r="L9" s="55">
        <v>1522476</v>
      </c>
      <c r="M9" s="55">
        <v>141054.20000000001</v>
      </c>
      <c r="N9" s="55">
        <v>5506.1</v>
      </c>
    </row>
    <row r="10" spans="1:14" ht="10.050000000000001" hidden="1" customHeight="1">
      <c r="A10" s="52" t="s">
        <v>300</v>
      </c>
      <c r="B10" s="53">
        <v>2000</v>
      </c>
      <c r="C10" s="52" t="s">
        <v>105</v>
      </c>
      <c r="D10" s="54">
        <v>7</v>
      </c>
      <c r="E10" s="55">
        <v>46.3</v>
      </c>
      <c r="F10" s="55">
        <v>0</v>
      </c>
      <c r="G10" s="55">
        <v>46.3</v>
      </c>
      <c r="H10" s="55">
        <v>28.8</v>
      </c>
      <c r="I10" s="55">
        <v>0.5</v>
      </c>
      <c r="J10" s="55">
        <v>29.3</v>
      </c>
      <c r="K10" s="55">
        <v>0</v>
      </c>
      <c r="L10" s="55">
        <v>0</v>
      </c>
      <c r="M10" s="55">
        <v>0</v>
      </c>
      <c r="N10" s="55">
        <v>0</v>
      </c>
    </row>
    <row r="11" spans="1:14" ht="10.050000000000001" hidden="1" customHeight="1">
      <c r="A11" s="52" t="s">
        <v>307</v>
      </c>
      <c r="B11" s="53">
        <v>2000</v>
      </c>
      <c r="C11" s="52" t="s">
        <v>105</v>
      </c>
      <c r="D11" s="54">
        <v>7</v>
      </c>
      <c r="E11" s="55">
        <v>111428.2</v>
      </c>
      <c r="F11" s="55">
        <v>0</v>
      </c>
      <c r="G11" s="55">
        <v>111428.2</v>
      </c>
      <c r="H11" s="55">
        <v>984200.7</v>
      </c>
      <c r="I11" s="55">
        <v>48573.5</v>
      </c>
      <c r="J11" s="55">
        <v>1032774.2</v>
      </c>
      <c r="K11" s="55">
        <v>79687</v>
      </c>
      <c r="L11" s="55">
        <v>11234.1</v>
      </c>
      <c r="M11" s="55">
        <v>26181.9</v>
      </c>
      <c r="N11" s="55">
        <v>20618.7</v>
      </c>
    </row>
    <row r="12" spans="1:14" ht="10.050000000000001" hidden="1" customHeight="1">
      <c r="A12" s="52" t="s">
        <v>315</v>
      </c>
      <c r="B12" s="53">
        <v>2000</v>
      </c>
      <c r="C12" s="52" t="s">
        <v>105</v>
      </c>
      <c r="D12" s="54">
        <v>7</v>
      </c>
      <c r="E12" s="55">
        <v>16.2</v>
      </c>
      <c r="F12" s="55">
        <v>0</v>
      </c>
      <c r="G12" s="55">
        <v>16.2</v>
      </c>
      <c r="H12" s="55">
        <v>962.7</v>
      </c>
      <c r="I12" s="55">
        <v>0</v>
      </c>
      <c r="J12" s="55">
        <v>962.7</v>
      </c>
      <c r="K12" s="55">
        <v>0</v>
      </c>
      <c r="L12" s="55">
        <v>0</v>
      </c>
      <c r="M12" s="55">
        <v>0</v>
      </c>
      <c r="N12" s="55">
        <v>0</v>
      </c>
    </row>
    <row r="13" spans="1:14" ht="10.050000000000001" hidden="1" customHeight="1">
      <c r="A13" s="52" t="s">
        <v>173</v>
      </c>
      <c r="B13" s="53">
        <v>2000</v>
      </c>
      <c r="C13" s="52" t="s">
        <v>105</v>
      </c>
      <c r="D13" s="54">
        <v>7</v>
      </c>
      <c r="E13" s="55">
        <v>4315736.7</v>
      </c>
      <c r="F13" s="55">
        <v>101782.9</v>
      </c>
      <c r="G13" s="55">
        <v>4417519.5999999996</v>
      </c>
      <c r="H13" s="55">
        <v>4275546.5</v>
      </c>
      <c r="I13" s="55">
        <v>89697.7</v>
      </c>
      <c r="J13" s="55">
        <v>4365244.2</v>
      </c>
      <c r="K13" s="55">
        <v>681883.7</v>
      </c>
      <c r="L13" s="55">
        <v>1106535.3</v>
      </c>
      <c r="M13" s="55">
        <v>520305.1</v>
      </c>
      <c r="N13" s="55">
        <v>4961.8999999999996</v>
      </c>
    </row>
    <row r="14" spans="1:14" ht="10.050000000000001" customHeight="1">
      <c r="A14" s="52" t="s">
        <v>309</v>
      </c>
      <c r="B14" s="53">
        <v>2000</v>
      </c>
      <c r="C14" s="52" t="s">
        <v>105</v>
      </c>
      <c r="D14" s="54">
        <v>7</v>
      </c>
      <c r="E14" s="55">
        <v>9</v>
      </c>
      <c r="F14" s="55">
        <v>0</v>
      </c>
      <c r="G14" s="55">
        <v>9</v>
      </c>
      <c r="H14" s="55">
        <v>36668.1</v>
      </c>
      <c r="I14" s="55">
        <v>0</v>
      </c>
      <c r="J14" s="55">
        <v>36668.1</v>
      </c>
      <c r="K14" s="55">
        <v>0</v>
      </c>
      <c r="L14" s="55">
        <v>0</v>
      </c>
      <c r="M14" s="55">
        <v>0</v>
      </c>
      <c r="N14" s="55">
        <v>0</v>
      </c>
    </row>
    <row r="15" spans="1:14" ht="10.050000000000001" hidden="1" customHeight="1">
      <c r="A15" s="52" t="s">
        <v>316</v>
      </c>
      <c r="B15" s="53">
        <v>2000</v>
      </c>
      <c r="C15" s="52" t="s">
        <v>105</v>
      </c>
      <c r="D15" s="54">
        <v>7</v>
      </c>
      <c r="E15" s="55">
        <v>0</v>
      </c>
      <c r="F15" s="55">
        <v>0</v>
      </c>
      <c r="G15" s="55">
        <v>0</v>
      </c>
      <c r="H15" s="55">
        <v>607.5</v>
      </c>
      <c r="I15" s="55">
        <v>11.9</v>
      </c>
      <c r="J15" s="55">
        <v>619.4</v>
      </c>
      <c r="K15" s="55">
        <v>16.899999999999999</v>
      </c>
      <c r="L15" s="55">
        <v>0</v>
      </c>
      <c r="M15" s="55">
        <v>0</v>
      </c>
      <c r="N15" s="55">
        <v>0</v>
      </c>
    </row>
    <row r="16" spans="1:14" ht="10.050000000000001" hidden="1" customHeight="1">
      <c r="A16" s="52" t="s">
        <v>310</v>
      </c>
      <c r="B16" s="53">
        <v>2000</v>
      </c>
      <c r="C16" s="52" t="s">
        <v>105</v>
      </c>
      <c r="D16" s="54">
        <v>7</v>
      </c>
      <c r="E16" s="55">
        <v>8516</v>
      </c>
      <c r="F16" s="55">
        <v>151.1</v>
      </c>
      <c r="G16" s="55">
        <v>8667.1</v>
      </c>
      <c r="H16" s="55">
        <v>16200</v>
      </c>
      <c r="I16" s="55">
        <v>380.3</v>
      </c>
      <c r="J16" s="55">
        <v>16580.3</v>
      </c>
      <c r="K16" s="55">
        <v>1004.2</v>
      </c>
      <c r="L16" s="55">
        <v>983.2</v>
      </c>
      <c r="M16" s="55">
        <v>16.899999999999999</v>
      </c>
      <c r="N16" s="55">
        <v>10.199999999999999</v>
      </c>
    </row>
    <row r="17" spans="1:14" ht="10.050000000000001" hidden="1" customHeight="1">
      <c r="A17" s="52" t="s">
        <v>308</v>
      </c>
      <c r="B17" s="53">
        <v>2000</v>
      </c>
      <c r="C17" s="52" t="s">
        <v>105</v>
      </c>
      <c r="D17" s="54">
        <v>7</v>
      </c>
      <c r="E17" s="55">
        <v>176.8</v>
      </c>
      <c r="F17" s="55">
        <v>0</v>
      </c>
      <c r="G17" s="55">
        <v>176.8</v>
      </c>
      <c r="H17" s="55">
        <v>12227.1</v>
      </c>
      <c r="I17" s="55">
        <v>420.3</v>
      </c>
      <c r="J17" s="55">
        <v>12647.4</v>
      </c>
      <c r="K17" s="55">
        <v>123.1</v>
      </c>
      <c r="L17" s="55">
        <v>59.1</v>
      </c>
      <c r="M17" s="55">
        <v>39.799999999999997</v>
      </c>
      <c r="N17" s="55">
        <v>0</v>
      </c>
    </row>
    <row r="18" spans="1:14" ht="10.050000000000001" hidden="1" customHeight="1">
      <c r="A18" s="52" t="s">
        <v>174</v>
      </c>
      <c r="B18" s="53">
        <v>2000</v>
      </c>
      <c r="C18" s="52" t="s">
        <v>105</v>
      </c>
      <c r="D18" s="54">
        <v>7</v>
      </c>
      <c r="E18" s="55">
        <v>67453.8</v>
      </c>
      <c r="F18" s="55">
        <v>4802.8999999999996</v>
      </c>
      <c r="G18" s="55">
        <v>72256.7</v>
      </c>
      <c r="H18" s="55">
        <v>59173.2</v>
      </c>
      <c r="I18" s="55">
        <v>7313.4</v>
      </c>
      <c r="J18" s="55">
        <v>66486.600000000006</v>
      </c>
      <c r="K18" s="55">
        <v>11573.3</v>
      </c>
      <c r="L18" s="55">
        <v>10157</v>
      </c>
      <c r="M18" s="55">
        <v>91.6</v>
      </c>
      <c r="N18" s="55">
        <v>568.79999999999995</v>
      </c>
    </row>
    <row r="19" spans="1:14" ht="10.050000000000001" hidden="1" customHeight="1">
      <c r="A19" s="52" t="s">
        <v>306</v>
      </c>
      <c r="B19" s="53">
        <v>2000</v>
      </c>
      <c r="C19" s="52" t="s">
        <v>105</v>
      </c>
      <c r="D19" s="54">
        <v>8</v>
      </c>
      <c r="E19" s="55">
        <v>63702.1</v>
      </c>
      <c r="F19" s="55">
        <v>2084.6</v>
      </c>
      <c r="G19" s="55">
        <v>65786.7</v>
      </c>
      <c r="H19" s="55">
        <v>112287.5</v>
      </c>
      <c r="I19" s="55">
        <v>5559</v>
      </c>
      <c r="J19" s="55">
        <v>117846.5</v>
      </c>
      <c r="K19" s="55">
        <v>12898.4</v>
      </c>
      <c r="L19" s="55">
        <v>7772.3</v>
      </c>
      <c r="M19" s="55">
        <v>1267.3</v>
      </c>
      <c r="N19" s="55">
        <v>255.9</v>
      </c>
    </row>
    <row r="20" spans="1:14" ht="10.050000000000001" hidden="1" customHeight="1">
      <c r="A20" s="52" t="s">
        <v>172</v>
      </c>
      <c r="B20" s="53">
        <v>2000</v>
      </c>
      <c r="C20" s="52" t="s">
        <v>105</v>
      </c>
      <c r="D20" s="54">
        <v>8</v>
      </c>
      <c r="E20" s="55">
        <v>153791.1</v>
      </c>
      <c r="F20" s="55">
        <v>6983.4</v>
      </c>
      <c r="G20" s="55">
        <v>160774.5</v>
      </c>
      <c r="H20" s="55">
        <v>736268.6</v>
      </c>
      <c r="I20" s="55">
        <v>44895.8</v>
      </c>
      <c r="J20" s="55">
        <v>781164.4</v>
      </c>
      <c r="K20" s="55">
        <v>141585.1</v>
      </c>
      <c r="L20" s="55">
        <v>45980.4</v>
      </c>
      <c r="M20" s="55">
        <v>22050.400000000001</v>
      </c>
      <c r="N20" s="55">
        <v>256</v>
      </c>
    </row>
    <row r="21" spans="1:14" ht="10.050000000000001" hidden="1" customHeight="1">
      <c r="A21" s="52" t="s">
        <v>171</v>
      </c>
      <c r="B21" s="53">
        <v>2000</v>
      </c>
      <c r="C21" s="52" t="s">
        <v>105</v>
      </c>
      <c r="D21" s="54">
        <v>8</v>
      </c>
      <c r="E21" s="55">
        <v>9239167.3000000101</v>
      </c>
      <c r="F21" s="55">
        <v>199689</v>
      </c>
      <c r="G21" s="55">
        <v>9438856.3000000007</v>
      </c>
      <c r="H21" s="55">
        <v>13941143.300000001</v>
      </c>
      <c r="I21" s="55">
        <v>228764.79999999999</v>
      </c>
      <c r="J21" s="55">
        <v>14169908.1</v>
      </c>
      <c r="K21" s="55">
        <v>3721946.5</v>
      </c>
      <c r="L21" s="55">
        <v>2765184.5</v>
      </c>
      <c r="M21" s="55">
        <v>427638.6</v>
      </c>
      <c r="N21" s="55">
        <v>14371.9</v>
      </c>
    </row>
    <row r="22" spans="1:14" ht="10.050000000000001" hidden="1" customHeight="1">
      <c r="A22" s="52" t="s">
        <v>300</v>
      </c>
      <c r="B22" s="53">
        <v>2000</v>
      </c>
      <c r="C22" s="52" t="s">
        <v>105</v>
      </c>
      <c r="D22" s="54">
        <v>8</v>
      </c>
      <c r="E22" s="55">
        <v>243.9</v>
      </c>
      <c r="F22" s="55">
        <v>42.4</v>
      </c>
      <c r="G22" s="55">
        <v>286.3</v>
      </c>
      <c r="H22" s="55">
        <v>195.8</v>
      </c>
      <c r="I22" s="55">
        <v>42.8</v>
      </c>
      <c r="J22" s="55">
        <v>238.6</v>
      </c>
      <c r="K22" s="55">
        <v>0</v>
      </c>
      <c r="L22" s="55">
        <v>0</v>
      </c>
      <c r="M22" s="55">
        <v>0</v>
      </c>
      <c r="N22" s="55">
        <v>0</v>
      </c>
    </row>
    <row r="23" spans="1:14" ht="10.050000000000001" hidden="1" customHeight="1">
      <c r="A23" s="52" t="s">
        <v>307</v>
      </c>
      <c r="B23" s="53">
        <v>2000</v>
      </c>
      <c r="C23" s="52" t="s">
        <v>105</v>
      </c>
      <c r="D23" s="54">
        <v>8</v>
      </c>
      <c r="E23" s="55">
        <v>83265.3</v>
      </c>
      <c r="F23" s="55">
        <v>0</v>
      </c>
      <c r="G23" s="55">
        <v>83265.3</v>
      </c>
      <c r="H23" s="55">
        <v>386867.5</v>
      </c>
      <c r="I23" s="55">
        <v>48633.599999999999</v>
      </c>
      <c r="J23" s="55">
        <v>435501.1</v>
      </c>
      <c r="K23" s="55">
        <v>47147.9</v>
      </c>
      <c r="L23" s="55">
        <v>5118.3999999999996</v>
      </c>
      <c r="M23" s="55">
        <v>21633.4</v>
      </c>
      <c r="N23" s="55">
        <v>16024.1</v>
      </c>
    </row>
    <row r="24" spans="1:14" ht="10.050000000000001" hidden="1" customHeight="1">
      <c r="A24" s="52" t="s">
        <v>315</v>
      </c>
      <c r="B24" s="53">
        <v>2000</v>
      </c>
      <c r="C24" s="52" t="s">
        <v>105</v>
      </c>
      <c r="D24" s="54">
        <v>8</v>
      </c>
      <c r="E24" s="55">
        <v>243.3</v>
      </c>
      <c r="F24" s="55">
        <v>0</v>
      </c>
      <c r="G24" s="55">
        <v>243.3</v>
      </c>
      <c r="H24" s="55">
        <v>1060.8</v>
      </c>
      <c r="I24" s="55">
        <v>0</v>
      </c>
      <c r="J24" s="55">
        <v>1060.8</v>
      </c>
      <c r="K24" s="55">
        <v>25.1</v>
      </c>
      <c r="L24" s="55">
        <v>25.1</v>
      </c>
      <c r="M24" s="55">
        <v>0</v>
      </c>
      <c r="N24" s="55">
        <v>0</v>
      </c>
    </row>
    <row r="25" spans="1:14" ht="10.050000000000001" hidden="1" customHeight="1">
      <c r="A25" s="52" t="s">
        <v>173</v>
      </c>
      <c r="B25" s="53">
        <v>2000</v>
      </c>
      <c r="C25" s="52" t="s">
        <v>105</v>
      </c>
      <c r="D25" s="54">
        <v>8</v>
      </c>
      <c r="E25" s="55">
        <v>1025845.7</v>
      </c>
      <c r="F25" s="55">
        <v>29981.200000000001</v>
      </c>
      <c r="G25" s="55">
        <v>1055826.8999999999</v>
      </c>
      <c r="H25" s="55">
        <v>4873649.4000000004</v>
      </c>
      <c r="I25" s="55">
        <v>95235.3</v>
      </c>
      <c r="J25" s="55">
        <v>4968884.7</v>
      </c>
      <c r="K25" s="55">
        <v>767432.6</v>
      </c>
      <c r="L25" s="55">
        <v>174285.4</v>
      </c>
      <c r="M25" s="55">
        <v>82950</v>
      </c>
      <c r="N25" s="55">
        <v>5786.5</v>
      </c>
    </row>
    <row r="26" spans="1:14" ht="10.050000000000001" customHeight="1">
      <c r="A26" s="52" t="s">
        <v>309</v>
      </c>
      <c r="B26" s="53">
        <v>2000</v>
      </c>
      <c r="C26" s="52" t="s">
        <v>105</v>
      </c>
      <c r="D26" s="54">
        <v>8</v>
      </c>
      <c r="E26" s="55">
        <v>606.4</v>
      </c>
      <c r="F26" s="55">
        <v>0</v>
      </c>
      <c r="G26" s="55">
        <v>606.4</v>
      </c>
      <c r="H26" s="55">
        <v>25308</v>
      </c>
      <c r="I26" s="55">
        <v>0</v>
      </c>
      <c r="J26" s="55">
        <v>25308</v>
      </c>
      <c r="K26" s="55">
        <v>0</v>
      </c>
      <c r="L26" s="55">
        <v>0</v>
      </c>
      <c r="M26" s="55">
        <v>0</v>
      </c>
      <c r="N26" s="55">
        <v>0</v>
      </c>
    </row>
    <row r="27" spans="1:14" ht="10.050000000000001" hidden="1" customHeight="1">
      <c r="A27" s="52" t="s">
        <v>316</v>
      </c>
      <c r="B27" s="53">
        <v>2000</v>
      </c>
      <c r="C27" s="52" t="s">
        <v>105</v>
      </c>
      <c r="D27" s="54">
        <v>8</v>
      </c>
      <c r="E27" s="55">
        <v>39.9</v>
      </c>
      <c r="F27" s="55">
        <v>0</v>
      </c>
      <c r="G27" s="55">
        <v>39.9</v>
      </c>
      <c r="H27" s="55">
        <v>567.6</v>
      </c>
      <c r="I27" s="55">
        <v>11.9</v>
      </c>
      <c r="J27" s="55">
        <v>579.5</v>
      </c>
      <c r="K27" s="55">
        <v>16.899999999999999</v>
      </c>
      <c r="L27" s="55">
        <v>0</v>
      </c>
      <c r="M27" s="55">
        <v>0</v>
      </c>
      <c r="N27" s="55">
        <v>0</v>
      </c>
    </row>
    <row r="28" spans="1:14" ht="10.050000000000001" hidden="1" customHeight="1">
      <c r="A28" s="52" t="s">
        <v>310</v>
      </c>
      <c r="B28" s="53">
        <v>2000</v>
      </c>
      <c r="C28" s="52" t="s">
        <v>105</v>
      </c>
      <c r="D28" s="54">
        <v>8</v>
      </c>
      <c r="E28" s="55">
        <v>31880</v>
      </c>
      <c r="F28" s="55">
        <v>1036.3</v>
      </c>
      <c r="G28" s="55">
        <v>32916.300000000003</v>
      </c>
      <c r="H28" s="55">
        <v>41676.300000000003</v>
      </c>
      <c r="I28" s="55">
        <v>1261.3</v>
      </c>
      <c r="J28" s="55">
        <v>42937.599999999999</v>
      </c>
      <c r="K28" s="55">
        <v>5735.7</v>
      </c>
      <c r="L28" s="55">
        <v>5419.8</v>
      </c>
      <c r="M28" s="55">
        <v>660.1</v>
      </c>
      <c r="N28" s="55">
        <v>28.2</v>
      </c>
    </row>
    <row r="29" spans="1:14" ht="10.050000000000001" hidden="1" customHeight="1">
      <c r="A29" s="52" t="s">
        <v>308</v>
      </c>
      <c r="B29" s="53">
        <v>2000</v>
      </c>
      <c r="C29" s="52" t="s">
        <v>105</v>
      </c>
      <c r="D29" s="54">
        <v>8</v>
      </c>
      <c r="E29" s="55">
        <v>138.80000000000001</v>
      </c>
      <c r="F29" s="55">
        <v>19.7</v>
      </c>
      <c r="G29" s="55">
        <v>158.5</v>
      </c>
      <c r="H29" s="55">
        <v>5253.8</v>
      </c>
      <c r="I29" s="55">
        <v>436.5</v>
      </c>
      <c r="J29" s="55">
        <v>5690.3</v>
      </c>
      <c r="K29" s="55">
        <v>13</v>
      </c>
      <c r="L29" s="55">
        <v>0</v>
      </c>
      <c r="M29" s="55">
        <v>59.1</v>
      </c>
      <c r="N29" s="55">
        <v>51</v>
      </c>
    </row>
    <row r="30" spans="1:14" ht="10.050000000000001" hidden="1" customHeight="1">
      <c r="A30" s="52" t="s">
        <v>174</v>
      </c>
      <c r="B30" s="53">
        <v>2000</v>
      </c>
      <c r="C30" s="52" t="s">
        <v>105</v>
      </c>
      <c r="D30" s="54">
        <v>8</v>
      </c>
      <c r="E30" s="55">
        <v>255531.8</v>
      </c>
      <c r="F30" s="55">
        <v>15838.6</v>
      </c>
      <c r="G30" s="55">
        <v>271370.40000000002</v>
      </c>
      <c r="H30" s="55">
        <v>235107.1</v>
      </c>
      <c r="I30" s="55">
        <v>18419.8</v>
      </c>
      <c r="J30" s="55">
        <v>253526.9</v>
      </c>
      <c r="K30" s="55">
        <v>27038.799999999999</v>
      </c>
      <c r="L30" s="55">
        <v>18420.599999999999</v>
      </c>
      <c r="M30" s="55">
        <v>1301.2</v>
      </c>
      <c r="N30" s="55">
        <v>1653.9</v>
      </c>
    </row>
    <row r="31" spans="1:14" ht="10.050000000000001" hidden="1" customHeight="1">
      <c r="A31" s="52" t="s">
        <v>306</v>
      </c>
      <c r="B31" s="53">
        <v>2000</v>
      </c>
      <c r="C31" s="52" t="s">
        <v>105</v>
      </c>
      <c r="D31" s="54">
        <v>9</v>
      </c>
      <c r="E31" s="55">
        <v>9401.5</v>
      </c>
      <c r="F31" s="55">
        <v>1209.5</v>
      </c>
      <c r="G31" s="55">
        <v>10611</v>
      </c>
      <c r="H31" s="55">
        <v>103097.2</v>
      </c>
      <c r="I31" s="55">
        <v>5870.8</v>
      </c>
      <c r="J31" s="55">
        <v>108968</v>
      </c>
      <c r="K31" s="55">
        <v>11071.4</v>
      </c>
      <c r="L31" s="55">
        <v>919.4</v>
      </c>
      <c r="M31" s="55">
        <v>2156</v>
      </c>
      <c r="N31" s="55">
        <v>590.4</v>
      </c>
    </row>
    <row r="32" spans="1:14" ht="10.050000000000001" hidden="1" customHeight="1">
      <c r="A32" s="52" t="s">
        <v>172</v>
      </c>
      <c r="B32" s="53">
        <v>2000</v>
      </c>
      <c r="C32" s="52" t="s">
        <v>105</v>
      </c>
      <c r="D32" s="54">
        <v>9</v>
      </c>
      <c r="E32" s="55">
        <v>36386.400000000001</v>
      </c>
      <c r="F32" s="55">
        <v>5294.1</v>
      </c>
      <c r="G32" s="55">
        <v>41680.5</v>
      </c>
      <c r="H32" s="55">
        <v>645871.69999999995</v>
      </c>
      <c r="I32" s="55">
        <v>43871.9</v>
      </c>
      <c r="J32" s="55">
        <v>689743.6</v>
      </c>
      <c r="K32" s="55">
        <v>129019.7</v>
      </c>
      <c r="L32" s="55">
        <v>4310.7</v>
      </c>
      <c r="M32" s="55">
        <v>16554.900000000001</v>
      </c>
      <c r="N32" s="55">
        <v>321.2</v>
      </c>
    </row>
    <row r="33" spans="1:14" ht="10.050000000000001" hidden="1" customHeight="1">
      <c r="A33" s="52" t="s">
        <v>171</v>
      </c>
      <c r="B33" s="53">
        <v>2000</v>
      </c>
      <c r="C33" s="52" t="s">
        <v>105</v>
      </c>
      <c r="D33" s="54">
        <v>9</v>
      </c>
      <c r="E33" s="55">
        <v>1075501.5</v>
      </c>
      <c r="F33" s="55">
        <v>177900.2</v>
      </c>
      <c r="G33" s="55">
        <v>1253401.7</v>
      </c>
      <c r="H33" s="55">
        <v>12572022.199999999</v>
      </c>
      <c r="I33" s="55">
        <v>258653.1</v>
      </c>
      <c r="J33" s="55">
        <v>12830675.300000001</v>
      </c>
      <c r="K33" s="55">
        <v>3325195.7</v>
      </c>
      <c r="L33" s="55">
        <v>161247.29999999999</v>
      </c>
      <c r="M33" s="55">
        <v>542929.9</v>
      </c>
      <c r="N33" s="55">
        <v>14774</v>
      </c>
    </row>
    <row r="34" spans="1:14" ht="10.050000000000001" hidden="1" customHeight="1">
      <c r="A34" s="52" t="s">
        <v>300</v>
      </c>
      <c r="B34" s="53">
        <v>2000</v>
      </c>
      <c r="C34" s="52" t="s">
        <v>105</v>
      </c>
      <c r="D34" s="54">
        <v>9</v>
      </c>
      <c r="E34" s="55">
        <v>150.80000000000001</v>
      </c>
      <c r="F34" s="55">
        <v>0</v>
      </c>
      <c r="G34" s="55">
        <v>150.80000000000001</v>
      </c>
      <c r="H34" s="55">
        <v>135.6</v>
      </c>
      <c r="I34" s="55">
        <v>42.8</v>
      </c>
      <c r="J34" s="55">
        <v>178.4</v>
      </c>
      <c r="K34" s="55">
        <v>0</v>
      </c>
      <c r="L34" s="55">
        <v>0</v>
      </c>
      <c r="M34" s="55">
        <v>0</v>
      </c>
      <c r="N34" s="55">
        <v>0</v>
      </c>
    </row>
    <row r="35" spans="1:14" ht="10.050000000000001" hidden="1" customHeight="1">
      <c r="A35" s="52" t="s">
        <v>307</v>
      </c>
      <c r="B35" s="53">
        <v>2000</v>
      </c>
      <c r="C35" s="52" t="s">
        <v>105</v>
      </c>
      <c r="D35" s="54">
        <v>9</v>
      </c>
      <c r="E35" s="55">
        <v>717273.1</v>
      </c>
      <c r="F35" s="55">
        <v>7185.1</v>
      </c>
      <c r="G35" s="55">
        <v>724458.2</v>
      </c>
      <c r="H35" s="55">
        <v>411278</v>
      </c>
      <c r="I35" s="55">
        <v>58013.599999999999</v>
      </c>
      <c r="J35" s="55">
        <v>469291.6</v>
      </c>
      <c r="K35" s="55">
        <v>162815.5</v>
      </c>
      <c r="L35" s="55">
        <v>145071.20000000001</v>
      </c>
      <c r="M35" s="55">
        <v>15447.7</v>
      </c>
      <c r="N35" s="55">
        <v>14315.5</v>
      </c>
    </row>
    <row r="36" spans="1:14" ht="10.050000000000001" hidden="1" customHeight="1">
      <c r="A36" s="52" t="s">
        <v>315</v>
      </c>
      <c r="B36" s="53">
        <v>2000</v>
      </c>
      <c r="C36" s="52" t="s">
        <v>105</v>
      </c>
      <c r="D36" s="54">
        <v>9</v>
      </c>
      <c r="E36" s="55">
        <v>3731.1</v>
      </c>
      <c r="F36" s="55">
        <v>0</v>
      </c>
      <c r="G36" s="55">
        <v>3731.1</v>
      </c>
      <c r="H36" s="55">
        <v>4419.7</v>
      </c>
      <c r="I36" s="55">
        <v>0</v>
      </c>
      <c r="J36" s="55">
        <v>4419.7</v>
      </c>
      <c r="K36" s="55">
        <v>230.1</v>
      </c>
      <c r="L36" s="55">
        <v>280.5</v>
      </c>
      <c r="M36" s="55">
        <v>75.5</v>
      </c>
      <c r="N36" s="55">
        <v>0</v>
      </c>
    </row>
    <row r="37" spans="1:14" ht="10.050000000000001" hidden="1" customHeight="1">
      <c r="A37" s="52" t="s">
        <v>173</v>
      </c>
      <c r="B37" s="53">
        <v>2000</v>
      </c>
      <c r="C37" s="52" t="s">
        <v>105</v>
      </c>
      <c r="D37" s="54">
        <v>9</v>
      </c>
      <c r="E37" s="55">
        <v>191801.3</v>
      </c>
      <c r="F37" s="55">
        <v>13572</v>
      </c>
      <c r="G37" s="55">
        <v>205373.3</v>
      </c>
      <c r="H37" s="55">
        <v>4654938.3</v>
      </c>
      <c r="I37" s="55">
        <v>70480.2</v>
      </c>
      <c r="J37" s="55">
        <v>4725418.5</v>
      </c>
      <c r="K37" s="55">
        <v>652873.1</v>
      </c>
      <c r="L37" s="55">
        <v>16940.8</v>
      </c>
      <c r="M37" s="55">
        <v>125153.2</v>
      </c>
      <c r="N37" s="55">
        <v>6347.1</v>
      </c>
    </row>
    <row r="38" spans="1:14" ht="10.050000000000001" customHeight="1">
      <c r="A38" s="52" t="s">
        <v>309</v>
      </c>
      <c r="B38" s="53">
        <v>2000</v>
      </c>
      <c r="C38" s="52" t="s">
        <v>105</v>
      </c>
      <c r="D38" s="54">
        <v>9</v>
      </c>
      <c r="E38" s="55">
        <v>65006</v>
      </c>
      <c r="F38" s="55">
        <v>0</v>
      </c>
      <c r="G38" s="55">
        <v>65006</v>
      </c>
      <c r="H38" s="55">
        <v>66999.5</v>
      </c>
      <c r="I38" s="55">
        <v>0</v>
      </c>
      <c r="J38" s="55">
        <v>66999.5</v>
      </c>
      <c r="K38" s="55">
        <v>0</v>
      </c>
      <c r="L38" s="55">
        <v>0</v>
      </c>
      <c r="M38" s="55">
        <v>0</v>
      </c>
      <c r="N38" s="55">
        <v>0</v>
      </c>
    </row>
    <row r="39" spans="1:14" ht="10.050000000000001" hidden="1" customHeight="1">
      <c r="A39" s="52" t="s">
        <v>316</v>
      </c>
      <c r="B39" s="53">
        <v>2000</v>
      </c>
      <c r="C39" s="52" t="s">
        <v>105</v>
      </c>
      <c r="D39" s="54">
        <v>9</v>
      </c>
      <c r="E39" s="55">
        <v>258.39999999999998</v>
      </c>
      <c r="F39" s="55">
        <v>0</v>
      </c>
      <c r="G39" s="55">
        <v>258.39999999999998</v>
      </c>
      <c r="H39" s="55">
        <v>725.5</v>
      </c>
      <c r="I39" s="55">
        <v>11.9</v>
      </c>
      <c r="J39" s="55">
        <v>737.4</v>
      </c>
      <c r="K39" s="55">
        <v>16.899999999999999</v>
      </c>
      <c r="L39" s="55">
        <v>0</v>
      </c>
      <c r="M39" s="55">
        <v>0</v>
      </c>
      <c r="N39" s="55">
        <v>0</v>
      </c>
    </row>
    <row r="40" spans="1:14" ht="10.050000000000001" hidden="1" customHeight="1">
      <c r="A40" s="52" t="s">
        <v>310</v>
      </c>
      <c r="B40" s="53">
        <v>2000</v>
      </c>
      <c r="C40" s="52" t="s">
        <v>105</v>
      </c>
      <c r="D40" s="54">
        <v>9</v>
      </c>
      <c r="E40" s="55">
        <v>3901.4</v>
      </c>
      <c r="F40" s="55">
        <v>234.6</v>
      </c>
      <c r="G40" s="55">
        <v>4136</v>
      </c>
      <c r="H40" s="55">
        <v>40241.5</v>
      </c>
      <c r="I40" s="55">
        <v>1128.5</v>
      </c>
      <c r="J40" s="55">
        <v>41370</v>
      </c>
      <c r="K40" s="55">
        <v>5158.2</v>
      </c>
      <c r="L40" s="55">
        <v>398.6</v>
      </c>
      <c r="M40" s="55">
        <v>909.9</v>
      </c>
      <c r="N40" s="55">
        <v>66.2</v>
      </c>
    </row>
    <row r="41" spans="1:14" ht="10.050000000000001" hidden="1" customHeight="1">
      <c r="A41" s="52" t="s">
        <v>308</v>
      </c>
      <c r="B41" s="53">
        <v>2000</v>
      </c>
      <c r="C41" s="52" t="s">
        <v>105</v>
      </c>
      <c r="D41" s="54">
        <v>9</v>
      </c>
      <c r="E41" s="55">
        <v>51881</v>
      </c>
      <c r="F41" s="55">
        <v>77.3</v>
      </c>
      <c r="G41" s="55">
        <v>51958.3</v>
      </c>
      <c r="H41" s="55">
        <v>44725.9</v>
      </c>
      <c r="I41" s="55">
        <v>514.6</v>
      </c>
      <c r="J41" s="55">
        <v>45240.5</v>
      </c>
      <c r="K41" s="55">
        <v>3718.6</v>
      </c>
      <c r="L41" s="55">
        <v>3719.7</v>
      </c>
      <c r="M41" s="55">
        <v>0.9</v>
      </c>
      <c r="N41" s="55">
        <v>13.2</v>
      </c>
    </row>
    <row r="42" spans="1:14" ht="10.050000000000001" hidden="1" customHeight="1">
      <c r="A42" s="52" t="s">
        <v>174</v>
      </c>
      <c r="B42" s="53">
        <v>2000</v>
      </c>
      <c r="C42" s="52" t="s">
        <v>105</v>
      </c>
      <c r="D42" s="54">
        <v>9</v>
      </c>
      <c r="E42" s="55">
        <v>9446.2000000000007</v>
      </c>
      <c r="F42" s="55">
        <v>6746.1</v>
      </c>
      <c r="G42" s="55">
        <v>16192.3</v>
      </c>
      <c r="H42" s="55">
        <v>196609.4</v>
      </c>
      <c r="I42" s="55">
        <v>18113.5</v>
      </c>
      <c r="J42" s="55">
        <v>214722.9</v>
      </c>
      <c r="K42" s="55">
        <v>28242.6</v>
      </c>
      <c r="L42" s="55">
        <v>4173.8</v>
      </c>
      <c r="M42" s="55">
        <v>846.8</v>
      </c>
      <c r="N42" s="55">
        <v>2123.1999999999998</v>
      </c>
    </row>
    <row r="43" spans="1:14" ht="10.050000000000001" hidden="1" customHeight="1">
      <c r="A43" s="52" t="s">
        <v>306</v>
      </c>
      <c r="B43" s="53">
        <v>2000</v>
      </c>
      <c r="C43" s="52" t="s">
        <v>105</v>
      </c>
      <c r="D43" s="54">
        <v>10</v>
      </c>
      <c r="E43" s="55">
        <v>4593.6000000000004</v>
      </c>
      <c r="F43" s="55">
        <v>668.9</v>
      </c>
      <c r="G43" s="55">
        <v>5262.5</v>
      </c>
      <c r="H43" s="55">
        <v>91879.1</v>
      </c>
      <c r="I43" s="55">
        <v>5304.7</v>
      </c>
      <c r="J43" s="55">
        <v>97183.8</v>
      </c>
      <c r="K43" s="55">
        <v>9240.5</v>
      </c>
      <c r="L43" s="55">
        <v>230.8</v>
      </c>
      <c r="M43" s="55">
        <v>1700.7</v>
      </c>
      <c r="N43" s="55">
        <v>361</v>
      </c>
    </row>
    <row r="44" spans="1:14" ht="10.050000000000001" hidden="1" customHeight="1">
      <c r="A44" s="52" t="s">
        <v>172</v>
      </c>
      <c r="B44" s="53">
        <v>2000</v>
      </c>
      <c r="C44" s="52" t="s">
        <v>105</v>
      </c>
      <c r="D44" s="54">
        <v>10</v>
      </c>
      <c r="E44" s="55">
        <v>44829.8</v>
      </c>
      <c r="F44" s="55">
        <v>8985.1</v>
      </c>
      <c r="G44" s="55">
        <v>53814.9</v>
      </c>
      <c r="H44" s="55">
        <v>583034.1</v>
      </c>
      <c r="I44" s="55">
        <v>41817.9</v>
      </c>
      <c r="J44" s="55">
        <v>624852</v>
      </c>
      <c r="K44" s="55">
        <v>113828.1</v>
      </c>
      <c r="L44" s="55">
        <v>3978</v>
      </c>
      <c r="M44" s="55">
        <v>18853.900000000001</v>
      </c>
      <c r="N44" s="55">
        <v>315.7</v>
      </c>
    </row>
    <row r="45" spans="1:14" ht="10.050000000000001" hidden="1" customHeight="1">
      <c r="A45" s="52" t="s">
        <v>171</v>
      </c>
      <c r="B45" s="53">
        <v>2000</v>
      </c>
      <c r="C45" s="52" t="s">
        <v>105</v>
      </c>
      <c r="D45" s="54">
        <v>10</v>
      </c>
      <c r="E45" s="55">
        <v>870435.1</v>
      </c>
      <c r="F45" s="55">
        <v>97621.9</v>
      </c>
      <c r="G45" s="55">
        <v>968057</v>
      </c>
      <c r="H45" s="55">
        <v>11135280</v>
      </c>
      <c r="I45" s="55">
        <v>224686.5</v>
      </c>
      <c r="J45" s="55">
        <v>11359966.5</v>
      </c>
      <c r="K45" s="55">
        <v>3014550.1</v>
      </c>
      <c r="L45" s="55">
        <v>95740.1</v>
      </c>
      <c r="M45" s="55">
        <v>389204.1</v>
      </c>
      <c r="N45" s="55">
        <v>17026</v>
      </c>
    </row>
    <row r="46" spans="1:14" ht="10.050000000000001" hidden="1" customHeight="1">
      <c r="A46" s="52" t="s">
        <v>300</v>
      </c>
      <c r="B46" s="53">
        <v>2000</v>
      </c>
      <c r="C46" s="52" t="s">
        <v>105</v>
      </c>
      <c r="D46" s="54">
        <v>10</v>
      </c>
      <c r="E46" s="55">
        <v>33.6</v>
      </c>
      <c r="F46" s="55">
        <v>0</v>
      </c>
      <c r="G46" s="55">
        <v>33.6</v>
      </c>
      <c r="H46" s="55">
        <v>107.9</v>
      </c>
      <c r="I46" s="55">
        <v>40.4</v>
      </c>
      <c r="J46" s="55">
        <v>148.30000000000001</v>
      </c>
      <c r="K46" s="55">
        <v>0</v>
      </c>
      <c r="L46" s="55">
        <v>0</v>
      </c>
      <c r="M46" s="55">
        <v>0</v>
      </c>
      <c r="N46" s="55">
        <v>0</v>
      </c>
    </row>
    <row r="47" spans="1:14" ht="10.050000000000001" hidden="1" customHeight="1">
      <c r="A47" s="52" t="s">
        <v>307</v>
      </c>
      <c r="B47" s="53">
        <v>2000</v>
      </c>
      <c r="C47" s="52" t="s">
        <v>105</v>
      </c>
      <c r="D47" s="54">
        <v>10</v>
      </c>
      <c r="E47" s="55">
        <v>4860298.7</v>
      </c>
      <c r="F47" s="55">
        <v>58087.6</v>
      </c>
      <c r="G47" s="55">
        <v>4918386.3</v>
      </c>
      <c r="H47" s="55">
        <v>3922538.5</v>
      </c>
      <c r="I47" s="55">
        <v>96437.9</v>
      </c>
      <c r="J47" s="55">
        <v>4018976.4</v>
      </c>
      <c r="K47" s="55">
        <v>1318477.2</v>
      </c>
      <c r="L47" s="55">
        <v>1239433.5</v>
      </c>
      <c r="M47" s="55">
        <v>64447</v>
      </c>
      <c r="N47" s="55">
        <v>31177.3</v>
      </c>
    </row>
    <row r="48" spans="1:14" ht="10.050000000000001" hidden="1" customHeight="1">
      <c r="A48" s="52" t="s">
        <v>315</v>
      </c>
      <c r="B48" s="53">
        <v>2000</v>
      </c>
      <c r="C48" s="52" t="s">
        <v>105</v>
      </c>
      <c r="D48" s="54">
        <v>10</v>
      </c>
      <c r="E48" s="55">
        <v>2114</v>
      </c>
      <c r="F48" s="55">
        <v>0</v>
      </c>
      <c r="G48" s="55">
        <v>2114</v>
      </c>
      <c r="H48" s="55">
        <v>5818.4</v>
      </c>
      <c r="I48" s="55">
        <v>0</v>
      </c>
      <c r="J48" s="55">
        <v>5818.4</v>
      </c>
      <c r="K48" s="55">
        <v>58.6</v>
      </c>
      <c r="L48" s="55">
        <v>59.8</v>
      </c>
      <c r="M48" s="55">
        <v>231.3</v>
      </c>
      <c r="N48" s="55">
        <v>0</v>
      </c>
    </row>
    <row r="49" spans="1:14" ht="10.050000000000001" hidden="1" customHeight="1">
      <c r="A49" s="52" t="s">
        <v>173</v>
      </c>
      <c r="B49" s="53">
        <v>2000</v>
      </c>
      <c r="C49" s="52" t="s">
        <v>105</v>
      </c>
      <c r="D49" s="54">
        <v>10</v>
      </c>
      <c r="E49" s="55">
        <v>142401</v>
      </c>
      <c r="F49" s="55">
        <v>16101.6</v>
      </c>
      <c r="G49" s="55">
        <v>158502.6</v>
      </c>
      <c r="H49" s="55">
        <v>4333683.9000000004</v>
      </c>
      <c r="I49" s="55">
        <v>66238.8</v>
      </c>
      <c r="J49" s="55">
        <v>4399922.7</v>
      </c>
      <c r="K49" s="55">
        <v>575512.69999999995</v>
      </c>
      <c r="L49" s="55">
        <v>12032.5</v>
      </c>
      <c r="M49" s="55">
        <v>81699.199999999997</v>
      </c>
      <c r="N49" s="55">
        <v>7693.7</v>
      </c>
    </row>
    <row r="50" spans="1:14" ht="10.050000000000001" customHeight="1">
      <c r="A50" s="52" t="s">
        <v>309</v>
      </c>
      <c r="B50" s="53">
        <v>2000</v>
      </c>
      <c r="C50" s="52" t="s">
        <v>105</v>
      </c>
      <c r="D50" s="54">
        <v>10</v>
      </c>
      <c r="E50" s="55">
        <v>34723.599999999999</v>
      </c>
      <c r="F50" s="55">
        <v>0</v>
      </c>
      <c r="G50" s="55">
        <v>34723.599999999999</v>
      </c>
      <c r="H50" s="55">
        <v>93656.4</v>
      </c>
      <c r="I50" s="55">
        <v>0</v>
      </c>
      <c r="J50" s="55">
        <v>93656.4</v>
      </c>
      <c r="K50" s="55">
        <v>0</v>
      </c>
      <c r="L50" s="55">
        <v>0</v>
      </c>
      <c r="M50" s="55">
        <v>0</v>
      </c>
      <c r="N50" s="55">
        <v>0</v>
      </c>
    </row>
    <row r="51" spans="1:14" ht="10.050000000000001" hidden="1" customHeight="1">
      <c r="A51" s="52" t="s">
        <v>316</v>
      </c>
      <c r="B51" s="53">
        <v>2000</v>
      </c>
      <c r="C51" s="52" t="s">
        <v>105</v>
      </c>
      <c r="D51" s="54">
        <v>10</v>
      </c>
      <c r="E51" s="55">
        <v>1157.4000000000001</v>
      </c>
      <c r="F51" s="55">
        <v>0</v>
      </c>
      <c r="G51" s="55">
        <v>1157.4000000000001</v>
      </c>
      <c r="H51" s="55">
        <v>1789.1</v>
      </c>
      <c r="I51" s="55">
        <v>11.9</v>
      </c>
      <c r="J51" s="55">
        <v>1801</v>
      </c>
      <c r="K51" s="55">
        <v>4.0999999999999996</v>
      </c>
      <c r="L51" s="55">
        <v>4.0999999999999996</v>
      </c>
      <c r="M51" s="55">
        <v>16.899999999999999</v>
      </c>
      <c r="N51" s="55">
        <v>0</v>
      </c>
    </row>
    <row r="52" spans="1:14" ht="10.050000000000001" hidden="1" customHeight="1">
      <c r="A52" s="52" t="s">
        <v>310</v>
      </c>
      <c r="B52" s="53">
        <v>2000</v>
      </c>
      <c r="C52" s="52" t="s">
        <v>105</v>
      </c>
      <c r="D52" s="54">
        <v>10</v>
      </c>
      <c r="E52" s="55">
        <v>1740.3</v>
      </c>
      <c r="F52" s="55">
        <v>73.2</v>
      </c>
      <c r="G52" s="55">
        <v>1813.5</v>
      </c>
      <c r="H52" s="55">
        <v>37088.699999999997</v>
      </c>
      <c r="I52" s="55">
        <v>1012.4</v>
      </c>
      <c r="J52" s="55">
        <v>38101.1</v>
      </c>
      <c r="K52" s="55">
        <v>4473.8999999999996</v>
      </c>
      <c r="L52" s="55">
        <v>35.6</v>
      </c>
      <c r="M52" s="55">
        <v>637.9</v>
      </c>
      <c r="N52" s="55">
        <v>82</v>
      </c>
    </row>
    <row r="53" spans="1:14" ht="10.050000000000001" hidden="1" customHeight="1">
      <c r="A53" s="52" t="s">
        <v>308</v>
      </c>
      <c r="B53" s="53">
        <v>2000</v>
      </c>
      <c r="C53" s="52" t="s">
        <v>105</v>
      </c>
      <c r="D53" s="54">
        <v>10</v>
      </c>
      <c r="E53" s="55">
        <v>186682.1</v>
      </c>
      <c r="F53" s="55">
        <v>64.7</v>
      </c>
      <c r="G53" s="55">
        <v>186746.8</v>
      </c>
      <c r="H53" s="55">
        <v>191821.3</v>
      </c>
      <c r="I53" s="55">
        <v>529.1</v>
      </c>
      <c r="J53" s="55">
        <v>192350.4</v>
      </c>
      <c r="K53" s="55">
        <v>14306.3</v>
      </c>
      <c r="L53" s="55">
        <v>11455.9</v>
      </c>
      <c r="M53" s="55">
        <v>360.5</v>
      </c>
      <c r="N53" s="55">
        <v>507.7</v>
      </c>
    </row>
    <row r="54" spans="1:14" ht="10.050000000000001" hidden="1" customHeight="1">
      <c r="A54" s="52" t="s">
        <v>174</v>
      </c>
      <c r="B54" s="53">
        <v>2000</v>
      </c>
      <c r="C54" s="52" t="s">
        <v>105</v>
      </c>
      <c r="D54" s="54">
        <v>10</v>
      </c>
      <c r="E54" s="55">
        <v>3762.7</v>
      </c>
      <c r="F54" s="55">
        <v>3369.7</v>
      </c>
      <c r="G54" s="55">
        <v>7132.4</v>
      </c>
      <c r="H54" s="55">
        <v>163621.29999999999</v>
      </c>
      <c r="I54" s="55">
        <v>12770.4</v>
      </c>
      <c r="J54" s="55">
        <v>176391.7</v>
      </c>
      <c r="K54" s="55">
        <v>25583.4</v>
      </c>
      <c r="L54" s="55">
        <v>1116.5</v>
      </c>
      <c r="M54" s="55">
        <v>916</v>
      </c>
      <c r="N54" s="55">
        <v>2859.7</v>
      </c>
    </row>
    <row r="55" spans="1:14" ht="10.050000000000001" hidden="1" customHeight="1">
      <c r="A55" s="52" t="s">
        <v>306</v>
      </c>
      <c r="B55" s="53">
        <v>2000</v>
      </c>
      <c r="C55" s="52" t="s">
        <v>105</v>
      </c>
      <c r="D55" s="54">
        <v>11</v>
      </c>
      <c r="E55" s="55">
        <v>3637.9</v>
      </c>
      <c r="F55" s="55">
        <v>2262.6</v>
      </c>
      <c r="G55" s="55">
        <v>5900.5</v>
      </c>
      <c r="H55" s="55">
        <v>81449.3</v>
      </c>
      <c r="I55" s="55">
        <v>6455.6</v>
      </c>
      <c r="J55" s="55">
        <v>87904.9</v>
      </c>
      <c r="K55" s="55">
        <v>8160.3</v>
      </c>
      <c r="L55" s="55">
        <v>225.5</v>
      </c>
      <c r="M55" s="55">
        <v>1106.8</v>
      </c>
      <c r="N55" s="55">
        <v>198.9</v>
      </c>
    </row>
    <row r="56" spans="1:14" ht="10.050000000000001" hidden="1" customHeight="1">
      <c r="A56" s="52" t="s">
        <v>172</v>
      </c>
      <c r="B56" s="53">
        <v>2000</v>
      </c>
      <c r="C56" s="52" t="s">
        <v>105</v>
      </c>
      <c r="D56" s="54">
        <v>11</v>
      </c>
      <c r="E56" s="55">
        <v>47471.6</v>
      </c>
      <c r="F56" s="55">
        <v>2754.6</v>
      </c>
      <c r="G56" s="55">
        <v>50226.2</v>
      </c>
      <c r="H56" s="55">
        <v>514715.5</v>
      </c>
      <c r="I56" s="55">
        <v>39141.599999999999</v>
      </c>
      <c r="J56" s="55">
        <v>553857.1</v>
      </c>
      <c r="K56" s="55">
        <v>101929.1</v>
      </c>
      <c r="L56" s="55">
        <v>3513.8</v>
      </c>
      <c r="M56" s="55">
        <v>14970</v>
      </c>
      <c r="N56" s="55">
        <v>442.8</v>
      </c>
    </row>
    <row r="57" spans="1:14" ht="10.050000000000001" hidden="1" customHeight="1">
      <c r="A57" s="52" t="s">
        <v>171</v>
      </c>
      <c r="B57" s="53">
        <v>2000</v>
      </c>
      <c r="C57" s="52" t="s">
        <v>105</v>
      </c>
      <c r="D57" s="54">
        <v>11</v>
      </c>
      <c r="E57" s="55">
        <v>820884.2</v>
      </c>
      <c r="F57" s="55">
        <v>27037.9</v>
      </c>
      <c r="G57" s="55">
        <v>847922.1</v>
      </c>
      <c r="H57" s="55">
        <v>9698808.9000000004</v>
      </c>
      <c r="I57" s="55">
        <v>184021.2</v>
      </c>
      <c r="J57" s="55">
        <v>9882830.1000000108</v>
      </c>
      <c r="K57" s="55">
        <v>2930906.5</v>
      </c>
      <c r="L57" s="55">
        <v>196345.1</v>
      </c>
      <c r="M57" s="55">
        <v>265279.40000000002</v>
      </c>
      <c r="N57" s="55">
        <v>14726.7</v>
      </c>
    </row>
    <row r="58" spans="1:14" ht="10.050000000000001" hidden="1" customHeight="1">
      <c r="A58" s="52" t="s">
        <v>300</v>
      </c>
      <c r="B58" s="53">
        <v>2000</v>
      </c>
      <c r="C58" s="52" t="s">
        <v>105</v>
      </c>
      <c r="D58" s="54">
        <v>11</v>
      </c>
      <c r="E58" s="55">
        <v>12.3</v>
      </c>
      <c r="F58" s="55">
        <v>0</v>
      </c>
      <c r="G58" s="55">
        <v>12.3</v>
      </c>
      <c r="H58" s="55">
        <v>113.5</v>
      </c>
      <c r="I58" s="55">
        <v>37.4</v>
      </c>
      <c r="J58" s="55">
        <v>150.9</v>
      </c>
      <c r="K58" s="55">
        <v>0</v>
      </c>
      <c r="L58" s="55">
        <v>0</v>
      </c>
      <c r="M58" s="55">
        <v>0</v>
      </c>
      <c r="N58" s="55">
        <v>0</v>
      </c>
    </row>
    <row r="59" spans="1:14" ht="10.050000000000001" hidden="1" customHeight="1">
      <c r="A59" s="52" t="s">
        <v>307</v>
      </c>
      <c r="B59" s="53">
        <v>2000</v>
      </c>
      <c r="C59" s="52" t="s">
        <v>105</v>
      </c>
      <c r="D59" s="54">
        <v>11</v>
      </c>
      <c r="E59" s="55">
        <v>3633564.6</v>
      </c>
      <c r="F59" s="55">
        <v>55702</v>
      </c>
      <c r="G59" s="55">
        <v>3689266.6</v>
      </c>
      <c r="H59" s="55">
        <v>6095028.0999999996</v>
      </c>
      <c r="I59" s="55">
        <v>146722.9</v>
      </c>
      <c r="J59" s="55">
        <v>6241751</v>
      </c>
      <c r="K59" s="55">
        <v>1861134.4</v>
      </c>
      <c r="L59" s="55">
        <v>765344.4</v>
      </c>
      <c r="M59" s="55">
        <v>151033.70000000001</v>
      </c>
      <c r="N59" s="55">
        <v>70489.7</v>
      </c>
    </row>
    <row r="60" spans="1:14" ht="10.050000000000001" hidden="1" customHeight="1">
      <c r="A60" s="52" t="s">
        <v>315</v>
      </c>
      <c r="B60" s="53">
        <v>2000</v>
      </c>
      <c r="C60" s="52" t="s">
        <v>105</v>
      </c>
      <c r="D60" s="54">
        <v>11</v>
      </c>
      <c r="E60" s="55">
        <v>119.5</v>
      </c>
      <c r="F60" s="55">
        <v>0</v>
      </c>
      <c r="G60" s="55">
        <v>119.5</v>
      </c>
      <c r="H60" s="55">
        <v>5321</v>
      </c>
      <c r="I60" s="55">
        <v>0</v>
      </c>
      <c r="J60" s="55">
        <v>5321</v>
      </c>
      <c r="K60" s="55">
        <v>32</v>
      </c>
      <c r="L60" s="55">
        <v>3.4</v>
      </c>
      <c r="M60" s="55">
        <v>30</v>
      </c>
      <c r="N60" s="55">
        <v>0</v>
      </c>
    </row>
    <row r="61" spans="1:14" ht="10.050000000000001" hidden="1" customHeight="1">
      <c r="A61" s="52" t="s">
        <v>173</v>
      </c>
      <c r="B61" s="53">
        <v>2000</v>
      </c>
      <c r="C61" s="52" t="s">
        <v>105</v>
      </c>
      <c r="D61" s="54">
        <v>11</v>
      </c>
      <c r="E61" s="55">
        <v>117434.6</v>
      </c>
      <c r="F61" s="55">
        <v>30821.599999999999</v>
      </c>
      <c r="G61" s="55">
        <v>148256.20000000001</v>
      </c>
      <c r="H61" s="55">
        <v>3940370.7</v>
      </c>
      <c r="I61" s="55">
        <v>76685.8</v>
      </c>
      <c r="J61" s="55">
        <v>4017056.5</v>
      </c>
      <c r="K61" s="55">
        <v>546916.80000000005</v>
      </c>
      <c r="L61" s="55">
        <v>22446.1</v>
      </c>
      <c r="M61" s="55">
        <v>44919.1</v>
      </c>
      <c r="N61" s="55">
        <v>5909.3</v>
      </c>
    </row>
    <row r="62" spans="1:14" ht="10.050000000000001" customHeight="1">
      <c r="A62" s="52" t="s">
        <v>309</v>
      </c>
      <c r="B62" s="53">
        <v>2000</v>
      </c>
      <c r="C62" s="52" t="s">
        <v>105</v>
      </c>
      <c r="D62" s="54">
        <v>11</v>
      </c>
      <c r="E62" s="55">
        <v>641.29999999999995</v>
      </c>
      <c r="F62" s="55">
        <v>1202.7</v>
      </c>
      <c r="G62" s="55">
        <v>1844</v>
      </c>
      <c r="H62" s="55">
        <v>87914.2</v>
      </c>
      <c r="I62" s="55">
        <v>0</v>
      </c>
      <c r="J62" s="55">
        <v>87914.2</v>
      </c>
      <c r="K62" s="55">
        <v>0</v>
      </c>
      <c r="L62" s="55">
        <v>0</v>
      </c>
      <c r="M62" s="55">
        <v>0</v>
      </c>
      <c r="N62" s="55">
        <v>0</v>
      </c>
    </row>
    <row r="63" spans="1:14" ht="10.050000000000001" hidden="1" customHeight="1">
      <c r="A63" s="52" t="s">
        <v>316</v>
      </c>
      <c r="B63" s="53">
        <v>2000</v>
      </c>
      <c r="C63" s="52" t="s">
        <v>105</v>
      </c>
      <c r="D63" s="54">
        <v>11</v>
      </c>
      <c r="E63" s="55">
        <v>718.9</v>
      </c>
      <c r="F63" s="55">
        <v>53.9</v>
      </c>
      <c r="G63" s="55">
        <v>772.8</v>
      </c>
      <c r="H63" s="55">
        <v>2225.6999999999998</v>
      </c>
      <c r="I63" s="55">
        <v>65.8</v>
      </c>
      <c r="J63" s="55">
        <v>2291.5</v>
      </c>
      <c r="K63" s="55">
        <v>15</v>
      </c>
      <c r="L63" s="55">
        <v>10.9</v>
      </c>
      <c r="M63" s="55">
        <v>0</v>
      </c>
      <c r="N63" s="55">
        <v>0</v>
      </c>
    </row>
    <row r="64" spans="1:14" ht="10.050000000000001" hidden="1" customHeight="1">
      <c r="A64" s="52" t="s">
        <v>310</v>
      </c>
      <c r="B64" s="53">
        <v>2000</v>
      </c>
      <c r="C64" s="52" t="s">
        <v>105</v>
      </c>
      <c r="D64" s="54">
        <v>11</v>
      </c>
      <c r="E64" s="55">
        <v>1695.9</v>
      </c>
      <c r="F64" s="55">
        <v>0</v>
      </c>
      <c r="G64" s="55">
        <v>1695.9</v>
      </c>
      <c r="H64" s="55">
        <v>34185.199999999997</v>
      </c>
      <c r="I64" s="55">
        <v>975.3</v>
      </c>
      <c r="J64" s="55">
        <v>35160.5</v>
      </c>
      <c r="K64" s="55">
        <v>4165.2</v>
      </c>
      <c r="L64" s="55">
        <v>468.8</v>
      </c>
      <c r="M64" s="55">
        <v>749.1</v>
      </c>
      <c r="N64" s="55">
        <v>28.4</v>
      </c>
    </row>
    <row r="65" spans="1:14" ht="10.050000000000001" hidden="1" customHeight="1">
      <c r="A65" s="52" t="s">
        <v>308</v>
      </c>
      <c r="B65" s="53">
        <v>2000</v>
      </c>
      <c r="C65" s="52" t="s">
        <v>105</v>
      </c>
      <c r="D65" s="54">
        <v>11</v>
      </c>
      <c r="E65" s="55">
        <v>37328.9</v>
      </c>
      <c r="F65" s="55">
        <v>345</v>
      </c>
      <c r="G65" s="55">
        <v>37673.9</v>
      </c>
      <c r="H65" s="55">
        <v>191817.4</v>
      </c>
      <c r="I65" s="55">
        <v>529.1</v>
      </c>
      <c r="J65" s="55">
        <v>192346.5</v>
      </c>
      <c r="K65" s="55">
        <v>17593.099999999999</v>
      </c>
      <c r="L65" s="55">
        <v>4614.6000000000004</v>
      </c>
      <c r="M65" s="55">
        <v>1052</v>
      </c>
      <c r="N65" s="55">
        <v>275.8</v>
      </c>
    </row>
    <row r="66" spans="1:14" ht="10.050000000000001" hidden="1" customHeight="1">
      <c r="A66" s="52" t="s">
        <v>174</v>
      </c>
      <c r="B66" s="53">
        <v>2000</v>
      </c>
      <c r="C66" s="52" t="s">
        <v>105</v>
      </c>
      <c r="D66" s="54">
        <v>11</v>
      </c>
      <c r="E66" s="55">
        <v>2306</v>
      </c>
      <c r="F66" s="55">
        <v>467.6</v>
      </c>
      <c r="G66" s="55">
        <v>2773.6</v>
      </c>
      <c r="H66" s="55">
        <v>138219.1</v>
      </c>
      <c r="I66" s="55">
        <v>9513.6</v>
      </c>
      <c r="J66" s="55">
        <v>147732.70000000001</v>
      </c>
      <c r="K66" s="55">
        <v>23545.8</v>
      </c>
      <c r="L66" s="55">
        <v>1491</v>
      </c>
      <c r="M66" s="55">
        <v>1245.4000000000001</v>
      </c>
      <c r="N66" s="55">
        <v>2283.1999999999998</v>
      </c>
    </row>
    <row r="67" spans="1:14" ht="10.050000000000001" hidden="1" customHeight="1">
      <c r="A67" s="52" t="s">
        <v>306</v>
      </c>
      <c r="B67" s="53">
        <v>2000</v>
      </c>
      <c r="C67" s="52" t="s">
        <v>105</v>
      </c>
      <c r="D67" s="54">
        <v>12</v>
      </c>
      <c r="E67" s="55">
        <v>3409.8</v>
      </c>
      <c r="F67" s="55">
        <v>653</v>
      </c>
      <c r="G67" s="55">
        <v>4062.8</v>
      </c>
      <c r="H67" s="55">
        <v>72629.3</v>
      </c>
      <c r="I67" s="55">
        <v>5885.4</v>
      </c>
      <c r="J67" s="55">
        <v>78514.7</v>
      </c>
      <c r="K67" s="55">
        <v>7014.6</v>
      </c>
      <c r="L67" s="55">
        <v>235</v>
      </c>
      <c r="M67" s="55">
        <v>959.7</v>
      </c>
      <c r="N67" s="55">
        <v>421</v>
      </c>
    </row>
    <row r="68" spans="1:14" ht="10.050000000000001" hidden="1" customHeight="1">
      <c r="A68" s="52" t="s">
        <v>172</v>
      </c>
      <c r="B68" s="53">
        <v>2000</v>
      </c>
      <c r="C68" s="52" t="s">
        <v>105</v>
      </c>
      <c r="D68" s="54">
        <v>12</v>
      </c>
      <c r="E68" s="55">
        <v>59659.5</v>
      </c>
      <c r="F68" s="55">
        <v>2356.5</v>
      </c>
      <c r="G68" s="55">
        <v>62016</v>
      </c>
      <c r="H68" s="55">
        <v>484672.4</v>
      </c>
      <c r="I68" s="55">
        <v>31033.9</v>
      </c>
      <c r="J68" s="55">
        <v>515706.3</v>
      </c>
      <c r="K68" s="55">
        <v>96187.199999999997</v>
      </c>
      <c r="L68" s="55">
        <v>10367.299999999999</v>
      </c>
      <c r="M68" s="55">
        <v>15783.4</v>
      </c>
      <c r="N68" s="55">
        <v>325.8</v>
      </c>
    </row>
    <row r="69" spans="1:14" ht="10.050000000000001" hidden="1" customHeight="1">
      <c r="A69" s="52" t="s">
        <v>171</v>
      </c>
      <c r="B69" s="53">
        <v>2000</v>
      </c>
      <c r="C69" s="52" t="s">
        <v>105</v>
      </c>
      <c r="D69" s="54">
        <v>12</v>
      </c>
      <c r="E69" s="55">
        <v>1103307.7</v>
      </c>
      <c r="F69" s="55">
        <v>18179.5</v>
      </c>
      <c r="G69" s="55">
        <v>1121487.2</v>
      </c>
      <c r="H69" s="55">
        <v>8430190.4000000004</v>
      </c>
      <c r="I69" s="55">
        <v>132497.70000000001</v>
      </c>
      <c r="J69" s="55">
        <v>8562688.0999999996</v>
      </c>
      <c r="K69" s="55">
        <v>2646661.7999999998</v>
      </c>
      <c r="L69" s="55">
        <v>237881.4</v>
      </c>
      <c r="M69" s="55">
        <v>500075.8</v>
      </c>
      <c r="N69" s="55">
        <v>22050.3</v>
      </c>
    </row>
    <row r="70" spans="1:14" ht="10.050000000000001" hidden="1" customHeight="1">
      <c r="A70" s="52" t="s">
        <v>300</v>
      </c>
      <c r="B70" s="53">
        <v>2000</v>
      </c>
      <c r="C70" s="52" t="s">
        <v>105</v>
      </c>
      <c r="D70" s="54">
        <v>12</v>
      </c>
      <c r="E70" s="55">
        <v>20.9</v>
      </c>
      <c r="F70" s="55">
        <v>0</v>
      </c>
      <c r="G70" s="55">
        <v>20.9</v>
      </c>
      <c r="H70" s="55">
        <v>116</v>
      </c>
      <c r="I70" s="55">
        <v>36.4</v>
      </c>
      <c r="J70" s="55">
        <v>152.4</v>
      </c>
      <c r="K70" s="55">
        <v>0</v>
      </c>
      <c r="L70" s="55">
        <v>0</v>
      </c>
      <c r="M70" s="55">
        <v>0</v>
      </c>
      <c r="N70" s="55">
        <v>0</v>
      </c>
    </row>
    <row r="71" spans="1:14" ht="10.050000000000001" hidden="1" customHeight="1">
      <c r="A71" s="52" t="s">
        <v>307</v>
      </c>
      <c r="B71" s="53">
        <v>2000</v>
      </c>
      <c r="C71" s="52" t="s">
        <v>105</v>
      </c>
      <c r="D71" s="54">
        <v>12</v>
      </c>
      <c r="E71" s="55">
        <v>1555423.6</v>
      </c>
      <c r="F71" s="55">
        <v>14507.2</v>
      </c>
      <c r="G71" s="55">
        <v>1569930.8</v>
      </c>
      <c r="H71" s="55">
        <v>6531132.9000000004</v>
      </c>
      <c r="I71" s="55">
        <v>150597</v>
      </c>
      <c r="J71" s="55">
        <v>6681729.9000000004</v>
      </c>
      <c r="K71" s="55">
        <v>1978289.4</v>
      </c>
      <c r="L71" s="55">
        <v>372337.7</v>
      </c>
      <c r="M71" s="55">
        <v>185919.8</v>
      </c>
      <c r="N71" s="55">
        <v>67872.600000000006</v>
      </c>
    </row>
    <row r="72" spans="1:14" ht="10.050000000000001" hidden="1" customHeight="1">
      <c r="A72" s="52" t="s">
        <v>315</v>
      </c>
      <c r="B72" s="53">
        <v>2000</v>
      </c>
      <c r="C72" s="52" t="s">
        <v>105</v>
      </c>
      <c r="D72" s="54">
        <v>12</v>
      </c>
      <c r="E72" s="55">
        <v>10.3</v>
      </c>
      <c r="F72" s="55">
        <v>0</v>
      </c>
      <c r="G72" s="55">
        <v>10.3</v>
      </c>
      <c r="H72" s="55">
        <v>5074.3</v>
      </c>
      <c r="I72" s="55">
        <v>0</v>
      </c>
      <c r="J72" s="55">
        <v>5074.3</v>
      </c>
      <c r="K72" s="55">
        <v>36.1</v>
      </c>
      <c r="L72" s="55">
        <v>4.0999999999999996</v>
      </c>
      <c r="M72" s="55">
        <v>0</v>
      </c>
      <c r="N72" s="55">
        <v>0</v>
      </c>
    </row>
    <row r="73" spans="1:14" ht="10.050000000000001" hidden="1" customHeight="1">
      <c r="A73" s="52" t="s">
        <v>173</v>
      </c>
      <c r="B73" s="53">
        <v>2000</v>
      </c>
      <c r="C73" s="52" t="s">
        <v>105</v>
      </c>
      <c r="D73" s="54">
        <v>12</v>
      </c>
      <c r="E73" s="55">
        <v>163257.9</v>
      </c>
      <c r="F73" s="55">
        <v>17163.7</v>
      </c>
      <c r="G73" s="55">
        <v>180421.6</v>
      </c>
      <c r="H73" s="55">
        <v>3590215.6</v>
      </c>
      <c r="I73" s="55">
        <v>63739.199999999997</v>
      </c>
      <c r="J73" s="55">
        <v>3653954.8</v>
      </c>
      <c r="K73" s="55">
        <v>478868.5</v>
      </c>
      <c r="L73" s="55">
        <v>23180.2</v>
      </c>
      <c r="M73" s="55">
        <v>84167.8</v>
      </c>
      <c r="N73" s="55">
        <v>7060.7</v>
      </c>
    </row>
    <row r="74" spans="1:14" ht="10.050000000000001" customHeight="1">
      <c r="A74" s="52" t="s">
        <v>309</v>
      </c>
      <c r="B74" s="53">
        <v>2000</v>
      </c>
      <c r="C74" s="52" t="s">
        <v>105</v>
      </c>
      <c r="D74" s="54">
        <v>12</v>
      </c>
      <c r="E74" s="55">
        <v>1216.2</v>
      </c>
      <c r="F74" s="55">
        <v>0</v>
      </c>
      <c r="G74" s="55">
        <v>1216.2</v>
      </c>
      <c r="H74" s="55">
        <v>82348.800000000003</v>
      </c>
      <c r="I74" s="55">
        <v>0</v>
      </c>
      <c r="J74" s="55">
        <v>82348.800000000003</v>
      </c>
      <c r="K74" s="55">
        <v>0</v>
      </c>
      <c r="L74" s="55">
        <v>0</v>
      </c>
      <c r="M74" s="55">
        <v>0</v>
      </c>
      <c r="N74" s="55">
        <v>0</v>
      </c>
    </row>
    <row r="75" spans="1:14" ht="10.050000000000001" hidden="1" customHeight="1">
      <c r="A75" s="52" t="s">
        <v>316</v>
      </c>
      <c r="B75" s="53">
        <v>2000</v>
      </c>
      <c r="C75" s="52" t="s">
        <v>105</v>
      </c>
      <c r="D75" s="54">
        <v>12</v>
      </c>
      <c r="E75" s="55">
        <v>253.9</v>
      </c>
      <c r="F75" s="55">
        <v>0</v>
      </c>
      <c r="G75" s="55">
        <v>253.9</v>
      </c>
      <c r="H75" s="55">
        <v>2140.1</v>
      </c>
      <c r="I75" s="55">
        <v>65.8</v>
      </c>
      <c r="J75" s="55">
        <v>2205.9</v>
      </c>
      <c r="K75" s="55">
        <v>25</v>
      </c>
      <c r="L75" s="55">
        <v>19.600000000000001</v>
      </c>
      <c r="M75" s="55">
        <v>9.6</v>
      </c>
      <c r="N75" s="55">
        <v>0</v>
      </c>
    </row>
    <row r="76" spans="1:14" ht="10.050000000000001" hidden="1" customHeight="1">
      <c r="A76" s="52" t="s">
        <v>310</v>
      </c>
      <c r="B76" s="53">
        <v>2000</v>
      </c>
      <c r="C76" s="52" t="s">
        <v>105</v>
      </c>
      <c r="D76" s="54">
        <v>12</v>
      </c>
      <c r="E76" s="55">
        <v>1753.1</v>
      </c>
      <c r="F76" s="55">
        <v>0</v>
      </c>
      <c r="G76" s="55">
        <v>1753.1</v>
      </c>
      <c r="H76" s="55">
        <v>31961.3</v>
      </c>
      <c r="I76" s="55">
        <v>568.20000000000005</v>
      </c>
      <c r="J76" s="55">
        <v>32529.5</v>
      </c>
      <c r="K76" s="55">
        <v>3153.7</v>
      </c>
      <c r="L76" s="55">
        <v>136.80000000000001</v>
      </c>
      <c r="M76" s="55">
        <v>740.6</v>
      </c>
      <c r="N76" s="55">
        <v>407.7</v>
      </c>
    </row>
    <row r="77" spans="1:14" ht="10.050000000000001" hidden="1" customHeight="1">
      <c r="A77" s="52" t="s">
        <v>308</v>
      </c>
      <c r="B77" s="53">
        <v>2000</v>
      </c>
      <c r="C77" s="52" t="s">
        <v>105</v>
      </c>
      <c r="D77" s="54">
        <v>12</v>
      </c>
      <c r="E77" s="55">
        <v>14510.3</v>
      </c>
      <c r="F77" s="55">
        <v>3.9</v>
      </c>
      <c r="G77" s="55">
        <v>14514.2</v>
      </c>
      <c r="H77" s="55">
        <v>170615.5</v>
      </c>
      <c r="I77" s="55">
        <v>559</v>
      </c>
      <c r="J77" s="55">
        <v>171174.5</v>
      </c>
      <c r="K77" s="55">
        <v>17665.3</v>
      </c>
      <c r="L77" s="55">
        <v>2259.1</v>
      </c>
      <c r="M77" s="55">
        <v>2088.1</v>
      </c>
      <c r="N77" s="55">
        <v>98.8</v>
      </c>
    </row>
    <row r="78" spans="1:14" ht="10.050000000000001" hidden="1" customHeight="1">
      <c r="A78" s="52" t="s">
        <v>174</v>
      </c>
      <c r="B78" s="53">
        <v>2000</v>
      </c>
      <c r="C78" s="52" t="s">
        <v>105</v>
      </c>
      <c r="D78" s="54">
        <v>12</v>
      </c>
      <c r="E78" s="55">
        <v>3544.3</v>
      </c>
      <c r="F78" s="55">
        <v>322</v>
      </c>
      <c r="G78" s="55">
        <v>3866.3</v>
      </c>
      <c r="H78" s="55">
        <v>117520.5</v>
      </c>
      <c r="I78" s="55">
        <v>5607.8</v>
      </c>
      <c r="J78" s="55">
        <v>123128.3</v>
      </c>
      <c r="K78" s="55">
        <v>21490.7</v>
      </c>
      <c r="L78" s="55">
        <v>1004.6</v>
      </c>
      <c r="M78" s="55">
        <v>751</v>
      </c>
      <c r="N78" s="55">
        <v>2308.6999999999998</v>
      </c>
    </row>
    <row r="79" spans="1:14" ht="10.050000000000001" hidden="1" customHeight="1">
      <c r="A79" s="52" t="s">
        <v>306</v>
      </c>
      <c r="B79" s="53">
        <v>2000</v>
      </c>
      <c r="C79" s="52" t="s">
        <v>108</v>
      </c>
      <c r="D79" s="54">
        <v>7</v>
      </c>
      <c r="E79" s="55">
        <v>0</v>
      </c>
      <c r="F79" s="55">
        <v>0</v>
      </c>
      <c r="G79" s="55">
        <v>0</v>
      </c>
      <c r="H79" s="55">
        <v>6.9</v>
      </c>
      <c r="I79" s="55">
        <v>0</v>
      </c>
      <c r="J79" s="55">
        <v>6.9</v>
      </c>
      <c r="K79" s="55">
        <v>0</v>
      </c>
      <c r="L79" s="55">
        <v>0</v>
      </c>
      <c r="M79" s="55">
        <v>0</v>
      </c>
      <c r="N79" s="55">
        <v>0</v>
      </c>
    </row>
    <row r="80" spans="1:14" ht="10.050000000000001" hidden="1" customHeight="1">
      <c r="A80" s="52" t="s">
        <v>172</v>
      </c>
      <c r="B80" s="53">
        <v>2000</v>
      </c>
      <c r="C80" s="52" t="s">
        <v>109</v>
      </c>
      <c r="D80" s="54">
        <v>7</v>
      </c>
      <c r="E80" s="55">
        <v>0</v>
      </c>
      <c r="F80" s="55">
        <v>0</v>
      </c>
      <c r="G80" s="55">
        <v>0</v>
      </c>
      <c r="H80" s="55">
        <v>21.5</v>
      </c>
      <c r="I80" s="55">
        <v>0</v>
      </c>
      <c r="J80" s="55">
        <v>21.5</v>
      </c>
      <c r="K80" s="55">
        <v>0</v>
      </c>
      <c r="L80" s="55">
        <v>0</v>
      </c>
      <c r="M80" s="55">
        <v>0</v>
      </c>
      <c r="N80" s="55">
        <v>0</v>
      </c>
    </row>
    <row r="81" spans="1:14" ht="10.050000000000001" hidden="1" customHeight="1">
      <c r="A81" s="52" t="s">
        <v>171</v>
      </c>
      <c r="B81" s="53">
        <v>2000</v>
      </c>
      <c r="C81" s="52" t="s">
        <v>109</v>
      </c>
      <c r="D81" s="54">
        <v>7</v>
      </c>
      <c r="E81" s="55">
        <v>0</v>
      </c>
      <c r="F81" s="55">
        <v>0</v>
      </c>
      <c r="G81" s="55">
        <v>0</v>
      </c>
      <c r="H81" s="55">
        <v>91.7</v>
      </c>
      <c r="I81" s="55">
        <v>0</v>
      </c>
      <c r="J81" s="55">
        <v>91.7</v>
      </c>
      <c r="K81" s="55">
        <v>0</v>
      </c>
      <c r="L81" s="55">
        <v>0</v>
      </c>
      <c r="M81" s="55">
        <v>0</v>
      </c>
      <c r="N81" s="55">
        <v>0</v>
      </c>
    </row>
    <row r="82" spans="1:14" ht="10.050000000000001" hidden="1" customHeight="1">
      <c r="A82" s="52" t="s">
        <v>300</v>
      </c>
      <c r="B82" s="53">
        <v>2000</v>
      </c>
      <c r="C82" s="52" t="s">
        <v>109</v>
      </c>
      <c r="D82" s="54">
        <v>7</v>
      </c>
      <c r="E82" s="55">
        <v>0</v>
      </c>
      <c r="F82" s="55">
        <v>0</v>
      </c>
      <c r="G82" s="55">
        <v>0</v>
      </c>
      <c r="H82" s="55">
        <v>1.8</v>
      </c>
      <c r="I82" s="55">
        <v>0</v>
      </c>
      <c r="J82" s="55">
        <v>1.8</v>
      </c>
      <c r="K82" s="55">
        <v>0</v>
      </c>
      <c r="L82" s="55">
        <v>0</v>
      </c>
      <c r="M82" s="55">
        <v>0</v>
      </c>
      <c r="N82" s="55">
        <v>0</v>
      </c>
    </row>
    <row r="83" spans="1:14" ht="10.050000000000001" hidden="1" customHeight="1">
      <c r="A83" s="52" t="s">
        <v>173</v>
      </c>
      <c r="B83" s="53">
        <v>2000</v>
      </c>
      <c r="C83" s="52" t="s">
        <v>109</v>
      </c>
      <c r="D83" s="54">
        <v>7</v>
      </c>
      <c r="E83" s="55">
        <v>0</v>
      </c>
      <c r="F83" s="55">
        <v>0</v>
      </c>
      <c r="G83" s="55">
        <v>0</v>
      </c>
      <c r="H83" s="55">
        <v>103.6</v>
      </c>
      <c r="I83" s="55">
        <v>0</v>
      </c>
      <c r="J83" s="55">
        <v>103.6</v>
      </c>
      <c r="K83" s="55">
        <v>0</v>
      </c>
      <c r="L83" s="55">
        <v>0</v>
      </c>
      <c r="M83" s="55">
        <v>0</v>
      </c>
      <c r="N83" s="55">
        <v>0</v>
      </c>
    </row>
    <row r="84" spans="1:14" ht="10.050000000000001" hidden="1" customHeight="1">
      <c r="A84" s="52" t="s">
        <v>306</v>
      </c>
      <c r="B84" s="53">
        <v>2000</v>
      </c>
      <c r="C84" s="52" t="s">
        <v>106</v>
      </c>
      <c r="D84" s="54">
        <v>7</v>
      </c>
      <c r="E84" s="55">
        <v>20.399999999999999</v>
      </c>
      <c r="F84" s="55">
        <v>0</v>
      </c>
      <c r="G84" s="55">
        <v>20.399999999999999</v>
      </c>
      <c r="H84" s="55">
        <v>254.8</v>
      </c>
      <c r="I84" s="55">
        <v>0</v>
      </c>
      <c r="J84" s="55">
        <v>254.8</v>
      </c>
      <c r="K84" s="55">
        <v>0</v>
      </c>
      <c r="L84" s="55">
        <v>0</v>
      </c>
      <c r="M84" s="55">
        <v>0</v>
      </c>
      <c r="N84" s="55">
        <v>0</v>
      </c>
    </row>
    <row r="85" spans="1:14" ht="10.050000000000001" hidden="1" customHeight="1">
      <c r="A85" s="52" t="s">
        <v>171</v>
      </c>
      <c r="B85" s="53">
        <v>2000</v>
      </c>
      <c r="C85" s="52" t="s">
        <v>106</v>
      </c>
      <c r="D85" s="54">
        <v>7</v>
      </c>
      <c r="E85" s="55">
        <v>232.2</v>
      </c>
      <c r="F85" s="55">
        <v>0</v>
      </c>
      <c r="G85" s="55">
        <v>232.2</v>
      </c>
      <c r="H85" s="55">
        <v>18188.599999999999</v>
      </c>
      <c r="I85" s="55">
        <v>0</v>
      </c>
      <c r="J85" s="55">
        <v>18188.599999999999</v>
      </c>
      <c r="K85" s="55">
        <v>0</v>
      </c>
      <c r="L85" s="55">
        <v>0</v>
      </c>
      <c r="M85" s="55">
        <v>0</v>
      </c>
      <c r="N85" s="55">
        <v>0</v>
      </c>
    </row>
    <row r="86" spans="1:14" ht="10.050000000000001" hidden="1" customHeight="1">
      <c r="A86" s="52" t="s">
        <v>307</v>
      </c>
      <c r="B86" s="53">
        <v>2000</v>
      </c>
      <c r="C86" s="52" t="s">
        <v>106</v>
      </c>
      <c r="D86" s="54">
        <v>7</v>
      </c>
      <c r="E86" s="55">
        <v>0</v>
      </c>
      <c r="F86" s="55">
        <v>0</v>
      </c>
      <c r="G86" s="55">
        <v>0</v>
      </c>
      <c r="H86" s="55">
        <v>4398.3999999999996</v>
      </c>
      <c r="I86" s="55">
        <v>0</v>
      </c>
      <c r="J86" s="55">
        <v>4398.3999999999996</v>
      </c>
      <c r="K86" s="55">
        <v>0</v>
      </c>
      <c r="L86" s="55">
        <v>0</v>
      </c>
      <c r="M86" s="55">
        <v>0</v>
      </c>
      <c r="N86" s="55">
        <v>0</v>
      </c>
    </row>
    <row r="87" spans="1:14" ht="10.050000000000001" hidden="1" customHeight="1">
      <c r="A87" s="52" t="s">
        <v>173</v>
      </c>
      <c r="B87" s="53">
        <v>2000</v>
      </c>
      <c r="C87" s="52" t="s">
        <v>106</v>
      </c>
      <c r="D87" s="54">
        <v>7</v>
      </c>
      <c r="E87" s="55">
        <v>261.2</v>
      </c>
      <c r="F87" s="55">
        <v>0</v>
      </c>
      <c r="G87" s="55">
        <v>261.2</v>
      </c>
      <c r="H87" s="55">
        <v>12077.2</v>
      </c>
      <c r="I87" s="55">
        <v>0</v>
      </c>
      <c r="J87" s="55">
        <v>12077.2</v>
      </c>
      <c r="K87" s="55">
        <v>0</v>
      </c>
      <c r="L87" s="55">
        <v>0</v>
      </c>
      <c r="M87" s="55">
        <v>0</v>
      </c>
      <c r="N87" s="55">
        <v>0</v>
      </c>
    </row>
    <row r="88" spans="1:14" ht="10.050000000000001" hidden="1" customHeight="1">
      <c r="A88" s="52" t="s">
        <v>316</v>
      </c>
      <c r="B88" s="53">
        <v>2000</v>
      </c>
      <c r="C88" s="52" t="s">
        <v>106</v>
      </c>
      <c r="D88" s="54">
        <v>7</v>
      </c>
      <c r="E88" s="55">
        <v>0</v>
      </c>
      <c r="F88" s="55">
        <v>0</v>
      </c>
      <c r="G88" s="55">
        <v>0</v>
      </c>
      <c r="H88" s="55">
        <v>1.4</v>
      </c>
      <c r="I88" s="55">
        <v>0</v>
      </c>
      <c r="J88" s="55">
        <v>1.4</v>
      </c>
      <c r="K88" s="55">
        <v>0</v>
      </c>
      <c r="L88" s="55">
        <v>0</v>
      </c>
      <c r="M88" s="55">
        <v>0</v>
      </c>
      <c r="N88" s="55">
        <v>0</v>
      </c>
    </row>
    <row r="89" spans="1:14" ht="10.050000000000001" hidden="1" customHeight="1">
      <c r="A89" s="52" t="s">
        <v>310</v>
      </c>
      <c r="B89" s="53">
        <v>2000</v>
      </c>
      <c r="C89" s="52" t="s">
        <v>106</v>
      </c>
      <c r="D89" s="54">
        <v>7</v>
      </c>
      <c r="E89" s="55">
        <v>0</v>
      </c>
      <c r="F89" s="55">
        <v>0</v>
      </c>
      <c r="G89" s="55">
        <v>0</v>
      </c>
      <c r="H89" s="55">
        <v>188.1</v>
      </c>
      <c r="I89" s="55">
        <v>0</v>
      </c>
      <c r="J89" s="55">
        <v>188.1</v>
      </c>
      <c r="K89" s="55">
        <v>0</v>
      </c>
      <c r="L89" s="55">
        <v>0</v>
      </c>
      <c r="M89" s="55">
        <v>0</v>
      </c>
      <c r="N89" s="55">
        <v>0</v>
      </c>
    </row>
    <row r="90" spans="1:14" ht="10.050000000000001" hidden="1" customHeight="1">
      <c r="A90" s="52" t="s">
        <v>174</v>
      </c>
      <c r="B90" s="53">
        <v>2000</v>
      </c>
      <c r="C90" s="52" t="s">
        <v>106</v>
      </c>
      <c r="D90" s="54">
        <v>7</v>
      </c>
      <c r="E90" s="55">
        <v>14.8</v>
      </c>
      <c r="F90" s="55">
        <v>0</v>
      </c>
      <c r="G90" s="55">
        <v>14.8</v>
      </c>
      <c r="H90" s="55">
        <v>29.6</v>
      </c>
      <c r="I90" s="55">
        <v>0</v>
      </c>
      <c r="J90" s="55">
        <v>29.6</v>
      </c>
      <c r="K90" s="55">
        <v>0</v>
      </c>
      <c r="L90" s="55">
        <v>0</v>
      </c>
      <c r="M90" s="55">
        <v>0</v>
      </c>
      <c r="N90" s="55">
        <v>0</v>
      </c>
    </row>
    <row r="91" spans="1:14" ht="10.050000000000001" hidden="1" customHeight="1">
      <c r="A91" s="52" t="s">
        <v>306</v>
      </c>
      <c r="B91" s="53">
        <v>2000</v>
      </c>
      <c r="C91" s="52" t="s">
        <v>106</v>
      </c>
      <c r="D91" s="54">
        <v>8</v>
      </c>
      <c r="E91" s="55">
        <v>9.1999999999999993</v>
      </c>
      <c r="F91" s="55">
        <v>0</v>
      </c>
      <c r="G91" s="55">
        <v>9.1999999999999993</v>
      </c>
      <c r="H91" s="55">
        <v>0</v>
      </c>
      <c r="I91" s="55">
        <v>0</v>
      </c>
      <c r="J91" s="55">
        <v>0</v>
      </c>
      <c r="K91" s="55">
        <v>0</v>
      </c>
      <c r="L91" s="55">
        <v>0</v>
      </c>
      <c r="M91" s="55">
        <v>0</v>
      </c>
      <c r="N91" s="55">
        <v>0</v>
      </c>
    </row>
    <row r="92" spans="1:14" ht="10.050000000000001" hidden="1" customHeight="1">
      <c r="A92" s="52" t="s">
        <v>171</v>
      </c>
      <c r="B92" s="53">
        <v>2000</v>
      </c>
      <c r="C92" s="52" t="s">
        <v>106</v>
      </c>
      <c r="D92" s="54">
        <v>8</v>
      </c>
      <c r="E92" s="55">
        <v>2884.5</v>
      </c>
      <c r="F92" s="55">
        <v>0</v>
      </c>
      <c r="G92" s="55">
        <v>2884.5</v>
      </c>
      <c r="H92" s="55">
        <v>700.6</v>
      </c>
      <c r="I92" s="55">
        <v>0</v>
      </c>
      <c r="J92" s="55">
        <v>700.6</v>
      </c>
      <c r="K92" s="55">
        <v>0</v>
      </c>
      <c r="L92" s="55">
        <v>0</v>
      </c>
      <c r="M92" s="55">
        <v>0</v>
      </c>
      <c r="N92" s="55">
        <v>0</v>
      </c>
    </row>
    <row r="93" spans="1:14" ht="10.050000000000001" hidden="1" customHeight="1">
      <c r="A93" s="52" t="s">
        <v>173</v>
      </c>
      <c r="B93" s="53">
        <v>2000</v>
      </c>
      <c r="C93" s="52" t="s">
        <v>106</v>
      </c>
      <c r="D93" s="54">
        <v>8</v>
      </c>
      <c r="E93" s="55">
        <v>238.8</v>
      </c>
      <c r="F93" s="55">
        <v>0</v>
      </c>
      <c r="G93" s="55">
        <v>238.8</v>
      </c>
      <c r="H93" s="55">
        <v>0</v>
      </c>
      <c r="I93" s="55">
        <v>0</v>
      </c>
      <c r="J93" s="55">
        <v>0</v>
      </c>
      <c r="K93" s="55">
        <v>0</v>
      </c>
      <c r="L93" s="55">
        <v>0</v>
      </c>
      <c r="M93" s="55">
        <v>0</v>
      </c>
      <c r="N93" s="55">
        <v>0</v>
      </c>
    </row>
    <row r="94" spans="1:14" ht="10.050000000000001" hidden="1" customHeight="1">
      <c r="A94" s="52" t="s">
        <v>174</v>
      </c>
      <c r="B94" s="53">
        <v>2000</v>
      </c>
      <c r="C94" s="52" t="s">
        <v>106</v>
      </c>
      <c r="D94" s="54">
        <v>8</v>
      </c>
      <c r="E94" s="55">
        <v>226.8</v>
      </c>
      <c r="F94" s="55">
        <v>0</v>
      </c>
      <c r="G94" s="55">
        <v>226.8</v>
      </c>
      <c r="H94" s="55">
        <v>117.5</v>
      </c>
      <c r="I94" s="55">
        <v>0</v>
      </c>
      <c r="J94" s="55">
        <v>117.5</v>
      </c>
      <c r="K94" s="55">
        <v>0</v>
      </c>
      <c r="L94" s="55">
        <v>0</v>
      </c>
      <c r="M94" s="55">
        <v>0</v>
      </c>
      <c r="N94" s="55">
        <v>0</v>
      </c>
    </row>
    <row r="95" spans="1:14" ht="10.050000000000001" hidden="1" customHeight="1">
      <c r="A95" s="52" t="s">
        <v>171</v>
      </c>
      <c r="B95" s="53">
        <v>2000</v>
      </c>
      <c r="C95" s="52" t="s">
        <v>106</v>
      </c>
      <c r="D95" s="54">
        <v>9</v>
      </c>
      <c r="E95" s="55">
        <v>78.8</v>
      </c>
      <c r="F95" s="55">
        <v>0</v>
      </c>
      <c r="G95" s="55">
        <v>78.8</v>
      </c>
      <c r="H95" s="55">
        <v>0</v>
      </c>
      <c r="I95" s="55">
        <v>0</v>
      </c>
      <c r="J95" s="55">
        <v>0</v>
      </c>
      <c r="K95" s="55">
        <v>0</v>
      </c>
      <c r="L95" s="55">
        <v>0</v>
      </c>
      <c r="M95" s="55">
        <v>0</v>
      </c>
      <c r="N95" s="55">
        <v>0</v>
      </c>
    </row>
    <row r="96" spans="1:14" ht="10.050000000000001" hidden="1" customHeight="1">
      <c r="A96" s="52" t="s">
        <v>171</v>
      </c>
      <c r="B96" s="53">
        <v>2000</v>
      </c>
      <c r="C96" s="52" t="s">
        <v>110</v>
      </c>
      <c r="D96" s="54">
        <v>9</v>
      </c>
      <c r="E96" s="55">
        <v>1837</v>
      </c>
      <c r="F96" s="55">
        <v>0</v>
      </c>
      <c r="G96" s="55">
        <v>1837</v>
      </c>
      <c r="H96" s="55">
        <v>0</v>
      </c>
      <c r="I96" s="55">
        <v>0</v>
      </c>
      <c r="J96" s="55">
        <v>0</v>
      </c>
      <c r="K96" s="55">
        <v>0</v>
      </c>
      <c r="L96" s="55">
        <v>0</v>
      </c>
      <c r="M96" s="55">
        <v>0</v>
      </c>
      <c r="N96" s="55">
        <v>0</v>
      </c>
    </row>
    <row r="97" spans="1:14" ht="10.050000000000001" hidden="1" customHeight="1">
      <c r="A97" s="52" t="s">
        <v>173</v>
      </c>
      <c r="B97" s="53">
        <v>2000</v>
      </c>
      <c r="C97" s="52" t="s">
        <v>110</v>
      </c>
      <c r="D97" s="54">
        <v>9</v>
      </c>
      <c r="E97" s="55">
        <v>24</v>
      </c>
      <c r="F97" s="55">
        <v>0</v>
      </c>
      <c r="G97" s="55">
        <v>24</v>
      </c>
      <c r="H97" s="55">
        <v>0</v>
      </c>
      <c r="I97" s="55">
        <v>0</v>
      </c>
      <c r="J97" s="55">
        <v>0</v>
      </c>
      <c r="K97" s="55">
        <v>0</v>
      </c>
      <c r="L97" s="55">
        <v>0</v>
      </c>
      <c r="M97" s="55">
        <v>0</v>
      </c>
      <c r="N97" s="55">
        <v>0</v>
      </c>
    </row>
    <row r="98" spans="1:14" ht="10.050000000000001" hidden="1" customHeight="1">
      <c r="A98" s="52" t="s">
        <v>171</v>
      </c>
      <c r="B98" s="53">
        <v>2000</v>
      </c>
      <c r="C98" s="52" t="s">
        <v>112</v>
      </c>
      <c r="D98" s="54">
        <v>8</v>
      </c>
      <c r="E98" s="55">
        <v>835</v>
      </c>
      <c r="F98" s="55">
        <v>0</v>
      </c>
      <c r="G98" s="55">
        <v>835</v>
      </c>
      <c r="H98" s="55">
        <v>0</v>
      </c>
      <c r="I98" s="55">
        <v>0</v>
      </c>
      <c r="J98" s="55">
        <v>0</v>
      </c>
      <c r="K98" s="55">
        <v>0</v>
      </c>
      <c r="L98" s="55">
        <v>0</v>
      </c>
      <c r="M98" s="55">
        <v>0</v>
      </c>
      <c r="N98" s="55">
        <v>0</v>
      </c>
    </row>
    <row r="99" spans="1:14" ht="10.050000000000001" hidden="1" customHeight="1">
      <c r="A99" s="52" t="s">
        <v>173</v>
      </c>
      <c r="B99" s="53">
        <v>2000</v>
      </c>
      <c r="C99" s="52" t="s">
        <v>112</v>
      </c>
      <c r="D99" s="54">
        <v>8</v>
      </c>
      <c r="E99" s="55">
        <v>213</v>
      </c>
      <c r="F99" s="55">
        <v>0</v>
      </c>
      <c r="G99" s="55">
        <v>213</v>
      </c>
      <c r="H99" s="55">
        <v>0</v>
      </c>
      <c r="I99" s="55">
        <v>0</v>
      </c>
      <c r="J99" s="55">
        <v>0</v>
      </c>
      <c r="K99" s="55">
        <v>0</v>
      </c>
      <c r="L99" s="55">
        <v>0</v>
      </c>
      <c r="M99" s="55">
        <v>0</v>
      </c>
      <c r="N99" s="55">
        <v>0</v>
      </c>
    </row>
    <row r="100" spans="1:14" ht="10.050000000000001" hidden="1" customHeight="1">
      <c r="A100" s="52" t="s">
        <v>173</v>
      </c>
      <c r="B100" s="53">
        <v>2000</v>
      </c>
      <c r="C100" s="52" t="s">
        <v>113</v>
      </c>
      <c r="D100" s="54">
        <v>7</v>
      </c>
      <c r="E100" s="55">
        <v>28</v>
      </c>
      <c r="F100" s="55">
        <v>0</v>
      </c>
      <c r="G100" s="55">
        <v>28</v>
      </c>
      <c r="H100" s="55">
        <v>0</v>
      </c>
      <c r="I100" s="55">
        <v>0</v>
      </c>
      <c r="J100" s="55">
        <v>0</v>
      </c>
      <c r="K100" s="55">
        <v>0</v>
      </c>
      <c r="L100" s="55">
        <v>0</v>
      </c>
      <c r="M100" s="55">
        <v>0</v>
      </c>
      <c r="N100" s="55">
        <v>0</v>
      </c>
    </row>
    <row r="101" spans="1:14" ht="10.050000000000001" hidden="1" customHeight="1">
      <c r="A101" s="52" t="s">
        <v>171</v>
      </c>
      <c r="B101" s="53">
        <v>2000</v>
      </c>
      <c r="C101" s="52" t="s">
        <v>113</v>
      </c>
      <c r="D101" s="54">
        <v>8</v>
      </c>
      <c r="E101" s="55">
        <v>0</v>
      </c>
      <c r="F101" s="55">
        <v>0</v>
      </c>
      <c r="G101" s="55">
        <v>0</v>
      </c>
      <c r="H101" s="55">
        <v>0</v>
      </c>
      <c r="I101" s="55">
        <v>0</v>
      </c>
      <c r="J101" s="55">
        <v>0</v>
      </c>
      <c r="K101" s="55">
        <v>118.6</v>
      </c>
      <c r="L101" s="55">
        <v>0</v>
      </c>
      <c r="M101" s="55">
        <v>0</v>
      </c>
      <c r="N101" s="55">
        <v>0</v>
      </c>
    </row>
    <row r="102" spans="1:14" ht="10.050000000000001" hidden="1" customHeight="1">
      <c r="A102" s="52" t="s">
        <v>173</v>
      </c>
      <c r="B102" s="53">
        <v>2000</v>
      </c>
      <c r="C102" s="52" t="s">
        <v>113</v>
      </c>
      <c r="D102" s="54">
        <v>8</v>
      </c>
      <c r="E102" s="55">
        <v>0</v>
      </c>
      <c r="F102" s="55">
        <v>0</v>
      </c>
      <c r="G102" s="55">
        <v>0</v>
      </c>
      <c r="H102" s="55">
        <v>0</v>
      </c>
      <c r="I102" s="55">
        <v>0</v>
      </c>
      <c r="J102" s="55">
        <v>0</v>
      </c>
      <c r="K102" s="55">
        <v>51.7</v>
      </c>
      <c r="L102" s="55">
        <v>0</v>
      </c>
      <c r="M102" s="55">
        <v>0</v>
      </c>
      <c r="N102" s="55">
        <v>0</v>
      </c>
    </row>
    <row r="103" spans="1:14" ht="10.050000000000001" hidden="1" customHeight="1">
      <c r="A103" s="52" t="s">
        <v>171</v>
      </c>
      <c r="B103" s="53">
        <v>2000</v>
      </c>
      <c r="C103" s="52" t="s">
        <v>113</v>
      </c>
      <c r="D103" s="54">
        <v>10</v>
      </c>
      <c r="E103" s="55">
        <v>0</v>
      </c>
      <c r="F103" s="55">
        <v>0</v>
      </c>
      <c r="G103" s="55">
        <v>0</v>
      </c>
      <c r="H103" s="55">
        <v>482</v>
      </c>
      <c r="I103" s="55">
        <v>0</v>
      </c>
      <c r="J103" s="55">
        <v>482</v>
      </c>
      <c r="K103" s="55">
        <v>10</v>
      </c>
      <c r="L103" s="55">
        <v>0</v>
      </c>
      <c r="M103" s="55">
        <v>0</v>
      </c>
      <c r="N103" s="55">
        <v>0</v>
      </c>
    </row>
    <row r="104" spans="1:14" ht="10.050000000000001" hidden="1" customHeight="1">
      <c r="A104" s="52" t="s">
        <v>310</v>
      </c>
      <c r="B104" s="53">
        <v>2000</v>
      </c>
      <c r="C104" s="52" t="s">
        <v>113</v>
      </c>
      <c r="D104" s="54">
        <v>10</v>
      </c>
      <c r="E104" s="55">
        <v>0</v>
      </c>
      <c r="F104" s="55">
        <v>0</v>
      </c>
      <c r="G104" s="55">
        <v>0</v>
      </c>
      <c r="H104" s="55">
        <v>14.7</v>
      </c>
      <c r="I104" s="55">
        <v>0</v>
      </c>
      <c r="J104" s="55">
        <v>14.7</v>
      </c>
      <c r="K104" s="55">
        <v>0</v>
      </c>
      <c r="L104" s="55">
        <v>0</v>
      </c>
      <c r="M104" s="55">
        <v>0</v>
      </c>
      <c r="N104" s="55">
        <v>0</v>
      </c>
    </row>
    <row r="105" spans="1:14" ht="10.050000000000001" hidden="1" customHeight="1">
      <c r="A105" s="52" t="s">
        <v>171</v>
      </c>
      <c r="B105" s="53">
        <v>2000</v>
      </c>
      <c r="C105" s="52" t="s">
        <v>113</v>
      </c>
      <c r="D105" s="54">
        <v>12</v>
      </c>
      <c r="E105" s="55">
        <v>0</v>
      </c>
      <c r="F105" s="55">
        <v>0</v>
      </c>
      <c r="G105" s="55">
        <v>0</v>
      </c>
      <c r="H105" s="55">
        <v>395.2</v>
      </c>
      <c r="I105" s="55">
        <v>0</v>
      </c>
      <c r="J105" s="55">
        <v>395.2</v>
      </c>
      <c r="K105" s="55">
        <v>10</v>
      </c>
      <c r="L105" s="55">
        <v>0</v>
      </c>
      <c r="M105" s="55">
        <v>0</v>
      </c>
      <c r="N105" s="55">
        <v>0</v>
      </c>
    </row>
    <row r="106" spans="1:14" ht="10.050000000000001" hidden="1" customHeight="1">
      <c r="A106" s="52" t="s">
        <v>171</v>
      </c>
      <c r="B106" s="53">
        <v>2000</v>
      </c>
      <c r="C106" s="52" t="s">
        <v>107</v>
      </c>
      <c r="D106" s="54">
        <v>9</v>
      </c>
      <c r="E106" s="55">
        <v>0</v>
      </c>
      <c r="F106" s="55">
        <v>0</v>
      </c>
      <c r="G106" s="55">
        <v>0</v>
      </c>
      <c r="H106" s="55">
        <v>235.9</v>
      </c>
      <c r="I106" s="55">
        <v>0</v>
      </c>
      <c r="J106" s="55">
        <v>235.9</v>
      </c>
      <c r="K106" s="55">
        <v>0</v>
      </c>
      <c r="L106" s="55">
        <v>0</v>
      </c>
      <c r="M106" s="55">
        <v>0</v>
      </c>
      <c r="N106" s="55">
        <v>0</v>
      </c>
    </row>
    <row r="107" spans="1:14" ht="10.050000000000001" hidden="1" customHeight="1">
      <c r="A107" s="52" t="s">
        <v>173</v>
      </c>
      <c r="B107" s="53">
        <v>2000</v>
      </c>
      <c r="C107" s="52" t="s">
        <v>107</v>
      </c>
      <c r="D107" s="54">
        <v>9</v>
      </c>
      <c r="E107" s="55">
        <v>0</v>
      </c>
      <c r="F107" s="55">
        <v>0</v>
      </c>
      <c r="G107" s="55">
        <v>0</v>
      </c>
      <c r="H107" s="55">
        <v>0</v>
      </c>
      <c r="I107" s="55">
        <v>0</v>
      </c>
      <c r="J107" s="55">
        <v>0</v>
      </c>
      <c r="K107" s="55">
        <v>5</v>
      </c>
      <c r="L107" s="55">
        <v>0</v>
      </c>
      <c r="M107" s="55">
        <v>0</v>
      </c>
      <c r="N107" s="55">
        <v>0</v>
      </c>
    </row>
    <row r="108" spans="1:14" ht="10.050000000000001" hidden="1" customHeight="1">
      <c r="A108" s="52" t="s">
        <v>306</v>
      </c>
      <c r="B108" s="53">
        <v>2000</v>
      </c>
      <c r="C108" s="52" t="s">
        <v>107</v>
      </c>
      <c r="D108" s="54">
        <v>11</v>
      </c>
      <c r="E108" s="55">
        <v>0</v>
      </c>
      <c r="F108" s="55">
        <v>0</v>
      </c>
      <c r="G108" s="55">
        <v>0</v>
      </c>
      <c r="H108" s="55">
        <v>100.7</v>
      </c>
      <c r="I108" s="55">
        <v>0</v>
      </c>
      <c r="J108" s="55">
        <v>100.7</v>
      </c>
      <c r="K108" s="55">
        <v>0</v>
      </c>
      <c r="L108" s="55">
        <v>0</v>
      </c>
      <c r="M108" s="55">
        <v>0</v>
      </c>
      <c r="N108" s="55">
        <v>0</v>
      </c>
    </row>
    <row r="109" spans="1:14" ht="10.050000000000001" hidden="1" customHeight="1">
      <c r="A109" s="52" t="s">
        <v>171</v>
      </c>
      <c r="B109" s="53">
        <v>2000</v>
      </c>
      <c r="C109" s="52" t="s">
        <v>107</v>
      </c>
      <c r="D109" s="54">
        <v>11</v>
      </c>
      <c r="E109" s="55">
        <v>0</v>
      </c>
      <c r="F109" s="55">
        <v>0</v>
      </c>
      <c r="G109" s="55">
        <v>0</v>
      </c>
      <c r="H109" s="55">
        <v>2275.3000000000002</v>
      </c>
      <c r="I109" s="55">
        <v>0</v>
      </c>
      <c r="J109" s="55">
        <v>2275.3000000000002</v>
      </c>
      <c r="K109" s="55">
        <v>0</v>
      </c>
      <c r="L109" s="55">
        <v>0</v>
      </c>
      <c r="M109" s="55">
        <v>0</v>
      </c>
      <c r="N109" s="55">
        <v>0</v>
      </c>
    </row>
    <row r="110" spans="1:14" ht="10.050000000000001" hidden="1" customHeight="1">
      <c r="A110" s="52" t="s">
        <v>307</v>
      </c>
      <c r="B110" s="53">
        <v>2000</v>
      </c>
      <c r="C110" s="52" t="s">
        <v>107</v>
      </c>
      <c r="D110" s="54">
        <v>11</v>
      </c>
      <c r="E110" s="55">
        <v>0</v>
      </c>
      <c r="F110" s="55">
        <v>0</v>
      </c>
      <c r="G110" s="55">
        <v>0</v>
      </c>
      <c r="H110" s="55">
        <v>70.3</v>
      </c>
      <c r="I110" s="55">
        <v>0</v>
      </c>
      <c r="J110" s="55">
        <v>70.3</v>
      </c>
      <c r="K110" s="55">
        <v>0</v>
      </c>
      <c r="L110" s="55">
        <v>0</v>
      </c>
      <c r="M110" s="55">
        <v>0</v>
      </c>
      <c r="N110" s="55">
        <v>0</v>
      </c>
    </row>
    <row r="111" spans="1:14" ht="10.050000000000001" hidden="1" customHeight="1">
      <c r="A111" s="52" t="s">
        <v>173</v>
      </c>
      <c r="B111" s="53">
        <v>2000</v>
      </c>
      <c r="C111" s="52" t="s">
        <v>107</v>
      </c>
      <c r="D111" s="54">
        <v>11</v>
      </c>
      <c r="E111" s="55">
        <v>0</v>
      </c>
      <c r="F111" s="55">
        <v>0</v>
      </c>
      <c r="G111" s="55">
        <v>0</v>
      </c>
      <c r="H111" s="55">
        <v>187.3</v>
      </c>
      <c r="I111" s="55">
        <v>0</v>
      </c>
      <c r="J111" s="55">
        <v>187.3</v>
      </c>
      <c r="K111" s="55">
        <v>0</v>
      </c>
      <c r="L111" s="55">
        <v>0</v>
      </c>
      <c r="M111" s="55">
        <v>0</v>
      </c>
      <c r="N111" s="55">
        <v>0</v>
      </c>
    </row>
    <row r="112" spans="1:14" ht="10.050000000000001" hidden="1" customHeight="1">
      <c r="A112" s="52" t="s">
        <v>174</v>
      </c>
      <c r="B112" s="53">
        <v>2000</v>
      </c>
      <c r="C112" s="52" t="s">
        <v>107</v>
      </c>
      <c r="D112" s="54">
        <v>11</v>
      </c>
      <c r="E112" s="55">
        <v>0</v>
      </c>
      <c r="F112" s="55">
        <v>0</v>
      </c>
      <c r="G112" s="55">
        <v>0</v>
      </c>
      <c r="H112" s="55">
        <v>257.3</v>
      </c>
      <c r="I112" s="55">
        <v>0</v>
      </c>
      <c r="J112" s="55">
        <v>257.3</v>
      </c>
      <c r="K112" s="55">
        <v>0</v>
      </c>
      <c r="L112" s="55">
        <v>0</v>
      </c>
      <c r="M112" s="55">
        <v>0</v>
      </c>
      <c r="N112" s="55">
        <v>0</v>
      </c>
    </row>
    <row r="113" spans="1:14" ht="10.050000000000001" hidden="1" customHeight="1">
      <c r="A113" s="52" t="s">
        <v>171</v>
      </c>
      <c r="B113" s="53">
        <v>2000</v>
      </c>
      <c r="C113" s="52" t="s">
        <v>114</v>
      </c>
      <c r="D113" s="54">
        <v>10</v>
      </c>
      <c r="E113" s="55">
        <v>570.5</v>
      </c>
      <c r="F113" s="55">
        <v>0</v>
      </c>
      <c r="G113" s="55">
        <v>570.5</v>
      </c>
      <c r="H113" s="55">
        <v>1082.4000000000001</v>
      </c>
      <c r="I113" s="55">
        <v>0</v>
      </c>
      <c r="J113" s="55">
        <v>1082.4000000000001</v>
      </c>
      <c r="K113" s="55">
        <v>0</v>
      </c>
      <c r="L113" s="55">
        <v>0</v>
      </c>
      <c r="M113" s="55">
        <v>0</v>
      </c>
      <c r="N113" s="55">
        <v>0</v>
      </c>
    </row>
    <row r="114" spans="1:14" ht="10.050000000000001" hidden="1" customHeight="1">
      <c r="A114" s="52" t="s">
        <v>307</v>
      </c>
      <c r="B114" s="53">
        <v>2000</v>
      </c>
      <c r="C114" s="52" t="s">
        <v>114</v>
      </c>
      <c r="D114" s="54">
        <v>10</v>
      </c>
      <c r="E114" s="55">
        <v>122</v>
      </c>
      <c r="F114" s="55">
        <v>0</v>
      </c>
      <c r="G114" s="55">
        <v>122</v>
      </c>
      <c r="H114" s="55">
        <v>943.5</v>
      </c>
      <c r="I114" s="55">
        <v>0</v>
      </c>
      <c r="J114" s="55">
        <v>943.5</v>
      </c>
      <c r="K114" s="55">
        <v>0</v>
      </c>
      <c r="L114" s="55">
        <v>0</v>
      </c>
      <c r="M114" s="55">
        <v>0</v>
      </c>
      <c r="N114" s="55">
        <v>0</v>
      </c>
    </row>
    <row r="115" spans="1:14" ht="10.050000000000001" hidden="1" customHeight="1">
      <c r="A115" s="52" t="s">
        <v>173</v>
      </c>
      <c r="B115" s="53">
        <v>2000</v>
      </c>
      <c r="C115" s="52" t="s">
        <v>114</v>
      </c>
      <c r="D115" s="54">
        <v>10</v>
      </c>
      <c r="E115" s="55">
        <v>0</v>
      </c>
      <c r="F115" s="55">
        <v>0</v>
      </c>
      <c r="G115" s="55">
        <v>0</v>
      </c>
      <c r="H115" s="55">
        <v>186.5</v>
      </c>
      <c r="I115" s="55">
        <v>0</v>
      </c>
      <c r="J115" s="55">
        <v>186.5</v>
      </c>
      <c r="K115" s="55">
        <v>0</v>
      </c>
      <c r="L115" s="55">
        <v>0</v>
      </c>
      <c r="M115" s="55">
        <v>0</v>
      </c>
      <c r="N115" s="55">
        <v>0</v>
      </c>
    </row>
    <row r="116" spans="1:14" ht="10.050000000000001" hidden="1" customHeight="1">
      <c r="A116" s="52" t="s">
        <v>306</v>
      </c>
      <c r="B116" s="53">
        <v>2001</v>
      </c>
      <c r="C116" s="52" t="s">
        <v>105</v>
      </c>
      <c r="D116" s="54">
        <v>1</v>
      </c>
      <c r="E116" s="55">
        <v>4792.8</v>
      </c>
      <c r="F116" s="55">
        <v>1323.1</v>
      </c>
      <c r="G116" s="55">
        <v>6115.9</v>
      </c>
      <c r="H116" s="55">
        <v>64273</v>
      </c>
      <c r="I116" s="55">
        <v>6001.7</v>
      </c>
      <c r="J116" s="55">
        <v>70274.7</v>
      </c>
      <c r="K116" s="55">
        <v>5441.7</v>
      </c>
      <c r="L116" s="55">
        <v>434</v>
      </c>
      <c r="M116" s="55">
        <v>1479</v>
      </c>
      <c r="N116" s="55">
        <v>466.1</v>
      </c>
    </row>
    <row r="117" spans="1:14" ht="10.050000000000001" hidden="1" customHeight="1">
      <c r="A117" s="52" t="s">
        <v>172</v>
      </c>
      <c r="B117" s="53">
        <v>2001</v>
      </c>
      <c r="C117" s="52" t="s">
        <v>105</v>
      </c>
      <c r="D117" s="54">
        <v>1</v>
      </c>
      <c r="E117" s="55">
        <v>163033.9</v>
      </c>
      <c r="F117" s="55">
        <v>823.1</v>
      </c>
      <c r="G117" s="55">
        <v>163857</v>
      </c>
      <c r="H117" s="55">
        <v>491909.2</v>
      </c>
      <c r="I117" s="55">
        <v>21953.200000000001</v>
      </c>
      <c r="J117" s="55">
        <v>513862.40000000002</v>
      </c>
      <c r="K117" s="55">
        <v>45705.9</v>
      </c>
      <c r="L117" s="55">
        <v>5455.5</v>
      </c>
      <c r="M117" s="55">
        <v>55591.8</v>
      </c>
      <c r="N117" s="55">
        <v>31.9</v>
      </c>
    </row>
    <row r="118" spans="1:14" ht="10.050000000000001" hidden="1" customHeight="1">
      <c r="A118" s="52" t="s">
        <v>171</v>
      </c>
      <c r="B118" s="53">
        <v>2001</v>
      </c>
      <c r="C118" s="52" t="s">
        <v>105</v>
      </c>
      <c r="D118" s="54">
        <v>1</v>
      </c>
      <c r="E118" s="55">
        <v>2555373.7999999998</v>
      </c>
      <c r="F118" s="55">
        <v>7071</v>
      </c>
      <c r="G118" s="55">
        <v>2562444.7999999998</v>
      </c>
      <c r="H118" s="55">
        <v>8404687.9000000004</v>
      </c>
      <c r="I118" s="55">
        <v>124515.7</v>
      </c>
      <c r="J118" s="55">
        <v>8529203.5999999903</v>
      </c>
      <c r="K118" s="55">
        <v>2274310.4</v>
      </c>
      <c r="L118" s="55">
        <v>620432.6</v>
      </c>
      <c r="M118" s="55">
        <v>857898</v>
      </c>
      <c r="N118" s="55">
        <v>22754.6</v>
      </c>
    </row>
    <row r="119" spans="1:14" ht="10.050000000000001" hidden="1" customHeight="1">
      <c r="A119" s="52" t="s">
        <v>300</v>
      </c>
      <c r="B119" s="53">
        <v>2001</v>
      </c>
      <c r="C119" s="52" t="s">
        <v>105</v>
      </c>
      <c r="D119" s="54">
        <v>1</v>
      </c>
      <c r="E119" s="55">
        <v>14.3</v>
      </c>
      <c r="F119" s="55">
        <v>0.2</v>
      </c>
      <c r="G119" s="55">
        <v>14.5</v>
      </c>
      <c r="H119" s="55">
        <v>120.8</v>
      </c>
      <c r="I119" s="55">
        <v>36.5</v>
      </c>
      <c r="J119" s="55">
        <v>157.30000000000001</v>
      </c>
      <c r="K119" s="55">
        <v>0</v>
      </c>
      <c r="L119" s="55">
        <v>0</v>
      </c>
      <c r="M119" s="55">
        <v>0</v>
      </c>
      <c r="N119" s="55">
        <v>0</v>
      </c>
    </row>
    <row r="120" spans="1:14" ht="10.050000000000001" hidden="1" customHeight="1">
      <c r="A120" s="52" t="s">
        <v>307</v>
      </c>
      <c r="B120" s="53">
        <v>2001</v>
      </c>
      <c r="C120" s="52" t="s">
        <v>105</v>
      </c>
      <c r="D120" s="54">
        <v>1</v>
      </c>
      <c r="E120" s="55">
        <v>666125</v>
      </c>
      <c r="F120" s="55">
        <v>131.1</v>
      </c>
      <c r="G120" s="55">
        <v>666256.1</v>
      </c>
      <c r="H120" s="55">
        <v>5923150.2999999998</v>
      </c>
      <c r="I120" s="55">
        <v>134177.20000000001</v>
      </c>
      <c r="J120" s="55">
        <v>6057327.5</v>
      </c>
      <c r="K120" s="55">
        <v>1484675.2</v>
      </c>
      <c r="L120" s="55">
        <v>52723.8</v>
      </c>
      <c r="M120" s="55">
        <v>468892.4</v>
      </c>
      <c r="N120" s="55">
        <v>62333.7</v>
      </c>
    </row>
    <row r="121" spans="1:14" ht="10.050000000000001" hidden="1" customHeight="1">
      <c r="A121" s="52" t="s">
        <v>315</v>
      </c>
      <c r="B121" s="53">
        <v>2001</v>
      </c>
      <c r="C121" s="52" t="s">
        <v>105</v>
      </c>
      <c r="D121" s="54">
        <v>1</v>
      </c>
      <c r="E121" s="55">
        <v>43.2</v>
      </c>
      <c r="F121" s="55">
        <v>0</v>
      </c>
      <c r="G121" s="55">
        <v>43.2</v>
      </c>
      <c r="H121" s="55">
        <v>4547.7</v>
      </c>
      <c r="I121" s="55">
        <v>0</v>
      </c>
      <c r="J121" s="55">
        <v>4547.7</v>
      </c>
      <c r="K121" s="55">
        <v>7.9</v>
      </c>
      <c r="L121" s="55">
        <v>0</v>
      </c>
      <c r="M121" s="55">
        <v>28.2</v>
      </c>
      <c r="N121" s="55">
        <v>0</v>
      </c>
    </row>
    <row r="122" spans="1:14" ht="10.050000000000001" hidden="1" customHeight="1">
      <c r="A122" s="52" t="s">
        <v>173</v>
      </c>
      <c r="B122" s="53">
        <v>2001</v>
      </c>
      <c r="C122" s="52" t="s">
        <v>105</v>
      </c>
      <c r="D122" s="54">
        <v>1</v>
      </c>
      <c r="E122" s="55">
        <v>365747.1</v>
      </c>
      <c r="F122" s="55">
        <v>15684.1</v>
      </c>
      <c r="G122" s="55">
        <v>381431.2</v>
      </c>
      <c r="H122" s="55">
        <v>3475124.3</v>
      </c>
      <c r="I122" s="55">
        <v>56617</v>
      </c>
      <c r="J122" s="55">
        <v>3531741.3</v>
      </c>
      <c r="K122" s="55">
        <v>336816.6</v>
      </c>
      <c r="L122" s="55">
        <v>55022</v>
      </c>
      <c r="M122" s="55">
        <v>175850.3</v>
      </c>
      <c r="N122" s="55">
        <v>7253.3</v>
      </c>
    </row>
    <row r="123" spans="1:14" ht="10.050000000000001" customHeight="1">
      <c r="A123" s="52" t="s">
        <v>309</v>
      </c>
      <c r="B123" s="53">
        <v>2001</v>
      </c>
      <c r="C123" s="52" t="s">
        <v>105</v>
      </c>
      <c r="D123" s="54">
        <v>1</v>
      </c>
      <c r="E123" s="55">
        <v>88.7</v>
      </c>
      <c r="F123" s="55">
        <v>0</v>
      </c>
      <c r="G123" s="55">
        <v>88.7</v>
      </c>
      <c r="H123" s="55">
        <v>73260.600000000006</v>
      </c>
      <c r="I123" s="55">
        <v>0</v>
      </c>
      <c r="J123" s="55">
        <v>73260.600000000006</v>
      </c>
      <c r="K123" s="55">
        <v>0</v>
      </c>
      <c r="L123" s="55">
        <v>0</v>
      </c>
      <c r="M123" s="55">
        <v>0</v>
      </c>
      <c r="N123" s="55">
        <v>0</v>
      </c>
    </row>
    <row r="124" spans="1:14" ht="10.050000000000001" hidden="1" customHeight="1">
      <c r="A124" s="52" t="s">
        <v>316</v>
      </c>
      <c r="B124" s="53">
        <v>2001</v>
      </c>
      <c r="C124" s="52" t="s">
        <v>105</v>
      </c>
      <c r="D124" s="54">
        <v>1</v>
      </c>
      <c r="E124" s="55">
        <v>40.4</v>
      </c>
      <c r="F124" s="55">
        <v>0</v>
      </c>
      <c r="G124" s="55">
        <v>40.4</v>
      </c>
      <c r="H124" s="55">
        <v>2008.1</v>
      </c>
      <c r="I124" s="55">
        <v>65.8</v>
      </c>
      <c r="J124" s="55">
        <v>2073.9</v>
      </c>
      <c r="K124" s="55">
        <v>25</v>
      </c>
      <c r="L124" s="55">
        <v>0</v>
      </c>
      <c r="M124" s="55">
        <v>0</v>
      </c>
      <c r="N124" s="55">
        <v>0</v>
      </c>
    </row>
    <row r="125" spans="1:14" ht="10.050000000000001" hidden="1" customHeight="1">
      <c r="A125" s="52" t="s">
        <v>310</v>
      </c>
      <c r="B125" s="53">
        <v>2001</v>
      </c>
      <c r="C125" s="52" t="s">
        <v>105</v>
      </c>
      <c r="D125" s="54">
        <v>1</v>
      </c>
      <c r="E125" s="55">
        <v>1799.9</v>
      </c>
      <c r="F125" s="55">
        <v>-36.700000000000003</v>
      </c>
      <c r="G125" s="55">
        <v>1763.2</v>
      </c>
      <c r="H125" s="55">
        <v>29724.3</v>
      </c>
      <c r="I125" s="55">
        <v>497.5</v>
      </c>
      <c r="J125" s="55">
        <v>30221.8</v>
      </c>
      <c r="K125" s="55">
        <v>2468</v>
      </c>
      <c r="L125" s="55">
        <v>80.900000000000006</v>
      </c>
      <c r="M125" s="55">
        <v>691.8</v>
      </c>
      <c r="N125" s="55">
        <v>74.8</v>
      </c>
    </row>
    <row r="126" spans="1:14" ht="10.050000000000001" hidden="1" customHeight="1">
      <c r="A126" s="52" t="s">
        <v>308</v>
      </c>
      <c r="B126" s="53">
        <v>2001</v>
      </c>
      <c r="C126" s="52" t="s">
        <v>105</v>
      </c>
      <c r="D126" s="54">
        <v>1</v>
      </c>
      <c r="E126" s="55">
        <v>7017.6</v>
      </c>
      <c r="F126" s="55">
        <v>0</v>
      </c>
      <c r="G126" s="55">
        <v>7017.6</v>
      </c>
      <c r="H126" s="55">
        <v>146040.9</v>
      </c>
      <c r="I126" s="55">
        <v>553.79999999999995</v>
      </c>
      <c r="J126" s="55">
        <v>146594.70000000001</v>
      </c>
      <c r="K126" s="55">
        <v>13593.9</v>
      </c>
      <c r="L126" s="55">
        <v>302.5</v>
      </c>
      <c r="M126" s="55">
        <v>3932.6</v>
      </c>
      <c r="N126" s="55">
        <v>441.3</v>
      </c>
    </row>
    <row r="127" spans="1:14" ht="10.050000000000001" hidden="1" customHeight="1">
      <c r="A127" s="52" t="s">
        <v>174</v>
      </c>
      <c r="B127" s="53">
        <v>2001</v>
      </c>
      <c r="C127" s="52" t="s">
        <v>105</v>
      </c>
      <c r="D127" s="54">
        <v>1</v>
      </c>
      <c r="E127" s="55">
        <v>2565</v>
      </c>
      <c r="F127" s="55">
        <v>-33.700000000000003</v>
      </c>
      <c r="G127" s="55">
        <v>2531.3000000000002</v>
      </c>
      <c r="H127" s="55">
        <v>96195.000000000102</v>
      </c>
      <c r="I127" s="55">
        <v>5280.6</v>
      </c>
      <c r="J127" s="55">
        <v>101475.6</v>
      </c>
      <c r="K127" s="55">
        <v>18571.3</v>
      </c>
      <c r="L127" s="55">
        <v>292.60000000000002</v>
      </c>
      <c r="M127" s="55">
        <v>871.2</v>
      </c>
      <c r="N127" s="55">
        <v>2340.8000000000002</v>
      </c>
    </row>
    <row r="128" spans="1:14" ht="10.050000000000001" hidden="1" customHeight="1">
      <c r="A128" s="52" t="s">
        <v>306</v>
      </c>
      <c r="B128" s="53">
        <v>2001</v>
      </c>
      <c r="C128" s="52" t="s">
        <v>105</v>
      </c>
      <c r="D128" s="54">
        <v>2</v>
      </c>
      <c r="E128" s="55">
        <v>3298</v>
      </c>
      <c r="F128" s="55">
        <v>367.2</v>
      </c>
      <c r="G128" s="55">
        <v>3665.2</v>
      </c>
      <c r="H128" s="55">
        <v>56230.3</v>
      </c>
      <c r="I128" s="55">
        <v>4083.5</v>
      </c>
      <c r="J128" s="55">
        <v>60313.8</v>
      </c>
      <c r="K128" s="55">
        <v>4350.2</v>
      </c>
      <c r="L128" s="55">
        <v>182.9</v>
      </c>
      <c r="M128" s="55">
        <v>971.3</v>
      </c>
      <c r="N128" s="55">
        <v>303.10000000000002</v>
      </c>
    </row>
    <row r="129" spans="1:14" ht="10.050000000000001" hidden="1" customHeight="1">
      <c r="A129" s="52" t="s">
        <v>172</v>
      </c>
      <c r="B129" s="53">
        <v>2001</v>
      </c>
      <c r="C129" s="52" t="s">
        <v>105</v>
      </c>
      <c r="D129" s="54">
        <v>2</v>
      </c>
      <c r="E129" s="55">
        <v>106263.1</v>
      </c>
      <c r="F129" s="55">
        <v>1158.3</v>
      </c>
      <c r="G129" s="55">
        <v>107421.4</v>
      </c>
      <c r="H129" s="55">
        <v>468407.1</v>
      </c>
      <c r="I129" s="55">
        <v>20712.3</v>
      </c>
      <c r="J129" s="55">
        <v>489119.4</v>
      </c>
      <c r="K129" s="55">
        <v>34358.199999999997</v>
      </c>
      <c r="L129" s="55">
        <v>3625.3</v>
      </c>
      <c r="M129" s="55">
        <v>14751.2</v>
      </c>
      <c r="N129" s="55">
        <v>221.8</v>
      </c>
    </row>
    <row r="130" spans="1:14" ht="10.050000000000001" hidden="1" customHeight="1">
      <c r="A130" s="52" t="s">
        <v>171</v>
      </c>
      <c r="B130" s="53">
        <v>2001</v>
      </c>
      <c r="C130" s="52" t="s">
        <v>105</v>
      </c>
      <c r="D130" s="54">
        <v>2</v>
      </c>
      <c r="E130" s="55">
        <v>1921083.8</v>
      </c>
      <c r="F130" s="55">
        <v>15629.4</v>
      </c>
      <c r="G130" s="55">
        <v>1936713.2</v>
      </c>
      <c r="H130" s="55">
        <v>7650756.2999999998</v>
      </c>
      <c r="I130" s="55">
        <v>118505.7</v>
      </c>
      <c r="J130" s="55">
        <v>7769262</v>
      </c>
      <c r="K130" s="55">
        <v>1890365.8</v>
      </c>
      <c r="L130" s="55">
        <v>284754.90000000002</v>
      </c>
      <c r="M130" s="55">
        <v>649803.6</v>
      </c>
      <c r="N130" s="55">
        <v>18895.900000000001</v>
      </c>
    </row>
    <row r="131" spans="1:14" ht="10.050000000000001" hidden="1" customHeight="1">
      <c r="A131" s="52" t="s">
        <v>300</v>
      </c>
      <c r="B131" s="53">
        <v>2001</v>
      </c>
      <c r="C131" s="52" t="s">
        <v>105</v>
      </c>
      <c r="D131" s="54">
        <v>2</v>
      </c>
      <c r="E131" s="55">
        <v>64.2</v>
      </c>
      <c r="F131" s="55">
        <v>5</v>
      </c>
      <c r="G131" s="55">
        <v>69.2</v>
      </c>
      <c r="H131" s="55">
        <v>133.1</v>
      </c>
      <c r="I131" s="55">
        <v>36.5</v>
      </c>
      <c r="J131" s="55">
        <v>169.6</v>
      </c>
      <c r="K131" s="55">
        <v>0</v>
      </c>
      <c r="L131" s="55">
        <v>0</v>
      </c>
      <c r="M131" s="55">
        <v>0</v>
      </c>
      <c r="N131" s="55">
        <v>0</v>
      </c>
    </row>
    <row r="132" spans="1:14" ht="10.050000000000001" hidden="1" customHeight="1">
      <c r="A132" s="52" t="s">
        <v>307</v>
      </c>
      <c r="B132" s="53">
        <v>2001</v>
      </c>
      <c r="C132" s="52" t="s">
        <v>105</v>
      </c>
      <c r="D132" s="54">
        <v>2</v>
      </c>
      <c r="E132" s="55">
        <v>349656</v>
      </c>
      <c r="F132" s="55">
        <v>0</v>
      </c>
      <c r="G132" s="55">
        <v>349656</v>
      </c>
      <c r="H132" s="55">
        <v>5211536.9000000004</v>
      </c>
      <c r="I132" s="55">
        <v>110838.5</v>
      </c>
      <c r="J132" s="55">
        <v>5322375.4000000004</v>
      </c>
      <c r="K132" s="55">
        <v>1257888.8999999999</v>
      </c>
      <c r="L132" s="55">
        <v>31009.4</v>
      </c>
      <c r="M132" s="55">
        <v>222132</v>
      </c>
      <c r="N132" s="55">
        <v>34288.199999999997</v>
      </c>
    </row>
    <row r="133" spans="1:14" ht="10.050000000000001" hidden="1" customHeight="1">
      <c r="A133" s="52" t="s">
        <v>315</v>
      </c>
      <c r="B133" s="53">
        <v>2001</v>
      </c>
      <c r="C133" s="52" t="s">
        <v>105</v>
      </c>
      <c r="D133" s="54">
        <v>2</v>
      </c>
      <c r="E133" s="55">
        <v>10.7</v>
      </c>
      <c r="F133" s="55">
        <v>0</v>
      </c>
      <c r="G133" s="55">
        <v>10.7</v>
      </c>
      <c r="H133" s="55">
        <v>4168</v>
      </c>
      <c r="I133" s="55">
        <v>0</v>
      </c>
      <c r="J133" s="55">
        <v>4168</v>
      </c>
      <c r="K133" s="55">
        <v>4.5</v>
      </c>
      <c r="L133" s="55">
        <v>0</v>
      </c>
      <c r="M133" s="55">
        <v>3.4</v>
      </c>
      <c r="N133" s="55">
        <v>0</v>
      </c>
    </row>
    <row r="134" spans="1:14" ht="10.050000000000001" hidden="1" customHeight="1">
      <c r="A134" s="52" t="s">
        <v>173</v>
      </c>
      <c r="B134" s="53">
        <v>2001</v>
      </c>
      <c r="C134" s="52" t="s">
        <v>105</v>
      </c>
      <c r="D134" s="54">
        <v>2</v>
      </c>
      <c r="E134" s="55">
        <v>253058.9</v>
      </c>
      <c r="F134" s="55">
        <v>12235.6</v>
      </c>
      <c r="G134" s="55">
        <v>265294.5</v>
      </c>
      <c r="H134" s="55">
        <v>3124250.5</v>
      </c>
      <c r="I134" s="55">
        <v>43166.7</v>
      </c>
      <c r="J134" s="55">
        <v>3167417.2</v>
      </c>
      <c r="K134" s="55">
        <v>261324</v>
      </c>
      <c r="L134" s="55">
        <v>27361.9</v>
      </c>
      <c r="M134" s="55">
        <v>95216</v>
      </c>
      <c r="N134" s="55">
        <v>7638.5</v>
      </c>
    </row>
    <row r="135" spans="1:14" ht="10.050000000000001" customHeight="1">
      <c r="A135" s="52" t="s">
        <v>309</v>
      </c>
      <c r="B135" s="53">
        <v>2001</v>
      </c>
      <c r="C135" s="52" t="s">
        <v>105</v>
      </c>
      <c r="D135" s="54">
        <v>2</v>
      </c>
      <c r="E135" s="55">
        <v>73.3</v>
      </c>
      <c r="F135" s="55">
        <v>0</v>
      </c>
      <c r="G135" s="55">
        <v>73.3</v>
      </c>
      <c r="H135" s="55">
        <v>63896.9</v>
      </c>
      <c r="I135" s="55">
        <v>0</v>
      </c>
      <c r="J135" s="55">
        <v>63896.9</v>
      </c>
      <c r="K135" s="55">
        <v>0</v>
      </c>
      <c r="L135" s="55">
        <v>0</v>
      </c>
      <c r="M135" s="55">
        <v>0</v>
      </c>
      <c r="N135" s="55">
        <v>0</v>
      </c>
    </row>
    <row r="136" spans="1:14" ht="10.050000000000001" hidden="1" customHeight="1">
      <c r="A136" s="52" t="s">
        <v>316</v>
      </c>
      <c r="B136" s="53">
        <v>2001</v>
      </c>
      <c r="C136" s="52" t="s">
        <v>105</v>
      </c>
      <c r="D136" s="54">
        <v>2</v>
      </c>
      <c r="E136" s="55">
        <v>70.099999999999994</v>
      </c>
      <c r="F136" s="55">
        <v>0</v>
      </c>
      <c r="G136" s="55">
        <v>70.099999999999994</v>
      </c>
      <c r="H136" s="55">
        <v>1743.5</v>
      </c>
      <c r="I136" s="55">
        <v>65.8</v>
      </c>
      <c r="J136" s="55">
        <v>1809.3</v>
      </c>
      <c r="K136" s="55">
        <v>6</v>
      </c>
      <c r="L136" s="55">
        <v>19.899999999999999</v>
      </c>
      <c r="M136" s="55">
        <v>38.9</v>
      </c>
      <c r="N136" s="55">
        <v>0</v>
      </c>
    </row>
    <row r="137" spans="1:14" ht="10.050000000000001" hidden="1" customHeight="1">
      <c r="A137" s="52" t="s">
        <v>310</v>
      </c>
      <c r="B137" s="53">
        <v>2001</v>
      </c>
      <c r="C137" s="52" t="s">
        <v>105</v>
      </c>
      <c r="D137" s="54">
        <v>2</v>
      </c>
      <c r="E137" s="55">
        <v>1622.4</v>
      </c>
      <c r="F137" s="55">
        <v>0</v>
      </c>
      <c r="G137" s="55">
        <v>1622.4</v>
      </c>
      <c r="H137" s="55">
        <v>28232.9</v>
      </c>
      <c r="I137" s="55">
        <v>503.2</v>
      </c>
      <c r="J137" s="55">
        <v>28736.1</v>
      </c>
      <c r="K137" s="55">
        <v>1730.5</v>
      </c>
      <c r="L137" s="55">
        <v>8.4</v>
      </c>
      <c r="M137" s="55">
        <v>712.4</v>
      </c>
      <c r="N137" s="55">
        <v>33.5</v>
      </c>
    </row>
    <row r="138" spans="1:14" ht="10.050000000000001" hidden="1" customHeight="1">
      <c r="A138" s="52" t="s">
        <v>308</v>
      </c>
      <c r="B138" s="53">
        <v>2001</v>
      </c>
      <c r="C138" s="52" t="s">
        <v>105</v>
      </c>
      <c r="D138" s="54">
        <v>2</v>
      </c>
      <c r="E138" s="55">
        <v>5373.8</v>
      </c>
      <c r="F138" s="55">
        <v>0</v>
      </c>
      <c r="G138" s="55">
        <v>5373.8</v>
      </c>
      <c r="H138" s="55">
        <v>122730.1</v>
      </c>
      <c r="I138" s="55">
        <v>476.8</v>
      </c>
      <c r="J138" s="55">
        <v>123206.9</v>
      </c>
      <c r="K138" s="55">
        <v>10243.299999999999</v>
      </c>
      <c r="L138" s="55">
        <v>56.5</v>
      </c>
      <c r="M138" s="55">
        <v>3173.2</v>
      </c>
      <c r="N138" s="55">
        <v>233.9</v>
      </c>
    </row>
    <row r="139" spans="1:14" ht="10.050000000000001" hidden="1" customHeight="1">
      <c r="A139" s="52" t="s">
        <v>174</v>
      </c>
      <c r="B139" s="53">
        <v>2001</v>
      </c>
      <c r="C139" s="52" t="s">
        <v>105</v>
      </c>
      <c r="D139" s="54">
        <v>2</v>
      </c>
      <c r="E139" s="55">
        <v>2212.1999999999998</v>
      </c>
      <c r="F139" s="55">
        <v>173</v>
      </c>
      <c r="G139" s="55">
        <v>2385.1999999999998</v>
      </c>
      <c r="H139" s="55">
        <v>76859.300000000105</v>
      </c>
      <c r="I139" s="55">
        <v>5152.7</v>
      </c>
      <c r="J139" s="55">
        <v>82012</v>
      </c>
      <c r="K139" s="55">
        <v>16113.5</v>
      </c>
      <c r="L139" s="55">
        <v>309.2</v>
      </c>
      <c r="M139" s="55">
        <v>610.4</v>
      </c>
      <c r="N139" s="55">
        <v>2156.6</v>
      </c>
    </row>
    <row r="140" spans="1:14" ht="10.050000000000001" hidden="1" customHeight="1">
      <c r="A140" s="52" t="s">
        <v>306</v>
      </c>
      <c r="B140" s="53">
        <v>2001</v>
      </c>
      <c r="C140" s="52" t="s">
        <v>105</v>
      </c>
      <c r="D140" s="54">
        <v>3</v>
      </c>
      <c r="E140" s="55">
        <v>3437.5</v>
      </c>
      <c r="F140" s="55">
        <v>0</v>
      </c>
      <c r="G140" s="55">
        <v>3437.5</v>
      </c>
      <c r="H140" s="55">
        <v>47900.800000000003</v>
      </c>
      <c r="I140" s="55">
        <v>3668.9</v>
      </c>
      <c r="J140" s="55">
        <v>51569.7</v>
      </c>
      <c r="K140" s="55">
        <v>3744.1</v>
      </c>
      <c r="L140" s="55">
        <v>664.2</v>
      </c>
      <c r="M140" s="55">
        <v>943.3</v>
      </c>
      <c r="N140" s="55">
        <v>327</v>
      </c>
    </row>
    <row r="141" spans="1:14" ht="10.050000000000001" hidden="1" customHeight="1">
      <c r="A141" s="52" t="s">
        <v>172</v>
      </c>
      <c r="B141" s="53">
        <v>2001</v>
      </c>
      <c r="C141" s="52" t="s">
        <v>105</v>
      </c>
      <c r="D141" s="54">
        <v>3</v>
      </c>
      <c r="E141" s="55">
        <v>98582.7</v>
      </c>
      <c r="F141" s="55">
        <v>351.8</v>
      </c>
      <c r="G141" s="55">
        <v>98934.500000000102</v>
      </c>
      <c r="H141" s="55">
        <v>393606.3</v>
      </c>
      <c r="I141" s="55">
        <v>19085.5</v>
      </c>
      <c r="J141" s="55">
        <v>412691.8</v>
      </c>
      <c r="K141" s="55">
        <v>21797.200000000001</v>
      </c>
      <c r="L141" s="55">
        <v>5685.7</v>
      </c>
      <c r="M141" s="55">
        <v>18110.8</v>
      </c>
      <c r="N141" s="55">
        <v>135.9</v>
      </c>
    </row>
    <row r="142" spans="1:14" ht="10.050000000000001" hidden="1" customHeight="1">
      <c r="A142" s="52" t="s">
        <v>171</v>
      </c>
      <c r="B142" s="53">
        <v>2001</v>
      </c>
      <c r="C142" s="52" t="s">
        <v>105</v>
      </c>
      <c r="D142" s="54">
        <v>3</v>
      </c>
      <c r="E142" s="55">
        <v>2441484.4</v>
      </c>
      <c r="F142" s="55">
        <v>17903.7</v>
      </c>
      <c r="G142" s="55">
        <v>2459388.1</v>
      </c>
      <c r="H142" s="55">
        <v>7328134</v>
      </c>
      <c r="I142" s="55">
        <v>112056.8</v>
      </c>
      <c r="J142" s="55">
        <v>7440190.7999999998</v>
      </c>
      <c r="K142" s="55">
        <v>1058148.7</v>
      </c>
      <c r="L142" s="55">
        <v>222938.8</v>
      </c>
      <c r="M142" s="55">
        <v>1033893.8</v>
      </c>
      <c r="N142" s="55">
        <v>21334.7</v>
      </c>
    </row>
    <row r="143" spans="1:14" ht="10.050000000000001" hidden="1" customHeight="1">
      <c r="A143" s="52" t="s">
        <v>300</v>
      </c>
      <c r="B143" s="53">
        <v>2001</v>
      </c>
      <c r="C143" s="52" t="s">
        <v>105</v>
      </c>
      <c r="D143" s="54">
        <v>3</v>
      </c>
      <c r="E143" s="55">
        <v>1.5</v>
      </c>
      <c r="F143" s="55">
        <v>0</v>
      </c>
      <c r="G143" s="55">
        <v>1.5</v>
      </c>
      <c r="H143" s="55">
        <v>107.6</v>
      </c>
      <c r="I143" s="55">
        <v>36.4</v>
      </c>
      <c r="J143" s="55">
        <v>144</v>
      </c>
      <c r="K143" s="55">
        <v>0</v>
      </c>
      <c r="L143" s="55">
        <v>0</v>
      </c>
      <c r="M143" s="55">
        <v>0</v>
      </c>
      <c r="N143" s="55">
        <v>0</v>
      </c>
    </row>
    <row r="144" spans="1:14" ht="10.050000000000001" hidden="1" customHeight="1">
      <c r="A144" s="52" t="s">
        <v>307</v>
      </c>
      <c r="B144" s="53">
        <v>2001</v>
      </c>
      <c r="C144" s="52" t="s">
        <v>105</v>
      </c>
      <c r="D144" s="54">
        <v>3</v>
      </c>
      <c r="E144" s="55">
        <v>474307.7</v>
      </c>
      <c r="F144" s="55">
        <v>3956.2</v>
      </c>
      <c r="G144" s="55">
        <v>478263.9</v>
      </c>
      <c r="H144" s="55">
        <v>4584034.3</v>
      </c>
      <c r="I144" s="55">
        <v>100518.1</v>
      </c>
      <c r="J144" s="55">
        <v>4684552.4000000004</v>
      </c>
      <c r="K144" s="55">
        <v>948522.60000000102</v>
      </c>
      <c r="L144" s="55">
        <v>45011</v>
      </c>
      <c r="M144" s="55">
        <v>313470.3</v>
      </c>
      <c r="N144" s="55">
        <v>40907</v>
      </c>
    </row>
    <row r="145" spans="1:14" ht="10.050000000000001" hidden="1" customHeight="1">
      <c r="A145" s="52" t="s">
        <v>315</v>
      </c>
      <c r="B145" s="53">
        <v>2001</v>
      </c>
      <c r="C145" s="52" t="s">
        <v>105</v>
      </c>
      <c r="D145" s="54">
        <v>3</v>
      </c>
      <c r="E145" s="55">
        <v>2.7</v>
      </c>
      <c r="F145" s="55">
        <v>0</v>
      </c>
      <c r="G145" s="55">
        <v>2.7</v>
      </c>
      <c r="H145" s="55">
        <v>3228.6</v>
      </c>
      <c r="I145" s="55">
        <v>0</v>
      </c>
      <c r="J145" s="55">
        <v>3228.6</v>
      </c>
      <c r="K145" s="55">
        <v>4.5</v>
      </c>
      <c r="L145" s="55">
        <v>2.7</v>
      </c>
      <c r="M145" s="55">
        <v>2.7</v>
      </c>
      <c r="N145" s="55">
        <v>0</v>
      </c>
    </row>
    <row r="146" spans="1:14" ht="10.050000000000001" hidden="1" customHeight="1">
      <c r="A146" s="52" t="s">
        <v>173</v>
      </c>
      <c r="B146" s="53">
        <v>2001</v>
      </c>
      <c r="C146" s="52" t="s">
        <v>105</v>
      </c>
      <c r="D146" s="54">
        <v>3</v>
      </c>
      <c r="E146" s="55">
        <v>319164.3</v>
      </c>
      <c r="F146" s="55">
        <v>4589.8</v>
      </c>
      <c r="G146" s="55">
        <v>323754.09999999998</v>
      </c>
      <c r="H146" s="55">
        <v>2809727.2</v>
      </c>
      <c r="I146" s="55">
        <v>38843.9</v>
      </c>
      <c r="J146" s="55">
        <v>2848571.1</v>
      </c>
      <c r="K146" s="55">
        <v>140688.5</v>
      </c>
      <c r="L146" s="55">
        <v>17648.599999999999</v>
      </c>
      <c r="M146" s="55">
        <v>129263.5</v>
      </c>
      <c r="N146" s="55">
        <v>9020.6</v>
      </c>
    </row>
    <row r="147" spans="1:14" ht="10.050000000000001" customHeight="1">
      <c r="A147" s="52" t="s">
        <v>309</v>
      </c>
      <c r="B147" s="53">
        <v>2001</v>
      </c>
      <c r="C147" s="52" t="s">
        <v>105</v>
      </c>
      <c r="D147" s="54">
        <v>3</v>
      </c>
      <c r="E147" s="55">
        <v>1029.5999999999999</v>
      </c>
      <c r="F147" s="55">
        <v>0</v>
      </c>
      <c r="G147" s="55">
        <v>1029.5999999999999</v>
      </c>
      <c r="H147" s="55">
        <v>56805.1</v>
      </c>
      <c r="I147" s="55">
        <v>0</v>
      </c>
      <c r="J147" s="55">
        <v>56805.1</v>
      </c>
      <c r="K147" s="55">
        <v>0</v>
      </c>
      <c r="L147" s="55">
        <v>0</v>
      </c>
      <c r="M147" s="55">
        <v>0</v>
      </c>
      <c r="N147" s="55">
        <v>0</v>
      </c>
    </row>
    <row r="148" spans="1:14" ht="10.050000000000001" hidden="1" customHeight="1">
      <c r="A148" s="52" t="s">
        <v>316</v>
      </c>
      <c r="B148" s="53">
        <v>2001</v>
      </c>
      <c r="C148" s="52" t="s">
        <v>105</v>
      </c>
      <c r="D148" s="54">
        <v>3</v>
      </c>
      <c r="E148" s="55">
        <v>39.299999999999997</v>
      </c>
      <c r="F148" s="55">
        <v>0</v>
      </c>
      <c r="G148" s="55">
        <v>39.299999999999997</v>
      </c>
      <c r="H148" s="55">
        <v>1410</v>
      </c>
      <c r="I148" s="55">
        <v>8.4</v>
      </c>
      <c r="J148" s="55">
        <v>1418.4</v>
      </c>
      <c r="K148" s="55">
        <v>0.6</v>
      </c>
      <c r="L148" s="55">
        <v>1</v>
      </c>
      <c r="M148" s="55">
        <v>6.4</v>
      </c>
      <c r="N148" s="55">
        <v>0</v>
      </c>
    </row>
    <row r="149" spans="1:14" ht="10.050000000000001" hidden="1" customHeight="1">
      <c r="A149" s="52" t="s">
        <v>310</v>
      </c>
      <c r="B149" s="53">
        <v>2001</v>
      </c>
      <c r="C149" s="52" t="s">
        <v>105</v>
      </c>
      <c r="D149" s="54">
        <v>3</v>
      </c>
      <c r="E149" s="55">
        <v>1369.3</v>
      </c>
      <c r="F149" s="55">
        <v>0</v>
      </c>
      <c r="G149" s="55">
        <v>1369.3</v>
      </c>
      <c r="H149" s="55">
        <v>25715</v>
      </c>
      <c r="I149" s="55">
        <v>501.8</v>
      </c>
      <c r="J149" s="55">
        <v>26216.799999999999</v>
      </c>
      <c r="K149" s="55">
        <v>998.6</v>
      </c>
      <c r="L149" s="55">
        <v>57.6</v>
      </c>
      <c r="M149" s="55">
        <v>742.3</v>
      </c>
      <c r="N149" s="55">
        <v>47.2</v>
      </c>
    </row>
    <row r="150" spans="1:14" ht="10.050000000000001" hidden="1" customHeight="1">
      <c r="A150" s="52" t="s">
        <v>308</v>
      </c>
      <c r="B150" s="53">
        <v>2001</v>
      </c>
      <c r="C150" s="52" t="s">
        <v>105</v>
      </c>
      <c r="D150" s="54">
        <v>3</v>
      </c>
      <c r="E150" s="55">
        <v>5019.5</v>
      </c>
      <c r="F150" s="55">
        <v>0</v>
      </c>
      <c r="G150" s="55">
        <v>5019.5</v>
      </c>
      <c r="H150" s="55">
        <v>96274.5</v>
      </c>
      <c r="I150" s="55">
        <v>385.5</v>
      </c>
      <c r="J150" s="55">
        <v>96660</v>
      </c>
      <c r="K150" s="55">
        <v>6954.6</v>
      </c>
      <c r="L150" s="55">
        <v>28.8</v>
      </c>
      <c r="M150" s="55">
        <v>3053.5</v>
      </c>
      <c r="N150" s="55">
        <v>264</v>
      </c>
    </row>
    <row r="151" spans="1:14" ht="10.050000000000001" hidden="1" customHeight="1">
      <c r="A151" s="52" t="s">
        <v>174</v>
      </c>
      <c r="B151" s="53">
        <v>2001</v>
      </c>
      <c r="C151" s="52" t="s">
        <v>105</v>
      </c>
      <c r="D151" s="54">
        <v>3</v>
      </c>
      <c r="E151" s="55">
        <v>2025.4</v>
      </c>
      <c r="F151" s="55">
        <v>180.7</v>
      </c>
      <c r="G151" s="55">
        <v>2206.1</v>
      </c>
      <c r="H151" s="55">
        <v>55865.599999999999</v>
      </c>
      <c r="I151" s="55">
        <v>4620.1000000000004</v>
      </c>
      <c r="J151" s="55">
        <v>60485.7</v>
      </c>
      <c r="K151" s="55">
        <v>13535.5</v>
      </c>
      <c r="L151" s="55">
        <v>327.2</v>
      </c>
      <c r="M151" s="55">
        <v>600</v>
      </c>
      <c r="N151" s="55">
        <v>2305.1999999999998</v>
      </c>
    </row>
    <row r="152" spans="1:14" ht="10.050000000000001" hidden="1" customHeight="1">
      <c r="A152" s="52" t="s">
        <v>306</v>
      </c>
      <c r="B152" s="53">
        <v>2001</v>
      </c>
      <c r="C152" s="52" t="s">
        <v>105</v>
      </c>
      <c r="D152" s="54">
        <v>4</v>
      </c>
      <c r="E152" s="55">
        <v>2936.8</v>
      </c>
      <c r="F152" s="55">
        <v>0</v>
      </c>
      <c r="G152" s="55">
        <v>2936.8</v>
      </c>
      <c r="H152" s="55">
        <v>39970</v>
      </c>
      <c r="I152" s="55">
        <v>3358.1</v>
      </c>
      <c r="J152" s="55">
        <v>43328.1</v>
      </c>
      <c r="K152" s="55">
        <v>2865.3</v>
      </c>
      <c r="L152" s="55">
        <v>215.4</v>
      </c>
      <c r="M152" s="55">
        <v>754.7</v>
      </c>
      <c r="N152" s="55">
        <v>339.5</v>
      </c>
    </row>
    <row r="153" spans="1:14" ht="10.050000000000001" hidden="1" customHeight="1">
      <c r="A153" s="52" t="s">
        <v>172</v>
      </c>
      <c r="B153" s="53">
        <v>2001</v>
      </c>
      <c r="C153" s="52" t="s">
        <v>105</v>
      </c>
      <c r="D153" s="54">
        <v>4</v>
      </c>
      <c r="E153" s="55">
        <v>38487</v>
      </c>
      <c r="F153" s="55">
        <v>38.4</v>
      </c>
      <c r="G153" s="55">
        <v>38525.4</v>
      </c>
      <c r="H153" s="55">
        <v>275118.40000000002</v>
      </c>
      <c r="I153" s="55">
        <v>17150.7</v>
      </c>
      <c r="J153" s="55">
        <v>292269.09999999998</v>
      </c>
      <c r="K153" s="55">
        <v>15073.8</v>
      </c>
      <c r="L153" s="55">
        <v>2388.3000000000002</v>
      </c>
      <c r="M153" s="55">
        <v>8609.7000000000007</v>
      </c>
      <c r="N153" s="55">
        <v>502</v>
      </c>
    </row>
    <row r="154" spans="1:14" ht="10.050000000000001" hidden="1" customHeight="1">
      <c r="A154" s="52" t="s">
        <v>171</v>
      </c>
      <c r="B154" s="53">
        <v>2001</v>
      </c>
      <c r="C154" s="52" t="s">
        <v>105</v>
      </c>
      <c r="D154" s="54">
        <v>4</v>
      </c>
      <c r="E154" s="55">
        <v>1043882.3</v>
      </c>
      <c r="F154" s="55">
        <v>1688</v>
      </c>
      <c r="G154" s="55">
        <v>1045570.3</v>
      </c>
      <c r="H154" s="55">
        <v>5810617.2000000002</v>
      </c>
      <c r="I154" s="55">
        <v>92628.6</v>
      </c>
      <c r="J154" s="55">
        <v>5903245.7999999998</v>
      </c>
      <c r="K154" s="55">
        <v>677356.8</v>
      </c>
      <c r="L154" s="55">
        <v>65300.7</v>
      </c>
      <c r="M154" s="55">
        <v>415355.3</v>
      </c>
      <c r="N154" s="55">
        <v>30737.3</v>
      </c>
    </row>
    <row r="155" spans="1:14" ht="10.050000000000001" hidden="1" customHeight="1">
      <c r="A155" s="52" t="s">
        <v>300</v>
      </c>
      <c r="B155" s="53">
        <v>2001</v>
      </c>
      <c r="C155" s="52" t="s">
        <v>105</v>
      </c>
      <c r="D155" s="54">
        <v>4</v>
      </c>
      <c r="E155" s="55">
        <v>20.100000000000001</v>
      </c>
      <c r="F155" s="55">
        <v>0.1</v>
      </c>
      <c r="G155" s="55">
        <v>20.2</v>
      </c>
      <c r="H155" s="55">
        <v>99.6</v>
      </c>
      <c r="I155" s="55">
        <v>36.5</v>
      </c>
      <c r="J155" s="55">
        <v>136.1</v>
      </c>
      <c r="K155" s="55">
        <v>0</v>
      </c>
      <c r="L155" s="55">
        <v>0</v>
      </c>
      <c r="M155" s="55">
        <v>0</v>
      </c>
      <c r="N155" s="55">
        <v>0</v>
      </c>
    </row>
    <row r="156" spans="1:14" ht="10.050000000000001" hidden="1" customHeight="1">
      <c r="A156" s="52" t="s">
        <v>307</v>
      </c>
      <c r="B156" s="53">
        <v>2001</v>
      </c>
      <c r="C156" s="52" t="s">
        <v>105</v>
      </c>
      <c r="D156" s="54">
        <v>4</v>
      </c>
      <c r="E156" s="55">
        <v>309864.90000000002</v>
      </c>
      <c r="F156" s="55">
        <v>2787.2</v>
      </c>
      <c r="G156" s="55">
        <v>312652.09999999998</v>
      </c>
      <c r="H156" s="55">
        <v>3772003.8</v>
      </c>
      <c r="I156" s="55">
        <v>79403.100000000006</v>
      </c>
      <c r="J156" s="55">
        <v>3851406.9</v>
      </c>
      <c r="K156" s="55">
        <v>754407.8</v>
      </c>
      <c r="L156" s="55">
        <v>17723.900000000001</v>
      </c>
      <c r="M156" s="55">
        <v>185736.1</v>
      </c>
      <c r="N156" s="55">
        <v>26102.6</v>
      </c>
    </row>
    <row r="157" spans="1:14" ht="10.050000000000001" hidden="1" customHeight="1">
      <c r="A157" s="52" t="s">
        <v>315</v>
      </c>
      <c r="B157" s="53">
        <v>2001</v>
      </c>
      <c r="C157" s="52" t="s">
        <v>105</v>
      </c>
      <c r="D157" s="54">
        <v>4</v>
      </c>
      <c r="E157" s="55">
        <v>38.299999999999997</v>
      </c>
      <c r="F157" s="55">
        <v>0</v>
      </c>
      <c r="G157" s="55">
        <v>38.299999999999997</v>
      </c>
      <c r="H157" s="55">
        <v>2444.6</v>
      </c>
      <c r="I157" s="55">
        <v>0</v>
      </c>
      <c r="J157" s="55">
        <v>2444.6</v>
      </c>
      <c r="K157" s="55">
        <v>4.5</v>
      </c>
      <c r="L157" s="55">
        <v>10.199999999999999</v>
      </c>
      <c r="M157" s="55">
        <v>10.199999999999999</v>
      </c>
      <c r="N157" s="55">
        <v>0</v>
      </c>
    </row>
    <row r="158" spans="1:14" ht="10.050000000000001" hidden="1" customHeight="1">
      <c r="A158" s="52" t="s">
        <v>173</v>
      </c>
      <c r="B158" s="53">
        <v>2001</v>
      </c>
      <c r="C158" s="52" t="s">
        <v>105</v>
      </c>
      <c r="D158" s="54">
        <v>4</v>
      </c>
      <c r="E158" s="55">
        <v>152392.29999999999</v>
      </c>
      <c r="F158" s="55">
        <v>321.7</v>
      </c>
      <c r="G158" s="55">
        <v>152714</v>
      </c>
      <c r="H158" s="55">
        <v>2332327.2999999998</v>
      </c>
      <c r="I158" s="55">
        <v>32604.400000000001</v>
      </c>
      <c r="J158" s="55">
        <v>2364931.7000000002</v>
      </c>
      <c r="K158" s="55">
        <v>95387.6</v>
      </c>
      <c r="L158" s="55">
        <v>5634.1</v>
      </c>
      <c r="M158" s="55">
        <v>46638.2</v>
      </c>
      <c r="N158" s="55">
        <v>4302.2</v>
      </c>
    </row>
    <row r="159" spans="1:14" ht="10.050000000000001" customHeight="1">
      <c r="A159" s="52" t="s">
        <v>309</v>
      </c>
      <c r="B159" s="53">
        <v>2001</v>
      </c>
      <c r="C159" s="52" t="s">
        <v>105</v>
      </c>
      <c r="D159" s="54">
        <v>4</v>
      </c>
      <c r="E159" s="55">
        <v>0</v>
      </c>
      <c r="F159" s="55">
        <v>0</v>
      </c>
      <c r="G159" s="55">
        <v>0</v>
      </c>
      <c r="H159" s="55">
        <v>46288</v>
      </c>
      <c r="I159" s="55">
        <v>0</v>
      </c>
      <c r="J159" s="55">
        <v>46288</v>
      </c>
      <c r="K159" s="55">
        <v>0</v>
      </c>
      <c r="L159" s="55">
        <v>0</v>
      </c>
      <c r="M159" s="55">
        <v>0</v>
      </c>
      <c r="N159" s="55">
        <v>0</v>
      </c>
    </row>
    <row r="160" spans="1:14" ht="10.050000000000001" hidden="1" customHeight="1">
      <c r="A160" s="52" t="s">
        <v>316</v>
      </c>
      <c r="B160" s="53">
        <v>2001</v>
      </c>
      <c r="C160" s="52" t="s">
        <v>105</v>
      </c>
      <c r="D160" s="54">
        <v>4</v>
      </c>
      <c r="E160" s="55">
        <v>21.3</v>
      </c>
      <c r="F160" s="55">
        <v>0</v>
      </c>
      <c r="G160" s="55">
        <v>21.3</v>
      </c>
      <c r="H160" s="55">
        <v>1205.9000000000001</v>
      </c>
      <c r="I160" s="55">
        <v>8.4</v>
      </c>
      <c r="J160" s="55">
        <v>1214.3</v>
      </c>
      <c r="K160" s="55">
        <v>0.6</v>
      </c>
      <c r="L160" s="55">
        <v>0</v>
      </c>
      <c r="M160" s="55">
        <v>0</v>
      </c>
      <c r="N160" s="55">
        <v>0</v>
      </c>
    </row>
    <row r="161" spans="1:14" ht="10.050000000000001" hidden="1" customHeight="1">
      <c r="A161" s="52" t="s">
        <v>310</v>
      </c>
      <c r="B161" s="53">
        <v>2001</v>
      </c>
      <c r="C161" s="52" t="s">
        <v>105</v>
      </c>
      <c r="D161" s="54">
        <v>4</v>
      </c>
      <c r="E161" s="55">
        <v>1940.4</v>
      </c>
      <c r="F161" s="55">
        <v>0</v>
      </c>
      <c r="G161" s="55">
        <v>1940.4</v>
      </c>
      <c r="H161" s="55">
        <v>24854.9</v>
      </c>
      <c r="I161" s="55">
        <v>500</v>
      </c>
      <c r="J161" s="55">
        <v>25354.9</v>
      </c>
      <c r="K161" s="55">
        <v>767.6</v>
      </c>
      <c r="L161" s="55">
        <v>189.4</v>
      </c>
      <c r="M161" s="55">
        <v>368</v>
      </c>
      <c r="N161" s="55">
        <v>52.4</v>
      </c>
    </row>
    <row r="162" spans="1:14" ht="10.050000000000001" hidden="1" customHeight="1">
      <c r="A162" s="52" t="s">
        <v>308</v>
      </c>
      <c r="B162" s="53">
        <v>2001</v>
      </c>
      <c r="C162" s="52" t="s">
        <v>105</v>
      </c>
      <c r="D162" s="54">
        <v>4</v>
      </c>
      <c r="E162" s="55">
        <v>2182.9</v>
      </c>
      <c r="F162" s="55">
        <v>0</v>
      </c>
      <c r="G162" s="55">
        <v>2182.9</v>
      </c>
      <c r="H162" s="55">
        <v>79468.600000000006</v>
      </c>
      <c r="I162" s="55">
        <v>287.89999999999998</v>
      </c>
      <c r="J162" s="55">
        <v>79756.5</v>
      </c>
      <c r="K162" s="55">
        <v>5278.5</v>
      </c>
      <c r="L162" s="55">
        <v>220.7</v>
      </c>
      <c r="M162" s="55">
        <v>1674.8</v>
      </c>
      <c r="N162" s="55">
        <v>222</v>
      </c>
    </row>
    <row r="163" spans="1:14" ht="10.050000000000001" hidden="1" customHeight="1">
      <c r="A163" s="52" t="s">
        <v>174</v>
      </c>
      <c r="B163" s="53">
        <v>2001</v>
      </c>
      <c r="C163" s="52" t="s">
        <v>105</v>
      </c>
      <c r="D163" s="54">
        <v>4</v>
      </c>
      <c r="E163" s="55">
        <v>1859.8</v>
      </c>
      <c r="F163" s="55">
        <v>0</v>
      </c>
      <c r="G163" s="55">
        <v>1859.8</v>
      </c>
      <c r="H163" s="55">
        <v>38931.9</v>
      </c>
      <c r="I163" s="55">
        <v>4365.7</v>
      </c>
      <c r="J163" s="55">
        <v>43297.599999999999</v>
      </c>
      <c r="K163" s="55">
        <v>11294.1</v>
      </c>
      <c r="L163" s="55">
        <v>115.7</v>
      </c>
      <c r="M163" s="55">
        <v>628.9</v>
      </c>
      <c r="N163" s="55">
        <v>1728.2</v>
      </c>
    </row>
    <row r="164" spans="1:14" ht="10.050000000000001" hidden="1" customHeight="1">
      <c r="A164" s="52" t="s">
        <v>306</v>
      </c>
      <c r="B164" s="53">
        <v>2001</v>
      </c>
      <c r="C164" s="52" t="s">
        <v>105</v>
      </c>
      <c r="D164" s="54">
        <v>5</v>
      </c>
      <c r="E164" s="55">
        <v>2943</v>
      </c>
      <c r="F164" s="55">
        <v>91.5</v>
      </c>
      <c r="G164" s="55">
        <v>3034.5</v>
      </c>
      <c r="H164" s="55">
        <v>31154.6</v>
      </c>
      <c r="I164" s="55">
        <v>2565.6</v>
      </c>
      <c r="J164" s="55">
        <v>33720.199999999997</v>
      </c>
      <c r="K164" s="55">
        <v>1975.6</v>
      </c>
      <c r="L164" s="55">
        <v>186.8</v>
      </c>
      <c r="M164" s="55">
        <v>781</v>
      </c>
      <c r="N164" s="55">
        <v>295.5</v>
      </c>
    </row>
    <row r="165" spans="1:14" ht="10.050000000000001" hidden="1" customHeight="1">
      <c r="A165" s="52" t="s">
        <v>172</v>
      </c>
      <c r="B165" s="53">
        <v>2001</v>
      </c>
      <c r="C165" s="52" t="s">
        <v>105</v>
      </c>
      <c r="D165" s="54">
        <v>5</v>
      </c>
      <c r="E165" s="55">
        <v>32239.8</v>
      </c>
      <c r="F165" s="55">
        <v>67.5</v>
      </c>
      <c r="G165" s="55">
        <v>32307.3</v>
      </c>
      <c r="H165" s="55">
        <v>138261.20000000001</v>
      </c>
      <c r="I165" s="55">
        <v>9639.1</v>
      </c>
      <c r="J165" s="55">
        <v>147900.29999999999</v>
      </c>
      <c r="K165" s="55">
        <v>5118.5</v>
      </c>
      <c r="L165" s="55">
        <v>1008.8</v>
      </c>
      <c r="M165" s="55">
        <v>10083.9</v>
      </c>
      <c r="N165" s="55">
        <v>880.2</v>
      </c>
    </row>
    <row r="166" spans="1:14" ht="10.050000000000001" hidden="1" customHeight="1">
      <c r="A166" s="52" t="s">
        <v>171</v>
      </c>
      <c r="B166" s="53">
        <v>2001</v>
      </c>
      <c r="C166" s="52" t="s">
        <v>105</v>
      </c>
      <c r="D166" s="54">
        <v>5</v>
      </c>
      <c r="E166" s="55">
        <v>1053972.5</v>
      </c>
      <c r="F166" s="55">
        <v>2306.9</v>
      </c>
      <c r="G166" s="55">
        <v>1056279.3999999999</v>
      </c>
      <c r="H166" s="55">
        <v>3969066.3</v>
      </c>
      <c r="I166" s="55">
        <v>57207.8</v>
      </c>
      <c r="J166" s="55">
        <v>4026274.1</v>
      </c>
      <c r="K166" s="55">
        <v>252361.5</v>
      </c>
      <c r="L166" s="55">
        <v>62330.400000000001</v>
      </c>
      <c r="M166" s="55">
        <v>463995.8</v>
      </c>
      <c r="N166" s="55">
        <v>23329.9</v>
      </c>
    </row>
    <row r="167" spans="1:14" ht="10.050000000000001" hidden="1" customHeight="1">
      <c r="A167" s="52" t="s">
        <v>300</v>
      </c>
      <c r="B167" s="53">
        <v>2001</v>
      </c>
      <c r="C167" s="52" t="s">
        <v>105</v>
      </c>
      <c r="D167" s="54">
        <v>5</v>
      </c>
      <c r="E167" s="55">
        <v>2.4</v>
      </c>
      <c r="F167" s="55">
        <v>0</v>
      </c>
      <c r="G167" s="55">
        <v>2.4</v>
      </c>
      <c r="H167" s="55">
        <v>75.5</v>
      </c>
      <c r="I167" s="55">
        <v>0</v>
      </c>
      <c r="J167" s="55">
        <v>75.5</v>
      </c>
      <c r="K167" s="55">
        <v>0</v>
      </c>
      <c r="L167" s="55">
        <v>0</v>
      </c>
      <c r="M167" s="55">
        <v>0</v>
      </c>
      <c r="N167" s="55">
        <v>0</v>
      </c>
    </row>
    <row r="168" spans="1:14" ht="10.050000000000001" hidden="1" customHeight="1">
      <c r="A168" s="52" t="s">
        <v>307</v>
      </c>
      <c r="B168" s="53">
        <v>2001</v>
      </c>
      <c r="C168" s="52" t="s">
        <v>105</v>
      </c>
      <c r="D168" s="54">
        <v>5</v>
      </c>
      <c r="E168" s="55">
        <v>377856</v>
      </c>
      <c r="F168" s="55">
        <v>2821.5</v>
      </c>
      <c r="G168" s="55">
        <v>380677.5</v>
      </c>
      <c r="H168" s="55">
        <v>2954637.2</v>
      </c>
      <c r="I168" s="55">
        <v>66639.5</v>
      </c>
      <c r="J168" s="55">
        <v>3021276.7</v>
      </c>
      <c r="K168" s="55">
        <v>567557</v>
      </c>
      <c r="L168" s="55">
        <v>48092.7</v>
      </c>
      <c r="M168" s="55">
        <v>201703.1</v>
      </c>
      <c r="N168" s="55">
        <v>34519.300000000003</v>
      </c>
    </row>
    <row r="169" spans="1:14" ht="10.050000000000001" hidden="1" customHeight="1">
      <c r="A169" s="52" t="s">
        <v>315</v>
      </c>
      <c r="B169" s="53">
        <v>2001</v>
      </c>
      <c r="C169" s="52" t="s">
        <v>105</v>
      </c>
      <c r="D169" s="54">
        <v>5</v>
      </c>
      <c r="E169" s="55">
        <v>107.1</v>
      </c>
      <c r="F169" s="55">
        <v>0</v>
      </c>
      <c r="G169" s="55">
        <v>107.1</v>
      </c>
      <c r="H169" s="55">
        <v>1656.8</v>
      </c>
      <c r="I169" s="55">
        <v>0</v>
      </c>
      <c r="J169" s="55">
        <v>1656.8</v>
      </c>
      <c r="K169" s="55">
        <v>4.5</v>
      </c>
      <c r="L169" s="55">
        <v>0</v>
      </c>
      <c r="M169" s="55">
        <v>0</v>
      </c>
      <c r="N169" s="55">
        <v>0</v>
      </c>
    </row>
    <row r="170" spans="1:14" ht="10.050000000000001" hidden="1" customHeight="1">
      <c r="A170" s="52" t="s">
        <v>173</v>
      </c>
      <c r="B170" s="53">
        <v>2001</v>
      </c>
      <c r="C170" s="52" t="s">
        <v>105</v>
      </c>
      <c r="D170" s="54">
        <v>5</v>
      </c>
      <c r="E170" s="55">
        <v>133100.9</v>
      </c>
      <c r="F170" s="55">
        <v>1472.4</v>
      </c>
      <c r="G170" s="55">
        <v>134573.29999999999</v>
      </c>
      <c r="H170" s="55">
        <v>1741949.1</v>
      </c>
      <c r="I170" s="55">
        <v>21098.5</v>
      </c>
      <c r="J170" s="55">
        <v>1763047.6</v>
      </c>
      <c r="K170" s="55">
        <v>49632.800000000003</v>
      </c>
      <c r="L170" s="55">
        <v>3927.6</v>
      </c>
      <c r="M170" s="55">
        <v>45178.400000000001</v>
      </c>
      <c r="N170" s="55">
        <v>4498.6000000000004</v>
      </c>
    </row>
    <row r="171" spans="1:14" ht="10.050000000000001" customHeight="1">
      <c r="A171" s="52" t="s">
        <v>309</v>
      </c>
      <c r="B171" s="53">
        <v>2001</v>
      </c>
      <c r="C171" s="52" t="s">
        <v>105</v>
      </c>
      <c r="D171" s="54">
        <v>5</v>
      </c>
      <c r="E171" s="55">
        <v>281.7</v>
      </c>
      <c r="F171" s="55">
        <v>0</v>
      </c>
      <c r="G171" s="55">
        <v>281.7</v>
      </c>
      <c r="H171" s="55">
        <v>38753.9</v>
      </c>
      <c r="I171" s="55">
        <v>0</v>
      </c>
      <c r="J171" s="55">
        <v>38753.9</v>
      </c>
      <c r="K171" s="55">
        <v>0</v>
      </c>
      <c r="L171" s="55">
        <v>0</v>
      </c>
      <c r="M171" s="55">
        <v>0</v>
      </c>
      <c r="N171" s="55">
        <v>0</v>
      </c>
    </row>
    <row r="172" spans="1:14" ht="10.050000000000001" hidden="1" customHeight="1">
      <c r="A172" s="52" t="s">
        <v>316</v>
      </c>
      <c r="B172" s="53">
        <v>2001</v>
      </c>
      <c r="C172" s="52" t="s">
        <v>105</v>
      </c>
      <c r="D172" s="54">
        <v>5</v>
      </c>
      <c r="E172" s="55">
        <v>28.5</v>
      </c>
      <c r="F172" s="55">
        <v>0</v>
      </c>
      <c r="G172" s="55">
        <v>28.5</v>
      </c>
      <c r="H172" s="55">
        <v>1118.4000000000001</v>
      </c>
      <c r="I172" s="55">
        <v>8.4</v>
      </c>
      <c r="J172" s="55">
        <v>1126.8</v>
      </c>
      <c r="K172" s="55">
        <v>0.6</v>
      </c>
      <c r="L172" s="55">
        <v>0</v>
      </c>
      <c r="M172" s="55">
        <v>0</v>
      </c>
      <c r="N172" s="55">
        <v>0</v>
      </c>
    </row>
    <row r="173" spans="1:14" ht="10.050000000000001" hidden="1" customHeight="1">
      <c r="A173" s="52" t="s">
        <v>310</v>
      </c>
      <c r="B173" s="53">
        <v>2001</v>
      </c>
      <c r="C173" s="52" t="s">
        <v>105</v>
      </c>
      <c r="D173" s="54">
        <v>5</v>
      </c>
      <c r="E173" s="55">
        <v>1287.3</v>
      </c>
      <c r="F173" s="55">
        <v>0</v>
      </c>
      <c r="G173" s="55">
        <v>1287.3</v>
      </c>
      <c r="H173" s="55">
        <v>21791.3</v>
      </c>
      <c r="I173" s="55">
        <v>462.8</v>
      </c>
      <c r="J173" s="55">
        <v>22254.1</v>
      </c>
      <c r="K173" s="55">
        <v>333.4</v>
      </c>
      <c r="L173" s="55">
        <v>5.8</v>
      </c>
      <c r="M173" s="55">
        <v>412</v>
      </c>
      <c r="N173" s="55">
        <v>28</v>
      </c>
    </row>
    <row r="174" spans="1:14" ht="10.050000000000001" hidden="1" customHeight="1">
      <c r="A174" s="52" t="s">
        <v>308</v>
      </c>
      <c r="B174" s="53">
        <v>2001</v>
      </c>
      <c r="C174" s="52" t="s">
        <v>105</v>
      </c>
      <c r="D174" s="54">
        <v>5</v>
      </c>
      <c r="E174" s="55">
        <v>3698.6</v>
      </c>
      <c r="F174" s="55">
        <v>9.4</v>
      </c>
      <c r="G174" s="55">
        <v>3708</v>
      </c>
      <c r="H174" s="55">
        <v>53645.3</v>
      </c>
      <c r="I174" s="55">
        <v>296.2</v>
      </c>
      <c r="J174" s="55">
        <v>53941.5</v>
      </c>
      <c r="K174" s="55">
        <v>2037.6</v>
      </c>
      <c r="L174" s="55">
        <v>27.4</v>
      </c>
      <c r="M174" s="55">
        <v>2821.1</v>
      </c>
      <c r="N174" s="55">
        <v>447.2</v>
      </c>
    </row>
    <row r="175" spans="1:14" ht="10.050000000000001" hidden="1" customHeight="1">
      <c r="A175" s="52" t="s">
        <v>174</v>
      </c>
      <c r="B175" s="53">
        <v>2001</v>
      </c>
      <c r="C175" s="52" t="s">
        <v>105</v>
      </c>
      <c r="D175" s="54">
        <v>5</v>
      </c>
      <c r="E175" s="55">
        <v>2392</v>
      </c>
      <c r="F175" s="55">
        <v>100.3</v>
      </c>
      <c r="G175" s="55">
        <v>2492.3000000000002</v>
      </c>
      <c r="H175" s="55">
        <v>25776.400000000001</v>
      </c>
      <c r="I175" s="55">
        <v>3087.4</v>
      </c>
      <c r="J175" s="55">
        <v>28863.8</v>
      </c>
      <c r="K175" s="55">
        <v>8994</v>
      </c>
      <c r="L175" s="55">
        <v>132.9</v>
      </c>
      <c r="M175" s="55">
        <v>989.4</v>
      </c>
      <c r="N175" s="55">
        <v>1443.6</v>
      </c>
    </row>
    <row r="176" spans="1:14" ht="10.050000000000001" hidden="1" customHeight="1">
      <c r="A176" s="52" t="s">
        <v>306</v>
      </c>
      <c r="B176" s="53">
        <v>2001</v>
      </c>
      <c r="C176" s="52" t="s">
        <v>105</v>
      </c>
      <c r="D176" s="54">
        <v>6</v>
      </c>
      <c r="E176" s="55">
        <v>3074.5</v>
      </c>
      <c r="F176" s="55">
        <v>56.7</v>
      </c>
      <c r="G176" s="55">
        <v>3131.2</v>
      </c>
      <c r="H176" s="55">
        <v>21719.1</v>
      </c>
      <c r="I176" s="55">
        <v>1530.4</v>
      </c>
      <c r="J176" s="55">
        <v>23249.5</v>
      </c>
      <c r="K176" s="55">
        <v>757.9</v>
      </c>
      <c r="L176" s="55">
        <v>91.3</v>
      </c>
      <c r="M176" s="55">
        <v>772.7</v>
      </c>
      <c r="N176" s="55">
        <v>536.29999999999995</v>
      </c>
    </row>
    <row r="177" spans="1:14" ht="10.050000000000001" hidden="1" customHeight="1">
      <c r="A177" s="52" t="s">
        <v>172</v>
      </c>
      <c r="B177" s="53">
        <v>2001</v>
      </c>
      <c r="C177" s="52" t="s">
        <v>105</v>
      </c>
      <c r="D177" s="54">
        <v>6</v>
      </c>
      <c r="E177" s="55">
        <v>25045.9</v>
      </c>
      <c r="F177" s="55">
        <v>119.1</v>
      </c>
      <c r="G177" s="55">
        <v>25165</v>
      </c>
      <c r="H177" s="55">
        <v>68798.399999999994</v>
      </c>
      <c r="I177" s="55">
        <v>5244.1</v>
      </c>
      <c r="J177" s="55">
        <v>74042.5</v>
      </c>
      <c r="K177" s="55">
        <v>233.4</v>
      </c>
      <c r="L177" s="55">
        <v>213.2</v>
      </c>
      <c r="M177" s="55">
        <v>4592.6000000000004</v>
      </c>
      <c r="N177" s="55">
        <v>505.7</v>
      </c>
    </row>
    <row r="178" spans="1:14" ht="10.050000000000001" hidden="1" customHeight="1">
      <c r="A178" s="52" t="s">
        <v>171</v>
      </c>
      <c r="B178" s="53">
        <v>2001</v>
      </c>
      <c r="C178" s="52" t="s">
        <v>105</v>
      </c>
      <c r="D178" s="54">
        <v>6</v>
      </c>
      <c r="E178" s="55">
        <v>748447.7</v>
      </c>
      <c r="F178" s="55">
        <v>9285.4</v>
      </c>
      <c r="G178" s="55">
        <v>757733.1</v>
      </c>
      <c r="H178" s="55">
        <v>1909236.9</v>
      </c>
      <c r="I178" s="55">
        <v>32049.8</v>
      </c>
      <c r="J178" s="55">
        <v>1941286.7</v>
      </c>
      <c r="K178" s="55">
        <v>42034.400000000001</v>
      </c>
      <c r="L178" s="55">
        <v>21278.7</v>
      </c>
      <c r="M178" s="55">
        <v>203099.7</v>
      </c>
      <c r="N178" s="55">
        <v>28561.599999999999</v>
      </c>
    </row>
    <row r="179" spans="1:14" ht="10.050000000000001" hidden="1" customHeight="1">
      <c r="A179" s="52" t="s">
        <v>300</v>
      </c>
      <c r="B179" s="53">
        <v>2001</v>
      </c>
      <c r="C179" s="52" t="s">
        <v>105</v>
      </c>
      <c r="D179" s="54">
        <v>6</v>
      </c>
      <c r="E179" s="55">
        <v>1</v>
      </c>
      <c r="F179" s="55">
        <v>3</v>
      </c>
      <c r="G179" s="55">
        <v>4</v>
      </c>
      <c r="H179" s="55">
        <v>70.2</v>
      </c>
      <c r="I179" s="55">
        <v>0</v>
      </c>
      <c r="J179" s="55">
        <v>70.2</v>
      </c>
      <c r="K179" s="55">
        <v>0</v>
      </c>
      <c r="L179" s="55">
        <v>0</v>
      </c>
      <c r="M179" s="55">
        <v>0</v>
      </c>
      <c r="N179" s="55">
        <v>0</v>
      </c>
    </row>
    <row r="180" spans="1:14" ht="10.050000000000001" hidden="1" customHeight="1">
      <c r="A180" s="52" t="s">
        <v>307</v>
      </c>
      <c r="B180" s="53">
        <v>2001</v>
      </c>
      <c r="C180" s="52" t="s">
        <v>105</v>
      </c>
      <c r="D180" s="54">
        <v>6</v>
      </c>
      <c r="E180" s="55">
        <v>601017.9</v>
      </c>
      <c r="F180" s="55">
        <v>0</v>
      </c>
      <c r="G180" s="55">
        <v>601017.9</v>
      </c>
      <c r="H180" s="55">
        <v>2251264.4</v>
      </c>
      <c r="I180" s="55">
        <v>27278</v>
      </c>
      <c r="J180" s="55">
        <v>2278542.4</v>
      </c>
      <c r="K180" s="55">
        <v>233268.4</v>
      </c>
      <c r="L180" s="55">
        <v>24237.599999999999</v>
      </c>
      <c r="M180" s="55">
        <v>306811.40000000002</v>
      </c>
      <c r="N180" s="55">
        <v>48515.1</v>
      </c>
    </row>
    <row r="181" spans="1:14" ht="10.050000000000001" hidden="1" customHeight="1">
      <c r="A181" s="52" t="s">
        <v>315</v>
      </c>
      <c r="B181" s="53">
        <v>2001</v>
      </c>
      <c r="C181" s="52" t="s">
        <v>105</v>
      </c>
      <c r="D181" s="54">
        <v>6</v>
      </c>
      <c r="E181" s="55">
        <v>1060.3</v>
      </c>
      <c r="F181" s="55">
        <v>0</v>
      </c>
      <c r="G181" s="55">
        <v>1060.3</v>
      </c>
      <c r="H181" s="55">
        <v>947.3</v>
      </c>
      <c r="I181" s="55">
        <v>0</v>
      </c>
      <c r="J181" s="55">
        <v>947.3</v>
      </c>
      <c r="K181" s="55">
        <v>0</v>
      </c>
      <c r="L181" s="55">
        <v>0</v>
      </c>
      <c r="M181" s="55">
        <v>4.5</v>
      </c>
      <c r="N181" s="55">
        <v>0</v>
      </c>
    </row>
    <row r="182" spans="1:14" ht="10.050000000000001" hidden="1" customHeight="1">
      <c r="A182" s="52" t="s">
        <v>173</v>
      </c>
      <c r="B182" s="53">
        <v>2001</v>
      </c>
      <c r="C182" s="52" t="s">
        <v>105</v>
      </c>
      <c r="D182" s="54">
        <v>6</v>
      </c>
      <c r="E182" s="55">
        <v>85062.3</v>
      </c>
      <c r="F182" s="55">
        <v>3312.8</v>
      </c>
      <c r="G182" s="55">
        <v>88375.1</v>
      </c>
      <c r="H182" s="55">
        <v>974749</v>
      </c>
      <c r="I182" s="55">
        <v>9452.7999999999993</v>
      </c>
      <c r="J182" s="55">
        <v>984201.8</v>
      </c>
      <c r="K182" s="55">
        <v>14696.5</v>
      </c>
      <c r="L182" s="55">
        <v>6158.8</v>
      </c>
      <c r="M182" s="55">
        <v>28368.1</v>
      </c>
      <c r="N182" s="55">
        <v>12727</v>
      </c>
    </row>
    <row r="183" spans="1:14" ht="10.050000000000001" customHeight="1">
      <c r="A183" s="52" t="s">
        <v>309</v>
      </c>
      <c r="B183" s="53">
        <v>2001</v>
      </c>
      <c r="C183" s="52" t="s">
        <v>105</v>
      </c>
      <c r="D183" s="54">
        <v>6</v>
      </c>
      <c r="E183" s="55">
        <v>3074.8</v>
      </c>
      <c r="F183" s="55">
        <v>0</v>
      </c>
      <c r="G183" s="55">
        <v>3074.8</v>
      </c>
      <c r="H183" s="55">
        <v>28898.1</v>
      </c>
      <c r="I183" s="55">
        <v>0</v>
      </c>
      <c r="J183" s="55">
        <v>28898.1</v>
      </c>
      <c r="K183" s="55">
        <v>0</v>
      </c>
      <c r="L183" s="55">
        <v>0</v>
      </c>
      <c r="M183" s="55">
        <v>0</v>
      </c>
      <c r="N183" s="55">
        <v>0</v>
      </c>
    </row>
    <row r="184" spans="1:14" ht="10.050000000000001" hidden="1" customHeight="1">
      <c r="A184" s="52" t="s">
        <v>316</v>
      </c>
      <c r="B184" s="53">
        <v>2001</v>
      </c>
      <c r="C184" s="52" t="s">
        <v>105</v>
      </c>
      <c r="D184" s="54">
        <v>6</v>
      </c>
      <c r="E184" s="55">
        <v>22.8</v>
      </c>
      <c r="F184" s="55">
        <v>0</v>
      </c>
      <c r="G184" s="55">
        <v>22.8</v>
      </c>
      <c r="H184" s="55">
        <v>961.2</v>
      </c>
      <c r="I184" s="55">
        <v>0</v>
      </c>
      <c r="J184" s="55">
        <v>961.2</v>
      </c>
      <c r="K184" s="55">
        <v>0</v>
      </c>
      <c r="L184" s="55">
        <v>0</v>
      </c>
      <c r="M184" s="55">
        <v>0.6</v>
      </c>
      <c r="N184" s="55">
        <v>0</v>
      </c>
    </row>
    <row r="185" spans="1:14" ht="10.050000000000001" hidden="1" customHeight="1">
      <c r="A185" s="52" t="s">
        <v>310</v>
      </c>
      <c r="B185" s="53">
        <v>2001</v>
      </c>
      <c r="C185" s="52" t="s">
        <v>105</v>
      </c>
      <c r="D185" s="54">
        <v>6</v>
      </c>
      <c r="E185" s="55">
        <v>1615.2</v>
      </c>
      <c r="F185" s="55">
        <v>0</v>
      </c>
      <c r="G185" s="55">
        <v>1615.2</v>
      </c>
      <c r="H185" s="55">
        <v>16563.2</v>
      </c>
      <c r="I185" s="55">
        <v>333.6</v>
      </c>
      <c r="J185" s="55">
        <v>16896.8</v>
      </c>
      <c r="K185" s="55">
        <v>87.3</v>
      </c>
      <c r="L185" s="55">
        <v>0</v>
      </c>
      <c r="M185" s="55">
        <v>154.69999999999999</v>
      </c>
      <c r="N185" s="55">
        <v>91.4</v>
      </c>
    </row>
    <row r="186" spans="1:14" ht="10.050000000000001" hidden="1" customHeight="1">
      <c r="A186" s="52" t="s">
        <v>308</v>
      </c>
      <c r="B186" s="53">
        <v>2001</v>
      </c>
      <c r="C186" s="52" t="s">
        <v>105</v>
      </c>
      <c r="D186" s="54">
        <v>6</v>
      </c>
      <c r="E186" s="55">
        <v>3241.3</v>
      </c>
      <c r="F186" s="55">
        <v>0</v>
      </c>
      <c r="G186" s="55">
        <v>3241.3</v>
      </c>
      <c r="H186" s="55">
        <v>28435.599999999999</v>
      </c>
      <c r="I186" s="55">
        <v>270.5</v>
      </c>
      <c r="J186" s="55">
        <v>28706.1</v>
      </c>
      <c r="K186" s="55">
        <v>654.70000000000005</v>
      </c>
      <c r="L186" s="55">
        <v>-13.9</v>
      </c>
      <c r="M186" s="55">
        <v>895</v>
      </c>
      <c r="N186" s="55">
        <v>474</v>
      </c>
    </row>
    <row r="187" spans="1:14" ht="10.050000000000001" hidden="1" customHeight="1">
      <c r="A187" s="52" t="s">
        <v>174</v>
      </c>
      <c r="B187" s="53">
        <v>2001</v>
      </c>
      <c r="C187" s="52" t="s">
        <v>105</v>
      </c>
      <c r="D187" s="54">
        <v>6</v>
      </c>
      <c r="E187" s="55">
        <v>5108.8</v>
      </c>
      <c r="F187" s="55">
        <v>0</v>
      </c>
      <c r="G187" s="55">
        <v>5108.8</v>
      </c>
      <c r="H187" s="55">
        <v>12900.8</v>
      </c>
      <c r="I187" s="55">
        <v>2130.6999999999998</v>
      </c>
      <c r="J187" s="55">
        <v>15031.5</v>
      </c>
      <c r="K187" s="55">
        <v>4980.7</v>
      </c>
      <c r="L187" s="55">
        <v>183.5</v>
      </c>
      <c r="M187" s="55">
        <v>2058.9</v>
      </c>
      <c r="N187" s="55">
        <v>2137.9</v>
      </c>
    </row>
    <row r="188" spans="1:14" ht="10.050000000000001" hidden="1" customHeight="1">
      <c r="A188" s="52" t="s">
        <v>314</v>
      </c>
      <c r="B188" s="53">
        <v>2001</v>
      </c>
      <c r="C188" s="52" t="s">
        <v>108</v>
      </c>
      <c r="D188" s="54">
        <v>7</v>
      </c>
      <c r="E188" s="55">
        <v>4.4000000000000004</v>
      </c>
      <c r="F188" s="55">
        <v>0</v>
      </c>
      <c r="G188" s="55">
        <v>4.4000000000000004</v>
      </c>
      <c r="H188" s="55">
        <v>4.4000000000000004</v>
      </c>
      <c r="I188" s="55">
        <v>0</v>
      </c>
      <c r="J188" s="55">
        <v>4.4000000000000004</v>
      </c>
      <c r="K188" s="55">
        <v>0</v>
      </c>
      <c r="L188" s="55">
        <v>0</v>
      </c>
      <c r="M188" s="55">
        <v>0</v>
      </c>
      <c r="N188" s="55">
        <v>0</v>
      </c>
    </row>
    <row r="189" spans="1:14" ht="10.050000000000001" hidden="1" customHeight="1">
      <c r="A189" s="52" t="s">
        <v>306</v>
      </c>
      <c r="B189" s="53">
        <v>2001</v>
      </c>
      <c r="C189" s="52" t="s">
        <v>108</v>
      </c>
      <c r="D189" s="54">
        <v>7</v>
      </c>
      <c r="E189" s="55">
        <v>51554.3</v>
      </c>
      <c r="F189" s="55">
        <v>1422</v>
      </c>
      <c r="G189" s="55">
        <v>52976.3</v>
      </c>
      <c r="H189" s="55">
        <v>62769.8</v>
      </c>
      <c r="I189" s="55">
        <v>2566</v>
      </c>
      <c r="J189" s="55">
        <v>65335.8</v>
      </c>
      <c r="K189" s="55">
        <v>8614.2000000000007</v>
      </c>
      <c r="L189" s="55">
        <v>8423</v>
      </c>
      <c r="M189" s="55">
        <v>419.3</v>
      </c>
      <c r="N189" s="55">
        <v>147.4</v>
      </c>
    </row>
    <row r="190" spans="1:14" ht="10.050000000000001" hidden="1" customHeight="1">
      <c r="A190" s="52" t="s">
        <v>172</v>
      </c>
      <c r="B190" s="53">
        <v>2001</v>
      </c>
      <c r="C190" s="52" t="s">
        <v>108</v>
      </c>
      <c r="D190" s="54">
        <v>7</v>
      </c>
      <c r="E190" s="55">
        <v>634476.19999999995</v>
      </c>
      <c r="F190" s="55">
        <v>32395.3</v>
      </c>
      <c r="G190" s="55">
        <v>666871.5</v>
      </c>
      <c r="H190" s="55">
        <v>567531.9</v>
      </c>
      <c r="I190" s="55">
        <v>27782.5</v>
      </c>
      <c r="J190" s="55">
        <v>595314.4</v>
      </c>
      <c r="K190" s="55">
        <v>98603.5</v>
      </c>
      <c r="L190" s="55">
        <v>100860.1</v>
      </c>
      <c r="M190" s="55">
        <v>2477.3000000000002</v>
      </c>
      <c r="N190" s="55">
        <v>12.7</v>
      </c>
    </row>
    <row r="191" spans="1:14" ht="10.050000000000001" hidden="1" customHeight="1">
      <c r="A191" s="52" t="s">
        <v>171</v>
      </c>
      <c r="B191" s="53">
        <v>2001</v>
      </c>
      <c r="C191" s="52" t="s">
        <v>108</v>
      </c>
      <c r="D191" s="54">
        <v>7</v>
      </c>
      <c r="E191" s="55">
        <v>8569011.4000000004</v>
      </c>
      <c r="F191" s="55">
        <v>94144.9</v>
      </c>
      <c r="G191" s="55">
        <v>8663156.3000000101</v>
      </c>
      <c r="H191" s="55">
        <v>8501936.0999999996</v>
      </c>
      <c r="I191" s="55">
        <v>118861.4</v>
      </c>
      <c r="J191" s="55">
        <v>8620797.5000000093</v>
      </c>
      <c r="K191" s="55">
        <v>1628784.9</v>
      </c>
      <c r="L191" s="55">
        <v>1625316.8</v>
      </c>
      <c r="M191" s="55">
        <v>30142.9</v>
      </c>
      <c r="N191" s="55">
        <v>8403.1</v>
      </c>
    </row>
    <row r="192" spans="1:14" ht="10.050000000000001" hidden="1" customHeight="1">
      <c r="A192" s="52" t="s">
        <v>300</v>
      </c>
      <c r="B192" s="53">
        <v>2001</v>
      </c>
      <c r="C192" s="52" t="s">
        <v>108</v>
      </c>
      <c r="D192" s="54">
        <v>7</v>
      </c>
      <c r="E192" s="55">
        <v>27.5</v>
      </c>
      <c r="F192" s="55">
        <v>0</v>
      </c>
      <c r="G192" s="55">
        <v>27.5</v>
      </c>
      <c r="H192" s="55">
        <v>88.2</v>
      </c>
      <c r="I192" s="55">
        <v>0</v>
      </c>
      <c r="J192" s="55">
        <v>88.2</v>
      </c>
      <c r="K192" s="55">
        <v>0</v>
      </c>
      <c r="L192" s="55">
        <v>0</v>
      </c>
      <c r="M192" s="55">
        <v>0</v>
      </c>
      <c r="N192" s="55">
        <v>0</v>
      </c>
    </row>
    <row r="193" spans="1:14" ht="10.050000000000001" hidden="1" customHeight="1">
      <c r="A193" s="52" t="s">
        <v>307</v>
      </c>
      <c r="B193" s="53">
        <v>2001</v>
      </c>
      <c r="C193" s="52" t="s">
        <v>108</v>
      </c>
      <c r="D193" s="54">
        <v>7</v>
      </c>
      <c r="E193" s="55">
        <v>186107.4</v>
      </c>
      <c r="F193" s="55">
        <v>0</v>
      </c>
      <c r="G193" s="55">
        <v>186107.4</v>
      </c>
      <c r="H193" s="55">
        <v>1585391.6</v>
      </c>
      <c r="I193" s="55">
        <v>27197.599999999999</v>
      </c>
      <c r="J193" s="55">
        <v>1612589.2</v>
      </c>
      <c r="K193" s="55">
        <v>175406.8</v>
      </c>
      <c r="L193" s="55">
        <v>20639.3</v>
      </c>
      <c r="M193" s="55">
        <v>52103.3</v>
      </c>
      <c r="N193" s="55">
        <v>26397.599999999999</v>
      </c>
    </row>
    <row r="194" spans="1:14" ht="10.050000000000001" hidden="1" customHeight="1">
      <c r="A194" s="52" t="s">
        <v>315</v>
      </c>
      <c r="B194" s="53">
        <v>2001</v>
      </c>
      <c r="C194" s="52" t="s">
        <v>108</v>
      </c>
      <c r="D194" s="54">
        <v>7</v>
      </c>
      <c r="E194" s="55">
        <v>0</v>
      </c>
      <c r="F194" s="55">
        <v>0</v>
      </c>
      <c r="G194" s="55">
        <v>0</v>
      </c>
      <c r="H194" s="55">
        <v>351.2</v>
      </c>
      <c r="I194" s="55">
        <v>0</v>
      </c>
      <c r="J194" s="55">
        <v>351.2</v>
      </c>
      <c r="K194" s="55">
        <v>0</v>
      </c>
      <c r="L194" s="55">
        <v>0</v>
      </c>
      <c r="M194" s="55">
        <v>0</v>
      </c>
      <c r="N194" s="55">
        <v>0</v>
      </c>
    </row>
    <row r="195" spans="1:14" ht="10.050000000000001" hidden="1" customHeight="1">
      <c r="A195" s="52" t="s">
        <v>173</v>
      </c>
      <c r="B195" s="53">
        <v>2001</v>
      </c>
      <c r="C195" s="52" t="s">
        <v>108</v>
      </c>
      <c r="D195" s="54">
        <v>7</v>
      </c>
      <c r="E195" s="55">
        <v>4474110.3</v>
      </c>
      <c r="F195" s="55">
        <v>112626</v>
      </c>
      <c r="G195" s="55">
        <v>4586736.3</v>
      </c>
      <c r="H195" s="55">
        <v>4614960.0999999996</v>
      </c>
      <c r="I195" s="55">
        <v>88034.6</v>
      </c>
      <c r="J195" s="55">
        <v>4702994.7</v>
      </c>
      <c r="K195" s="55">
        <v>699435.6</v>
      </c>
      <c r="L195" s="55">
        <v>807096.7</v>
      </c>
      <c r="M195" s="55">
        <v>118590.9</v>
      </c>
      <c r="N195" s="55">
        <v>3766.7</v>
      </c>
    </row>
    <row r="196" spans="1:14" ht="10.050000000000001" customHeight="1">
      <c r="A196" s="52" t="s">
        <v>309</v>
      </c>
      <c r="B196" s="53">
        <v>2001</v>
      </c>
      <c r="C196" s="52" t="s">
        <v>108</v>
      </c>
      <c r="D196" s="54">
        <v>7</v>
      </c>
      <c r="E196" s="55">
        <v>22.8</v>
      </c>
      <c r="F196" s="55">
        <v>0</v>
      </c>
      <c r="G196" s="55">
        <v>22.8</v>
      </c>
      <c r="H196" s="55">
        <v>16445.599999999999</v>
      </c>
      <c r="I196" s="55">
        <v>0</v>
      </c>
      <c r="J196" s="55">
        <v>16445.599999999999</v>
      </c>
      <c r="K196" s="55">
        <v>0</v>
      </c>
      <c r="L196" s="55">
        <v>0</v>
      </c>
      <c r="M196" s="55">
        <v>0</v>
      </c>
      <c r="N196" s="55">
        <v>0</v>
      </c>
    </row>
    <row r="197" spans="1:14" ht="10.050000000000001" hidden="1" customHeight="1">
      <c r="A197" s="52" t="s">
        <v>316</v>
      </c>
      <c r="B197" s="53">
        <v>2001</v>
      </c>
      <c r="C197" s="52" t="s">
        <v>108</v>
      </c>
      <c r="D197" s="54">
        <v>7</v>
      </c>
      <c r="E197" s="55">
        <v>0.4</v>
      </c>
      <c r="F197" s="55">
        <v>0</v>
      </c>
      <c r="G197" s="55">
        <v>0.4</v>
      </c>
      <c r="H197" s="55">
        <v>698.9</v>
      </c>
      <c r="I197" s="55">
        <v>0</v>
      </c>
      <c r="J197" s="55">
        <v>698.9</v>
      </c>
      <c r="K197" s="55">
        <v>0</v>
      </c>
      <c r="L197" s="55">
        <v>0</v>
      </c>
      <c r="M197" s="55">
        <v>0</v>
      </c>
      <c r="N197" s="55">
        <v>0</v>
      </c>
    </row>
    <row r="198" spans="1:14" ht="10.050000000000001" hidden="1" customHeight="1">
      <c r="A198" s="52" t="s">
        <v>310</v>
      </c>
      <c r="B198" s="53">
        <v>2001</v>
      </c>
      <c r="C198" s="52" t="s">
        <v>108</v>
      </c>
      <c r="D198" s="54">
        <v>7</v>
      </c>
      <c r="E198" s="55">
        <v>9019</v>
      </c>
      <c r="F198" s="55">
        <v>86.5</v>
      </c>
      <c r="G198" s="55">
        <v>9105.5</v>
      </c>
      <c r="H198" s="55">
        <v>21860.5</v>
      </c>
      <c r="I198" s="55">
        <v>390.5</v>
      </c>
      <c r="J198" s="55">
        <v>22251</v>
      </c>
      <c r="K198" s="55">
        <v>3044.1</v>
      </c>
      <c r="L198" s="55">
        <v>2969.8</v>
      </c>
      <c r="M198" s="55">
        <v>3.6</v>
      </c>
      <c r="N198" s="55">
        <v>9.4</v>
      </c>
    </row>
    <row r="199" spans="1:14" ht="10.050000000000001" hidden="1" customHeight="1">
      <c r="A199" s="52" t="s">
        <v>308</v>
      </c>
      <c r="B199" s="53">
        <v>2001</v>
      </c>
      <c r="C199" s="52" t="s">
        <v>108</v>
      </c>
      <c r="D199" s="54">
        <v>7</v>
      </c>
      <c r="E199" s="55">
        <v>347.9</v>
      </c>
      <c r="F199" s="55">
        <v>0</v>
      </c>
      <c r="G199" s="55">
        <v>347.9</v>
      </c>
      <c r="H199" s="55">
        <v>18860.2</v>
      </c>
      <c r="I199" s="55">
        <v>270.5</v>
      </c>
      <c r="J199" s="55">
        <v>19130.7</v>
      </c>
      <c r="K199" s="55">
        <v>507.4</v>
      </c>
      <c r="L199" s="55">
        <v>245.6</v>
      </c>
      <c r="M199" s="55">
        <v>0</v>
      </c>
      <c r="N199" s="55">
        <v>392.9</v>
      </c>
    </row>
    <row r="200" spans="1:14" ht="10.050000000000001" hidden="1" customHeight="1">
      <c r="A200" s="52" t="s">
        <v>174</v>
      </c>
      <c r="B200" s="53">
        <v>2001</v>
      </c>
      <c r="C200" s="52" t="s">
        <v>108</v>
      </c>
      <c r="D200" s="54">
        <v>7</v>
      </c>
      <c r="E200" s="55">
        <v>73492.300000000105</v>
      </c>
      <c r="F200" s="55">
        <v>7354.8</v>
      </c>
      <c r="G200" s="55">
        <v>80847.100000000006</v>
      </c>
      <c r="H200" s="55">
        <v>67219.199999999997</v>
      </c>
      <c r="I200" s="55">
        <v>9998.5</v>
      </c>
      <c r="J200" s="55">
        <v>77217.7</v>
      </c>
      <c r="K200" s="55">
        <v>14643.6</v>
      </c>
      <c r="L200" s="55">
        <v>10636.7</v>
      </c>
      <c r="M200" s="55">
        <v>128.5</v>
      </c>
      <c r="N200" s="55">
        <v>845.3</v>
      </c>
    </row>
    <row r="201" spans="1:14" ht="10.050000000000001" hidden="1" customHeight="1">
      <c r="A201" s="52" t="s">
        <v>314</v>
      </c>
      <c r="B201" s="53">
        <v>2001</v>
      </c>
      <c r="C201" s="52" t="s">
        <v>108</v>
      </c>
      <c r="D201" s="54">
        <v>8</v>
      </c>
      <c r="E201" s="55">
        <v>114.9</v>
      </c>
      <c r="F201" s="55">
        <v>0</v>
      </c>
      <c r="G201" s="55">
        <v>114.9</v>
      </c>
      <c r="H201" s="55">
        <v>119.3</v>
      </c>
      <c r="I201" s="55">
        <v>0</v>
      </c>
      <c r="J201" s="55">
        <v>119.3</v>
      </c>
      <c r="K201" s="55">
        <v>0</v>
      </c>
      <c r="L201" s="55">
        <v>0</v>
      </c>
      <c r="M201" s="55">
        <v>0</v>
      </c>
      <c r="N201" s="55">
        <v>0</v>
      </c>
    </row>
    <row r="202" spans="1:14" ht="10.050000000000001" hidden="1" customHeight="1">
      <c r="A202" s="52" t="s">
        <v>306</v>
      </c>
      <c r="B202" s="53">
        <v>2001</v>
      </c>
      <c r="C202" s="52" t="s">
        <v>108</v>
      </c>
      <c r="D202" s="54">
        <v>8</v>
      </c>
      <c r="E202" s="55">
        <v>59981.4</v>
      </c>
      <c r="F202" s="55">
        <v>2015.7</v>
      </c>
      <c r="G202" s="55">
        <v>61997.1</v>
      </c>
      <c r="H202" s="55">
        <v>106663.9</v>
      </c>
      <c r="I202" s="55">
        <v>3992.9</v>
      </c>
      <c r="J202" s="55">
        <v>110656.8</v>
      </c>
      <c r="K202" s="55">
        <v>13675.1</v>
      </c>
      <c r="L202" s="55">
        <v>7189.8</v>
      </c>
      <c r="M202" s="55">
        <v>1643.1</v>
      </c>
      <c r="N202" s="55">
        <v>262.39999999999998</v>
      </c>
    </row>
    <row r="203" spans="1:14" ht="10.050000000000001" hidden="1" customHeight="1">
      <c r="A203" s="52" t="s">
        <v>172</v>
      </c>
      <c r="B203" s="53">
        <v>2001</v>
      </c>
      <c r="C203" s="52" t="s">
        <v>108</v>
      </c>
      <c r="D203" s="54">
        <v>8</v>
      </c>
      <c r="E203" s="55">
        <v>60939.199999999997</v>
      </c>
      <c r="F203" s="55">
        <v>4785.6000000000004</v>
      </c>
      <c r="G203" s="55">
        <v>65724.800000000003</v>
      </c>
      <c r="H203" s="55">
        <v>524208.3</v>
      </c>
      <c r="I203" s="55">
        <v>30054.1</v>
      </c>
      <c r="J203" s="55">
        <v>554262.4</v>
      </c>
      <c r="K203" s="55">
        <v>103460.2</v>
      </c>
      <c r="L203" s="55">
        <v>17069.099999999999</v>
      </c>
      <c r="M203" s="55">
        <v>12174.8</v>
      </c>
      <c r="N203" s="55">
        <v>37.6</v>
      </c>
    </row>
    <row r="204" spans="1:14" ht="10.050000000000001" hidden="1" customHeight="1">
      <c r="A204" s="52" t="s">
        <v>171</v>
      </c>
      <c r="B204" s="53">
        <v>2001</v>
      </c>
      <c r="C204" s="52" t="s">
        <v>108</v>
      </c>
      <c r="D204" s="54">
        <v>8</v>
      </c>
      <c r="E204" s="55">
        <v>5178741.9000000004</v>
      </c>
      <c r="F204" s="55">
        <v>192771</v>
      </c>
      <c r="G204" s="55">
        <v>5371512.9000000004</v>
      </c>
      <c r="H204" s="55">
        <v>11098214</v>
      </c>
      <c r="I204" s="55">
        <v>221484.7</v>
      </c>
      <c r="J204" s="55">
        <v>11319698.699999999</v>
      </c>
      <c r="K204" s="55">
        <v>2952991.1</v>
      </c>
      <c r="L204" s="55">
        <v>1648457.7</v>
      </c>
      <c r="M204" s="55">
        <v>306984.09999999998</v>
      </c>
      <c r="N204" s="55">
        <v>17186.7</v>
      </c>
    </row>
    <row r="205" spans="1:14" ht="10.050000000000001" hidden="1" customHeight="1">
      <c r="A205" s="52" t="s">
        <v>300</v>
      </c>
      <c r="B205" s="53">
        <v>2001</v>
      </c>
      <c r="C205" s="52" t="s">
        <v>108</v>
      </c>
      <c r="D205" s="54">
        <v>8</v>
      </c>
      <c r="E205" s="55">
        <v>236.1</v>
      </c>
      <c r="F205" s="55">
        <v>18.600000000000001</v>
      </c>
      <c r="G205" s="55">
        <v>254.7</v>
      </c>
      <c r="H205" s="55">
        <v>267.89999999999998</v>
      </c>
      <c r="I205" s="55">
        <v>18.600000000000001</v>
      </c>
      <c r="J205" s="55">
        <v>286.5</v>
      </c>
      <c r="K205" s="55">
        <v>0</v>
      </c>
      <c r="L205" s="55">
        <v>0</v>
      </c>
      <c r="M205" s="55">
        <v>0</v>
      </c>
      <c r="N205" s="55">
        <v>0</v>
      </c>
    </row>
    <row r="206" spans="1:14" ht="10.050000000000001" hidden="1" customHeight="1">
      <c r="A206" s="52" t="s">
        <v>307</v>
      </c>
      <c r="B206" s="53">
        <v>2001</v>
      </c>
      <c r="C206" s="52" t="s">
        <v>108</v>
      </c>
      <c r="D206" s="54">
        <v>8</v>
      </c>
      <c r="E206" s="55">
        <v>174269.2</v>
      </c>
      <c r="F206" s="55">
        <v>0</v>
      </c>
      <c r="G206" s="55">
        <v>174269.2</v>
      </c>
      <c r="H206" s="55">
        <v>881403.5</v>
      </c>
      <c r="I206" s="55">
        <v>26688.5</v>
      </c>
      <c r="J206" s="55">
        <v>908092</v>
      </c>
      <c r="K206" s="55">
        <v>90919.7</v>
      </c>
      <c r="L206" s="55">
        <v>21037.4</v>
      </c>
      <c r="M206" s="55">
        <v>70718.100000000006</v>
      </c>
      <c r="N206" s="55">
        <v>34694.400000000001</v>
      </c>
    </row>
    <row r="207" spans="1:14" ht="10.050000000000001" hidden="1" customHeight="1">
      <c r="A207" s="52" t="s">
        <v>315</v>
      </c>
      <c r="B207" s="53">
        <v>2001</v>
      </c>
      <c r="C207" s="52" t="s">
        <v>108</v>
      </c>
      <c r="D207" s="54">
        <v>8</v>
      </c>
      <c r="E207" s="55">
        <v>586.70000000000005</v>
      </c>
      <c r="F207" s="55">
        <v>0</v>
      </c>
      <c r="G207" s="55">
        <v>586.70000000000005</v>
      </c>
      <c r="H207" s="55">
        <v>824.7</v>
      </c>
      <c r="I207" s="55">
        <v>0</v>
      </c>
      <c r="J207" s="55">
        <v>824.7</v>
      </c>
      <c r="K207" s="55">
        <v>0</v>
      </c>
      <c r="L207" s="55">
        <v>0</v>
      </c>
      <c r="M207" s="55">
        <v>0</v>
      </c>
      <c r="N207" s="55">
        <v>0</v>
      </c>
    </row>
    <row r="208" spans="1:14" ht="10.050000000000001" hidden="1" customHeight="1">
      <c r="A208" s="52" t="s">
        <v>173</v>
      </c>
      <c r="B208" s="53">
        <v>2001</v>
      </c>
      <c r="C208" s="52" t="s">
        <v>108</v>
      </c>
      <c r="D208" s="54">
        <v>8</v>
      </c>
      <c r="E208" s="55">
        <v>989262.1</v>
      </c>
      <c r="F208" s="55">
        <v>21820.400000000001</v>
      </c>
      <c r="G208" s="55">
        <v>1011082.5</v>
      </c>
      <c r="H208" s="55">
        <v>4990990.3</v>
      </c>
      <c r="I208" s="55">
        <v>83085.600000000006</v>
      </c>
      <c r="J208" s="55">
        <v>5074075.9000000004</v>
      </c>
      <c r="K208" s="55">
        <v>749326.8</v>
      </c>
      <c r="L208" s="55">
        <v>173707.5</v>
      </c>
      <c r="M208" s="55">
        <v>117580.8</v>
      </c>
      <c r="N208" s="55">
        <v>6059.8</v>
      </c>
    </row>
    <row r="209" spans="1:14" ht="10.050000000000001" customHeight="1">
      <c r="A209" s="52" t="s">
        <v>309</v>
      </c>
      <c r="B209" s="53">
        <v>2001</v>
      </c>
      <c r="C209" s="52" t="s">
        <v>108</v>
      </c>
      <c r="D209" s="54">
        <v>8</v>
      </c>
      <c r="E209" s="55">
        <v>0</v>
      </c>
      <c r="F209" s="55">
        <v>0</v>
      </c>
      <c r="G209" s="55">
        <v>0</v>
      </c>
      <c r="H209" s="55">
        <v>8233.9</v>
      </c>
      <c r="I209" s="55">
        <v>0</v>
      </c>
      <c r="J209" s="55">
        <v>8233.9</v>
      </c>
      <c r="K209" s="55">
        <v>0</v>
      </c>
      <c r="L209" s="55">
        <v>0</v>
      </c>
      <c r="M209" s="55">
        <v>0</v>
      </c>
      <c r="N209" s="55">
        <v>0</v>
      </c>
    </row>
    <row r="210" spans="1:14" ht="10.050000000000001" hidden="1" customHeight="1">
      <c r="A210" s="52" t="s">
        <v>316</v>
      </c>
      <c r="B210" s="53">
        <v>2001</v>
      </c>
      <c r="C210" s="52" t="s">
        <v>108</v>
      </c>
      <c r="D210" s="54">
        <v>8</v>
      </c>
      <c r="E210" s="55">
        <v>7.4</v>
      </c>
      <c r="F210" s="55">
        <v>0</v>
      </c>
      <c r="G210" s="55">
        <v>7.4</v>
      </c>
      <c r="H210" s="55">
        <v>625.6</v>
      </c>
      <c r="I210" s="55">
        <v>0</v>
      </c>
      <c r="J210" s="55">
        <v>625.6</v>
      </c>
      <c r="K210" s="55">
        <v>0</v>
      </c>
      <c r="L210" s="55">
        <v>0</v>
      </c>
      <c r="M210" s="55">
        <v>0</v>
      </c>
      <c r="N210" s="55">
        <v>0</v>
      </c>
    </row>
    <row r="211" spans="1:14" ht="10.050000000000001" hidden="1" customHeight="1">
      <c r="A211" s="52" t="s">
        <v>310</v>
      </c>
      <c r="B211" s="53">
        <v>2001</v>
      </c>
      <c r="C211" s="52" t="s">
        <v>108</v>
      </c>
      <c r="D211" s="54">
        <v>8</v>
      </c>
      <c r="E211" s="55">
        <v>13398.6</v>
      </c>
      <c r="F211" s="55">
        <v>973.5</v>
      </c>
      <c r="G211" s="55">
        <v>14372.1</v>
      </c>
      <c r="H211" s="55">
        <v>31076.5</v>
      </c>
      <c r="I211" s="55">
        <v>1271</v>
      </c>
      <c r="J211" s="55">
        <v>32347.5</v>
      </c>
      <c r="K211" s="55">
        <v>4538</v>
      </c>
      <c r="L211" s="55">
        <v>1952.2</v>
      </c>
      <c r="M211" s="55">
        <v>425</v>
      </c>
      <c r="N211" s="55">
        <v>33.299999999999997</v>
      </c>
    </row>
    <row r="212" spans="1:14" ht="10.050000000000001" hidden="1" customHeight="1">
      <c r="A212" s="52" t="s">
        <v>308</v>
      </c>
      <c r="B212" s="53">
        <v>2001</v>
      </c>
      <c r="C212" s="52" t="s">
        <v>108</v>
      </c>
      <c r="D212" s="54">
        <v>8</v>
      </c>
      <c r="E212" s="55">
        <v>165.2</v>
      </c>
      <c r="F212" s="55">
        <v>0</v>
      </c>
      <c r="G212" s="55">
        <v>165.2</v>
      </c>
      <c r="H212" s="55">
        <v>9364.1</v>
      </c>
      <c r="I212" s="55">
        <v>270.5</v>
      </c>
      <c r="J212" s="55">
        <v>9634.6</v>
      </c>
      <c r="K212" s="55">
        <v>454</v>
      </c>
      <c r="L212" s="55">
        <v>5.9</v>
      </c>
      <c r="M212" s="55">
        <v>0</v>
      </c>
      <c r="N212" s="55">
        <v>59.3</v>
      </c>
    </row>
    <row r="213" spans="1:14" ht="10.050000000000001" hidden="1" customHeight="1">
      <c r="A213" s="52" t="s">
        <v>174</v>
      </c>
      <c r="B213" s="53">
        <v>2001</v>
      </c>
      <c r="C213" s="52" t="s">
        <v>108</v>
      </c>
      <c r="D213" s="54">
        <v>8</v>
      </c>
      <c r="E213" s="55">
        <v>128720.6</v>
      </c>
      <c r="F213" s="55">
        <v>13181.4</v>
      </c>
      <c r="G213" s="55">
        <v>141902</v>
      </c>
      <c r="H213" s="55">
        <v>139396.1</v>
      </c>
      <c r="I213" s="55">
        <v>19185.099999999999</v>
      </c>
      <c r="J213" s="55">
        <v>158581.20000000001</v>
      </c>
      <c r="K213" s="55">
        <v>25561.9</v>
      </c>
      <c r="L213" s="55">
        <v>13526.5</v>
      </c>
      <c r="M213" s="55">
        <v>850.9</v>
      </c>
      <c r="N213" s="55">
        <v>1926.4</v>
      </c>
    </row>
    <row r="214" spans="1:14" ht="10.050000000000001" hidden="1" customHeight="1">
      <c r="A214" s="52" t="s">
        <v>314</v>
      </c>
      <c r="B214" s="53">
        <v>2001</v>
      </c>
      <c r="C214" s="52" t="s">
        <v>108</v>
      </c>
      <c r="D214" s="54">
        <v>9</v>
      </c>
      <c r="E214" s="55">
        <v>21.3</v>
      </c>
      <c r="F214" s="55">
        <v>0</v>
      </c>
      <c r="G214" s="55">
        <v>21.3</v>
      </c>
      <c r="H214" s="55">
        <v>90.4</v>
      </c>
      <c r="I214" s="55">
        <v>0</v>
      </c>
      <c r="J214" s="55">
        <v>90.4</v>
      </c>
      <c r="K214" s="55">
        <v>0</v>
      </c>
      <c r="L214" s="55">
        <v>0</v>
      </c>
      <c r="M214" s="55">
        <v>0</v>
      </c>
      <c r="N214" s="55">
        <v>0</v>
      </c>
    </row>
    <row r="215" spans="1:14" ht="10.050000000000001" hidden="1" customHeight="1">
      <c r="A215" s="52" t="s">
        <v>306</v>
      </c>
      <c r="B215" s="53">
        <v>2001</v>
      </c>
      <c r="C215" s="52" t="s">
        <v>108</v>
      </c>
      <c r="D215" s="54">
        <v>9</v>
      </c>
      <c r="E215" s="55">
        <v>13658.3</v>
      </c>
      <c r="F215" s="55">
        <v>1720.7</v>
      </c>
      <c r="G215" s="55">
        <v>15379</v>
      </c>
      <c r="H215" s="55">
        <v>106170.6</v>
      </c>
      <c r="I215" s="55">
        <v>3334.3</v>
      </c>
      <c r="J215" s="55">
        <v>109504.9</v>
      </c>
      <c r="K215" s="55">
        <v>12361.9</v>
      </c>
      <c r="L215" s="55">
        <v>1599.8</v>
      </c>
      <c r="M215" s="55">
        <v>2392</v>
      </c>
      <c r="N215" s="55">
        <v>521</v>
      </c>
    </row>
    <row r="216" spans="1:14" ht="10.050000000000001" hidden="1" customHeight="1">
      <c r="A216" s="52" t="s">
        <v>172</v>
      </c>
      <c r="B216" s="53">
        <v>2001</v>
      </c>
      <c r="C216" s="52" t="s">
        <v>108</v>
      </c>
      <c r="D216" s="54">
        <v>9</v>
      </c>
      <c r="E216" s="55">
        <v>69717.8</v>
      </c>
      <c r="F216" s="55">
        <v>5628.6</v>
      </c>
      <c r="G216" s="55">
        <v>75346.399999999994</v>
      </c>
      <c r="H216" s="55">
        <v>467217.7</v>
      </c>
      <c r="I216" s="55">
        <v>31566.3</v>
      </c>
      <c r="J216" s="55">
        <v>498784</v>
      </c>
      <c r="K216" s="55">
        <v>90460</v>
      </c>
      <c r="L216" s="55">
        <v>11461.8</v>
      </c>
      <c r="M216" s="55">
        <v>24397.3</v>
      </c>
      <c r="N216" s="55">
        <v>64.7</v>
      </c>
    </row>
    <row r="217" spans="1:14" ht="10.050000000000001" hidden="1" customHeight="1">
      <c r="A217" s="52" t="s">
        <v>171</v>
      </c>
      <c r="B217" s="53">
        <v>2001</v>
      </c>
      <c r="C217" s="52" t="s">
        <v>108</v>
      </c>
      <c r="D217" s="54">
        <v>9</v>
      </c>
      <c r="E217" s="55">
        <v>1080012.3</v>
      </c>
      <c r="F217" s="55">
        <v>177411.8</v>
      </c>
      <c r="G217" s="55">
        <v>1257424.1000000001</v>
      </c>
      <c r="H217" s="55">
        <v>10132916.5</v>
      </c>
      <c r="I217" s="55">
        <v>239979.2</v>
      </c>
      <c r="J217" s="55">
        <v>10372895.699999999</v>
      </c>
      <c r="K217" s="55">
        <v>2584420.2999999998</v>
      </c>
      <c r="L217" s="55">
        <v>126231</v>
      </c>
      <c r="M217" s="55">
        <v>463984.6</v>
      </c>
      <c r="N217" s="55">
        <v>30839.1</v>
      </c>
    </row>
    <row r="218" spans="1:14" ht="10.050000000000001" hidden="1" customHeight="1">
      <c r="A218" s="52" t="s">
        <v>300</v>
      </c>
      <c r="B218" s="53">
        <v>2001</v>
      </c>
      <c r="C218" s="52" t="s">
        <v>108</v>
      </c>
      <c r="D218" s="54">
        <v>9</v>
      </c>
      <c r="E218" s="55">
        <v>168.4</v>
      </c>
      <c r="F218" s="55">
        <v>12</v>
      </c>
      <c r="G218" s="55">
        <v>180.4</v>
      </c>
      <c r="H218" s="55">
        <v>320.60000000000002</v>
      </c>
      <c r="I218" s="55">
        <v>27.9</v>
      </c>
      <c r="J218" s="55">
        <v>348.5</v>
      </c>
      <c r="K218" s="55">
        <v>0</v>
      </c>
      <c r="L218" s="55">
        <v>0</v>
      </c>
      <c r="M218" s="55">
        <v>0</v>
      </c>
      <c r="N218" s="55">
        <v>0</v>
      </c>
    </row>
    <row r="219" spans="1:14" ht="10.050000000000001" hidden="1" customHeight="1">
      <c r="A219" s="52" t="s">
        <v>307</v>
      </c>
      <c r="B219" s="53">
        <v>2001</v>
      </c>
      <c r="C219" s="52" t="s">
        <v>108</v>
      </c>
      <c r="D219" s="54">
        <v>9</v>
      </c>
      <c r="E219" s="55">
        <v>303865.7</v>
      </c>
      <c r="F219" s="55">
        <v>3785.3</v>
      </c>
      <c r="G219" s="55">
        <v>307651</v>
      </c>
      <c r="H219" s="55">
        <v>388670.3</v>
      </c>
      <c r="I219" s="55">
        <v>31100.400000000001</v>
      </c>
      <c r="J219" s="55">
        <v>419770.7</v>
      </c>
      <c r="K219" s="55">
        <v>77452.7</v>
      </c>
      <c r="L219" s="55">
        <v>38056.199999999997</v>
      </c>
      <c r="M219" s="55">
        <v>31781.599999999999</v>
      </c>
      <c r="N219" s="55">
        <v>19904.900000000001</v>
      </c>
    </row>
    <row r="220" spans="1:14" ht="10.050000000000001" hidden="1" customHeight="1">
      <c r="A220" s="52" t="s">
        <v>315</v>
      </c>
      <c r="B220" s="53">
        <v>2001</v>
      </c>
      <c r="C220" s="52" t="s">
        <v>108</v>
      </c>
      <c r="D220" s="54">
        <v>9</v>
      </c>
      <c r="E220" s="55">
        <v>4537.6000000000004</v>
      </c>
      <c r="F220" s="55">
        <v>0</v>
      </c>
      <c r="G220" s="55">
        <v>4537.6000000000004</v>
      </c>
      <c r="H220" s="55">
        <v>4268.6000000000004</v>
      </c>
      <c r="I220" s="55">
        <v>0</v>
      </c>
      <c r="J220" s="55">
        <v>4268.6000000000004</v>
      </c>
      <c r="K220" s="55">
        <v>974.8</v>
      </c>
      <c r="L220" s="55">
        <v>1130.5999999999999</v>
      </c>
      <c r="M220" s="55">
        <v>155.80000000000001</v>
      </c>
      <c r="N220" s="55">
        <v>0</v>
      </c>
    </row>
    <row r="221" spans="1:14" ht="10.050000000000001" hidden="1" customHeight="1">
      <c r="A221" s="52" t="s">
        <v>173</v>
      </c>
      <c r="B221" s="53">
        <v>2001</v>
      </c>
      <c r="C221" s="52" t="s">
        <v>108</v>
      </c>
      <c r="D221" s="54">
        <v>9</v>
      </c>
      <c r="E221" s="55">
        <v>225979.5</v>
      </c>
      <c r="F221" s="55">
        <v>8789.9000000000106</v>
      </c>
      <c r="G221" s="55">
        <v>234769.4</v>
      </c>
      <c r="H221" s="55">
        <v>4644877.3</v>
      </c>
      <c r="I221" s="55">
        <v>60192.1</v>
      </c>
      <c r="J221" s="55">
        <v>4705069.4000000004</v>
      </c>
      <c r="K221" s="55">
        <v>645586.6</v>
      </c>
      <c r="L221" s="55">
        <v>25699</v>
      </c>
      <c r="M221" s="55">
        <v>115555.9</v>
      </c>
      <c r="N221" s="55">
        <v>13883.3</v>
      </c>
    </row>
    <row r="222" spans="1:14" ht="10.050000000000001" customHeight="1">
      <c r="A222" s="52" t="s">
        <v>309</v>
      </c>
      <c r="B222" s="53">
        <v>2001</v>
      </c>
      <c r="C222" s="52" t="s">
        <v>108</v>
      </c>
      <c r="D222" s="54">
        <v>9</v>
      </c>
      <c r="E222" s="55">
        <v>34344.9</v>
      </c>
      <c r="F222" s="55">
        <v>0</v>
      </c>
      <c r="G222" s="55">
        <v>34344.9</v>
      </c>
      <c r="H222" s="55">
        <v>32573.8</v>
      </c>
      <c r="I222" s="55">
        <v>0</v>
      </c>
      <c r="J222" s="55">
        <v>32573.8</v>
      </c>
      <c r="K222" s="55">
        <v>0</v>
      </c>
      <c r="L222" s="55">
        <v>0</v>
      </c>
      <c r="M222" s="55">
        <v>0</v>
      </c>
      <c r="N222" s="55">
        <v>0</v>
      </c>
    </row>
    <row r="223" spans="1:14" ht="10.050000000000001" hidden="1" customHeight="1">
      <c r="A223" s="52" t="s">
        <v>316</v>
      </c>
      <c r="B223" s="53">
        <v>2001</v>
      </c>
      <c r="C223" s="52" t="s">
        <v>108</v>
      </c>
      <c r="D223" s="54">
        <v>9</v>
      </c>
      <c r="E223" s="55">
        <v>310.39999999999998</v>
      </c>
      <c r="F223" s="55">
        <v>0</v>
      </c>
      <c r="G223" s="55">
        <v>310.39999999999998</v>
      </c>
      <c r="H223" s="55">
        <v>700.9</v>
      </c>
      <c r="I223" s="55">
        <v>0</v>
      </c>
      <c r="J223" s="55">
        <v>700.9</v>
      </c>
      <c r="K223" s="55">
        <v>0</v>
      </c>
      <c r="L223" s="55">
        <v>0</v>
      </c>
      <c r="M223" s="55">
        <v>0</v>
      </c>
      <c r="N223" s="55">
        <v>0</v>
      </c>
    </row>
    <row r="224" spans="1:14" ht="10.050000000000001" hidden="1" customHeight="1">
      <c r="A224" s="52" t="s">
        <v>310</v>
      </c>
      <c r="B224" s="53">
        <v>2001</v>
      </c>
      <c r="C224" s="52" t="s">
        <v>108</v>
      </c>
      <c r="D224" s="54">
        <v>9</v>
      </c>
      <c r="E224" s="55">
        <v>2647.8</v>
      </c>
      <c r="F224" s="55">
        <v>102.2</v>
      </c>
      <c r="G224" s="55">
        <v>2750</v>
      </c>
      <c r="H224" s="55">
        <v>28430.9</v>
      </c>
      <c r="I224" s="55">
        <v>757.7</v>
      </c>
      <c r="J224" s="55">
        <v>29188.6</v>
      </c>
      <c r="K224" s="55">
        <v>3592.5</v>
      </c>
      <c r="L224" s="55">
        <v>31.9</v>
      </c>
      <c r="M224" s="55">
        <v>967</v>
      </c>
      <c r="N224" s="55">
        <v>10.4</v>
      </c>
    </row>
    <row r="225" spans="1:14" ht="10.050000000000001" hidden="1" customHeight="1">
      <c r="A225" s="52" t="s">
        <v>308</v>
      </c>
      <c r="B225" s="53">
        <v>2001</v>
      </c>
      <c r="C225" s="52" t="s">
        <v>108</v>
      </c>
      <c r="D225" s="54">
        <v>9</v>
      </c>
      <c r="E225" s="55">
        <v>17736.099999999999</v>
      </c>
      <c r="F225" s="55">
        <v>187.2</v>
      </c>
      <c r="G225" s="55">
        <v>17923.3</v>
      </c>
      <c r="H225" s="55">
        <v>20285.7</v>
      </c>
      <c r="I225" s="55">
        <v>423.5</v>
      </c>
      <c r="J225" s="55">
        <v>20709.2</v>
      </c>
      <c r="K225" s="55">
        <v>1173.4000000000001</v>
      </c>
      <c r="L225" s="55">
        <v>1060.9000000000001</v>
      </c>
      <c r="M225" s="55">
        <v>278.2</v>
      </c>
      <c r="N225" s="55">
        <v>63.3</v>
      </c>
    </row>
    <row r="226" spans="1:14" ht="10.050000000000001" hidden="1" customHeight="1">
      <c r="A226" s="52" t="s">
        <v>174</v>
      </c>
      <c r="B226" s="53">
        <v>2001</v>
      </c>
      <c r="C226" s="52" t="s">
        <v>108</v>
      </c>
      <c r="D226" s="54">
        <v>9</v>
      </c>
      <c r="E226" s="55">
        <v>6009.4</v>
      </c>
      <c r="F226" s="55">
        <v>7051.7</v>
      </c>
      <c r="G226" s="55">
        <v>13061.1</v>
      </c>
      <c r="H226" s="55">
        <v>106855.7</v>
      </c>
      <c r="I226" s="55">
        <v>16144.7</v>
      </c>
      <c r="J226" s="55">
        <v>123000.4</v>
      </c>
      <c r="K226" s="55">
        <v>26010.2</v>
      </c>
      <c r="L226" s="55">
        <v>3471.9</v>
      </c>
      <c r="M226" s="55">
        <v>516.9</v>
      </c>
      <c r="N226" s="55">
        <v>2506.6999999999998</v>
      </c>
    </row>
    <row r="227" spans="1:14" ht="10.050000000000001" hidden="1" customHeight="1">
      <c r="A227" s="52" t="s">
        <v>314</v>
      </c>
      <c r="B227" s="53">
        <v>2001</v>
      </c>
      <c r="C227" s="52" t="s">
        <v>108</v>
      </c>
      <c r="D227" s="54">
        <v>10</v>
      </c>
      <c r="E227" s="55">
        <v>0</v>
      </c>
      <c r="F227" s="55">
        <v>0</v>
      </c>
      <c r="G227" s="55">
        <v>0</v>
      </c>
      <c r="H227" s="55">
        <v>12.7</v>
      </c>
      <c r="I227" s="55">
        <v>0</v>
      </c>
      <c r="J227" s="55">
        <v>12.7</v>
      </c>
      <c r="K227" s="55">
        <v>0</v>
      </c>
      <c r="L227" s="55">
        <v>0</v>
      </c>
      <c r="M227" s="55">
        <v>0</v>
      </c>
      <c r="N227" s="55">
        <v>0</v>
      </c>
    </row>
    <row r="228" spans="1:14" ht="10.050000000000001" hidden="1" customHeight="1">
      <c r="A228" s="52" t="s">
        <v>306</v>
      </c>
      <c r="B228" s="53">
        <v>2001</v>
      </c>
      <c r="C228" s="52" t="s">
        <v>108</v>
      </c>
      <c r="D228" s="54">
        <v>10</v>
      </c>
      <c r="E228" s="55">
        <v>5897.4</v>
      </c>
      <c r="F228" s="55">
        <v>1582.5</v>
      </c>
      <c r="G228" s="55">
        <v>7479.9</v>
      </c>
      <c r="H228" s="55">
        <v>98110.3</v>
      </c>
      <c r="I228" s="55">
        <v>3777.7</v>
      </c>
      <c r="J228" s="55">
        <v>101888</v>
      </c>
      <c r="K228" s="55">
        <v>11166.4</v>
      </c>
      <c r="L228" s="55">
        <v>1082.9000000000001</v>
      </c>
      <c r="M228" s="55">
        <v>1759.9</v>
      </c>
      <c r="N228" s="55">
        <v>615.6</v>
      </c>
    </row>
    <row r="229" spans="1:14" ht="10.050000000000001" hidden="1" customHeight="1">
      <c r="A229" s="52" t="s">
        <v>172</v>
      </c>
      <c r="B229" s="53">
        <v>2001</v>
      </c>
      <c r="C229" s="52" t="s">
        <v>108</v>
      </c>
      <c r="D229" s="54">
        <v>10</v>
      </c>
      <c r="E229" s="55">
        <v>68772.5</v>
      </c>
      <c r="F229" s="55">
        <v>5822.1</v>
      </c>
      <c r="G229" s="55">
        <v>74594.600000000006</v>
      </c>
      <c r="H229" s="55">
        <v>419067.7</v>
      </c>
      <c r="I229" s="55">
        <v>24725.9</v>
      </c>
      <c r="J229" s="55">
        <v>443793.6</v>
      </c>
      <c r="K229" s="55">
        <v>70269.5</v>
      </c>
      <c r="L229" s="55">
        <v>4826.8</v>
      </c>
      <c r="M229" s="55">
        <v>24817</v>
      </c>
      <c r="N229" s="55">
        <v>200.3</v>
      </c>
    </row>
    <row r="230" spans="1:14" ht="10.050000000000001" hidden="1" customHeight="1">
      <c r="A230" s="52" t="s">
        <v>171</v>
      </c>
      <c r="B230" s="53">
        <v>2001</v>
      </c>
      <c r="C230" s="52" t="s">
        <v>108</v>
      </c>
      <c r="D230" s="54">
        <v>10</v>
      </c>
      <c r="E230" s="55">
        <v>748669.6</v>
      </c>
      <c r="F230" s="55">
        <v>57671.1</v>
      </c>
      <c r="G230" s="55">
        <v>806340.7</v>
      </c>
      <c r="H230" s="55">
        <v>8716244.4000000004</v>
      </c>
      <c r="I230" s="55">
        <v>183989</v>
      </c>
      <c r="J230" s="55">
        <v>8900233.4000000004</v>
      </c>
      <c r="K230" s="55">
        <v>2345997.5</v>
      </c>
      <c r="L230" s="55">
        <v>95237.5</v>
      </c>
      <c r="M230" s="55">
        <v>300579.7</v>
      </c>
      <c r="N230" s="55">
        <v>33043.199999999997</v>
      </c>
    </row>
    <row r="231" spans="1:14" ht="10.050000000000001" hidden="1" customHeight="1">
      <c r="A231" s="52" t="s">
        <v>300</v>
      </c>
      <c r="B231" s="53">
        <v>2001</v>
      </c>
      <c r="C231" s="52" t="s">
        <v>108</v>
      </c>
      <c r="D231" s="54">
        <v>10</v>
      </c>
      <c r="E231" s="55">
        <v>67.7</v>
      </c>
      <c r="F231" s="55">
        <v>0</v>
      </c>
      <c r="G231" s="55">
        <v>67.7</v>
      </c>
      <c r="H231" s="55">
        <v>308.3</v>
      </c>
      <c r="I231" s="55">
        <v>12.9</v>
      </c>
      <c r="J231" s="55">
        <v>321.2</v>
      </c>
      <c r="K231" s="55">
        <v>0</v>
      </c>
      <c r="L231" s="55">
        <v>0</v>
      </c>
      <c r="M231" s="55">
        <v>0</v>
      </c>
      <c r="N231" s="55">
        <v>0</v>
      </c>
    </row>
    <row r="232" spans="1:14" ht="10.050000000000001" hidden="1" customHeight="1">
      <c r="A232" s="52" t="s">
        <v>307</v>
      </c>
      <c r="B232" s="53">
        <v>2001</v>
      </c>
      <c r="C232" s="52" t="s">
        <v>108</v>
      </c>
      <c r="D232" s="54">
        <v>10</v>
      </c>
      <c r="E232" s="55">
        <v>5153472.5999999996</v>
      </c>
      <c r="F232" s="55">
        <v>82999.600000000006</v>
      </c>
      <c r="G232" s="55">
        <v>5236472.2</v>
      </c>
      <c r="H232" s="55">
        <v>4108432.9</v>
      </c>
      <c r="I232" s="55">
        <v>117404.1</v>
      </c>
      <c r="J232" s="55">
        <v>4225837</v>
      </c>
      <c r="K232" s="55">
        <v>1244960.7</v>
      </c>
      <c r="L232" s="55">
        <v>1268414.8</v>
      </c>
      <c r="M232" s="55">
        <v>57664.6</v>
      </c>
      <c r="N232" s="55">
        <v>47475.3</v>
      </c>
    </row>
    <row r="233" spans="1:14" ht="10.050000000000001" hidden="1" customHeight="1">
      <c r="A233" s="52" t="s">
        <v>315</v>
      </c>
      <c r="B233" s="53">
        <v>2001</v>
      </c>
      <c r="C233" s="52" t="s">
        <v>108</v>
      </c>
      <c r="D233" s="54">
        <v>10</v>
      </c>
      <c r="E233" s="55">
        <v>12157.4</v>
      </c>
      <c r="F233" s="55">
        <v>0</v>
      </c>
      <c r="G233" s="55">
        <v>12157.4</v>
      </c>
      <c r="H233" s="55">
        <v>14956.7</v>
      </c>
      <c r="I233" s="55">
        <v>0</v>
      </c>
      <c r="J233" s="55">
        <v>14956.7</v>
      </c>
      <c r="K233" s="55">
        <v>598.29999999999995</v>
      </c>
      <c r="L233" s="55">
        <v>240.7</v>
      </c>
      <c r="M233" s="55">
        <v>617.20000000000005</v>
      </c>
      <c r="N233" s="55">
        <v>0</v>
      </c>
    </row>
    <row r="234" spans="1:14" ht="10.050000000000001" hidden="1" customHeight="1">
      <c r="A234" s="52" t="s">
        <v>173</v>
      </c>
      <c r="B234" s="53">
        <v>2001</v>
      </c>
      <c r="C234" s="52" t="s">
        <v>108</v>
      </c>
      <c r="D234" s="54">
        <v>10</v>
      </c>
      <c r="E234" s="55">
        <v>140100.79999999999</v>
      </c>
      <c r="F234" s="55">
        <v>21780.3</v>
      </c>
      <c r="G234" s="55">
        <v>161881.1</v>
      </c>
      <c r="H234" s="55">
        <v>4250932</v>
      </c>
      <c r="I234" s="55">
        <v>62437.4</v>
      </c>
      <c r="J234" s="55">
        <v>4313369.4000000004</v>
      </c>
      <c r="K234" s="55">
        <v>580329.80000000005</v>
      </c>
      <c r="L234" s="55">
        <v>10312.200000000001</v>
      </c>
      <c r="M234" s="55">
        <v>65208.1</v>
      </c>
      <c r="N234" s="55">
        <v>10360.9</v>
      </c>
    </row>
    <row r="235" spans="1:14" ht="10.050000000000001" customHeight="1">
      <c r="A235" s="52" t="s">
        <v>309</v>
      </c>
      <c r="B235" s="53">
        <v>2001</v>
      </c>
      <c r="C235" s="52" t="s">
        <v>108</v>
      </c>
      <c r="D235" s="54">
        <v>10</v>
      </c>
      <c r="E235" s="55">
        <v>79656</v>
      </c>
      <c r="F235" s="55">
        <v>0</v>
      </c>
      <c r="G235" s="55">
        <v>79656</v>
      </c>
      <c r="H235" s="55">
        <v>51790.5</v>
      </c>
      <c r="I235" s="55">
        <v>0</v>
      </c>
      <c r="J235" s="55">
        <v>51790.5</v>
      </c>
      <c r="K235" s="55">
        <v>0</v>
      </c>
      <c r="L235" s="55">
        <v>0</v>
      </c>
      <c r="M235" s="55">
        <v>0</v>
      </c>
      <c r="N235" s="55">
        <v>0</v>
      </c>
    </row>
    <row r="236" spans="1:14" ht="10.050000000000001" hidden="1" customHeight="1">
      <c r="A236" s="52" t="s">
        <v>316</v>
      </c>
      <c r="B236" s="53">
        <v>2001</v>
      </c>
      <c r="C236" s="52" t="s">
        <v>108</v>
      </c>
      <c r="D236" s="54">
        <v>10</v>
      </c>
      <c r="E236" s="55">
        <v>2343.1</v>
      </c>
      <c r="F236" s="55">
        <v>0</v>
      </c>
      <c r="G236" s="55">
        <v>2343.1</v>
      </c>
      <c r="H236" s="55">
        <v>2848.7</v>
      </c>
      <c r="I236" s="55">
        <v>0</v>
      </c>
      <c r="J236" s="55">
        <v>2848.7</v>
      </c>
      <c r="K236" s="55">
        <v>14</v>
      </c>
      <c r="L236" s="55">
        <v>14</v>
      </c>
      <c r="M236" s="55">
        <v>0</v>
      </c>
      <c r="N236" s="55">
        <v>0</v>
      </c>
    </row>
    <row r="237" spans="1:14" ht="10.050000000000001" hidden="1" customHeight="1">
      <c r="A237" s="52" t="s">
        <v>310</v>
      </c>
      <c r="B237" s="53">
        <v>2001</v>
      </c>
      <c r="C237" s="52" t="s">
        <v>108</v>
      </c>
      <c r="D237" s="54">
        <v>10</v>
      </c>
      <c r="E237" s="55">
        <v>1237.3</v>
      </c>
      <c r="F237" s="55">
        <v>0</v>
      </c>
      <c r="G237" s="55">
        <v>1237.3</v>
      </c>
      <c r="H237" s="55">
        <v>23348.400000000001</v>
      </c>
      <c r="I237" s="55">
        <v>591.70000000000005</v>
      </c>
      <c r="J237" s="55">
        <v>23940.1</v>
      </c>
      <c r="K237" s="55">
        <v>3041.6</v>
      </c>
      <c r="L237" s="55">
        <v>70</v>
      </c>
      <c r="M237" s="55">
        <v>512.79999999999995</v>
      </c>
      <c r="N237" s="55">
        <v>11</v>
      </c>
    </row>
    <row r="238" spans="1:14" ht="10.050000000000001" hidden="1" customHeight="1">
      <c r="A238" s="52" t="s">
        <v>308</v>
      </c>
      <c r="B238" s="53">
        <v>2001</v>
      </c>
      <c r="C238" s="52" t="s">
        <v>108</v>
      </c>
      <c r="D238" s="54">
        <v>10</v>
      </c>
      <c r="E238" s="55">
        <v>225495</v>
      </c>
      <c r="F238" s="55">
        <v>47.8</v>
      </c>
      <c r="G238" s="55">
        <v>225542.8</v>
      </c>
      <c r="H238" s="55">
        <v>204104.9</v>
      </c>
      <c r="I238" s="55">
        <v>422.3</v>
      </c>
      <c r="J238" s="55">
        <v>204527.2</v>
      </c>
      <c r="K238" s="55">
        <v>15015.1</v>
      </c>
      <c r="L238" s="55">
        <v>14502.8</v>
      </c>
      <c r="M238" s="55">
        <v>338.5</v>
      </c>
      <c r="N238" s="55">
        <v>322.60000000000002</v>
      </c>
    </row>
    <row r="239" spans="1:14" ht="10.050000000000001" hidden="1" customHeight="1">
      <c r="A239" s="52" t="s">
        <v>174</v>
      </c>
      <c r="B239" s="53">
        <v>2001</v>
      </c>
      <c r="C239" s="52" t="s">
        <v>108</v>
      </c>
      <c r="D239" s="54">
        <v>10</v>
      </c>
      <c r="E239" s="55">
        <v>2256</v>
      </c>
      <c r="F239" s="55">
        <v>2305</v>
      </c>
      <c r="G239" s="55">
        <v>4561</v>
      </c>
      <c r="H239" s="55">
        <v>85701.9</v>
      </c>
      <c r="I239" s="55">
        <v>10531.5</v>
      </c>
      <c r="J239" s="55">
        <v>96233.4</v>
      </c>
      <c r="K239" s="55">
        <v>24412.799999999999</v>
      </c>
      <c r="L239" s="55">
        <v>1391.2</v>
      </c>
      <c r="M239" s="55">
        <v>713.6</v>
      </c>
      <c r="N239" s="55">
        <v>2292.6999999999998</v>
      </c>
    </row>
    <row r="240" spans="1:14" ht="10.050000000000001" hidden="1" customHeight="1">
      <c r="A240" s="52" t="s">
        <v>314</v>
      </c>
      <c r="B240" s="53">
        <v>2001</v>
      </c>
      <c r="C240" s="52" t="s">
        <v>108</v>
      </c>
      <c r="D240" s="54">
        <v>11</v>
      </c>
      <c r="E240" s="55">
        <v>0</v>
      </c>
      <c r="F240" s="55">
        <v>0</v>
      </c>
      <c r="G240" s="55">
        <v>0</v>
      </c>
      <c r="H240" s="55">
        <v>12.7</v>
      </c>
      <c r="I240" s="55">
        <v>0</v>
      </c>
      <c r="J240" s="55">
        <v>12.7</v>
      </c>
      <c r="K240" s="55">
        <v>0</v>
      </c>
      <c r="L240" s="55">
        <v>0</v>
      </c>
      <c r="M240" s="55">
        <v>0</v>
      </c>
      <c r="N240" s="55">
        <v>0</v>
      </c>
    </row>
    <row r="241" spans="1:14" ht="10.050000000000001" hidden="1" customHeight="1">
      <c r="A241" s="52" t="s">
        <v>306</v>
      </c>
      <c r="B241" s="53">
        <v>2001</v>
      </c>
      <c r="C241" s="52" t="s">
        <v>108</v>
      </c>
      <c r="D241" s="54">
        <v>11</v>
      </c>
      <c r="E241" s="55">
        <v>4883.3999999999996</v>
      </c>
      <c r="F241" s="55">
        <v>1923.2</v>
      </c>
      <c r="G241" s="55">
        <v>6806.6</v>
      </c>
      <c r="H241" s="55">
        <v>91625.8</v>
      </c>
      <c r="I241" s="55">
        <v>4871.7</v>
      </c>
      <c r="J241" s="55">
        <v>96497.5</v>
      </c>
      <c r="K241" s="55">
        <v>9651.9</v>
      </c>
      <c r="L241" s="55">
        <v>543.9</v>
      </c>
      <c r="M241" s="55">
        <v>1520.2</v>
      </c>
      <c r="N241" s="55">
        <v>538.20000000000005</v>
      </c>
    </row>
    <row r="242" spans="1:14" ht="10.050000000000001" hidden="1" customHeight="1">
      <c r="A242" s="52" t="s">
        <v>172</v>
      </c>
      <c r="B242" s="53">
        <v>2001</v>
      </c>
      <c r="C242" s="52" t="s">
        <v>108</v>
      </c>
      <c r="D242" s="54">
        <v>11</v>
      </c>
      <c r="E242" s="55">
        <v>56527</v>
      </c>
      <c r="F242" s="55">
        <v>12804</v>
      </c>
      <c r="G242" s="55">
        <v>69331</v>
      </c>
      <c r="H242" s="55">
        <v>402173.5</v>
      </c>
      <c r="I242" s="55">
        <v>21674.1</v>
      </c>
      <c r="J242" s="55">
        <v>423847.6</v>
      </c>
      <c r="K242" s="55">
        <v>65000.1</v>
      </c>
      <c r="L242" s="55">
        <v>6787.4</v>
      </c>
      <c r="M242" s="55">
        <v>11873.3</v>
      </c>
      <c r="N242" s="55">
        <v>183.5</v>
      </c>
    </row>
    <row r="243" spans="1:14" ht="10.050000000000001" hidden="1" customHeight="1">
      <c r="A243" s="52" t="s">
        <v>171</v>
      </c>
      <c r="B243" s="53">
        <v>2001</v>
      </c>
      <c r="C243" s="52" t="s">
        <v>108</v>
      </c>
      <c r="D243" s="54">
        <v>11</v>
      </c>
      <c r="E243" s="55">
        <v>807113.5</v>
      </c>
      <c r="F243" s="55">
        <v>27725.9</v>
      </c>
      <c r="G243" s="55">
        <v>834839.4</v>
      </c>
      <c r="H243" s="55">
        <v>7488117</v>
      </c>
      <c r="I243" s="55">
        <v>156772.1</v>
      </c>
      <c r="J243" s="55">
        <v>7644889.0999999996</v>
      </c>
      <c r="K243" s="55">
        <v>2241174.7999999998</v>
      </c>
      <c r="L243" s="55">
        <v>169633.7</v>
      </c>
      <c r="M243" s="55">
        <v>256977.9</v>
      </c>
      <c r="N243" s="55">
        <v>17478.5</v>
      </c>
    </row>
    <row r="244" spans="1:14" ht="10.050000000000001" hidden="1" customHeight="1">
      <c r="A244" s="52" t="s">
        <v>300</v>
      </c>
      <c r="B244" s="53">
        <v>2001</v>
      </c>
      <c r="C244" s="52" t="s">
        <v>108</v>
      </c>
      <c r="D244" s="54">
        <v>11</v>
      </c>
      <c r="E244" s="55">
        <v>27</v>
      </c>
      <c r="F244" s="55">
        <v>0</v>
      </c>
      <c r="G244" s="55">
        <v>27</v>
      </c>
      <c r="H244" s="55">
        <v>224.9</v>
      </c>
      <c r="I244" s="55">
        <v>12.7</v>
      </c>
      <c r="J244" s="55">
        <v>237.6</v>
      </c>
      <c r="K244" s="55">
        <v>0</v>
      </c>
      <c r="L244" s="55">
        <v>0</v>
      </c>
      <c r="M244" s="55">
        <v>0</v>
      </c>
      <c r="N244" s="55">
        <v>0</v>
      </c>
    </row>
    <row r="245" spans="1:14" ht="10.050000000000001" hidden="1" customHeight="1">
      <c r="A245" s="52" t="s">
        <v>307</v>
      </c>
      <c r="B245" s="53">
        <v>2001</v>
      </c>
      <c r="C245" s="52" t="s">
        <v>108</v>
      </c>
      <c r="D245" s="54">
        <v>11</v>
      </c>
      <c r="E245" s="55">
        <v>4841247.9000000004</v>
      </c>
      <c r="F245" s="55">
        <v>61915</v>
      </c>
      <c r="G245" s="55">
        <v>4903162.9000000004</v>
      </c>
      <c r="H245" s="55">
        <v>7490281</v>
      </c>
      <c r="I245" s="55">
        <v>134599.5</v>
      </c>
      <c r="J245" s="55">
        <v>7624880.5</v>
      </c>
      <c r="K245" s="55">
        <v>2188712.5</v>
      </c>
      <c r="L245" s="55">
        <v>1233528.2</v>
      </c>
      <c r="M245" s="55">
        <v>129464</v>
      </c>
      <c r="N245" s="55">
        <v>162009.70000000001</v>
      </c>
    </row>
    <row r="246" spans="1:14" ht="10.050000000000001" hidden="1" customHeight="1">
      <c r="A246" s="52" t="s">
        <v>315</v>
      </c>
      <c r="B246" s="53">
        <v>2001</v>
      </c>
      <c r="C246" s="52" t="s">
        <v>108</v>
      </c>
      <c r="D246" s="54">
        <v>11</v>
      </c>
      <c r="E246" s="55">
        <v>701.6</v>
      </c>
      <c r="F246" s="55">
        <v>0</v>
      </c>
      <c r="G246" s="55">
        <v>701.6</v>
      </c>
      <c r="H246" s="55">
        <v>13043.6</v>
      </c>
      <c r="I246" s="55">
        <v>0</v>
      </c>
      <c r="J246" s="55">
        <v>13043.6</v>
      </c>
      <c r="K246" s="55">
        <v>535.9</v>
      </c>
      <c r="L246" s="55">
        <v>0</v>
      </c>
      <c r="M246" s="55">
        <v>53.4</v>
      </c>
      <c r="N246" s="55">
        <v>9</v>
      </c>
    </row>
    <row r="247" spans="1:14" ht="10.050000000000001" hidden="1" customHeight="1">
      <c r="A247" s="52" t="s">
        <v>173</v>
      </c>
      <c r="B247" s="53">
        <v>2001</v>
      </c>
      <c r="C247" s="52" t="s">
        <v>108</v>
      </c>
      <c r="D247" s="54">
        <v>11</v>
      </c>
      <c r="E247" s="55">
        <v>114157.1</v>
      </c>
      <c r="F247" s="55">
        <v>28952.6</v>
      </c>
      <c r="G247" s="55">
        <v>143109.70000000001</v>
      </c>
      <c r="H247" s="55">
        <v>3827444.7</v>
      </c>
      <c r="I247" s="55">
        <v>71418.7</v>
      </c>
      <c r="J247" s="55">
        <v>3898863.4</v>
      </c>
      <c r="K247" s="55">
        <v>547031.19999999995</v>
      </c>
      <c r="L247" s="55">
        <v>19162.2</v>
      </c>
      <c r="M247" s="55">
        <v>46256.5</v>
      </c>
      <c r="N247" s="55">
        <v>6204.3</v>
      </c>
    </row>
    <row r="248" spans="1:14" ht="10.050000000000001" customHeight="1">
      <c r="A248" s="52" t="s">
        <v>309</v>
      </c>
      <c r="B248" s="53">
        <v>2001</v>
      </c>
      <c r="C248" s="52" t="s">
        <v>108</v>
      </c>
      <c r="D248" s="54">
        <v>11</v>
      </c>
      <c r="E248" s="55">
        <v>1642.2</v>
      </c>
      <c r="F248" s="55">
        <v>1528.5</v>
      </c>
      <c r="G248" s="55">
        <v>3170.7</v>
      </c>
      <c r="H248" s="55">
        <v>49951.1</v>
      </c>
      <c r="I248" s="55">
        <v>0</v>
      </c>
      <c r="J248" s="55">
        <v>49951.1</v>
      </c>
      <c r="K248" s="55">
        <v>0</v>
      </c>
      <c r="L248" s="55">
        <v>0</v>
      </c>
      <c r="M248" s="55">
        <v>0</v>
      </c>
      <c r="N248" s="55">
        <v>0</v>
      </c>
    </row>
    <row r="249" spans="1:14" ht="10.050000000000001" hidden="1" customHeight="1">
      <c r="A249" s="52" t="s">
        <v>316</v>
      </c>
      <c r="B249" s="53">
        <v>2001</v>
      </c>
      <c r="C249" s="52" t="s">
        <v>108</v>
      </c>
      <c r="D249" s="54">
        <v>11</v>
      </c>
      <c r="E249" s="55">
        <v>896</v>
      </c>
      <c r="F249" s="55">
        <v>53.2</v>
      </c>
      <c r="G249" s="55">
        <v>949.2</v>
      </c>
      <c r="H249" s="55">
        <v>3530.5</v>
      </c>
      <c r="I249" s="55">
        <v>53.2</v>
      </c>
      <c r="J249" s="55">
        <v>3583.7</v>
      </c>
      <c r="K249" s="55">
        <v>14</v>
      </c>
      <c r="L249" s="55">
        <v>0</v>
      </c>
      <c r="M249" s="55">
        <v>0</v>
      </c>
      <c r="N249" s="55">
        <v>0</v>
      </c>
    </row>
    <row r="250" spans="1:14" ht="10.050000000000001" hidden="1" customHeight="1">
      <c r="A250" s="52" t="s">
        <v>310</v>
      </c>
      <c r="B250" s="53">
        <v>2001</v>
      </c>
      <c r="C250" s="52" t="s">
        <v>108</v>
      </c>
      <c r="D250" s="54">
        <v>11</v>
      </c>
      <c r="E250" s="55">
        <v>849.6</v>
      </c>
      <c r="F250" s="55">
        <v>0</v>
      </c>
      <c r="G250" s="55">
        <v>849.6</v>
      </c>
      <c r="H250" s="55">
        <v>20252.2</v>
      </c>
      <c r="I250" s="55">
        <v>554.70000000000005</v>
      </c>
      <c r="J250" s="55">
        <v>20806.900000000001</v>
      </c>
      <c r="K250" s="55">
        <v>2993.8</v>
      </c>
      <c r="L250" s="55">
        <v>95.6</v>
      </c>
      <c r="M250" s="55">
        <v>128.19999999999999</v>
      </c>
      <c r="N250" s="55">
        <v>15.2</v>
      </c>
    </row>
    <row r="251" spans="1:14" ht="10.050000000000001" hidden="1" customHeight="1">
      <c r="A251" s="52" t="s">
        <v>308</v>
      </c>
      <c r="B251" s="53">
        <v>2001</v>
      </c>
      <c r="C251" s="52" t="s">
        <v>108</v>
      </c>
      <c r="D251" s="54">
        <v>11</v>
      </c>
      <c r="E251" s="55">
        <v>46713.8</v>
      </c>
      <c r="F251" s="55">
        <v>312</v>
      </c>
      <c r="G251" s="55">
        <v>47025.8</v>
      </c>
      <c r="H251" s="55">
        <v>207911.5</v>
      </c>
      <c r="I251" s="55">
        <v>405.7</v>
      </c>
      <c r="J251" s="55">
        <v>208317.2</v>
      </c>
      <c r="K251" s="55">
        <v>18143</v>
      </c>
      <c r="L251" s="55">
        <v>4789.3</v>
      </c>
      <c r="M251" s="55">
        <v>1296.2</v>
      </c>
      <c r="N251" s="55">
        <v>365.2</v>
      </c>
    </row>
    <row r="252" spans="1:14" ht="10.050000000000001" hidden="1" customHeight="1">
      <c r="A252" s="52" t="s">
        <v>174</v>
      </c>
      <c r="B252" s="53">
        <v>2001</v>
      </c>
      <c r="C252" s="52" t="s">
        <v>108</v>
      </c>
      <c r="D252" s="54">
        <v>11</v>
      </c>
      <c r="E252" s="55">
        <v>2137.4</v>
      </c>
      <c r="F252" s="55">
        <v>1</v>
      </c>
      <c r="G252" s="55">
        <v>2138.4</v>
      </c>
      <c r="H252" s="55">
        <v>75898.399999999994</v>
      </c>
      <c r="I252" s="55">
        <v>7801.3</v>
      </c>
      <c r="J252" s="55">
        <v>83699.7</v>
      </c>
      <c r="K252" s="55">
        <v>22310.9</v>
      </c>
      <c r="L252" s="55">
        <v>255.6</v>
      </c>
      <c r="M252" s="55">
        <v>640.79999999999995</v>
      </c>
      <c r="N252" s="55">
        <v>1716.7</v>
      </c>
    </row>
    <row r="253" spans="1:14" ht="10.050000000000001" hidden="1" customHeight="1">
      <c r="A253" s="52" t="s">
        <v>314</v>
      </c>
      <c r="B253" s="53">
        <v>2001</v>
      </c>
      <c r="C253" s="52" t="s">
        <v>108</v>
      </c>
      <c r="D253" s="54">
        <v>12</v>
      </c>
      <c r="E253" s="55">
        <v>0</v>
      </c>
      <c r="F253" s="55">
        <v>0</v>
      </c>
      <c r="G253" s="55">
        <v>0</v>
      </c>
      <c r="H253" s="55">
        <v>12.7</v>
      </c>
      <c r="I253" s="55">
        <v>0</v>
      </c>
      <c r="J253" s="55">
        <v>12.7</v>
      </c>
      <c r="K253" s="55">
        <v>0</v>
      </c>
      <c r="L253" s="55">
        <v>0</v>
      </c>
      <c r="M253" s="55">
        <v>0</v>
      </c>
      <c r="N253" s="55">
        <v>0</v>
      </c>
    </row>
    <row r="254" spans="1:14" ht="10.050000000000001" hidden="1" customHeight="1">
      <c r="A254" s="52" t="s">
        <v>306</v>
      </c>
      <c r="B254" s="53">
        <v>2001</v>
      </c>
      <c r="C254" s="52" t="s">
        <v>108</v>
      </c>
      <c r="D254" s="54">
        <v>12</v>
      </c>
      <c r="E254" s="55">
        <v>4195.6000000000004</v>
      </c>
      <c r="F254" s="55">
        <v>1393.4</v>
      </c>
      <c r="G254" s="55">
        <v>5589</v>
      </c>
      <c r="H254" s="55">
        <v>83923.3</v>
      </c>
      <c r="I254" s="55">
        <v>5351.8</v>
      </c>
      <c r="J254" s="55">
        <v>89275.1</v>
      </c>
      <c r="K254" s="55">
        <v>8229</v>
      </c>
      <c r="L254" s="55">
        <v>955.4</v>
      </c>
      <c r="M254" s="55">
        <v>1523.5</v>
      </c>
      <c r="N254" s="55">
        <v>854.8</v>
      </c>
    </row>
    <row r="255" spans="1:14" ht="10.050000000000001" hidden="1" customHeight="1">
      <c r="A255" s="52" t="s">
        <v>172</v>
      </c>
      <c r="B255" s="53">
        <v>2001</v>
      </c>
      <c r="C255" s="52" t="s">
        <v>108</v>
      </c>
      <c r="D255" s="54">
        <v>12</v>
      </c>
      <c r="E255" s="55">
        <v>74378.8</v>
      </c>
      <c r="F255" s="55">
        <v>2187.5</v>
      </c>
      <c r="G255" s="55">
        <v>76566.3</v>
      </c>
      <c r="H255" s="55">
        <v>401685.3</v>
      </c>
      <c r="I255" s="55">
        <v>18792.2</v>
      </c>
      <c r="J255" s="55">
        <v>420477.5</v>
      </c>
      <c r="K255" s="55">
        <v>58770.8</v>
      </c>
      <c r="L255" s="55">
        <v>7302.4</v>
      </c>
      <c r="M255" s="55">
        <v>13520.1</v>
      </c>
      <c r="N255" s="55">
        <v>11.6</v>
      </c>
    </row>
    <row r="256" spans="1:14" ht="10.050000000000001" hidden="1" customHeight="1">
      <c r="A256" s="52" t="s">
        <v>171</v>
      </c>
      <c r="B256" s="53">
        <v>2001</v>
      </c>
      <c r="C256" s="52" t="s">
        <v>108</v>
      </c>
      <c r="D256" s="54">
        <v>12</v>
      </c>
      <c r="E256" s="55">
        <v>1227136.3999999999</v>
      </c>
      <c r="F256" s="55">
        <v>24963.3</v>
      </c>
      <c r="G256" s="55">
        <v>1252099.7</v>
      </c>
      <c r="H256" s="55">
        <v>6959364.2000000002</v>
      </c>
      <c r="I256" s="55">
        <v>125879.6</v>
      </c>
      <c r="J256" s="55">
        <v>7085243.7999999998</v>
      </c>
      <c r="K256" s="55">
        <v>2090018.8</v>
      </c>
      <c r="L256" s="55">
        <v>428448.5</v>
      </c>
      <c r="M256" s="55">
        <v>543136.6</v>
      </c>
      <c r="N256" s="55">
        <v>36467.9</v>
      </c>
    </row>
    <row r="257" spans="1:14" ht="10.050000000000001" hidden="1" customHeight="1">
      <c r="A257" s="52" t="s">
        <v>300</v>
      </c>
      <c r="B257" s="53">
        <v>2001</v>
      </c>
      <c r="C257" s="52" t="s">
        <v>108</v>
      </c>
      <c r="D257" s="54">
        <v>12</v>
      </c>
      <c r="E257" s="55">
        <v>32.799999999999997</v>
      </c>
      <c r="F257" s="55">
        <v>0</v>
      </c>
      <c r="G257" s="55">
        <v>32.799999999999997</v>
      </c>
      <c r="H257" s="55">
        <v>224.6</v>
      </c>
      <c r="I257" s="55">
        <v>11.1</v>
      </c>
      <c r="J257" s="55">
        <v>235.7</v>
      </c>
      <c r="K257" s="55">
        <v>0</v>
      </c>
      <c r="L257" s="55">
        <v>0</v>
      </c>
      <c r="M257" s="55">
        <v>0</v>
      </c>
      <c r="N257" s="55">
        <v>0</v>
      </c>
    </row>
    <row r="258" spans="1:14" ht="10.050000000000001" hidden="1" customHeight="1">
      <c r="A258" s="52" t="s">
        <v>307</v>
      </c>
      <c r="B258" s="53">
        <v>2001</v>
      </c>
      <c r="C258" s="52" t="s">
        <v>108</v>
      </c>
      <c r="D258" s="54">
        <v>12</v>
      </c>
      <c r="E258" s="55">
        <v>516657.6</v>
      </c>
      <c r="F258" s="55">
        <v>10868.4</v>
      </c>
      <c r="G258" s="55">
        <v>527526</v>
      </c>
      <c r="H258" s="55">
        <v>7106013.5</v>
      </c>
      <c r="I258" s="55">
        <v>141755.29999999999</v>
      </c>
      <c r="J258" s="55">
        <v>7247768.7999999998</v>
      </c>
      <c r="K258" s="55">
        <v>2030754.1</v>
      </c>
      <c r="L258" s="55">
        <v>128547.2</v>
      </c>
      <c r="M258" s="55">
        <v>220763.2</v>
      </c>
      <c r="N258" s="55">
        <v>65560.7</v>
      </c>
    </row>
    <row r="259" spans="1:14" ht="10.050000000000001" hidden="1" customHeight="1">
      <c r="A259" s="52" t="s">
        <v>315</v>
      </c>
      <c r="B259" s="53">
        <v>2001</v>
      </c>
      <c r="C259" s="52" t="s">
        <v>108</v>
      </c>
      <c r="D259" s="54">
        <v>12</v>
      </c>
      <c r="E259" s="55">
        <v>1105.2</v>
      </c>
      <c r="F259" s="55">
        <v>0</v>
      </c>
      <c r="G259" s="55">
        <v>1105.2</v>
      </c>
      <c r="H259" s="55">
        <v>12498.4</v>
      </c>
      <c r="I259" s="55">
        <v>0</v>
      </c>
      <c r="J259" s="55">
        <v>12498.4</v>
      </c>
      <c r="K259" s="55">
        <v>490.9</v>
      </c>
      <c r="L259" s="55">
        <v>31.3</v>
      </c>
      <c r="M259" s="55">
        <v>76.3</v>
      </c>
      <c r="N259" s="55">
        <v>0</v>
      </c>
    </row>
    <row r="260" spans="1:14" ht="10.050000000000001" hidden="1" customHeight="1">
      <c r="A260" s="52" t="s">
        <v>173</v>
      </c>
      <c r="B260" s="53">
        <v>2001</v>
      </c>
      <c r="C260" s="52" t="s">
        <v>108</v>
      </c>
      <c r="D260" s="54">
        <v>12</v>
      </c>
      <c r="E260" s="55">
        <v>174339.3</v>
      </c>
      <c r="F260" s="55">
        <v>15502.6</v>
      </c>
      <c r="G260" s="55">
        <v>189841.9</v>
      </c>
      <c r="H260" s="55">
        <v>3507510.5</v>
      </c>
      <c r="I260" s="55">
        <v>66519.5</v>
      </c>
      <c r="J260" s="55">
        <v>3574030</v>
      </c>
      <c r="K260" s="55">
        <v>497599.9</v>
      </c>
      <c r="L260" s="55">
        <v>52137.2</v>
      </c>
      <c r="M260" s="55">
        <v>89864.6</v>
      </c>
      <c r="N260" s="55">
        <v>11703.9</v>
      </c>
    </row>
    <row r="261" spans="1:14" ht="10.050000000000001" customHeight="1">
      <c r="A261" s="52" t="s">
        <v>309</v>
      </c>
      <c r="B261" s="53">
        <v>2001</v>
      </c>
      <c r="C261" s="52" t="s">
        <v>108</v>
      </c>
      <c r="D261" s="54">
        <v>12</v>
      </c>
      <c r="E261" s="55">
        <v>1223.2</v>
      </c>
      <c r="F261" s="55">
        <v>0</v>
      </c>
      <c r="G261" s="55">
        <v>1223.2</v>
      </c>
      <c r="H261" s="55">
        <v>49327.7</v>
      </c>
      <c r="I261" s="55">
        <v>0</v>
      </c>
      <c r="J261" s="55">
        <v>49327.7</v>
      </c>
      <c r="K261" s="55">
        <v>0</v>
      </c>
      <c r="L261" s="55">
        <v>0</v>
      </c>
      <c r="M261" s="55">
        <v>0</v>
      </c>
      <c r="N261" s="55">
        <v>0</v>
      </c>
    </row>
    <row r="262" spans="1:14" ht="10.050000000000001" hidden="1" customHeight="1">
      <c r="A262" s="52" t="s">
        <v>316</v>
      </c>
      <c r="B262" s="53">
        <v>2001</v>
      </c>
      <c r="C262" s="52" t="s">
        <v>108</v>
      </c>
      <c r="D262" s="54">
        <v>12</v>
      </c>
      <c r="E262" s="55">
        <v>1078.3</v>
      </c>
      <c r="F262" s="55">
        <v>7.5</v>
      </c>
      <c r="G262" s="55">
        <v>1085.8</v>
      </c>
      <c r="H262" s="55">
        <v>4229.6000000000004</v>
      </c>
      <c r="I262" s="55">
        <v>60.7</v>
      </c>
      <c r="J262" s="55">
        <v>4290.3</v>
      </c>
      <c r="K262" s="55">
        <v>80.8</v>
      </c>
      <c r="L262" s="55">
        <v>85.7</v>
      </c>
      <c r="M262" s="55">
        <v>18.899999999999999</v>
      </c>
      <c r="N262" s="55">
        <v>0</v>
      </c>
    </row>
    <row r="263" spans="1:14" ht="10.050000000000001" hidden="1" customHeight="1">
      <c r="A263" s="52" t="s">
        <v>310</v>
      </c>
      <c r="B263" s="53">
        <v>2001</v>
      </c>
      <c r="C263" s="52" t="s">
        <v>108</v>
      </c>
      <c r="D263" s="54">
        <v>12</v>
      </c>
      <c r="E263" s="55">
        <v>1708.4</v>
      </c>
      <c r="F263" s="55">
        <v>0</v>
      </c>
      <c r="G263" s="55">
        <v>1708.4</v>
      </c>
      <c r="H263" s="55">
        <v>17722.8</v>
      </c>
      <c r="I263" s="55">
        <v>438.7</v>
      </c>
      <c r="J263" s="55">
        <v>18161.5</v>
      </c>
      <c r="K263" s="55">
        <v>2662.5</v>
      </c>
      <c r="L263" s="55">
        <v>563.4</v>
      </c>
      <c r="M263" s="55">
        <v>856.3</v>
      </c>
      <c r="N263" s="55">
        <v>38.4</v>
      </c>
    </row>
    <row r="264" spans="1:14" ht="10.050000000000001" hidden="1" customHeight="1">
      <c r="A264" s="52" t="s">
        <v>308</v>
      </c>
      <c r="B264" s="53">
        <v>2001</v>
      </c>
      <c r="C264" s="52" t="s">
        <v>108</v>
      </c>
      <c r="D264" s="54">
        <v>12</v>
      </c>
      <c r="E264" s="55">
        <v>10308.5</v>
      </c>
      <c r="F264" s="55">
        <v>100.2</v>
      </c>
      <c r="G264" s="55">
        <v>10408.700000000001</v>
      </c>
      <c r="H264" s="55">
        <v>181514.7</v>
      </c>
      <c r="I264" s="55">
        <v>462.9</v>
      </c>
      <c r="J264" s="55">
        <v>181977.60000000001</v>
      </c>
      <c r="K264" s="55">
        <v>15944.4</v>
      </c>
      <c r="L264" s="55">
        <v>896</v>
      </c>
      <c r="M264" s="55">
        <v>2857</v>
      </c>
      <c r="N264" s="55">
        <v>237.6</v>
      </c>
    </row>
    <row r="265" spans="1:14" ht="10.050000000000001" hidden="1" customHeight="1">
      <c r="A265" s="52" t="s">
        <v>174</v>
      </c>
      <c r="B265" s="53">
        <v>2001</v>
      </c>
      <c r="C265" s="52" t="s">
        <v>108</v>
      </c>
      <c r="D265" s="54">
        <v>12</v>
      </c>
      <c r="E265" s="55">
        <v>1763.5</v>
      </c>
      <c r="F265" s="55">
        <v>67.8</v>
      </c>
      <c r="G265" s="55">
        <v>1831.3</v>
      </c>
      <c r="H265" s="55">
        <v>62905.2</v>
      </c>
      <c r="I265" s="55">
        <v>5218.6000000000004</v>
      </c>
      <c r="J265" s="55">
        <v>68123.8</v>
      </c>
      <c r="K265" s="55">
        <v>19331.3</v>
      </c>
      <c r="L265" s="55">
        <v>279.2</v>
      </c>
      <c r="M265" s="55">
        <v>461.4</v>
      </c>
      <c r="N265" s="55">
        <v>2708.2</v>
      </c>
    </row>
    <row r="266" spans="1:14" ht="10.050000000000001" hidden="1" customHeight="1">
      <c r="A266" s="52" t="s">
        <v>306</v>
      </c>
      <c r="B266" s="53">
        <v>2001</v>
      </c>
      <c r="C266" s="52" t="s">
        <v>109</v>
      </c>
      <c r="D266" s="54">
        <v>2</v>
      </c>
      <c r="E266" s="55">
        <v>0</v>
      </c>
      <c r="F266" s="55">
        <v>0</v>
      </c>
      <c r="G266" s="55">
        <v>0</v>
      </c>
      <c r="H266" s="55">
        <v>0</v>
      </c>
      <c r="I266" s="55">
        <v>0</v>
      </c>
      <c r="J266" s="55">
        <v>0</v>
      </c>
      <c r="K266" s="55">
        <v>51.2</v>
      </c>
      <c r="L266" s="55">
        <v>0</v>
      </c>
      <c r="M266" s="55">
        <v>0</v>
      </c>
      <c r="N266" s="55">
        <v>0</v>
      </c>
    </row>
    <row r="267" spans="1:14" ht="10.050000000000001" hidden="1" customHeight="1">
      <c r="A267" s="52" t="s">
        <v>171</v>
      </c>
      <c r="B267" s="53">
        <v>2001</v>
      </c>
      <c r="C267" s="52" t="s">
        <v>109</v>
      </c>
      <c r="D267" s="54">
        <v>2</v>
      </c>
      <c r="E267" s="55">
        <v>0</v>
      </c>
      <c r="F267" s="55">
        <v>0</v>
      </c>
      <c r="G267" s="55">
        <v>0</v>
      </c>
      <c r="H267" s="55">
        <v>0</v>
      </c>
      <c r="I267" s="55">
        <v>0</v>
      </c>
      <c r="J267" s="55">
        <v>0</v>
      </c>
      <c r="K267" s="55">
        <v>2207.9</v>
      </c>
      <c r="L267" s="55">
        <v>0</v>
      </c>
      <c r="M267" s="55">
        <v>0</v>
      </c>
      <c r="N267" s="55">
        <v>0</v>
      </c>
    </row>
    <row r="268" spans="1:14" ht="10.050000000000001" hidden="1" customHeight="1">
      <c r="A268" s="52" t="s">
        <v>307</v>
      </c>
      <c r="B268" s="53">
        <v>2001</v>
      </c>
      <c r="C268" s="52" t="s">
        <v>109</v>
      </c>
      <c r="D268" s="54">
        <v>2</v>
      </c>
      <c r="E268" s="55">
        <v>0</v>
      </c>
      <c r="F268" s="55">
        <v>0</v>
      </c>
      <c r="G268" s="55">
        <v>0</v>
      </c>
      <c r="H268" s="55">
        <v>0</v>
      </c>
      <c r="I268" s="55">
        <v>0</v>
      </c>
      <c r="J268" s="55">
        <v>0</v>
      </c>
      <c r="K268" s="55">
        <v>489.6</v>
      </c>
      <c r="L268" s="55">
        <v>0</v>
      </c>
      <c r="M268" s="55">
        <v>0</v>
      </c>
      <c r="N268" s="55">
        <v>0</v>
      </c>
    </row>
    <row r="269" spans="1:14" ht="10.050000000000001" hidden="1" customHeight="1">
      <c r="A269" s="52" t="s">
        <v>173</v>
      </c>
      <c r="B269" s="53">
        <v>2001</v>
      </c>
      <c r="C269" s="52" t="s">
        <v>109</v>
      </c>
      <c r="D269" s="54">
        <v>2</v>
      </c>
      <c r="E269" s="55">
        <v>0</v>
      </c>
      <c r="F269" s="55">
        <v>0</v>
      </c>
      <c r="G269" s="55">
        <v>0</v>
      </c>
      <c r="H269" s="55">
        <v>0</v>
      </c>
      <c r="I269" s="55">
        <v>0</v>
      </c>
      <c r="J269" s="55">
        <v>0</v>
      </c>
      <c r="K269" s="55">
        <v>79.7</v>
      </c>
      <c r="L269" s="55">
        <v>0</v>
      </c>
      <c r="M269" s="55">
        <v>0</v>
      </c>
      <c r="N269" s="55">
        <v>0</v>
      </c>
    </row>
    <row r="270" spans="1:14" ht="10.050000000000001" hidden="1" customHeight="1">
      <c r="A270" s="52" t="s">
        <v>174</v>
      </c>
      <c r="B270" s="53">
        <v>2001</v>
      </c>
      <c r="C270" s="52" t="s">
        <v>109</v>
      </c>
      <c r="D270" s="54">
        <v>2</v>
      </c>
      <c r="E270" s="55">
        <v>0</v>
      </c>
      <c r="F270" s="55">
        <v>0</v>
      </c>
      <c r="G270" s="55">
        <v>0</v>
      </c>
      <c r="H270" s="55">
        <v>0</v>
      </c>
      <c r="I270" s="55">
        <v>0</v>
      </c>
      <c r="J270" s="55">
        <v>0</v>
      </c>
      <c r="K270" s="55">
        <v>219.1</v>
      </c>
      <c r="L270" s="55">
        <v>0</v>
      </c>
      <c r="M270" s="55">
        <v>0</v>
      </c>
      <c r="N270" s="55">
        <v>0</v>
      </c>
    </row>
    <row r="271" spans="1:14" ht="10.050000000000001" hidden="1" customHeight="1">
      <c r="A271" s="52" t="s">
        <v>171</v>
      </c>
      <c r="B271" s="53">
        <v>2001</v>
      </c>
      <c r="C271" s="52" t="s">
        <v>109</v>
      </c>
      <c r="D271" s="54">
        <v>4</v>
      </c>
      <c r="E271" s="55">
        <v>55.6</v>
      </c>
      <c r="F271" s="55">
        <v>0</v>
      </c>
      <c r="G271" s="55">
        <v>55.6</v>
      </c>
      <c r="H271" s="55">
        <v>450</v>
      </c>
      <c r="I271" s="55">
        <v>0</v>
      </c>
      <c r="J271" s="55">
        <v>450</v>
      </c>
      <c r="K271" s="55">
        <v>0</v>
      </c>
      <c r="L271" s="55">
        <v>0</v>
      </c>
      <c r="M271" s="55">
        <v>0</v>
      </c>
      <c r="N271" s="55">
        <v>0</v>
      </c>
    </row>
    <row r="272" spans="1:14" ht="10.050000000000001" hidden="1" customHeight="1">
      <c r="A272" s="52" t="s">
        <v>306</v>
      </c>
      <c r="B272" s="53">
        <v>2001</v>
      </c>
      <c r="C272" s="52" t="s">
        <v>106</v>
      </c>
      <c r="D272" s="54">
        <v>1</v>
      </c>
      <c r="E272" s="55">
        <v>0</v>
      </c>
      <c r="F272" s="55">
        <v>0</v>
      </c>
      <c r="G272" s="55">
        <v>0</v>
      </c>
      <c r="H272" s="55">
        <v>107.2</v>
      </c>
      <c r="I272" s="55">
        <v>0</v>
      </c>
      <c r="J272" s="55">
        <v>107.2</v>
      </c>
      <c r="K272" s="55">
        <v>0</v>
      </c>
      <c r="L272" s="55">
        <v>0</v>
      </c>
      <c r="M272" s="55">
        <v>0</v>
      </c>
      <c r="N272" s="55">
        <v>0</v>
      </c>
    </row>
    <row r="273" spans="1:14" ht="10.050000000000001" hidden="1" customHeight="1">
      <c r="A273" s="52" t="s">
        <v>171</v>
      </c>
      <c r="B273" s="53">
        <v>2001</v>
      </c>
      <c r="C273" s="52" t="s">
        <v>106</v>
      </c>
      <c r="D273" s="54">
        <v>1</v>
      </c>
      <c r="E273" s="55">
        <v>0</v>
      </c>
      <c r="F273" s="55">
        <v>0</v>
      </c>
      <c r="G273" s="55">
        <v>0</v>
      </c>
      <c r="H273" s="55">
        <v>7362.7</v>
      </c>
      <c r="I273" s="55">
        <v>0</v>
      </c>
      <c r="J273" s="55">
        <v>7362.7</v>
      </c>
      <c r="K273" s="55">
        <v>2183.8000000000002</v>
      </c>
      <c r="L273" s="55">
        <v>0</v>
      </c>
      <c r="M273" s="55">
        <v>0</v>
      </c>
      <c r="N273" s="55">
        <v>0</v>
      </c>
    </row>
    <row r="274" spans="1:14" ht="10.050000000000001" hidden="1" customHeight="1">
      <c r="A274" s="52" t="s">
        <v>307</v>
      </c>
      <c r="B274" s="53">
        <v>2001</v>
      </c>
      <c r="C274" s="52" t="s">
        <v>106</v>
      </c>
      <c r="D274" s="54">
        <v>1</v>
      </c>
      <c r="E274" s="55">
        <v>0</v>
      </c>
      <c r="F274" s="55">
        <v>0</v>
      </c>
      <c r="G274" s="55">
        <v>0</v>
      </c>
      <c r="H274" s="55">
        <v>6543.7</v>
      </c>
      <c r="I274" s="55">
        <v>0</v>
      </c>
      <c r="J274" s="55">
        <v>6543.7</v>
      </c>
      <c r="K274" s="55">
        <v>2697</v>
      </c>
      <c r="L274" s="55">
        <v>0</v>
      </c>
      <c r="M274" s="55">
        <v>0</v>
      </c>
      <c r="N274" s="55">
        <v>0</v>
      </c>
    </row>
    <row r="275" spans="1:14" ht="10.050000000000001" hidden="1" customHeight="1">
      <c r="A275" s="52" t="s">
        <v>173</v>
      </c>
      <c r="B275" s="53">
        <v>2001</v>
      </c>
      <c r="C275" s="52" t="s">
        <v>106</v>
      </c>
      <c r="D275" s="54">
        <v>1</v>
      </c>
      <c r="E275" s="55">
        <v>0</v>
      </c>
      <c r="F275" s="55">
        <v>0</v>
      </c>
      <c r="G275" s="55">
        <v>0</v>
      </c>
      <c r="H275" s="55">
        <v>1129.5999999999999</v>
      </c>
      <c r="I275" s="55">
        <v>0</v>
      </c>
      <c r="J275" s="55">
        <v>1129.5999999999999</v>
      </c>
      <c r="K275" s="55">
        <v>46.2</v>
      </c>
      <c r="L275" s="55">
        <v>0</v>
      </c>
      <c r="M275" s="55">
        <v>0</v>
      </c>
      <c r="N275" s="55">
        <v>0</v>
      </c>
    </row>
    <row r="276" spans="1:14" ht="10.050000000000001" hidden="1" customHeight="1">
      <c r="A276" s="52" t="s">
        <v>174</v>
      </c>
      <c r="B276" s="53">
        <v>2001</v>
      </c>
      <c r="C276" s="52" t="s">
        <v>106</v>
      </c>
      <c r="D276" s="54">
        <v>1</v>
      </c>
      <c r="E276" s="55">
        <v>0</v>
      </c>
      <c r="F276" s="55">
        <v>0</v>
      </c>
      <c r="G276" s="55">
        <v>0</v>
      </c>
      <c r="H276" s="55">
        <v>20.8</v>
      </c>
      <c r="I276" s="55">
        <v>0</v>
      </c>
      <c r="J276" s="55">
        <v>20.8</v>
      </c>
      <c r="K276" s="55">
        <v>0</v>
      </c>
      <c r="L276" s="55">
        <v>0</v>
      </c>
      <c r="M276" s="55">
        <v>0</v>
      </c>
      <c r="N276" s="55">
        <v>0</v>
      </c>
    </row>
    <row r="277" spans="1:14" ht="10.050000000000001" hidden="1" customHeight="1">
      <c r="A277" s="52" t="s">
        <v>316</v>
      </c>
      <c r="B277" s="53">
        <v>2001</v>
      </c>
      <c r="C277" s="52" t="s">
        <v>112</v>
      </c>
      <c r="D277" s="54">
        <v>2</v>
      </c>
      <c r="E277" s="55">
        <v>0.9</v>
      </c>
      <c r="F277" s="55">
        <v>0</v>
      </c>
      <c r="G277" s="55">
        <v>0.9</v>
      </c>
      <c r="H277" s="55">
        <v>0</v>
      </c>
      <c r="I277" s="55">
        <v>0</v>
      </c>
      <c r="J277" s="55">
        <v>0</v>
      </c>
      <c r="K277" s="55">
        <v>0</v>
      </c>
      <c r="L277" s="55">
        <v>0</v>
      </c>
      <c r="M277" s="55">
        <v>0</v>
      </c>
      <c r="N277" s="55">
        <v>0</v>
      </c>
    </row>
    <row r="278" spans="1:14" ht="10.050000000000001" hidden="1" customHeight="1">
      <c r="A278" s="52" t="s">
        <v>310</v>
      </c>
      <c r="B278" s="53">
        <v>2001</v>
      </c>
      <c r="C278" s="52" t="s">
        <v>112</v>
      </c>
      <c r="D278" s="54">
        <v>2</v>
      </c>
      <c r="E278" s="55">
        <v>1.1000000000000001</v>
      </c>
      <c r="F278" s="55">
        <v>0</v>
      </c>
      <c r="G278" s="55">
        <v>1.1000000000000001</v>
      </c>
      <c r="H278" s="55">
        <v>0</v>
      </c>
      <c r="I278" s="55">
        <v>0</v>
      </c>
      <c r="J278" s="55">
        <v>0</v>
      </c>
      <c r="K278" s="55">
        <v>0</v>
      </c>
      <c r="L278" s="55">
        <v>0</v>
      </c>
      <c r="M278" s="55">
        <v>0</v>
      </c>
      <c r="N278" s="55">
        <v>0</v>
      </c>
    </row>
    <row r="279" spans="1:14" ht="10.050000000000001" hidden="1" customHeight="1">
      <c r="A279" s="52" t="s">
        <v>171</v>
      </c>
      <c r="B279" s="53">
        <v>2001</v>
      </c>
      <c r="C279" s="52" t="s">
        <v>112</v>
      </c>
      <c r="D279" s="54">
        <v>6</v>
      </c>
      <c r="E279" s="55">
        <v>34.799999999999997</v>
      </c>
      <c r="F279" s="55">
        <v>0</v>
      </c>
      <c r="G279" s="55">
        <v>34.799999999999997</v>
      </c>
      <c r="H279" s="55">
        <v>0</v>
      </c>
      <c r="I279" s="55">
        <v>0</v>
      </c>
      <c r="J279" s="55">
        <v>0</v>
      </c>
      <c r="K279" s="55">
        <v>0</v>
      </c>
      <c r="L279" s="55">
        <v>0</v>
      </c>
      <c r="M279" s="55">
        <v>0</v>
      </c>
      <c r="N279" s="55">
        <v>0</v>
      </c>
    </row>
    <row r="280" spans="1:14" ht="10.050000000000001" hidden="1" customHeight="1">
      <c r="A280" s="52" t="s">
        <v>171</v>
      </c>
      <c r="B280" s="53">
        <v>2001</v>
      </c>
      <c r="C280" s="52" t="s">
        <v>113</v>
      </c>
      <c r="D280" s="54">
        <v>3</v>
      </c>
      <c r="E280" s="55">
        <v>0</v>
      </c>
      <c r="F280" s="55">
        <v>0</v>
      </c>
      <c r="G280" s="55">
        <v>0</v>
      </c>
      <c r="H280" s="55">
        <v>159</v>
      </c>
      <c r="I280" s="55">
        <v>0</v>
      </c>
      <c r="J280" s="55">
        <v>159</v>
      </c>
      <c r="K280" s="55">
        <v>0</v>
      </c>
      <c r="L280" s="55">
        <v>0</v>
      </c>
      <c r="M280" s="55">
        <v>0</v>
      </c>
      <c r="N280" s="55">
        <v>0</v>
      </c>
    </row>
    <row r="281" spans="1:14" ht="10.050000000000001" hidden="1" customHeight="1">
      <c r="A281" s="52" t="s">
        <v>171</v>
      </c>
      <c r="B281" s="53">
        <v>2001</v>
      </c>
      <c r="C281" s="52" t="s">
        <v>114</v>
      </c>
      <c r="D281" s="54">
        <v>3</v>
      </c>
      <c r="E281" s="55">
        <v>69.599999999999994</v>
      </c>
      <c r="F281" s="55">
        <v>0</v>
      </c>
      <c r="G281" s="55">
        <v>69.599999999999994</v>
      </c>
      <c r="H281" s="55">
        <v>0</v>
      </c>
      <c r="I281" s="55">
        <v>0</v>
      </c>
      <c r="J281" s="55">
        <v>0</v>
      </c>
      <c r="K281" s="55">
        <v>0</v>
      </c>
      <c r="L281" s="55">
        <v>0</v>
      </c>
      <c r="M281" s="55">
        <v>0</v>
      </c>
      <c r="N281" s="55">
        <v>0</v>
      </c>
    </row>
    <row r="282" spans="1:14" ht="10.050000000000001" hidden="1" customHeight="1">
      <c r="A282" s="52" t="s">
        <v>307</v>
      </c>
      <c r="B282" s="53">
        <v>2001</v>
      </c>
      <c r="C282" s="52" t="s">
        <v>114</v>
      </c>
      <c r="D282" s="54">
        <v>3</v>
      </c>
      <c r="E282" s="55">
        <v>54.3</v>
      </c>
      <c r="F282" s="55">
        <v>0</v>
      </c>
      <c r="G282" s="55">
        <v>54.3</v>
      </c>
      <c r="H282" s="55">
        <v>0</v>
      </c>
      <c r="I282" s="55">
        <v>0</v>
      </c>
      <c r="J282" s="55">
        <v>0</v>
      </c>
      <c r="K282" s="55">
        <v>0</v>
      </c>
      <c r="L282" s="55">
        <v>0</v>
      </c>
      <c r="M282" s="55">
        <v>0</v>
      </c>
      <c r="N282" s="55">
        <v>0</v>
      </c>
    </row>
    <row r="283" spans="1:14" ht="10.050000000000001" hidden="1" customHeight="1">
      <c r="A283" s="52" t="s">
        <v>173</v>
      </c>
      <c r="B283" s="53">
        <v>2001</v>
      </c>
      <c r="C283" s="52" t="s">
        <v>114</v>
      </c>
      <c r="D283" s="54">
        <v>3</v>
      </c>
      <c r="E283" s="55">
        <v>15.9</v>
      </c>
      <c r="F283" s="55">
        <v>0</v>
      </c>
      <c r="G283" s="55">
        <v>15.9</v>
      </c>
      <c r="H283" s="55">
        <v>0</v>
      </c>
      <c r="I283" s="55">
        <v>0</v>
      </c>
      <c r="J283" s="55">
        <v>0</v>
      </c>
      <c r="K283" s="55">
        <v>0</v>
      </c>
      <c r="L283" s="55">
        <v>0</v>
      </c>
      <c r="M283" s="55">
        <v>0</v>
      </c>
      <c r="N283" s="55">
        <v>0</v>
      </c>
    </row>
    <row r="284" spans="1:14" ht="10.050000000000001" hidden="1" customHeight="1">
      <c r="A284" s="52" t="s">
        <v>306</v>
      </c>
      <c r="B284" s="53">
        <v>2002</v>
      </c>
      <c r="C284" s="52" t="s">
        <v>108</v>
      </c>
      <c r="D284" s="54">
        <v>1</v>
      </c>
      <c r="E284" s="55">
        <v>5427.1</v>
      </c>
      <c r="F284" s="55">
        <v>925.7</v>
      </c>
      <c r="G284" s="55">
        <v>6352.8</v>
      </c>
      <c r="H284" s="55">
        <v>77245.7</v>
      </c>
      <c r="I284" s="55">
        <v>4206.7</v>
      </c>
      <c r="J284" s="55">
        <v>81452.399999999994</v>
      </c>
      <c r="K284" s="55">
        <v>6297.7</v>
      </c>
      <c r="L284" s="55">
        <v>301.60000000000002</v>
      </c>
      <c r="M284" s="55">
        <v>1869</v>
      </c>
      <c r="N284" s="55">
        <v>360.8</v>
      </c>
    </row>
    <row r="285" spans="1:14" ht="10.050000000000001" hidden="1" customHeight="1">
      <c r="A285" s="52" t="s">
        <v>172</v>
      </c>
      <c r="B285" s="53">
        <v>2002</v>
      </c>
      <c r="C285" s="52" t="s">
        <v>108</v>
      </c>
      <c r="D285" s="54">
        <v>1</v>
      </c>
      <c r="E285" s="55">
        <v>120349.7</v>
      </c>
      <c r="F285" s="55">
        <v>359</v>
      </c>
      <c r="G285" s="55">
        <v>120708.7</v>
      </c>
      <c r="H285" s="55">
        <v>412964</v>
      </c>
      <c r="I285" s="55">
        <v>14326.6</v>
      </c>
      <c r="J285" s="55">
        <v>427290.6</v>
      </c>
      <c r="K285" s="55">
        <v>19238.8</v>
      </c>
      <c r="L285" s="55">
        <v>3959.4</v>
      </c>
      <c r="M285" s="55">
        <v>43458.1</v>
      </c>
      <c r="N285" s="55">
        <v>33.299999999999997</v>
      </c>
    </row>
    <row r="286" spans="1:14" ht="10.050000000000001" hidden="1" customHeight="1">
      <c r="A286" s="52" t="s">
        <v>171</v>
      </c>
      <c r="B286" s="53">
        <v>2002</v>
      </c>
      <c r="C286" s="52" t="s">
        <v>108</v>
      </c>
      <c r="D286" s="54">
        <v>1</v>
      </c>
      <c r="E286" s="55">
        <v>2216951.2999999998</v>
      </c>
      <c r="F286" s="55">
        <v>9906.7000000000007</v>
      </c>
      <c r="G286" s="55">
        <v>2226858</v>
      </c>
      <c r="H286" s="55">
        <v>7037034.5</v>
      </c>
      <c r="I286" s="55">
        <v>94680.3</v>
      </c>
      <c r="J286" s="55">
        <v>7131714.7999999998</v>
      </c>
      <c r="K286" s="55">
        <v>1849922</v>
      </c>
      <c r="L286" s="55">
        <v>448822.1</v>
      </c>
      <c r="M286" s="55">
        <v>669048</v>
      </c>
      <c r="N286" s="55">
        <v>18655.400000000001</v>
      </c>
    </row>
    <row r="287" spans="1:14" ht="10.050000000000001" hidden="1" customHeight="1">
      <c r="A287" s="52" t="s">
        <v>300</v>
      </c>
      <c r="B287" s="53">
        <v>2002</v>
      </c>
      <c r="C287" s="52" t="s">
        <v>108</v>
      </c>
      <c r="D287" s="54">
        <v>1</v>
      </c>
      <c r="E287" s="55">
        <v>14.6</v>
      </c>
      <c r="F287" s="55">
        <v>0</v>
      </c>
      <c r="G287" s="55">
        <v>14.6</v>
      </c>
      <c r="H287" s="55">
        <v>203.1</v>
      </c>
      <c r="I287" s="55">
        <v>11.1</v>
      </c>
      <c r="J287" s="55">
        <v>214.2</v>
      </c>
      <c r="K287" s="55">
        <v>0</v>
      </c>
      <c r="L287" s="55">
        <v>0</v>
      </c>
      <c r="M287" s="55">
        <v>0</v>
      </c>
      <c r="N287" s="55">
        <v>0</v>
      </c>
    </row>
    <row r="288" spans="1:14" ht="10.050000000000001" hidden="1" customHeight="1">
      <c r="A288" s="52" t="s">
        <v>307</v>
      </c>
      <c r="B288" s="53">
        <v>2002</v>
      </c>
      <c r="C288" s="52" t="s">
        <v>108</v>
      </c>
      <c r="D288" s="54">
        <v>1</v>
      </c>
      <c r="E288" s="55">
        <v>587408.6</v>
      </c>
      <c r="F288" s="55">
        <v>8275.2000000000007</v>
      </c>
      <c r="G288" s="55">
        <v>595683.80000000005</v>
      </c>
      <c r="H288" s="55">
        <v>6428245.2000000002</v>
      </c>
      <c r="I288" s="55">
        <v>136372.4</v>
      </c>
      <c r="J288" s="55">
        <v>6564617.5999999996</v>
      </c>
      <c r="K288" s="55">
        <v>1538072.6</v>
      </c>
      <c r="L288" s="55">
        <v>31112.2</v>
      </c>
      <c r="M288" s="55">
        <v>451220.8</v>
      </c>
      <c r="N288" s="55">
        <v>59004.6</v>
      </c>
    </row>
    <row r="289" spans="1:14" ht="10.050000000000001" hidden="1" customHeight="1">
      <c r="A289" s="52" t="s">
        <v>315</v>
      </c>
      <c r="B289" s="53">
        <v>2002</v>
      </c>
      <c r="C289" s="52" t="s">
        <v>108</v>
      </c>
      <c r="D289" s="54">
        <v>1</v>
      </c>
      <c r="E289" s="55">
        <v>437.4</v>
      </c>
      <c r="F289" s="55">
        <v>0</v>
      </c>
      <c r="G289" s="55">
        <v>437.4</v>
      </c>
      <c r="H289" s="55">
        <v>10980.6</v>
      </c>
      <c r="I289" s="55">
        <v>0</v>
      </c>
      <c r="J289" s="55">
        <v>10980.6</v>
      </c>
      <c r="K289" s="55">
        <v>397.9</v>
      </c>
      <c r="L289" s="55">
        <v>0</v>
      </c>
      <c r="M289" s="55">
        <v>93</v>
      </c>
      <c r="N289" s="55">
        <v>0</v>
      </c>
    </row>
    <row r="290" spans="1:14" ht="10.050000000000001" hidden="1" customHeight="1">
      <c r="A290" s="52" t="s">
        <v>173</v>
      </c>
      <c r="B290" s="53">
        <v>2002</v>
      </c>
      <c r="C290" s="52" t="s">
        <v>108</v>
      </c>
      <c r="D290" s="54">
        <v>1</v>
      </c>
      <c r="E290" s="55">
        <v>341031.4</v>
      </c>
      <c r="F290" s="55">
        <v>10996.5</v>
      </c>
      <c r="G290" s="55">
        <v>352027.9</v>
      </c>
      <c r="H290" s="55">
        <v>3103303.4</v>
      </c>
      <c r="I290" s="55">
        <v>55448.2</v>
      </c>
      <c r="J290" s="55">
        <v>3158751.6</v>
      </c>
      <c r="K290" s="55">
        <v>396404.7</v>
      </c>
      <c r="L290" s="55">
        <v>53624.800000000003</v>
      </c>
      <c r="M290" s="55">
        <v>148429.70000000001</v>
      </c>
      <c r="N290" s="55">
        <v>5883.1</v>
      </c>
    </row>
    <row r="291" spans="1:14" ht="10.050000000000001" customHeight="1">
      <c r="A291" s="52" t="s">
        <v>309</v>
      </c>
      <c r="B291" s="53">
        <v>2002</v>
      </c>
      <c r="C291" s="52" t="s">
        <v>108</v>
      </c>
      <c r="D291" s="54">
        <v>1</v>
      </c>
      <c r="E291" s="55">
        <v>2244.4</v>
      </c>
      <c r="F291" s="55">
        <v>0</v>
      </c>
      <c r="G291" s="55">
        <v>2244.4</v>
      </c>
      <c r="H291" s="55">
        <v>46440.3</v>
      </c>
      <c r="I291" s="55">
        <v>0</v>
      </c>
      <c r="J291" s="55">
        <v>46440.3</v>
      </c>
      <c r="K291" s="55">
        <v>0</v>
      </c>
      <c r="L291" s="55">
        <v>0</v>
      </c>
      <c r="M291" s="55">
        <v>0</v>
      </c>
      <c r="N291" s="55">
        <v>0</v>
      </c>
    </row>
    <row r="292" spans="1:14" ht="10.050000000000001" hidden="1" customHeight="1">
      <c r="A292" s="52" t="s">
        <v>316</v>
      </c>
      <c r="B292" s="53">
        <v>2002</v>
      </c>
      <c r="C292" s="52" t="s">
        <v>108</v>
      </c>
      <c r="D292" s="54">
        <v>1</v>
      </c>
      <c r="E292" s="55">
        <v>181</v>
      </c>
      <c r="F292" s="55">
        <v>0</v>
      </c>
      <c r="G292" s="55">
        <v>181</v>
      </c>
      <c r="H292" s="55">
        <v>3903.5</v>
      </c>
      <c r="I292" s="55">
        <v>60.7</v>
      </c>
      <c r="J292" s="55">
        <v>3964.2</v>
      </c>
      <c r="K292" s="55">
        <v>18.7</v>
      </c>
      <c r="L292" s="55">
        <v>0</v>
      </c>
      <c r="M292" s="55">
        <v>62.1</v>
      </c>
      <c r="N292" s="55">
        <v>0</v>
      </c>
    </row>
    <row r="293" spans="1:14" ht="10.050000000000001" hidden="1" customHeight="1">
      <c r="A293" s="52" t="s">
        <v>310</v>
      </c>
      <c r="B293" s="53">
        <v>2002</v>
      </c>
      <c r="C293" s="52" t="s">
        <v>108</v>
      </c>
      <c r="D293" s="54">
        <v>1</v>
      </c>
      <c r="E293" s="55">
        <v>1339.9</v>
      </c>
      <c r="F293" s="55">
        <v>0</v>
      </c>
      <c r="G293" s="55">
        <v>1339.9</v>
      </c>
      <c r="H293" s="55">
        <v>15677</v>
      </c>
      <c r="I293" s="55">
        <v>219.1</v>
      </c>
      <c r="J293" s="55">
        <v>15896.1</v>
      </c>
      <c r="K293" s="55">
        <v>2424.6</v>
      </c>
      <c r="L293" s="55">
        <v>155.19999999999999</v>
      </c>
      <c r="M293" s="55">
        <v>347.5</v>
      </c>
      <c r="N293" s="55">
        <v>45.6</v>
      </c>
    </row>
    <row r="294" spans="1:14" ht="10.050000000000001" hidden="1" customHeight="1">
      <c r="A294" s="52" t="s">
        <v>308</v>
      </c>
      <c r="B294" s="53">
        <v>2002</v>
      </c>
      <c r="C294" s="52" t="s">
        <v>108</v>
      </c>
      <c r="D294" s="54">
        <v>1</v>
      </c>
      <c r="E294" s="55">
        <v>4803.2</v>
      </c>
      <c r="F294" s="55">
        <v>151.5</v>
      </c>
      <c r="G294" s="55">
        <v>4954.7</v>
      </c>
      <c r="H294" s="55">
        <v>135912.5</v>
      </c>
      <c r="I294" s="55">
        <v>462.9</v>
      </c>
      <c r="J294" s="55">
        <v>136375.4</v>
      </c>
      <c r="K294" s="55">
        <v>13650</v>
      </c>
      <c r="L294" s="55">
        <v>15.8</v>
      </c>
      <c r="M294" s="55">
        <v>1955.8</v>
      </c>
      <c r="N294" s="55">
        <v>354.4</v>
      </c>
    </row>
    <row r="295" spans="1:14" ht="10.050000000000001" hidden="1" customHeight="1">
      <c r="A295" s="52" t="s">
        <v>174</v>
      </c>
      <c r="B295" s="53">
        <v>2002</v>
      </c>
      <c r="C295" s="52" t="s">
        <v>108</v>
      </c>
      <c r="D295" s="54">
        <v>1</v>
      </c>
      <c r="E295" s="55">
        <v>2275</v>
      </c>
      <c r="F295" s="55">
        <v>20.100000000000001</v>
      </c>
      <c r="G295" s="55">
        <v>2295.1</v>
      </c>
      <c r="H295" s="55">
        <v>48677.4</v>
      </c>
      <c r="I295" s="55">
        <v>3105</v>
      </c>
      <c r="J295" s="55">
        <v>51782.400000000001</v>
      </c>
      <c r="K295" s="55">
        <v>16301.1</v>
      </c>
      <c r="L295" s="55">
        <v>284.7</v>
      </c>
      <c r="M295" s="55">
        <v>960.4</v>
      </c>
      <c r="N295" s="55">
        <v>2304.6</v>
      </c>
    </row>
    <row r="296" spans="1:14" ht="10.050000000000001" hidden="1" customHeight="1">
      <c r="A296" s="52" t="s">
        <v>314</v>
      </c>
      <c r="B296" s="53">
        <v>2002</v>
      </c>
      <c r="C296" s="52" t="s">
        <v>108</v>
      </c>
      <c r="D296" s="54">
        <v>2</v>
      </c>
      <c r="E296" s="55">
        <v>0</v>
      </c>
      <c r="F296" s="55">
        <v>0</v>
      </c>
      <c r="G296" s="55">
        <v>0</v>
      </c>
      <c r="H296" s="55">
        <v>16.7</v>
      </c>
      <c r="I296" s="55">
        <v>0</v>
      </c>
      <c r="J296" s="55">
        <v>16.7</v>
      </c>
      <c r="K296" s="55">
        <v>0</v>
      </c>
      <c r="L296" s="55">
        <v>0</v>
      </c>
      <c r="M296" s="55">
        <v>0</v>
      </c>
      <c r="N296" s="55">
        <v>0</v>
      </c>
    </row>
    <row r="297" spans="1:14" ht="10.050000000000001" hidden="1" customHeight="1">
      <c r="A297" s="52" t="s">
        <v>306</v>
      </c>
      <c r="B297" s="53">
        <v>2002</v>
      </c>
      <c r="C297" s="52" t="s">
        <v>108</v>
      </c>
      <c r="D297" s="54">
        <v>2</v>
      </c>
      <c r="E297" s="55">
        <v>5926.7</v>
      </c>
      <c r="F297" s="55">
        <v>89</v>
      </c>
      <c r="G297" s="55">
        <v>6015.7</v>
      </c>
      <c r="H297" s="55">
        <v>70304.3</v>
      </c>
      <c r="I297" s="55">
        <v>2658.2</v>
      </c>
      <c r="J297" s="55">
        <v>72962.5</v>
      </c>
      <c r="K297" s="55">
        <v>4838.7</v>
      </c>
      <c r="L297" s="55">
        <v>297.39999999999998</v>
      </c>
      <c r="M297" s="55">
        <v>1339.8</v>
      </c>
      <c r="N297" s="55">
        <v>416.6</v>
      </c>
    </row>
    <row r="298" spans="1:14" ht="10.050000000000001" hidden="1" customHeight="1">
      <c r="A298" s="52" t="s">
        <v>172</v>
      </c>
      <c r="B298" s="53">
        <v>2002</v>
      </c>
      <c r="C298" s="52" t="s">
        <v>108</v>
      </c>
      <c r="D298" s="54">
        <v>2</v>
      </c>
      <c r="E298" s="55">
        <v>57184.5</v>
      </c>
      <c r="F298" s="55">
        <v>151.4</v>
      </c>
      <c r="G298" s="55">
        <v>57335.9</v>
      </c>
      <c r="H298" s="55">
        <v>378766.3</v>
      </c>
      <c r="I298" s="55">
        <v>13964.1</v>
      </c>
      <c r="J298" s="55">
        <v>392730.4</v>
      </c>
      <c r="K298" s="55">
        <v>12972.6</v>
      </c>
      <c r="L298" s="55">
        <v>3746.8</v>
      </c>
      <c r="M298" s="55">
        <v>9898</v>
      </c>
      <c r="N298" s="55">
        <v>115</v>
      </c>
    </row>
    <row r="299" spans="1:14" ht="10.050000000000001" hidden="1" customHeight="1">
      <c r="A299" s="52" t="s">
        <v>171</v>
      </c>
      <c r="B299" s="53">
        <v>2002</v>
      </c>
      <c r="C299" s="52" t="s">
        <v>108</v>
      </c>
      <c r="D299" s="54">
        <v>2</v>
      </c>
      <c r="E299" s="55">
        <v>1703010</v>
      </c>
      <c r="F299" s="55">
        <v>21801.200000000001</v>
      </c>
      <c r="G299" s="55">
        <v>1724811.2</v>
      </c>
      <c r="H299" s="55">
        <v>6815073.2000000002</v>
      </c>
      <c r="I299" s="55">
        <v>91689.7</v>
      </c>
      <c r="J299" s="55">
        <v>6906762.9000000004</v>
      </c>
      <c r="K299" s="55">
        <v>1570862.2</v>
      </c>
      <c r="L299" s="55">
        <v>266842.3</v>
      </c>
      <c r="M299" s="55">
        <v>498467.7</v>
      </c>
      <c r="N299" s="55">
        <v>47533</v>
      </c>
    </row>
    <row r="300" spans="1:14" ht="10.050000000000001" hidden="1" customHeight="1">
      <c r="A300" s="52" t="s">
        <v>300</v>
      </c>
      <c r="B300" s="53">
        <v>2002</v>
      </c>
      <c r="C300" s="52" t="s">
        <v>108</v>
      </c>
      <c r="D300" s="54">
        <v>2</v>
      </c>
      <c r="E300" s="55">
        <v>9.6</v>
      </c>
      <c r="F300" s="55">
        <v>0</v>
      </c>
      <c r="G300" s="55">
        <v>9.6</v>
      </c>
      <c r="H300" s="55">
        <v>143.9</v>
      </c>
      <c r="I300" s="55">
        <v>11.1</v>
      </c>
      <c r="J300" s="55">
        <v>155</v>
      </c>
      <c r="K300" s="55">
        <v>0</v>
      </c>
      <c r="L300" s="55">
        <v>0</v>
      </c>
      <c r="M300" s="55">
        <v>0</v>
      </c>
      <c r="N300" s="55">
        <v>0</v>
      </c>
    </row>
    <row r="301" spans="1:14" ht="10.050000000000001" hidden="1" customHeight="1">
      <c r="A301" s="52" t="s">
        <v>307</v>
      </c>
      <c r="B301" s="53">
        <v>2002</v>
      </c>
      <c r="C301" s="52" t="s">
        <v>108</v>
      </c>
      <c r="D301" s="54">
        <v>2</v>
      </c>
      <c r="E301" s="55">
        <v>435195.3</v>
      </c>
      <c r="F301" s="55">
        <v>15.7</v>
      </c>
      <c r="G301" s="55">
        <v>435211</v>
      </c>
      <c r="H301" s="55">
        <v>5724792.2999999998</v>
      </c>
      <c r="I301" s="55">
        <v>118104.4</v>
      </c>
      <c r="J301" s="55">
        <v>5842896.7000000002</v>
      </c>
      <c r="K301" s="55">
        <v>1225530.2</v>
      </c>
      <c r="L301" s="55">
        <v>31478.7</v>
      </c>
      <c r="M301" s="55">
        <v>299786.59999999998</v>
      </c>
      <c r="N301" s="55">
        <v>44085.8</v>
      </c>
    </row>
    <row r="302" spans="1:14" ht="10.050000000000001" hidden="1" customHeight="1">
      <c r="A302" s="52" t="s">
        <v>315</v>
      </c>
      <c r="B302" s="53">
        <v>2002</v>
      </c>
      <c r="C302" s="52" t="s">
        <v>108</v>
      </c>
      <c r="D302" s="54">
        <v>2</v>
      </c>
      <c r="E302" s="55">
        <v>333.2</v>
      </c>
      <c r="F302" s="55">
        <v>0</v>
      </c>
      <c r="G302" s="55">
        <v>333.2</v>
      </c>
      <c r="H302" s="55">
        <v>9532</v>
      </c>
      <c r="I302" s="55">
        <v>0</v>
      </c>
      <c r="J302" s="55">
        <v>9532</v>
      </c>
      <c r="K302" s="55">
        <v>247.3</v>
      </c>
      <c r="L302" s="55">
        <v>0</v>
      </c>
      <c r="M302" s="55">
        <v>150.6</v>
      </c>
      <c r="N302" s="55">
        <v>0</v>
      </c>
    </row>
    <row r="303" spans="1:14" ht="10.050000000000001" hidden="1" customHeight="1">
      <c r="A303" s="52" t="s">
        <v>173</v>
      </c>
      <c r="B303" s="53">
        <v>2002</v>
      </c>
      <c r="C303" s="52" t="s">
        <v>108</v>
      </c>
      <c r="D303" s="54">
        <v>2</v>
      </c>
      <c r="E303" s="55">
        <v>303353</v>
      </c>
      <c r="F303" s="55">
        <v>16141.7</v>
      </c>
      <c r="G303" s="55">
        <v>319494.7</v>
      </c>
      <c r="H303" s="55">
        <v>2778540.5</v>
      </c>
      <c r="I303" s="55">
        <v>51357.4</v>
      </c>
      <c r="J303" s="55">
        <v>2829897.9</v>
      </c>
      <c r="K303" s="55">
        <v>318654.09999999998</v>
      </c>
      <c r="L303" s="55">
        <v>36432.800000000003</v>
      </c>
      <c r="M303" s="55">
        <v>104136.8</v>
      </c>
      <c r="N303" s="55">
        <v>10059.4</v>
      </c>
    </row>
    <row r="304" spans="1:14" ht="10.050000000000001" customHeight="1">
      <c r="A304" s="52" t="s">
        <v>309</v>
      </c>
      <c r="B304" s="53">
        <v>2002</v>
      </c>
      <c r="C304" s="52" t="s">
        <v>108</v>
      </c>
      <c r="D304" s="54">
        <v>2</v>
      </c>
      <c r="E304" s="55">
        <v>0</v>
      </c>
      <c r="F304" s="55">
        <v>0</v>
      </c>
      <c r="G304" s="55">
        <v>0</v>
      </c>
      <c r="H304" s="55">
        <v>41187.9</v>
      </c>
      <c r="I304" s="55">
        <v>0</v>
      </c>
      <c r="J304" s="55">
        <v>41187.9</v>
      </c>
      <c r="K304" s="55">
        <v>0</v>
      </c>
      <c r="L304" s="55">
        <v>0</v>
      </c>
      <c r="M304" s="55">
        <v>0</v>
      </c>
      <c r="N304" s="55">
        <v>0</v>
      </c>
    </row>
    <row r="305" spans="1:14" ht="10.050000000000001" hidden="1" customHeight="1">
      <c r="A305" s="52" t="s">
        <v>316</v>
      </c>
      <c r="B305" s="53">
        <v>2002</v>
      </c>
      <c r="C305" s="52" t="s">
        <v>108</v>
      </c>
      <c r="D305" s="54">
        <v>2</v>
      </c>
      <c r="E305" s="55">
        <v>152.6</v>
      </c>
      <c r="F305" s="55">
        <v>0</v>
      </c>
      <c r="G305" s="55">
        <v>152.6</v>
      </c>
      <c r="H305" s="55">
        <v>3724.2</v>
      </c>
      <c r="I305" s="55">
        <v>60.7</v>
      </c>
      <c r="J305" s="55">
        <v>3784.9</v>
      </c>
      <c r="K305" s="55">
        <v>12</v>
      </c>
      <c r="L305" s="55">
        <v>0</v>
      </c>
      <c r="M305" s="55">
        <v>6.7</v>
      </c>
      <c r="N305" s="55">
        <v>0</v>
      </c>
    </row>
    <row r="306" spans="1:14" ht="10.050000000000001" hidden="1" customHeight="1">
      <c r="A306" s="52" t="s">
        <v>310</v>
      </c>
      <c r="B306" s="53">
        <v>2002</v>
      </c>
      <c r="C306" s="52" t="s">
        <v>108</v>
      </c>
      <c r="D306" s="54">
        <v>2</v>
      </c>
      <c r="E306" s="55">
        <v>1827.9</v>
      </c>
      <c r="F306" s="55">
        <v>0</v>
      </c>
      <c r="G306" s="55">
        <v>1827.9</v>
      </c>
      <c r="H306" s="55">
        <v>15005.3</v>
      </c>
      <c r="I306" s="55">
        <v>213.6</v>
      </c>
      <c r="J306" s="55">
        <v>15218.9</v>
      </c>
      <c r="K306" s="55">
        <v>1295</v>
      </c>
      <c r="L306" s="55">
        <v>240.6</v>
      </c>
      <c r="M306" s="55">
        <v>1311.6</v>
      </c>
      <c r="N306" s="55">
        <v>58.6</v>
      </c>
    </row>
    <row r="307" spans="1:14" ht="10.050000000000001" hidden="1" customHeight="1">
      <c r="A307" s="52" t="s">
        <v>308</v>
      </c>
      <c r="B307" s="53">
        <v>2002</v>
      </c>
      <c r="C307" s="52" t="s">
        <v>108</v>
      </c>
      <c r="D307" s="54">
        <v>2</v>
      </c>
      <c r="E307" s="55">
        <v>6217.4</v>
      </c>
      <c r="F307" s="55">
        <v>61.2</v>
      </c>
      <c r="G307" s="55">
        <v>6278.6</v>
      </c>
      <c r="H307" s="55">
        <v>104675.1</v>
      </c>
      <c r="I307" s="55">
        <v>394.4</v>
      </c>
      <c r="J307" s="55">
        <v>105069.5</v>
      </c>
      <c r="K307" s="55">
        <v>9387.5</v>
      </c>
      <c r="L307" s="55">
        <v>93.3</v>
      </c>
      <c r="M307" s="55">
        <v>3954.5</v>
      </c>
      <c r="N307" s="55">
        <v>401.3</v>
      </c>
    </row>
    <row r="308" spans="1:14" ht="10.050000000000001" hidden="1" customHeight="1">
      <c r="A308" s="52" t="s">
        <v>174</v>
      </c>
      <c r="B308" s="53">
        <v>2002</v>
      </c>
      <c r="C308" s="52" t="s">
        <v>108</v>
      </c>
      <c r="D308" s="54">
        <v>2</v>
      </c>
      <c r="E308" s="55">
        <v>1877.6</v>
      </c>
      <c r="F308" s="55">
        <v>137.1</v>
      </c>
      <c r="G308" s="55">
        <v>2014.7</v>
      </c>
      <c r="H308" s="55">
        <v>40408.400000000001</v>
      </c>
      <c r="I308" s="55">
        <v>2893.5</v>
      </c>
      <c r="J308" s="55">
        <v>43301.9</v>
      </c>
      <c r="K308" s="55">
        <v>13846.3</v>
      </c>
      <c r="L308" s="55">
        <v>177.2</v>
      </c>
      <c r="M308" s="55">
        <v>648.4</v>
      </c>
      <c r="N308" s="55">
        <v>2003.9</v>
      </c>
    </row>
    <row r="309" spans="1:14" ht="10.050000000000001" hidden="1" customHeight="1">
      <c r="A309" s="52" t="s">
        <v>314</v>
      </c>
      <c r="B309" s="53">
        <v>2002</v>
      </c>
      <c r="C309" s="52" t="s">
        <v>108</v>
      </c>
      <c r="D309" s="54">
        <v>3</v>
      </c>
      <c r="E309" s="55">
        <v>0</v>
      </c>
      <c r="F309" s="55">
        <v>0</v>
      </c>
      <c r="G309" s="55">
        <v>0</v>
      </c>
      <c r="H309" s="55">
        <v>16.7</v>
      </c>
      <c r="I309" s="55">
        <v>0</v>
      </c>
      <c r="J309" s="55">
        <v>16.7</v>
      </c>
      <c r="K309" s="55">
        <v>0</v>
      </c>
      <c r="L309" s="55">
        <v>0</v>
      </c>
      <c r="M309" s="55">
        <v>0</v>
      </c>
      <c r="N309" s="55">
        <v>0</v>
      </c>
    </row>
    <row r="310" spans="1:14" ht="10.050000000000001" hidden="1" customHeight="1">
      <c r="A310" s="52" t="s">
        <v>306</v>
      </c>
      <c r="B310" s="53">
        <v>2002</v>
      </c>
      <c r="C310" s="52" t="s">
        <v>108</v>
      </c>
      <c r="D310" s="54">
        <v>3</v>
      </c>
      <c r="E310" s="55">
        <v>4259.8999999999996</v>
      </c>
      <c r="F310" s="55">
        <v>125.9</v>
      </c>
      <c r="G310" s="55">
        <v>4385.8</v>
      </c>
      <c r="H310" s="55">
        <v>62702.7</v>
      </c>
      <c r="I310" s="55">
        <v>1947.4</v>
      </c>
      <c r="J310" s="55">
        <v>64650.1</v>
      </c>
      <c r="K310" s="55">
        <v>3875.5</v>
      </c>
      <c r="L310" s="55">
        <v>292.3</v>
      </c>
      <c r="M310" s="55">
        <v>1034.3</v>
      </c>
      <c r="N310" s="55">
        <v>221.2</v>
      </c>
    </row>
    <row r="311" spans="1:14" ht="10.050000000000001" hidden="1" customHeight="1">
      <c r="A311" s="52" t="s">
        <v>172</v>
      </c>
      <c r="B311" s="53">
        <v>2002</v>
      </c>
      <c r="C311" s="52" t="s">
        <v>108</v>
      </c>
      <c r="D311" s="54">
        <v>3</v>
      </c>
      <c r="E311" s="55">
        <v>32584.799999999999</v>
      </c>
      <c r="F311" s="55">
        <v>123.9</v>
      </c>
      <c r="G311" s="55">
        <v>32708.7</v>
      </c>
      <c r="H311" s="55">
        <v>289297</v>
      </c>
      <c r="I311" s="55">
        <v>12642.2</v>
      </c>
      <c r="J311" s="55">
        <v>301939.20000000001</v>
      </c>
      <c r="K311" s="55">
        <v>7501.5</v>
      </c>
      <c r="L311" s="55">
        <v>957.9</v>
      </c>
      <c r="M311" s="55">
        <v>6254.3</v>
      </c>
      <c r="N311" s="55">
        <v>174.7</v>
      </c>
    </row>
    <row r="312" spans="1:14" ht="10.050000000000001" hidden="1" customHeight="1">
      <c r="A312" s="52" t="s">
        <v>171</v>
      </c>
      <c r="B312" s="53">
        <v>2002</v>
      </c>
      <c r="C312" s="52" t="s">
        <v>108</v>
      </c>
      <c r="D312" s="54">
        <v>3</v>
      </c>
      <c r="E312" s="55">
        <v>1549676.2</v>
      </c>
      <c r="F312" s="55">
        <v>5944.7</v>
      </c>
      <c r="G312" s="55">
        <v>1555620.9</v>
      </c>
      <c r="H312" s="55">
        <v>6123238</v>
      </c>
      <c r="I312" s="55">
        <v>83927.7</v>
      </c>
      <c r="J312" s="55">
        <v>6207165.7000000002</v>
      </c>
      <c r="K312" s="55">
        <v>943043.7</v>
      </c>
      <c r="L312" s="55">
        <v>115490.4</v>
      </c>
      <c r="M312" s="55">
        <v>730631.3</v>
      </c>
      <c r="N312" s="55">
        <v>12677.6</v>
      </c>
    </row>
    <row r="313" spans="1:14" ht="10.050000000000001" hidden="1" customHeight="1">
      <c r="A313" s="52" t="s">
        <v>300</v>
      </c>
      <c r="B313" s="53">
        <v>2002</v>
      </c>
      <c r="C313" s="52" t="s">
        <v>108</v>
      </c>
      <c r="D313" s="54">
        <v>3</v>
      </c>
      <c r="E313" s="55">
        <v>44.3</v>
      </c>
      <c r="F313" s="55">
        <v>0</v>
      </c>
      <c r="G313" s="55">
        <v>44.3</v>
      </c>
      <c r="H313" s="55">
        <v>163.4</v>
      </c>
      <c r="I313" s="55">
        <v>11.1</v>
      </c>
      <c r="J313" s="55">
        <v>174.5</v>
      </c>
      <c r="K313" s="55">
        <v>0</v>
      </c>
      <c r="L313" s="55">
        <v>0</v>
      </c>
      <c r="M313" s="55">
        <v>0</v>
      </c>
      <c r="N313" s="55">
        <v>0</v>
      </c>
    </row>
    <row r="314" spans="1:14" ht="10.050000000000001" hidden="1" customHeight="1">
      <c r="A314" s="52" t="s">
        <v>307</v>
      </c>
      <c r="B314" s="53">
        <v>2002</v>
      </c>
      <c r="C314" s="52" t="s">
        <v>108</v>
      </c>
      <c r="D314" s="54">
        <v>3</v>
      </c>
      <c r="E314" s="55">
        <v>372004.4</v>
      </c>
      <c r="F314" s="55">
        <v>9845.7999999999993</v>
      </c>
      <c r="G314" s="55">
        <v>381850.2</v>
      </c>
      <c r="H314" s="55">
        <v>4885898.9000000004</v>
      </c>
      <c r="I314" s="55">
        <v>93865.5</v>
      </c>
      <c r="J314" s="55">
        <v>4979764.4000000004</v>
      </c>
      <c r="K314" s="55">
        <v>987470.1</v>
      </c>
      <c r="L314" s="55">
        <v>46267.5</v>
      </c>
      <c r="M314" s="55">
        <v>239197.1</v>
      </c>
      <c r="N314" s="55">
        <v>44571.4</v>
      </c>
    </row>
    <row r="315" spans="1:14" ht="10.050000000000001" hidden="1" customHeight="1">
      <c r="A315" s="52" t="s">
        <v>315</v>
      </c>
      <c r="B315" s="53">
        <v>2002</v>
      </c>
      <c r="C315" s="52" t="s">
        <v>108</v>
      </c>
      <c r="D315" s="54">
        <v>3</v>
      </c>
      <c r="E315" s="55">
        <v>280.5</v>
      </c>
      <c r="F315" s="55">
        <v>0</v>
      </c>
      <c r="G315" s="55">
        <v>280.5</v>
      </c>
      <c r="H315" s="55">
        <v>8521.9</v>
      </c>
      <c r="I315" s="55">
        <v>0</v>
      </c>
      <c r="J315" s="55">
        <v>8521.9</v>
      </c>
      <c r="K315" s="55">
        <v>214.6</v>
      </c>
      <c r="L315" s="55">
        <v>0</v>
      </c>
      <c r="M315" s="55">
        <v>32.6</v>
      </c>
      <c r="N315" s="55">
        <v>0.1</v>
      </c>
    </row>
    <row r="316" spans="1:14" ht="10.050000000000001" hidden="1" customHeight="1">
      <c r="A316" s="52" t="s">
        <v>173</v>
      </c>
      <c r="B316" s="53">
        <v>2002</v>
      </c>
      <c r="C316" s="52" t="s">
        <v>108</v>
      </c>
      <c r="D316" s="54">
        <v>3</v>
      </c>
      <c r="E316" s="55">
        <v>290331</v>
      </c>
      <c r="F316" s="55">
        <v>5354.2</v>
      </c>
      <c r="G316" s="55">
        <v>295685.2</v>
      </c>
      <c r="H316" s="55">
        <v>2462075.2000000002</v>
      </c>
      <c r="I316" s="55">
        <v>42968.9</v>
      </c>
      <c r="J316" s="55">
        <v>2505044.1</v>
      </c>
      <c r="K316" s="55">
        <v>191245.9</v>
      </c>
      <c r="L316" s="55">
        <v>14771</v>
      </c>
      <c r="M316" s="55">
        <v>137571.1</v>
      </c>
      <c r="N316" s="55">
        <v>4608.1000000000004</v>
      </c>
    </row>
    <row r="317" spans="1:14" ht="10.050000000000001" customHeight="1">
      <c r="A317" s="52" t="s">
        <v>309</v>
      </c>
      <c r="B317" s="53">
        <v>2002</v>
      </c>
      <c r="C317" s="52" t="s">
        <v>108</v>
      </c>
      <c r="D317" s="54">
        <v>3</v>
      </c>
      <c r="E317" s="55">
        <v>148</v>
      </c>
      <c r="F317" s="55">
        <v>0</v>
      </c>
      <c r="G317" s="55">
        <v>148</v>
      </c>
      <c r="H317" s="55">
        <v>36371.699999999997</v>
      </c>
      <c r="I317" s="55">
        <v>0</v>
      </c>
      <c r="J317" s="55">
        <v>36371.699999999997</v>
      </c>
      <c r="K317" s="55">
        <v>0</v>
      </c>
      <c r="L317" s="55">
        <v>0</v>
      </c>
      <c r="M317" s="55">
        <v>0</v>
      </c>
      <c r="N317" s="55">
        <v>0</v>
      </c>
    </row>
    <row r="318" spans="1:14" ht="10.050000000000001" hidden="1" customHeight="1">
      <c r="A318" s="52" t="s">
        <v>316</v>
      </c>
      <c r="B318" s="53">
        <v>2002</v>
      </c>
      <c r="C318" s="52" t="s">
        <v>108</v>
      </c>
      <c r="D318" s="54">
        <v>3</v>
      </c>
      <c r="E318" s="55">
        <v>170.4</v>
      </c>
      <c r="F318" s="55">
        <v>0</v>
      </c>
      <c r="G318" s="55">
        <v>170.4</v>
      </c>
      <c r="H318" s="55">
        <v>3525.4</v>
      </c>
      <c r="I318" s="55">
        <v>60.7</v>
      </c>
      <c r="J318" s="55">
        <v>3586.1</v>
      </c>
      <c r="K318" s="55">
        <v>12</v>
      </c>
      <c r="L318" s="55">
        <v>0</v>
      </c>
      <c r="M318" s="55">
        <v>0</v>
      </c>
      <c r="N318" s="55">
        <v>0</v>
      </c>
    </row>
    <row r="319" spans="1:14" ht="10.050000000000001" hidden="1" customHeight="1">
      <c r="A319" s="52" t="s">
        <v>310</v>
      </c>
      <c r="B319" s="53">
        <v>2002</v>
      </c>
      <c r="C319" s="52" t="s">
        <v>108</v>
      </c>
      <c r="D319" s="54">
        <v>3</v>
      </c>
      <c r="E319" s="55">
        <v>1548.6</v>
      </c>
      <c r="F319" s="55">
        <v>0</v>
      </c>
      <c r="G319" s="55">
        <v>1548.6</v>
      </c>
      <c r="H319" s="55">
        <v>13604.3</v>
      </c>
      <c r="I319" s="55">
        <v>204.4</v>
      </c>
      <c r="J319" s="55">
        <v>13808.7</v>
      </c>
      <c r="K319" s="55">
        <v>416.1</v>
      </c>
      <c r="L319" s="55">
        <v>-50</v>
      </c>
      <c r="M319" s="55">
        <v>804.3</v>
      </c>
      <c r="N319" s="55">
        <v>24.6</v>
      </c>
    </row>
    <row r="320" spans="1:14" ht="10.050000000000001" hidden="1" customHeight="1">
      <c r="A320" s="52" t="s">
        <v>308</v>
      </c>
      <c r="B320" s="53">
        <v>2002</v>
      </c>
      <c r="C320" s="52" t="s">
        <v>108</v>
      </c>
      <c r="D320" s="54">
        <v>3</v>
      </c>
      <c r="E320" s="55">
        <v>2696.2</v>
      </c>
      <c r="F320" s="55">
        <v>0</v>
      </c>
      <c r="G320" s="55">
        <v>2696.2</v>
      </c>
      <c r="H320" s="55">
        <v>74291.399999999994</v>
      </c>
      <c r="I320" s="55">
        <v>281.3</v>
      </c>
      <c r="J320" s="55">
        <v>74572.7</v>
      </c>
      <c r="K320" s="55">
        <v>7115.8</v>
      </c>
      <c r="L320" s="55">
        <v>2.2999999999999998</v>
      </c>
      <c r="M320" s="55">
        <v>1426.5</v>
      </c>
      <c r="N320" s="55">
        <v>847.5</v>
      </c>
    </row>
    <row r="321" spans="1:14" ht="10.050000000000001" hidden="1" customHeight="1">
      <c r="A321" s="52" t="s">
        <v>174</v>
      </c>
      <c r="B321" s="53">
        <v>2002</v>
      </c>
      <c r="C321" s="52" t="s">
        <v>108</v>
      </c>
      <c r="D321" s="54">
        <v>3</v>
      </c>
      <c r="E321" s="55">
        <v>2147.4</v>
      </c>
      <c r="F321" s="55">
        <v>0</v>
      </c>
      <c r="G321" s="55">
        <v>2147.4</v>
      </c>
      <c r="H321" s="55">
        <v>32927</v>
      </c>
      <c r="I321" s="55">
        <v>2774.2</v>
      </c>
      <c r="J321" s="55">
        <v>35701.199999999997</v>
      </c>
      <c r="K321" s="55">
        <v>11904.8</v>
      </c>
      <c r="L321" s="55">
        <v>87.7</v>
      </c>
      <c r="M321" s="55">
        <v>615.1</v>
      </c>
      <c r="N321" s="55">
        <v>1414.1</v>
      </c>
    </row>
    <row r="322" spans="1:14" ht="10.050000000000001" hidden="1" customHeight="1">
      <c r="A322" s="52" t="s">
        <v>314</v>
      </c>
      <c r="B322" s="53">
        <v>2002</v>
      </c>
      <c r="C322" s="52" t="s">
        <v>108</v>
      </c>
      <c r="D322" s="54">
        <v>4</v>
      </c>
      <c r="E322" s="55">
        <v>0</v>
      </c>
      <c r="F322" s="55">
        <v>0</v>
      </c>
      <c r="G322" s="55">
        <v>0</v>
      </c>
      <c r="H322" s="55">
        <v>11.3</v>
      </c>
      <c r="I322" s="55">
        <v>0</v>
      </c>
      <c r="J322" s="55">
        <v>11.3</v>
      </c>
      <c r="K322" s="55">
        <v>0</v>
      </c>
      <c r="L322" s="55">
        <v>0</v>
      </c>
      <c r="M322" s="55">
        <v>0</v>
      </c>
      <c r="N322" s="55">
        <v>0</v>
      </c>
    </row>
    <row r="323" spans="1:14" ht="10.050000000000001" hidden="1" customHeight="1">
      <c r="A323" s="52" t="s">
        <v>306</v>
      </c>
      <c r="B323" s="53">
        <v>2002</v>
      </c>
      <c r="C323" s="52" t="s">
        <v>108</v>
      </c>
      <c r="D323" s="54">
        <v>4</v>
      </c>
      <c r="E323" s="55">
        <v>3311.8</v>
      </c>
      <c r="F323" s="55">
        <v>114.6</v>
      </c>
      <c r="G323" s="55">
        <v>3426.4</v>
      </c>
      <c r="H323" s="55">
        <v>53057.8</v>
      </c>
      <c r="I323" s="55">
        <v>1656.2</v>
      </c>
      <c r="J323" s="55">
        <v>54714</v>
      </c>
      <c r="K323" s="55">
        <v>2911.4</v>
      </c>
      <c r="L323" s="55">
        <v>226.3</v>
      </c>
      <c r="M323" s="55">
        <v>873.6</v>
      </c>
      <c r="N323" s="55">
        <v>316.8</v>
      </c>
    </row>
    <row r="324" spans="1:14" ht="10.050000000000001" hidden="1" customHeight="1">
      <c r="A324" s="52" t="s">
        <v>172</v>
      </c>
      <c r="B324" s="53">
        <v>2002</v>
      </c>
      <c r="C324" s="52" t="s">
        <v>108</v>
      </c>
      <c r="D324" s="54">
        <v>4</v>
      </c>
      <c r="E324" s="55">
        <v>12269.7</v>
      </c>
      <c r="F324" s="55">
        <v>18.600000000000001</v>
      </c>
      <c r="G324" s="55">
        <v>12288.3</v>
      </c>
      <c r="H324" s="55">
        <v>193042.9</v>
      </c>
      <c r="I324" s="55">
        <v>7555.2</v>
      </c>
      <c r="J324" s="55">
        <v>200598.1</v>
      </c>
      <c r="K324" s="55">
        <v>6051.2</v>
      </c>
      <c r="L324" s="55">
        <v>287.2</v>
      </c>
      <c r="M324" s="55">
        <v>1737</v>
      </c>
      <c r="N324" s="55">
        <v>0.5</v>
      </c>
    </row>
    <row r="325" spans="1:14" ht="10.050000000000001" hidden="1" customHeight="1">
      <c r="A325" s="52" t="s">
        <v>171</v>
      </c>
      <c r="B325" s="53">
        <v>2002</v>
      </c>
      <c r="C325" s="52" t="s">
        <v>108</v>
      </c>
      <c r="D325" s="54">
        <v>4</v>
      </c>
      <c r="E325" s="55">
        <v>1041872.8</v>
      </c>
      <c r="F325" s="55">
        <v>2368.8000000000002</v>
      </c>
      <c r="G325" s="55">
        <v>1044241.6</v>
      </c>
      <c r="H325" s="55">
        <v>4998087</v>
      </c>
      <c r="I325" s="55">
        <v>76373.3</v>
      </c>
      <c r="J325" s="55">
        <v>5074460.3</v>
      </c>
      <c r="K325" s="55">
        <v>619359.80000000005</v>
      </c>
      <c r="L325" s="55">
        <v>81624.3</v>
      </c>
      <c r="M325" s="55">
        <v>391616.4</v>
      </c>
      <c r="N325" s="55">
        <v>13602.2</v>
      </c>
    </row>
    <row r="326" spans="1:14" ht="10.050000000000001" hidden="1" customHeight="1">
      <c r="A326" s="52" t="s">
        <v>300</v>
      </c>
      <c r="B326" s="53">
        <v>2002</v>
      </c>
      <c r="C326" s="52" t="s">
        <v>108</v>
      </c>
      <c r="D326" s="54">
        <v>4</v>
      </c>
      <c r="E326" s="55">
        <v>8.4</v>
      </c>
      <c r="F326" s="55">
        <v>0</v>
      </c>
      <c r="G326" s="55">
        <v>8.4</v>
      </c>
      <c r="H326" s="55">
        <v>150.9</v>
      </c>
      <c r="I326" s="55">
        <v>11.1</v>
      </c>
      <c r="J326" s="55">
        <v>162</v>
      </c>
      <c r="K326" s="55">
        <v>0</v>
      </c>
      <c r="L326" s="55">
        <v>0</v>
      </c>
      <c r="M326" s="55">
        <v>0</v>
      </c>
      <c r="N326" s="55">
        <v>0</v>
      </c>
    </row>
    <row r="327" spans="1:14" ht="10.050000000000001" hidden="1" customHeight="1">
      <c r="A327" s="52" t="s">
        <v>307</v>
      </c>
      <c r="B327" s="53">
        <v>2002</v>
      </c>
      <c r="C327" s="52" t="s">
        <v>108</v>
      </c>
      <c r="D327" s="54">
        <v>4</v>
      </c>
      <c r="E327" s="55">
        <v>351558.3</v>
      </c>
      <c r="F327" s="55">
        <v>3117.1</v>
      </c>
      <c r="G327" s="55">
        <v>354675.4</v>
      </c>
      <c r="H327" s="55">
        <v>3876749.4</v>
      </c>
      <c r="I327" s="55">
        <v>79050.3</v>
      </c>
      <c r="J327" s="55">
        <v>3955799.7</v>
      </c>
      <c r="K327" s="55">
        <v>801839.6</v>
      </c>
      <c r="L327" s="55">
        <v>43585.2</v>
      </c>
      <c r="M327" s="55">
        <v>181169.6</v>
      </c>
      <c r="N327" s="55">
        <v>37419.800000000003</v>
      </c>
    </row>
    <row r="328" spans="1:14" ht="10.050000000000001" hidden="1" customHeight="1">
      <c r="A328" s="52" t="s">
        <v>315</v>
      </c>
      <c r="B328" s="53">
        <v>2002</v>
      </c>
      <c r="C328" s="52" t="s">
        <v>108</v>
      </c>
      <c r="D328" s="54">
        <v>4</v>
      </c>
      <c r="E328" s="55">
        <v>426.6</v>
      </c>
      <c r="F328" s="55">
        <v>0</v>
      </c>
      <c r="G328" s="55">
        <v>426.6</v>
      </c>
      <c r="H328" s="55">
        <v>7450</v>
      </c>
      <c r="I328" s="55">
        <v>0</v>
      </c>
      <c r="J328" s="55">
        <v>7450</v>
      </c>
      <c r="K328" s="55">
        <v>137.6</v>
      </c>
      <c r="L328" s="55">
        <v>0</v>
      </c>
      <c r="M328" s="55">
        <v>77</v>
      </c>
      <c r="N328" s="55">
        <v>0</v>
      </c>
    </row>
    <row r="329" spans="1:14" ht="10.050000000000001" hidden="1" customHeight="1">
      <c r="A329" s="52" t="s">
        <v>173</v>
      </c>
      <c r="B329" s="53">
        <v>2002</v>
      </c>
      <c r="C329" s="52" t="s">
        <v>108</v>
      </c>
      <c r="D329" s="54">
        <v>4</v>
      </c>
      <c r="E329" s="55">
        <v>200189.6</v>
      </c>
      <c r="F329" s="55">
        <v>1675.4</v>
      </c>
      <c r="G329" s="55">
        <v>201865</v>
      </c>
      <c r="H329" s="55">
        <v>1927779.8</v>
      </c>
      <c r="I329" s="55">
        <v>34224.6</v>
      </c>
      <c r="J329" s="55">
        <v>1962004.4</v>
      </c>
      <c r="K329" s="55">
        <v>135963</v>
      </c>
      <c r="L329" s="55">
        <v>12881.8</v>
      </c>
      <c r="M329" s="55">
        <v>64339.1</v>
      </c>
      <c r="N329" s="55">
        <v>3693.7</v>
      </c>
    </row>
    <row r="330" spans="1:14" ht="10.050000000000001" customHeight="1">
      <c r="A330" s="52" t="s">
        <v>309</v>
      </c>
      <c r="B330" s="53">
        <v>2002</v>
      </c>
      <c r="C330" s="52" t="s">
        <v>108</v>
      </c>
      <c r="D330" s="54">
        <v>4</v>
      </c>
      <c r="E330" s="55">
        <v>286.39999999999998</v>
      </c>
      <c r="F330" s="55">
        <v>0</v>
      </c>
      <c r="G330" s="55">
        <v>286.39999999999998</v>
      </c>
      <c r="H330" s="55">
        <v>34338.9</v>
      </c>
      <c r="I330" s="55">
        <v>0</v>
      </c>
      <c r="J330" s="55">
        <v>34338.9</v>
      </c>
      <c r="K330" s="55">
        <v>0</v>
      </c>
      <c r="L330" s="55">
        <v>0</v>
      </c>
      <c r="M330" s="55">
        <v>0</v>
      </c>
      <c r="N330" s="55">
        <v>0</v>
      </c>
    </row>
    <row r="331" spans="1:14" ht="10.050000000000001" hidden="1" customHeight="1">
      <c r="A331" s="52" t="s">
        <v>316</v>
      </c>
      <c r="B331" s="53">
        <v>2002</v>
      </c>
      <c r="C331" s="52" t="s">
        <v>108</v>
      </c>
      <c r="D331" s="54">
        <v>4</v>
      </c>
      <c r="E331" s="55">
        <v>22.5</v>
      </c>
      <c r="F331" s="55">
        <v>0</v>
      </c>
      <c r="G331" s="55">
        <v>22.5</v>
      </c>
      <c r="H331" s="55">
        <v>2945</v>
      </c>
      <c r="I331" s="55">
        <v>0.5</v>
      </c>
      <c r="J331" s="55">
        <v>2945.5</v>
      </c>
      <c r="K331" s="55">
        <v>7.8</v>
      </c>
      <c r="L331" s="55">
        <v>0</v>
      </c>
      <c r="M331" s="55">
        <v>4.2</v>
      </c>
      <c r="N331" s="55">
        <v>0</v>
      </c>
    </row>
    <row r="332" spans="1:14" ht="10.050000000000001" hidden="1" customHeight="1">
      <c r="A332" s="52" t="s">
        <v>310</v>
      </c>
      <c r="B332" s="53">
        <v>2002</v>
      </c>
      <c r="C332" s="52" t="s">
        <v>108</v>
      </c>
      <c r="D332" s="54">
        <v>4</v>
      </c>
      <c r="E332" s="55">
        <v>1947.4</v>
      </c>
      <c r="F332" s="55">
        <v>0</v>
      </c>
      <c r="G332" s="55">
        <v>1947.4</v>
      </c>
      <c r="H332" s="55">
        <v>12728.9</v>
      </c>
      <c r="I332" s="55">
        <v>205.2</v>
      </c>
      <c r="J332" s="55">
        <v>12934.1</v>
      </c>
      <c r="K332" s="55">
        <v>347.6</v>
      </c>
      <c r="L332" s="55">
        <v>0</v>
      </c>
      <c r="M332" s="55">
        <v>44.7</v>
      </c>
      <c r="N332" s="55">
        <v>23.8</v>
      </c>
    </row>
    <row r="333" spans="1:14" ht="10.050000000000001" hidden="1" customHeight="1">
      <c r="A333" s="52" t="s">
        <v>308</v>
      </c>
      <c r="B333" s="53">
        <v>2002</v>
      </c>
      <c r="C333" s="52" t="s">
        <v>108</v>
      </c>
      <c r="D333" s="54">
        <v>4</v>
      </c>
      <c r="E333" s="55">
        <v>3630</v>
      </c>
      <c r="F333" s="55">
        <v>87.6</v>
      </c>
      <c r="G333" s="55">
        <v>3717.6</v>
      </c>
      <c r="H333" s="55">
        <v>49884.3</v>
      </c>
      <c r="I333" s="55">
        <v>144.9</v>
      </c>
      <c r="J333" s="55">
        <v>50029.2</v>
      </c>
      <c r="K333" s="55">
        <v>4492.1000000000004</v>
      </c>
      <c r="L333" s="55">
        <v>0</v>
      </c>
      <c r="M333" s="55">
        <v>2276.4</v>
      </c>
      <c r="N333" s="55">
        <v>323.10000000000002</v>
      </c>
    </row>
    <row r="334" spans="1:14" ht="10.050000000000001" hidden="1" customHeight="1">
      <c r="A334" s="52" t="s">
        <v>174</v>
      </c>
      <c r="B334" s="53">
        <v>2002</v>
      </c>
      <c r="C334" s="52" t="s">
        <v>108</v>
      </c>
      <c r="D334" s="54">
        <v>4</v>
      </c>
      <c r="E334" s="55">
        <v>1081.5999999999999</v>
      </c>
      <c r="F334" s="55">
        <v>71.099999999999994</v>
      </c>
      <c r="G334" s="55">
        <v>1152.7</v>
      </c>
      <c r="H334" s="55">
        <v>24788.2</v>
      </c>
      <c r="I334" s="55">
        <v>2647.8</v>
      </c>
      <c r="J334" s="55">
        <v>27436</v>
      </c>
      <c r="K334" s="55">
        <v>10036</v>
      </c>
      <c r="L334" s="55">
        <v>19.600000000000001</v>
      </c>
      <c r="M334" s="55">
        <v>510.7</v>
      </c>
      <c r="N334" s="55">
        <v>1394.7</v>
      </c>
    </row>
    <row r="335" spans="1:14" ht="10.050000000000001" hidden="1" customHeight="1">
      <c r="A335" s="52" t="s">
        <v>314</v>
      </c>
      <c r="B335" s="53">
        <v>2002</v>
      </c>
      <c r="C335" s="52" t="s">
        <v>108</v>
      </c>
      <c r="D335" s="54">
        <v>5</v>
      </c>
      <c r="E335" s="55">
        <v>0</v>
      </c>
      <c r="F335" s="55">
        <v>0</v>
      </c>
      <c r="G335" s="55">
        <v>0</v>
      </c>
      <c r="H335" s="55">
        <v>11.3</v>
      </c>
      <c r="I335" s="55">
        <v>0</v>
      </c>
      <c r="J335" s="55">
        <v>11.3</v>
      </c>
      <c r="K335" s="55">
        <v>0</v>
      </c>
      <c r="L335" s="55">
        <v>0</v>
      </c>
      <c r="M335" s="55">
        <v>0</v>
      </c>
      <c r="N335" s="55">
        <v>0</v>
      </c>
    </row>
    <row r="336" spans="1:14" ht="10.050000000000001" hidden="1" customHeight="1">
      <c r="A336" s="52" t="s">
        <v>306</v>
      </c>
      <c r="B336" s="53">
        <v>2002</v>
      </c>
      <c r="C336" s="52" t="s">
        <v>108</v>
      </c>
      <c r="D336" s="54">
        <v>5</v>
      </c>
      <c r="E336" s="55">
        <v>3683.8</v>
      </c>
      <c r="F336" s="55">
        <v>0</v>
      </c>
      <c r="G336" s="55">
        <v>3683.8</v>
      </c>
      <c r="H336" s="55">
        <v>43842.7</v>
      </c>
      <c r="I336" s="55">
        <v>1545</v>
      </c>
      <c r="J336" s="55">
        <v>45387.7</v>
      </c>
      <c r="K336" s="55">
        <v>2117.1</v>
      </c>
      <c r="L336" s="55">
        <v>224.5</v>
      </c>
      <c r="M336" s="55">
        <v>660.7</v>
      </c>
      <c r="N336" s="55">
        <v>358.1</v>
      </c>
    </row>
    <row r="337" spans="1:14" ht="10.050000000000001" hidden="1" customHeight="1">
      <c r="A337" s="52" t="s">
        <v>172</v>
      </c>
      <c r="B337" s="53">
        <v>2002</v>
      </c>
      <c r="C337" s="52" t="s">
        <v>108</v>
      </c>
      <c r="D337" s="54">
        <v>5</v>
      </c>
      <c r="E337" s="55">
        <v>7541.7</v>
      </c>
      <c r="F337" s="55">
        <v>0</v>
      </c>
      <c r="G337" s="55">
        <v>7541.7</v>
      </c>
      <c r="H337" s="55">
        <v>107784.4</v>
      </c>
      <c r="I337" s="55">
        <v>5841.5</v>
      </c>
      <c r="J337" s="55">
        <v>113625.9</v>
      </c>
      <c r="K337" s="55">
        <v>3008.3</v>
      </c>
      <c r="L337" s="55">
        <v>163.6</v>
      </c>
      <c r="M337" s="55">
        <v>1684.2</v>
      </c>
      <c r="N337" s="55">
        <v>1522.3</v>
      </c>
    </row>
    <row r="338" spans="1:14" ht="10.050000000000001" hidden="1" customHeight="1">
      <c r="A338" s="52" t="s">
        <v>171</v>
      </c>
      <c r="B338" s="53">
        <v>2002</v>
      </c>
      <c r="C338" s="52" t="s">
        <v>108</v>
      </c>
      <c r="D338" s="54">
        <v>5</v>
      </c>
      <c r="E338" s="55">
        <v>920378.6</v>
      </c>
      <c r="F338" s="55">
        <v>3197.7</v>
      </c>
      <c r="G338" s="55">
        <v>923576.3</v>
      </c>
      <c r="H338" s="55">
        <v>3715884.9</v>
      </c>
      <c r="I338" s="55">
        <v>68284.899999999994</v>
      </c>
      <c r="J338" s="55">
        <v>3784169.8</v>
      </c>
      <c r="K338" s="55">
        <v>267655.3</v>
      </c>
      <c r="L338" s="55">
        <v>58663.8</v>
      </c>
      <c r="M338" s="55">
        <v>396859.6</v>
      </c>
      <c r="N338" s="55">
        <v>13501.4</v>
      </c>
    </row>
    <row r="339" spans="1:14" ht="10.050000000000001" hidden="1" customHeight="1">
      <c r="A339" s="52" t="s">
        <v>300</v>
      </c>
      <c r="B339" s="53">
        <v>2002</v>
      </c>
      <c r="C339" s="52" t="s">
        <v>108</v>
      </c>
      <c r="D339" s="54">
        <v>5</v>
      </c>
      <c r="E339" s="55">
        <v>3.8</v>
      </c>
      <c r="F339" s="55">
        <v>0</v>
      </c>
      <c r="G339" s="55">
        <v>3.8</v>
      </c>
      <c r="H339" s="55">
        <v>143.1</v>
      </c>
      <c r="I339" s="55">
        <v>11.1</v>
      </c>
      <c r="J339" s="55">
        <v>154.19999999999999</v>
      </c>
      <c r="K339" s="55">
        <v>0</v>
      </c>
      <c r="L339" s="55">
        <v>0</v>
      </c>
      <c r="M339" s="55">
        <v>0</v>
      </c>
      <c r="N339" s="55">
        <v>0</v>
      </c>
    </row>
    <row r="340" spans="1:14" ht="10.050000000000001" hidden="1" customHeight="1">
      <c r="A340" s="52" t="s">
        <v>307</v>
      </c>
      <c r="B340" s="53">
        <v>2002</v>
      </c>
      <c r="C340" s="52" t="s">
        <v>108</v>
      </c>
      <c r="D340" s="54">
        <v>5</v>
      </c>
      <c r="E340" s="55">
        <v>456263.5</v>
      </c>
      <c r="F340" s="55">
        <v>3.7</v>
      </c>
      <c r="G340" s="55">
        <v>456267.2</v>
      </c>
      <c r="H340" s="55">
        <v>3020287.7</v>
      </c>
      <c r="I340" s="55">
        <v>42379.9</v>
      </c>
      <c r="J340" s="55">
        <v>3062667.6</v>
      </c>
      <c r="K340" s="55">
        <v>546016.19999999995</v>
      </c>
      <c r="L340" s="55">
        <v>72458.7</v>
      </c>
      <c r="M340" s="55">
        <v>263141.8</v>
      </c>
      <c r="N340" s="55">
        <v>64793.2</v>
      </c>
    </row>
    <row r="341" spans="1:14" ht="10.050000000000001" hidden="1" customHeight="1">
      <c r="A341" s="52" t="s">
        <v>315</v>
      </c>
      <c r="B341" s="53">
        <v>2002</v>
      </c>
      <c r="C341" s="52" t="s">
        <v>108</v>
      </c>
      <c r="D341" s="54">
        <v>5</v>
      </c>
      <c r="E341" s="55">
        <v>121.1</v>
      </c>
      <c r="F341" s="55">
        <v>0</v>
      </c>
      <c r="G341" s="55">
        <v>121.1</v>
      </c>
      <c r="H341" s="55">
        <v>5745.4</v>
      </c>
      <c r="I341" s="55">
        <v>0</v>
      </c>
      <c r="J341" s="55">
        <v>5745.4</v>
      </c>
      <c r="K341" s="55">
        <v>78.2</v>
      </c>
      <c r="L341" s="55">
        <v>0</v>
      </c>
      <c r="M341" s="55">
        <v>59.4</v>
      </c>
      <c r="N341" s="55">
        <v>0</v>
      </c>
    </row>
    <row r="342" spans="1:14" ht="10.050000000000001" hidden="1" customHeight="1">
      <c r="A342" s="52" t="s">
        <v>173</v>
      </c>
      <c r="B342" s="53">
        <v>2002</v>
      </c>
      <c r="C342" s="52" t="s">
        <v>108</v>
      </c>
      <c r="D342" s="54">
        <v>5</v>
      </c>
      <c r="E342" s="55">
        <v>158878.20000000001</v>
      </c>
      <c r="F342" s="55">
        <v>1358.9</v>
      </c>
      <c r="G342" s="55">
        <v>160237.1</v>
      </c>
      <c r="H342" s="55">
        <v>1422607.2</v>
      </c>
      <c r="I342" s="55">
        <v>26518.799999999999</v>
      </c>
      <c r="J342" s="55">
        <v>1449126</v>
      </c>
      <c r="K342" s="55">
        <v>58323.199999999997</v>
      </c>
      <c r="L342" s="55">
        <v>6548.2</v>
      </c>
      <c r="M342" s="55">
        <v>78094.100000000006</v>
      </c>
      <c r="N342" s="55">
        <v>6093.9</v>
      </c>
    </row>
    <row r="343" spans="1:14" ht="10.050000000000001" customHeight="1">
      <c r="A343" s="52" t="s">
        <v>309</v>
      </c>
      <c r="B343" s="53">
        <v>2002</v>
      </c>
      <c r="C343" s="52" t="s">
        <v>108</v>
      </c>
      <c r="D343" s="54">
        <v>5</v>
      </c>
      <c r="E343" s="55">
        <v>25.1</v>
      </c>
      <c r="F343" s="55">
        <v>0</v>
      </c>
      <c r="G343" s="55">
        <v>25.1</v>
      </c>
      <c r="H343" s="55">
        <v>31136</v>
      </c>
      <c r="I343" s="55">
        <v>0</v>
      </c>
      <c r="J343" s="55">
        <v>31136</v>
      </c>
      <c r="K343" s="55">
        <v>0</v>
      </c>
      <c r="L343" s="55">
        <v>0</v>
      </c>
      <c r="M343" s="55">
        <v>0</v>
      </c>
      <c r="N343" s="55">
        <v>0</v>
      </c>
    </row>
    <row r="344" spans="1:14" ht="10.050000000000001" hidden="1" customHeight="1">
      <c r="A344" s="52" t="s">
        <v>316</v>
      </c>
      <c r="B344" s="53">
        <v>2002</v>
      </c>
      <c r="C344" s="52" t="s">
        <v>108</v>
      </c>
      <c r="D344" s="54">
        <v>5</v>
      </c>
      <c r="E344" s="55">
        <v>0</v>
      </c>
      <c r="F344" s="55">
        <v>0</v>
      </c>
      <c r="G344" s="55">
        <v>0</v>
      </c>
      <c r="H344" s="55">
        <v>2619.6</v>
      </c>
      <c r="I344" s="55">
        <v>0.5</v>
      </c>
      <c r="J344" s="55">
        <v>2620.1</v>
      </c>
      <c r="K344" s="55">
        <v>7.8</v>
      </c>
      <c r="L344" s="55">
        <v>0</v>
      </c>
      <c r="M344" s="55">
        <v>0</v>
      </c>
      <c r="N344" s="55">
        <v>0</v>
      </c>
    </row>
    <row r="345" spans="1:14" ht="10.050000000000001" hidden="1" customHeight="1">
      <c r="A345" s="52" t="s">
        <v>310</v>
      </c>
      <c r="B345" s="53">
        <v>2002</v>
      </c>
      <c r="C345" s="52" t="s">
        <v>108</v>
      </c>
      <c r="D345" s="54">
        <v>5</v>
      </c>
      <c r="E345" s="55">
        <v>470.7</v>
      </c>
      <c r="F345" s="55">
        <v>6.6</v>
      </c>
      <c r="G345" s="55">
        <v>477.3</v>
      </c>
      <c r="H345" s="55">
        <v>10474.4</v>
      </c>
      <c r="I345" s="55">
        <v>211.8</v>
      </c>
      <c r="J345" s="55">
        <v>10686.2</v>
      </c>
      <c r="K345" s="55">
        <v>247.4</v>
      </c>
      <c r="L345" s="55">
        <v>16.399999999999999</v>
      </c>
      <c r="M345" s="55">
        <v>107.5</v>
      </c>
      <c r="N345" s="55">
        <v>9.1</v>
      </c>
    </row>
    <row r="346" spans="1:14" ht="10.050000000000001" hidden="1" customHeight="1">
      <c r="A346" s="52" t="s">
        <v>308</v>
      </c>
      <c r="B346" s="53">
        <v>2002</v>
      </c>
      <c r="C346" s="52" t="s">
        <v>108</v>
      </c>
      <c r="D346" s="54">
        <v>5</v>
      </c>
      <c r="E346" s="55">
        <v>3520.6</v>
      </c>
      <c r="F346" s="55">
        <v>0</v>
      </c>
      <c r="G346" s="55">
        <v>3520.6</v>
      </c>
      <c r="H346" s="55">
        <v>31249.7</v>
      </c>
      <c r="I346" s="55">
        <v>252</v>
      </c>
      <c r="J346" s="55">
        <v>31501.7</v>
      </c>
      <c r="K346" s="55">
        <v>1103.8</v>
      </c>
      <c r="L346" s="55">
        <v>31</v>
      </c>
      <c r="M346" s="55">
        <v>2582.4</v>
      </c>
      <c r="N346" s="55">
        <v>836.9</v>
      </c>
    </row>
    <row r="347" spans="1:14" ht="10.050000000000001" hidden="1" customHeight="1">
      <c r="A347" s="52" t="s">
        <v>174</v>
      </c>
      <c r="B347" s="53">
        <v>2002</v>
      </c>
      <c r="C347" s="52" t="s">
        <v>108</v>
      </c>
      <c r="D347" s="54">
        <v>5</v>
      </c>
      <c r="E347" s="55">
        <v>1773.3</v>
      </c>
      <c r="F347" s="55">
        <v>-91</v>
      </c>
      <c r="G347" s="55">
        <v>1682.3</v>
      </c>
      <c r="H347" s="55">
        <v>20585.099999999999</v>
      </c>
      <c r="I347" s="55">
        <v>2243.6</v>
      </c>
      <c r="J347" s="55">
        <v>22828.7</v>
      </c>
      <c r="K347" s="55">
        <v>6863.6</v>
      </c>
      <c r="L347" s="55">
        <v>38.6</v>
      </c>
      <c r="M347" s="55">
        <v>823.4</v>
      </c>
      <c r="N347" s="55">
        <v>2350.3000000000002</v>
      </c>
    </row>
    <row r="348" spans="1:14" ht="10.050000000000001" hidden="1" customHeight="1">
      <c r="A348" s="52" t="s">
        <v>314</v>
      </c>
      <c r="B348" s="53">
        <v>2002</v>
      </c>
      <c r="C348" s="52" t="s">
        <v>108</v>
      </c>
      <c r="D348" s="54">
        <v>6</v>
      </c>
      <c r="E348" s="55">
        <v>2.2000000000000002</v>
      </c>
      <c r="F348" s="55">
        <v>0</v>
      </c>
      <c r="G348" s="55">
        <v>2.2000000000000002</v>
      </c>
      <c r="H348" s="55">
        <v>3</v>
      </c>
      <c r="I348" s="55">
        <v>0</v>
      </c>
      <c r="J348" s="55">
        <v>3</v>
      </c>
      <c r="K348" s="55">
        <v>0</v>
      </c>
      <c r="L348" s="55">
        <v>0</v>
      </c>
      <c r="M348" s="55">
        <v>0</v>
      </c>
      <c r="N348" s="55">
        <v>0</v>
      </c>
    </row>
    <row r="349" spans="1:14" ht="10.050000000000001" hidden="1" customHeight="1">
      <c r="A349" s="52" t="s">
        <v>306</v>
      </c>
      <c r="B349" s="53">
        <v>2002</v>
      </c>
      <c r="C349" s="52" t="s">
        <v>108</v>
      </c>
      <c r="D349" s="54">
        <v>6</v>
      </c>
      <c r="E349" s="55">
        <v>3148.5</v>
      </c>
      <c r="F349" s="55">
        <v>34.9</v>
      </c>
      <c r="G349" s="55">
        <v>3183.4</v>
      </c>
      <c r="H349" s="55">
        <v>31197.599999999999</v>
      </c>
      <c r="I349" s="55">
        <v>994.4</v>
      </c>
      <c r="J349" s="55">
        <v>32192</v>
      </c>
      <c r="K349" s="55">
        <v>947.3</v>
      </c>
      <c r="L349" s="55">
        <v>293</v>
      </c>
      <c r="M349" s="55">
        <v>459.1</v>
      </c>
      <c r="N349" s="55">
        <v>1003.7</v>
      </c>
    </row>
    <row r="350" spans="1:14" ht="10.050000000000001" hidden="1" customHeight="1">
      <c r="A350" s="52" t="s">
        <v>172</v>
      </c>
      <c r="B350" s="53">
        <v>2002</v>
      </c>
      <c r="C350" s="52" t="s">
        <v>108</v>
      </c>
      <c r="D350" s="54">
        <v>6</v>
      </c>
      <c r="E350" s="55">
        <v>8538.9</v>
      </c>
      <c r="F350" s="55">
        <v>0</v>
      </c>
      <c r="G350" s="55">
        <v>8538.9</v>
      </c>
      <c r="H350" s="55">
        <v>63466.7</v>
      </c>
      <c r="I350" s="55">
        <v>4957.1000000000004</v>
      </c>
      <c r="J350" s="55">
        <v>68423.8</v>
      </c>
      <c r="K350" s="55">
        <v>317.39999999999998</v>
      </c>
      <c r="L350" s="55">
        <v>-6.5</v>
      </c>
      <c r="M350" s="55">
        <v>2654.8</v>
      </c>
      <c r="N350" s="55">
        <v>29.6</v>
      </c>
    </row>
    <row r="351" spans="1:14" ht="10.050000000000001" hidden="1" customHeight="1">
      <c r="A351" s="52" t="s">
        <v>171</v>
      </c>
      <c r="B351" s="53">
        <v>2002</v>
      </c>
      <c r="C351" s="52" t="s">
        <v>108</v>
      </c>
      <c r="D351" s="54">
        <v>6</v>
      </c>
      <c r="E351" s="55">
        <v>624747.30000000005</v>
      </c>
      <c r="F351" s="55">
        <v>1062.2</v>
      </c>
      <c r="G351" s="55">
        <v>625809.5</v>
      </c>
      <c r="H351" s="55">
        <v>1821921.4</v>
      </c>
      <c r="I351" s="55">
        <v>33387.300000000003</v>
      </c>
      <c r="J351" s="55">
        <v>1855308.7</v>
      </c>
      <c r="K351" s="55">
        <v>33359.599999999999</v>
      </c>
      <c r="L351" s="55">
        <v>18717</v>
      </c>
      <c r="M351" s="55">
        <v>221701</v>
      </c>
      <c r="N351" s="55">
        <v>31411.9</v>
      </c>
    </row>
    <row r="352" spans="1:14" ht="10.050000000000001" hidden="1" customHeight="1">
      <c r="A352" s="52" t="s">
        <v>300</v>
      </c>
      <c r="B352" s="53">
        <v>2002</v>
      </c>
      <c r="C352" s="52" t="s">
        <v>108</v>
      </c>
      <c r="D352" s="54">
        <v>6</v>
      </c>
      <c r="E352" s="55">
        <v>11.3</v>
      </c>
      <c r="F352" s="55">
        <v>18.7</v>
      </c>
      <c r="G352" s="55">
        <v>30</v>
      </c>
      <c r="H352" s="55">
        <v>105.2</v>
      </c>
      <c r="I352" s="55">
        <v>0.2</v>
      </c>
      <c r="J352" s="55">
        <v>105.4</v>
      </c>
      <c r="K352" s="55">
        <v>0</v>
      </c>
      <c r="L352" s="55">
        <v>0</v>
      </c>
      <c r="M352" s="55">
        <v>0</v>
      </c>
      <c r="N352" s="55">
        <v>0</v>
      </c>
    </row>
    <row r="353" spans="1:14" ht="10.050000000000001" hidden="1" customHeight="1">
      <c r="A353" s="52" t="s">
        <v>307</v>
      </c>
      <c r="B353" s="53">
        <v>2002</v>
      </c>
      <c r="C353" s="52" t="s">
        <v>108</v>
      </c>
      <c r="D353" s="54">
        <v>6</v>
      </c>
      <c r="E353" s="55">
        <v>629679</v>
      </c>
      <c r="F353" s="55">
        <v>121.4</v>
      </c>
      <c r="G353" s="55">
        <v>629800.4</v>
      </c>
      <c r="H353" s="55">
        <v>2183233.2000000002</v>
      </c>
      <c r="I353" s="55">
        <v>24447.599999999999</v>
      </c>
      <c r="J353" s="55">
        <v>2207680.7999999998</v>
      </c>
      <c r="K353" s="55">
        <v>193592.1</v>
      </c>
      <c r="L353" s="55">
        <v>27913.4</v>
      </c>
      <c r="M353" s="55">
        <v>328705.5</v>
      </c>
      <c r="N353" s="55">
        <v>48314.5</v>
      </c>
    </row>
    <row r="354" spans="1:14" ht="10.050000000000001" hidden="1" customHeight="1">
      <c r="A354" s="52" t="s">
        <v>315</v>
      </c>
      <c r="B354" s="53">
        <v>2002</v>
      </c>
      <c r="C354" s="52" t="s">
        <v>108</v>
      </c>
      <c r="D354" s="54">
        <v>6</v>
      </c>
      <c r="E354" s="55">
        <v>1526</v>
      </c>
      <c r="F354" s="55">
        <v>0</v>
      </c>
      <c r="G354" s="55">
        <v>1526</v>
      </c>
      <c r="H354" s="55">
        <v>4780.8</v>
      </c>
      <c r="I354" s="55">
        <v>0</v>
      </c>
      <c r="J354" s="55">
        <v>4780.8</v>
      </c>
      <c r="K354" s="55">
        <v>0</v>
      </c>
      <c r="L354" s="55">
        <v>0</v>
      </c>
      <c r="M354" s="55">
        <v>78.2</v>
      </c>
      <c r="N354" s="55">
        <v>0</v>
      </c>
    </row>
    <row r="355" spans="1:14" ht="10.050000000000001" hidden="1" customHeight="1">
      <c r="A355" s="52" t="s">
        <v>173</v>
      </c>
      <c r="B355" s="53">
        <v>2002</v>
      </c>
      <c r="C355" s="52" t="s">
        <v>108</v>
      </c>
      <c r="D355" s="54">
        <v>6</v>
      </c>
      <c r="E355" s="55">
        <v>99176.000000000102</v>
      </c>
      <c r="F355" s="55">
        <v>1278.0999999999999</v>
      </c>
      <c r="G355" s="55">
        <v>100454.1</v>
      </c>
      <c r="H355" s="55">
        <v>760155.7</v>
      </c>
      <c r="I355" s="55">
        <v>11958.8</v>
      </c>
      <c r="J355" s="55">
        <v>772114.5</v>
      </c>
      <c r="K355" s="55">
        <v>14613.8</v>
      </c>
      <c r="L355" s="55">
        <v>5361.6</v>
      </c>
      <c r="M355" s="55">
        <v>38314.699999999997</v>
      </c>
      <c r="N355" s="55">
        <v>10909.9</v>
      </c>
    </row>
    <row r="356" spans="1:14" ht="10.050000000000001" customHeight="1">
      <c r="A356" s="52" t="s">
        <v>309</v>
      </c>
      <c r="B356" s="53">
        <v>2002</v>
      </c>
      <c r="C356" s="52" t="s">
        <v>108</v>
      </c>
      <c r="D356" s="54">
        <v>6</v>
      </c>
      <c r="E356" s="55">
        <v>34.1</v>
      </c>
      <c r="F356" s="55">
        <v>0</v>
      </c>
      <c r="G356" s="55">
        <v>34.1</v>
      </c>
      <c r="H356" s="55">
        <v>25593.3</v>
      </c>
      <c r="I356" s="55">
        <v>0</v>
      </c>
      <c r="J356" s="55">
        <v>25593.3</v>
      </c>
      <c r="K356" s="55">
        <v>0</v>
      </c>
      <c r="L356" s="55">
        <v>0</v>
      </c>
      <c r="M356" s="55">
        <v>0</v>
      </c>
      <c r="N356" s="55">
        <v>0</v>
      </c>
    </row>
    <row r="357" spans="1:14" ht="10.050000000000001" hidden="1" customHeight="1">
      <c r="A357" s="52" t="s">
        <v>316</v>
      </c>
      <c r="B357" s="53">
        <v>2002</v>
      </c>
      <c r="C357" s="52" t="s">
        <v>108</v>
      </c>
      <c r="D357" s="54">
        <v>6</v>
      </c>
      <c r="E357" s="55">
        <v>31.8</v>
      </c>
      <c r="F357" s="55">
        <v>0</v>
      </c>
      <c r="G357" s="55">
        <v>31.8</v>
      </c>
      <c r="H357" s="55">
        <v>1837.7</v>
      </c>
      <c r="I357" s="55">
        <v>0</v>
      </c>
      <c r="J357" s="55">
        <v>1837.7</v>
      </c>
      <c r="K357" s="55">
        <v>0</v>
      </c>
      <c r="L357" s="55">
        <v>0</v>
      </c>
      <c r="M357" s="55">
        <v>7.8</v>
      </c>
      <c r="N357" s="55">
        <v>0</v>
      </c>
    </row>
    <row r="358" spans="1:14" ht="10.050000000000001" hidden="1" customHeight="1">
      <c r="A358" s="52" t="s">
        <v>310</v>
      </c>
      <c r="B358" s="53">
        <v>2002</v>
      </c>
      <c r="C358" s="52" t="s">
        <v>108</v>
      </c>
      <c r="D358" s="54">
        <v>6</v>
      </c>
      <c r="E358" s="55">
        <v>709.8</v>
      </c>
      <c r="F358" s="55">
        <v>0</v>
      </c>
      <c r="G358" s="55">
        <v>709.8</v>
      </c>
      <c r="H358" s="55">
        <v>6172.6</v>
      </c>
      <c r="I358" s="55">
        <v>145.4</v>
      </c>
      <c r="J358" s="55">
        <v>6318</v>
      </c>
      <c r="K358" s="55">
        <v>67.8</v>
      </c>
      <c r="L358" s="55">
        <v>2.5</v>
      </c>
      <c r="M358" s="55">
        <v>156.30000000000001</v>
      </c>
      <c r="N358" s="55">
        <v>25.8</v>
      </c>
    </row>
    <row r="359" spans="1:14" ht="10.050000000000001" hidden="1" customHeight="1">
      <c r="A359" s="52" t="s">
        <v>308</v>
      </c>
      <c r="B359" s="53">
        <v>2002</v>
      </c>
      <c r="C359" s="52" t="s">
        <v>108</v>
      </c>
      <c r="D359" s="54">
        <v>6</v>
      </c>
      <c r="E359" s="55">
        <v>960</v>
      </c>
      <c r="F359" s="55">
        <v>0</v>
      </c>
      <c r="G359" s="55">
        <v>960</v>
      </c>
      <c r="H359" s="55">
        <v>16824.5</v>
      </c>
      <c r="I359" s="55">
        <v>229.7</v>
      </c>
      <c r="J359" s="55">
        <v>17054.2</v>
      </c>
      <c r="K359" s="55">
        <v>342.2</v>
      </c>
      <c r="L359" s="55">
        <v>-59.8</v>
      </c>
      <c r="M359" s="55">
        <v>452.8</v>
      </c>
      <c r="N359" s="55">
        <v>249</v>
      </c>
    </row>
    <row r="360" spans="1:14" ht="10.050000000000001" hidden="1" customHeight="1">
      <c r="A360" s="52" t="s">
        <v>174</v>
      </c>
      <c r="B360" s="53">
        <v>2002</v>
      </c>
      <c r="C360" s="52" t="s">
        <v>108</v>
      </c>
      <c r="D360" s="54">
        <v>6</v>
      </c>
      <c r="E360" s="55">
        <v>3636.3</v>
      </c>
      <c r="F360" s="55">
        <v>10.199999999999999</v>
      </c>
      <c r="G360" s="55">
        <v>3646.5</v>
      </c>
      <c r="H360" s="55">
        <v>8448.6</v>
      </c>
      <c r="I360" s="55">
        <v>1841.9</v>
      </c>
      <c r="J360" s="55">
        <v>10290.5</v>
      </c>
      <c r="K360" s="55">
        <v>4167.7</v>
      </c>
      <c r="L360" s="55">
        <v>247.4</v>
      </c>
      <c r="M360" s="55">
        <v>1409.8</v>
      </c>
      <c r="N360" s="55">
        <v>1533.2</v>
      </c>
    </row>
    <row r="361" spans="1:14" ht="10.050000000000001" hidden="1" customHeight="1">
      <c r="A361" s="52" t="s">
        <v>314</v>
      </c>
      <c r="B361" s="53">
        <v>2002</v>
      </c>
      <c r="C361" s="52" t="s">
        <v>109</v>
      </c>
      <c r="D361" s="54">
        <v>7</v>
      </c>
      <c r="E361" s="55">
        <v>13.5</v>
      </c>
      <c r="F361" s="55">
        <v>0</v>
      </c>
      <c r="G361" s="55">
        <v>13.5</v>
      </c>
      <c r="H361" s="55">
        <v>16.5</v>
      </c>
      <c r="I361" s="55">
        <v>0</v>
      </c>
      <c r="J361" s="55">
        <v>16.5</v>
      </c>
      <c r="K361" s="55">
        <v>0</v>
      </c>
      <c r="L361" s="55">
        <v>0</v>
      </c>
      <c r="M361" s="55">
        <v>0</v>
      </c>
      <c r="N361" s="55">
        <v>0</v>
      </c>
    </row>
    <row r="362" spans="1:14" ht="10.050000000000001" hidden="1" customHeight="1">
      <c r="A362" s="52" t="s">
        <v>306</v>
      </c>
      <c r="B362" s="53">
        <v>2002</v>
      </c>
      <c r="C362" s="52" t="s">
        <v>109</v>
      </c>
      <c r="D362" s="54">
        <v>7</v>
      </c>
      <c r="E362" s="55">
        <v>155689.1</v>
      </c>
      <c r="F362" s="55">
        <v>3815.5</v>
      </c>
      <c r="G362" s="55">
        <v>159504.6</v>
      </c>
      <c r="H362" s="55">
        <v>174133</v>
      </c>
      <c r="I362" s="55">
        <v>4017.6</v>
      </c>
      <c r="J362" s="55">
        <v>178150.6</v>
      </c>
      <c r="K362" s="55">
        <v>26506.400000000001</v>
      </c>
      <c r="L362" s="55">
        <v>27269.3</v>
      </c>
      <c r="M362" s="55">
        <v>1443.6</v>
      </c>
      <c r="N362" s="55">
        <v>266.60000000000002</v>
      </c>
    </row>
    <row r="363" spans="1:14" ht="10.050000000000001" hidden="1" customHeight="1">
      <c r="A363" s="52" t="s">
        <v>172</v>
      </c>
      <c r="B363" s="53">
        <v>2002</v>
      </c>
      <c r="C363" s="52" t="s">
        <v>109</v>
      </c>
      <c r="D363" s="54">
        <v>7</v>
      </c>
      <c r="E363" s="55">
        <v>764161.7</v>
      </c>
      <c r="F363" s="55">
        <v>32612.7</v>
      </c>
      <c r="G363" s="55">
        <v>796774.40000000002</v>
      </c>
      <c r="H363" s="55">
        <v>714678.9</v>
      </c>
      <c r="I363" s="55">
        <v>37917.5</v>
      </c>
      <c r="J363" s="55">
        <v>752596.4</v>
      </c>
      <c r="K363" s="55">
        <v>172609.5</v>
      </c>
      <c r="L363" s="55">
        <v>175254.5</v>
      </c>
      <c r="M363" s="55">
        <v>1732</v>
      </c>
      <c r="N363" s="55">
        <v>1230.4000000000001</v>
      </c>
    </row>
    <row r="364" spans="1:14" ht="10.050000000000001" hidden="1" customHeight="1">
      <c r="A364" s="52" t="s">
        <v>171</v>
      </c>
      <c r="B364" s="53">
        <v>2002</v>
      </c>
      <c r="C364" s="52" t="s">
        <v>109</v>
      </c>
      <c r="D364" s="54">
        <v>7</v>
      </c>
      <c r="E364" s="55">
        <v>12488064.9</v>
      </c>
      <c r="F364" s="55">
        <v>138247.1</v>
      </c>
      <c r="G364" s="55">
        <v>12626312</v>
      </c>
      <c r="H364" s="55">
        <v>12108000.9</v>
      </c>
      <c r="I364" s="55">
        <v>161385.1</v>
      </c>
      <c r="J364" s="55">
        <v>12269386</v>
      </c>
      <c r="K364" s="55">
        <v>2785233.9</v>
      </c>
      <c r="L364" s="55">
        <v>2876241.2</v>
      </c>
      <c r="M364" s="55">
        <v>113289.1</v>
      </c>
      <c r="N364" s="55">
        <v>10818.3</v>
      </c>
    </row>
    <row r="365" spans="1:14" ht="10.050000000000001" hidden="1" customHeight="1">
      <c r="A365" s="52" t="s">
        <v>300</v>
      </c>
      <c r="B365" s="53">
        <v>2002</v>
      </c>
      <c r="C365" s="52" t="s">
        <v>109</v>
      </c>
      <c r="D365" s="54">
        <v>7</v>
      </c>
      <c r="E365" s="55">
        <v>114.9</v>
      </c>
      <c r="F365" s="55">
        <v>10.4</v>
      </c>
      <c r="G365" s="55">
        <v>125.3</v>
      </c>
      <c r="H365" s="55">
        <v>150.9</v>
      </c>
      <c r="I365" s="55">
        <v>10.6</v>
      </c>
      <c r="J365" s="55">
        <v>161.5</v>
      </c>
      <c r="K365" s="55">
        <v>0</v>
      </c>
      <c r="L365" s="55">
        <v>0</v>
      </c>
      <c r="M365" s="55">
        <v>0</v>
      </c>
      <c r="N365" s="55">
        <v>0</v>
      </c>
    </row>
    <row r="366" spans="1:14" ht="10.050000000000001" hidden="1" customHeight="1">
      <c r="A366" s="52" t="s">
        <v>307</v>
      </c>
      <c r="B366" s="53">
        <v>2002</v>
      </c>
      <c r="C366" s="52" t="s">
        <v>109</v>
      </c>
      <c r="D366" s="54">
        <v>7</v>
      </c>
      <c r="E366" s="55">
        <v>185159.5</v>
      </c>
      <c r="F366" s="55">
        <v>8.6999999999999993</v>
      </c>
      <c r="G366" s="55">
        <v>185168.2</v>
      </c>
      <c r="H366" s="55">
        <v>1408211.8</v>
      </c>
      <c r="I366" s="55">
        <v>23712.1</v>
      </c>
      <c r="J366" s="55">
        <v>1431923.9</v>
      </c>
      <c r="K366" s="55">
        <v>127984.1</v>
      </c>
      <c r="L366" s="55">
        <v>20384.099999999999</v>
      </c>
      <c r="M366" s="55">
        <v>52411.3</v>
      </c>
      <c r="N366" s="55">
        <v>33440.1</v>
      </c>
    </row>
    <row r="367" spans="1:14" ht="10.050000000000001" hidden="1" customHeight="1">
      <c r="A367" s="52" t="s">
        <v>315</v>
      </c>
      <c r="B367" s="53">
        <v>2002</v>
      </c>
      <c r="C367" s="52" t="s">
        <v>109</v>
      </c>
      <c r="D367" s="54">
        <v>7</v>
      </c>
      <c r="E367" s="55">
        <v>177.4</v>
      </c>
      <c r="F367" s="55">
        <v>0</v>
      </c>
      <c r="G367" s="55">
        <v>177.4</v>
      </c>
      <c r="H367" s="55">
        <v>4118.8</v>
      </c>
      <c r="I367" s="55">
        <v>0</v>
      </c>
      <c r="J367" s="55">
        <v>4118.8</v>
      </c>
      <c r="K367" s="55">
        <v>0</v>
      </c>
      <c r="L367" s="55">
        <v>0</v>
      </c>
      <c r="M367" s="55">
        <v>0</v>
      </c>
      <c r="N367" s="55">
        <v>0</v>
      </c>
    </row>
    <row r="368" spans="1:14" ht="10.050000000000001" hidden="1" customHeight="1">
      <c r="A368" s="52" t="s">
        <v>173</v>
      </c>
      <c r="B368" s="53">
        <v>2002</v>
      </c>
      <c r="C368" s="52" t="s">
        <v>109</v>
      </c>
      <c r="D368" s="54">
        <v>7</v>
      </c>
      <c r="E368" s="55">
        <v>5733543.7000000002</v>
      </c>
      <c r="F368" s="55">
        <v>128383</v>
      </c>
      <c r="G368" s="55">
        <v>5861926.7000000002</v>
      </c>
      <c r="H368" s="55">
        <v>5757714.7999999998</v>
      </c>
      <c r="I368" s="55">
        <v>104319.4</v>
      </c>
      <c r="J368" s="55">
        <v>5862034.2000000002</v>
      </c>
      <c r="K368" s="55">
        <v>976540</v>
      </c>
      <c r="L368" s="55">
        <v>1422776.8</v>
      </c>
      <c r="M368" s="55">
        <v>453876.9</v>
      </c>
      <c r="N368" s="55">
        <v>6746.3</v>
      </c>
    </row>
    <row r="369" spans="1:14" ht="10.050000000000001" customHeight="1">
      <c r="A369" s="52" t="s">
        <v>309</v>
      </c>
      <c r="B369" s="53">
        <v>2002</v>
      </c>
      <c r="C369" s="52" t="s">
        <v>109</v>
      </c>
      <c r="D369" s="54">
        <v>7</v>
      </c>
      <c r="E369" s="55">
        <v>1059</v>
      </c>
      <c r="F369" s="55">
        <v>0</v>
      </c>
      <c r="G369" s="55">
        <v>1059</v>
      </c>
      <c r="H369" s="55">
        <v>22477.599999999999</v>
      </c>
      <c r="I369" s="55">
        <v>0</v>
      </c>
      <c r="J369" s="55">
        <v>22477.599999999999</v>
      </c>
      <c r="K369" s="55">
        <v>0</v>
      </c>
      <c r="L369" s="55">
        <v>0</v>
      </c>
      <c r="M369" s="55">
        <v>0</v>
      </c>
      <c r="N369" s="55">
        <v>0</v>
      </c>
    </row>
    <row r="370" spans="1:14" ht="10.050000000000001" hidden="1" customHeight="1">
      <c r="A370" s="52" t="s">
        <v>316</v>
      </c>
      <c r="B370" s="53">
        <v>2002</v>
      </c>
      <c r="C370" s="52" t="s">
        <v>109</v>
      </c>
      <c r="D370" s="54">
        <v>7</v>
      </c>
      <c r="E370" s="55">
        <v>55.7</v>
      </c>
      <c r="F370" s="55">
        <v>25.7</v>
      </c>
      <c r="G370" s="55">
        <v>81.400000000000006</v>
      </c>
      <c r="H370" s="55">
        <v>2152</v>
      </c>
      <c r="I370" s="55">
        <v>0</v>
      </c>
      <c r="J370" s="55">
        <v>2152</v>
      </c>
      <c r="K370" s="55">
        <v>0</v>
      </c>
      <c r="L370" s="55">
        <v>0</v>
      </c>
      <c r="M370" s="55">
        <v>0</v>
      </c>
      <c r="N370" s="55">
        <v>0</v>
      </c>
    </row>
    <row r="371" spans="1:14" ht="10.050000000000001" hidden="1" customHeight="1">
      <c r="A371" s="52" t="s">
        <v>310</v>
      </c>
      <c r="B371" s="53">
        <v>2002</v>
      </c>
      <c r="C371" s="52" t="s">
        <v>109</v>
      </c>
      <c r="D371" s="54">
        <v>7</v>
      </c>
      <c r="E371" s="55">
        <v>18763</v>
      </c>
      <c r="F371" s="55">
        <v>174.4</v>
      </c>
      <c r="G371" s="55">
        <v>18937.400000000001</v>
      </c>
      <c r="H371" s="55">
        <v>22543.5</v>
      </c>
      <c r="I371" s="55">
        <v>319.89999999999998</v>
      </c>
      <c r="J371" s="55">
        <v>22863.4</v>
      </c>
      <c r="K371" s="55">
        <v>5506.8</v>
      </c>
      <c r="L371" s="55">
        <v>5478.7</v>
      </c>
      <c r="M371" s="55">
        <v>37.799999999999997</v>
      </c>
      <c r="N371" s="55">
        <v>1.9</v>
      </c>
    </row>
    <row r="372" spans="1:14" ht="10.050000000000001" hidden="1" customHeight="1">
      <c r="A372" s="52" t="s">
        <v>308</v>
      </c>
      <c r="B372" s="53">
        <v>2002</v>
      </c>
      <c r="C372" s="52" t="s">
        <v>109</v>
      </c>
      <c r="D372" s="54">
        <v>7</v>
      </c>
      <c r="E372" s="55">
        <v>183.2</v>
      </c>
      <c r="F372" s="55">
        <v>0</v>
      </c>
      <c r="G372" s="55">
        <v>183.2</v>
      </c>
      <c r="H372" s="55">
        <v>9867.1</v>
      </c>
      <c r="I372" s="55">
        <v>229.7</v>
      </c>
      <c r="J372" s="55">
        <v>10096.799999999999</v>
      </c>
      <c r="K372" s="55">
        <v>259.89999999999998</v>
      </c>
      <c r="L372" s="55">
        <v>3</v>
      </c>
      <c r="M372" s="55">
        <v>0.4</v>
      </c>
      <c r="N372" s="55">
        <v>84.9</v>
      </c>
    </row>
    <row r="373" spans="1:14" ht="10.050000000000001" hidden="1" customHeight="1">
      <c r="A373" s="52" t="s">
        <v>174</v>
      </c>
      <c r="B373" s="53">
        <v>2002</v>
      </c>
      <c r="C373" s="52" t="s">
        <v>109</v>
      </c>
      <c r="D373" s="54">
        <v>7</v>
      </c>
      <c r="E373" s="55">
        <v>185494</v>
      </c>
      <c r="F373" s="55">
        <v>12038</v>
      </c>
      <c r="G373" s="55">
        <v>197532</v>
      </c>
      <c r="H373" s="55">
        <v>167851.7</v>
      </c>
      <c r="I373" s="55">
        <v>14824</v>
      </c>
      <c r="J373" s="55">
        <v>182675.7</v>
      </c>
      <c r="K373" s="55">
        <v>29554.1</v>
      </c>
      <c r="L373" s="55">
        <v>27128.400000000001</v>
      </c>
      <c r="M373" s="55">
        <v>1066.4000000000001</v>
      </c>
      <c r="N373" s="55">
        <v>699.4</v>
      </c>
    </row>
    <row r="374" spans="1:14" ht="10.050000000000001" hidden="1" customHeight="1">
      <c r="A374" s="52" t="s">
        <v>314</v>
      </c>
      <c r="B374" s="53">
        <v>2002</v>
      </c>
      <c r="C374" s="52" t="s">
        <v>109</v>
      </c>
      <c r="D374" s="54">
        <v>8</v>
      </c>
      <c r="E374" s="55">
        <v>73.5</v>
      </c>
      <c r="F374" s="55">
        <v>0</v>
      </c>
      <c r="G374" s="55">
        <v>73.5</v>
      </c>
      <c r="H374" s="55">
        <v>90</v>
      </c>
      <c r="I374" s="55">
        <v>0</v>
      </c>
      <c r="J374" s="55">
        <v>90</v>
      </c>
      <c r="K374" s="55">
        <v>0</v>
      </c>
      <c r="L374" s="55">
        <v>0</v>
      </c>
      <c r="M374" s="55">
        <v>0</v>
      </c>
      <c r="N374" s="55">
        <v>0</v>
      </c>
    </row>
    <row r="375" spans="1:14" ht="10.050000000000001" hidden="1" customHeight="1">
      <c r="A375" s="52" t="s">
        <v>306</v>
      </c>
      <c r="B375" s="53">
        <v>2002</v>
      </c>
      <c r="C375" s="52" t="s">
        <v>109</v>
      </c>
      <c r="D375" s="54">
        <v>8</v>
      </c>
      <c r="E375" s="55">
        <v>102309.6</v>
      </c>
      <c r="F375" s="55">
        <v>3989.8</v>
      </c>
      <c r="G375" s="55">
        <v>106299.4</v>
      </c>
      <c r="H375" s="55">
        <v>258804.6</v>
      </c>
      <c r="I375" s="55">
        <v>6249</v>
      </c>
      <c r="J375" s="55">
        <v>265053.59999999998</v>
      </c>
      <c r="K375" s="55">
        <v>30792.5</v>
      </c>
      <c r="L375" s="55">
        <v>13031.3</v>
      </c>
      <c r="M375" s="55">
        <v>7922.2</v>
      </c>
      <c r="N375" s="55">
        <v>410.1</v>
      </c>
    </row>
    <row r="376" spans="1:14" ht="10.050000000000001" hidden="1" customHeight="1">
      <c r="A376" s="52" t="s">
        <v>172</v>
      </c>
      <c r="B376" s="53">
        <v>2002</v>
      </c>
      <c r="C376" s="52" t="s">
        <v>109</v>
      </c>
      <c r="D376" s="54">
        <v>8</v>
      </c>
      <c r="E376" s="55">
        <v>79246.8</v>
      </c>
      <c r="F376" s="55">
        <v>20877.400000000001</v>
      </c>
      <c r="G376" s="55">
        <v>100124.2</v>
      </c>
      <c r="H376" s="55">
        <v>675118.8</v>
      </c>
      <c r="I376" s="55">
        <v>39655.300000000003</v>
      </c>
      <c r="J376" s="55">
        <v>714774.1</v>
      </c>
      <c r="K376" s="55">
        <v>170743.8</v>
      </c>
      <c r="L376" s="55">
        <v>17282.5</v>
      </c>
      <c r="M376" s="55">
        <v>18819.8</v>
      </c>
      <c r="N376" s="55">
        <v>303.89999999999998</v>
      </c>
    </row>
    <row r="377" spans="1:14" ht="10.050000000000001" hidden="1" customHeight="1">
      <c r="A377" s="52" t="s">
        <v>171</v>
      </c>
      <c r="B377" s="53">
        <v>2002</v>
      </c>
      <c r="C377" s="52" t="s">
        <v>109</v>
      </c>
      <c r="D377" s="54">
        <v>8</v>
      </c>
      <c r="E377" s="55">
        <v>5703087.0000000102</v>
      </c>
      <c r="F377" s="55">
        <v>182580.6</v>
      </c>
      <c r="G377" s="55">
        <v>5885667.6000000099</v>
      </c>
      <c r="H377" s="55">
        <v>15175656.6</v>
      </c>
      <c r="I377" s="55">
        <v>245157</v>
      </c>
      <c r="J377" s="55">
        <v>15420813.6</v>
      </c>
      <c r="K377" s="55">
        <v>3953659.6</v>
      </c>
      <c r="L377" s="55">
        <v>1741577</v>
      </c>
      <c r="M377" s="55">
        <v>420162.3</v>
      </c>
      <c r="N377" s="55">
        <v>21856.5</v>
      </c>
    </row>
    <row r="378" spans="1:14" ht="10.050000000000001" hidden="1" customHeight="1">
      <c r="A378" s="52" t="s">
        <v>300</v>
      </c>
      <c r="B378" s="53">
        <v>2002</v>
      </c>
      <c r="C378" s="52" t="s">
        <v>109</v>
      </c>
      <c r="D378" s="54">
        <v>8</v>
      </c>
      <c r="E378" s="55">
        <v>399.1</v>
      </c>
      <c r="F378" s="55">
        <v>54.2</v>
      </c>
      <c r="G378" s="55">
        <v>453.3</v>
      </c>
      <c r="H378" s="55">
        <v>501.4</v>
      </c>
      <c r="I378" s="55">
        <v>63.6</v>
      </c>
      <c r="J378" s="55">
        <v>565</v>
      </c>
      <c r="K378" s="55">
        <v>0</v>
      </c>
      <c r="L378" s="55">
        <v>0</v>
      </c>
      <c r="M378" s="55">
        <v>0</v>
      </c>
      <c r="N378" s="55">
        <v>0</v>
      </c>
    </row>
    <row r="379" spans="1:14" ht="10.050000000000001" hidden="1" customHeight="1">
      <c r="A379" s="52" t="s">
        <v>307</v>
      </c>
      <c r="B379" s="53">
        <v>2002</v>
      </c>
      <c r="C379" s="52" t="s">
        <v>109</v>
      </c>
      <c r="D379" s="54">
        <v>8</v>
      </c>
      <c r="E379" s="55">
        <v>139516.79999999999</v>
      </c>
      <c r="F379" s="55">
        <v>0</v>
      </c>
      <c r="G379" s="55">
        <v>139516.79999999999</v>
      </c>
      <c r="H379" s="55">
        <v>617709.69999999995</v>
      </c>
      <c r="I379" s="55">
        <v>21793.599999999999</v>
      </c>
      <c r="J379" s="55">
        <v>639503.30000000005</v>
      </c>
      <c r="K379" s="55">
        <v>71884.2</v>
      </c>
      <c r="L379" s="55">
        <v>6774.3</v>
      </c>
      <c r="M379" s="55">
        <v>38195.800000000003</v>
      </c>
      <c r="N379" s="55">
        <v>24710.400000000001</v>
      </c>
    </row>
    <row r="380" spans="1:14" ht="10.050000000000001" hidden="1" customHeight="1">
      <c r="A380" s="52" t="s">
        <v>315</v>
      </c>
      <c r="B380" s="53">
        <v>2002</v>
      </c>
      <c r="C380" s="52" t="s">
        <v>109</v>
      </c>
      <c r="D380" s="54">
        <v>8</v>
      </c>
      <c r="E380" s="55">
        <v>402.5</v>
      </c>
      <c r="F380" s="55">
        <v>0</v>
      </c>
      <c r="G380" s="55">
        <v>402.5</v>
      </c>
      <c r="H380" s="55">
        <v>4019.7</v>
      </c>
      <c r="I380" s="55">
        <v>0</v>
      </c>
      <c r="J380" s="55">
        <v>4019.7</v>
      </c>
      <c r="K380" s="55">
        <v>0</v>
      </c>
      <c r="L380" s="55">
        <v>0</v>
      </c>
      <c r="M380" s="55">
        <v>0</v>
      </c>
      <c r="N380" s="55">
        <v>0</v>
      </c>
    </row>
    <row r="381" spans="1:14" ht="10.050000000000001" hidden="1" customHeight="1">
      <c r="A381" s="52" t="s">
        <v>173</v>
      </c>
      <c r="B381" s="53">
        <v>2002</v>
      </c>
      <c r="C381" s="52" t="s">
        <v>109</v>
      </c>
      <c r="D381" s="54">
        <v>8</v>
      </c>
      <c r="E381" s="55">
        <v>548995.9</v>
      </c>
      <c r="F381" s="55">
        <v>20747.5</v>
      </c>
      <c r="G381" s="55">
        <v>569743.4</v>
      </c>
      <c r="H381" s="55">
        <v>5834596.2000000002</v>
      </c>
      <c r="I381" s="55">
        <v>96544</v>
      </c>
      <c r="J381" s="55">
        <v>5931140.2000000002</v>
      </c>
      <c r="K381" s="55">
        <v>852978.8</v>
      </c>
      <c r="L381" s="55">
        <v>81340.899999999994</v>
      </c>
      <c r="M381" s="55">
        <v>170036.1</v>
      </c>
      <c r="N381" s="55">
        <v>7705</v>
      </c>
    </row>
    <row r="382" spans="1:14" ht="10.050000000000001" customHeight="1">
      <c r="A382" s="52" t="s">
        <v>309</v>
      </c>
      <c r="B382" s="53">
        <v>2002</v>
      </c>
      <c r="C382" s="52" t="s">
        <v>109</v>
      </c>
      <c r="D382" s="54">
        <v>8</v>
      </c>
      <c r="E382" s="55">
        <v>0</v>
      </c>
      <c r="F382" s="55">
        <v>0</v>
      </c>
      <c r="G382" s="55">
        <v>0</v>
      </c>
      <c r="H382" s="55">
        <v>2323</v>
      </c>
      <c r="I382" s="55">
        <v>0</v>
      </c>
      <c r="J382" s="55">
        <v>2323</v>
      </c>
      <c r="K382" s="55">
        <v>0</v>
      </c>
      <c r="L382" s="55">
        <v>0</v>
      </c>
      <c r="M382" s="55">
        <v>0</v>
      </c>
      <c r="N382" s="55">
        <v>0</v>
      </c>
    </row>
    <row r="383" spans="1:14" ht="10.050000000000001" hidden="1" customHeight="1">
      <c r="A383" s="52" t="s">
        <v>316</v>
      </c>
      <c r="B383" s="53">
        <v>2002</v>
      </c>
      <c r="C383" s="52" t="s">
        <v>109</v>
      </c>
      <c r="D383" s="54">
        <v>8</v>
      </c>
      <c r="E383" s="55">
        <v>0</v>
      </c>
      <c r="F383" s="55">
        <v>0</v>
      </c>
      <c r="G383" s="55">
        <v>0</v>
      </c>
      <c r="H383" s="55">
        <v>2002.4</v>
      </c>
      <c r="I383" s="55">
        <v>0</v>
      </c>
      <c r="J383" s="55">
        <v>2002.4</v>
      </c>
      <c r="K383" s="55">
        <v>0</v>
      </c>
      <c r="L383" s="55">
        <v>0</v>
      </c>
      <c r="M383" s="55">
        <v>0</v>
      </c>
      <c r="N383" s="55">
        <v>0</v>
      </c>
    </row>
    <row r="384" spans="1:14" ht="10.050000000000001" hidden="1" customHeight="1">
      <c r="A384" s="52" t="s">
        <v>310</v>
      </c>
      <c r="B384" s="53">
        <v>2002</v>
      </c>
      <c r="C384" s="52" t="s">
        <v>109</v>
      </c>
      <c r="D384" s="54">
        <v>8</v>
      </c>
      <c r="E384" s="55">
        <v>17748.7</v>
      </c>
      <c r="F384" s="55">
        <v>997.3</v>
      </c>
      <c r="G384" s="55">
        <v>18746</v>
      </c>
      <c r="H384" s="55">
        <v>35358.300000000003</v>
      </c>
      <c r="I384" s="55">
        <v>1221.3</v>
      </c>
      <c r="J384" s="55">
        <v>36579.599999999999</v>
      </c>
      <c r="K384" s="55">
        <v>6280.1</v>
      </c>
      <c r="L384" s="55">
        <v>2261.4</v>
      </c>
      <c r="M384" s="55">
        <v>1420.1</v>
      </c>
      <c r="N384" s="55">
        <v>68</v>
      </c>
    </row>
    <row r="385" spans="1:14" ht="10.050000000000001" hidden="1" customHeight="1">
      <c r="A385" s="52" t="s">
        <v>308</v>
      </c>
      <c r="B385" s="53">
        <v>2002</v>
      </c>
      <c r="C385" s="52" t="s">
        <v>109</v>
      </c>
      <c r="D385" s="54">
        <v>8</v>
      </c>
      <c r="E385" s="55">
        <v>338.7</v>
      </c>
      <c r="F385" s="55">
        <v>0</v>
      </c>
      <c r="G385" s="55">
        <v>338.7</v>
      </c>
      <c r="H385" s="55">
        <v>7399.3</v>
      </c>
      <c r="I385" s="55">
        <v>177</v>
      </c>
      <c r="J385" s="55">
        <v>7576.3</v>
      </c>
      <c r="K385" s="55">
        <v>146.30000000000001</v>
      </c>
      <c r="L385" s="55">
        <v>0</v>
      </c>
      <c r="M385" s="55">
        <v>25.1</v>
      </c>
      <c r="N385" s="55">
        <v>88.5</v>
      </c>
    </row>
    <row r="386" spans="1:14" ht="10.050000000000001" hidden="1" customHeight="1">
      <c r="A386" s="52" t="s">
        <v>174</v>
      </c>
      <c r="B386" s="53">
        <v>2002</v>
      </c>
      <c r="C386" s="52" t="s">
        <v>109</v>
      </c>
      <c r="D386" s="54">
        <v>8</v>
      </c>
      <c r="E386" s="55">
        <v>233984.1</v>
      </c>
      <c r="F386" s="55">
        <v>16366.9</v>
      </c>
      <c r="G386" s="55">
        <v>250351</v>
      </c>
      <c r="H386" s="55">
        <v>322350.8</v>
      </c>
      <c r="I386" s="55">
        <v>24521.1</v>
      </c>
      <c r="J386" s="55">
        <v>346871.9</v>
      </c>
      <c r="K386" s="55">
        <v>41800.6</v>
      </c>
      <c r="L386" s="55">
        <v>18170.5</v>
      </c>
      <c r="M386" s="55">
        <v>3907.3</v>
      </c>
      <c r="N386" s="55">
        <v>1800.5</v>
      </c>
    </row>
    <row r="387" spans="1:14" ht="10.050000000000001" hidden="1" customHeight="1">
      <c r="A387" s="52" t="s">
        <v>314</v>
      </c>
      <c r="B387" s="53">
        <v>2002</v>
      </c>
      <c r="C387" s="52" t="s">
        <v>109</v>
      </c>
      <c r="D387" s="54">
        <v>9</v>
      </c>
      <c r="E387" s="55">
        <v>73.8</v>
      </c>
      <c r="F387" s="55">
        <v>0</v>
      </c>
      <c r="G387" s="55">
        <v>73.8</v>
      </c>
      <c r="H387" s="55">
        <v>101.3</v>
      </c>
      <c r="I387" s="55">
        <v>0</v>
      </c>
      <c r="J387" s="55">
        <v>101.3</v>
      </c>
      <c r="K387" s="55">
        <v>0</v>
      </c>
      <c r="L387" s="55">
        <v>0</v>
      </c>
      <c r="M387" s="55">
        <v>0</v>
      </c>
      <c r="N387" s="55">
        <v>0</v>
      </c>
    </row>
    <row r="388" spans="1:14" ht="10.050000000000001" hidden="1" customHeight="1">
      <c r="A388" s="52" t="s">
        <v>306</v>
      </c>
      <c r="B388" s="53">
        <v>2002</v>
      </c>
      <c r="C388" s="52" t="s">
        <v>109</v>
      </c>
      <c r="D388" s="54">
        <v>9</v>
      </c>
      <c r="E388" s="55">
        <v>16692</v>
      </c>
      <c r="F388" s="55">
        <v>1978.2</v>
      </c>
      <c r="G388" s="55">
        <v>18670.2</v>
      </c>
      <c r="H388" s="55">
        <v>260620.5</v>
      </c>
      <c r="I388" s="55">
        <v>5574.3</v>
      </c>
      <c r="J388" s="55">
        <v>266194.8</v>
      </c>
      <c r="K388" s="55">
        <v>26936.2</v>
      </c>
      <c r="L388" s="55">
        <v>1524.4</v>
      </c>
      <c r="M388" s="55">
        <v>4884.8</v>
      </c>
      <c r="N388" s="55">
        <v>495.9</v>
      </c>
    </row>
    <row r="389" spans="1:14" ht="10.050000000000001" hidden="1" customHeight="1">
      <c r="A389" s="52" t="s">
        <v>172</v>
      </c>
      <c r="B389" s="53">
        <v>2002</v>
      </c>
      <c r="C389" s="52" t="s">
        <v>109</v>
      </c>
      <c r="D389" s="54">
        <v>9</v>
      </c>
      <c r="E389" s="55">
        <v>56568.7</v>
      </c>
      <c r="F389" s="55">
        <v>5752.4</v>
      </c>
      <c r="G389" s="55">
        <v>62321.1</v>
      </c>
      <c r="H389" s="55">
        <v>564180.6</v>
      </c>
      <c r="I389" s="55">
        <v>39414.5</v>
      </c>
      <c r="J389" s="55">
        <v>603595.1</v>
      </c>
      <c r="K389" s="55">
        <v>151353.9</v>
      </c>
      <c r="L389" s="55">
        <v>5884.9</v>
      </c>
      <c r="M389" s="55">
        <v>24188.799999999999</v>
      </c>
      <c r="N389" s="55">
        <v>1086</v>
      </c>
    </row>
    <row r="390" spans="1:14" ht="10.050000000000001" hidden="1" customHeight="1">
      <c r="A390" s="52" t="s">
        <v>171</v>
      </c>
      <c r="B390" s="53">
        <v>2002</v>
      </c>
      <c r="C390" s="52" t="s">
        <v>109</v>
      </c>
      <c r="D390" s="54">
        <v>9</v>
      </c>
      <c r="E390" s="55">
        <v>1265831.3</v>
      </c>
      <c r="F390" s="55">
        <v>153372.6</v>
      </c>
      <c r="G390" s="55">
        <v>1419203.9</v>
      </c>
      <c r="H390" s="55">
        <v>13703482.1</v>
      </c>
      <c r="I390" s="55">
        <v>247256.8</v>
      </c>
      <c r="J390" s="55">
        <v>13950738.9</v>
      </c>
      <c r="K390" s="55">
        <v>3440039.4</v>
      </c>
      <c r="L390" s="55">
        <v>153465.4</v>
      </c>
      <c r="M390" s="55">
        <v>632041.69999999995</v>
      </c>
      <c r="N390" s="55">
        <v>26950.9</v>
      </c>
    </row>
    <row r="391" spans="1:14" ht="10.050000000000001" hidden="1" customHeight="1">
      <c r="A391" s="52" t="s">
        <v>300</v>
      </c>
      <c r="B391" s="53">
        <v>2002</v>
      </c>
      <c r="C391" s="52" t="s">
        <v>109</v>
      </c>
      <c r="D391" s="54">
        <v>9</v>
      </c>
      <c r="E391" s="55">
        <v>70.099999999999994</v>
      </c>
      <c r="F391" s="55">
        <v>0</v>
      </c>
      <c r="G391" s="55">
        <v>70.099999999999994</v>
      </c>
      <c r="H391" s="55">
        <v>458</v>
      </c>
      <c r="I391" s="55">
        <v>36.799999999999997</v>
      </c>
      <c r="J391" s="55">
        <v>494.8</v>
      </c>
      <c r="K391" s="55">
        <v>0</v>
      </c>
      <c r="L391" s="55">
        <v>0</v>
      </c>
      <c r="M391" s="55">
        <v>0</v>
      </c>
      <c r="N391" s="55">
        <v>0</v>
      </c>
    </row>
    <row r="392" spans="1:14" ht="10.050000000000001" hidden="1" customHeight="1">
      <c r="A392" s="52" t="s">
        <v>307</v>
      </c>
      <c r="B392" s="53">
        <v>2002</v>
      </c>
      <c r="C392" s="52" t="s">
        <v>109</v>
      </c>
      <c r="D392" s="54">
        <v>9</v>
      </c>
      <c r="E392" s="55">
        <v>362592.7</v>
      </c>
      <c r="F392" s="55">
        <v>3354.8</v>
      </c>
      <c r="G392" s="55">
        <v>365947.5</v>
      </c>
      <c r="H392" s="55">
        <v>327014.7</v>
      </c>
      <c r="I392" s="55">
        <v>36063.9</v>
      </c>
      <c r="J392" s="55">
        <v>363078.6</v>
      </c>
      <c r="K392" s="55">
        <v>64310.6</v>
      </c>
      <c r="L392" s="55">
        <v>33712</v>
      </c>
      <c r="M392" s="55">
        <v>21555.3</v>
      </c>
      <c r="N392" s="55">
        <v>19794.8</v>
      </c>
    </row>
    <row r="393" spans="1:14" ht="10.050000000000001" hidden="1" customHeight="1">
      <c r="A393" s="52" t="s">
        <v>315</v>
      </c>
      <c r="B393" s="53">
        <v>2002</v>
      </c>
      <c r="C393" s="52" t="s">
        <v>109</v>
      </c>
      <c r="D393" s="54">
        <v>9</v>
      </c>
      <c r="E393" s="55">
        <v>9053.6</v>
      </c>
      <c r="F393" s="55">
        <v>0</v>
      </c>
      <c r="G393" s="55">
        <v>9053.6</v>
      </c>
      <c r="H393" s="55">
        <v>11746.1</v>
      </c>
      <c r="I393" s="55">
        <v>0</v>
      </c>
      <c r="J393" s="55">
        <v>11746.1</v>
      </c>
      <c r="K393" s="55">
        <v>428.8</v>
      </c>
      <c r="L393" s="55">
        <v>470.6</v>
      </c>
      <c r="M393" s="55">
        <v>41.8</v>
      </c>
      <c r="N393" s="55">
        <v>0</v>
      </c>
    </row>
    <row r="394" spans="1:14" ht="10.050000000000001" hidden="1" customHeight="1">
      <c r="A394" s="52" t="s">
        <v>173</v>
      </c>
      <c r="B394" s="53">
        <v>2002</v>
      </c>
      <c r="C394" s="52" t="s">
        <v>109</v>
      </c>
      <c r="D394" s="54">
        <v>9</v>
      </c>
      <c r="E394" s="55">
        <v>222966.3</v>
      </c>
      <c r="F394" s="55">
        <v>15352.6</v>
      </c>
      <c r="G394" s="55">
        <v>238318.9</v>
      </c>
      <c r="H394" s="55">
        <v>5535255.0999999996</v>
      </c>
      <c r="I394" s="55">
        <v>80252.5</v>
      </c>
      <c r="J394" s="55">
        <v>5615507.5999999996</v>
      </c>
      <c r="K394" s="55">
        <v>728606.4</v>
      </c>
      <c r="L394" s="55">
        <v>18418.5</v>
      </c>
      <c r="M394" s="55">
        <v>134271</v>
      </c>
      <c r="N394" s="55">
        <v>8102.2</v>
      </c>
    </row>
    <row r="395" spans="1:14" ht="10.050000000000001" customHeight="1">
      <c r="A395" s="52" t="s">
        <v>309</v>
      </c>
      <c r="B395" s="53">
        <v>2002</v>
      </c>
      <c r="C395" s="52" t="s">
        <v>109</v>
      </c>
      <c r="D395" s="54">
        <v>9</v>
      </c>
      <c r="E395" s="55">
        <v>37823.4</v>
      </c>
      <c r="F395" s="55">
        <v>0</v>
      </c>
      <c r="G395" s="55">
        <v>37823.4</v>
      </c>
      <c r="H395" s="55">
        <v>18928.7</v>
      </c>
      <c r="I395" s="55">
        <v>0</v>
      </c>
      <c r="J395" s="55">
        <v>18928.7</v>
      </c>
      <c r="K395" s="55">
        <v>0</v>
      </c>
      <c r="L395" s="55">
        <v>0</v>
      </c>
      <c r="M395" s="55">
        <v>0</v>
      </c>
      <c r="N395" s="55">
        <v>0</v>
      </c>
    </row>
    <row r="396" spans="1:14" ht="10.050000000000001" hidden="1" customHeight="1">
      <c r="A396" s="52" t="s">
        <v>316</v>
      </c>
      <c r="B396" s="53">
        <v>2002</v>
      </c>
      <c r="C396" s="52" t="s">
        <v>109</v>
      </c>
      <c r="D396" s="54">
        <v>9</v>
      </c>
      <c r="E396" s="55">
        <v>948.5</v>
      </c>
      <c r="F396" s="55">
        <v>40.6</v>
      </c>
      <c r="G396" s="55">
        <v>989.1</v>
      </c>
      <c r="H396" s="55">
        <v>2794.3</v>
      </c>
      <c r="I396" s="55">
        <v>40.6</v>
      </c>
      <c r="J396" s="55">
        <v>2834.9</v>
      </c>
      <c r="K396" s="55">
        <v>0</v>
      </c>
      <c r="L396" s="55">
        <v>0</v>
      </c>
      <c r="M396" s="55">
        <v>0</v>
      </c>
      <c r="N396" s="55">
        <v>0</v>
      </c>
    </row>
    <row r="397" spans="1:14" ht="10.050000000000001" hidden="1" customHeight="1">
      <c r="A397" s="52" t="s">
        <v>310</v>
      </c>
      <c r="B397" s="53">
        <v>2002</v>
      </c>
      <c r="C397" s="52" t="s">
        <v>109</v>
      </c>
      <c r="D397" s="54">
        <v>9</v>
      </c>
      <c r="E397" s="55">
        <v>3464.3</v>
      </c>
      <c r="F397" s="55">
        <v>537.6</v>
      </c>
      <c r="G397" s="55">
        <v>4001.9</v>
      </c>
      <c r="H397" s="55">
        <v>33160</v>
      </c>
      <c r="I397" s="55">
        <v>1125.0999999999999</v>
      </c>
      <c r="J397" s="55">
        <v>34285.1</v>
      </c>
      <c r="K397" s="55">
        <v>5586.4</v>
      </c>
      <c r="L397" s="55">
        <v>221.5</v>
      </c>
      <c r="M397" s="55">
        <v>891.3</v>
      </c>
      <c r="N397" s="55">
        <v>23.9</v>
      </c>
    </row>
    <row r="398" spans="1:14" ht="10.050000000000001" hidden="1" customHeight="1">
      <c r="A398" s="52" t="s">
        <v>308</v>
      </c>
      <c r="B398" s="53">
        <v>2002</v>
      </c>
      <c r="C398" s="52" t="s">
        <v>109</v>
      </c>
      <c r="D398" s="54">
        <v>9</v>
      </c>
      <c r="E398" s="55">
        <v>3359</v>
      </c>
      <c r="F398" s="55">
        <v>84.5</v>
      </c>
      <c r="G398" s="55">
        <v>3443.5</v>
      </c>
      <c r="H398" s="55">
        <v>7471.8</v>
      </c>
      <c r="I398" s="55">
        <v>190.5</v>
      </c>
      <c r="J398" s="55">
        <v>7662.3</v>
      </c>
      <c r="K398" s="55">
        <v>76.900000000000006</v>
      </c>
      <c r="L398" s="55">
        <v>0</v>
      </c>
      <c r="M398" s="55">
        <v>15.3</v>
      </c>
      <c r="N398" s="55">
        <v>54.1</v>
      </c>
    </row>
    <row r="399" spans="1:14" ht="10.050000000000001" hidden="1" customHeight="1">
      <c r="A399" s="52" t="s">
        <v>174</v>
      </c>
      <c r="B399" s="53">
        <v>2002</v>
      </c>
      <c r="C399" s="52" t="s">
        <v>109</v>
      </c>
      <c r="D399" s="54">
        <v>9</v>
      </c>
      <c r="E399" s="55">
        <v>21232.400000000001</v>
      </c>
      <c r="F399" s="55">
        <v>11053.1</v>
      </c>
      <c r="G399" s="55">
        <v>32285.5</v>
      </c>
      <c r="H399" s="55">
        <v>279282.59999999998</v>
      </c>
      <c r="I399" s="55">
        <v>25863.4</v>
      </c>
      <c r="J399" s="55">
        <v>305146</v>
      </c>
      <c r="K399" s="55">
        <v>43618.7</v>
      </c>
      <c r="L399" s="55">
        <v>5705.7</v>
      </c>
      <c r="M399" s="55">
        <v>2097.1999999999998</v>
      </c>
      <c r="N399" s="55">
        <v>2012.3</v>
      </c>
    </row>
    <row r="400" spans="1:14" ht="10.050000000000001" hidden="1" customHeight="1">
      <c r="A400" s="52" t="s">
        <v>314</v>
      </c>
      <c r="B400" s="53">
        <v>2002</v>
      </c>
      <c r="C400" s="52" t="s">
        <v>109</v>
      </c>
      <c r="D400" s="54">
        <v>10</v>
      </c>
      <c r="E400" s="55">
        <v>45.8</v>
      </c>
      <c r="F400" s="55">
        <v>0</v>
      </c>
      <c r="G400" s="55">
        <v>45.8</v>
      </c>
      <c r="H400" s="55">
        <v>119.5</v>
      </c>
      <c r="I400" s="55">
        <v>0</v>
      </c>
      <c r="J400" s="55">
        <v>119.5</v>
      </c>
      <c r="K400" s="55">
        <v>0</v>
      </c>
      <c r="L400" s="55">
        <v>0</v>
      </c>
      <c r="M400" s="55">
        <v>0</v>
      </c>
      <c r="N400" s="55">
        <v>0</v>
      </c>
    </row>
    <row r="401" spans="1:14" ht="10.050000000000001" hidden="1" customHeight="1">
      <c r="A401" s="52" t="s">
        <v>306</v>
      </c>
      <c r="B401" s="53">
        <v>2002</v>
      </c>
      <c r="C401" s="52" t="s">
        <v>109</v>
      </c>
      <c r="D401" s="54">
        <v>10</v>
      </c>
      <c r="E401" s="55">
        <v>8429.7000000000007</v>
      </c>
      <c r="F401" s="55">
        <v>1789.6</v>
      </c>
      <c r="G401" s="55">
        <v>10219.299999999999</v>
      </c>
      <c r="H401" s="55">
        <v>251609.8</v>
      </c>
      <c r="I401" s="55">
        <v>6019.8</v>
      </c>
      <c r="J401" s="55">
        <v>257629.6</v>
      </c>
      <c r="K401" s="55">
        <v>24356.5</v>
      </c>
      <c r="L401" s="55">
        <v>695.2</v>
      </c>
      <c r="M401" s="55">
        <v>2815</v>
      </c>
      <c r="N401" s="55">
        <v>459.9</v>
      </c>
    </row>
    <row r="402" spans="1:14" ht="10.050000000000001" hidden="1" customHeight="1">
      <c r="A402" s="52" t="s">
        <v>172</v>
      </c>
      <c r="B402" s="53">
        <v>2002</v>
      </c>
      <c r="C402" s="52" t="s">
        <v>109</v>
      </c>
      <c r="D402" s="54">
        <v>10</v>
      </c>
      <c r="E402" s="55">
        <v>63913.8</v>
      </c>
      <c r="F402" s="55">
        <v>9119.6</v>
      </c>
      <c r="G402" s="55">
        <v>73033.399999999994</v>
      </c>
      <c r="H402" s="55">
        <v>474914.2</v>
      </c>
      <c r="I402" s="55">
        <v>35071.9</v>
      </c>
      <c r="J402" s="55">
        <v>509986.1</v>
      </c>
      <c r="K402" s="55">
        <v>127195.7</v>
      </c>
      <c r="L402" s="55">
        <v>5150.3</v>
      </c>
      <c r="M402" s="55">
        <v>28703.1</v>
      </c>
      <c r="N402" s="55">
        <v>605.4</v>
      </c>
    </row>
    <row r="403" spans="1:14" ht="10.050000000000001" hidden="1" customHeight="1">
      <c r="A403" s="52" t="s">
        <v>171</v>
      </c>
      <c r="B403" s="53">
        <v>2002</v>
      </c>
      <c r="C403" s="52" t="s">
        <v>109</v>
      </c>
      <c r="D403" s="54">
        <v>10</v>
      </c>
      <c r="E403" s="55">
        <v>1140786.2</v>
      </c>
      <c r="F403" s="55">
        <v>87788.1</v>
      </c>
      <c r="G403" s="55">
        <v>1228574.3</v>
      </c>
      <c r="H403" s="55">
        <v>12140780.4</v>
      </c>
      <c r="I403" s="55">
        <v>219529.8</v>
      </c>
      <c r="J403" s="55">
        <v>12360310.199999999</v>
      </c>
      <c r="K403" s="55">
        <v>2953770</v>
      </c>
      <c r="L403" s="55">
        <v>87655.9</v>
      </c>
      <c r="M403" s="55">
        <v>549453.19999999995</v>
      </c>
      <c r="N403" s="55">
        <v>24367.200000000001</v>
      </c>
    </row>
    <row r="404" spans="1:14" ht="10.050000000000001" hidden="1" customHeight="1">
      <c r="A404" s="52" t="s">
        <v>300</v>
      </c>
      <c r="B404" s="53">
        <v>2002</v>
      </c>
      <c r="C404" s="52" t="s">
        <v>109</v>
      </c>
      <c r="D404" s="54">
        <v>10</v>
      </c>
      <c r="E404" s="55">
        <v>70.5</v>
      </c>
      <c r="F404" s="55">
        <v>121.6</v>
      </c>
      <c r="G404" s="55">
        <v>192.1</v>
      </c>
      <c r="H404" s="55">
        <v>442.3</v>
      </c>
      <c r="I404" s="55">
        <v>110.2</v>
      </c>
      <c r="J404" s="55">
        <v>552.5</v>
      </c>
      <c r="K404" s="55">
        <v>0</v>
      </c>
      <c r="L404" s="55">
        <v>0</v>
      </c>
      <c r="M404" s="55">
        <v>0</v>
      </c>
      <c r="N404" s="55">
        <v>0</v>
      </c>
    </row>
    <row r="405" spans="1:14" ht="10.050000000000001" hidden="1" customHeight="1">
      <c r="A405" s="52" t="s">
        <v>307</v>
      </c>
      <c r="B405" s="53">
        <v>2002</v>
      </c>
      <c r="C405" s="52" t="s">
        <v>109</v>
      </c>
      <c r="D405" s="54">
        <v>10</v>
      </c>
      <c r="E405" s="55">
        <v>4353607</v>
      </c>
      <c r="F405" s="55">
        <v>44763.9</v>
      </c>
      <c r="G405" s="55">
        <v>4398370.9000000004</v>
      </c>
      <c r="H405" s="55">
        <v>3430608.1</v>
      </c>
      <c r="I405" s="55">
        <v>62354.3</v>
      </c>
      <c r="J405" s="55">
        <v>3492962.4</v>
      </c>
      <c r="K405" s="55">
        <v>1261823.5</v>
      </c>
      <c r="L405" s="55">
        <v>1267416.3999999999</v>
      </c>
      <c r="M405" s="55">
        <v>37185.300000000003</v>
      </c>
      <c r="N405" s="55">
        <v>32727.200000000001</v>
      </c>
    </row>
    <row r="406" spans="1:14" ht="10.050000000000001" hidden="1" customHeight="1">
      <c r="A406" s="52" t="s">
        <v>315</v>
      </c>
      <c r="B406" s="53">
        <v>2002</v>
      </c>
      <c r="C406" s="52" t="s">
        <v>109</v>
      </c>
      <c r="D406" s="54">
        <v>10</v>
      </c>
      <c r="E406" s="55">
        <v>12012.5</v>
      </c>
      <c r="F406" s="55">
        <v>0</v>
      </c>
      <c r="G406" s="55">
        <v>12012.5</v>
      </c>
      <c r="H406" s="55">
        <v>20934</v>
      </c>
      <c r="I406" s="55">
        <v>0</v>
      </c>
      <c r="J406" s="55">
        <v>20934</v>
      </c>
      <c r="K406" s="55">
        <v>24.1</v>
      </c>
      <c r="L406" s="55">
        <v>36.4</v>
      </c>
      <c r="M406" s="55">
        <v>441.1</v>
      </c>
      <c r="N406" s="55">
        <v>0</v>
      </c>
    </row>
    <row r="407" spans="1:14" ht="10.050000000000001" hidden="1" customHeight="1">
      <c r="A407" s="52" t="s">
        <v>173</v>
      </c>
      <c r="B407" s="53">
        <v>2002</v>
      </c>
      <c r="C407" s="52" t="s">
        <v>109</v>
      </c>
      <c r="D407" s="54">
        <v>10</v>
      </c>
      <c r="E407" s="55">
        <v>228527.3</v>
      </c>
      <c r="F407" s="55">
        <v>23449.7</v>
      </c>
      <c r="G407" s="55">
        <v>251977</v>
      </c>
      <c r="H407" s="55">
        <v>5175743.4000000004</v>
      </c>
      <c r="I407" s="55">
        <v>83637.399999999994</v>
      </c>
      <c r="J407" s="55">
        <v>5259380.8</v>
      </c>
      <c r="K407" s="55">
        <v>608548.80000000005</v>
      </c>
      <c r="L407" s="55">
        <v>15819.1</v>
      </c>
      <c r="M407" s="55">
        <v>129273.1</v>
      </c>
      <c r="N407" s="55">
        <v>6565.9</v>
      </c>
    </row>
    <row r="408" spans="1:14" ht="10.050000000000001" customHeight="1">
      <c r="A408" s="52" t="s">
        <v>309</v>
      </c>
      <c r="B408" s="53">
        <v>2002</v>
      </c>
      <c r="C408" s="52" t="s">
        <v>109</v>
      </c>
      <c r="D408" s="54">
        <v>10</v>
      </c>
      <c r="E408" s="55">
        <v>63149.599999999999</v>
      </c>
      <c r="F408" s="55">
        <v>0</v>
      </c>
      <c r="G408" s="55">
        <v>63149.599999999999</v>
      </c>
      <c r="H408" s="55">
        <v>52124</v>
      </c>
      <c r="I408" s="55">
        <v>0</v>
      </c>
      <c r="J408" s="55">
        <v>52124</v>
      </c>
      <c r="K408" s="55">
        <v>0</v>
      </c>
      <c r="L408" s="55">
        <v>0</v>
      </c>
      <c r="M408" s="55">
        <v>0</v>
      </c>
      <c r="N408" s="55">
        <v>0</v>
      </c>
    </row>
    <row r="409" spans="1:14" ht="10.050000000000001" hidden="1" customHeight="1">
      <c r="A409" s="52" t="s">
        <v>316</v>
      </c>
      <c r="B409" s="53">
        <v>2002</v>
      </c>
      <c r="C409" s="52" t="s">
        <v>109</v>
      </c>
      <c r="D409" s="54">
        <v>10</v>
      </c>
      <c r="E409" s="55">
        <v>3077.2</v>
      </c>
      <c r="F409" s="55">
        <v>24.4</v>
      </c>
      <c r="G409" s="55">
        <v>3101.6</v>
      </c>
      <c r="H409" s="55">
        <v>5357.6</v>
      </c>
      <c r="I409" s="55">
        <v>65</v>
      </c>
      <c r="J409" s="55">
        <v>5422.6</v>
      </c>
      <c r="K409" s="55">
        <v>19.100000000000001</v>
      </c>
      <c r="L409" s="55">
        <v>25.2</v>
      </c>
      <c r="M409" s="55">
        <v>6.1</v>
      </c>
      <c r="N409" s="55">
        <v>0</v>
      </c>
    </row>
    <row r="410" spans="1:14" ht="10.050000000000001" hidden="1" customHeight="1">
      <c r="A410" s="52" t="s">
        <v>310</v>
      </c>
      <c r="B410" s="53">
        <v>2002</v>
      </c>
      <c r="C410" s="52" t="s">
        <v>109</v>
      </c>
      <c r="D410" s="54">
        <v>10</v>
      </c>
      <c r="E410" s="55">
        <v>4511.6000000000004</v>
      </c>
      <c r="F410" s="55">
        <v>16.5</v>
      </c>
      <c r="G410" s="55">
        <v>4528.1000000000004</v>
      </c>
      <c r="H410" s="55">
        <v>31850</v>
      </c>
      <c r="I410" s="55">
        <v>977.8</v>
      </c>
      <c r="J410" s="55">
        <v>32827.800000000003</v>
      </c>
      <c r="K410" s="55">
        <v>3889.8</v>
      </c>
      <c r="L410" s="55">
        <v>94.7</v>
      </c>
      <c r="M410" s="55">
        <v>1761.8</v>
      </c>
      <c r="N410" s="55">
        <v>29.5</v>
      </c>
    </row>
    <row r="411" spans="1:14" ht="10.050000000000001" hidden="1" customHeight="1">
      <c r="A411" s="52" t="s">
        <v>308</v>
      </c>
      <c r="B411" s="53">
        <v>2002</v>
      </c>
      <c r="C411" s="52" t="s">
        <v>109</v>
      </c>
      <c r="D411" s="54">
        <v>10</v>
      </c>
      <c r="E411" s="55">
        <v>190447.7</v>
      </c>
      <c r="F411" s="55">
        <v>131.19999999999999</v>
      </c>
      <c r="G411" s="55">
        <v>190578.9</v>
      </c>
      <c r="H411" s="55">
        <v>174295.8</v>
      </c>
      <c r="I411" s="55">
        <v>321.7</v>
      </c>
      <c r="J411" s="55">
        <v>174617.5</v>
      </c>
      <c r="K411" s="55">
        <v>11606</v>
      </c>
      <c r="L411" s="55">
        <v>11764.1</v>
      </c>
      <c r="M411" s="55">
        <v>195.9</v>
      </c>
      <c r="N411" s="55">
        <v>39.1</v>
      </c>
    </row>
    <row r="412" spans="1:14" ht="10.050000000000001" hidden="1" customHeight="1">
      <c r="A412" s="52" t="s">
        <v>174</v>
      </c>
      <c r="B412" s="53">
        <v>2002</v>
      </c>
      <c r="C412" s="52" t="s">
        <v>109</v>
      </c>
      <c r="D412" s="54">
        <v>10</v>
      </c>
      <c r="E412" s="55">
        <v>6251.7</v>
      </c>
      <c r="F412" s="55">
        <v>3653.1</v>
      </c>
      <c r="G412" s="55">
        <v>9904.7999999999993</v>
      </c>
      <c r="H412" s="55">
        <v>223738.3</v>
      </c>
      <c r="I412" s="55">
        <v>21316.799999999999</v>
      </c>
      <c r="J412" s="55">
        <v>245055.1</v>
      </c>
      <c r="K412" s="55">
        <v>40444</v>
      </c>
      <c r="L412" s="55">
        <v>996</v>
      </c>
      <c r="M412" s="55">
        <v>1709.1</v>
      </c>
      <c r="N412" s="55">
        <v>2463.6</v>
      </c>
    </row>
    <row r="413" spans="1:14" ht="10.050000000000001" hidden="1" customHeight="1">
      <c r="A413" s="52" t="s">
        <v>314</v>
      </c>
      <c r="B413" s="53">
        <v>2002</v>
      </c>
      <c r="C413" s="52" t="s">
        <v>109</v>
      </c>
      <c r="D413" s="54">
        <v>11</v>
      </c>
      <c r="E413" s="55">
        <v>3.5</v>
      </c>
      <c r="F413" s="55">
        <v>0</v>
      </c>
      <c r="G413" s="55">
        <v>3.5</v>
      </c>
      <c r="H413" s="55">
        <v>95.2</v>
      </c>
      <c r="I413" s="55">
        <v>0</v>
      </c>
      <c r="J413" s="55">
        <v>95.2</v>
      </c>
      <c r="K413" s="55">
        <v>0</v>
      </c>
      <c r="L413" s="55">
        <v>0</v>
      </c>
      <c r="M413" s="55">
        <v>0</v>
      </c>
      <c r="N413" s="55">
        <v>0</v>
      </c>
    </row>
    <row r="414" spans="1:14" ht="10.050000000000001" hidden="1" customHeight="1">
      <c r="A414" s="52" t="s">
        <v>306</v>
      </c>
      <c r="B414" s="53">
        <v>2002</v>
      </c>
      <c r="C414" s="52" t="s">
        <v>109</v>
      </c>
      <c r="D414" s="54">
        <v>11</v>
      </c>
      <c r="E414" s="55">
        <v>7654.2</v>
      </c>
      <c r="F414" s="55">
        <v>2765.4</v>
      </c>
      <c r="G414" s="55">
        <v>10419.6</v>
      </c>
      <c r="H414" s="55">
        <v>243905.5</v>
      </c>
      <c r="I414" s="55">
        <v>7711.1</v>
      </c>
      <c r="J414" s="55">
        <v>251616.6</v>
      </c>
      <c r="K414" s="55">
        <v>21858.3</v>
      </c>
      <c r="L414" s="55">
        <v>625.79999999999995</v>
      </c>
      <c r="M414" s="55">
        <v>2680.2</v>
      </c>
      <c r="N414" s="55">
        <v>450.5</v>
      </c>
    </row>
    <row r="415" spans="1:14" ht="10.050000000000001" hidden="1" customHeight="1">
      <c r="A415" s="52" t="s">
        <v>172</v>
      </c>
      <c r="B415" s="53">
        <v>2002</v>
      </c>
      <c r="C415" s="52" t="s">
        <v>109</v>
      </c>
      <c r="D415" s="54">
        <v>11</v>
      </c>
      <c r="E415" s="55">
        <v>55191.199999999997</v>
      </c>
      <c r="F415" s="55">
        <v>573.70000000000005</v>
      </c>
      <c r="G415" s="55">
        <v>55764.9</v>
      </c>
      <c r="H415" s="55">
        <v>431204.2</v>
      </c>
      <c r="I415" s="55">
        <v>31071.1</v>
      </c>
      <c r="J415" s="55">
        <v>462275.3</v>
      </c>
      <c r="K415" s="55">
        <v>114445.4</v>
      </c>
      <c r="L415" s="55">
        <v>8820.2999999999993</v>
      </c>
      <c r="M415" s="55">
        <v>20799.2</v>
      </c>
      <c r="N415" s="55">
        <v>771.4</v>
      </c>
    </row>
    <row r="416" spans="1:14" ht="10.050000000000001" hidden="1" customHeight="1">
      <c r="A416" s="52" t="s">
        <v>171</v>
      </c>
      <c r="B416" s="53">
        <v>2002</v>
      </c>
      <c r="C416" s="52" t="s">
        <v>109</v>
      </c>
      <c r="D416" s="54">
        <v>11</v>
      </c>
      <c r="E416" s="55">
        <v>844429.7</v>
      </c>
      <c r="F416" s="55">
        <v>40694.9</v>
      </c>
      <c r="G416" s="55">
        <v>885124.6</v>
      </c>
      <c r="H416" s="55">
        <v>10611177.300000001</v>
      </c>
      <c r="I416" s="55">
        <v>194875.8</v>
      </c>
      <c r="J416" s="55">
        <v>10806053.1</v>
      </c>
      <c r="K416" s="55">
        <v>2804613</v>
      </c>
      <c r="L416" s="55">
        <v>171634.2</v>
      </c>
      <c r="M416" s="55">
        <v>301484.40000000002</v>
      </c>
      <c r="N416" s="55">
        <v>20461.099999999999</v>
      </c>
    </row>
    <row r="417" spans="1:14" ht="10.050000000000001" hidden="1" customHeight="1">
      <c r="A417" s="52" t="s">
        <v>300</v>
      </c>
      <c r="B417" s="53">
        <v>2002</v>
      </c>
      <c r="C417" s="52" t="s">
        <v>109</v>
      </c>
      <c r="D417" s="54">
        <v>11</v>
      </c>
      <c r="E417" s="55">
        <v>57.5</v>
      </c>
      <c r="F417" s="55">
        <v>0</v>
      </c>
      <c r="G417" s="55">
        <v>57.5</v>
      </c>
      <c r="H417" s="55">
        <v>420.5</v>
      </c>
      <c r="I417" s="55">
        <v>74.7</v>
      </c>
      <c r="J417" s="55">
        <v>495.2</v>
      </c>
      <c r="K417" s="55">
        <v>0</v>
      </c>
      <c r="L417" s="55">
        <v>0</v>
      </c>
      <c r="M417" s="55">
        <v>0</v>
      </c>
      <c r="N417" s="55">
        <v>0</v>
      </c>
    </row>
    <row r="418" spans="1:14" ht="10.050000000000001" hidden="1" customHeight="1">
      <c r="A418" s="52" t="s">
        <v>307</v>
      </c>
      <c r="B418" s="53">
        <v>2002</v>
      </c>
      <c r="C418" s="52" t="s">
        <v>109</v>
      </c>
      <c r="D418" s="54">
        <v>11</v>
      </c>
      <c r="E418" s="55">
        <v>4767027.7</v>
      </c>
      <c r="F418" s="55">
        <v>61574.5</v>
      </c>
      <c r="G418" s="55">
        <v>4828602.2</v>
      </c>
      <c r="H418" s="55">
        <v>6595936.7999999998</v>
      </c>
      <c r="I418" s="55">
        <v>116571.9</v>
      </c>
      <c r="J418" s="55">
        <v>6712508.7000000002</v>
      </c>
      <c r="K418" s="55">
        <v>2281558.1</v>
      </c>
      <c r="L418" s="55">
        <v>1382922.8</v>
      </c>
      <c r="M418" s="55">
        <v>184441.9</v>
      </c>
      <c r="N418" s="55">
        <v>178795.5</v>
      </c>
    </row>
    <row r="419" spans="1:14" ht="10.050000000000001" hidden="1" customHeight="1">
      <c r="A419" s="52" t="s">
        <v>315</v>
      </c>
      <c r="B419" s="53">
        <v>2002</v>
      </c>
      <c r="C419" s="52" t="s">
        <v>109</v>
      </c>
      <c r="D419" s="54">
        <v>11</v>
      </c>
      <c r="E419" s="55">
        <v>1431.9</v>
      </c>
      <c r="F419" s="55">
        <v>0</v>
      </c>
      <c r="G419" s="55">
        <v>1431.9</v>
      </c>
      <c r="H419" s="55">
        <v>19366.8</v>
      </c>
      <c r="I419" s="55">
        <v>0</v>
      </c>
      <c r="J419" s="55">
        <v>19366.8</v>
      </c>
      <c r="K419" s="55">
        <v>2.5</v>
      </c>
      <c r="L419" s="55">
        <v>0</v>
      </c>
      <c r="M419" s="55">
        <v>21.6</v>
      </c>
      <c r="N419" s="55">
        <v>0</v>
      </c>
    </row>
    <row r="420" spans="1:14" ht="10.050000000000001" hidden="1" customHeight="1">
      <c r="A420" s="52" t="s">
        <v>173</v>
      </c>
      <c r="B420" s="53">
        <v>2002</v>
      </c>
      <c r="C420" s="52" t="s">
        <v>109</v>
      </c>
      <c r="D420" s="54">
        <v>11</v>
      </c>
      <c r="E420" s="55">
        <v>199176.8</v>
      </c>
      <c r="F420" s="55">
        <v>28940.9</v>
      </c>
      <c r="G420" s="55">
        <v>228117.7</v>
      </c>
      <c r="H420" s="55">
        <v>4727942.5999999996</v>
      </c>
      <c r="I420" s="55">
        <v>86998.5</v>
      </c>
      <c r="J420" s="55">
        <v>4814941.0999999996</v>
      </c>
      <c r="K420" s="55">
        <v>562573.9</v>
      </c>
      <c r="L420" s="55">
        <v>36207.599999999999</v>
      </c>
      <c r="M420" s="55">
        <v>75300.899999999994</v>
      </c>
      <c r="N420" s="55">
        <v>7165.2</v>
      </c>
    </row>
    <row r="421" spans="1:14" ht="10.050000000000001" customHeight="1">
      <c r="A421" s="52" t="s">
        <v>309</v>
      </c>
      <c r="B421" s="53">
        <v>2002</v>
      </c>
      <c r="C421" s="52" t="s">
        <v>109</v>
      </c>
      <c r="D421" s="54">
        <v>11</v>
      </c>
      <c r="E421" s="55">
        <v>3495.6</v>
      </c>
      <c r="F421" s="55">
        <v>0</v>
      </c>
      <c r="G421" s="55">
        <v>3495.6</v>
      </c>
      <c r="H421" s="55">
        <v>51654.7</v>
      </c>
      <c r="I421" s="55">
        <v>0</v>
      </c>
      <c r="J421" s="55">
        <v>51654.7</v>
      </c>
      <c r="K421" s="55">
        <v>0</v>
      </c>
      <c r="L421" s="55">
        <v>0</v>
      </c>
      <c r="M421" s="55">
        <v>0</v>
      </c>
      <c r="N421" s="55">
        <v>0</v>
      </c>
    </row>
    <row r="422" spans="1:14" ht="10.050000000000001" hidden="1" customHeight="1">
      <c r="A422" s="52" t="s">
        <v>316</v>
      </c>
      <c r="B422" s="53">
        <v>2002</v>
      </c>
      <c r="C422" s="52" t="s">
        <v>109</v>
      </c>
      <c r="D422" s="54">
        <v>11</v>
      </c>
      <c r="E422" s="55">
        <v>367.2</v>
      </c>
      <c r="F422" s="55">
        <v>0</v>
      </c>
      <c r="G422" s="55">
        <v>367.2</v>
      </c>
      <c r="H422" s="55">
        <v>5435.6</v>
      </c>
      <c r="I422" s="55">
        <v>65</v>
      </c>
      <c r="J422" s="55">
        <v>5500.6</v>
      </c>
      <c r="K422" s="55">
        <v>24.4</v>
      </c>
      <c r="L422" s="55">
        <v>5.3</v>
      </c>
      <c r="M422" s="55">
        <v>0</v>
      </c>
      <c r="N422" s="55">
        <v>0</v>
      </c>
    </row>
    <row r="423" spans="1:14" ht="10.050000000000001" hidden="1" customHeight="1">
      <c r="A423" s="52" t="s">
        <v>310</v>
      </c>
      <c r="B423" s="53">
        <v>2002</v>
      </c>
      <c r="C423" s="52" t="s">
        <v>109</v>
      </c>
      <c r="D423" s="54">
        <v>11</v>
      </c>
      <c r="E423" s="55">
        <v>2349.4</v>
      </c>
      <c r="F423" s="55">
        <v>124.3</v>
      </c>
      <c r="G423" s="55">
        <v>2473.6999999999998</v>
      </c>
      <c r="H423" s="55">
        <v>29961.5</v>
      </c>
      <c r="I423" s="55">
        <v>730.2</v>
      </c>
      <c r="J423" s="55">
        <v>30691.7</v>
      </c>
      <c r="K423" s="55">
        <v>2827.8</v>
      </c>
      <c r="L423" s="55">
        <v>189</v>
      </c>
      <c r="M423" s="55">
        <v>1215.2</v>
      </c>
      <c r="N423" s="55">
        <v>35.799999999999997</v>
      </c>
    </row>
    <row r="424" spans="1:14" ht="10.050000000000001" hidden="1" customHeight="1">
      <c r="A424" s="52" t="s">
        <v>308</v>
      </c>
      <c r="B424" s="53">
        <v>2002</v>
      </c>
      <c r="C424" s="52" t="s">
        <v>109</v>
      </c>
      <c r="D424" s="54">
        <v>11</v>
      </c>
      <c r="E424" s="55">
        <v>99662.9</v>
      </c>
      <c r="F424" s="55">
        <v>0</v>
      </c>
      <c r="G424" s="55">
        <v>99662.9</v>
      </c>
      <c r="H424" s="55">
        <v>239297.5</v>
      </c>
      <c r="I424" s="55">
        <v>190.5</v>
      </c>
      <c r="J424" s="55">
        <v>239488</v>
      </c>
      <c r="K424" s="55">
        <v>15552.1</v>
      </c>
      <c r="L424" s="55">
        <v>5343.8</v>
      </c>
      <c r="M424" s="55">
        <v>1123.4000000000001</v>
      </c>
      <c r="N424" s="55">
        <v>274.3</v>
      </c>
    </row>
    <row r="425" spans="1:14" ht="10.050000000000001" hidden="1" customHeight="1">
      <c r="A425" s="52" t="s">
        <v>174</v>
      </c>
      <c r="B425" s="53">
        <v>2002</v>
      </c>
      <c r="C425" s="52" t="s">
        <v>109</v>
      </c>
      <c r="D425" s="54">
        <v>11</v>
      </c>
      <c r="E425" s="55">
        <v>4650.3999999999996</v>
      </c>
      <c r="F425" s="55">
        <v>941.6</v>
      </c>
      <c r="G425" s="55">
        <v>5592</v>
      </c>
      <c r="H425" s="55">
        <v>183511.4</v>
      </c>
      <c r="I425" s="55">
        <v>19017.5</v>
      </c>
      <c r="J425" s="55">
        <v>202528.9</v>
      </c>
      <c r="K425" s="55">
        <v>37200.699999999997</v>
      </c>
      <c r="L425" s="55">
        <v>890.1</v>
      </c>
      <c r="M425" s="55">
        <v>1136.8</v>
      </c>
      <c r="N425" s="55">
        <v>2991.5</v>
      </c>
    </row>
    <row r="426" spans="1:14" ht="10.050000000000001" hidden="1" customHeight="1">
      <c r="A426" s="52" t="s">
        <v>314</v>
      </c>
      <c r="B426" s="53">
        <v>2002</v>
      </c>
      <c r="C426" s="52" t="s">
        <v>109</v>
      </c>
      <c r="D426" s="54">
        <v>12</v>
      </c>
      <c r="E426" s="55">
        <v>0</v>
      </c>
      <c r="F426" s="55">
        <v>0</v>
      </c>
      <c r="G426" s="55">
        <v>0</v>
      </c>
      <c r="H426" s="55">
        <v>38.5</v>
      </c>
      <c r="I426" s="55">
        <v>0</v>
      </c>
      <c r="J426" s="55">
        <v>38.5</v>
      </c>
      <c r="K426" s="55">
        <v>0</v>
      </c>
      <c r="L426" s="55">
        <v>0</v>
      </c>
      <c r="M426" s="55">
        <v>0</v>
      </c>
      <c r="N426" s="55">
        <v>0</v>
      </c>
    </row>
    <row r="427" spans="1:14" ht="10.050000000000001" hidden="1" customHeight="1">
      <c r="A427" s="52" t="s">
        <v>306</v>
      </c>
      <c r="B427" s="53">
        <v>2002</v>
      </c>
      <c r="C427" s="52" t="s">
        <v>109</v>
      </c>
      <c r="D427" s="54">
        <v>12</v>
      </c>
      <c r="E427" s="55">
        <v>7310.9</v>
      </c>
      <c r="F427" s="55">
        <v>1725.3</v>
      </c>
      <c r="G427" s="55">
        <v>9036.2000000000007</v>
      </c>
      <c r="H427" s="55">
        <v>235604.2</v>
      </c>
      <c r="I427" s="55">
        <v>8415</v>
      </c>
      <c r="J427" s="55">
        <v>244019.20000000001</v>
      </c>
      <c r="K427" s="55">
        <v>19431.900000000001</v>
      </c>
      <c r="L427" s="55">
        <v>860</v>
      </c>
      <c r="M427" s="55">
        <v>2854.7</v>
      </c>
      <c r="N427" s="55">
        <v>431.7</v>
      </c>
    </row>
    <row r="428" spans="1:14" ht="10.050000000000001" hidden="1" customHeight="1">
      <c r="A428" s="52" t="s">
        <v>172</v>
      </c>
      <c r="B428" s="53">
        <v>2002</v>
      </c>
      <c r="C428" s="52" t="s">
        <v>109</v>
      </c>
      <c r="D428" s="54">
        <v>12</v>
      </c>
      <c r="E428" s="55">
        <v>86830.399999999994</v>
      </c>
      <c r="F428" s="55">
        <v>1738.4</v>
      </c>
      <c r="G428" s="55">
        <v>88568.8</v>
      </c>
      <c r="H428" s="55">
        <v>420530.6</v>
      </c>
      <c r="I428" s="55">
        <v>17082.7</v>
      </c>
      <c r="J428" s="55">
        <v>437613.3</v>
      </c>
      <c r="K428" s="55">
        <v>91010</v>
      </c>
      <c r="L428" s="55">
        <v>9439.6</v>
      </c>
      <c r="M428" s="55">
        <v>32076.2</v>
      </c>
      <c r="N428" s="55">
        <v>104.6</v>
      </c>
    </row>
    <row r="429" spans="1:14" ht="10.050000000000001" hidden="1" customHeight="1">
      <c r="A429" s="52" t="s">
        <v>171</v>
      </c>
      <c r="B429" s="53">
        <v>2002</v>
      </c>
      <c r="C429" s="52" t="s">
        <v>109</v>
      </c>
      <c r="D429" s="54">
        <v>12</v>
      </c>
      <c r="E429" s="55">
        <v>1206350.6000000001</v>
      </c>
      <c r="F429" s="55">
        <v>25052.5</v>
      </c>
      <c r="G429" s="55">
        <v>1231403.1000000001</v>
      </c>
      <c r="H429" s="55">
        <v>9544943.3000000101</v>
      </c>
      <c r="I429" s="55">
        <v>157976.9</v>
      </c>
      <c r="J429" s="55">
        <v>9702920.1999999993</v>
      </c>
      <c r="K429" s="55">
        <v>2575026.7000000002</v>
      </c>
      <c r="L429" s="55">
        <v>256569</v>
      </c>
      <c r="M429" s="55">
        <v>470856.9</v>
      </c>
      <c r="N429" s="55">
        <v>17120.2</v>
      </c>
    </row>
    <row r="430" spans="1:14" ht="10.050000000000001" hidden="1" customHeight="1">
      <c r="A430" s="52" t="s">
        <v>300</v>
      </c>
      <c r="B430" s="53">
        <v>2002</v>
      </c>
      <c r="C430" s="52" t="s">
        <v>109</v>
      </c>
      <c r="D430" s="54">
        <v>12</v>
      </c>
      <c r="E430" s="55">
        <v>89.5</v>
      </c>
      <c r="F430" s="55">
        <v>0</v>
      </c>
      <c r="G430" s="55">
        <v>89.5</v>
      </c>
      <c r="H430" s="55">
        <v>414.7</v>
      </c>
      <c r="I430" s="55">
        <v>52.3</v>
      </c>
      <c r="J430" s="55">
        <v>467</v>
      </c>
      <c r="K430" s="55">
        <v>0</v>
      </c>
      <c r="L430" s="55">
        <v>0</v>
      </c>
      <c r="M430" s="55">
        <v>0</v>
      </c>
      <c r="N430" s="55">
        <v>0</v>
      </c>
    </row>
    <row r="431" spans="1:14" ht="10.050000000000001" hidden="1" customHeight="1">
      <c r="A431" s="52" t="s">
        <v>307</v>
      </c>
      <c r="B431" s="53">
        <v>2002</v>
      </c>
      <c r="C431" s="52" t="s">
        <v>109</v>
      </c>
      <c r="D431" s="54">
        <v>12</v>
      </c>
      <c r="E431" s="55">
        <v>1150505.7</v>
      </c>
      <c r="F431" s="55">
        <v>3290.6</v>
      </c>
      <c r="G431" s="55">
        <v>1153796.3</v>
      </c>
      <c r="H431" s="55">
        <v>6737667.7999999998</v>
      </c>
      <c r="I431" s="55">
        <v>106297.9</v>
      </c>
      <c r="J431" s="55">
        <v>6843965.7000000002</v>
      </c>
      <c r="K431" s="55">
        <v>2215449.7000000002</v>
      </c>
      <c r="L431" s="55">
        <v>242695.5</v>
      </c>
      <c r="M431" s="55">
        <v>225949.7</v>
      </c>
      <c r="N431" s="55">
        <v>83355.100000000006</v>
      </c>
    </row>
    <row r="432" spans="1:14" ht="10.050000000000001" hidden="1" customHeight="1">
      <c r="A432" s="52" t="s">
        <v>315</v>
      </c>
      <c r="B432" s="53">
        <v>2002</v>
      </c>
      <c r="C432" s="52" t="s">
        <v>109</v>
      </c>
      <c r="D432" s="54">
        <v>12</v>
      </c>
      <c r="E432" s="55">
        <v>353.5</v>
      </c>
      <c r="F432" s="55">
        <v>0</v>
      </c>
      <c r="G432" s="55">
        <v>353.5</v>
      </c>
      <c r="H432" s="55">
        <v>18299.900000000001</v>
      </c>
      <c r="I432" s="55">
        <v>0</v>
      </c>
      <c r="J432" s="55">
        <v>18299.900000000001</v>
      </c>
      <c r="K432" s="55">
        <v>0</v>
      </c>
      <c r="L432" s="55">
        <v>0</v>
      </c>
      <c r="M432" s="55">
        <v>2.5</v>
      </c>
      <c r="N432" s="55">
        <v>0</v>
      </c>
    </row>
    <row r="433" spans="1:14" ht="10.050000000000001" hidden="1" customHeight="1">
      <c r="A433" s="52" t="s">
        <v>173</v>
      </c>
      <c r="B433" s="53">
        <v>2002</v>
      </c>
      <c r="C433" s="52" t="s">
        <v>109</v>
      </c>
      <c r="D433" s="54">
        <v>12</v>
      </c>
      <c r="E433" s="55">
        <v>237009.3</v>
      </c>
      <c r="F433" s="55">
        <v>16958.599999999999</v>
      </c>
      <c r="G433" s="55">
        <v>253967.9</v>
      </c>
      <c r="H433" s="55">
        <v>4429186.0999999996</v>
      </c>
      <c r="I433" s="55">
        <v>81356.600000000006</v>
      </c>
      <c r="J433" s="55">
        <v>4510542.7</v>
      </c>
      <c r="K433" s="55">
        <v>478379.7</v>
      </c>
      <c r="L433" s="55">
        <v>36162.5</v>
      </c>
      <c r="M433" s="55">
        <v>112198.6</v>
      </c>
      <c r="N433" s="55">
        <v>8169.9</v>
      </c>
    </row>
    <row r="434" spans="1:14" ht="10.050000000000001" customHeight="1">
      <c r="A434" s="52" t="s">
        <v>309</v>
      </c>
      <c r="B434" s="53">
        <v>2002</v>
      </c>
      <c r="C434" s="52" t="s">
        <v>109</v>
      </c>
      <c r="D434" s="54">
        <v>12</v>
      </c>
      <c r="E434" s="55">
        <v>1242.5</v>
      </c>
      <c r="F434" s="55">
        <v>1451.4</v>
      </c>
      <c r="G434" s="55">
        <v>2693.9</v>
      </c>
      <c r="H434" s="55">
        <v>50381.9</v>
      </c>
      <c r="I434" s="55">
        <v>0</v>
      </c>
      <c r="J434" s="55">
        <v>50381.9</v>
      </c>
      <c r="K434" s="55">
        <v>0</v>
      </c>
      <c r="L434" s="55">
        <v>0</v>
      </c>
      <c r="M434" s="55">
        <v>0</v>
      </c>
      <c r="N434" s="55">
        <v>0</v>
      </c>
    </row>
    <row r="435" spans="1:14" ht="10.050000000000001" hidden="1" customHeight="1">
      <c r="A435" s="52" t="s">
        <v>316</v>
      </c>
      <c r="B435" s="53">
        <v>2002</v>
      </c>
      <c r="C435" s="52" t="s">
        <v>109</v>
      </c>
      <c r="D435" s="54">
        <v>12</v>
      </c>
      <c r="E435" s="55">
        <v>65.599999999999994</v>
      </c>
      <c r="F435" s="55">
        <v>0</v>
      </c>
      <c r="G435" s="55">
        <v>65.599999999999994</v>
      </c>
      <c r="H435" s="55">
        <v>5292.6</v>
      </c>
      <c r="I435" s="55">
        <v>65</v>
      </c>
      <c r="J435" s="55">
        <v>5357.6</v>
      </c>
      <c r="K435" s="55">
        <v>23.4</v>
      </c>
      <c r="L435" s="55">
        <v>0</v>
      </c>
      <c r="M435" s="55">
        <v>0</v>
      </c>
      <c r="N435" s="55">
        <v>1</v>
      </c>
    </row>
    <row r="436" spans="1:14" ht="10.050000000000001" hidden="1" customHeight="1">
      <c r="A436" s="52" t="s">
        <v>310</v>
      </c>
      <c r="B436" s="53">
        <v>2002</v>
      </c>
      <c r="C436" s="52" t="s">
        <v>109</v>
      </c>
      <c r="D436" s="54">
        <v>12</v>
      </c>
      <c r="E436" s="55">
        <v>2094.6</v>
      </c>
      <c r="F436" s="55">
        <v>11.3</v>
      </c>
      <c r="G436" s="55">
        <v>2105.9</v>
      </c>
      <c r="H436" s="55">
        <v>26704.6</v>
      </c>
      <c r="I436" s="55">
        <v>470.5</v>
      </c>
      <c r="J436" s="55">
        <v>27175.1</v>
      </c>
      <c r="K436" s="55">
        <v>2432.6999999999998</v>
      </c>
      <c r="L436" s="55">
        <v>254.1</v>
      </c>
      <c r="M436" s="55">
        <v>579.1</v>
      </c>
      <c r="N436" s="55">
        <v>70.099999999999994</v>
      </c>
    </row>
    <row r="437" spans="1:14" ht="10.050000000000001" hidden="1" customHeight="1">
      <c r="A437" s="52" t="s">
        <v>308</v>
      </c>
      <c r="B437" s="53">
        <v>2002</v>
      </c>
      <c r="C437" s="52" t="s">
        <v>109</v>
      </c>
      <c r="D437" s="54">
        <v>12</v>
      </c>
      <c r="E437" s="55">
        <v>32052.3</v>
      </c>
      <c r="F437" s="55">
        <v>0</v>
      </c>
      <c r="G437" s="55">
        <v>32052.3</v>
      </c>
      <c r="H437" s="55">
        <v>226894.7</v>
      </c>
      <c r="I437" s="55">
        <v>190.5</v>
      </c>
      <c r="J437" s="55">
        <v>227085.2</v>
      </c>
      <c r="K437" s="55">
        <v>15580.3</v>
      </c>
      <c r="L437" s="55">
        <v>1952</v>
      </c>
      <c r="M437" s="55">
        <v>1628.4</v>
      </c>
      <c r="N437" s="55">
        <v>295.39999999999998</v>
      </c>
    </row>
    <row r="438" spans="1:14" ht="10.050000000000001" hidden="1" customHeight="1">
      <c r="A438" s="52" t="s">
        <v>174</v>
      </c>
      <c r="B438" s="53">
        <v>2002</v>
      </c>
      <c r="C438" s="52" t="s">
        <v>109</v>
      </c>
      <c r="D438" s="54">
        <v>12</v>
      </c>
      <c r="E438" s="55">
        <v>5058.3</v>
      </c>
      <c r="F438" s="55">
        <v>685.3</v>
      </c>
      <c r="G438" s="55">
        <v>5743.6</v>
      </c>
      <c r="H438" s="55">
        <v>154424.70000000001</v>
      </c>
      <c r="I438" s="55">
        <v>14448.1</v>
      </c>
      <c r="J438" s="55">
        <v>168872.8</v>
      </c>
      <c r="K438" s="55">
        <v>33391.5</v>
      </c>
      <c r="L438" s="55">
        <v>836.9</v>
      </c>
      <c r="M438" s="55">
        <v>1974.1</v>
      </c>
      <c r="N438" s="55">
        <v>2671.5</v>
      </c>
    </row>
    <row r="439" spans="1:14" ht="10.050000000000001" hidden="1" customHeight="1">
      <c r="A439" s="52" t="s">
        <v>171</v>
      </c>
      <c r="B439" s="53">
        <v>2002</v>
      </c>
      <c r="C439" s="52" t="s">
        <v>106</v>
      </c>
      <c r="D439" s="54">
        <v>7</v>
      </c>
      <c r="E439" s="55">
        <v>1470.4</v>
      </c>
      <c r="F439" s="55">
        <v>0</v>
      </c>
      <c r="G439" s="55">
        <v>1470.4</v>
      </c>
      <c r="H439" s="55">
        <v>540.70000000000005</v>
      </c>
      <c r="I439" s="55">
        <v>0</v>
      </c>
      <c r="J439" s="55">
        <v>540.70000000000005</v>
      </c>
      <c r="K439" s="55">
        <v>0</v>
      </c>
      <c r="L439" s="55">
        <v>0</v>
      </c>
      <c r="M439" s="55">
        <v>0</v>
      </c>
      <c r="N439" s="55">
        <v>0</v>
      </c>
    </row>
    <row r="440" spans="1:14" ht="10.050000000000001" hidden="1" customHeight="1">
      <c r="A440" s="52" t="s">
        <v>173</v>
      </c>
      <c r="B440" s="53">
        <v>2002</v>
      </c>
      <c r="C440" s="52" t="s">
        <v>106</v>
      </c>
      <c r="D440" s="54">
        <v>7</v>
      </c>
      <c r="E440" s="55">
        <v>186.8</v>
      </c>
      <c r="F440" s="55">
        <v>0</v>
      </c>
      <c r="G440" s="55">
        <v>186.8</v>
      </c>
      <c r="H440" s="55">
        <v>57.7</v>
      </c>
      <c r="I440" s="55">
        <v>0</v>
      </c>
      <c r="J440" s="55">
        <v>57.7</v>
      </c>
      <c r="K440" s="55">
        <v>0</v>
      </c>
      <c r="L440" s="55">
        <v>0</v>
      </c>
      <c r="M440" s="55">
        <v>0</v>
      </c>
      <c r="N440" s="55">
        <v>0</v>
      </c>
    </row>
    <row r="441" spans="1:14" ht="10.050000000000001" hidden="1" customHeight="1">
      <c r="A441" s="52" t="s">
        <v>174</v>
      </c>
      <c r="B441" s="53">
        <v>2002</v>
      </c>
      <c r="C441" s="52" t="s">
        <v>106</v>
      </c>
      <c r="D441" s="54">
        <v>7</v>
      </c>
      <c r="E441" s="55">
        <v>538.4</v>
      </c>
      <c r="F441" s="55">
        <v>0</v>
      </c>
      <c r="G441" s="55">
        <v>538.4</v>
      </c>
      <c r="H441" s="55">
        <v>538.4</v>
      </c>
      <c r="I441" s="55">
        <v>0</v>
      </c>
      <c r="J441" s="55">
        <v>538.4</v>
      </c>
      <c r="K441" s="55">
        <v>0</v>
      </c>
      <c r="L441" s="55">
        <v>0</v>
      </c>
      <c r="M441" s="55">
        <v>0</v>
      </c>
      <c r="N441" s="55">
        <v>0</v>
      </c>
    </row>
    <row r="442" spans="1:14" ht="10.050000000000001" hidden="1" customHeight="1">
      <c r="A442" s="52" t="s">
        <v>314</v>
      </c>
      <c r="B442" s="53">
        <v>2003</v>
      </c>
      <c r="C442" s="52" t="s">
        <v>109</v>
      </c>
      <c r="D442" s="54">
        <v>1</v>
      </c>
      <c r="E442" s="55">
        <v>0</v>
      </c>
      <c r="F442" s="55">
        <v>0</v>
      </c>
      <c r="G442" s="55">
        <v>0</v>
      </c>
      <c r="H442" s="55">
        <v>38.5</v>
      </c>
      <c r="I442" s="55">
        <v>0</v>
      </c>
      <c r="J442" s="55">
        <v>38.5</v>
      </c>
      <c r="K442" s="55">
        <v>0</v>
      </c>
      <c r="L442" s="55">
        <v>0</v>
      </c>
      <c r="M442" s="55">
        <v>0</v>
      </c>
      <c r="N442" s="55">
        <v>0</v>
      </c>
    </row>
    <row r="443" spans="1:14" ht="10.050000000000001" hidden="1" customHeight="1">
      <c r="A443" s="52" t="s">
        <v>306</v>
      </c>
      <c r="B443" s="53">
        <v>2003</v>
      </c>
      <c r="C443" s="52" t="s">
        <v>109</v>
      </c>
      <c r="D443" s="54">
        <v>1</v>
      </c>
      <c r="E443" s="55">
        <v>6601.1</v>
      </c>
      <c r="F443" s="55">
        <v>1501.6</v>
      </c>
      <c r="G443" s="55">
        <v>8102.7</v>
      </c>
      <c r="H443" s="55">
        <v>222039.1</v>
      </c>
      <c r="I443" s="55">
        <v>8380.7000000000007</v>
      </c>
      <c r="J443" s="55">
        <v>230419.8</v>
      </c>
      <c r="K443" s="55">
        <v>16736.2</v>
      </c>
      <c r="L443" s="55">
        <v>421.7</v>
      </c>
      <c r="M443" s="55">
        <v>2430.8000000000002</v>
      </c>
      <c r="N443" s="55">
        <v>686.6</v>
      </c>
    </row>
    <row r="444" spans="1:14" ht="10.050000000000001" hidden="1" customHeight="1">
      <c r="A444" s="52" t="s">
        <v>172</v>
      </c>
      <c r="B444" s="53">
        <v>2003</v>
      </c>
      <c r="C444" s="52" t="s">
        <v>109</v>
      </c>
      <c r="D444" s="54">
        <v>1</v>
      </c>
      <c r="E444" s="55">
        <v>142108.20000000001</v>
      </c>
      <c r="F444" s="55">
        <v>805.1</v>
      </c>
      <c r="G444" s="55">
        <v>142913.29999999999</v>
      </c>
      <c r="H444" s="55">
        <v>425264</v>
      </c>
      <c r="I444" s="55">
        <v>13418.1</v>
      </c>
      <c r="J444" s="55">
        <v>438682.1</v>
      </c>
      <c r="K444" s="55">
        <v>39394.400000000001</v>
      </c>
      <c r="L444" s="55">
        <v>6211.4</v>
      </c>
      <c r="M444" s="55">
        <v>57706.3</v>
      </c>
      <c r="N444" s="55">
        <v>120.7</v>
      </c>
    </row>
    <row r="445" spans="1:14" ht="10.050000000000001" hidden="1" customHeight="1">
      <c r="A445" s="52" t="s">
        <v>171</v>
      </c>
      <c r="B445" s="53">
        <v>2003</v>
      </c>
      <c r="C445" s="52" t="s">
        <v>109</v>
      </c>
      <c r="D445" s="54">
        <v>1</v>
      </c>
      <c r="E445" s="55">
        <v>2222973.2999999998</v>
      </c>
      <c r="F445" s="55">
        <v>16614.2</v>
      </c>
      <c r="G445" s="55">
        <v>2239587.5</v>
      </c>
      <c r="H445" s="55">
        <v>9119091.0999999996</v>
      </c>
      <c r="I445" s="55">
        <v>141956.4</v>
      </c>
      <c r="J445" s="55">
        <v>9261047.5</v>
      </c>
      <c r="K445" s="55">
        <v>2226468.1</v>
      </c>
      <c r="L445" s="55">
        <v>381046.3</v>
      </c>
      <c r="M445" s="55">
        <v>698144.1</v>
      </c>
      <c r="N445" s="55">
        <v>32370.3</v>
      </c>
    </row>
    <row r="446" spans="1:14" ht="10.050000000000001" hidden="1" customHeight="1">
      <c r="A446" s="52" t="s">
        <v>300</v>
      </c>
      <c r="B446" s="53">
        <v>2003</v>
      </c>
      <c r="C446" s="52" t="s">
        <v>109</v>
      </c>
      <c r="D446" s="54">
        <v>1</v>
      </c>
      <c r="E446" s="55">
        <v>24.5</v>
      </c>
      <c r="F446" s="55">
        <v>0</v>
      </c>
      <c r="G446" s="55">
        <v>24.5</v>
      </c>
      <c r="H446" s="55">
        <v>403.1</v>
      </c>
      <c r="I446" s="55">
        <v>52.3</v>
      </c>
      <c r="J446" s="55">
        <v>455.4</v>
      </c>
      <c r="K446" s="55">
        <v>0</v>
      </c>
      <c r="L446" s="55">
        <v>0</v>
      </c>
      <c r="M446" s="55">
        <v>0</v>
      </c>
      <c r="N446" s="55">
        <v>0</v>
      </c>
    </row>
    <row r="447" spans="1:14" ht="10.050000000000001" hidden="1" customHeight="1">
      <c r="A447" s="52" t="s">
        <v>307</v>
      </c>
      <c r="B447" s="53">
        <v>2003</v>
      </c>
      <c r="C447" s="52" t="s">
        <v>109</v>
      </c>
      <c r="D447" s="54">
        <v>1</v>
      </c>
      <c r="E447" s="55">
        <v>764545.8</v>
      </c>
      <c r="F447" s="55">
        <v>35503.800000000003</v>
      </c>
      <c r="G447" s="55">
        <v>800049.60000000102</v>
      </c>
      <c r="H447" s="55">
        <v>6278710.7000000002</v>
      </c>
      <c r="I447" s="55">
        <v>121260.7</v>
      </c>
      <c r="J447" s="55">
        <v>6399971.4000000004</v>
      </c>
      <c r="K447" s="55">
        <v>1625543.4</v>
      </c>
      <c r="L447" s="55">
        <v>44647.7</v>
      </c>
      <c r="M447" s="55">
        <v>568358.5</v>
      </c>
      <c r="N447" s="55">
        <v>65539.3</v>
      </c>
    </row>
    <row r="448" spans="1:14" ht="10.050000000000001" hidden="1" customHeight="1">
      <c r="A448" s="52" t="s">
        <v>315</v>
      </c>
      <c r="B448" s="53">
        <v>2003</v>
      </c>
      <c r="C448" s="52" t="s">
        <v>109</v>
      </c>
      <c r="D448" s="54">
        <v>1</v>
      </c>
      <c r="E448" s="55">
        <v>262.8</v>
      </c>
      <c r="F448" s="55">
        <v>0</v>
      </c>
      <c r="G448" s="55">
        <v>262.8</v>
      </c>
      <c r="H448" s="55">
        <v>16034.2</v>
      </c>
      <c r="I448" s="55">
        <v>0</v>
      </c>
      <c r="J448" s="55">
        <v>16034.2</v>
      </c>
      <c r="K448" s="55">
        <v>0</v>
      </c>
      <c r="L448" s="55">
        <v>0</v>
      </c>
      <c r="M448" s="55">
        <v>0</v>
      </c>
      <c r="N448" s="55">
        <v>0</v>
      </c>
    </row>
    <row r="449" spans="1:14" ht="10.050000000000001" hidden="1" customHeight="1">
      <c r="A449" s="52" t="s">
        <v>173</v>
      </c>
      <c r="B449" s="53">
        <v>2003</v>
      </c>
      <c r="C449" s="52" t="s">
        <v>109</v>
      </c>
      <c r="D449" s="54">
        <v>1</v>
      </c>
      <c r="E449" s="55">
        <v>396283.4</v>
      </c>
      <c r="F449" s="55">
        <v>11855.1</v>
      </c>
      <c r="G449" s="55">
        <v>408138.5</v>
      </c>
      <c r="H449" s="55">
        <v>3900768.1</v>
      </c>
      <c r="I449" s="55">
        <v>70269.399999999994</v>
      </c>
      <c r="J449" s="55">
        <v>3971037.5</v>
      </c>
      <c r="K449" s="55">
        <v>334243.09999999998</v>
      </c>
      <c r="L449" s="55">
        <v>45652.5</v>
      </c>
      <c r="M449" s="55">
        <v>178729.7</v>
      </c>
      <c r="N449" s="55">
        <v>11059.4</v>
      </c>
    </row>
    <row r="450" spans="1:14" ht="10.050000000000001" customHeight="1">
      <c r="A450" s="52" t="s">
        <v>309</v>
      </c>
      <c r="B450" s="53">
        <v>2003</v>
      </c>
      <c r="C450" s="52" t="s">
        <v>109</v>
      </c>
      <c r="D450" s="54">
        <v>1</v>
      </c>
      <c r="E450" s="55">
        <v>597.5</v>
      </c>
      <c r="F450" s="55">
        <v>0</v>
      </c>
      <c r="G450" s="55">
        <v>597.5</v>
      </c>
      <c r="H450" s="55">
        <v>48617.1</v>
      </c>
      <c r="I450" s="55">
        <v>0</v>
      </c>
      <c r="J450" s="55">
        <v>48617.1</v>
      </c>
      <c r="K450" s="55">
        <v>0</v>
      </c>
      <c r="L450" s="55">
        <v>0</v>
      </c>
      <c r="M450" s="55">
        <v>0</v>
      </c>
      <c r="N450" s="55">
        <v>0</v>
      </c>
    </row>
    <row r="451" spans="1:14" ht="10.050000000000001" hidden="1" customHeight="1">
      <c r="A451" s="52" t="s">
        <v>316</v>
      </c>
      <c r="B451" s="53">
        <v>2003</v>
      </c>
      <c r="C451" s="52" t="s">
        <v>109</v>
      </c>
      <c r="D451" s="54">
        <v>1</v>
      </c>
      <c r="E451" s="55">
        <v>165.3</v>
      </c>
      <c r="F451" s="55">
        <v>0</v>
      </c>
      <c r="G451" s="55">
        <v>165.3</v>
      </c>
      <c r="H451" s="55">
        <v>5057.7</v>
      </c>
      <c r="I451" s="55">
        <v>65</v>
      </c>
      <c r="J451" s="55">
        <v>5122.7</v>
      </c>
      <c r="K451" s="55">
        <v>23.4</v>
      </c>
      <c r="L451" s="55">
        <v>0</v>
      </c>
      <c r="M451" s="55">
        <v>0</v>
      </c>
      <c r="N451" s="55">
        <v>0</v>
      </c>
    </row>
    <row r="452" spans="1:14" ht="10.050000000000001" hidden="1" customHeight="1">
      <c r="A452" s="52" t="s">
        <v>310</v>
      </c>
      <c r="B452" s="53">
        <v>2003</v>
      </c>
      <c r="C452" s="52" t="s">
        <v>109</v>
      </c>
      <c r="D452" s="54">
        <v>1</v>
      </c>
      <c r="E452" s="55">
        <v>1903.6</v>
      </c>
      <c r="F452" s="55">
        <v>0</v>
      </c>
      <c r="G452" s="55">
        <v>1903.6</v>
      </c>
      <c r="H452" s="55">
        <v>23959</v>
      </c>
      <c r="I452" s="55">
        <v>402.8</v>
      </c>
      <c r="J452" s="55">
        <v>24361.8</v>
      </c>
      <c r="K452" s="55">
        <v>1633.8</v>
      </c>
      <c r="L452" s="55">
        <v>73.099999999999994</v>
      </c>
      <c r="M452" s="55">
        <v>836.7</v>
      </c>
      <c r="N452" s="55">
        <v>35.299999999999997</v>
      </c>
    </row>
    <row r="453" spans="1:14" ht="10.050000000000001" hidden="1" customHeight="1">
      <c r="A453" s="52" t="s">
        <v>308</v>
      </c>
      <c r="B453" s="53">
        <v>2003</v>
      </c>
      <c r="C453" s="52" t="s">
        <v>109</v>
      </c>
      <c r="D453" s="54">
        <v>1</v>
      </c>
      <c r="E453" s="55">
        <v>10909.1</v>
      </c>
      <c r="F453" s="55">
        <v>0</v>
      </c>
      <c r="G453" s="55">
        <v>10909.1</v>
      </c>
      <c r="H453" s="55">
        <v>205835.1</v>
      </c>
      <c r="I453" s="55">
        <v>190.5</v>
      </c>
      <c r="J453" s="55">
        <v>206025.60000000001</v>
      </c>
      <c r="K453" s="55">
        <v>13266.6</v>
      </c>
      <c r="L453" s="55">
        <v>909.6</v>
      </c>
      <c r="M453" s="55">
        <v>2778.7</v>
      </c>
      <c r="N453" s="55">
        <v>444.6</v>
      </c>
    </row>
    <row r="454" spans="1:14" ht="10.050000000000001" hidden="1" customHeight="1">
      <c r="A454" s="52" t="s">
        <v>174</v>
      </c>
      <c r="B454" s="53">
        <v>2003</v>
      </c>
      <c r="C454" s="52" t="s">
        <v>109</v>
      </c>
      <c r="D454" s="54">
        <v>1</v>
      </c>
      <c r="E454" s="55">
        <v>4569.6000000000004</v>
      </c>
      <c r="F454" s="55">
        <v>144.80000000000001</v>
      </c>
      <c r="G454" s="55">
        <v>4714.3999999999996</v>
      </c>
      <c r="H454" s="55">
        <v>124437.3</v>
      </c>
      <c r="I454" s="55">
        <v>12508.9</v>
      </c>
      <c r="J454" s="55">
        <v>136946.20000000001</v>
      </c>
      <c r="K454" s="55">
        <v>28299.9</v>
      </c>
      <c r="L454" s="55">
        <v>1300.3</v>
      </c>
      <c r="M454" s="55">
        <v>1766.7</v>
      </c>
      <c r="N454" s="55">
        <v>4640.8999999999996</v>
      </c>
    </row>
    <row r="455" spans="1:14" ht="10.050000000000001" hidden="1" customHeight="1">
      <c r="A455" s="52" t="s">
        <v>314</v>
      </c>
      <c r="B455" s="53">
        <v>2003</v>
      </c>
      <c r="C455" s="52" t="s">
        <v>109</v>
      </c>
      <c r="D455" s="54">
        <v>2</v>
      </c>
      <c r="E455" s="55">
        <v>0</v>
      </c>
      <c r="F455" s="55">
        <v>0</v>
      </c>
      <c r="G455" s="55">
        <v>0</v>
      </c>
      <c r="H455" s="55">
        <v>16.5</v>
      </c>
      <c r="I455" s="55">
        <v>0</v>
      </c>
      <c r="J455" s="55">
        <v>16.5</v>
      </c>
      <c r="K455" s="55">
        <v>0</v>
      </c>
      <c r="L455" s="55">
        <v>0</v>
      </c>
      <c r="M455" s="55">
        <v>0</v>
      </c>
      <c r="N455" s="55">
        <v>0</v>
      </c>
    </row>
    <row r="456" spans="1:14" ht="10.050000000000001" hidden="1" customHeight="1">
      <c r="A456" s="52" t="s">
        <v>306</v>
      </c>
      <c r="B456" s="53">
        <v>2003</v>
      </c>
      <c r="C456" s="52" t="s">
        <v>109</v>
      </c>
      <c r="D456" s="54">
        <v>2</v>
      </c>
      <c r="E456" s="55">
        <v>6966.5</v>
      </c>
      <c r="F456" s="55">
        <v>428.4</v>
      </c>
      <c r="G456" s="55">
        <v>7394.9</v>
      </c>
      <c r="H456" s="55">
        <v>210254.5</v>
      </c>
      <c r="I456" s="55">
        <v>6403.1</v>
      </c>
      <c r="J456" s="55">
        <v>216657.6</v>
      </c>
      <c r="K456" s="55">
        <v>13967.6</v>
      </c>
      <c r="L456" s="55">
        <v>454</v>
      </c>
      <c r="M456" s="55">
        <v>2635.2</v>
      </c>
      <c r="N456" s="55">
        <v>543.79999999999995</v>
      </c>
    </row>
    <row r="457" spans="1:14" ht="10.050000000000001" hidden="1" customHeight="1">
      <c r="A457" s="52" t="s">
        <v>172</v>
      </c>
      <c r="B457" s="53">
        <v>2003</v>
      </c>
      <c r="C457" s="52" t="s">
        <v>109</v>
      </c>
      <c r="D457" s="54">
        <v>2</v>
      </c>
      <c r="E457" s="55">
        <v>75910.2</v>
      </c>
      <c r="F457" s="55">
        <v>916.6</v>
      </c>
      <c r="G457" s="55">
        <v>76826.8</v>
      </c>
      <c r="H457" s="55">
        <v>390632.2</v>
      </c>
      <c r="I457" s="55">
        <v>11179.4</v>
      </c>
      <c r="J457" s="55">
        <v>401811.6</v>
      </c>
      <c r="K457" s="55">
        <v>28228.400000000001</v>
      </c>
      <c r="L457" s="55">
        <v>3260.1</v>
      </c>
      <c r="M457" s="55">
        <v>14392</v>
      </c>
      <c r="N457" s="55">
        <v>34.1</v>
      </c>
    </row>
    <row r="458" spans="1:14" ht="10.050000000000001" hidden="1" customHeight="1">
      <c r="A458" s="52" t="s">
        <v>171</v>
      </c>
      <c r="B458" s="53">
        <v>2003</v>
      </c>
      <c r="C458" s="52" t="s">
        <v>109</v>
      </c>
      <c r="D458" s="54">
        <v>2</v>
      </c>
      <c r="E458" s="55">
        <v>1730678</v>
      </c>
      <c r="F458" s="55">
        <v>9756.4</v>
      </c>
      <c r="G458" s="55">
        <v>1740434.4</v>
      </c>
      <c r="H458" s="55">
        <v>8458089.9000000004</v>
      </c>
      <c r="I458" s="55">
        <v>130947.9</v>
      </c>
      <c r="J458" s="55">
        <v>8589037.8000000007</v>
      </c>
      <c r="K458" s="55">
        <v>1980728.6</v>
      </c>
      <c r="L458" s="55">
        <v>292779.2</v>
      </c>
      <c r="M458" s="55">
        <v>492097.9</v>
      </c>
      <c r="N458" s="55">
        <v>44962.9</v>
      </c>
    </row>
    <row r="459" spans="1:14" ht="10.050000000000001" hidden="1" customHeight="1">
      <c r="A459" s="52" t="s">
        <v>300</v>
      </c>
      <c r="B459" s="53">
        <v>2003</v>
      </c>
      <c r="C459" s="52" t="s">
        <v>109</v>
      </c>
      <c r="D459" s="54">
        <v>2</v>
      </c>
      <c r="E459" s="55">
        <v>51</v>
      </c>
      <c r="F459" s="55">
        <v>0</v>
      </c>
      <c r="G459" s="55">
        <v>51</v>
      </c>
      <c r="H459" s="55">
        <v>361.3</v>
      </c>
      <c r="I459" s="55">
        <v>31.5</v>
      </c>
      <c r="J459" s="55">
        <v>392.8</v>
      </c>
      <c r="K459" s="55">
        <v>0</v>
      </c>
      <c r="L459" s="55">
        <v>0</v>
      </c>
      <c r="M459" s="55">
        <v>0</v>
      </c>
      <c r="N459" s="55">
        <v>0</v>
      </c>
    </row>
    <row r="460" spans="1:14" ht="10.050000000000001" hidden="1" customHeight="1">
      <c r="A460" s="52" t="s">
        <v>307</v>
      </c>
      <c r="B460" s="53">
        <v>2003</v>
      </c>
      <c r="C460" s="52" t="s">
        <v>109</v>
      </c>
      <c r="D460" s="54">
        <v>2</v>
      </c>
      <c r="E460" s="55">
        <v>427532.9</v>
      </c>
      <c r="F460" s="55">
        <v>720.4</v>
      </c>
      <c r="G460" s="55">
        <v>428253.3</v>
      </c>
      <c r="H460" s="55">
        <v>5574611.5</v>
      </c>
      <c r="I460" s="55">
        <v>103364.5</v>
      </c>
      <c r="J460" s="55">
        <v>5677976</v>
      </c>
      <c r="K460" s="55">
        <v>1309992.6000000001</v>
      </c>
      <c r="L460" s="55">
        <v>35754.9</v>
      </c>
      <c r="M460" s="55">
        <v>299737.2</v>
      </c>
      <c r="N460" s="55">
        <v>51566</v>
      </c>
    </row>
    <row r="461" spans="1:14" ht="10.050000000000001" hidden="1" customHeight="1">
      <c r="A461" s="52" t="s">
        <v>315</v>
      </c>
      <c r="B461" s="53">
        <v>2003</v>
      </c>
      <c r="C461" s="52" t="s">
        <v>109</v>
      </c>
      <c r="D461" s="54">
        <v>2</v>
      </c>
      <c r="E461" s="55">
        <v>362.2</v>
      </c>
      <c r="F461" s="55">
        <v>0</v>
      </c>
      <c r="G461" s="55">
        <v>362.2</v>
      </c>
      <c r="H461" s="55">
        <v>13266.1</v>
      </c>
      <c r="I461" s="55">
        <v>0</v>
      </c>
      <c r="J461" s="55">
        <v>13266.1</v>
      </c>
      <c r="K461" s="55">
        <v>0</v>
      </c>
      <c r="L461" s="55">
        <v>0</v>
      </c>
      <c r="M461" s="55">
        <v>0</v>
      </c>
      <c r="N461" s="55">
        <v>0</v>
      </c>
    </row>
    <row r="462" spans="1:14" ht="10.050000000000001" hidden="1" customHeight="1">
      <c r="A462" s="52" t="s">
        <v>173</v>
      </c>
      <c r="B462" s="53">
        <v>2003</v>
      </c>
      <c r="C462" s="52" t="s">
        <v>109</v>
      </c>
      <c r="D462" s="54">
        <v>2</v>
      </c>
      <c r="E462" s="55">
        <v>248262</v>
      </c>
      <c r="F462" s="55">
        <v>12116.3</v>
      </c>
      <c r="G462" s="55">
        <v>260378.3</v>
      </c>
      <c r="H462" s="55">
        <v>3519275.3</v>
      </c>
      <c r="I462" s="55">
        <v>58848.3</v>
      </c>
      <c r="J462" s="55">
        <v>3578123.6</v>
      </c>
      <c r="K462" s="55">
        <v>290214.2</v>
      </c>
      <c r="L462" s="55">
        <v>35921.4</v>
      </c>
      <c r="M462" s="55">
        <v>69714.399999999994</v>
      </c>
      <c r="N462" s="55">
        <v>10202.5</v>
      </c>
    </row>
    <row r="463" spans="1:14" ht="10.050000000000001" customHeight="1">
      <c r="A463" s="52" t="s">
        <v>309</v>
      </c>
      <c r="B463" s="53">
        <v>2003</v>
      </c>
      <c r="C463" s="52" t="s">
        <v>109</v>
      </c>
      <c r="D463" s="54">
        <v>2</v>
      </c>
      <c r="E463" s="55">
        <v>239.8</v>
      </c>
      <c r="F463" s="55">
        <v>0</v>
      </c>
      <c r="G463" s="55">
        <v>239.8</v>
      </c>
      <c r="H463" s="55">
        <v>46918.6</v>
      </c>
      <c r="I463" s="55">
        <v>0</v>
      </c>
      <c r="J463" s="55">
        <v>46918.6</v>
      </c>
      <c r="K463" s="55">
        <v>0</v>
      </c>
      <c r="L463" s="55">
        <v>0</v>
      </c>
      <c r="M463" s="55">
        <v>0</v>
      </c>
      <c r="N463" s="55">
        <v>0</v>
      </c>
    </row>
    <row r="464" spans="1:14" ht="10.050000000000001" hidden="1" customHeight="1">
      <c r="A464" s="52" t="s">
        <v>316</v>
      </c>
      <c r="B464" s="53">
        <v>2003</v>
      </c>
      <c r="C464" s="52" t="s">
        <v>109</v>
      </c>
      <c r="D464" s="54">
        <v>2</v>
      </c>
      <c r="E464" s="55">
        <v>106.9</v>
      </c>
      <c r="F464" s="55">
        <v>0</v>
      </c>
      <c r="G464" s="55">
        <v>106.9</v>
      </c>
      <c r="H464" s="55">
        <v>4396.8999999999996</v>
      </c>
      <c r="I464" s="55">
        <v>65</v>
      </c>
      <c r="J464" s="55">
        <v>4461.8999999999996</v>
      </c>
      <c r="K464" s="55">
        <v>0</v>
      </c>
      <c r="L464" s="55">
        <v>0</v>
      </c>
      <c r="M464" s="55">
        <v>23.4</v>
      </c>
      <c r="N464" s="55">
        <v>0</v>
      </c>
    </row>
    <row r="465" spans="1:14" ht="10.050000000000001" hidden="1" customHeight="1">
      <c r="A465" s="52" t="s">
        <v>310</v>
      </c>
      <c r="B465" s="53">
        <v>2003</v>
      </c>
      <c r="C465" s="52" t="s">
        <v>109</v>
      </c>
      <c r="D465" s="54">
        <v>2</v>
      </c>
      <c r="E465" s="55">
        <v>1383.7</v>
      </c>
      <c r="F465" s="55">
        <v>80.3</v>
      </c>
      <c r="G465" s="55">
        <v>1464</v>
      </c>
      <c r="H465" s="55">
        <v>22206.400000000001</v>
      </c>
      <c r="I465" s="55">
        <v>322.3</v>
      </c>
      <c r="J465" s="55">
        <v>22528.7</v>
      </c>
      <c r="K465" s="55">
        <v>1342.4</v>
      </c>
      <c r="L465" s="55">
        <v>9.5</v>
      </c>
      <c r="M465" s="55">
        <v>285.7</v>
      </c>
      <c r="N465" s="55">
        <v>15.2</v>
      </c>
    </row>
    <row r="466" spans="1:14" ht="10.050000000000001" hidden="1" customHeight="1">
      <c r="A466" s="52" t="s">
        <v>308</v>
      </c>
      <c r="B466" s="53">
        <v>2003</v>
      </c>
      <c r="C466" s="52" t="s">
        <v>109</v>
      </c>
      <c r="D466" s="54">
        <v>2</v>
      </c>
      <c r="E466" s="55">
        <v>5016.8</v>
      </c>
      <c r="F466" s="55">
        <v>170.4</v>
      </c>
      <c r="G466" s="55">
        <v>5187.2</v>
      </c>
      <c r="H466" s="55">
        <v>175993.2</v>
      </c>
      <c r="I466" s="55">
        <v>409.7</v>
      </c>
      <c r="J466" s="55">
        <v>176402.9</v>
      </c>
      <c r="K466" s="55">
        <v>11201.9</v>
      </c>
      <c r="L466" s="55">
        <v>11.1</v>
      </c>
      <c r="M466" s="55">
        <v>1970.7</v>
      </c>
      <c r="N466" s="55">
        <v>105.1</v>
      </c>
    </row>
    <row r="467" spans="1:14" ht="10.050000000000001" hidden="1" customHeight="1">
      <c r="A467" s="52" t="s">
        <v>174</v>
      </c>
      <c r="B467" s="53">
        <v>2003</v>
      </c>
      <c r="C467" s="52" t="s">
        <v>109</v>
      </c>
      <c r="D467" s="54">
        <v>2</v>
      </c>
      <c r="E467" s="55">
        <v>3845.2</v>
      </c>
      <c r="F467" s="55">
        <v>433.2</v>
      </c>
      <c r="G467" s="55">
        <v>4278.3999999999996</v>
      </c>
      <c r="H467" s="55">
        <v>104629.9</v>
      </c>
      <c r="I467" s="55">
        <v>10717.4</v>
      </c>
      <c r="J467" s="55">
        <v>115347.3</v>
      </c>
      <c r="K467" s="55">
        <v>24791.1</v>
      </c>
      <c r="L467" s="55">
        <v>648.20000000000005</v>
      </c>
      <c r="M467" s="55">
        <v>1369.3</v>
      </c>
      <c r="N467" s="55">
        <v>2772</v>
      </c>
    </row>
    <row r="468" spans="1:14" ht="10.050000000000001" hidden="1" customHeight="1">
      <c r="A468" s="52" t="s">
        <v>314</v>
      </c>
      <c r="B468" s="53">
        <v>2003</v>
      </c>
      <c r="C468" s="52" t="s">
        <v>109</v>
      </c>
      <c r="D468" s="54">
        <v>3</v>
      </c>
      <c r="E468" s="55">
        <v>0</v>
      </c>
      <c r="F468" s="55">
        <v>0</v>
      </c>
      <c r="G468" s="55">
        <v>0</v>
      </c>
      <c r="H468" s="55">
        <v>14.8</v>
      </c>
      <c r="I468" s="55">
        <v>0</v>
      </c>
      <c r="J468" s="55">
        <v>14.8</v>
      </c>
      <c r="K468" s="55">
        <v>0</v>
      </c>
      <c r="L468" s="55">
        <v>0</v>
      </c>
      <c r="M468" s="55">
        <v>0</v>
      </c>
      <c r="N468" s="55">
        <v>0</v>
      </c>
    </row>
    <row r="469" spans="1:14" ht="10.050000000000001" hidden="1" customHeight="1">
      <c r="A469" s="52" t="s">
        <v>306</v>
      </c>
      <c r="B469" s="53">
        <v>2003</v>
      </c>
      <c r="C469" s="52" t="s">
        <v>109</v>
      </c>
      <c r="D469" s="54">
        <v>3</v>
      </c>
      <c r="E469" s="55">
        <v>7021.3</v>
      </c>
      <c r="F469" s="55">
        <v>862.7</v>
      </c>
      <c r="G469" s="55">
        <v>7884</v>
      </c>
      <c r="H469" s="55">
        <v>196525.3</v>
      </c>
      <c r="I469" s="55">
        <v>5768.8</v>
      </c>
      <c r="J469" s="55">
        <v>202294.1</v>
      </c>
      <c r="K469" s="55">
        <v>10966.2</v>
      </c>
      <c r="L469" s="55">
        <v>234.3</v>
      </c>
      <c r="M469" s="55">
        <v>2808.1</v>
      </c>
      <c r="N469" s="55">
        <v>488.7</v>
      </c>
    </row>
    <row r="470" spans="1:14" ht="10.050000000000001" hidden="1" customHeight="1">
      <c r="A470" s="52" t="s">
        <v>172</v>
      </c>
      <c r="B470" s="53">
        <v>2003</v>
      </c>
      <c r="C470" s="52" t="s">
        <v>109</v>
      </c>
      <c r="D470" s="54">
        <v>3</v>
      </c>
      <c r="E470" s="55">
        <v>71100.7</v>
      </c>
      <c r="F470" s="55">
        <v>131.4</v>
      </c>
      <c r="G470" s="55">
        <v>71232.100000000006</v>
      </c>
      <c r="H470" s="55">
        <v>330569.2</v>
      </c>
      <c r="I470" s="55">
        <v>7558.2</v>
      </c>
      <c r="J470" s="55">
        <v>338127.4</v>
      </c>
      <c r="K470" s="55">
        <v>14298.7</v>
      </c>
      <c r="L470" s="55">
        <v>1682.8</v>
      </c>
      <c r="M470" s="55">
        <v>15601</v>
      </c>
      <c r="N470" s="55">
        <v>11.5</v>
      </c>
    </row>
    <row r="471" spans="1:14" ht="10.050000000000001" hidden="1" customHeight="1">
      <c r="A471" s="52" t="s">
        <v>171</v>
      </c>
      <c r="B471" s="53">
        <v>2003</v>
      </c>
      <c r="C471" s="52" t="s">
        <v>109</v>
      </c>
      <c r="D471" s="54">
        <v>3</v>
      </c>
      <c r="E471" s="55">
        <v>2157194.2999999998</v>
      </c>
      <c r="F471" s="55">
        <v>17723.599999999999</v>
      </c>
      <c r="G471" s="55">
        <v>2174917.9</v>
      </c>
      <c r="H471" s="55">
        <v>7880332.7999999998</v>
      </c>
      <c r="I471" s="55">
        <v>110330.2</v>
      </c>
      <c r="J471" s="55">
        <v>7990663</v>
      </c>
      <c r="K471" s="55">
        <v>1115561.2</v>
      </c>
      <c r="L471" s="55">
        <v>178583</v>
      </c>
      <c r="M471" s="55">
        <v>1025368.5</v>
      </c>
      <c r="N471" s="55">
        <v>19168.599999999999</v>
      </c>
    </row>
    <row r="472" spans="1:14" ht="10.050000000000001" hidden="1" customHeight="1">
      <c r="A472" s="52" t="s">
        <v>300</v>
      </c>
      <c r="B472" s="53">
        <v>2003</v>
      </c>
      <c r="C472" s="52" t="s">
        <v>109</v>
      </c>
      <c r="D472" s="54">
        <v>3</v>
      </c>
      <c r="E472" s="55">
        <v>95.5</v>
      </c>
      <c r="F472" s="55">
        <v>0</v>
      </c>
      <c r="G472" s="55">
        <v>95.5</v>
      </c>
      <c r="H472" s="55">
        <v>344.6</v>
      </c>
      <c r="I472" s="55">
        <v>31.5</v>
      </c>
      <c r="J472" s="55">
        <v>376.1</v>
      </c>
      <c r="K472" s="55">
        <v>0</v>
      </c>
      <c r="L472" s="55">
        <v>0</v>
      </c>
      <c r="M472" s="55">
        <v>0</v>
      </c>
      <c r="N472" s="55">
        <v>0</v>
      </c>
    </row>
    <row r="473" spans="1:14" ht="10.050000000000001" hidden="1" customHeight="1">
      <c r="A473" s="52" t="s">
        <v>307</v>
      </c>
      <c r="B473" s="53">
        <v>2003</v>
      </c>
      <c r="C473" s="52" t="s">
        <v>109</v>
      </c>
      <c r="D473" s="54">
        <v>3</v>
      </c>
      <c r="E473" s="55">
        <v>361826.6</v>
      </c>
      <c r="F473" s="55">
        <v>10025.1</v>
      </c>
      <c r="G473" s="55">
        <v>371851.7</v>
      </c>
      <c r="H473" s="55">
        <v>4767614.2</v>
      </c>
      <c r="I473" s="55">
        <v>92094.3</v>
      </c>
      <c r="J473" s="55">
        <v>4859708.5</v>
      </c>
      <c r="K473" s="55">
        <v>1075259.5</v>
      </c>
      <c r="L473" s="55">
        <v>44895.9</v>
      </c>
      <c r="M473" s="55">
        <v>231708.5</v>
      </c>
      <c r="N473" s="55">
        <v>47920.800000000003</v>
      </c>
    </row>
    <row r="474" spans="1:14" ht="10.050000000000001" hidden="1" customHeight="1">
      <c r="A474" s="52" t="s">
        <v>315</v>
      </c>
      <c r="B474" s="53">
        <v>2003</v>
      </c>
      <c r="C474" s="52" t="s">
        <v>109</v>
      </c>
      <c r="D474" s="54">
        <v>3</v>
      </c>
      <c r="E474" s="55">
        <v>255.4</v>
      </c>
      <c r="F474" s="55">
        <v>0</v>
      </c>
      <c r="G474" s="55">
        <v>255.4</v>
      </c>
      <c r="H474" s="55">
        <v>10587.6</v>
      </c>
      <c r="I474" s="55">
        <v>0</v>
      </c>
      <c r="J474" s="55">
        <v>10587.6</v>
      </c>
      <c r="K474" s="55">
        <v>0</v>
      </c>
      <c r="L474" s="55">
        <v>0</v>
      </c>
      <c r="M474" s="55">
        <v>0</v>
      </c>
      <c r="N474" s="55">
        <v>0</v>
      </c>
    </row>
    <row r="475" spans="1:14" ht="10.050000000000001" hidden="1" customHeight="1">
      <c r="A475" s="52" t="s">
        <v>173</v>
      </c>
      <c r="B475" s="53">
        <v>2003</v>
      </c>
      <c r="C475" s="52" t="s">
        <v>109</v>
      </c>
      <c r="D475" s="54">
        <v>3</v>
      </c>
      <c r="E475" s="55">
        <v>330417.09999999998</v>
      </c>
      <c r="F475" s="55">
        <v>12119.5</v>
      </c>
      <c r="G475" s="55">
        <v>342536.6</v>
      </c>
      <c r="H475" s="55">
        <v>3170928.9</v>
      </c>
      <c r="I475" s="55">
        <v>47584.3</v>
      </c>
      <c r="J475" s="55">
        <v>3218513.2</v>
      </c>
      <c r="K475" s="55">
        <v>142378.70000000001</v>
      </c>
      <c r="L475" s="55">
        <v>12394.3</v>
      </c>
      <c r="M475" s="55">
        <v>147621.4</v>
      </c>
      <c r="N475" s="55">
        <v>12644.3</v>
      </c>
    </row>
    <row r="476" spans="1:14" ht="10.050000000000001" customHeight="1">
      <c r="A476" s="52" t="s">
        <v>309</v>
      </c>
      <c r="B476" s="53">
        <v>2003</v>
      </c>
      <c r="C476" s="52" t="s">
        <v>109</v>
      </c>
      <c r="D476" s="54">
        <v>3</v>
      </c>
      <c r="E476" s="55">
        <v>156.1</v>
      </c>
      <c r="F476" s="55">
        <v>0</v>
      </c>
      <c r="G476" s="55">
        <v>156.1</v>
      </c>
      <c r="H476" s="55">
        <v>43555.4</v>
      </c>
      <c r="I476" s="55">
        <v>0</v>
      </c>
      <c r="J476" s="55">
        <v>43555.4</v>
      </c>
      <c r="K476" s="55">
        <v>0</v>
      </c>
      <c r="L476" s="55">
        <v>0</v>
      </c>
      <c r="M476" s="55">
        <v>0</v>
      </c>
      <c r="N476" s="55">
        <v>0</v>
      </c>
    </row>
    <row r="477" spans="1:14" ht="10.050000000000001" hidden="1" customHeight="1">
      <c r="A477" s="52" t="s">
        <v>316</v>
      </c>
      <c r="B477" s="53">
        <v>2003</v>
      </c>
      <c r="C477" s="52" t="s">
        <v>109</v>
      </c>
      <c r="D477" s="54">
        <v>3</v>
      </c>
      <c r="E477" s="55">
        <v>100</v>
      </c>
      <c r="F477" s="55">
        <v>0</v>
      </c>
      <c r="G477" s="55">
        <v>100</v>
      </c>
      <c r="H477" s="55">
        <v>4093.5</v>
      </c>
      <c r="I477" s="55">
        <v>37.1</v>
      </c>
      <c r="J477" s="55">
        <v>4130.6000000000004</v>
      </c>
      <c r="K477" s="55">
        <v>0</v>
      </c>
      <c r="L477" s="55">
        <v>0</v>
      </c>
      <c r="M477" s="55">
        <v>0</v>
      </c>
      <c r="N477" s="55">
        <v>0</v>
      </c>
    </row>
    <row r="478" spans="1:14" ht="10.050000000000001" hidden="1" customHeight="1">
      <c r="A478" s="52" t="s">
        <v>310</v>
      </c>
      <c r="B478" s="53">
        <v>2003</v>
      </c>
      <c r="C478" s="52" t="s">
        <v>109</v>
      </c>
      <c r="D478" s="54">
        <v>3</v>
      </c>
      <c r="E478" s="55">
        <v>1381.5</v>
      </c>
      <c r="F478" s="55">
        <v>0</v>
      </c>
      <c r="G478" s="55">
        <v>1381.5</v>
      </c>
      <c r="H478" s="55">
        <v>19549.099999999999</v>
      </c>
      <c r="I478" s="55">
        <v>310.7</v>
      </c>
      <c r="J478" s="55">
        <v>19859.8</v>
      </c>
      <c r="K478" s="55">
        <v>1004.7</v>
      </c>
      <c r="L478" s="55">
        <v>68.099999999999994</v>
      </c>
      <c r="M478" s="55">
        <v>341.5</v>
      </c>
      <c r="N478" s="55">
        <v>64.3</v>
      </c>
    </row>
    <row r="479" spans="1:14" ht="10.050000000000001" hidden="1" customHeight="1">
      <c r="A479" s="52" t="s">
        <v>308</v>
      </c>
      <c r="B479" s="53">
        <v>2003</v>
      </c>
      <c r="C479" s="52" t="s">
        <v>109</v>
      </c>
      <c r="D479" s="54">
        <v>3</v>
      </c>
      <c r="E479" s="55">
        <v>6057.9</v>
      </c>
      <c r="F479" s="55">
        <v>1052.2</v>
      </c>
      <c r="G479" s="55">
        <v>7110.1</v>
      </c>
      <c r="H479" s="55">
        <v>148053</v>
      </c>
      <c r="I479" s="55">
        <v>440.7</v>
      </c>
      <c r="J479" s="55">
        <v>148493.70000000001</v>
      </c>
      <c r="K479" s="55">
        <v>7871.5</v>
      </c>
      <c r="L479" s="55">
        <v>124.7</v>
      </c>
      <c r="M479" s="55">
        <v>3279.3</v>
      </c>
      <c r="N479" s="55">
        <v>175.8</v>
      </c>
    </row>
    <row r="480" spans="1:14" ht="10.050000000000001" hidden="1" customHeight="1">
      <c r="A480" s="52" t="s">
        <v>174</v>
      </c>
      <c r="B480" s="53">
        <v>2003</v>
      </c>
      <c r="C480" s="52" t="s">
        <v>109</v>
      </c>
      <c r="D480" s="54">
        <v>3</v>
      </c>
      <c r="E480" s="55">
        <v>4099.8</v>
      </c>
      <c r="F480" s="55">
        <v>594.70000000000005</v>
      </c>
      <c r="G480" s="55">
        <v>4694.5</v>
      </c>
      <c r="H480" s="55">
        <v>84929.8</v>
      </c>
      <c r="I480" s="55">
        <v>9004.1</v>
      </c>
      <c r="J480" s="55">
        <v>93933.900000000096</v>
      </c>
      <c r="K480" s="55">
        <v>20176.8</v>
      </c>
      <c r="L480" s="55">
        <v>318.8</v>
      </c>
      <c r="M480" s="55">
        <v>1371.5</v>
      </c>
      <c r="N480" s="55">
        <v>3561.6</v>
      </c>
    </row>
    <row r="481" spans="1:14" ht="10.050000000000001" hidden="1" customHeight="1">
      <c r="A481" s="52" t="s">
        <v>314</v>
      </c>
      <c r="B481" s="53">
        <v>2003</v>
      </c>
      <c r="C481" s="52" t="s">
        <v>109</v>
      </c>
      <c r="D481" s="54">
        <v>4</v>
      </c>
      <c r="E481" s="55">
        <v>0</v>
      </c>
      <c r="F481" s="55">
        <v>0</v>
      </c>
      <c r="G481" s="55">
        <v>0</v>
      </c>
      <c r="H481" s="55">
        <v>14.2</v>
      </c>
      <c r="I481" s="55">
        <v>0</v>
      </c>
      <c r="J481" s="55">
        <v>14.2</v>
      </c>
      <c r="K481" s="55">
        <v>0</v>
      </c>
      <c r="L481" s="55">
        <v>0</v>
      </c>
      <c r="M481" s="55">
        <v>0</v>
      </c>
      <c r="N481" s="55">
        <v>0</v>
      </c>
    </row>
    <row r="482" spans="1:14" ht="10.050000000000001" hidden="1" customHeight="1">
      <c r="A482" s="52" t="s">
        <v>306</v>
      </c>
      <c r="B482" s="53">
        <v>2003</v>
      </c>
      <c r="C482" s="52" t="s">
        <v>109</v>
      </c>
      <c r="D482" s="54">
        <v>4</v>
      </c>
      <c r="E482" s="55">
        <v>5781.3</v>
      </c>
      <c r="F482" s="55">
        <v>517.20000000000005</v>
      </c>
      <c r="G482" s="55">
        <v>6298.5</v>
      </c>
      <c r="H482" s="55">
        <v>183637.5</v>
      </c>
      <c r="I482" s="55">
        <v>5199.7</v>
      </c>
      <c r="J482" s="55">
        <v>188837.2</v>
      </c>
      <c r="K482" s="55">
        <v>9390.9000000000106</v>
      </c>
      <c r="L482" s="55">
        <v>302</v>
      </c>
      <c r="M482" s="55">
        <v>1349.6</v>
      </c>
      <c r="N482" s="55">
        <v>527.70000000000005</v>
      </c>
    </row>
    <row r="483" spans="1:14" ht="10.050000000000001" hidden="1" customHeight="1">
      <c r="A483" s="52" t="s">
        <v>172</v>
      </c>
      <c r="B483" s="53">
        <v>2003</v>
      </c>
      <c r="C483" s="52" t="s">
        <v>109</v>
      </c>
      <c r="D483" s="54">
        <v>4</v>
      </c>
      <c r="E483" s="55">
        <v>27325.3</v>
      </c>
      <c r="F483" s="55">
        <v>0</v>
      </c>
      <c r="G483" s="55">
        <v>27325.3</v>
      </c>
      <c r="H483" s="55">
        <v>247108.4</v>
      </c>
      <c r="I483" s="55">
        <v>7328.9</v>
      </c>
      <c r="J483" s="55">
        <v>254437.3</v>
      </c>
      <c r="K483" s="55">
        <v>10144.5</v>
      </c>
      <c r="L483" s="55">
        <v>1110.5</v>
      </c>
      <c r="M483" s="55">
        <v>4989.8</v>
      </c>
      <c r="N483" s="55">
        <v>274.89999999999998</v>
      </c>
    </row>
    <row r="484" spans="1:14" ht="10.050000000000001" hidden="1" customHeight="1">
      <c r="A484" s="52" t="s">
        <v>171</v>
      </c>
      <c r="B484" s="53">
        <v>2003</v>
      </c>
      <c r="C484" s="52" t="s">
        <v>109</v>
      </c>
      <c r="D484" s="54">
        <v>4</v>
      </c>
      <c r="E484" s="55">
        <v>1362600.4</v>
      </c>
      <c r="F484" s="55">
        <v>6808.7</v>
      </c>
      <c r="G484" s="55">
        <v>1369409.1</v>
      </c>
      <c r="H484" s="55">
        <v>6510363</v>
      </c>
      <c r="I484" s="55">
        <v>105305.60000000001</v>
      </c>
      <c r="J484" s="55">
        <v>6615668.5999999996</v>
      </c>
      <c r="K484" s="55">
        <v>737809.1</v>
      </c>
      <c r="L484" s="55">
        <v>128415.9</v>
      </c>
      <c r="M484" s="55">
        <v>488852.3</v>
      </c>
      <c r="N484" s="55">
        <v>17496.599999999999</v>
      </c>
    </row>
    <row r="485" spans="1:14" ht="10.050000000000001" hidden="1" customHeight="1">
      <c r="A485" s="52" t="s">
        <v>300</v>
      </c>
      <c r="B485" s="53">
        <v>2003</v>
      </c>
      <c r="C485" s="52" t="s">
        <v>109</v>
      </c>
      <c r="D485" s="54">
        <v>4</v>
      </c>
      <c r="E485" s="55">
        <v>40</v>
      </c>
      <c r="F485" s="55">
        <v>0</v>
      </c>
      <c r="G485" s="55">
        <v>40</v>
      </c>
      <c r="H485" s="55">
        <v>316.39999999999998</v>
      </c>
      <c r="I485" s="55">
        <v>11.3</v>
      </c>
      <c r="J485" s="55">
        <v>327.7</v>
      </c>
      <c r="K485" s="55">
        <v>0</v>
      </c>
      <c r="L485" s="55">
        <v>0</v>
      </c>
      <c r="M485" s="55">
        <v>0</v>
      </c>
      <c r="N485" s="55">
        <v>0</v>
      </c>
    </row>
    <row r="486" spans="1:14" ht="10.050000000000001" hidden="1" customHeight="1">
      <c r="A486" s="52" t="s">
        <v>307</v>
      </c>
      <c r="B486" s="53">
        <v>2003</v>
      </c>
      <c r="C486" s="52" t="s">
        <v>109</v>
      </c>
      <c r="D486" s="54">
        <v>4</v>
      </c>
      <c r="E486" s="55">
        <v>283483.90000000002</v>
      </c>
      <c r="F486" s="55">
        <v>1</v>
      </c>
      <c r="G486" s="55">
        <v>283484.90000000002</v>
      </c>
      <c r="H486" s="55">
        <v>3829333</v>
      </c>
      <c r="I486" s="55">
        <v>82392.800000000003</v>
      </c>
      <c r="J486" s="55">
        <v>3911725.8</v>
      </c>
      <c r="K486" s="55">
        <v>940279.7</v>
      </c>
      <c r="L486" s="55">
        <v>56494.5</v>
      </c>
      <c r="M486" s="55">
        <v>154992</v>
      </c>
      <c r="N486" s="55">
        <v>36482.300000000003</v>
      </c>
    </row>
    <row r="487" spans="1:14" ht="10.050000000000001" hidden="1" customHeight="1">
      <c r="A487" s="52" t="s">
        <v>315</v>
      </c>
      <c r="B487" s="53">
        <v>2003</v>
      </c>
      <c r="C487" s="52" t="s">
        <v>109</v>
      </c>
      <c r="D487" s="54">
        <v>4</v>
      </c>
      <c r="E487" s="55">
        <v>311.7</v>
      </c>
      <c r="F487" s="55">
        <v>0</v>
      </c>
      <c r="G487" s="55">
        <v>311.7</v>
      </c>
      <c r="H487" s="55">
        <v>7932.5</v>
      </c>
      <c r="I487" s="55">
        <v>0</v>
      </c>
      <c r="J487" s="55">
        <v>7932.5</v>
      </c>
      <c r="K487" s="55">
        <v>0</v>
      </c>
      <c r="L487" s="55">
        <v>0</v>
      </c>
      <c r="M487" s="55">
        <v>0</v>
      </c>
      <c r="N487" s="55">
        <v>0</v>
      </c>
    </row>
    <row r="488" spans="1:14" ht="10.050000000000001" hidden="1" customHeight="1">
      <c r="A488" s="52" t="s">
        <v>173</v>
      </c>
      <c r="B488" s="53">
        <v>2003</v>
      </c>
      <c r="C488" s="52" t="s">
        <v>109</v>
      </c>
      <c r="D488" s="54">
        <v>4</v>
      </c>
      <c r="E488" s="55">
        <v>166496.20000000001</v>
      </c>
      <c r="F488" s="55">
        <v>2773.4</v>
      </c>
      <c r="G488" s="55">
        <v>169269.6</v>
      </c>
      <c r="H488" s="55">
        <v>2517463</v>
      </c>
      <c r="I488" s="55">
        <v>37618</v>
      </c>
      <c r="J488" s="55">
        <v>2555081</v>
      </c>
      <c r="K488" s="55">
        <v>97449.4</v>
      </c>
      <c r="L488" s="55">
        <v>8828.7999999999993</v>
      </c>
      <c r="M488" s="55">
        <v>48050.9</v>
      </c>
      <c r="N488" s="55">
        <v>5748.1</v>
      </c>
    </row>
    <row r="489" spans="1:14" ht="10.050000000000001" customHeight="1">
      <c r="A489" s="52" t="s">
        <v>309</v>
      </c>
      <c r="B489" s="53">
        <v>2003</v>
      </c>
      <c r="C489" s="52" t="s">
        <v>109</v>
      </c>
      <c r="D489" s="54">
        <v>4</v>
      </c>
      <c r="E489" s="55">
        <v>104.3</v>
      </c>
      <c r="F489" s="55">
        <v>0</v>
      </c>
      <c r="G489" s="55">
        <v>104.3</v>
      </c>
      <c r="H489" s="55">
        <v>39224.400000000001</v>
      </c>
      <c r="I489" s="55">
        <v>0</v>
      </c>
      <c r="J489" s="55">
        <v>39224.400000000001</v>
      </c>
      <c r="K489" s="55">
        <v>0</v>
      </c>
      <c r="L489" s="55">
        <v>0</v>
      </c>
      <c r="M489" s="55">
        <v>0</v>
      </c>
      <c r="N489" s="55">
        <v>0</v>
      </c>
    </row>
    <row r="490" spans="1:14" ht="10.050000000000001" hidden="1" customHeight="1">
      <c r="A490" s="52" t="s">
        <v>316</v>
      </c>
      <c r="B490" s="53">
        <v>2003</v>
      </c>
      <c r="C490" s="52" t="s">
        <v>109</v>
      </c>
      <c r="D490" s="54">
        <v>4</v>
      </c>
      <c r="E490" s="55">
        <v>28.8</v>
      </c>
      <c r="F490" s="55">
        <v>0</v>
      </c>
      <c r="G490" s="55">
        <v>28.8</v>
      </c>
      <c r="H490" s="55">
        <v>3700.2</v>
      </c>
      <c r="I490" s="55">
        <v>0</v>
      </c>
      <c r="J490" s="55">
        <v>3700.2</v>
      </c>
      <c r="K490" s="55">
        <v>0</v>
      </c>
      <c r="L490" s="55">
        <v>0</v>
      </c>
      <c r="M490" s="55">
        <v>0</v>
      </c>
      <c r="N490" s="55">
        <v>0</v>
      </c>
    </row>
    <row r="491" spans="1:14" ht="10.050000000000001" hidden="1" customHeight="1">
      <c r="A491" s="52" t="s">
        <v>310</v>
      </c>
      <c r="B491" s="53">
        <v>2003</v>
      </c>
      <c r="C491" s="52" t="s">
        <v>109</v>
      </c>
      <c r="D491" s="54">
        <v>4</v>
      </c>
      <c r="E491" s="55">
        <v>1400.5</v>
      </c>
      <c r="F491" s="55">
        <v>0</v>
      </c>
      <c r="G491" s="55">
        <v>1400.5</v>
      </c>
      <c r="H491" s="55">
        <v>17742.3</v>
      </c>
      <c r="I491" s="55">
        <v>311.89999999999998</v>
      </c>
      <c r="J491" s="55">
        <v>18054.2</v>
      </c>
      <c r="K491" s="55">
        <v>795.8</v>
      </c>
      <c r="L491" s="55">
        <v>212.2</v>
      </c>
      <c r="M491" s="55">
        <v>405.2</v>
      </c>
      <c r="N491" s="55">
        <v>15.9</v>
      </c>
    </row>
    <row r="492" spans="1:14" ht="10.050000000000001" hidden="1" customHeight="1">
      <c r="A492" s="52" t="s">
        <v>308</v>
      </c>
      <c r="B492" s="53">
        <v>2003</v>
      </c>
      <c r="C492" s="52" t="s">
        <v>109</v>
      </c>
      <c r="D492" s="54">
        <v>4</v>
      </c>
      <c r="E492" s="55">
        <v>3985.9</v>
      </c>
      <c r="F492" s="55">
        <v>0</v>
      </c>
      <c r="G492" s="55">
        <v>3985.9</v>
      </c>
      <c r="H492" s="55">
        <v>114746.4</v>
      </c>
      <c r="I492" s="55">
        <v>440.7</v>
      </c>
      <c r="J492" s="55">
        <v>115187.1</v>
      </c>
      <c r="K492" s="55">
        <v>5196.7</v>
      </c>
      <c r="L492" s="55">
        <v>311.89999999999998</v>
      </c>
      <c r="M492" s="55">
        <v>2816.1</v>
      </c>
      <c r="N492" s="55">
        <v>170.6</v>
      </c>
    </row>
    <row r="493" spans="1:14" ht="10.050000000000001" hidden="1" customHeight="1">
      <c r="A493" s="52" t="s">
        <v>174</v>
      </c>
      <c r="B493" s="53">
        <v>2003</v>
      </c>
      <c r="C493" s="52" t="s">
        <v>109</v>
      </c>
      <c r="D493" s="54">
        <v>4</v>
      </c>
      <c r="E493" s="55">
        <v>4184.2</v>
      </c>
      <c r="F493" s="55">
        <v>115.2</v>
      </c>
      <c r="G493" s="55">
        <v>4299.3999999999996</v>
      </c>
      <c r="H493" s="55">
        <v>65442.7</v>
      </c>
      <c r="I493" s="55">
        <v>8835.7000000000007</v>
      </c>
      <c r="J493" s="55">
        <v>74278.400000000096</v>
      </c>
      <c r="K493" s="55">
        <v>16856.099999999999</v>
      </c>
      <c r="L493" s="55">
        <v>386.4</v>
      </c>
      <c r="M493" s="55">
        <v>1212.3</v>
      </c>
      <c r="N493" s="55">
        <v>2494.8000000000002</v>
      </c>
    </row>
    <row r="494" spans="1:14" ht="10.050000000000001" hidden="1" customHeight="1">
      <c r="A494" s="52" t="s">
        <v>314</v>
      </c>
      <c r="B494" s="53">
        <v>2003</v>
      </c>
      <c r="C494" s="52" t="s">
        <v>109</v>
      </c>
      <c r="D494" s="54">
        <v>5</v>
      </c>
      <c r="E494" s="55">
        <v>0</v>
      </c>
      <c r="F494" s="55">
        <v>0</v>
      </c>
      <c r="G494" s="55">
        <v>0</v>
      </c>
      <c r="H494" s="55">
        <v>15.6</v>
      </c>
      <c r="I494" s="55">
        <v>0</v>
      </c>
      <c r="J494" s="55">
        <v>15.6</v>
      </c>
      <c r="K494" s="55">
        <v>0</v>
      </c>
      <c r="L494" s="55">
        <v>0</v>
      </c>
      <c r="M494" s="55">
        <v>0</v>
      </c>
      <c r="N494" s="55">
        <v>0</v>
      </c>
    </row>
    <row r="495" spans="1:14" ht="10.050000000000001" hidden="1" customHeight="1">
      <c r="A495" s="52" t="s">
        <v>306</v>
      </c>
      <c r="B495" s="53">
        <v>2003</v>
      </c>
      <c r="C495" s="52" t="s">
        <v>109</v>
      </c>
      <c r="D495" s="54">
        <v>5</v>
      </c>
      <c r="E495" s="55">
        <v>5742.6</v>
      </c>
      <c r="F495" s="55">
        <v>303.5</v>
      </c>
      <c r="G495" s="55">
        <v>6046.1</v>
      </c>
      <c r="H495" s="55">
        <v>167097.9</v>
      </c>
      <c r="I495" s="55">
        <v>4908.6000000000004</v>
      </c>
      <c r="J495" s="55">
        <v>172006.5</v>
      </c>
      <c r="K495" s="55">
        <v>6951.7</v>
      </c>
      <c r="L495" s="55">
        <v>497.9</v>
      </c>
      <c r="M495" s="55">
        <v>2200.9</v>
      </c>
      <c r="N495" s="55">
        <v>736.2</v>
      </c>
    </row>
    <row r="496" spans="1:14" ht="10.050000000000001" hidden="1" customHeight="1">
      <c r="A496" s="52" t="s">
        <v>172</v>
      </c>
      <c r="B496" s="53">
        <v>2003</v>
      </c>
      <c r="C496" s="52" t="s">
        <v>109</v>
      </c>
      <c r="D496" s="54">
        <v>5</v>
      </c>
      <c r="E496" s="55">
        <v>22795.9</v>
      </c>
      <c r="F496" s="55">
        <v>0</v>
      </c>
      <c r="G496" s="55">
        <v>22795.9</v>
      </c>
      <c r="H496" s="55">
        <v>176304.7</v>
      </c>
      <c r="I496" s="55">
        <v>6600.8</v>
      </c>
      <c r="J496" s="55">
        <v>182905.5</v>
      </c>
      <c r="K496" s="55">
        <v>3489.6</v>
      </c>
      <c r="L496" s="55">
        <v>357.3</v>
      </c>
      <c r="M496" s="55">
        <v>5342.4</v>
      </c>
      <c r="N496" s="55">
        <v>1669.8</v>
      </c>
    </row>
    <row r="497" spans="1:14" ht="10.050000000000001" hidden="1" customHeight="1">
      <c r="A497" s="52" t="s">
        <v>171</v>
      </c>
      <c r="B497" s="53">
        <v>2003</v>
      </c>
      <c r="C497" s="52" t="s">
        <v>109</v>
      </c>
      <c r="D497" s="54">
        <v>5</v>
      </c>
      <c r="E497" s="55">
        <v>1236806</v>
      </c>
      <c r="F497" s="55">
        <v>2799.7</v>
      </c>
      <c r="G497" s="55">
        <v>1239605.7</v>
      </c>
      <c r="H497" s="55">
        <v>4841877</v>
      </c>
      <c r="I497" s="55">
        <v>86547.4</v>
      </c>
      <c r="J497" s="55">
        <v>4928424.4000000004</v>
      </c>
      <c r="K497" s="55">
        <v>356499.9</v>
      </c>
      <c r="L497" s="55">
        <v>96038.2</v>
      </c>
      <c r="M497" s="55">
        <v>458012.3</v>
      </c>
      <c r="N497" s="55">
        <v>19769.099999999999</v>
      </c>
    </row>
    <row r="498" spans="1:14" ht="10.050000000000001" hidden="1" customHeight="1">
      <c r="A498" s="52" t="s">
        <v>300</v>
      </c>
      <c r="B498" s="53">
        <v>2003</v>
      </c>
      <c r="C498" s="52" t="s">
        <v>109</v>
      </c>
      <c r="D498" s="54">
        <v>5</v>
      </c>
      <c r="E498" s="55">
        <v>50.7</v>
      </c>
      <c r="F498" s="55">
        <v>0</v>
      </c>
      <c r="G498" s="55">
        <v>50.7</v>
      </c>
      <c r="H498" s="55">
        <v>317.3</v>
      </c>
      <c r="I498" s="55">
        <v>10.7</v>
      </c>
      <c r="J498" s="55">
        <v>328</v>
      </c>
      <c r="K498" s="55">
        <v>0</v>
      </c>
      <c r="L498" s="55">
        <v>0</v>
      </c>
      <c r="M498" s="55">
        <v>0</v>
      </c>
      <c r="N498" s="55">
        <v>0</v>
      </c>
    </row>
    <row r="499" spans="1:14" ht="10.050000000000001" hidden="1" customHeight="1">
      <c r="A499" s="52" t="s">
        <v>307</v>
      </c>
      <c r="B499" s="53">
        <v>2003</v>
      </c>
      <c r="C499" s="52" t="s">
        <v>109</v>
      </c>
      <c r="D499" s="54">
        <v>5</v>
      </c>
      <c r="E499" s="55">
        <v>403009.8</v>
      </c>
      <c r="F499" s="55">
        <v>0</v>
      </c>
      <c r="G499" s="55">
        <v>403009.8</v>
      </c>
      <c r="H499" s="55">
        <v>3054246.6</v>
      </c>
      <c r="I499" s="55">
        <v>79223.199999999997</v>
      </c>
      <c r="J499" s="55">
        <v>3133469.8</v>
      </c>
      <c r="K499" s="55">
        <v>687239.3</v>
      </c>
      <c r="L499" s="55">
        <v>54751.6</v>
      </c>
      <c r="M499" s="55">
        <v>243662.4</v>
      </c>
      <c r="N499" s="55">
        <v>64207.9</v>
      </c>
    </row>
    <row r="500" spans="1:14" ht="10.050000000000001" hidden="1" customHeight="1">
      <c r="A500" s="52" t="s">
        <v>315</v>
      </c>
      <c r="B500" s="53">
        <v>2003</v>
      </c>
      <c r="C500" s="52" t="s">
        <v>109</v>
      </c>
      <c r="D500" s="54">
        <v>5</v>
      </c>
      <c r="E500" s="55">
        <v>215.1</v>
      </c>
      <c r="F500" s="55">
        <v>0</v>
      </c>
      <c r="G500" s="55">
        <v>215.1</v>
      </c>
      <c r="H500" s="55">
        <v>5270</v>
      </c>
      <c r="I500" s="55">
        <v>0</v>
      </c>
      <c r="J500" s="55">
        <v>5270</v>
      </c>
      <c r="K500" s="55">
        <v>0</v>
      </c>
      <c r="L500" s="55">
        <v>0</v>
      </c>
      <c r="M500" s="55">
        <v>0</v>
      </c>
      <c r="N500" s="55">
        <v>0</v>
      </c>
    </row>
    <row r="501" spans="1:14" ht="10.050000000000001" hidden="1" customHeight="1">
      <c r="A501" s="52" t="s">
        <v>173</v>
      </c>
      <c r="B501" s="53">
        <v>2003</v>
      </c>
      <c r="C501" s="52" t="s">
        <v>109</v>
      </c>
      <c r="D501" s="54">
        <v>5</v>
      </c>
      <c r="E501" s="55">
        <v>126564.2</v>
      </c>
      <c r="F501" s="55">
        <v>1215.8</v>
      </c>
      <c r="G501" s="55">
        <v>127780</v>
      </c>
      <c r="H501" s="55">
        <v>1856263.6</v>
      </c>
      <c r="I501" s="55">
        <v>28065.4</v>
      </c>
      <c r="J501" s="55">
        <v>1884329</v>
      </c>
      <c r="K501" s="55">
        <v>52247.1</v>
      </c>
      <c r="L501" s="55">
        <v>4560.5</v>
      </c>
      <c r="M501" s="55">
        <v>43278.400000000001</v>
      </c>
      <c r="N501" s="55">
        <v>6502.5</v>
      </c>
    </row>
    <row r="502" spans="1:14" ht="10.050000000000001" customHeight="1">
      <c r="A502" s="52" t="s">
        <v>309</v>
      </c>
      <c r="B502" s="53">
        <v>2003</v>
      </c>
      <c r="C502" s="52" t="s">
        <v>109</v>
      </c>
      <c r="D502" s="54">
        <v>5</v>
      </c>
      <c r="E502" s="55">
        <v>0</v>
      </c>
      <c r="F502" s="55">
        <v>0</v>
      </c>
      <c r="G502" s="55">
        <v>0</v>
      </c>
      <c r="H502" s="55">
        <v>33198.9</v>
      </c>
      <c r="I502" s="55">
        <v>0</v>
      </c>
      <c r="J502" s="55">
        <v>33198.9</v>
      </c>
      <c r="K502" s="55">
        <v>0</v>
      </c>
      <c r="L502" s="55">
        <v>0</v>
      </c>
      <c r="M502" s="55">
        <v>0</v>
      </c>
      <c r="N502" s="55">
        <v>0</v>
      </c>
    </row>
    <row r="503" spans="1:14" ht="10.050000000000001" hidden="1" customHeight="1">
      <c r="A503" s="52" t="s">
        <v>316</v>
      </c>
      <c r="B503" s="53">
        <v>2003</v>
      </c>
      <c r="C503" s="52" t="s">
        <v>109</v>
      </c>
      <c r="D503" s="54">
        <v>5</v>
      </c>
      <c r="E503" s="55">
        <v>57.4</v>
      </c>
      <c r="F503" s="55">
        <v>0</v>
      </c>
      <c r="G503" s="55">
        <v>57.4</v>
      </c>
      <c r="H503" s="55">
        <v>3297.9</v>
      </c>
      <c r="I503" s="55">
        <v>0</v>
      </c>
      <c r="J503" s="55">
        <v>3297.9</v>
      </c>
      <c r="K503" s="55">
        <v>0</v>
      </c>
      <c r="L503" s="55">
        <v>0</v>
      </c>
      <c r="M503" s="55">
        <v>0</v>
      </c>
      <c r="N503" s="55">
        <v>0</v>
      </c>
    </row>
    <row r="504" spans="1:14" ht="10.050000000000001" hidden="1" customHeight="1">
      <c r="A504" s="52" t="s">
        <v>310</v>
      </c>
      <c r="B504" s="53">
        <v>2003</v>
      </c>
      <c r="C504" s="52" t="s">
        <v>109</v>
      </c>
      <c r="D504" s="54">
        <v>5</v>
      </c>
      <c r="E504" s="55">
        <v>1329</v>
      </c>
      <c r="F504" s="55">
        <v>0</v>
      </c>
      <c r="G504" s="55">
        <v>1329</v>
      </c>
      <c r="H504" s="55">
        <v>15044.3</v>
      </c>
      <c r="I504" s="55">
        <v>311.89999999999998</v>
      </c>
      <c r="J504" s="55">
        <v>15356.2</v>
      </c>
      <c r="K504" s="55">
        <v>407.4</v>
      </c>
      <c r="L504" s="55">
        <v>15.2</v>
      </c>
      <c r="M504" s="55">
        <v>358.6</v>
      </c>
      <c r="N504" s="55">
        <v>45</v>
      </c>
    </row>
    <row r="505" spans="1:14" ht="10.050000000000001" hidden="1" customHeight="1">
      <c r="A505" s="52" t="s">
        <v>308</v>
      </c>
      <c r="B505" s="53">
        <v>2003</v>
      </c>
      <c r="C505" s="52" t="s">
        <v>109</v>
      </c>
      <c r="D505" s="54">
        <v>5</v>
      </c>
      <c r="E505" s="55">
        <v>3689.4</v>
      </c>
      <c r="F505" s="55">
        <v>0</v>
      </c>
      <c r="G505" s="55">
        <v>3689.4</v>
      </c>
      <c r="H505" s="55">
        <v>80221.5</v>
      </c>
      <c r="I505" s="55">
        <v>389.8</v>
      </c>
      <c r="J505" s="55">
        <v>80611.3</v>
      </c>
      <c r="K505" s="55">
        <v>2667.9</v>
      </c>
      <c r="L505" s="55">
        <v>11.8</v>
      </c>
      <c r="M505" s="55">
        <v>2372.5</v>
      </c>
      <c r="N505" s="55">
        <v>168.1</v>
      </c>
    </row>
    <row r="506" spans="1:14" ht="10.050000000000001" hidden="1" customHeight="1">
      <c r="A506" s="52" t="s">
        <v>174</v>
      </c>
      <c r="B506" s="53">
        <v>2003</v>
      </c>
      <c r="C506" s="52" t="s">
        <v>109</v>
      </c>
      <c r="D506" s="54">
        <v>5</v>
      </c>
      <c r="E506" s="55">
        <v>4843.8999999999996</v>
      </c>
      <c r="F506" s="55">
        <v>230.9</v>
      </c>
      <c r="G506" s="55">
        <v>5074.8</v>
      </c>
      <c r="H506" s="55">
        <v>45652.2</v>
      </c>
      <c r="I506" s="55">
        <v>7617.6</v>
      </c>
      <c r="J506" s="55">
        <v>53269.8</v>
      </c>
      <c r="K506" s="55">
        <v>13382.6</v>
      </c>
      <c r="L506" s="55">
        <v>245.5</v>
      </c>
      <c r="M506" s="55">
        <v>1614.7</v>
      </c>
      <c r="N506" s="55">
        <v>2170.1999999999998</v>
      </c>
    </row>
    <row r="507" spans="1:14" ht="10.050000000000001" hidden="1" customHeight="1">
      <c r="A507" s="52" t="s">
        <v>314</v>
      </c>
      <c r="B507" s="53">
        <v>2003</v>
      </c>
      <c r="C507" s="52" t="s">
        <v>109</v>
      </c>
      <c r="D507" s="54">
        <v>6</v>
      </c>
      <c r="E507" s="55">
        <v>0</v>
      </c>
      <c r="F507" s="55">
        <v>0</v>
      </c>
      <c r="G507" s="55">
        <v>0</v>
      </c>
      <c r="H507" s="55">
        <v>11.1</v>
      </c>
      <c r="I507" s="55">
        <v>0</v>
      </c>
      <c r="J507" s="55">
        <v>11.1</v>
      </c>
      <c r="K507" s="55">
        <v>0</v>
      </c>
      <c r="L507" s="55">
        <v>0</v>
      </c>
      <c r="M507" s="55">
        <v>0</v>
      </c>
      <c r="N507" s="55">
        <v>0</v>
      </c>
    </row>
    <row r="508" spans="1:14" ht="10.050000000000001" hidden="1" customHeight="1">
      <c r="A508" s="52" t="s">
        <v>306</v>
      </c>
      <c r="B508" s="53">
        <v>2003</v>
      </c>
      <c r="C508" s="52" t="s">
        <v>109</v>
      </c>
      <c r="D508" s="54">
        <v>6</v>
      </c>
      <c r="E508" s="55">
        <v>9265.0000000000091</v>
      </c>
      <c r="F508" s="55">
        <v>0</v>
      </c>
      <c r="G508" s="55">
        <v>9265.0000000000091</v>
      </c>
      <c r="H508" s="55">
        <v>147433.4</v>
      </c>
      <c r="I508" s="55">
        <v>3494.4</v>
      </c>
      <c r="J508" s="55">
        <v>150927.79999999999</v>
      </c>
      <c r="K508" s="55">
        <v>3321.5</v>
      </c>
      <c r="L508" s="55">
        <v>298.8</v>
      </c>
      <c r="M508" s="55">
        <v>2859.2</v>
      </c>
      <c r="N508" s="55">
        <v>1072.8</v>
      </c>
    </row>
    <row r="509" spans="1:14" ht="10.050000000000001" hidden="1" customHeight="1">
      <c r="A509" s="52" t="s">
        <v>172</v>
      </c>
      <c r="B509" s="53">
        <v>2003</v>
      </c>
      <c r="C509" s="52" t="s">
        <v>109</v>
      </c>
      <c r="D509" s="54">
        <v>6</v>
      </c>
      <c r="E509" s="55">
        <v>13498.3</v>
      </c>
      <c r="F509" s="55">
        <v>117.6</v>
      </c>
      <c r="G509" s="55">
        <v>13615.9</v>
      </c>
      <c r="H509" s="55">
        <v>99648.1</v>
      </c>
      <c r="I509" s="55">
        <v>4549.3999999999996</v>
      </c>
      <c r="J509" s="55">
        <v>104197.5</v>
      </c>
      <c r="K509" s="55">
        <v>1081.2</v>
      </c>
      <c r="L509" s="55">
        <v>275.5</v>
      </c>
      <c r="M509" s="55">
        <v>2682.3</v>
      </c>
      <c r="N509" s="55">
        <v>1.6</v>
      </c>
    </row>
    <row r="510" spans="1:14" ht="10.050000000000001" hidden="1" customHeight="1">
      <c r="A510" s="52" t="s">
        <v>171</v>
      </c>
      <c r="B510" s="53">
        <v>2003</v>
      </c>
      <c r="C510" s="52" t="s">
        <v>109</v>
      </c>
      <c r="D510" s="54">
        <v>6</v>
      </c>
      <c r="E510" s="55">
        <v>992233.3</v>
      </c>
      <c r="F510" s="55">
        <v>3761.2</v>
      </c>
      <c r="G510" s="55">
        <v>995994.50000000105</v>
      </c>
      <c r="H510" s="55">
        <v>2358266.6</v>
      </c>
      <c r="I510" s="55">
        <v>53397.5</v>
      </c>
      <c r="J510" s="55">
        <v>2411664.1</v>
      </c>
      <c r="K510" s="55">
        <v>41942.199999999997</v>
      </c>
      <c r="L510" s="55">
        <v>36961.9</v>
      </c>
      <c r="M510" s="55">
        <v>323244.79999999999</v>
      </c>
      <c r="N510" s="55">
        <v>27850.2</v>
      </c>
    </row>
    <row r="511" spans="1:14" ht="10.050000000000001" hidden="1" customHeight="1">
      <c r="A511" s="52" t="s">
        <v>300</v>
      </c>
      <c r="B511" s="53">
        <v>2003</v>
      </c>
      <c r="C511" s="52" t="s">
        <v>109</v>
      </c>
      <c r="D511" s="54">
        <v>6</v>
      </c>
      <c r="E511" s="55">
        <v>120.3</v>
      </c>
      <c r="F511" s="55">
        <v>39.200000000000003</v>
      </c>
      <c r="G511" s="55">
        <v>159.5</v>
      </c>
      <c r="H511" s="55">
        <v>327.3</v>
      </c>
      <c r="I511" s="55">
        <v>30.2</v>
      </c>
      <c r="J511" s="55">
        <v>357.5</v>
      </c>
      <c r="K511" s="55">
        <v>0</v>
      </c>
      <c r="L511" s="55">
        <v>0</v>
      </c>
      <c r="M511" s="55">
        <v>0</v>
      </c>
      <c r="N511" s="55">
        <v>0</v>
      </c>
    </row>
    <row r="512" spans="1:14" ht="10.050000000000001" hidden="1" customHeight="1">
      <c r="A512" s="52" t="s">
        <v>307</v>
      </c>
      <c r="B512" s="53">
        <v>2003</v>
      </c>
      <c r="C512" s="52" t="s">
        <v>109</v>
      </c>
      <c r="D512" s="54">
        <v>6</v>
      </c>
      <c r="E512" s="55">
        <v>572027.69999999995</v>
      </c>
      <c r="F512" s="55">
        <v>173.1</v>
      </c>
      <c r="G512" s="55">
        <v>572200.80000000005</v>
      </c>
      <c r="H512" s="55">
        <v>2312144.7000000002</v>
      </c>
      <c r="I512" s="55">
        <v>40909.699999999997</v>
      </c>
      <c r="J512" s="55">
        <v>2353054.4</v>
      </c>
      <c r="K512" s="55">
        <v>304983</v>
      </c>
      <c r="L512" s="55">
        <v>44003.6</v>
      </c>
      <c r="M512" s="55">
        <v>352252.1</v>
      </c>
      <c r="N512" s="55">
        <v>74013.2</v>
      </c>
    </row>
    <row r="513" spans="1:14" ht="10.050000000000001" hidden="1" customHeight="1">
      <c r="A513" s="52" t="s">
        <v>315</v>
      </c>
      <c r="B513" s="53">
        <v>2003</v>
      </c>
      <c r="C513" s="52" t="s">
        <v>109</v>
      </c>
      <c r="D513" s="54">
        <v>6</v>
      </c>
      <c r="E513" s="55">
        <v>1080.4000000000001</v>
      </c>
      <c r="F513" s="55">
        <v>0</v>
      </c>
      <c r="G513" s="55">
        <v>1080.4000000000001</v>
      </c>
      <c r="H513" s="55">
        <v>3280.5</v>
      </c>
      <c r="I513" s="55">
        <v>0</v>
      </c>
      <c r="J513" s="55">
        <v>3280.5</v>
      </c>
      <c r="K513" s="55">
        <v>0</v>
      </c>
      <c r="L513" s="55">
        <v>0</v>
      </c>
      <c r="M513" s="55">
        <v>0</v>
      </c>
      <c r="N513" s="55">
        <v>0</v>
      </c>
    </row>
    <row r="514" spans="1:14" ht="10.050000000000001" hidden="1" customHeight="1">
      <c r="A514" s="52" t="s">
        <v>173</v>
      </c>
      <c r="B514" s="53">
        <v>2003</v>
      </c>
      <c r="C514" s="52" t="s">
        <v>109</v>
      </c>
      <c r="D514" s="54">
        <v>6</v>
      </c>
      <c r="E514" s="55">
        <v>93329.5</v>
      </c>
      <c r="F514" s="55">
        <v>1652.3</v>
      </c>
      <c r="G514" s="55">
        <v>94981.8</v>
      </c>
      <c r="H514" s="55">
        <v>1026609.3</v>
      </c>
      <c r="I514" s="55">
        <v>15376.9</v>
      </c>
      <c r="J514" s="55">
        <v>1041986.2</v>
      </c>
      <c r="K514" s="55">
        <v>18735.3</v>
      </c>
      <c r="L514" s="55">
        <v>9472.5</v>
      </c>
      <c r="M514" s="55">
        <v>33069.5</v>
      </c>
      <c r="N514" s="55">
        <v>9900</v>
      </c>
    </row>
    <row r="515" spans="1:14" ht="10.050000000000001" customHeight="1">
      <c r="A515" s="52" t="s">
        <v>309</v>
      </c>
      <c r="B515" s="53">
        <v>2003</v>
      </c>
      <c r="C515" s="52" t="s">
        <v>109</v>
      </c>
      <c r="D515" s="54">
        <v>6</v>
      </c>
      <c r="E515" s="55">
        <v>593.5</v>
      </c>
      <c r="F515" s="55">
        <v>0</v>
      </c>
      <c r="G515" s="55">
        <v>593.5</v>
      </c>
      <c r="H515" s="55">
        <v>22247.5</v>
      </c>
      <c r="I515" s="55">
        <v>0</v>
      </c>
      <c r="J515" s="55">
        <v>22247.5</v>
      </c>
      <c r="K515" s="55">
        <v>0</v>
      </c>
      <c r="L515" s="55">
        <v>0</v>
      </c>
      <c r="M515" s="55">
        <v>0</v>
      </c>
      <c r="N515" s="55">
        <v>0</v>
      </c>
    </row>
    <row r="516" spans="1:14" ht="10.050000000000001" hidden="1" customHeight="1">
      <c r="A516" s="52" t="s">
        <v>316</v>
      </c>
      <c r="B516" s="53">
        <v>2003</v>
      </c>
      <c r="C516" s="52" t="s">
        <v>109</v>
      </c>
      <c r="D516" s="54">
        <v>6</v>
      </c>
      <c r="E516" s="55">
        <v>97.6</v>
      </c>
      <c r="F516" s="55">
        <v>0</v>
      </c>
      <c r="G516" s="55">
        <v>97.6</v>
      </c>
      <c r="H516" s="55">
        <v>2955.8</v>
      </c>
      <c r="I516" s="55">
        <v>0</v>
      </c>
      <c r="J516" s="55">
        <v>2955.8</v>
      </c>
      <c r="K516" s="55">
        <v>0</v>
      </c>
      <c r="L516" s="55">
        <v>0</v>
      </c>
      <c r="M516" s="55">
        <v>0</v>
      </c>
      <c r="N516" s="55">
        <v>0</v>
      </c>
    </row>
    <row r="517" spans="1:14" ht="10.050000000000001" hidden="1" customHeight="1">
      <c r="A517" s="52" t="s">
        <v>310</v>
      </c>
      <c r="B517" s="53">
        <v>2003</v>
      </c>
      <c r="C517" s="52" t="s">
        <v>109</v>
      </c>
      <c r="D517" s="54">
        <v>6</v>
      </c>
      <c r="E517" s="55">
        <v>2000.6</v>
      </c>
      <c r="F517" s="55">
        <v>1.7</v>
      </c>
      <c r="G517" s="55">
        <v>2002.3</v>
      </c>
      <c r="H517" s="55">
        <v>12099.4</v>
      </c>
      <c r="I517" s="55">
        <v>211</v>
      </c>
      <c r="J517" s="55">
        <v>12310.4</v>
      </c>
      <c r="K517" s="55">
        <v>81.3</v>
      </c>
      <c r="L517" s="55">
        <v>0</v>
      </c>
      <c r="M517" s="55">
        <v>226.6</v>
      </c>
      <c r="N517" s="55">
        <v>99.5</v>
      </c>
    </row>
    <row r="518" spans="1:14" ht="10.050000000000001" hidden="1" customHeight="1">
      <c r="A518" s="52" t="s">
        <v>308</v>
      </c>
      <c r="B518" s="53">
        <v>2003</v>
      </c>
      <c r="C518" s="52" t="s">
        <v>109</v>
      </c>
      <c r="D518" s="54">
        <v>6</v>
      </c>
      <c r="E518" s="55">
        <v>3332.2</v>
      </c>
      <c r="F518" s="55">
        <v>18.3</v>
      </c>
      <c r="G518" s="55">
        <v>3350.5</v>
      </c>
      <c r="H518" s="55">
        <v>48305</v>
      </c>
      <c r="I518" s="55">
        <v>76.8</v>
      </c>
      <c r="J518" s="55">
        <v>48381.8</v>
      </c>
      <c r="K518" s="55">
        <v>317.39999999999998</v>
      </c>
      <c r="L518" s="55">
        <v>20.5</v>
      </c>
      <c r="M518" s="55">
        <v>1492</v>
      </c>
      <c r="N518" s="55">
        <v>879</v>
      </c>
    </row>
    <row r="519" spans="1:14" ht="10.050000000000001" hidden="1" customHeight="1">
      <c r="A519" s="52" t="s">
        <v>174</v>
      </c>
      <c r="B519" s="53">
        <v>2003</v>
      </c>
      <c r="C519" s="52" t="s">
        <v>109</v>
      </c>
      <c r="D519" s="54">
        <v>6</v>
      </c>
      <c r="E519" s="55">
        <v>10008</v>
      </c>
      <c r="F519" s="55">
        <v>388</v>
      </c>
      <c r="G519" s="55">
        <v>10396</v>
      </c>
      <c r="H519" s="55">
        <v>23010.400000000001</v>
      </c>
      <c r="I519" s="55">
        <v>5740.6</v>
      </c>
      <c r="J519" s="55">
        <v>28751</v>
      </c>
      <c r="K519" s="55">
        <v>5911.9</v>
      </c>
      <c r="L519" s="55">
        <v>158.4</v>
      </c>
      <c r="M519" s="55">
        <v>2765.1</v>
      </c>
      <c r="N519" s="55">
        <v>4798.1000000000004</v>
      </c>
    </row>
    <row r="520" spans="1:14" ht="10.050000000000001" hidden="1" customHeight="1">
      <c r="A520" s="52" t="s">
        <v>314</v>
      </c>
      <c r="B520" s="53">
        <v>2003</v>
      </c>
      <c r="C520" s="52" t="s">
        <v>106</v>
      </c>
      <c r="D520" s="54">
        <v>7</v>
      </c>
      <c r="E520" s="55">
        <v>210.7</v>
      </c>
      <c r="F520" s="55">
        <v>0</v>
      </c>
      <c r="G520" s="55">
        <v>210.7</v>
      </c>
      <c r="H520" s="55">
        <v>216.7</v>
      </c>
      <c r="I520" s="55">
        <v>0</v>
      </c>
      <c r="J520" s="55">
        <v>216.7</v>
      </c>
      <c r="K520" s="55">
        <v>0</v>
      </c>
      <c r="L520" s="55">
        <v>0</v>
      </c>
      <c r="M520" s="55">
        <v>0</v>
      </c>
      <c r="N520" s="55">
        <v>0</v>
      </c>
    </row>
    <row r="521" spans="1:14" ht="10.050000000000001" hidden="1" customHeight="1">
      <c r="A521" s="52" t="s">
        <v>306</v>
      </c>
      <c r="B521" s="53">
        <v>2003</v>
      </c>
      <c r="C521" s="52" t="s">
        <v>106</v>
      </c>
      <c r="D521" s="54">
        <v>7</v>
      </c>
      <c r="E521" s="55">
        <v>118505.4</v>
      </c>
      <c r="F521" s="55">
        <v>2707.1</v>
      </c>
      <c r="G521" s="55">
        <v>121212.5</v>
      </c>
      <c r="H521" s="55">
        <v>239517.1</v>
      </c>
      <c r="I521" s="55">
        <v>5799.9</v>
      </c>
      <c r="J521" s="55">
        <v>245317</v>
      </c>
      <c r="K521" s="55">
        <v>19005.3</v>
      </c>
      <c r="L521" s="55">
        <v>16963.8</v>
      </c>
      <c r="M521" s="55">
        <v>528.5</v>
      </c>
      <c r="N521" s="55">
        <v>748.5</v>
      </c>
    </row>
    <row r="522" spans="1:14" ht="10.050000000000001" hidden="1" customHeight="1">
      <c r="A522" s="52" t="s">
        <v>172</v>
      </c>
      <c r="B522" s="53">
        <v>2003</v>
      </c>
      <c r="C522" s="52" t="s">
        <v>106</v>
      </c>
      <c r="D522" s="54">
        <v>7</v>
      </c>
      <c r="E522" s="55">
        <v>614018.1</v>
      </c>
      <c r="F522" s="55">
        <v>46884.9</v>
      </c>
      <c r="G522" s="55">
        <v>660903</v>
      </c>
      <c r="H522" s="55">
        <v>543181.5</v>
      </c>
      <c r="I522" s="55">
        <v>37383.9</v>
      </c>
      <c r="J522" s="55">
        <v>580565.4</v>
      </c>
      <c r="K522" s="55">
        <v>178026.8</v>
      </c>
      <c r="L522" s="55">
        <v>181743.4</v>
      </c>
      <c r="M522" s="55">
        <v>4797</v>
      </c>
      <c r="N522" s="55">
        <v>0.8</v>
      </c>
    </row>
    <row r="523" spans="1:14" ht="10.050000000000001" hidden="1" customHeight="1">
      <c r="A523" s="52" t="s">
        <v>171</v>
      </c>
      <c r="B523" s="53">
        <v>2003</v>
      </c>
      <c r="C523" s="52" t="s">
        <v>106</v>
      </c>
      <c r="D523" s="54">
        <v>7</v>
      </c>
      <c r="E523" s="55">
        <v>9946141.9000000004</v>
      </c>
      <c r="F523" s="55">
        <v>115803.5</v>
      </c>
      <c r="G523" s="55">
        <v>10061945.4</v>
      </c>
      <c r="H523" s="55">
        <v>9736196</v>
      </c>
      <c r="I523" s="55">
        <v>151449.70000000001</v>
      </c>
      <c r="J523" s="55">
        <v>9887645.6999999993</v>
      </c>
      <c r="K523" s="55">
        <v>2225127.7000000002</v>
      </c>
      <c r="L523" s="55">
        <v>2365013.5</v>
      </c>
      <c r="M523" s="55">
        <v>168613.3</v>
      </c>
      <c r="N523" s="55">
        <v>13003.6</v>
      </c>
    </row>
    <row r="524" spans="1:14" ht="10.050000000000001" hidden="1" customHeight="1">
      <c r="A524" s="52" t="s">
        <v>300</v>
      </c>
      <c r="B524" s="53">
        <v>2003</v>
      </c>
      <c r="C524" s="52" t="s">
        <v>106</v>
      </c>
      <c r="D524" s="54">
        <v>7</v>
      </c>
      <c r="E524" s="55">
        <v>98.9</v>
      </c>
      <c r="F524" s="55">
        <v>60.4</v>
      </c>
      <c r="G524" s="55">
        <v>159.30000000000001</v>
      </c>
      <c r="H524" s="55">
        <v>342.4</v>
      </c>
      <c r="I524" s="55">
        <v>90.6</v>
      </c>
      <c r="J524" s="55">
        <v>433</v>
      </c>
      <c r="K524" s="55">
        <v>61.8</v>
      </c>
      <c r="L524" s="55">
        <v>61.8</v>
      </c>
      <c r="M524" s="55">
        <v>0</v>
      </c>
      <c r="N524" s="55">
        <v>0</v>
      </c>
    </row>
    <row r="525" spans="1:14" ht="10.050000000000001" hidden="1" customHeight="1">
      <c r="A525" s="52" t="s">
        <v>307</v>
      </c>
      <c r="B525" s="53">
        <v>2003</v>
      </c>
      <c r="C525" s="52" t="s">
        <v>106</v>
      </c>
      <c r="D525" s="54">
        <v>7</v>
      </c>
      <c r="E525" s="55">
        <v>196467.3</v>
      </c>
      <c r="F525" s="55">
        <v>0</v>
      </c>
      <c r="G525" s="55">
        <v>196467.3</v>
      </c>
      <c r="H525" s="55">
        <v>1477135.9</v>
      </c>
      <c r="I525" s="55">
        <v>40584.699999999997</v>
      </c>
      <c r="J525" s="55">
        <v>1517720.6</v>
      </c>
      <c r="K525" s="55">
        <v>244974.5</v>
      </c>
      <c r="L525" s="55">
        <v>25157.9</v>
      </c>
      <c r="M525" s="55">
        <v>59279.7</v>
      </c>
      <c r="N525" s="55">
        <v>25368.400000000001</v>
      </c>
    </row>
    <row r="526" spans="1:14" ht="10.050000000000001" hidden="1" customHeight="1">
      <c r="A526" s="52" t="s">
        <v>315</v>
      </c>
      <c r="B526" s="53">
        <v>2003</v>
      </c>
      <c r="C526" s="52" t="s">
        <v>106</v>
      </c>
      <c r="D526" s="54">
        <v>7</v>
      </c>
      <c r="E526" s="55">
        <v>185.5</v>
      </c>
      <c r="F526" s="55">
        <v>0</v>
      </c>
      <c r="G526" s="55">
        <v>185.5</v>
      </c>
      <c r="H526" s="55">
        <v>2525.4</v>
      </c>
      <c r="I526" s="55">
        <v>0</v>
      </c>
      <c r="J526" s="55">
        <v>2525.4</v>
      </c>
      <c r="K526" s="55">
        <v>0</v>
      </c>
      <c r="L526" s="55">
        <v>0</v>
      </c>
      <c r="M526" s="55">
        <v>0</v>
      </c>
      <c r="N526" s="55">
        <v>0</v>
      </c>
    </row>
    <row r="527" spans="1:14" ht="10.050000000000001" hidden="1" customHeight="1">
      <c r="A527" s="52" t="s">
        <v>173</v>
      </c>
      <c r="B527" s="53">
        <v>2003</v>
      </c>
      <c r="C527" s="52" t="s">
        <v>106</v>
      </c>
      <c r="D527" s="54">
        <v>7</v>
      </c>
      <c r="E527" s="55">
        <v>5233696</v>
      </c>
      <c r="F527" s="55">
        <v>102035.1</v>
      </c>
      <c r="G527" s="55">
        <v>5335731.0999999996</v>
      </c>
      <c r="H527" s="55">
        <v>5428390.9000000004</v>
      </c>
      <c r="I527" s="55">
        <v>88121.5</v>
      </c>
      <c r="J527" s="55">
        <v>5516512.4000000004</v>
      </c>
      <c r="K527" s="55">
        <v>907772.4</v>
      </c>
      <c r="L527" s="55">
        <v>1300143.3</v>
      </c>
      <c r="M527" s="55">
        <v>404334.6</v>
      </c>
      <c r="N527" s="55">
        <v>6741.1</v>
      </c>
    </row>
    <row r="528" spans="1:14" ht="10.050000000000001" customHeight="1">
      <c r="A528" s="52" t="s">
        <v>309</v>
      </c>
      <c r="B528" s="53">
        <v>2003</v>
      </c>
      <c r="C528" s="52" t="s">
        <v>106</v>
      </c>
      <c r="D528" s="54">
        <v>7</v>
      </c>
      <c r="E528" s="55">
        <v>976.6</v>
      </c>
      <c r="F528" s="55">
        <v>0</v>
      </c>
      <c r="G528" s="55">
        <v>976.6</v>
      </c>
      <c r="H528" s="55">
        <v>11482.1</v>
      </c>
      <c r="I528" s="55">
        <v>0</v>
      </c>
      <c r="J528" s="55">
        <v>11482.1</v>
      </c>
      <c r="K528" s="55">
        <v>0</v>
      </c>
      <c r="L528" s="55">
        <v>0</v>
      </c>
      <c r="M528" s="55">
        <v>0</v>
      </c>
      <c r="N528" s="55">
        <v>0</v>
      </c>
    </row>
    <row r="529" spans="1:14" ht="10.050000000000001" hidden="1" customHeight="1">
      <c r="A529" s="52" t="s">
        <v>316</v>
      </c>
      <c r="B529" s="53">
        <v>2003</v>
      </c>
      <c r="C529" s="52" t="s">
        <v>106</v>
      </c>
      <c r="D529" s="54">
        <v>7</v>
      </c>
      <c r="E529" s="55">
        <v>35.4</v>
      </c>
      <c r="F529" s="55">
        <v>0</v>
      </c>
      <c r="G529" s="55">
        <v>35.4</v>
      </c>
      <c r="H529" s="55">
        <v>2428.3000000000002</v>
      </c>
      <c r="I529" s="55">
        <v>0</v>
      </c>
      <c r="J529" s="55">
        <v>2428.3000000000002</v>
      </c>
      <c r="K529" s="55">
        <v>0</v>
      </c>
      <c r="L529" s="55">
        <v>0</v>
      </c>
      <c r="M529" s="55">
        <v>0</v>
      </c>
      <c r="N529" s="55">
        <v>0</v>
      </c>
    </row>
    <row r="530" spans="1:14" ht="10.050000000000001" hidden="1" customHeight="1">
      <c r="A530" s="52" t="s">
        <v>310</v>
      </c>
      <c r="B530" s="53">
        <v>2003</v>
      </c>
      <c r="C530" s="52" t="s">
        <v>106</v>
      </c>
      <c r="D530" s="54">
        <v>7</v>
      </c>
      <c r="E530" s="55">
        <v>23794.1</v>
      </c>
      <c r="F530" s="55">
        <v>492.6</v>
      </c>
      <c r="G530" s="55">
        <v>24286.7</v>
      </c>
      <c r="H530" s="55">
        <v>31213.7</v>
      </c>
      <c r="I530" s="55">
        <v>690.5</v>
      </c>
      <c r="J530" s="55">
        <v>31904.2</v>
      </c>
      <c r="K530" s="55">
        <v>5922.4</v>
      </c>
      <c r="L530" s="55">
        <v>5959.5</v>
      </c>
      <c r="M530" s="55">
        <v>102.3</v>
      </c>
      <c r="N530" s="55">
        <v>16.100000000000001</v>
      </c>
    </row>
    <row r="531" spans="1:14" ht="10.050000000000001" hidden="1" customHeight="1">
      <c r="A531" s="52" t="s">
        <v>308</v>
      </c>
      <c r="B531" s="53">
        <v>2003</v>
      </c>
      <c r="C531" s="52" t="s">
        <v>106</v>
      </c>
      <c r="D531" s="54">
        <v>7</v>
      </c>
      <c r="E531" s="55">
        <v>505.7</v>
      </c>
      <c r="F531" s="55">
        <v>0</v>
      </c>
      <c r="G531" s="55">
        <v>505.7</v>
      </c>
      <c r="H531" s="55">
        <v>32664.5</v>
      </c>
      <c r="I531" s="55">
        <v>53.3</v>
      </c>
      <c r="J531" s="55">
        <v>32717.8</v>
      </c>
      <c r="K531" s="55">
        <v>707.3</v>
      </c>
      <c r="L531" s="55">
        <v>398.7</v>
      </c>
      <c r="M531" s="55">
        <v>0</v>
      </c>
      <c r="N531" s="55">
        <v>8.8000000000000007</v>
      </c>
    </row>
    <row r="532" spans="1:14" ht="10.050000000000001" hidden="1" customHeight="1">
      <c r="A532" s="52" t="s">
        <v>174</v>
      </c>
      <c r="B532" s="53">
        <v>2003</v>
      </c>
      <c r="C532" s="52" t="s">
        <v>106</v>
      </c>
      <c r="D532" s="54">
        <v>7</v>
      </c>
      <c r="E532" s="55">
        <v>221400.7</v>
      </c>
      <c r="F532" s="55">
        <v>11794.7</v>
      </c>
      <c r="G532" s="55">
        <v>233195.4</v>
      </c>
      <c r="H532" s="55">
        <v>195990</v>
      </c>
      <c r="I532" s="55">
        <v>18599.400000000001</v>
      </c>
      <c r="J532" s="55">
        <v>214589.4</v>
      </c>
      <c r="K532" s="55">
        <v>38055.5</v>
      </c>
      <c r="L532" s="55">
        <v>34763.1</v>
      </c>
      <c r="M532" s="55">
        <v>845.9</v>
      </c>
      <c r="N532" s="55">
        <v>1773.6</v>
      </c>
    </row>
    <row r="533" spans="1:14" ht="10.050000000000001" hidden="1" customHeight="1">
      <c r="A533" s="52" t="s">
        <v>314</v>
      </c>
      <c r="B533" s="53">
        <v>2003</v>
      </c>
      <c r="C533" s="52" t="s">
        <v>106</v>
      </c>
      <c r="D533" s="54">
        <v>8</v>
      </c>
      <c r="E533" s="55">
        <v>246</v>
      </c>
      <c r="F533" s="55">
        <v>0</v>
      </c>
      <c r="G533" s="55">
        <v>246</v>
      </c>
      <c r="H533" s="55">
        <v>462.7</v>
      </c>
      <c r="I533" s="55">
        <v>0</v>
      </c>
      <c r="J533" s="55">
        <v>462.7</v>
      </c>
      <c r="K533" s="55">
        <v>0</v>
      </c>
      <c r="L533" s="55">
        <v>0</v>
      </c>
      <c r="M533" s="55">
        <v>0</v>
      </c>
      <c r="N533" s="55">
        <v>0</v>
      </c>
    </row>
    <row r="534" spans="1:14" ht="10.050000000000001" hidden="1" customHeight="1">
      <c r="A534" s="52" t="s">
        <v>306</v>
      </c>
      <c r="B534" s="53">
        <v>2003</v>
      </c>
      <c r="C534" s="52" t="s">
        <v>106</v>
      </c>
      <c r="D534" s="54">
        <v>8</v>
      </c>
      <c r="E534" s="55">
        <v>54621.2</v>
      </c>
      <c r="F534" s="55">
        <v>3082.3</v>
      </c>
      <c r="G534" s="55">
        <v>57703.5</v>
      </c>
      <c r="H534" s="55">
        <v>276988.90000000002</v>
      </c>
      <c r="I534" s="55">
        <v>7514.6</v>
      </c>
      <c r="J534" s="55">
        <v>284503.5</v>
      </c>
      <c r="K534" s="55">
        <v>22148.9</v>
      </c>
      <c r="L534" s="55">
        <v>6040.3</v>
      </c>
      <c r="M534" s="55">
        <v>1896.1</v>
      </c>
      <c r="N534" s="55">
        <v>1000.6</v>
      </c>
    </row>
    <row r="535" spans="1:14" ht="10.050000000000001" hidden="1" customHeight="1">
      <c r="A535" s="52" t="s">
        <v>172</v>
      </c>
      <c r="B535" s="53">
        <v>2003</v>
      </c>
      <c r="C535" s="52" t="s">
        <v>106</v>
      </c>
      <c r="D535" s="54">
        <v>8</v>
      </c>
      <c r="E535" s="55">
        <v>69547.7</v>
      </c>
      <c r="F535" s="55">
        <v>4628.6000000000004</v>
      </c>
      <c r="G535" s="55">
        <v>74176.3</v>
      </c>
      <c r="H535" s="55">
        <v>501705.3</v>
      </c>
      <c r="I535" s="55">
        <v>34589.300000000003</v>
      </c>
      <c r="J535" s="55">
        <v>536294.6</v>
      </c>
      <c r="K535" s="55">
        <v>167725.9</v>
      </c>
      <c r="L535" s="55">
        <v>16865.099999999999</v>
      </c>
      <c r="M535" s="55">
        <v>26923</v>
      </c>
      <c r="N535" s="55">
        <v>243</v>
      </c>
    </row>
    <row r="536" spans="1:14" ht="10.050000000000001" hidden="1" customHeight="1">
      <c r="A536" s="52" t="s">
        <v>171</v>
      </c>
      <c r="B536" s="53">
        <v>2003</v>
      </c>
      <c r="C536" s="52" t="s">
        <v>106</v>
      </c>
      <c r="D536" s="54">
        <v>8</v>
      </c>
      <c r="E536" s="55">
        <v>3878097.3</v>
      </c>
      <c r="F536" s="55">
        <v>158440.1</v>
      </c>
      <c r="G536" s="55">
        <v>4036537.4</v>
      </c>
      <c r="H536" s="55">
        <v>11192845.4</v>
      </c>
      <c r="I536" s="55">
        <v>220497.2</v>
      </c>
      <c r="J536" s="55">
        <v>11413342.6</v>
      </c>
      <c r="K536" s="55">
        <v>3101141.9</v>
      </c>
      <c r="L536" s="55">
        <v>1330412.1000000001</v>
      </c>
      <c r="M536" s="55">
        <v>440023.8</v>
      </c>
      <c r="N536" s="55">
        <v>18503.599999999999</v>
      </c>
    </row>
    <row r="537" spans="1:14" ht="10.050000000000001" hidden="1" customHeight="1">
      <c r="A537" s="52" t="s">
        <v>300</v>
      </c>
      <c r="B537" s="53">
        <v>2003</v>
      </c>
      <c r="C537" s="52" t="s">
        <v>106</v>
      </c>
      <c r="D537" s="54">
        <v>8</v>
      </c>
      <c r="E537" s="55">
        <v>477.7</v>
      </c>
      <c r="F537" s="55">
        <v>0</v>
      </c>
      <c r="G537" s="55">
        <v>477.7</v>
      </c>
      <c r="H537" s="55">
        <v>737.8</v>
      </c>
      <c r="I537" s="55">
        <v>89.9</v>
      </c>
      <c r="J537" s="55">
        <v>827.7</v>
      </c>
      <c r="K537" s="55">
        <v>61.8</v>
      </c>
      <c r="L537" s="55">
        <v>0</v>
      </c>
      <c r="M537" s="55">
        <v>0</v>
      </c>
      <c r="N537" s="55">
        <v>0</v>
      </c>
    </row>
    <row r="538" spans="1:14" ht="10.050000000000001" hidden="1" customHeight="1">
      <c r="A538" s="52" t="s">
        <v>307</v>
      </c>
      <c r="B538" s="53">
        <v>2003</v>
      </c>
      <c r="C538" s="52" t="s">
        <v>106</v>
      </c>
      <c r="D538" s="54">
        <v>8</v>
      </c>
      <c r="E538" s="55">
        <v>419375.8</v>
      </c>
      <c r="F538" s="55">
        <v>5258.2</v>
      </c>
      <c r="G538" s="55">
        <v>424634</v>
      </c>
      <c r="H538" s="55">
        <v>1003821.1</v>
      </c>
      <c r="I538" s="55">
        <v>39928.6</v>
      </c>
      <c r="J538" s="55">
        <v>1043749.7</v>
      </c>
      <c r="K538" s="55">
        <v>146833.29999999999</v>
      </c>
      <c r="L538" s="55">
        <v>54211</v>
      </c>
      <c r="M538" s="55">
        <v>113448.6</v>
      </c>
      <c r="N538" s="55">
        <v>38977.800000000003</v>
      </c>
    </row>
    <row r="539" spans="1:14" ht="10.050000000000001" hidden="1" customHeight="1">
      <c r="A539" s="52" t="s">
        <v>315</v>
      </c>
      <c r="B539" s="53">
        <v>2003</v>
      </c>
      <c r="C539" s="52" t="s">
        <v>106</v>
      </c>
      <c r="D539" s="54">
        <v>8</v>
      </c>
      <c r="E539" s="55">
        <v>3925.5</v>
      </c>
      <c r="F539" s="55">
        <v>0</v>
      </c>
      <c r="G539" s="55">
        <v>3925.5</v>
      </c>
      <c r="H539" s="55">
        <v>5799.5</v>
      </c>
      <c r="I539" s="55">
        <v>0</v>
      </c>
      <c r="J539" s="55">
        <v>5799.5</v>
      </c>
      <c r="K539" s="55">
        <v>580.79999999999995</v>
      </c>
      <c r="L539" s="55">
        <v>580.79999999999995</v>
      </c>
      <c r="M539" s="55">
        <v>0</v>
      </c>
      <c r="N539" s="55">
        <v>0</v>
      </c>
    </row>
    <row r="540" spans="1:14" ht="10.050000000000001" hidden="1" customHeight="1">
      <c r="A540" s="52" t="s">
        <v>173</v>
      </c>
      <c r="B540" s="53">
        <v>2003</v>
      </c>
      <c r="C540" s="52" t="s">
        <v>106</v>
      </c>
      <c r="D540" s="54">
        <v>8</v>
      </c>
      <c r="E540" s="55">
        <v>357880</v>
      </c>
      <c r="F540" s="55">
        <v>14921.1</v>
      </c>
      <c r="G540" s="55">
        <v>372801.1</v>
      </c>
      <c r="H540" s="55">
        <v>5139262.4000000004</v>
      </c>
      <c r="I540" s="55">
        <v>77760.5</v>
      </c>
      <c r="J540" s="55">
        <v>5217022.9000000004</v>
      </c>
      <c r="K540" s="55">
        <v>833023.8</v>
      </c>
      <c r="L540" s="55">
        <v>53028.9</v>
      </c>
      <c r="M540" s="55">
        <v>122439</v>
      </c>
      <c r="N540" s="55">
        <v>6283.9</v>
      </c>
    </row>
    <row r="541" spans="1:14" ht="10.050000000000001" customHeight="1">
      <c r="A541" s="52" t="s">
        <v>309</v>
      </c>
      <c r="B541" s="53">
        <v>2003</v>
      </c>
      <c r="C541" s="52" t="s">
        <v>106</v>
      </c>
      <c r="D541" s="54">
        <v>8</v>
      </c>
      <c r="E541" s="55">
        <v>1219.7</v>
      </c>
      <c r="F541" s="55">
        <v>0</v>
      </c>
      <c r="G541" s="55">
        <v>1219.7</v>
      </c>
      <c r="H541" s="55">
        <v>3528.4</v>
      </c>
      <c r="I541" s="55">
        <v>0</v>
      </c>
      <c r="J541" s="55">
        <v>3528.4</v>
      </c>
      <c r="K541" s="55">
        <v>0</v>
      </c>
      <c r="L541" s="55">
        <v>0</v>
      </c>
      <c r="M541" s="55">
        <v>0</v>
      </c>
      <c r="N541" s="55">
        <v>0</v>
      </c>
    </row>
    <row r="542" spans="1:14" ht="10.050000000000001" hidden="1" customHeight="1">
      <c r="A542" s="52" t="s">
        <v>316</v>
      </c>
      <c r="B542" s="53">
        <v>2003</v>
      </c>
      <c r="C542" s="52" t="s">
        <v>106</v>
      </c>
      <c r="D542" s="54">
        <v>8</v>
      </c>
      <c r="E542" s="55">
        <v>61.3</v>
      </c>
      <c r="F542" s="55">
        <v>16.2</v>
      </c>
      <c r="G542" s="55">
        <v>77.5</v>
      </c>
      <c r="H542" s="55">
        <v>2187.6999999999998</v>
      </c>
      <c r="I542" s="55">
        <v>16.2</v>
      </c>
      <c r="J542" s="55">
        <v>2203.9</v>
      </c>
      <c r="K542" s="55">
        <v>0</v>
      </c>
      <c r="L542" s="55">
        <v>0</v>
      </c>
      <c r="M542" s="55">
        <v>0</v>
      </c>
      <c r="N542" s="55">
        <v>0</v>
      </c>
    </row>
    <row r="543" spans="1:14" ht="10.050000000000001" hidden="1" customHeight="1">
      <c r="A543" s="52" t="s">
        <v>310</v>
      </c>
      <c r="B543" s="53">
        <v>2003</v>
      </c>
      <c r="C543" s="52" t="s">
        <v>106</v>
      </c>
      <c r="D543" s="54">
        <v>8</v>
      </c>
      <c r="E543" s="55">
        <v>6440.5</v>
      </c>
      <c r="F543" s="55">
        <v>725</v>
      </c>
      <c r="G543" s="55">
        <v>7165.5</v>
      </c>
      <c r="H543" s="55">
        <v>33631.9</v>
      </c>
      <c r="I543" s="55">
        <v>1099.5</v>
      </c>
      <c r="J543" s="55">
        <v>34731.4</v>
      </c>
      <c r="K543" s="55">
        <v>6094.2</v>
      </c>
      <c r="L543" s="55">
        <v>1328.1</v>
      </c>
      <c r="M543" s="55">
        <v>1116.8</v>
      </c>
      <c r="N543" s="55">
        <v>39.5</v>
      </c>
    </row>
    <row r="544" spans="1:14" ht="10.050000000000001" hidden="1" customHeight="1">
      <c r="A544" s="52" t="s">
        <v>308</v>
      </c>
      <c r="B544" s="53">
        <v>2003</v>
      </c>
      <c r="C544" s="52" t="s">
        <v>106</v>
      </c>
      <c r="D544" s="54">
        <v>8</v>
      </c>
      <c r="E544" s="55">
        <v>11122</v>
      </c>
      <c r="F544" s="55">
        <v>35.4</v>
      </c>
      <c r="G544" s="55">
        <v>11157.4</v>
      </c>
      <c r="H544" s="55">
        <v>32284</v>
      </c>
      <c r="I544" s="55">
        <v>30.3</v>
      </c>
      <c r="J544" s="55">
        <v>32314.3</v>
      </c>
      <c r="K544" s="55">
        <v>1658.5</v>
      </c>
      <c r="L544" s="55">
        <v>1126.5999999999999</v>
      </c>
      <c r="M544" s="55">
        <v>68.400000000000006</v>
      </c>
      <c r="N544" s="55">
        <v>107</v>
      </c>
    </row>
    <row r="545" spans="1:14" ht="10.050000000000001" hidden="1" customHeight="1">
      <c r="A545" s="52" t="s">
        <v>174</v>
      </c>
      <c r="B545" s="53">
        <v>2003</v>
      </c>
      <c r="C545" s="52" t="s">
        <v>106</v>
      </c>
      <c r="D545" s="54">
        <v>8</v>
      </c>
      <c r="E545" s="55">
        <v>129417.7</v>
      </c>
      <c r="F545" s="55">
        <v>13489.9</v>
      </c>
      <c r="G545" s="55">
        <v>142907.6</v>
      </c>
      <c r="H545" s="55">
        <v>244537.8</v>
      </c>
      <c r="I545" s="55">
        <v>24064.6</v>
      </c>
      <c r="J545" s="55">
        <v>268602.40000000002</v>
      </c>
      <c r="K545" s="55">
        <v>39153.9</v>
      </c>
      <c r="L545" s="55">
        <v>6281.6</v>
      </c>
      <c r="M545" s="55">
        <v>2868.4</v>
      </c>
      <c r="N545" s="55">
        <v>2159.1</v>
      </c>
    </row>
    <row r="546" spans="1:14" ht="10.050000000000001" hidden="1" customHeight="1">
      <c r="A546" s="52" t="s">
        <v>314</v>
      </c>
      <c r="B546" s="53">
        <v>2003</v>
      </c>
      <c r="C546" s="52" t="s">
        <v>106</v>
      </c>
      <c r="D546" s="54">
        <v>9</v>
      </c>
      <c r="E546" s="55">
        <v>140.4</v>
      </c>
      <c r="F546" s="55">
        <v>0</v>
      </c>
      <c r="G546" s="55">
        <v>140.4</v>
      </c>
      <c r="H546" s="55">
        <v>603.1</v>
      </c>
      <c r="I546" s="55">
        <v>0</v>
      </c>
      <c r="J546" s="55">
        <v>603.1</v>
      </c>
      <c r="K546" s="55">
        <v>0</v>
      </c>
      <c r="L546" s="55">
        <v>0</v>
      </c>
      <c r="M546" s="55">
        <v>0</v>
      </c>
      <c r="N546" s="55">
        <v>0</v>
      </c>
    </row>
    <row r="547" spans="1:14" ht="10.050000000000001" hidden="1" customHeight="1">
      <c r="A547" s="52" t="s">
        <v>306</v>
      </c>
      <c r="B547" s="53">
        <v>2003</v>
      </c>
      <c r="C547" s="52" t="s">
        <v>106</v>
      </c>
      <c r="D547" s="54">
        <v>9</v>
      </c>
      <c r="E547" s="55">
        <v>6987.7</v>
      </c>
      <c r="F547" s="55">
        <v>1373.8</v>
      </c>
      <c r="G547" s="55">
        <v>8361.5</v>
      </c>
      <c r="H547" s="55">
        <v>264242</v>
      </c>
      <c r="I547" s="55">
        <v>7037.6</v>
      </c>
      <c r="J547" s="55">
        <v>271279.59999999998</v>
      </c>
      <c r="K547" s="55">
        <v>20881.400000000001</v>
      </c>
      <c r="L547" s="55">
        <v>1543.4</v>
      </c>
      <c r="M547" s="55">
        <v>2191.5</v>
      </c>
      <c r="N547" s="55">
        <v>581.9</v>
      </c>
    </row>
    <row r="548" spans="1:14" ht="10.050000000000001" hidden="1" customHeight="1">
      <c r="A548" s="52" t="s">
        <v>172</v>
      </c>
      <c r="B548" s="53">
        <v>2003</v>
      </c>
      <c r="C548" s="52" t="s">
        <v>106</v>
      </c>
      <c r="D548" s="54">
        <v>9</v>
      </c>
      <c r="E548" s="55">
        <v>115124.3</v>
      </c>
      <c r="F548" s="55">
        <v>7486.2</v>
      </c>
      <c r="G548" s="55">
        <v>122610.5</v>
      </c>
      <c r="H548" s="55">
        <v>489844.5</v>
      </c>
      <c r="I548" s="55">
        <v>32450.1</v>
      </c>
      <c r="J548" s="55">
        <v>522294.6</v>
      </c>
      <c r="K548" s="55">
        <v>94111.4</v>
      </c>
      <c r="L548" s="55">
        <v>3632.2</v>
      </c>
      <c r="M548" s="55">
        <v>75752</v>
      </c>
      <c r="N548" s="55">
        <v>1494.7</v>
      </c>
    </row>
    <row r="549" spans="1:14" ht="10.050000000000001" hidden="1" customHeight="1">
      <c r="A549" s="52" t="s">
        <v>171</v>
      </c>
      <c r="B549" s="53">
        <v>2003</v>
      </c>
      <c r="C549" s="52" t="s">
        <v>106</v>
      </c>
      <c r="D549" s="54">
        <v>9</v>
      </c>
      <c r="E549" s="55">
        <v>1571068.7</v>
      </c>
      <c r="F549" s="55">
        <v>134510</v>
      </c>
      <c r="G549" s="55">
        <v>1705578.7</v>
      </c>
      <c r="H549" s="55">
        <v>10348482.699999999</v>
      </c>
      <c r="I549" s="55">
        <v>222185.8</v>
      </c>
      <c r="J549" s="55">
        <v>10570668.5</v>
      </c>
      <c r="K549" s="55">
        <v>2420243.2000000002</v>
      </c>
      <c r="L549" s="55">
        <v>185495.3</v>
      </c>
      <c r="M549" s="55">
        <v>831334.5</v>
      </c>
      <c r="N549" s="55">
        <v>31489.7</v>
      </c>
    </row>
    <row r="550" spans="1:14" ht="10.050000000000001" hidden="1" customHeight="1">
      <c r="A550" s="52" t="s">
        <v>300</v>
      </c>
      <c r="B550" s="53">
        <v>2003</v>
      </c>
      <c r="C550" s="52" t="s">
        <v>106</v>
      </c>
      <c r="D550" s="54">
        <v>9</v>
      </c>
      <c r="E550" s="55">
        <v>51.3</v>
      </c>
      <c r="F550" s="55">
        <v>0</v>
      </c>
      <c r="G550" s="55">
        <v>51.3</v>
      </c>
      <c r="H550" s="55">
        <v>651.9</v>
      </c>
      <c r="I550" s="55">
        <v>63.5</v>
      </c>
      <c r="J550" s="55">
        <v>715.4</v>
      </c>
      <c r="K550" s="55">
        <v>61.8</v>
      </c>
      <c r="L550" s="55">
        <v>0</v>
      </c>
      <c r="M550" s="55">
        <v>0</v>
      </c>
      <c r="N550" s="55">
        <v>0</v>
      </c>
    </row>
    <row r="551" spans="1:14" ht="10.050000000000001" hidden="1" customHeight="1">
      <c r="A551" s="52" t="s">
        <v>307</v>
      </c>
      <c r="B551" s="53">
        <v>2003</v>
      </c>
      <c r="C551" s="52" t="s">
        <v>106</v>
      </c>
      <c r="D551" s="54">
        <v>9</v>
      </c>
      <c r="E551" s="55">
        <v>4375305.3</v>
      </c>
      <c r="F551" s="55">
        <v>41588.1</v>
      </c>
      <c r="G551" s="55">
        <v>4416893.4000000004</v>
      </c>
      <c r="H551" s="55">
        <v>4216666</v>
      </c>
      <c r="I551" s="55">
        <v>69211.3</v>
      </c>
      <c r="J551" s="55">
        <v>4285877.3</v>
      </c>
      <c r="K551" s="55">
        <v>1764917.3</v>
      </c>
      <c r="L551" s="55">
        <v>1708347.8</v>
      </c>
      <c r="M551" s="55">
        <v>49442.400000000001</v>
      </c>
      <c r="N551" s="55">
        <v>41321.699999999997</v>
      </c>
    </row>
    <row r="552" spans="1:14" ht="10.050000000000001" hidden="1" customHeight="1">
      <c r="A552" s="52" t="s">
        <v>315</v>
      </c>
      <c r="B552" s="53">
        <v>2003</v>
      </c>
      <c r="C552" s="52" t="s">
        <v>106</v>
      </c>
      <c r="D552" s="54">
        <v>9</v>
      </c>
      <c r="E552" s="55">
        <v>19179.7</v>
      </c>
      <c r="F552" s="55">
        <v>0</v>
      </c>
      <c r="G552" s="55">
        <v>19179.7</v>
      </c>
      <c r="H552" s="55">
        <v>20131</v>
      </c>
      <c r="I552" s="55">
        <v>0</v>
      </c>
      <c r="J552" s="55">
        <v>20131</v>
      </c>
      <c r="K552" s="55">
        <v>1088.8</v>
      </c>
      <c r="L552" s="55">
        <v>688</v>
      </c>
      <c r="M552" s="55">
        <v>180</v>
      </c>
      <c r="N552" s="55">
        <v>0</v>
      </c>
    </row>
    <row r="553" spans="1:14" ht="10.050000000000001" hidden="1" customHeight="1">
      <c r="A553" s="52" t="s">
        <v>173</v>
      </c>
      <c r="B553" s="53">
        <v>2003</v>
      </c>
      <c r="C553" s="52" t="s">
        <v>106</v>
      </c>
      <c r="D553" s="54">
        <v>9</v>
      </c>
      <c r="E553" s="55">
        <v>311836.40000000002</v>
      </c>
      <c r="F553" s="55">
        <v>7656</v>
      </c>
      <c r="G553" s="55">
        <v>319492.40000000002</v>
      </c>
      <c r="H553" s="55">
        <v>4818723.3</v>
      </c>
      <c r="I553" s="55">
        <v>59358.1</v>
      </c>
      <c r="J553" s="55">
        <v>4878081.4000000004</v>
      </c>
      <c r="K553" s="55">
        <v>628064.19999999995</v>
      </c>
      <c r="L553" s="55">
        <v>23965.7</v>
      </c>
      <c r="M553" s="55">
        <v>198593.3</v>
      </c>
      <c r="N553" s="55">
        <v>29879.4</v>
      </c>
    </row>
    <row r="554" spans="1:14" ht="10.050000000000001" customHeight="1">
      <c r="A554" s="52" t="s">
        <v>309</v>
      </c>
      <c r="B554" s="53">
        <v>2003</v>
      </c>
      <c r="C554" s="52" t="s">
        <v>106</v>
      </c>
      <c r="D554" s="54">
        <v>9</v>
      </c>
      <c r="E554" s="55">
        <v>76542.5</v>
      </c>
      <c r="F554" s="55">
        <v>0</v>
      </c>
      <c r="G554" s="55">
        <v>76542.5</v>
      </c>
      <c r="H554" s="55">
        <v>41710.400000000001</v>
      </c>
      <c r="I554" s="55">
        <v>0</v>
      </c>
      <c r="J554" s="55">
        <v>41710.400000000001</v>
      </c>
      <c r="K554" s="55">
        <v>0</v>
      </c>
      <c r="L554" s="55">
        <v>0</v>
      </c>
      <c r="M554" s="55">
        <v>0</v>
      </c>
      <c r="N554" s="55">
        <v>0</v>
      </c>
    </row>
    <row r="555" spans="1:14" ht="10.050000000000001" hidden="1" customHeight="1">
      <c r="A555" s="52" t="s">
        <v>316</v>
      </c>
      <c r="B555" s="53">
        <v>2003</v>
      </c>
      <c r="C555" s="52" t="s">
        <v>106</v>
      </c>
      <c r="D555" s="54">
        <v>9</v>
      </c>
      <c r="E555" s="55">
        <v>1027.4000000000001</v>
      </c>
      <c r="F555" s="55">
        <v>63.2</v>
      </c>
      <c r="G555" s="55">
        <v>1090.5999999999999</v>
      </c>
      <c r="H555" s="55">
        <v>2744.8</v>
      </c>
      <c r="I555" s="55">
        <v>79.400000000000006</v>
      </c>
      <c r="J555" s="55">
        <v>2824.2</v>
      </c>
      <c r="K555" s="55">
        <v>0</v>
      </c>
      <c r="L555" s="55">
        <v>0</v>
      </c>
      <c r="M555" s="55">
        <v>0</v>
      </c>
      <c r="N555" s="55">
        <v>0</v>
      </c>
    </row>
    <row r="556" spans="1:14" ht="10.050000000000001" hidden="1" customHeight="1">
      <c r="A556" s="52" t="s">
        <v>310</v>
      </c>
      <c r="B556" s="53">
        <v>2003</v>
      </c>
      <c r="C556" s="52" t="s">
        <v>106</v>
      </c>
      <c r="D556" s="54">
        <v>9</v>
      </c>
      <c r="E556" s="55">
        <v>3525</v>
      </c>
      <c r="F556" s="55">
        <v>318.3</v>
      </c>
      <c r="G556" s="55">
        <v>3843.3</v>
      </c>
      <c r="H556" s="55">
        <v>32297.3</v>
      </c>
      <c r="I556" s="55">
        <v>1017</v>
      </c>
      <c r="J556" s="55">
        <v>33314.300000000003</v>
      </c>
      <c r="K556" s="55">
        <v>5372.3</v>
      </c>
      <c r="L556" s="55">
        <v>156.4</v>
      </c>
      <c r="M556" s="55">
        <v>839.3</v>
      </c>
      <c r="N556" s="55">
        <v>39</v>
      </c>
    </row>
    <row r="557" spans="1:14" ht="10.050000000000001" hidden="1" customHeight="1">
      <c r="A557" s="52" t="s">
        <v>308</v>
      </c>
      <c r="B557" s="53">
        <v>2003</v>
      </c>
      <c r="C557" s="52" t="s">
        <v>106</v>
      </c>
      <c r="D557" s="54">
        <v>9</v>
      </c>
      <c r="E557" s="55">
        <v>105832.3</v>
      </c>
      <c r="F557" s="55">
        <v>0</v>
      </c>
      <c r="G557" s="55">
        <v>105832.3</v>
      </c>
      <c r="H557" s="55">
        <v>117768.1</v>
      </c>
      <c r="I557" s="55">
        <v>30.3</v>
      </c>
      <c r="J557" s="55">
        <v>117798.39999999999</v>
      </c>
      <c r="K557" s="55">
        <v>10001</v>
      </c>
      <c r="L557" s="55">
        <v>9153.2000000000007</v>
      </c>
      <c r="M557" s="55">
        <v>703.5</v>
      </c>
      <c r="N557" s="55">
        <v>107.2</v>
      </c>
    </row>
    <row r="558" spans="1:14" ht="10.050000000000001" hidden="1" customHeight="1">
      <c r="A558" s="52" t="s">
        <v>174</v>
      </c>
      <c r="B558" s="53">
        <v>2003</v>
      </c>
      <c r="C558" s="52" t="s">
        <v>106</v>
      </c>
      <c r="D558" s="54">
        <v>9</v>
      </c>
      <c r="E558" s="55">
        <v>9252.5000000000091</v>
      </c>
      <c r="F558" s="55">
        <v>7805.2</v>
      </c>
      <c r="G558" s="55">
        <v>17057.7</v>
      </c>
      <c r="H558" s="55">
        <v>191635.1</v>
      </c>
      <c r="I558" s="55">
        <v>22545.3</v>
      </c>
      <c r="J558" s="55">
        <v>214180.4</v>
      </c>
      <c r="K558" s="55">
        <v>37018.1</v>
      </c>
      <c r="L558" s="55">
        <v>3522.6</v>
      </c>
      <c r="M558" s="55">
        <v>2692.4</v>
      </c>
      <c r="N558" s="55">
        <v>2966</v>
      </c>
    </row>
    <row r="559" spans="1:14" ht="10.050000000000001" hidden="1" customHeight="1">
      <c r="A559" s="52" t="s">
        <v>314</v>
      </c>
      <c r="B559" s="53">
        <v>2003</v>
      </c>
      <c r="C559" s="52" t="s">
        <v>106</v>
      </c>
      <c r="D559" s="54">
        <v>10</v>
      </c>
      <c r="E559" s="55">
        <v>0</v>
      </c>
      <c r="F559" s="55">
        <v>0</v>
      </c>
      <c r="G559" s="55">
        <v>0</v>
      </c>
      <c r="H559" s="55">
        <v>546.29999999999995</v>
      </c>
      <c r="I559" s="55">
        <v>0</v>
      </c>
      <c r="J559" s="55">
        <v>546.29999999999995</v>
      </c>
      <c r="K559" s="55">
        <v>0</v>
      </c>
      <c r="L559" s="55">
        <v>0</v>
      </c>
      <c r="M559" s="55">
        <v>0</v>
      </c>
      <c r="N559" s="55">
        <v>0</v>
      </c>
    </row>
    <row r="560" spans="1:14" ht="10.050000000000001" hidden="1" customHeight="1">
      <c r="A560" s="52" t="s">
        <v>306</v>
      </c>
      <c r="B560" s="53">
        <v>2003</v>
      </c>
      <c r="C560" s="52" t="s">
        <v>106</v>
      </c>
      <c r="D560" s="54">
        <v>10</v>
      </c>
      <c r="E560" s="55">
        <v>4332.2</v>
      </c>
      <c r="F560" s="55">
        <v>1457.1</v>
      </c>
      <c r="G560" s="55">
        <v>5789.3</v>
      </c>
      <c r="H560" s="55">
        <v>248351.9</v>
      </c>
      <c r="I560" s="55">
        <v>6316.2</v>
      </c>
      <c r="J560" s="55">
        <v>254668.1</v>
      </c>
      <c r="K560" s="55">
        <v>18738.599999999999</v>
      </c>
      <c r="L560" s="55">
        <v>610.70000000000005</v>
      </c>
      <c r="M560" s="55">
        <v>2089</v>
      </c>
      <c r="N560" s="55">
        <v>698</v>
      </c>
    </row>
    <row r="561" spans="1:14" ht="10.050000000000001" hidden="1" customHeight="1">
      <c r="A561" s="52" t="s">
        <v>172</v>
      </c>
      <c r="B561" s="53">
        <v>2003</v>
      </c>
      <c r="C561" s="52" t="s">
        <v>106</v>
      </c>
      <c r="D561" s="54">
        <v>10</v>
      </c>
      <c r="E561" s="55">
        <v>65139.6</v>
      </c>
      <c r="F561" s="55">
        <v>5833.5</v>
      </c>
      <c r="G561" s="55">
        <v>70973.100000000006</v>
      </c>
      <c r="H561" s="55">
        <v>467764.8</v>
      </c>
      <c r="I561" s="55">
        <v>22349.3</v>
      </c>
      <c r="J561" s="55">
        <v>490114.1</v>
      </c>
      <c r="K561" s="55">
        <v>70057.399999999994</v>
      </c>
      <c r="L561" s="55">
        <v>4465.2</v>
      </c>
      <c r="M561" s="55">
        <v>28316.799999999999</v>
      </c>
      <c r="N561" s="55">
        <v>202.4</v>
      </c>
    </row>
    <row r="562" spans="1:14" ht="10.050000000000001" hidden="1" customHeight="1">
      <c r="A562" s="52" t="s">
        <v>171</v>
      </c>
      <c r="B562" s="53">
        <v>2003</v>
      </c>
      <c r="C562" s="52" t="s">
        <v>106</v>
      </c>
      <c r="D562" s="54">
        <v>10</v>
      </c>
      <c r="E562" s="55">
        <v>1157780.1000000001</v>
      </c>
      <c r="F562" s="55">
        <v>51667</v>
      </c>
      <c r="G562" s="55">
        <v>1209447.1000000001</v>
      </c>
      <c r="H562" s="55">
        <v>9010446.8000000101</v>
      </c>
      <c r="I562" s="55">
        <v>168379.8</v>
      </c>
      <c r="J562" s="55">
        <v>9178826.6000000108</v>
      </c>
      <c r="K562" s="55">
        <v>2036366.6</v>
      </c>
      <c r="L562" s="55">
        <v>171390.1</v>
      </c>
      <c r="M562" s="55">
        <v>526899.4</v>
      </c>
      <c r="N562" s="55">
        <v>31166.3</v>
      </c>
    </row>
    <row r="563" spans="1:14" ht="10.050000000000001" hidden="1" customHeight="1">
      <c r="A563" s="52" t="s">
        <v>300</v>
      </c>
      <c r="B563" s="53">
        <v>2003</v>
      </c>
      <c r="C563" s="52" t="s">
        <v>106</v>
      </c>
      <c r="D563" s="54">
        <v>10</v>
      </c>
      <c r="E563" s="55">
        <v>67.3</v>
      </c>
      <c r="F563" s="55">
        <v>14.9</v>
      </c>
      <c r="G563" s="55">
        <v>82.2</v>
      </c>
      <c r="H563" s="55">
        <v>621.79999999999995</v>
      </c>
      <c r="I563" s="55">
        <v>53</v>
      </c>
      <c r="J563" s="55">
        <v>674.8</v>
      </c>
      <c r="K563" s="55">
        <v>61.8</v>
      </c>
      <c r="L563" s="55">
        <v>0</v>
      </c>
      <c r="M563" s="55">
        <v>0</v>
      </c>
      <c r="N563" s="55">
        <v>0</v>
      </c>
    </row>
    <row r="564" spans="1:14" ht="10.050000000000001" hidden="1" customHeight="1">
      <c r="A564" s="52" t="s">
        <v>307</v>
      </c>
      <c r="B564" s="53">
        <v>2003</v>
      </c>
      <c r="C564" s="52" t="s">
        <v>106</v>
      </c>
      <c r="D564" s="54">
        <v>10</v>
      </c>
      <c r="E564" s="55">
        <v>2565609.9</v>
      </c>
      <c r="F564" s="55">
        <v>24476.9</v>
      </c>
      <c r="G564" s="55">
        <v>2590086.7999999998</v>
      </c>
      <c r="H564" s="55">
        <v>5587767.5999999996</v>
      </c>
      <c r="I564" s="55">
        <v>89638.3</v>
      </c>
      <c r="J564" s="55">
        <v>5677405.9000000004</v>
      </c>
      <c r="K564" s="55">
        <v>2308136.6</v>
      </c>
      <c r="L564" s="55">
        <v>946410</v>
      </c>
      <c r="M564" s="55">
        <v>282216.40000000002</v>
      </c>
      <c r="N564" s="55">
        <v>121555.6</v>
      </c>
    </row>
    <row r="565" spans="1:14" ht="10.050000000000001" hidden="1" customHeight="1">
      <c r="A565" s="52" t="s">
        <v>315</v>
      </c>
      <c r="B565" s="53">
        <v>2003</v>
      </c>
      <c r="C565" s="52" t="s">
        <v>106</v>
      </c>
      <c r="D565" s="54">
        <v>10</v>
      </c>
      <c r="E565" s="55">
        <v>4606.5</v>
      </c>
      <c r="F565" s="55">
        <v>0</v>
      </c>
      <c r="G565" s="55">
        <v>4606.5</v>
      </c>
      <c r="H565" s="55">
        <v>20881.5</v>
      </c>
      <c r="I565" s="55">
        <v>0</v>
      </c>
      <c r="J565" s="55">
        <v>20881.5</v>
      </c>
      <c r="K565" s="55">
        <v>185.7</v>
      </c>
      <c r="L565" s="55">
        <v>116.1</v>
      </c>
      <c r="M565" s="55">
        <v>903.7</v>
      </c>
      <c r="N565" s="55">
        <v>0</v>
      </c>
    </row>
    <row r="566" spans="1:14" ht="10.050000000000001" hidden="1" customHeight="1">
      <c r="A566" s="52" t="s">
        <v>173</v>
      </c>
      <c r="B566" s="53">
        <v>2003</v>
      </c>
      <c r="C566" s="52" t="s">
        <v>106</v>
      </c>
      <c r="D566" s="54">
        <v>10</v>
      </c>
      <c r="E566" s="55">
        <v>179428.6</v>
      </c>
      <c r="F566" s="55">
        <v>25076</v>
      </c>
      <c r="G566" s="55">
        <v>204504.6</v>
      </c>
      <c r="H566" s="55">
        <v>4389314.7</v>
      </c>
      <c r="I566" s="55">
        <v>66481</v>
      </c>
      <c r="J566" s="55">
        <v>4455795.7</v>
      </c>
      <c r="K566" s="55">
        <v>519515.3</v>
      </c>
      <c r="L566" s="55">
        <v>19582.400000000001</v>
      </c>
      <c r="M566" s="55">
        <v>118149.6</v>
      </c>
      <c r="N566" s="55">
        <v>9981.7999999999993</v>
      </c>
    </row>
    <row r="567" spans="1:14" ht="10.050000000000001" customHeight="1">
      <c r="A567" s="52" t="s">
        <v>309</v>
      </c>
      <c r="B567" s="53">
        <v>2003</v>
      </c>
      <c r="C567" s="52" t="s">
        <v>106</v>
      </c>
      <c r="D567" s="54">
        <v>10</v>
      </c>
      <c r="E567" s="55">
        <v>23439.1</v>
      </c>
      <c r="F567" s="55">
        <v>2832.3</v>
      </c>
      <c r="G567" s="55">
        <v>26271.4</v>
      </c>
      <c r="H567" s="55">
        <v>46590.8</v>
      </c>
      <c r="I567" s="55">
        <v>0</v>
      </c>
      <c r="J567" s="55">
        <v>46590.8</v>
      </c>
      <c r="K567" s="55">
        <v>0</v>
      </c>
      <c r="L567" s="55">
        <v>0</v>
      </c>
      <c r="M567" s="55">
        <v>0</v>
      </c>
      <c r="N567" s="55">
        <v>0</v>
      </c>
    </row>
    <row r="568" spans="1:14" ht="10.050000000000001" hidden="1" customHeight="1">
      <c r="A568" s="52" t="s">
        <v>316</v>
      </c>
      <c r="B568" s="53">
        <v>2003</v>
      </c>
      <c r="C568" s="52" t="s">
        <v>106</v>
      </c>
      <c r="D568" s="54">
        <v>10</v>
      </c>
      <c r="E568" s="55">
        <v>3552.2</v>
      </c>
      <c r="F568" s="55">
        <v>15.6</v>
      </c>
      <c r="G568" s="55">
        <v>3567.8</v>
      </c>
      <c r="H568" s="55">
        <v>5550</v>
      </c>
      <c r="I568" s="55">
        <v>84.9</v>
      </c>
      <c r="J568" s="55">
        <v>5634.9</v>
      </c>
      <c r="K568" s="55">
        <v>51.1</v>
      </c>
      <c r="L568" s="55">
        <v>51.1</v>
      </c>
      <c r="M568" s="55">
        <v>0</v>
      </c>
      <c r="N568" s="55">
        <v>0</v>
      </c>
    </row>
    <row r="569" spans="1:14" ht="10.050000000000001" hidden="1" customHeight="1">
      <c r="A569" s="52" t="s">
        <v>310</v>
      </c>
      <c r="B569" s="53">
        <v>2003</v>
      </c>
      <c r="C569" s="52" t="s">
        <v>106</v>
      </c>
      <c r="D569" s="54">
        <v>10</v>
      </c>
      <c r="E569" s="55">
        <v>2331.6999999999998</v>
      </c>
      <c r="F569" s="55">
        <v>0</v>
      </c>
      <c r="G569" s="55">
        <v>2331.6999999999998</v>
      </c>
      <c r="H569" s="55">
        <v>29551.4</v>
      </c>
      <c r="I569" s="55">
        <v>729.4</v>
      </c>
      <c r="J569" s="55">
        <v>30280.799999999999</v>
      </c>
      <c r="K569" s="55">
        <v>4058.7</v>
      </c>
      <c r="L569" s="55">
        <v>324.10000000000002</v>
      </c>
      <c r="M569" s="55">
        <v>1602.9</v>
      </c>
      <c r="N569" s="55">
        <v>34.799999999999997</v>
      </c>
    </row>
    <row r="570" spans="1:14" ht="10.050000000000001" hidden="1" customHeight="1">
      <c r="A570" s="52" t="s">
        <v>308</v>
      </c>
      <c r="B570" s="53">
        <v>2003</v>
      </c>
      <c r="C570" s="52" t="s">
        <v>106</v>
      </c>
      <c r="D570" s="54">
        <v>10</v>
      </c>
      <c r="E570" s="55">
        <v>23446.6</v>
      </c>
      <c r="F570" s="55">
        <v>0</v>
      </c>
      <c r="G570" s="55">
        <v>23446.6</v>
      </c>
      <c r="H570" s="55">
        <v>117588.8</v>
      </c>
      <c r="I570" s="55">
        <v>21.7</v>
      </c>
      <c r="J570" s="55">
        <v>117610.5</v>
      </c>
      <c r="K570" s="55">
        <v>11725.8</v>
      </c>
      <c r="L570" s="55">
        <v>3192.9</v>
      </c>
      <c r="M570" s="55">
        <v>1260.0999999999999</v>
      </c>
      <c r="N570" s="55">
        <v>208</v>
      </c>
    </row>
    <row r="571" spans="1:14" ht="10.050000000000001" hidden="1" customHeight="1">
      <c r="A571" s="52" t="s">
        <v>174</v>
      </c>
      <c r="B571" s="53">
        <v>2003</v>
      </c>
      <c r="C571" s="52" t="s">
        <v>106</v>
      </c>
      <c r="D571" s="54">
        <v>10</v>
      </c>
      <c r="E571" s="55">
        <v>6040.4</v>
      </c>
      <c r="F571" s="55">
        <v>2199.3000000000002</v>
      </c>
      <c r="G571" s="55">
        <v>8239.7000000000007</v>
      </c>
      <c r="H571" s="55">
        <v>154948.6</v>
      </c>
      <c r="I571" s="55">
        <v>14847.8</v>
      </c>
      <c r="J571" s="55">
        <v>169796.4</v>
      </c>
      <c r="K571" s="55">
        <v>33863.800000000003</v>
      </c>
      <c r="L571" s="55">
        <v>1167.9000000000001</v>
      </c>
      <c r="M571" s="55">
        <v>2090.4</v>
      </c>
      <c r="N571" s="55">
        <v>2402.9</v>
      </c>
    </row>
    <row r="572" spans="1:14" ht="10.050000000000001" hidden="1" customHeight="1">
      <c r="A572" s="52" t="s">
        <v>314</v>
      </c>
      <c r="B572" s="53">
        <v>2003</v>
      </c>
      <c r="C572" s="52" t="s">
        <v>106</v>
      </c>
      <c r="D572" s="54">
        <v>11</v>
      </c>
      <c r="E572" s="55">
        <v>6.4</v>
      </c>
      <c r="F572" s="55">
        <v>0</v>
      </c>
      <c r="G572" s="55">
        <v>6.4</v>
      </c>
      <c r="H572" s="55">
        <v>526.1</v>
      </c>
      <c r="I572" s="55">
        <v>0</v>
      </c>
      <c r="J572" s="55">
        <v>526.1</v>
      </c>
      <c r="K572" s="55">
        <v>0</v>
      </c>
      <c r="L572" s="55">
        <v>0</v>
      </c>
      <c r="M572" s="55">
        <v>0</v>
      </c>
      <c r="N572" s="55">
        <v>0</v>
      </c>
    </row>
    <row r="573" spans="1:14" ht="10.050000000000001" hidden="1" customHeight="1">
      <c r="A573" s="52" t="s">
        <v>306</v>
      </c>
      <c r="B573" s="53">
        <v>2003</v>
      </c>
      <c r="C573" s="52" t="s">
        <v>106</v>
      </c>
      <c r="D573" s="54">
        <v>11</v>
      </c>
      <c r="E573" s="55">
        <v>5914.1</v>
      </c>
      <c r="F573" s="55">
        <v>2187.6999999999998</v>
      </c>
      <c r="G573" s="55">
        <v>8101.8</v>
      </c>
      <c r="H573" s="55">
        <v>231690</v>
      </c>
      <c r="I573" s="55">
        <v>7901</v>
      </c>
      <c r="J573" s="55">
        <v>239591</v>
      </c>
      <c r="K573" s="55">
        <v>17760</v>
      </c>
      <c r="L573" s="55">
        <v>1769.7</v>
      </c>
      <c r="M573" s="55">
        <v>2259.8000000000002</v>
      </c>
      <c r="N573" s="55">
        <v>528.79999999999995</v>
      </c>
    </row>
    <row r="574" spans="1:14" ht="10.050000000000001" hidden="1" customHeight="1">
      <c r="A574" s="52" t="s">
        <v>172</v>
      </c>
      <c r="B574" s="53">
        <v>2003</v>
      </c>
      <c r="C574" s="52" t="s">
        <v>106</v>
      </c>
      <c r="D574" s="54">
        <v>11</v>
      </c>
      <c r="E574" s="55">
        <v>62485.599999999999</v>
      </c>
      <c r="F574" s="55">
        <v>247.1</v>
      </c>
      <c r="G574" s="55">
        <v>62732.7</v>
      </c>
      <c r="H574" s="55">
        <v>439506.5</v>
      </c>
      <c r="I574" s="55">
        <v>15691.9</v>
      </c>
      <c r="J574" s="55">
        <v>455198.4</v>
      </c>
      <c r="K574" s="55">
        <v>62657.9</v>
      </c>
      <c r="L574" s="55">
        <v>9934.2000000000007</v>
      </c>
      <c r="M574" s="55">
        <v>17167.900000000001</v>
      </c>
      <c r="N574" s="55">
        <v>165.8</v>
      </c>
    </row>
    <row r="575" spans="1:14" ht="10.050000000000001" hidden="1" customHeight="1">
      <c r="A575" s="52" t="s">
        <v>171</v>
      </c>
      <c r="B575" s="53">
        <v>2003</v>
      </c>
      <c r="C575" s="52" t="s">
        <v>106</v>
      </c>
      <c r="D575" s="54">
        <v>11</v>
      </c>
      <c r="E575" s="55">
        <v>1094315.6000000001</v>
      </c>
      <c r="F575" s="55">
        <v>14169.4</v>
      </c>
      <c r="G575" s="55">
        <v>1108485</v>
      </c>
      <c r="H575" s="55">
        <v>7877272.7000000002</v>
      </c>
      <c r="I575" s="55">
        <v>143431.5</v>
      </c>
      <c r="J575" s="55">
        <v>8020704.2000000002</v>
      </c>
      <c r="K575" s="55">
        <v>2104594.6</v>
      </c>
      <c r="L575" s="55">
        <v>471916</v>
      </c>
      <c r="M575" s="55">
        <v>385638.5</v>
      </c>
      <c r="N575" s="55">
        <v>18240.900000000001</v>
      </c>
    </row>
    <row r="576" spans="1:14" ht="10.050000000000001" hidden="1" customHeight="1">
      <c r="A576" s="52" t="s">
        <v>300</v>
      </c>
      <c r="B576" s="53">
        <v>2003</v>
      </c>
      <c r="C576" s="52" t="s">
        <v>106</v>
      </c>
      <c r="D576" s="54">
        <v>11</v>
      </c>
      <c r="E576" s="55">
        <v>114.4</v>
      </c>
      <c r="F576" s="55">
        <v>0</v>
      </c>
      <c r="G576" s="55">
        <v>114.4</v>
      </c>
      <c r="H576" s="55">
        <v>564</v>
      </c>
      <c r="I576" s="55">
        <v>49.8</v>
      </c>
      <c r="J576" s="55">
        <v>613.79999999999995</v>
      </c>
      <c r="K576" s="55">
        <v>61.8</v>
      </c>
      <c r="L576" s="55">
        <v>0</v>
      </c>
      <c r="M576" s="55">
        <v>0</v>
      </c>
      <c r="N576" s="55">
        <v>0</v>
      </c>
    </row>
    <row r="577" spans="1:14" ht="10.050000000000001" hidden="1" customHeight="1">
      <c r="A577" s="52" t="s">
        <v>307</v>
      </c>
      <c r="B577" s="53">
        <v>2003</v>
      </c>
      <c r="C577" s="52" t="s">
        <v>106</v>
      </c>
      <c r="D577" s="54">
        <v>11</v>
      </c>
      <c r="E577" s="55">
        <v>549789.4</v>
      </c>
      <c r="F577" s="55">
        <v>42061.7</v>
      </c>
      <c r="G577" s="55">
        <v>591851.1</v>
      </c>
      <c r="H577" s="55">
        <v>5340277.7</v>
      </c>
      <c r="I577" s="55">
        <v>114134.39999999999</v>
      </c>
      <c r="J577" s="55">
        <v>5454412.0999999996</v>
      </c>
      <c r="K577" s="55">
        <v>1979354.5</v>
      </c>
      <c r="L577" s="55">
        <v>87711.2</v>
      </c>
      <c r="M577" s="55">
        <v>355849.5</v>
      </c>
      <c r="N577" s="55">
        <v>61197.9</v>
      </c>
    </row>
    <row r="578" spans="1:14" ht="10.050000000000001" hidden="1" customHeight="1">
      <c r="A578" s="52" t="s">
        <v>315</v>
      </c>
      <c r="B578" s="53">
        <v>2003</v>
      </c>
      <c r="C578" s="52" t="s">
        <v>106</v>
      </c>
      <c r="D578" s="54">
        <v>11</v>
      </c>
      <c r="E578" s="55">
        <v>671.2</v>
      </c>
      <c r="F578" s="55">
        <v>0</v>
      </c>
      <c r="G578" s="55">
        <v>671.2</v>
      </c>
      <c r="H578" s="55">
        <v>18602.5</v>
      </c>
      <c r="I578" s="55">
        <v>0</v>
      </c>
      <c r="J578" s="55">
        <v>18602.5</v>
      </c>
      <c r="K578" s="55">
        <v>141.9</v>
      </c>
      <c r="L578" s="55">
        <v>34.6</v>
      </c>
      <c r="M578" s="55">
        <v>78.400000000000006</v>
      </c>
      <c r="N578" s="55">
        <v>0</v>
      </c>
    </row>
    <row r="579" spans="1:14" ht="10.050000000000001" hidden="1" customHeight="1">
      <c r="A579" s="52" t="s">
        <v>173</v>
      </c>
      <c r="B579" s="53">
        <v>2003</v>
      </c>
      <c r="C579" s="52" t="s">
        <v>106</v>
      </c>
      <c r="D579" s="54">
        <v>11</v>
      </c>
      <c r="E579" s="55">
        <v>191275.3</v>
      </c>
      <c r="F579" s="55">
        <v>30325.7</v>
      </c>
      <c r="G579" s="55">
        <v>221601</v>
      </c>
      <c r="H579" s="55">
        <v>4073954.1</v>
      </c>
      <c r="I579" s="55">
        <v>73551.8</v>
      </c>
      <c r="J579" s="55">
        <v>4147505.9</v>
      </c>
      <c r="K579" s="55">
        <v>477074</v>
      </c>
      <c r="L579" s="55">
        <v>44167.7</v>
      </c>
      <c r="M579" s="55">
        <v>71057.8</v>
      </c>
      <c r="N579" s="55">
        <v>15470</v>
      </c>
    </row>
    <row r="580" spans="1:14" ht="10.050000000000001" customHeight="1">
      <c r="A580" s="52" t="s">
        <v>309</v>
      </c>
      <c r="B580" s="53">
        <v>2003</v>
      </c>
      <c r="C580" s="52" t="s">
        <v>106</v>
      </c>
      <c r="D580" s="54">
        <v>11</v>
      </c>
      <c r="E580" s="55">
        <v>1490.9</v>
      </c>
      <c r="F580" s="55">
        <v>0</v>
      </c>
      <c r="G580" s="55">
        <v>1490.9</v>
      </c>
      <c r="H580" s="55">
        <v>44361.5</v>
      </c>
      <c r="I580" s="55">
        <v>0</v>
      </c>
      <c r="J580" s="55">
        <v>44361.5</v>
      </c>
      <c r="K580" s="55">
        <v>0</v>
      </c>
      <c r="L580" s="55">
        <v>0</v>
      </c>
      <c r="M580" s="55">
        <v>0</v>
      </c>
      <c r="N580" s="55">
        <v>0</v>
      </c>
    </row>
    <row r="581" spans="1:14" ht="10.050000000000001" hidden="1" customHeight="1">
      <c r="A581" s="52" t="s">
        <v>316</v>
      </c>
      <c r="B581" s="53">
        <v>2003</v>
      </c>
      <c r="C581" s="52" t="s">
        <v>106</v>
      </c>
      <c r="D581" s="54">
        <v>11</v>
      </c>
      <c r="E581" s="55">
        <v>391.1</v>
      </c>
      <c r="F581" s="55">
        <v>13.5</v>
      </c>
      <c r="G581" s="55">
        <v>404.6</v>
      </c>
      <c r="H581" s="55">
        <v>5581.8</v>
      </c>
      <c r="I581" s="55">
        <v>84.9</v>
      </c>
      <c r="J581" s="55">
        <v>5666.7</v>
      </c>
      <c r="K581" s="55">
        <v>57.4</v>
      </c>
      <c r="L581" s="55">
        <v>6.3</v>
      </c>
      <c r="M581" s="55">
        <v>0</v>
      </c>
      <c r="N581" s="55">
        <v>0</v>
      </c>
    </row>
    <row r="582" spans="1:14" ht="10.050000000000001" hidden="1" customHeight="1">
      <c r="A582" s="52" t="s">
        <v>310</v>
      </c>
      <c r="B582" s="53">
        <v>2003</v>
      </c>
      <c r="C582" s="52" t="s">
        <v>106</v>
      </c>
      <c r="D582" s="54">
        <v>11</v>
      </c>
      <c r="E582" s="55">
        <v>2609.6</v>
      </c>
      <c r="F582" s="55">
        <v>0</v>
      </c>
      <c r="G582" s="55">
        <v>2609.6</v>
      </c>
      <c r="H582" s="55">
        <v>27445.8</v>
      </c>
      <c r="I582" s="55">
        <v>625.1</v>
      </c>
      <c r="J582" s="55">
        <v>28070.9</v>
      </c>
      <c r="K582" s="55">
        <v>3786.1</v>
      </c>
      <c r="L582" s="55">
        <v>269.89999999999998</v>
      </c>
      <c r="M582" s="55">
        <v>471</v>
      </c>
      <c r="N582" s="55">
        <v>71.5</v>
      </c>
    </row>
    <row r="583" spans="1:14" ht="10.050000000000001" hidden="1" customHeight="1">
      <c r="A583" s="52" t="s">
        <v>308</v>
      </c>
      <c r="B583" s="53">
        <v>2003</v>
      </c>
      <c r="C583" s="52" t="s">
        <v>106</v>
      </c>
      <c r="D583" s="54">
        <v>11</v>
      </c>
      <c r="E583" s="55">
        <v>6884.3</v>
      </c>
      <c r="F583" s="55">
        <v>0</v>
      </c>
      <c r="G583" s="55">
        <v>6884.3</v>
      </c>
      <c r="H583" s="55">
        <v>105584.5</v>
      </c>
      <c r="I583" s="55">
        <v>21.7</v>
      </c>
      <c r="J583" s="55">
        <v>105606.2</v>
      </c>
      <c r="K583" s="55">
        <v>10439.4</v>
      </c>
      <c r="L583" s="55">
        <v>1311.8</v>
      </c>
      <c r="M583" s="55">
        <v>2361.1</v>
      </c>
      <c r="N583" s="55">
        <v>237.1</v>
      </c>
    </row>
    <row r="584" spans="1:14" ht="10.050000000000001" hidden="1" customHeight="1">
      <c r="A584" s="52" t="s">
        <v>174</v>
      </c>
      <c r="B584" s="53">
        <v>2003</v>
      </c>
      <c r="C584" s="52" t="s">
        <v>106</v>
      </c>
      <c r="D584" s="54">
        <v>11</v>
      </c>
      <c r="E584" s="55">
        <v>5217.3</v>
      </c>
      <c r="F584" s="55">
        <v>215.5</v>
      </c>
      <c r="G584" s="55">
        <v>5432.8</v>
      </c>
      <c r="H584" s="55">
        <v>128083.6</v>
      </c>
      <c r="I584" s="55">
        <v>11541.3</v>
      </c>
      <c r="J584" s="55">
        <v>139624.9</v>
      </c>
      <c r="K584" s="55">
        <v>31175.5</v>
      </c>
      <c r="L584" s="55">
        <v>1605.8</v>
      </c>
      <c r="M584" s="55">
        <v>1552.7</v>
      </c>
      <c r="N584" s="55">
        <v>2741.4</v>
      </c>
    </row>
    <row r="585" spans="1:14" ht="10.050000000000001" hidden="1" customHeight="1">
      <c r="A585" s="52" t="s">
        <v>314</v>
      </c>
      <c r="B585" s="53">
        <v>2003</v>
      </c>
      <c r="C585" s="52" t="s">
        <v>106</v>
      </c>
      <c r="D585" s="54">
        <v>12</v>
      </c>
      <c r="E585" s="55">
        <v>0</v>
      </c>
      <c r="F585" s="55">
        <v>0</v>
      </c>
      <c r="G585" s="55">
        <v>0</v>
      </c>
      <c r="H585" s="55">
        <v>498.6</v>
      </c>
      <c r="I585" s="55">
        <v>0</v>
      </c>
      <c r="J585" s="55">
        <v>498.6</v>
      </c>
      <c r="K585" s="55">
        <v>0</v>
      </c>
      <c r="L585" s="55">
        <v>0</v>
      </c>
      <c r="M585" s="55">
        <v>0</v>
      </c>
      <c r="N585" s="55">
        <v>0</v>
      </c>
    </row>
    <row r="586" spans="1:14" ht="10.050000000000001" hidden="1" customHeight="1">
      <c r="A586" s="52" t="s">
        <v>306</v>
      </c>
      <c r="B586" s="53">
        <v>2003</v>
      </c>
      <c r="C586" s="52" t="s">
        <v>106</v>
      </c>
      <c r="D586" s="54">
        <v>12</v>
      </c>
      <c r="E586" s="55">
        <v>6026.1</v>
      </c>
      <c r="F586" s="55">
        <v>1359.9</v>
      </c>
      <c r="G586" s="55">
        <v>7386</v>
      </c>
      <c r="H586" s="55">
        <v>213347.1</v>
      </c>
      <c r="I586" s="55">
        <v>8393.2000000000007</v>
      </c>
      <c r="J586" s="55">
        <v>221740.3</v>
      </c>
      <c r="K586" s="55">
        <v>15859.7</v>
      </c>
      <c r="L586" s="55">
        <v>486.5</v>
      </c>
      <c r="M586" s="55">
        <v>1856.2</v>
      </c>
      <c r="N586" s="55">
        <v>530.6</v>
      </c>
    </row>
    <row r="587" spans="1:14" ht="10.050000000000001" hidden="1" customHeight="1">
      <c r="A587" s="52" t="s">
        <v>172</v>
      </c>
      <c r="B587" s="53">
        <v>2003</v>
      </c>
      <c r="C587" s="52" t="s">
        <v>106</v>
      </c>
      <c r="D587" s="54">
        <v>12</v>
      </c>
      <c r="E587" s="55">
        <v>59054.3</v>
      </c>
      <c r="F587" s="55">
        <v>2373.4</v>
      </c>
      <c r="G587" s="55">
        <v>61427.7</v>
      </c>
      <c r="H587" s="55">
        <v>438758.1</v>
      </c>
      <c r="I587" s="55">
        <v>12922.7</v>
      </c>
      <c r="J587" s="55">
        <v>451680.8</v>
      </c>
      <c r="K587" s="55">
        <v>61892</v>
      </c>
      <c r="L587" s="55">
        <v>13858.7</v>
      </c>
      <c r="M587" s="55">
        <v>14062.7</v>
      </c>
      <c r="N587" s="55">
        <v>561.9</v>
      </c>
    </row>
    <row r="588" spans="1:14" ht="10.050000000000001" hidden="1" customHeight="1">
      <c r="A588" s="52" t="s">
        <v>171</v>
      </c>
      <c r="B588" s="53">
        <v>2003</v>
      </c>
      <c r="C588" s="52" t="s">
        <v>106</v>
      </c>
      <c r="D588" s="54">
        <v>12</v>
      </c>
      <c r="E588" s="55">
        <v>1381878.3</v>
      </c>
      <c r="F588" s="55">
        <v>10193.200000000001</v>
      </c>
      <c r="G588" s="55">
        <v>1392071.5</v>
      </c>
      <c r="H588" s="55">
        <v>7141491.7000000002</v>
      </c>
      <c r="I588" s="55">
        <v>116649.7</v>
      </c>
      <c r="J588" s="55">
        <v>7258141.4000000004</v>
      </c>
      <c r="K588" s="55">
        <v>1895341.9</v>
      </c>
      <c r="L588" s="55">
        <v>432367.5</v>
      </c>
      <c r="M588" s="55">
        <v>621992.30000000005</v>
      </c>
      <c r="N588" s="55">
        <v>19627.900000000001</v>
      </c>
    </row>
    <row r="589" spans="1:14" ht="10.050000000000001" hidden="1" customHeight="1">
      <c r="A589" s="52" t="s">
        <v>300</v>
      </c>
      <c r="B589" s="53">
        <v>2003</v>
      </c>
      <c r="C589" s="52" t="s">
        <v>106</v>
      </c>
      <c r="D589" s="54">
        <v>12</v>
      </c>
      <c r="E589" s="55">
        <v>48.6</v>
      </c>
      <c r="F589" s="55">
        <v>0</v>
      </c>
      <c r="G589" s="55">
        <v>48.6</v>
      </c>
      <c r="H589" s="55">
        <v>468.3</v>
      </c>
      <c r="I589" s="55">
        <v>50.3</v>
      </c>
      <c r="J589" s="55">
        <v>518.6</v>
      </c>
      <c r="K589" s="55">
        <v>61.8</v>
      </c>
      <c r="L589" s="55">
        <v>0</v>
      </c>
      <c r="M589" s="55">
        <v>0</v>
      </c>
      <c r="N589" s="55">
        <v>0</v>
      </c>
    </row>
    <row r="590" spans="1:14" ht="10.050000000000001" hidden="1" customHeight="1">
      <c r="A590" s="52" t="s">
        <v>307</v>
      </c>
      <c r="B590" s="53">
        <v>2003</v>
      </c>
      <c r="C590" s="52" t="s">
        <v>106</v>
      </c>
      <c r="D590" s="54">
        <v>12</v>
      </c>
      <c r="E590" s="55">
        <v>444285.2</v>
      </c>
      <c r="F590" s="55">
        <v>7793.3</v>
      </c>
      <c r="G590" s="55">
        <v>452078.5</v>
      </c>
      <c r="H590" s="55">
        <v>5042216.0999999996</v>
      </c>
      <c r="I590" s="55">
        <v>110759.1</v>
      </c>
      <c r="J590" s="55">
        <v>5152975.2</v>
      </c>
      <c r="K590" s="55">
        <v>1676470.9</v>
      </c>
      <c r="L590" s="55">
        <v>44763.8</v>
      </c>
      <c r="M590" s="55">
        <v>286657</v>
      </c>
      <c r="N590" s="55">
        <v>60441.1</v>
      </c>
    </row>
    <row r="591" spans="1:14" ht="10.050000000000001" hidden="1" customHeight="1">
      <c r="A591" s="52" t="s">
        <v>315</v>
      </c>
      <c r="B591" s="53">
        <v>2003</v>
      </c>
      <c r="C591" s="52" t="s">
        <v>106</v>
      </c>
      <c r="D591" s="54">
        <v>12</v>
      </c>
      <c r="E591" s="55">
        <v>987.2</v>
      </c>
      <c r="F591" s="55">
        <v>0</v>
      </c>
      <c r="G591" s="55">
        <v>987.2</v>
      </c>
      <c r="H591" s="55">
        <v>16945.8</v>
      </c>
      <c r="I591" s="55">
        <v>0</v>
      </c>
      <c r="J591" s="55">
        <v>16945.8</v>
      </c>
      <c r="K591" s="55">
        <v>147.9</v>
      </c>
      <c r="L591" s="55">
        <v>31</v>
      </c>
      <c r="M591" s="55">
        <v>25</v>
      </c>
      <c r="N591" s="55">
        <v>0</v>
      </c>
    </row>
    <row r="592" spans="1:14" ht="10.050000000000001" hidden="1" customHeight="1">
      <c r="A592" s="52" t="s">
        <v>173</v>
      </c>
      <c r="B592" s="53">
        <v>2003</v>
      </c>
      <c r="C592" s="52" t="s">
        <v>106</v>
      </c>
      <c r="D592" s="54">
        <v>12</v>
      </c>
      <c r="E592" s="55">
        <v>225379.20000000001</v>
      </c>
      <c r="F592" s="55">
        <v>14630.3</v>
      </c>
      <c r="G592" s="55">
        <v>240009.5</v>
      </c>
      <c r="H592" s="55">
        <v>3774244</v>
      </c>
      <c r="I592" s="55">
        <v>69957.600000000006</v>
      </c>
      <c r="J592" s="55">
        <v>3844201.6</v>
      </c>
      <c r="K592" s="55">
        <v>415119.3</v>
      </c>
      <c r="L592" s="55">
        <v>34173.1</v>
      </c>
      <c r="M592" s="55">
        <v>89542.3</v>
      </c>
      <c r="N592" s="55">
        <v>6585.5</v>
      </c>
    </row>
    <row r="593" spans="1:14" ht="10.050000000000001" customHeight="1">
      <c r="A593" s="52" t="s">
        <v>309</v>
      </c>
      <c r="B593" s="53">
        <v>2003</v>
      </c>
      <c r="C593" s="52" t="s">
        <v>106</v>
      </c>
      <c r="D593" s="54">
        <v>12</v>
      </c>
      <c r="E593" s="55">
        <v>0</v>
      </c>
      <c r="F593" s="55">
        <v>0</v>
      </c>
      <c r="G593" s="55">
        <v>0</v>
      </c>
      <c r="H593" s="55">
        <v>43036.800000000003</v>
      </c>
      <c r="I593" s="55">
        <v>0</v>
      </c>
      <c r="J593" s="55">
        <v>43036.800000000003</v>
      </c>
      <c r="K593" s="55">
        <v>0</v>
      </c>
      <c r="L593" s="55">
        <v>0</v>
      </c>
      <c r="M593" s="55">
        <v>0</v>
      </c>
      <c r="N593" s="55">
        <v>0</v>
      </c>
    </row>
    <row r="594" spans="1:14" ht="10.050000000000001" hidden="1" customHeight="1">
      <c r="A594" s="52" t="s">
        <v>316</v>
      </c>
      <c r="B594" s="53">
        <v>2003</v>
      </c>
      <c r="C594" s="52" t="s">
        <v>106</v>
      </c>
      <c r="D594" s="54">
        <v>12</v>
      </c>
      <c r="E594" s="55">
        <v>63.3</v>
      </c>
      <c r="F594" s="55">
        <v>0</v>
      </c>
      <c r="G594" s="55">
        <v>63.3</v>
      </c>
      <c r="H594" s="55">
        <v>5504.3</v>
      </c>
      <c r="I594" s="55">
        <v>84.9</v>
      </c>
      <c r="J594" s="55">
        <v>5589.2</v>
      </c>
      <c r="K594" s="55">
        <v>51</v>
      </c>
      <c r="L594" s="55">
        <v>0</v>
      </c>
      <c r="M594" s="55">
        <v>6.4</v>
      </c>
      <c r="N594" s="55">
        <v>0</v>
      </c>
    </row>
    <row r="595" spans="1:14" ht="10.050000000000001" hidden="1" customHeight="1">
      <c r="A595" s="52" t="s">
        <v>310</v>
      </c>
      <c r="B595" s="53">
        <v>2003</v>
      </c>
      <c r="C595" s="52" t="s">
        <v>106</v>
      </c>
      <c r="D595" s="54">
        <v>12</v>
      </c>
      <c r="E595" s="55">
        <v>2353.6</v>
      </c>
      <c r="F595" s="55">
        <v>126.2</v>
      </c>
      <c r="G595" s="55">
        <v>2479.8000000000002</v>
      </c>
      <c r="H595" s="55">
        <v>25427.9</v>
      </c>
      <c r="I595" s="55">
        <v>582.70000000000005</v>
      </c>
      <c r="J595" s="55">
        <v>26010.6</v>
      </c>
      <c r="K595" s="55">
        <v>3111.7</v>
      </c>
      <c r="L595" s="55">
        <v>626.1</v>
      </c>
      <c r="M595" s="55">
        <v>1238.8</v>
      </c>
      <c r="N595" s="55">
        <v>61.7</v>
      </c>
    </row>
    <row r="596" spans="1:14" ht="10.050000000000001" hidden="1" customHeight="1">
      <c r="A596" s="52" t="s">
        <v>308</v>
      </c>
      <c r="B596" s="53">
        <v>2003</v>
      </c>
      <c r="C596" s="52" t="s">
        <v>106</v>
      </c>
      <c r="D596" s="54">
        <v>12</v>
      </c>
      <c r="E596" s="55">
        <v>3951.7</v>
      </c>
      <c r="F596" s="55">
        <v>5.7</v>
      </c>
      <c r="G596" s="55">
        <v>3957.4</v>
      </c>
      <c r="H596" s="55">
        <v>91044.800000000003</v>
      </c>
      <c r="I596" s="55">
        <v>22.7</v>
      </c>
      <c r="J596" s="55">
        <v>91067.5</v>
      </c>
      <c r="K596" s="55">
        <v>8048.2</v>
      </c>
      <c r="L596" s="55">
        <v>129.19999999999999</v>
      </c>
      <c r="M596" s="55">
        <v>2300.9</v>
      </c>
      <c r="N596" s="55">
        <v>219.5</v>
      </c>
    </row>
    <row r="597" spans="1:14" ht="10.050000000000001" hidden="1" customHeight="1">
      <c r="A597" s="52" t="s">
        <v>174</v>
      </c>
      <c r="B597" s="53">
        <v>2003</v>
      </c>
      <c r="C597" s="52" t="s">
        <v>106</v>
      </c>
      <c r="D597" s="54">
        <v>12</v>
      </c>
      <c r="E597" s="55">
        <v>5021.8999999999996</v>
      </c>
      <c r="F597" s="55">
        <v>702.5</v>
      </c>
      <c r="G597" s="55">
        <v>5724.4</v>
      </c>
      <c r="H597" s="55">
        <v>103742.8</v>
      </c>
      <c r="I597" s="55">
        <v>7274.3</v>
      </c>
      <c r="J597" s="55">
        <v>111017.1</v>
      </c>
      <c r="K597" s="55">
        <v>27767.3</v>
      </c>
      <c r="L597" s="55">
        <v>2527.6</v>
      </c>
      <c r="M597" s="55">
        <v>1841.1</v>
      </c>
      <c r="N597" s="55">
        <v>4094.7</v>
      </c>
    </row>
    <row r="598" spans="1:14" ht="10.050000000000001" hidden="1" customHeight="1">
      <c r="A598" s="52" t="s">
        <v>171</v>
      </c>
      <c r="B598" s="53">
        <v>2003</v>
      </c>
      <c r="C598" s="52" t="s">
        <v>110</v>
      </c>
      <c r="D598" s="54">
        <v>7</v>
      </c>
      <c r="E598" s="55">
        <v>559.29999999999995</v>
      </c>
      <c r="F598" s="55">
        <v>0</v>
      </c>
      <c r="G598" s="55">
        <v>559.29999999999995</v>
      </c>
      <c r="H598" s="55">
        <v>270</v>
      </c>
      <c r="I598" s="55">
        <v>0</v>
      </c>
      <c r="J598" s="55">
        <v>270</v>
      </c>
      <c r="K598" s="55">
        <v>0</v>
      </c>
      <c r="L598" s="55">
        <v>0</v>
      </c>
      <c r="M598" s="55">
        <v>0</v>
      </c>
      <c r="N598" s="55">
        <v>0</v>
      </c>
    </row>
    <row r="599" spans="1:14" ht="10.050000000000001" hidden="1" customHeight="1">
      <c r="A599" s="52" t="s">
        <v>173</v>
      </c>
      <c r="B599" s="53">
        <v>2003</v>
      </c>
      <c r="C599" s="52" t="s">
        <v>110</v>
      </c>
      <c r="D599" s="54">
        <v>7</v>
      </c>
      <c r="E599" s="55">
        <v>414.5</v>
      </c>
      <c r="F599" s="55">
        <v>0</v>
      </c>
      <c r="G599" s="55">
        <v>414.5</v>
      </c>
      <c r="H599" s="55">
        <v>246.6</v>
      </c>
      <c r="I599" s="55">
        <v>0</v>
      </c>
      <c r="J599" s="55">
        <v>246.6</v>
      </c>
      <c r="K599" s="55">
        <v>0</v>
      </c>
      <c r="L599" s="55">
        <v>0</v>
      </c>
      <c r="M599" s="55">
        <v>0</v>
      </c>
      <c r="N599" s="55">
        <v>0</v>
      </c>
    </row>
    <row r="600" spans="1:14" ht="10.050000000000001" hidden="1" customHeight="1">
      <c r="A600" s="52" t="s">
        <v>310</v>
      </c>
      <c r="B600" s="53">
        <v>2003</v>
      </c>
      <c r="C600" s="52" t="s">
        <v>110</v>
      </c>
      <c r="D600" s="54">
        <v>7</v>
      </c>
      <c r="E600" s="55">
        <v>1.2</v>
      </c>
      <c r="F600" s="55">
        <v>0</v>
      </c>
      <c r="G600" s="55">
        <v>1.2</v>
      </c>
      <c r="H600" s="55">
        <v>0</v>
      </c>
      <c r="I600" s="55">
        <v>0</v>
      </c>
      <c r="J600" s="55">
        <v>0</v>
      </c>
      <c r="K600" s="55">
        <v>0</v>
      </c>
      <c r="L600" s="55">
        <v>0</v>
      </c>
      <c r="M600" s="55">
        <v>0</v>
      </c>
      <c r="N600" s="55">
        <v>0</v>
      </c>
    </row>
    <row r="601" spans="1:14" ht="10.050000000000001" hidden="1" customHeight="1">
      <c r="A601" s="52" t="s">
        <v>174</v>
      </c>
      <c r="B601" s="53">
        <v>2003</v>
      </c>
      <c r="C601" s="52" t="s">
        <v>110</v>
      </c>
      <c r="D601" s="54">
        <v>7</v>
      </c>
      <c r="E601" s="55">
        <v>257.2</v>
      </c>
      <c r="F601" s="55">
        <v>0</v>
      </c>
      <c r="G601" s="55">
        <v>257.2</v>
      </c>
      <c r="H601" s="55">
        <v>257.2</v>
      </c>
      <c r="I601" s="55">
        <v>0</v>
      </c>
      <c r="J601" s="55">
        <v>257.2</v>
      </c>
      <c r="K601" s="55">
        <v>0</v>
      </c>
      <c r="L601" s="55">
        <v>0</v>
      </c>
      <c r="M601" s="55">
        <v>0</v>
      </c>
      <c r="N601" s="55">
        <v>0</v>
      </c>
    </row>
    <row r="602" spans="1:14" ht="10.050000000000001" hidden="1" customHeight="1">
      <c r="A602" s="52" t="s">
        <v>314</v>
      </c>
      <c r="B602" s="53">
        <v>2004</v>
      </c>
      <c r="C602" s="52" t="s">
        <v>106</v>
      </c>
      <c r="D602" s="54">
        <v>1</v>
      </c>
      <c r="E602" s="55">
        <v>0</v>
      </c>
      <c r="F602" s="55">
        <v>0</v>
      </c>
      <c r="G602" s="55">
        <v>0</v>
      </c>
      <c r="H602" s="55">
        <v>447.3</v>
      </c>
      <c r="I602" s="55">
        <v>0</v>
      </c>
      <c r="J602" s="55">
        <v>447.3</v>
      </c>
      <c r="K602" s="55">
        <v>0</v>
      </c>
      <c r="L602" s="55">
        <v>0</v>
      </c>
      <c r="M602" s="55">
        <v>0</v>
      </c>
      <c r="N602" s="55">
        <v>0</v>
      </c>
    </row>
    <row r="603" spans="1:14" ht="10.050000000000001" hidden="1" customHeight="1">
      <c r="A603" s="52" t="s">
        <v>306</v>
      </c>
      <c r="B603" s="53">
        <v>2004</v>
      </c>
      <c r="C603" s="52" t="s">
        <v>106</v>
      </c>
      <c r="D603" s="54">
        <v>1</v>
      </c>
      <c r="E603" s="55">
        <v>7517.5</v>
      </c>
      <c r="F603" s="55">
        <v>867.3</v>
      </c>
      <c r="G603" s="55">
        <v>8384.7999999999993</v>
      </c>
      <c r="H603" s="55">
        <v>188209</v>
      </c>
      <c r="I603" s="55">
        <v>8090.9</v>
      </c>
      <c r="J603" s="55">
        <v>196299.9</v>
      </c>
      <c r="K603" s="55">
        <v>13328.3</v>
      </c>
      <c r="L603" s="55">
        <v>678.5</v>
      </c>
      <c r="M603" s="55">
        <v>2538.6</v>
      </c>
      <c r="N603" s="55">
        <v>683.3</v>
      </c>
    </row>
    <row r="604" spans="1:14" ht="10.050000000000001" hidden="1" customHeight="1">
      <c r="A604" s="52" t="s">
        <v>172</v>
      </c>
      <c r="B604" s="53">
        <v>2004</v>
      </c>
      <c r="C604" s="52" t="s">
        <v>106</v>
      </c>
      <c r="D604" s="54">
        <v>1</v>
      </c>
      <c r="E604" s="55">
        <v>73828.100000000006</v>
      </c>
      <c r="F604" s="55">
        <v>708</v>
      </c>
      <c r="G604" s="55">
        <v>74536.100000000006</v>
      </c>
      <c r="H604" s="55">
        <v>427577.7</v>
      </c>
      <c r="I604" s="55">
        <v>12011.5</v>
      </c>
      <c r="J604" s="55">
        <v>439589.2</v>
      </c>
      <c r="K604" s="55">
        <v>39826.1</v>
      </c>
      <c r="L604" s="55">
        <v>5825.4</v>
      </c>
      <c r="M604" s="55">
        <v>27295.200000000001</v>
      </c>
      <c r="N604" s="55">
        <v>596.1</v>
      </c>
    </row>
    <row r="605" spans="1:14" ht="10.050000000000001" hidden="1" customHeight="1">
      <c r="A605" s="52" t="s">
        <v>171</v>
      </c>
      <c r="B605" s="53">
        <v>2004</v>
      </c>
      <c r="C605" s="52" t="s">
        <v>106</v>
      </c>
      <c r="D605" s="54">
        <v>1</v>
      </c>
      <c r="E605" s="55">
        <v>1979599.4</v>
      </c>
      <c r="F605" s="55">
        <v>5160.6000000000004</v>
      </c>
      <c r="G605" s="55">
        <v>1984760</v>
      </c>
      <c r="H605" s="55">
        <v>7042914</v>
      </c>
      <c r="I605" s="55">
        <v>103718.3</v>
      </c>
      <c r="J605" s="55">
        <v>7146632.2999999998</v>
      </c>
      <c r="K605" s="55">
        <v>1385774.9</v>
      </c>
      <c r="L605" s="55">
        <v>296608.7</v>
      </c>
      <c r="M605" s="55">
        <v>785949.9</v>
      </c>
      <c r="N605" s="55">
        <v>22217</v>
      </c>
    </row>
    <row r="606" spans="1:14" ht="10.050000000000001" hidden="1" customHeight="1">
      <c r="A606" s="52" t="s">
        <v>300</v>
      </c>
      <c r="B606" s="53">
        <v>2004</v>
      </c>
      <c r="C606" s="52" t="s">
        <v>106</v>
      </c>
      <c r="D606" s="54">
        <v>1</v>
      </c>
      <c r="E606" s="55">
        <v>103.1</v>
      </c>
      <c r="F606" s="55">
        <v>35.4</v>
      </c>
      <c r="G606" s="55">
        <v>138.5</v>
      </c>
      <c r="H606" s="55">
        <v>483.9</v>
      </c>
      <c r="I606" s="55">
        <v>63.9</v>
      </c>
      <c r="J606" s="55">
        <v>547.79999999999995</v>
      </c>
      <c r="K606" s="55">
        <v>61.8</v>
      </c>
      <c r="L606" s="55">
        <v>0</v>
      </c>
      <c r="M606" s="55">
        <v>0</v>
      </c>
      <c r="N606" s="55">
        <v>0</v>
      </c>
    </row>
    <row r="607" spans="1:14" ht="10.050000000000001" hidden="1" customHeight="1">
      <c r="A607" s="52" t="s">
        <v>307</v>
      </c>
      <c r="B607" s="53">
        <v>2004</v>
      </c>
      <c r="C607" s="52" t="s">
        <v>106</v>
      </c>
      <c r="D607" s="54">
        <v>1</v>
      </c>
      <c r="E607" s="55">
        <v>824028.1</v>
      </c>
      <c r="F607" s="55">
        <v>0</v>
      </c>
      <c r="G607" s="55">
        <v>824028.1</v>
      </c>
      <c r="H607" s="55">
        <v>4967687.5999999996</v>
      </c>
      <c r="I607" s="55">
        <v>97026.5</v>
      </c>
      <c r="J607" s="55">
        <v>5064714.0999999996</v>
      </c>
      <c r="K607" s="55">
        <v>1019156.7</v>
      </c>
      <c r="L607" s="55">
        <v>37106.800000000003</v>
      </c>
      <c r="M607" s="55">
        <v>646236.1</v>
      </c>
      <c r="N607" s="55">
        <v>44276.4</v>
      </c>
    </row>
    <row r="608" spans="1:14" ht="10.050000000000001" hidden="1" customHeight="1">
      <c r="A608" s="52" t="s">
        <v>315</v>
      </c>
      <c r="B608" s="53">
        <v>2004</v>
      </c>
      <c r="C608" s="52" t="s">
        <v>106</v>
      </c>
      <c r="D608" s="54">
        <v>1</v>
      </c>
      <c r="E608" s="55">
        <v>463.4</v>
      </c>
      <c r="F608" s="55">
        <v>0</v>
      </c>
      <c r="G608" s="55">
        <v>463.4</v>
      </c>
      <c r="H608" s="55">
        <v>14122.2</v>
      </c>
      <c r="I608" s="55">
        <v>0</v>
      </c>
      <c r="J608" s="55">
        <v>14122.2</v>
      </c>
      <c r="K608" s="55">
        <v>163.9</v>
      </c>
      <c r="L608" s="55">
        <v>76.599999999999994</v>
      </c>
      <c r="M608" s="55">
        <v>60.6</v>
      </c>
      <c r="N608" s="55">
        <v>0</v>
      </c>
    </row>
    <row r="609" spans="1:14" ht="10.050000000000001" hidden="1" customHeight="1">
      <c r="A609" s="52" t="s">
        <v>173</v>
      </c>
      <c r="B609" s="53">
        <v>2004</v>
      </c>
      <c r="C609" s="52" t="s">
        <v>106</v>
      </c>
      <c r="D609" s="54">
        <v>1</v>
      </c>
      <c r="E609" s="55">
        <v>345937.4</v>
      </c>
      <c r="F609" s="55">
        <v>11518</v>
      </c>
      <c r="G609" s="55">
        <v>357455.4</v>
      </c>
      <c r="H609" s="55">
        <v>3390240.9</v>
      </c>
      <c r="I609" s="55">
        <v>57659.9</v>
      </c>
      <c r="J609" s="55">
        <v>3447900.8</v>
      </c>
      <c r="K609" s="55">
        <v>302924.2</v>
      </c>
      <c r="L609" s="55">
        <v>37188</v>
      </c>
      <c r="M609" s="55">
        <v>141313.5</v>
      </c>
      <c r="N609" s="55">
        <v>8123.8</v>
      </c>
    </row>
    <row r="610" spans="1:14" ht="10.050000000000001" customHeight="1">
      <c r="A610" s="52" t="s">
        <v>309</v>
      </c>
      <c r="B610" s="53">
        <v>2004</v>
      </c>
      <c r="C610" s="52" t="s">
        <v>106</v>
      </c>
      <c r="D610" s="54">
        <v>1</v>
      </c>
      <c r="E610" s="55">
        <v>0</v>
      </c>
      <c r="F610" s="55">
        <v>0</v>
      </c>
      <c r="G610" s="55">
        <v>0</v>
      </c>
      <c r="H610" s="55">
        <v>40877.4</v>
      </c>
      <c r="I610" s="55">
        <v>0</v>
      </c>
      <c r="J610" s="55">
        <v>40877.4</v>
      </c>
      <c r="K610" s="55">
        <v>0</v>
      </c>
      <c r="L610" s="55">
        <v>0</v>
      </c>
      <c r="M610" s="55">
        <v>0</v>
      </c>
      <c r="N610" s="55">
        <v>0</v>
      </c>
    </row>
    <row r="611" spans="1:14" ht="10.050000000000001" hidden="1" customHeight="1">
      <c r="A611" s="52" t="s">
        <v>316</v>
      </c>
      <c r="B611" s="53">
        <v>2004</v>
      </c>
      <c r="C611" s="52" t="s">
        <v>106</v>
      </c>
      <c r="D611" s="54">
        <v>1</v>
      </c>
      <c r="E611" s="55">
        <v>97.7</v>
      </c>
      <c r="F611" s="55">
        <v>0</v>
      </c>
      <c r="G611" s="55">
        <v>97.7</v>
      </c>
      <c r="H611" s="55">
        <v>4843.5</v>
      </c>
      <c r="I611" s="55">
        <v>84.9</v>
      </c>
      <c r="J611" s="55">
        <v>4928.3999999999996</v>
      </c>
      <c r="K611" s="55">
        <v>51</v>
      </c>
      <c r="L611" s="55">
        <v>0</v>
      </c>
      <c r="M611" s="55">
        <v>0</v>
      </c>
      <c r="N611" s="55">
        <v>0</v>
      </c>
    </row>
    <row r="612" spans="1:14" ht="10.050000000000001" hidden="1" customHeight="1">
      <c r="A612" s="52" t="s">
        <v>310</v>
      </c>
      <c r="B612" s="53">
        <v>2004</v>
      </c>
      <c r="C612" s="52" t="s">
        <v>106</v>
      </c>
      <c r="D612" s="54">
        <v>1</v>
      </c>
      <c r="E612" s="55">
        <v>2044.6</v>
      </c>
      <c r="F612" s="55">
        <v>0</v>
      </c>
      <c r="G612" s="55">
        <v>2044.6</v>
      </c>
      <c r="H612" s="55">
        <v>24062.5</v>
      </c>
      <c r="I612" s="55">
        <v>569.29999999999995</v>
      </c>
      <c r="J612" s="55">
        <v>24631.8</v>
      </c>
      <c r="K612" s="55">
        <v>2020.8</v>
      </c>
      <c r="L612" s="55">
        <v>20</v>
      </c>
      <c r="M612" s="55">
        <v>1056.5</v>
      </c>
      <c r="N612" s="55">
        <v>54.4</v>
      </c>
    </row>
    <row r="613" spans="1:14" ht="10.050000000000001" hidden="1" customHeight="1">
      <c r="A613" s="52" t="s">
        <v>308</v>
      </c>
      <c r="B613" s="53">
        <v>2004</v>
      </c>
      <c r="C613" s="52" t="s">
        <v>106</v>
      </c>
      <c r="D613" s="54">
        <v>1</v>
      </c>
      <c r="E613" s="55">
        <v>5563.8</v>
      </c>
      <c r="F613" s="55">
        <v>0</v>
      </c>
      <c r="G613" s="55">
        <v>5563.8</v>
      </c>
      <c r="H613" s="55">
        <v>81475</v>
      </c>
      <c r="I613" s="55">
        <v>28.6</v>
      </c>
      <c r="J613" s="55">
        <v>81503.600000000006</v>
      </c>
      <c r="K613" s="55">
        <v>4155.7</v>
      </c>
      <c r="L613" s="55">
        <v>73.5</v>
      </c>
      <c r="M613" s="55">
        <v>3783.4</v>
      </c>
      <c r="N613" s="55">
        <v>182.6</v>
      </c>
    </row>
    <row r="614" spans="1:14" ht="10.050000000000001" hidden="1" customHeight="1">
      <c r="A614" s="52" t="s">
        <v>174</v>
      </c>
      <c r="B614" s="53">
        <v>2004</v>
      </c>
      <c r="C614" s="52" t="s">
        <v>106</v>
      </c>
      <c r="D614" s="54">
        <v>1</v>
      </c>
      <c r="E614" s="55">
        <v>5065.5</v>
      </c>
      <c r="F614" s="55">
        <v>7</v>
      </c>
      <c r="G614" s="55">
        <v>5072.5</v>
      </c>
      <c r="H614" s="55">
        <v>80284.100000000006</v>
      </c>
      <c r="I614" s="55">
        <v>6179.1</v>
      </c>
      <c r="J614" s="55">
        <v>86463.200000000099</v>
      </c>
      <c r="K614" s="55">
        <v>23046.2</v>
      </c>
      <c r="L614" s="55">
        <v>373.1</v>
      </c>
      <c r="M614" s="55">
        <v>2306.5</v>
      </c>
      <c r="N614" s="55">
        <v>2787.7</v>
      </c>
    </row>
    <row r="615" spans="1:14" ht="10.050000000000001" hidden="1" customHeight="1">
      <c r="A615" s="52" t="s">
        <v>314</v>
      </c>
      <c r="B615" s="53">
        <v>2004</v>
      </c>
      <c r="C615" s="52" t="s">
        <v>106</v>
      </c>
      <c r="D615" s="54">
        <v>2</v>
      </c>
      <c r="E615" s="55">
        <v>0</v>
      </c>
      <c r="F615" s="55">
        <v>0</v>
      </c>
      <c r="G615" s="55">
        <v>0</v>
      </c>
      <c r="H615" s="55">
        <v>392.2</v>
      </c>
      <c r="I615" s="55">
        <v>0</v>
      </c>
      <c r="J615" s="55">
        <v>392.2</v>
      </c>
      <c r="K615" s="55">
        <v>0</v>
      </c>
      <c r="L615" s="55">
        <v>0</v>
      </c>
      <c r="M615" s="55">
        <v>0</v>
      </c>
      <c r="N615" s="55">
        <v>0</v>
      </c>
    </row>
    <row r="616" spans="1:14" ht="10.050000000000001" hidden="1" customHeight="1">
      <c r="A616" s="52" t="s">
        <v>306</v>
      </c>
      <c r="B616" s="53">
        <v>2004</v>
      </c>
      <c r="C616" s="52" t="s">
        <v>106</v>
      </c>
      <c r="D616" s="54">
        <v>2</v>
      </c>
      <c r="E616" s="55">
        <v>7982.3</v>
      </c>
      <c r="F616" s="55">
        <v>310.10000000000002</v>
      </c>
      <c r="G616" s="55">
        <v>8292.4</v>
      </c>
      <c r="H616" s="55">
        <v>164891.9</v>
      </c>
      <c r="I616" s="55">
        <v>6448</v>
      </c>
      <c r="J616" s="55">
        <v>171339.9</v>
      </c>
      <c r="K616" s="55">
        <v>11069.2</v>
      </c>
      <c r="L616" s="55">
        <v>782.3</v>
      </c>
      <c r="M616" s="55">
        <v>2382.6</v>
      </c>
      <c r="N616" s="55">
        <v>658.8</v>
      </c>
    </row>
    <row r="617" spans="1:14" ht="10.050000000000001" hidden="1" customHeight="1">
      <c r="A617" s="52" t="s">
        <v>172</v>
      </c>
      <c r="B617" s="53">
        <v>2004</v>
      </c>
      <c r="C617" s="52" t="s">
        <v>106</v>
      </c>
      <c r="D617" s="54">
        <v>2</v>
      </c>
      <c r="E617" s="55">
        <v>53093.4</v>
      </c>
      <c r="F617" s="55">
        <v>0</v>
      </c>
      <c r="G617" s="55">
        <v>53093.4</v>
      </c>
      <c r="H617" s="55">
        <v>384324</v>
      </c>
      <c r="I617" s="55">
        <v>8069.3</v>
      </c>
      <c r="J617" s="55">
        <v>392393.3</v>
      </c>
      <c r="K617" s="55">
        <v>27898.1</v>
      </c>
      <c r="L617" s="55">
        <v>5683.5</v>
      </c>
      <c r="M617" s="55">
        <v>17593.099999999999</v>
      </c>
      <c r="N617" s="55">
        <v>18.399999999999999</v>
      </c>
    </row>
    <row r="618" spans="1:14" ht="10.050000000000001" hidden="1" customHeight="1">
      <c r="A618" s="52" t="s">
        <v>171</v>
      </c>
      <c r="B618" s="53">
        <v>2004</v>
      </c>
      <c r="C618" s="52" t="s">
        <v>106</v>
      </c>
      <c r="D618" s="54">
        <v>2</v>
      </c>
      <c r="E618" s="55">
        <v>1280516.1000000001</v>
      </c>
      <c r="F618" s="55">
        <v>5452.3</v>
      </c>
      <c r="G618" s="55">
        <v>1285968.3999999999</v>
      </c>
      <c r="H618" s="55">
        <v>6413069.2000000002</v>
      </c>
      <c r="I618" s="55">
        <v>87584.3</v>
      </c>
      <c r="J618" s="55">
        <v>6500653.5000000102</v>
      </c>
      <c r="K618" s="55">
        <v>1134680.8999999999</v>
      </c>
      <c r="L618" s="55">
        <v>196088.4</v>
      </c>
      <c r="M618" s="55">
        <v>433056.6</v>
      </c>
      <c r="N618" s="55">
        <v>13560</v>
      </c>
    </row>
    <row r="619" spans="1:14" ht="10.050000000000001" hidden="1" customHeight="1">
      <c r="A619" s="52" t="s">
        <v>300</v>
      </c>
      <c r="B619" s="53">
        <v>2004</v>
      </c>
      <c r="C619" s="52" t="s">
        <v>106</v>
      </c>
      <c r="D619" s="54">
        <v>2</v>
      </c>
      <c r="E619" s="55">
        <v>97.3</v>
      </c>
      <c r="F619" s="55">
        <v>0.1</v>
      </c>
      <c r="G619" s="55">
        <v>97.4</v>
      </c>
      <c r="H619" s="55">
        <v>454.4</v>
      </c>
      <c r="I619" s="55">
        <v>63.2</v>
      </c>
      <c r="J619" s="55">
        <v>517.6</v>
      </c>
      <c r="K619" s="55">
        <v>61.8</v>
      </c>
      <c r="L619" s="55">
        <v>0</v>
      </c>
      <c r="M619" s="55">
        <v>0</v>
      </c>
      <c r="N619" s="55">
        <v>0</v>
      </c>
    </row>
    <row r="620" spans="1:14" ht="10.050000000000001" hidden="1" customHeight="1">
      <c r="A620" s="52" t="s">
        <v>307</v>
      </c>
      <c r="B620" s="53">
        <v>2004</v>
      </c>
      <c r="C620" s="52" t="s">
        <v>106</v>
      </c>
      <c r="D620" s="54">
        <v>2</v>
      </c>
      <c r="E620" s="55">
        <v>332703.5</v>
      </c>
      <c r="F620" s="55">
        <v>8128.3</v>
      </c>
      <c r="G620" s="55">
        <v>340831.8</v>
      </c>
      <c r="H620" s="55">
        <v>4481332.3</v>
      </c>
      <c r="I620" s="55">
        <v>90073.4</v>
      </c>
      <c r="J620" s="55">
        <v>4571405.7</v>
      </c>
      <c r="K620" s="55">
        <v>802820.9</v>
      </c>
      <c r="L620" s="55">
        <v>24112.2</v>
      </c>
      <c r="M620" s="55">
        <v>201687.3</v>
      </c>
      <c r="N620" s="55">
        <v>36311.9</v>
      </c>
    </row>
    <row r="621" spans="1:14" ht="10.050000000000001" hidden="1" customHeight="1">
      <c r="A621" s="52" t="s">
        <v>315</v>
      </c>
      <c r="B621" s="53">
        <v>2004</v>
      </c>
      <c r="C621" s="52" t="s">
        <v>106</v>
      </c>
      <c r="D621" s="54">
        <v>2</v>
      </c>
      <c r="E621" s="55">
        <v>250.1</v>
      </c>
      <c r="F621" s="55">
        <v>0</v>
      </c>
      <c r="G621" s="55">
        <v>250.1</v>
      </c>
      <c r="H621" s="55">
        <v>13042.4</v>
      </c>
      <c r="I621" s="55">
        <v>0</v>
      </c>
      <c r="J621" s="55">
        <v>13042.4</v>
      </c>
      <c r="K621" s="55">
        <v>106</v>
      </c>
      <c r="L621" s="55">
        <v>0</v>
      </c>
      <c r="M621" s="55">
        <v>57.9</v>
      </c>
      <c r="N621" s="55">
        <v>0</v>
      </c>
    </row>
    <row r="622" spans="1:14" ht="10.050000000000001" hidden="1" customHeight="1">
      <c r="A622" s="52" t="s">
        <v>173</v>
      </c>
      <c r="B622" s="53">
        <v>2004</v>
      </c>
      <c r="C622" s="52" t="s">
        <v>106</v>
      </c>
      <c r="D622" s="54">
        <v>2</v>
      </c>
      <c r="E622" s="55">
        <v>273926.90000000002</v>
      </c>
      <c r="F622" s="55">
        <v>5163.8999999999996</v>
      </c>
      <c r="G622" s="55">
        <v>279090.8</v>
      </c>
      <c r="H622" s="55">
        <v>3051638.6</v>
      </c>
      <c r="I622" s="55">
        <v>45652.2</v>
      </c>
      <c r="J622" s="55">
        <v>3097290.8</v>
      </c>
      <c r="K622" s="55">
        <v>238573.8</v>
      </c>
      <c r="L622" s="55">
        <v>30305.1</v>
      </c>
      <c r="M622" s="55">
        <v>86990.7</v>
      </c>
      <c r="N622" s="55">
        <v>7710.6</v>
      </c>
    </row>
    <row r="623" spans="1:14" ht="10.050000000000001" customHeight="1">
      <c r="A623" s="52" t="s">
        <v>309</v>
      </c>
      <c r="B623" s="53">
        <v>2004</v>
      </c>
      <c r="C623" s="52" t="s">
        <v>106</v>
      </c>
      <c r="D623" s="54">
        <v>2</v>
      </c>
      <c r="E623" s="55">
        <v>0.2</v>
      </c>
      <c r="F623" s="55">
        <v>0</v>
      </c>
      <c r="G623" s="55">
        <v>0.2</v>
      </c>
      <c r="H623" s="55">
        <v>37734.699999999997</v>
      </c>
      <c r="I623" s="55">
        <v>0</v>
      </c>
      <c r="J623" s="55">
        <v>37734.699999999997</v>
      </c>
      <c r="K623" s="55">
        <v>0</v>
      </c>
      <c r="L623" s="55">
        <v>0</v>
      </c>
      <c r="M623" s="55">
        <v>0</v>
      </c>
      <c r="N623" s="55">
        <v>0</v>
      </c>
    </row>
    <row r="624" spans="1:14" ht="10.050000000000001" hidden="1" customHeight="1">
      <c r="A624" s="52" t="s">
        <v>316</v>
      </c>
      <c r="B624" s="53">
        <v>2004</v>
      </c>
      <c r="C624" s="52" t="s">
        <v>106</v>
      </c>
      <c r="D624" s="54">
        <v>2</v>
      </c>
      <c r="E624" s="55">
        <v>85.4</v>
      </c>
      <c r="F624" s="55">
        <v>0</v>
      </c>
      <c r="G624" s="55">
        <v>85.4</v>
      </c>
      <c r="H624" s="55">
        <v>4422.1000000000004</v>
      </c>
      <c r="I624" s="55">
        <v>84.9</v>
      </c>
      <c r="J624" s="55">
        <v>4507</v>
      </c>
      <c r="K624" s="55">
        <v>34.299999999999997</v>
      </c>
      <c r="L624" s="55">
        <v>0</v>
      </c>
      <c r="M624" s="55">
        <v>16.7</v>
      </c>
      <c r="N624" s="55">
        <v>0</v>
      </c>
    </row>
    <row r="625" spans="1:14" ht="10.050000000000001" hidden="1" customHeight="1">
      <c r="A625" s="52" t="s">
        <v>310</v>
      </c>
      <c r="B625" s="53">
        <v>2004</v>
      </c>
      <c r="C625" s="52" t="s">
        <v>106</v>
      </c>
      <c r="D625" s="54">
        <v>2</v>
      </c>
      <c r="E625" s="55">
        <v>2262.4</v>
      </c>
      <c r="F625" s="55">
        <v>0</v>
      </c>
      <c r="G625" s="55">
        <v>2262.4</v>
      </c>
      <c r="H625" s="55">
        <v>22297.8</v>
      </c>
      <c r="I625" s="55">
        <v>534.29999999999995</v>
      </c>
      <c r="J625" s="55">
        <v>22832.1</v>
      </c>
      <c r="K625" s="55">
        <v>1164.7</v>
      </c>
      <c r="L625" s="55">
        <v>10.6</v>
      </c>
      <c r="M625" s="55">
        <v>809.2</v>
      </c>
      <c r="N625" s="55">
        <v>57.5</v>
      </c>
    </row>
    <row r="626" spans="1:14" ht="10.050000000000001" hidden="1" customHeight="1">
      <c r="A626" s="52" t="s">
        <v>308</v>
      </c>
      <c r="B626" s="53">
        <v>2004</v>
      </c>
      <c r="C626" s="52" t="s">
        <v>106</v>
      </c>
      <c r="D626" s="54">
        <v>2</v>
      </c>
      <c r="E626" s="55">
        <v>1951.7</v>
      </c>
      <c r="F626" s="55">
        <v>0</v>
      </c>
      <c r="G626" s="55">
        <v>1951.7</v>
      </c>
      <c r="H626" s="55">
        <v>71766</v>
      </c>
      <c r="I626" s="55">
        <v>28.6</v>
      </c>
      <c r="J626" s="55">
        <v>71794.600000000006</v>
      </c>
      <c r="K626" s="55">
        <v>2763.9</v>
      </c>
      <c r="L626" s="55">
        <v>0</v>
      </c>
      <c r="M626" s="55">
        <v>1246</v>
      </c>
      <c r="N626" s="55">
        <v>145.80000000000001</v>
      </c>
    </row>
    <row r="627" spans="1:14" ht="10.050000000000001" hidden="1" customHeight="1">
      <c r="A627" s="52" t="s">
        <v>174</v>
      </c>
      <c r="B627" s="53">
        <v>2004</v>
      </c>
      <c r="C627" s="52" t="s">
        <v>106</v>
      </c>
      <c r="D627" s="54">
        <v>2</v>
      </c>
      <c r="E627" s="55">
        <v>5708.8</v>
      </c>
      <c r="F627" s="55">
        <v>0</v>
      </c>
      <c r="G627" s="55">
        <v>5708.8</v>
      </c>
      <c r="H627" s="55">
        <v>68876.800000000003</v>
      </c>
      <c r="I627" s="55">
        <v>4730.3</v>
      </c>
      <c r="J627" s="55">
        <v>73607.100000000006</v>
      </c>
      <c r="K627" s="55">
        <v>19441.2</v>
      </c>
      <c r="L627" s="55">
        <v>306.3</v>
      </c>
      <c r="M627" s="55">
        <v>1538</v>
      </c>
      <c r="N627" s="55">
        <v>2373.3000000000002</v>
      </c>
    </row>
    <row r="628" spans="1:14" ht="10.050000000000001" hidden="1" customHeight="1">
      <c r="A628" s="52" t="s">
        <v>314</v>
      </c>
      <c r="B628" s="53">
        <v>2004</v>
      </c>
      <c r="C628" s="52" t="s">
        <v>106</v>
      </c>
      <c r="D628" s="54">
        <v>3</v>
      </c>
      <c r="E628" s="55">
        <v>0</v>
      </c>
      <c r="F628" s="55">
        <v>0</v>
      </c>
      <c r="G628" s="55">
        <v>0</v>
      </c>
      <c r="H628" s="55">
        <v>338.2</v>
      </c>
      <c r="I628" s="55">
        <v>0</v>
      </c>
      <c r="J628" s="55">
        <v>338.2</v>
      </c>
      <c r="K628" s="55">
        <v>0</v>
      </c>
      <c r="L628" s="55">
        <v>0</v>
      </c>
      <c r="M628" s="55">
        <v>0</v>
      </c>
      <c r="N628" s="55">
        <v>0</v>
      </c>
    </row>
    <row r="629" spans="1:14" ht="10.050000000000001" hidden="1" customHeight="1">
      <c r="A629" s="52" t="s">
        <v>306</v>
      </c>
      <c r="B629" s="53">
        <v>2004</v>
      </c>
      <c r="C629" s="52" t="s">
        <v>106</v>
      </c>
      <c r="D629" s="54">
        <v>3</v>
      </c>
      <c r="E629" s="55">
        <v>10542.6</v>
      </c>
      <c r="F629" s="55">
        <v>129</v>
      </c>
      <c r="G629" s="55">
        <v>10671.6</v>
      </c>
      <c r="H629" s="55">
        <v>140129.4</v>
      </c>
      <c r="I629" s="55">
        <v>5573.6</v>
      </c>
      <c r="J629" s="55">
        <v>145703</v>
      </c>
      <c r="K629" s="55">
        <v>8725</v>
      </c>
      <c r="L629" s="55">
        <v>1324.2</v>
      </c>
      <c r="M629" s="55">
        <v>2945.7</v>
      </c>
      <c r="N629" s="55">
        <v>750.4</v>
      </c>
    </row>
    <row r="630" spans="1:14" ht="10.050000000000001" hidden="1" customHeight="1">
      <c r="A630" s="52" t="s">
        <v>172</v>
      </c>
      <c r="B630" s="53">
        <v>2004</v>
      </c>
      <c r="C630" s="52" t="s">
        <v>106</v>
      </c>
      <c r="D630" s="54">
        <v>3</v>
      </c>
      <c r="E630" s="55">
        <v>75866.600000000006</v>
      </c>
      <c r="F630" s="55">
        <v>100.6</v>
      </c>
      <c r="G630" s="55">
        <v>75967.199999999997</v>
      </c>
      <c r="H630" s="55">
        <v>313148.5</v>
      </c>
      <c r="I630" s="55">
        <v>7672.4</v>
      </c>
      <c r="J630" s="55">
        <v>320820.90000000002</v>
      </c>
      <c r="K630" s="55">
        <v>17385.900000000001</v>
      </c>
      <c r="L630" s="55">
        <v>6093.5</v>
      </c>
      <c r="M630" s="55">
        <v>16583.400000000001</v>
      </c>
      <c r="N630" s="55">
        <v>22.3</v>
      </c>
    </row>
    <row r="631" spans="1:14" ht="10.050000000000001" hidden="1" customHeight="1">
      <c r="A631" s="52" t="s">
        <v>171</v>
      </c>
      <c r="B631" s="53">
        <v>2004</v>
      </c>
      <c r="C631" s="52" t="s">
        <v>106</v>
      </c>
      <c r="D631" s="54">
        <v>3</v>
      </c>
      <c r="E631" s="55">
        <v>1468993.3</v>
      </c>
      <c r="F631" s="55">
        <v>5007.2</v>
      </c>
      <c r="G631" s="55">
        <v>1474000.5</v>
      </c>
      <c r="H631" s="55">
        <v>5611443.0999999996</v>
      </c>
      <c r="I631" s="55">
        <v>78052</v>
      </c>
      <c r="J631" s="55">
        <v>5689495.0999999996</v>
      </c>
      <c r="K631" s="55">
        <v>573797.9</v>
      </c>
      <c r="L631" s="55">
        <v>127620.5</v>
      </c>
      <c r="M631" s="55">
        <v>676789.5</v>
      </c>
      <c r="N631" s="55">
        <v>13410.7</v>
      </c>
    </row>
    <row r="632" spans="1:14" ht="10.050000000000001" hidden="1" customHeight="1">
      <c r="A632" s="52" t="s">
        <v>300</v>
      </c>
      <c r="B632" s="53">
        <v>2004</v>
      </c>
      <c r="C632" s="52" t="s">
        <v>106</v>
      </c>
      <c r="D632" s="54">
        <v>3</v>
      </c>
      <c r="E632" s="55">
        <v>22.9</v>
      </c>
      <c r="F632" s="55">
        <v>45.9</v>
      </c>
      <c r="G632" s="55">
        <v>68.8</v>
      </c>
      <c r="H632" s="55">
        <v>413</v>
      </c>
      <c r="I632" s="55">
        <v>82.5</v>
      </c>
      <c r="J632" s="55">
        <v>495.5</v>
      </c>
      <c r="K632" s="55">
        <v>61.8</v>
      </c>
      <c r="L632" s="55">
        <v>0</v>
      </c>
      <c r="M632" s="55">
        <v>0</v>
      </c>
      <c r="N632" s="55">
        <v>0</v>
      </c>
    </row>
    <row r="633" spans="1:14" ht="10.050000000000001" hidden="1" customHeight="1">
      <c r="A633" s="52" t="s">
        <v>307</v>
      </c>
      <c r="B633" s="53">
        <v>2004</v>
      </c>
      <c r="C633" s="52" t="s">
        <v>106</v>
      </c>
      <c r="D633" s="54">
        <v>3</v>
      </c>
      <c r="E633" s="55">
        <v>350411.6</v>
      </c>
      <c r="F633" s="55">
        <v>2698.9</v>
      </c>
      <c r="G633" s="55">
        <v>353110.5</v>
      </c>
      <c r="H633" s="55">
        <v>3909106.5</v>
      </c>
      <c r="I633" s="55">
        <v>81413.5</v>
      </c>
      <c r="J633" s="55">
        <v>3990520</v>
      </c>
      <c r="K633" s="55">
        <v>587902.69999999995</v>
      </c>
      <c r="L633" s="55">
        <v>34935</v>
      </c>
      <c r="M633" s="55">
        <v>215265.7</v>
      </c>
      <c r="N633" s="55">
        <v>34617.5</v>
      </c>
    </row>
    <row r="634" spans="1:14" ht="10.050000000000001" hidden="1" customHeight="1">
      <c r="A634" s="52" t="s">
        <v>315</v>
      </c>
      <c r="B634" s="53">
        <v>2004</v>
      </c>
      <c r="C634" s="52" t="s">
        <v>106</v>
      </c>
      <c r="D634" s="54">
        <v>3</v>
      </c>
      <c r="E634" s="55">
        <v>338.8</v>
      </c>
      <c r="F634" s="55">
        <v>0</v>
      </c>
      <c r="G634" s="55">
        <v>338.8</v>
      </c>
      <c r="H634" s="55">
        <v>11549.3</v>
      </c>
      <c r="I634" s="55">
        <v>0</v>
      </c>
      <c r="J634" s="55">
        <v>11549.3</v>
      </c>
      <c r="K634" s="55">
        <v>106</v>
      </c>
      <c r="L634" s="55">
        <v>0</v>
      </c>
      <c r="M634" s="55">
        <v>0</v>
      </c>
      <c r="N634" s="55">
        <v>0</v>
      </c>
    </row>
    <row r="635" spans="1:14" ht="10.050000000000001" hidden="1" customHeight="1">
      <c r="A635" s="52" t="s">
        <v>173</v>
      </c>
      <c r="B635" s="53">
        <v>2004</v>
      </c>
      <c r="C635" s="52" t="s">
        <v>106</v>
      </c>
      <c r="D635" s="54">
        <v>3</v>
      </c>
      <c r="E635" s="55">
        <v>337884.8</v>
      </c>
      <c r="F635" s="55">
        <v>3080.7</v>
      </c>
      <c r="G635" s="55">
        <v>340965.5</v>
      </c>
      <c r="H635" s="55">
        <v>2650528.9</v>
      </c>
      <c r="I635" s="55">
        <v>39853.1</v>
      </c>
      <c r="J635" s="55">
        <v>2690382</v>
      </c>
      <c r="K635" s="55">
        <v>116056.4</v>
      </c>
      <c r="L635" s="55">
        <v>17003.2</v>
      </c>
      <c r="M635" s="55">
        <v>132145.1</v>
      </c>
      <c r="N635" s="55">
        <v>7473.2</v>
      </c>
    </row>
    <row r="636" spans="1:14" ht="10.050000000000001" customHeight="1">
      <c r="A636" s="52" t="s">
        <v>309</v>
      </c>
      <c r="B636" s="53">
        <v>2004</v>
      </c>
      <c r="C636" s="52" t="s">
        <v>106</v>
      </c>
      <c r="D636" s="54">
        <v>3</v>
      </c>
      <c r="E636" s="55">
        <v>93.6</v>
      </c>
      <c r="F636" s="55">
        <v>0</v>
      </c>
      <c r="G636" s="55">
        <v>93.6</v>
      </c>
      <c r="H636" s="55">
        <v>32523.1</v>
      </c>
      <c r="I636" s="55">
        <v>0</v>
      </c>
      <c r="J636" s="55">
        <v>32523.1</v>
      </c>
      <c r="K636" s="55">
        <v>0</v>
      </c>
      <c r="L636" s="55">
        <v>0</v>
      </c>
      <c r="M636" s="55">
        <v>0</v>
      </c>
      <c r="N636" s="55">
        <v>0</v>
      </c>
    </row>
    <row r="637" spans="1:14" ht="10.050000000000001" hidden="1" customHeight="1">
      <c r="A637" s="52" t="s">
        <v>316</v>
      </c>
      <c r="B637" s="53">
        <v>2004</v>
      </c>
      <c r="C637" s="52" t="s">
        <v>106</v>
      </c>
      <c r="D637" s="54">
        <v>3</v>
      </c>
      <c r="E637" s="55">
        <v>78.900000000000006</v>
      </c>
      <c r="F637" s="55">
        <v>0</v>
      </c>
      <c r="G637" s="55">
        <v>78.900000000000006</v>
      </c>
      <c r="H637" s="55">
        <v>3903.5</v>
      </c>
      <c r="I637" s="55">
        <v>84.9</v>
      </c>
      <c r="J637" s="55">
        <v>3988.4</v>
      </c>
      <c r="K637" s="55">
        <v>0</v>
      </c>
      <c r="L637" s="55">
        <v>0</v>
      </c>
      <c r="M637" s="55">
        <v>34.299999999999997</v>
      </c>
      <c r="N637" s="55">
        <v>0</v>
      </c>
    </row>
    <row r="638" spans="1:14" ht="10.050000000000001" hidden="1" customHeight="1">
      <c r="A638" s="52" t="s">
        <v>310</v>
      </c>
      <c r="B638" s="53">
        <v>2004</v>
      </c>
      <c r="C638" s="52" t="s">
        <v>106</v>
      </c>
      <c r="D638" s="54">
        <v>3</v>
      </c>
      <c r="E638" s="55">
        <v>2384.3000000000002</v>
      </c>
      <c r="F638" s="55">
        <v>0</v>
      </c>
      <c r="G638" s="55">
        <v>2384.3000000000002</v>
      </c>
      <c r="H638" s="55">
        <v>19987.900000000001</v>
      </c>
      <c r="I638" s="55">
        <v>534.5</v>
      </c>
      <c r="J638" s="55">
        <v>20522.400000000001</v>
      </c>
      <c r="K638" s="55">
        <v>866</v>
      </c>
      <c r="L638" s="55">
        <v>275.7</v>
      </c>
      <c r="M638" s="55">
        <v>479.6</v>
      </c>
      <c r="N638" s="55">
        <v>94.8</v>
      </c>
    </row>
    <row r="639" spans="1:14" ht="10.050000000000001" hidden="1" customHeight="1">
      <c r="A639" s="52" t="s">
        <v>308</v>
      </c>
      <c r="B639" s="53">
        <v>2004</v>
      </c>
      <c r="C639" s="52" t="s">
        <v>106</v>
      </c>
      <c r="D639" s="54">
        <v>3</v>
      </c>
      <c r="E639" s="55">
        <v>1246.5</v>
      </c>
      <c r="F639" s="55">
        <v>437.5</v>
      </c>
      <c r="G639" s="55">
        <v>1684</v>
      </c>
      <c r="H639" s="55">
        <v>58908.6</v>
      </c>
      <c r="I639" s="55">
        <v>28.6</v>
      </c>
      <c r="J639" s="55">
        <v>58937.2</v>
      </c>
      <c r="K639" s="55">
        <v>1743.6</v>
      </c>
      <c r="L639" s="55">
        <v>-5.7</v>
      </c>
      <c r="M639" s="55">
        <v>789.5</v>
      </c>
      <c r="N639" s="55">
        <v>225.1</v>
      </c>
    </row>
    <row r="640" spans="1:14" ht="10.050000000000001" hidden="1" customHeight="1">
      <c r="A640" s="52" t="s">
        <v>174</v>
      </c>
      <c r="B640" s="53">
        <v>2004</v>
      </c>
      <c r="C640" s="52" t="s">
        <v>106</v>
      </c>
      <c r="D640" s="54">
        <v>3</v>
      </c>
      <c r="E640" s="55">
        <v>4738.3999999999996</v>
      </c>
      <c r="F640" s="55">
        <v>0</v>
      </c>
      <c r="G640" s="55">
        <v>4738.3999999999996</v>
      </c>
      <c r="H640" s="55">
        <v>49990.5</v>
      </c>
      <c r="I640" s="55">
        <v>4345.8999999999996</v>
      </c>
      <c r="J640" s="55">
        <v>54336.4</v>
      </c>
      <c r="K640" s="55">
        <v>15976.5</v>
      </c>
      <c r="L640" s="55">
        <v>297.7</v>
      </c>
      <c r="M640" s="55">
        <v>1330.9</v>
      </c>
      <c r="N640" s="55">
        <v>2409.1</v>
      </c>
    </row>
    <row r="641" spans="1:14" ht="10.050000000000001" hidden="1" customHeight="1">
      <c r="A641" s="52" t="s">
        <v>314</v>
      </c>
      <c r="B641" s="53">
        <v>2004</v>
      </c>
      <c r="C641" s="52" t="s">
        <v>106</v>
      </c>
      <c r="D641" s="54">
        <v>4</v>
      </c>
      <c r="E641" s="55">
        <v>0</v>
      </c>
      <c r="F641" s="55">
        <v>0</v>
      </c>
      <c r="G641" s="55">
        <v>0</v>
      </c>
      <c r="H641" s="55">
        <v>308.10000000000002</v>
      </c>
      <c r="I641" s="55">
        <v>0</v>
      </c>
      <c r="J641" s="55">
        <v>308.10000000000002</v>
      </c>
      <c r="K641" s="55">
        <v>0</v>
      </c>
      <c r="L641" s="55">
        <v>0</v>
      </c>
      <c r="M641" s="55">
        <v>0</v>
      </c>
      <c r="N641" s="55">
        <v>0</v>
      </c>
    </row>
    <row r="642" spans="1:14" ht="10.050000000000001" hidden="1" customHeight="1">
      <c r="A642" s="52" t="s">
        <v>306</v>
      </c>
      <c r="B642" s="53">
        <v>2004</v>
      </c>
      <c r="C642" s="52" t="s">
        <v>106</v>
      </c>
      <c r="D642" s="54">
        <v>4</v>
      </c>
      <c r="E642" s="55">
        <v>8845.2000000000007</v>
      </c>
      <c r="F642" s="55">
        <v>193.9</v>
      </c>
      <c r="G642" s="55">
        <v>9039.1</v>
      </c>
      <c r="H642" s="55">
        <v>119898.6</v>
      </c>
      <c r="I642" s="55">
        <v>4644.8</v>
      </c>
      <c r="J642" s="55">
        <v>124543.4</v>
      </c>
      <c r="K642" s="55">
        <v>6919.7</v>
      </c>
      <c r="L642" s="55">
        <v>729</v>
      </c>
      <c r="M642" s="55">
        <v>2000.5</v>
      </c>
      <c r="N642" s="55">
        <v>516</v>
      </c>
    </row>
    <row r="643" spans="1:14" ht="10.050000000000001" hidden="1" customHeight="1">
      <c r="A643" s="52" t="s">
        <v>172</v>
      </c>
      <c r="B643" s="53">
        <v>2004</v>
      </c>
      <c r="C643" s="52" t="s">
        <v>106</v>
      </c>
      <c r="D643" s="54">
        <v>4</v>
      </c>
      <c r="E643" s="55">
        <v>46952.5</v>
      </c>
      <c r="F643" s="55">
        <v>0</v>
      </c>
      <c r="G643" s="55">
        <v>46952.5</v>
      </c>
      <c r="H643" s="55">
        <v>233234.7</v>
      </c>
      <c r="I643" s="55">
        <v>7105</v>
      </c>
      <c r="J643" s="55">
        <v>240339.7</v>
      </c>
      <c r="K643" s="55">
        <v>10608.4</v>
      </c>
      <c r="L643" s="55">
        <v>1987.9</v>
      </c>
      <c r="M643" s="55">
        <v>8754.2000000000007</v>
      </c>
      <c r="N643" s="55">
        <v>11.2</v>
      </c>
    </row>
    <row r="644" spans="1:14" ht="10.050000000000001" hidden="1" customHeight="1">
      <c r="A644" s="52" t="s">
        <v>171</v>
      </c>
      <c r="B644" s="53">
        <v>2004</v>
      </c>
      <c r="C644" s="52" t="s">
        <v>106</v>
      </c>
      <c r="D644" s="54">
        <v>4</v>
      </c>
      <c r="E644" s="55">
        <v>715349.3</v>
      </c>
      <c r="F644" s="55">
        <v>8960.1</v>
      </c>
      <c r="G644" s="55">
        <v>724309.4</v>
      </c>
      <c r="H644" s="55">
        <v>4251849.0999999996</v>
      </c>
      <c r="I644" s="55">
        <v>63447.7</v>
      </c>
      <c r="J644" s="55">
        <v>4315296.8</v>
      </c>
      <c r="K644" s="55">
        <v>333906.3</v>
      </c>
      <c r="L644" s="55">
        <v>68951</v>
      </c>
      <c r="M644" s="55">
        <v>291110.09999999998</v>
      </c>
      <c r="N644" s="55">
        <v>17030</v>
      </c>
    </row>
    <row r="645" spans="1:14" ht="10.050000000000001" hidden="1" customHeight="1">
      <c r="A645" s="52" t="s">
        <v>300</v>
      </c>
      <c r="B645" s="53">
        <v>2004</v>
      </c>
      <c r="C645" s="52" t="s">
        <v>106</v>
      </c>
      <c r="D645" s="54">
        <v>4</v>
      </c>
      <c r="E645" s="55">
        <v>40.9</v>
      </c>
      <c r="F645" s="55">
        <v>0.7</v>
      </c>
      <c r="G645" s="55">
        <v>41.6</v>
      </c>
      <c r="H645" s="55">
        <v>312.89999999999998</v>
      </c>
      <c r="I645" s="55">
        <v>65.599999999999994</v>
      </c>
      <c r="J645" s="55">
        <v>378.5</v>
      </c>
      <c r="K645" s="55">
        <v>61.8</v>
      </c>
      <c r="L645" s="55">
        <v>0</v>
      </c>
      <c r="M645" s="55">
        <v>0</v>
      </c>
      <c r="N645" s="55">
        <v>0</v>
      </c>
    </row>
    <row r="646" spans="1:14" ht="10.050000000000001" hidden="1" customHeight="1">
      <c r="A646" s="52" t="s">
        <v>307</v>
      </c>
      <c r="B646" s="53">
        <v>2004</v>
      </c>
      <c r="C646" s="52" t="s">
        <v>106</v>
      </c>
      <c r="D646" s="54">
        <v>4</v>
      </c>
      <c r="E646" s="55">
        <v>215278.5</v>
      </c>
      <c r="F646" s="55">
        <v>6555.4</v>
      </c>
      <c r="G646" s="55">
        <v>221833.9</v>
      </c>
      <c r="H646" s="55">
        <v>3312840.6</v>
      </c>
      <c r="I646" s="55">
        <v>79953.3</v>
      </c>
      <c r="J646" s="55">
        <v>3392793.9</v>
      </c>
      <c r="K646" s="55">
        <v>494667.3</v>
      </c>
      <c r="L646" s="55">
        <v>61907.6</v>
      </c>
      <c r="M646" s="55">
        <v>113273.7</v>
      </c>
      <c r="N646" s="55">
        <v>41852.6</v>
      </c>
    </row>
    <row r="647" spans="1:14" ht="10.050000000000001" hidden="1" customHeight="1">
      <c r="A647" s="52" t="s">
        <v>315</v>
      </c>
      <c r="B647" s="53">
        <v>2004</v>
      </c>
      <c r="C647" s="52" t="s">
        <v>106</v>
      </c>
      <c r="D647" s="54">
        <v>4</v>
      </c>
      <c r="E647" s="55">
        <v>406.1</v>
      </c>
      <c r="F647" s="55">
        <v>0</v>
      </c>
      <c r="G647" s="55">
        <v>406.1</v>
      </c>
      <c r="H647" s="55">
        <v>10275.5</v>
      </c>
      <c r="I647" s="55">
        <v>0</v>
      </c>
      <c r="J647" s="55">
        <v>10275.5</v>
      </c>
      <c r="K647" s="55">
        <v>29.4</v>
      </c>
      <c r="L647" s="55">
        <v>0</v>
      </c>
      <c r="M647" s="55">
        <v>76.599999999999994</v>
      </c>
      <c r="N647" s="55">
        <v>0</v>
      </c>
    </row>
    <row r="648" spans="1:14" ht="10.050000000000001" hidden="1" customHeight="1">
      <c r="A648" s="52" t="s">
        <v>173</v>
      </c>
      <c r="B648" s="53">
        <v>2004</v>
      </c>
      <c r="C648" s="52" t="s">
        <v>106</v>
      </c>
      <c r="D648" s="54">
        <v>4</v>
      </c>
      <c r="E648" s="55">
        <v>163215.20000000001</v>
      </c>
      <c r="F648" s="55">
        <v>5911.4</v>
      </c>
      <c r="G648" s="55">
        <v>169126.6</v>
      </c>
      <c r="H648" s="55">
        <v>1969333.3</v>
      </c>
      <c r="I648" s="55">
        <v>30652.2</v>
      </c>
      <c r="J648" s="55">
        <v>1999985.5</v>
      </c>
      <c r="K648" s="55">
        <v>74504.5</v>
      </c>
      <c r="L648" s="55">
        <v>7421.1</v>
      </c>
      <c r="M648" s="55">
        <v>43797.5</v>
      </c>
      <c r="N648" s="55">
        <v>5029.6000000000004</v>
      </c>
    </row>
    <row r="649" spans="1:14" ht="10.050000000000001" customHeight="1">
      <c r="A649" s="52" t="s">
        <v>309</v>
      </c>
      <c r="B649" s="53">
        <v>2004</v>
      </c>
      <c r="C649" s="52" t="s">
        <v>106</v>
      </c>
      <c r="D649" s="54">
        <v>4</v>
      </c>
      <c r="E649" s="55">
        <v>0</v>
      </c>
      <c r="F649" s="55">
        <v>1.6</v>
      </c>
      <c r="G649" s="55">
        <v>1.6</v>
      </c>
      <c r="H649" s="55">
        <v>28654.7</v>
      </c>
      <c r="I649" s="55">
        <v>0</v>
      </c>
      <c r="J649" s="55">
        <v>28654.7</v>
      </c>
      <c r="K649" s="55">
        <v>0</v>
      </c>
      <c r="L649" s="55">
        <v>0</v>
      </c>
      <c r="M649" s="55">
        <v>0</v>
      </c>
      <c r="N649" s="55">
        <v>0</v>
      </c>
    </row>
    <row r="650" spans="1:14" ht="10.050000000000001" hidden="1" customHeight="1">
      <c r="A650" s="52" t="s">
        <v>316</v>
      </c>
      <c r="B650" s="53">
        <v>2004</v>
      </c>
      <c r="C650" s="52" t="s">
        <v>106</v>
      </c>
      <c r="D650" s="54">
        <v>4</v>
      </c>
      <c r="E650" s="55">
        <v>61.3</v>
      </c>
      <c r="F650" s="55">
        <v>0</v>
      </c>
      <c r="G650" s="55">
        <v>61.3</v>
      </c>
      <c r="H650" s="55">
        <v>4032.5</v>
      </c>
      <c r="I650" s="55">
        <v>84.9</v>
      </c>
      <c r="J650" s="55">
        <v>4117.3999999999996</v>
      </c>
      <c r="K650" s="55">
        <v>0</v>
      </c>
      <c r="L650" s="55">
        <v>0</v>
      </c>
      <c r="M650" s="55">
        <v>0</v>
      </c>
      <c r="N650" s="55">
        <v>0</v>
      </c>
    </row>
    <row r="651" spans="1:14" ht="10.050000000000001" hidden="1" customHeight="1">
      <c r="A651" s="52" t="s">
        <v>310</v>
      </c>
      <c r="B651" s="53">
        <v>2004</v>
      </c>
      <c r="C651" s="52" t="s">
        <v>106</v>
      </c>
      <c r="D651" s="54">
        <v>4</v>
      </c>
      <c r="E651" s="55">
        <v>925</v>
      </c>
      <c r="F651" s="55">
        <v>0</v>
      </c>
      <c r="G651" s="55">
        <v>925</v>
      </c>
      <c r="H651" s="55">
        <v>17928.099999999999</v>
      </c>
      <c r="I651" s="55">
        <v>533.70000000000005</v>
      </c>
      <c r="J651" s="55">
        <v>18461.8</v>
      </c>
      <c r="K651" s="55">
        <v>594.6</v>
      </c>
      <c r="L651" s="55">
        <v>80</v>
      </c>
      <c r="M651" s="55">
        <v>263.39999999999998</v>
      </c>
      <c r="N651" s="55">
        <v>88</v>
      </c>
    </row>
    <row r="652" spans="1:14" ht="10.050000000000001" hidden="1" customHeight="1">
      <c r="A652" s="52" t="s">
        <v>308</v>
      </c>
      <c r="B652" s="53">
        <v>2004</v>
      </c>
      <c r="C652" s="52" t="s">
        <v>106</v>
      </c>
      <c r="D652" s="54">
        <v>4</v>
      </c>
      <c r="E652" s="55">
        <v>1049.3</v>
      </c>
      <c r="F652" s="55">
        <v>2.2000000000000002</v>
      </c>
      <c r="G652" s="55">
        <v>1051.5</v>
      </c>
      <c r="H652" s="55">
        <v>45176.5</v>
      </c>
      <c r="I652" s="55">
        <v>28.6</v>
      </c>
      <c r="J652" s="55">
        <v>45205.1</v>
      </c>
      <c r="K652" s="55">
        <v>1274.8</v>
      </c>
      <c r="L652" s="55">
        <v>1</v>
      </c>
      <c r="M652" s="55">
        <v>305.5</v>
      </c>
      <c r="N652" s="55">
        <v>164.3</v>
      </c>
    </row>
    <row r="653" spans="1:14" ht="10.050000000000001" hidden="1" customHeight="1">
      <c r="A653" s="52" t="s">
        <v>174</v>
      </c>
      <c r="B653" s="53">
        <v>2004</v>
      </c>
      <c r="C653" s="52" t="s">
        <v>106</v>
      </c>
      <c r="D653" s="54">
        <v>4</v>
      </c>
      <c r="E653" s="55">
        <v>4448.6000000000004</v>
      </c>
      <c r="F653" s="55">
        <v>545.20000000000005</v>
      </c>
      <c r="G653" s="55">
        <v>4993.8</v>
      </c>
      <c r="H653" s="55">
        <v>34764</v>
      </c>
      <c r="I653" s="55">
        <v>4059.4</v>
      </c>
      <c r="J653" s="55">
        <v>38823.4</v>
      </c>
      <c r="K653" s="55">
        <v>12935.7</v>
      </c>
      <c r="L653" s="55">
        <v>178.6</v>
      </c>
      <c r="M653" s="55">
        <v>1271.4000000000001</v>
      </c>
      <c r="N653" s="55">
        <v>1948</v>
      </c>
    </row>
    <row r="654" spans="1:14" ht="10.050000000000001" hidden="1" customHeight="1">
      <c r="A654" s="52" t="s">
        <v>314</v>
      </c>
      <c r="B654" s="53">
        <v>2004</v>
      </c>
      <c r="C654" s="52" t="s">
        <v>106</v>
      </c>
      <c r="D654" s="54">
        <v>5</v>
      </c>
      <c r="E654" s="55">
        <v>0</v>
      </c>
      <c r="F654" s="55">
        <v>0</v>
      </c>
      <c r="G654" s="55">
        <v>0</v>
      </c>
      <c r="H654" s="55">
        <v>308.10000000000002</v>
      </c>
      <c r="I654" s="55">
        <v>0</v>
      </c>
      <c r="J654" s="55">
        <v>308.10000000000002</v>
      </c>
      <c r="K654" s="55">
        <v>0</v>
      </c>
      <c r="L654" s="55">
        <v>0</v>
      </c>
      <c r="M654" s="55">
        <v>0</v>
      </c>
      <c r="N654" s="55">
        <v>0</v>
      </c>
    </row>
    <row r="655" spans="1:14" ht="10.050000000000001" hidden="1" customHeight="1">
      <c r="A655" s="52" t="s">
        <v>306</v>
      </c>
      <c r="B655" s="53">
        <v>2004</v>
      </c>
      <c r="C655" s="52" t="s">
        <v>106</v>
      </c>
      <c r="D655" s="54">
        <v>5</v>
      </c>
      <c r="E655" s="55">
        <v>8561.1</v>
      </c>
      <c r="F655" s="55">
        <v>77</v>
      </c>
      <c r="G655" s="55">
        <v>8638.1</v>
      </c>
      <c r="H655" s="55">
        <v>104486.2</v>
      </c>
      <c r="I655" s="55">
        <v>4424.7</v>
      </c>
      <c r="J655" s="55">
        <v>108910.9</v>
      </c>
      <c r="K655" s="55">
        <v>4546.7</v>
      </c>
      <c r="L655" s="55">
        <v>764.3</v>
      </c>
      <c r="M655" s="55">
        <v>2627.7</v>
      </c>
      <c r="N655" s="55">
        <v>514.6</v>
      </c>
    </row>
    <row r="656" spans="1:14" ht="10.050000000000001" hidden="1" customHeight="1">
      <c r="A656" s="52" t="s">
        <v>172</v>
      </c>
      <c r="B656" s="53">
        <v>2004</v>
      </c>
      <c r="C656" s="52" t="s">
        <v>106</v>
      </c>
      <c r="D656" s="54">
        <v>5</v>
      </c>
      <c r="E656" s="55">
        <v>32405.4</v>
      </c>
      <c r="F656" s="55">
        <v>0</v>
      </c>
      <c r="G656" s="55">
        <v>32405.4</v>
      </c>
      <c r="H656" s="55">
        <v>157545.4</v>
      </c>
      <c r="I656" s="55">
        <v>3733.5</v>
      </c>
      <c r="J656" s="55">
        <v>161278.9</v>
      </c>
      <c r="K656" s="55">
        <v>5629.7</v>
      </c>
      <c r="L656" s="55">
        <v>1125.5</v>
      </c>
      <c r="M656" s="55">
        <v>5894.4</v>
      </c>
      <c r="N656" s="55">
        <v>209.8</v>
      </c>
    </row>
    <row r="657" spans="1:14" ht="10.050000000000001" hidden="1" customHeight="1">
      <c r="A657" s="52" t="s">
        <v>171</v>
      </c>
      <c r="B657" s="53">
        <v>2004</v>
      </c>
      <c r="C657" s="52" t="s">
        <v>106</v>
      </c>
      <c r="D657" s="54">
        <v>5</v>
      </c>
      <c r="E657" s="55">
        <v>518389.9</v>
      </c>
      <c r="F657" s="55">
        <v>6510.7</v>
      </c>
      <c r="G657" s="55">
        <v>524900.6</v>
      </c>
      <c r="H657" s="55">
        <v>2838518.2</v>
      </c>
      <c r="I657" s="55">
        <v>53480</v>
      </c>
      <c r="J657" s="55">
        <v>2891998.2</v>
      </c>
      <c r="K657" s="55">
        <v>163847.4</v>
      </c>
      <c r="L657" s="55">
        <v>28489.7</v>
      </c>
      <c r="M657" s="55">
        <v>187583.3</v>
      </c>
      <c r="N657" s="55">
        <v>12102.3</v>
      </c>
    </row>
    <row r="658" spans="1:14" ht="10.050000000000001" hidden="1" customHeight="1">
      <c r="A658" s="52" t="s">
        <v>300</v>
      </c>
      <c r="B658" s="53">
        <v>2004</v>
      </c>
      <c r="C658" s="52" t="s">
        <v>106</v>
      </c>
      <c r="D658" s="54">
        <v>5</v>
      </c>
      <c r="E658" s="55">
        <v>49.9</v>
      </c>
      <c r="F658" s="55">
        <v>0.3</v>
      </c>
      <c r="G658" s="55">
        <v>50.2</v>
      </c>
      <c r="H658" s="55">
        <v>344.6</v>
      </c>
      <c r="I658" s="55">
        <v>65.5</v>
      </c>
      <c r="J658" s="55">
        <v>410.1</v>
      </c>
      <c r="K658" s="55">
        <v>36.799999999999997</v>
      </c>
      <c r="L658" s="55">
        <v>0</v>
      </c>
      <c r="M658" s="55">
        <v>0</v>
      </c>
      <c r="N658" s="55">
        <v>25</v>
      </c>
    </row>
    <row r="659" spans="1:14" ht="10.050000000000001" hidden="1" customHeight="1">
      <c r="A659" s="52" t="s">
        <v>307</v>
      </c>
      <c r="B659" s="53">
        <v>2004</v>
      </c>
      <c r="C659" s="52" t="s">
        <v>106</v>
      </c>
      <c r="D659" s="54">
        <v>5</v>
      </c>
      <c r="E659" s="55">
        <v>196766.2</v>
      </c>
      <c r="F659" s="55">
        <v>2913.1</v>
      </c>
      <c r="G659" s="55">
        <v>199679.3</v>
      </c>
      <c r="H659" s="55">
        <v>2706901.4</v>
      </c>
      <c r="I659" s="55">
        <v>74847.899999999994</v>
      </c>
      <c r="J659" s="55">
        <v>2781749.3</v>
      </c>
      <c r="K659" s="55">
        <v>384053.8</v>
      </c>
      <c r="L659" s="55">
        <v>19754.5</v>
      </c>
      <c r="M659" s="55">
        <v>107409.3</v>
      </c>
      <c r="N659" s="55">
        <v>22961.599999999999</v>
      </c>
    </row>
    <row r="660" spans="1:14" ht="10.050000000000001" hidden="1" customHeight="1">
      <c r="A660" s="52" t="s">
        <v>315</v>
      </c>
      <c r="B660" s="53">
        <v>2004</v>
      </c>
      <c r="C660" s="52" t="s">
        <v>106</v>
      </c>
      <c r="D660" s="54">
        <v>5</v>
      </c>
      <c r="E660" s="55">
        <v>581.70000000000005</v>
      </c>
      <c r="F660" s="55">
        <v>0</v>
      </c>
      <c r="G660" s="55">
        <v>581.70000000000005</v>
      </c>
      <c r="H660" s="55">
        <v>8892.9</v>
      </c>
      <c r="I660" s="55">
        <v>0</v>
      </c>
      <c r="J660" s="55">
        <v>8892.9</v>
      </c>
      <c r="K660" s="55">
        <v>29.4</v>
      </c>
      <c r="L660" s="55">
        <v>0</v>
      </c>
      <c r="M660" s="55">
        <v>0</v>
      </c>
      <c r="N660" s="55">
        <v>0</v>
      </c>
    </row>
    <row r="661" spans="1:14" ht="10.050000000000001" hidden="1" customHeight="1">
      <c r="A661" s="52" t="s">
        <v>173</v>
      </c>
      <c r="B661" s="53">
        <v>2004</v>
      </c>
      <c r="C661" s="52" t="s">
        <v>106</v>
      </c>
      <c r="D661" s="54">
        <v>5</v>
      </c>
      <c r="E661" s="55">
        <v>102098.7</v>
      </c>
      <c r="F661" s="55">
        <v>2685.1</v>
      </c>
      <c r="G661" s="55">
        <v>104783.8</v>
      </c>
      <c r="H661" s="55">
        <v>1300710.3</v>
      </c>
      <c r="I661" s="55">
        <v>24859.8</v>
      </c>
      <c r="J661" s="55">
        <v>1325570.1000000001</v>
      </c>
      <c r="K661" s="55">
        <v>41527</v>
      </c>
      <c r="L661" s="55">
        <v>4023</v>
      </c>
      <c r="M661" s="55">
        <v>32126</v>
      </c>
      <c r="N661" s="55">
        <v>4874.5</v>
      </c>
    </row>
    <row r="662" spans="1:14" ht="10.050000000000001" customHeight="1">
      <c r="A662" s="52" t="s">
        <v>309</v>
      </c>
      <c r="B662" s="53">
        <v>2004</v>
      </c>
      <c r="C662" s="52" t="s">
        <v>106</v>
      </c>
      <c r="D662" s="54">
        <v>5</v>
      </c>
      <c r="E662" s="55">
        <v>603</v>
      </c>
      <c r="F662" s="55">
        <v>0</v>
      </c>
      <c r="G662" s="55">
        <v>603</v>
      </c>
      <c r="H662" s="55">
        <v>27214</v>
      </c>
      <c r="I662" s="55">
        <v>0</v>
      </c>
      <c r="J662" s="55">
        <v>27214</v>
      </c>
      <c r="K662" s="55">
        <v>0</v>
      </c>
      <c r="L662" s="55">
        <v>0</v>
      </c>
      <c r="M662" s="55">
        <v>0</v>
      </c>
      <c r="N662" s="55">
        <v>0</v>
      </c>
    </row>
    <row r="663" spans="1:14" ht="10.050000000000001" hidden="1" customHeight="1">
      <c r="A663" s="52" t="s">
        <v>316</v>
      </c>
      <c r="B663" s="53">
        <v>2004</v>
      </c>
      <c r="C663" s="52" t="s">
        <v>106</v>
      </c>
      <c r="D663" s="54">
        <v>5</v>
      </c>
      <c r="E663" s="55">
        <v>76.599999999999994</v>
      </c>
      <c r="F663" s="55">
        <v>0</v>
      </c>
      <c r="G663" s="55">
        <v>76.599999999999994</v>
      </c>
      <c r="H663" s="55">
        <v>3018.3</v>
      </c>
      <c r="I663" s="55">
        <v>35.5</v>
      </c>
      <c r="J663" s="55">
        <v>3053.8</v>
      </c>
      <c r="K663" s="55">
        <v>0</v>
      </c>
      <c r="L663" s="55">
        <v>0</v>
      </c>
      <c r="M663" s="55">
        <v>0</v>
      </c>
      <c r="N663" s="55">
        <v>0</v>
      </c>
    </row>
    <row r="664" spans="1:14" ht="10.050000000000001" hidden="1" customHeight="1">
      <c r="A664" s="52" t="s">
        <v>310</v>
      </c>
      <c r="B664" s="53">
        <v>2004</v>
      </c>
      <c r="C664" s="52" t="s">
        <v>106</v>
      </c>
      <c r="D664" s="54">
        <v>5</v>
      </c>
      <c r="E664" s="55">
        <v>915.5</v>
      </c>
      <c r="F664" s="55">
        <v>0</v>
      </c>
      <c r="G664" s="55">
        <v>915.5</v>
      </c>
      <c r="H664" s="55">
        <v>14976.7</v>
      </c>
      <c r="I664" s="55">
        <v>471.8</v>
      </c>
      <c r="J664" s="55">
        <v>15448.5</v>
      </c>
      <c r="K664" s="55">
        <v>253.1</v>
      </c>
      <c r="L664" s="55">
        <v>9.8000000000000007</v>
      </c>
      <c r="M664" s="55">
        <v>248.9</v>
      </c>
      <c r="N664" s="55">
        <v>102.4</v>
      </c>
    </row>
    <row r="665" spans="1:14" ht="10.050000000000001" hidden="1" customHeight="1">
      <c r="A665" s="52" t="s">
        <v>308</v>
      </c>
      <c r="B665" s="53">
        <v>2004</v>
      </c>
      <c r="C665" s="52" t="s">
        <v>106</v>
      </c>
      <c r="D665" s="54">
        <v>5</v>
      </c>
      <c r="E665" s="55">
        <v>1001.8</v>
      </c>
      <c r="F665" s="55">
        <v>0</v>
      </c>
      <c r="G665" s="55">
        <v>1001.8</v>
      </c>
      <c r="H665" s="55">
        <v>30304.9</v>
      </c>
      <c r="I665" s="55">
        <v>28.6</v>
      </c>
      <c r="J665" s="55">
        <v>30333.5</v>
      </c>
      <c r="K665" s="55">
        <v>703.2</v>
      </c>
      <c r="L665" s="55">
        <v>0</v>
      </c>
      <c r="M665" s="55">
        <v>545.79999999999995</v>
      </c>
      <c r="N665" s="55">
        <v>25.8</v>
      </c>
    </row>
    <row r="666" spans="1:14" ht="10.050000000000001" hidden="1" customHeight="1">
      <c r="A666" s="52" t="s">
        <v>174</v>
      </c>
      <c r="B666" s="53">
        <v>2004</v>
      </c>
      <c r="C666" s="52" t="s">
        <v>106</v>
      </c>
      <c r="D666" s="54">
        <v>5</v>
      </c>
      <c r="E666" s="55">
        <v>4157.6000000000004</v>
      </c>
      <c r="F666" s="55">
        <v>1432.3</v>
      </c>
      <c r="G666" s="55">
        <v>5589.9</v>
      </c>
      <c r="H666" s="55">
        <v>25451.3</v>
      </c>
      <c r="I666" s="55">
        <v>3586.4</v>
      </c>
      <c r="J666" s="55">
        <v>29037.7</v>
      </c>
      <c r="K666" s="55">
        <v>9095.7999999999993</v>
      </c>
      <c r="L666" s="55">
        <v>100.8</v>
      </c>
      <c r="M666" s="55">
        <v>1304.5</v>
      </c>
      <c r="N666" s="55">
        <v>2636.2</v>
      </c>
    </row>
    <row r="667" spans="1:14" ht="10.050000000000001" hidden="1" customHeight="1">
      <c r="A667" s="52" t="s">
        <v>314</v>
      </c>
      <c r="B667" s="53">
        <v>2004</v>
      </c>
      <c r="C667" s="52" t="s">
        <v>106</v>
      </c>
      <c r="D667" s="54">
        <v>6</v>
      </c>
      <c r="E667" s="55">
        <v>51.8</v>
      </c>
      <c r="F667" s="55">
        <v>0</v>
      </c>
      <c r="G667" s="55">
        <v>51.8</v>
      </c>
      <c r="H667" s="55">
        <v>308.10000000000002</v>
      </c>
      <c r="I667" s="55">
        <v>0</v>
      </c>
      <c r="J667" s="55">
        <v>308.10000000000002</v>
      </c>
      <c r="K667" s="55">
        <v>0</v>
      </c>
      <c r="L667" s="55">
        <v>0</v>
      </c>
      <c r="M667" s="55">
        <v>0</v>
      </c>
      <c r="N667" s="55">
        <v>0</v>
      </c>
    </row>
    <row r="668" spans="1:14" ht="10.050000000000001" hidden="1" customHeight="1">
      <c r="A668" s="52" t="s">
        <v>306</v>
      </c>
      <c r="B668" s="53">
        <v>2004</v>
      </c>
      <c r="C668" s="52" t="s">
        <v>106</v>
      </c>
      <c r="D668" s="54">
        <v>6</v>
      </c>
      <c r="E668" s="55">
        <v>11995.7</v>
      </c>
      <c r="F668" s="55">
        <v>56.7</v>
      </c>
      <c r="G668" s="55">
        <v>12052.4</v>
      </c>
      <c r="H668" s="55">
        <v>83613.600000000006</v>
      </c>
      <c r="I668" s="55">
        <v>2714.6</v>
      </c>
      <c r="J668" s="55">
        <v>86328.2</v>
      </c>
      <c r="K668" s="55">
        <v>1582.2</v>
      </c>
      <c r="L668" s="55">
        <v>564.20000000000005</v>
      </c>
      <c r="M668" s="55">
        <v>2692.9</v>
      </c>
      <c r="N668" s="55">
        <v>835.8</v>
      </c>
    </row>
    <row r="669" spans="1:14" ht="10.050000000000001" hidden="1" customHeight="1">
      <c r="A669" s="52" t="s">
        <v>172</v>
      </c>
      <c r="B669" s="53">
        <v>2004</v>
      </c>
      <c r="C669" s="52" t="s">
        <v>106</v>
      </c>
      <c r="D669" s="54">
        <v>6</v>
      </c>
      <c r="E669" s="55">
        <v>20052.2</v>
      </c>
      <c r="F669" s="55">
        <v>95</v>
      </c>
      <c r="G669" s="55">
        <v>20147.2</v>
      </c>
      <c r="H669" s="55">
        <v>73987.100000000006</v>
      </c>
      <c r="I669" s="55">
        <v>1296.5999999999999</v>
      </c>
      <c r="J669" s="55">
        <v>75283.7</v>
      </c>
      <c r="K669" s="55">
        <v>1243.0999999999999</v>
      </c>
      <c r="L669" s="55">
        <v>-338</v>
      </c>
      <c r="M669" s="55">
        <v>4014.7</v>
      </c>
      <c r="N669" s="55">
        <v>33.9</v>
      </c>
    </row>
    <row r="670" spans="1:14" ht="10.050000000000001" hidden="1" customHeight="1">
      <c r="A670" s="52" t="s">
        <v>171</v>
      </c>
      <c r="B670" s="53">
        <v>2004</v>
      </c>
      <c r="C670" s="52" t="s">
        <v>106</v>
      </c>
      <c r="D670" s="54">
        <v>6</v>
      </c>
      <c r="E670" s="55">
        <v>400867.2</v>
      </c>
      <c r="F670" s="55">
        <v>467.6</v>
      </c>
      <c r="G670" s="55">
        <v>401334.8</v>
      </c>
      <c r="H670" s="55">
        <v>1135692.5</v>
      </c>
      <c r="I670" s="55">
        <v>19983.5</v>
      </c>
      <c r="J670" s="55">
        <v>1155676</v>
      </c>
      <c r="K670" s="55">
        <v>24220.400000000001</v>
      </c>
      <c r="L670" s="55">
        <v>16321.1</v>
      </c>
      <c r="M670" s="55">
        <v>133879.6</v>
      </c>
      <c r="N670" s="55">
        <v>21804.9</v>
      </c>
    </row>
    <row r="671" spans="1:14" ht="10.050000000000001" hidden="1" customHeight="1">
      <c r="A671" s="52" t="s">
        <v>300</v>
      </c>
      <c r="B671" s="53">
        <v>2004</v>
      </c>
      <c r="C671" s="52" t="s">
        <v>106</v>
      </c>
      <c r="D671" s="54">
        <v>6</v>
      </c>
      <c r="E671" s="55">
        <v>101.1</v>
      </c>
      <c r="F671" s="55">
        <v>0</v>
      </c>
      <c r="G671" s="55">
        <v>101.1</v>
      </c>
      <c r="H671" s="55">
        <v>324.39999999999998</v>
      </c>
      <c r="I671" s="55">
        <v>26.6</v>
      </c>
      <c r="J671" s="55">
        <v>351</v>
      </c>
      <c r="K671" s="55">
        <v>36.799999999999997</v>
      </c>
      <c r="L671" s="55">
        <v>0</v>
      </c>
      <c r="M671" s="55">
        <v>0</v>
      </c>
      <c r="N671" s="55">
        <v>0</v>
      </c>
    </row>
    <row r="672" spans="1:14" ht="10.050000000000001" hidden="1" customHeight="1">
      <c r="A672" s="52" t="s">
        <v>307</v>
      </c>
      <c r="B672" s="53">
        <v>2004</v>
      </c>
      <c r="C672" s="52" t="s">
        <v>106</v>
      </c>
      <c r="D672" s="54">
        <v>6</v>
      </c>
      <c r="E672" s="55">
        <v>322939.40000000002</v>
      </c>
      <c r="F672" s="55">
        <v>-12.5</v>
      </c>
      <c r="G672" s="55">
        <v>322926.90000000002</v>
      </c>
      <c r="H672" s="55">
        <v>1941845.5</v>
      </c>
      <c r="I672" s="55">
        <v>22748.9</v>
      </c>
      <c r="J672" s="55">
        <v>1964594.4</v>
      </c>
      <c r="K672" s="55">
        <v>191559</v>
      </c>
      <c r="L672" s="55">
        <v>41404.5</v>
      </c>
      <c r="M672" s="55">
        <v>195102.5</v>
      </c>
      <c r="N672" s="55">
        <v>38839.9</v>
      </c>
    </row>
    <row r="673" spans="1:14" ht="10.050000000000001" hidden="1" customHeight="1">
      <c r="A673" s="52" t="s">
        <v>315</v>
      </c>
      <c r="B673" s="53">
        <v>2004</v>
      </c>
      <c r="C673" s="52" t="s">
        <v>106</v>
      </c>
      <c r="D673" s="54">
        <v>6</v>
      </c>
      <c r="E673" s="55">
        <v>653.5</v>
      </c>
      <c r="F673" s="55">
        <v>0</v>
      </c>
      <c r="G673" s="55">
        <v>653.5</v>
      </c>
      <c r="H673" s="55">
        <v>6697.1</v>
      </c>
      <c r="I673" s="55">
        <v>0</v>
      </c>
      <c r="J673" s="55">
        <v>6697.1</v>
      </c>
      <c r="K673" s="55">
        <v>0</v>
      </c>
      <c r="L673" s="55">
        <v>0</v>
      </c>
      <c r="M673" s="55">
        <v>29.4</v>
      </c>
      <c r="N673" s="55">
        <v>0</v>
      </c>
    </row>
    <row r="674" spans="1:14" ht="10.050000000000001" hidden="1" customHeight="1">
      <c r="A674" s="52" t="s">
        <v>173</v>
      </c>
      <c r="B674" s="53">
        <v>2004</v>
      </c>
      <c r="C674" s="52" t="s">
        <v>106</v>
      </c>
      <c r="D674" s="54">
        <v>6</v>
      </c>
      <c r="E674" s="55">
        <v>70075.600000000006</v>
      </c>
      <c r="F674" s="55">
        <v>462.8</v>
      </c>
      <c r="G674" s="55">
        <v>70538.399999999994</v>
      </c>
      <c r="H674" s="55">
        <v>575519.5</v>
      </c>
      <c r="I674" s="55">
        <v>9790.9</v>
      </c>
      <c r="J674" s="55">
        <v>585310.4</v>
      </c>
      <c r="K674" s="55">
        <v>20544.400000000001</v>
      </c>
      <c r="L674" s="55">
        <v>12502</v>
      </c>
      <c r="M674" s="55">
        <v>21258.6</v>
      </c>
      <c r="N674" s="55">
        <v>12235.2</v>
      </c>
    </row>
    <row r="675" spans="1:14" ht="10.050000000000001" customHeight="1">
      <c r="A675" s="52" t="s">
        <v>309</v>
      </c>
      <c r="B675" s="53">
        <v>2004</v>
      </c>
      <c r="C675" s="52" t="s">
        <v>106</v>
      </c>
      <c r="D675" s="54">
        <v>6</v>
      </c>
      <c r="E675" s="55">
        <v>354.7</v>
      </c>
      <c r="F675" s="55">
        <v>0</v>
      </c>
      <c r="G675" s="55">
        <v>354.7</v>
      </c>
      <c r="H675" s="55">
        <v>20946.599999999999</v>
      </c>
      <c r="I675" s="55">
        <v>0</v>
      </c>
      <c r="J675" s="55">
        <v>20946.599999999999</v>
      </c>
      <c r="K675" s="55">
        <v>0</v>
      </c>
      <c r="L675" s="55">
        <v>0</v>
      </c>
      <c r="M675" s="55">
        <v>0</v>
      </c>
      <c r="N675" s="55">
        <v>0</v>
      </c>
    </row>
    <row r="676" spans="1:14" ht="10.050000000000001" hidden="1" customHeight="1">
      <c r="A676" s="52" t="s">
        <v>316</v>
      </c>
      <c r="B676" s="53">
        <v>2004</v>
      </c>
      <c r="C676" s="52" t="s">
        <v>106</v>
      </c>
      <c r="D676" s="54">
        <v>6</v>
      </c>
      <c r="E676" s="55">
        <v>320.60000000000002</v>
      </c>
      <c r="F676" s="55">
        <v>0</v>
      </c>
      <c r="G676" s="55">
        <v>320.60000000000002</v>
      </c>
      <c r="H676" s="55">
        <v>2526.1999999999998</v>
      </c>
      <c r="I676" s="55">
        <v>0</v>
      </c>
      <c r="J676" s="55">
        <v>2526.1999999999998</v>
      </c>
      <c r="K676" s="55">
        <v>0</v>
      </c>
      <c r="L676" s="55">
        <v>0</v>
      </c>
      <c r="M676" s="55">
        <v>0</v>
      </c>
      <c r="N676" s="55">
        <v>0</v>
      </c>
    </row>
    <row r="677" spans="1:14" ht="10.050000000000001" hidden="1" customHeight="1">
      <c r="A677" s="52" t="s">
        <v>310</v>
      </c>
      <c r="B677" s="53">
        <v>2004</v>
      </c>
      <c r="C677" s="52" t="s">
        <v>106</v>
      </c>
      <c r="D677" s="54">
        <v>6</v>
      </c>
      <c r="E677" s="55">
        <v>1186.0999999999999</v>
      </c>
      <c r="F677" s="55">
        <v>0</v>
      </c>
      <c r="G677" s="55">
        <v>1186.0999999999999</v>
      </c>
      <c r="H677" s="55">
        <v>10471.700000000001</v>
      </c>
      <c r="I677" s="55">
        <v>86.5</v>
      </c>
      <c r="J677" s="55">
        <v>10558.2</v>
      </c>
      <c r="K677" s="55">
        <v>102.4</v>
      </c>
      <c r="L677" s="55">
        <v>5.6</v>
      </c>
      <c r="M677" s="55">
        <v>70.7</v>
      </c>
      <c r="N677" s="55">
        <v>85.6</v>
      </c>
    </row>
    <row r="678" spans="1:14" ht="10.050000000000001" hidden="1" customHeight="1">
      <c r="A678" s="52" t="s">
        <v>308</v>
      </c>
      <c r="B678" s="53">
        <v>2004</v>
      </c>
      <c r="C678" s="52" t="s">
        <v>106</v>
      </c>
      <c r="D678" s="54">
        <v>6</v>
      </c>
      <c r="E678" s="55">
        <v>867.9</v>
      </c>
      <c r="F678" s="55">
        <v>0</v>
      </c>
      <c r="G678" s="55">
        <v>867.9</v>
      </c>
      <c r="H678" s="55">
        <v>18514.7</v>
      </c>
      <c r="I678" s="55">
        <v>17.7</v>
      </c>
      <c r="J678" s="55">
        <v>18532.400000000001</v>
      </c>
      <c r="K678" s="55">
        <v>303.39999999999998</v>
      </c>
      <c r="L678" s="55">
        <v>0</v>
      </c>
      <c r="M678" s="55">
        <v>199.2</v>
      </c>
      <c r="N678" s="55">
        <v>200.6</v>
      </c>
    </row>
    <row r="679" spans="1:14" ht="10.050000000000001" hidden="1" customHeight="1">
      <c r="A679" s="52" t="s">
        <v>174</v>
      </c>
      <c r="B679" s="53">
        <v>2004</v>
      </c>
      <c r="C679" s="52" t="s">
        <v>106</v>
      </c>
      <c r="D679" s="54">
        <v>6</v>
      </c>
      <c r="E679" s="55">
        <v>6757.4</v>
      </c>
      <c r="F679" s="55">
        <v>22.3</v>
      </c>
      <c r="G679" s="55">
        <v>6779.7</v>
      </c>
      <c r="H679" s="55">
        <v>10976.5</v>
      </c>
      <c r="I679" s="55">
        <v>2399.1999999999998</v>
      </c>
      <c r="J679" s="55">
        <v>13375.7</v>
      </c>
      <c r="K679" s="55">
        <v>3479.3</v>
      </c>
      <c r="L679" s="55">
        <v>318.8</v>
      </c>
      <c r="M679" s="55">
        <v>2385.8000000000002</v>
      </c>
      <c r="N679" s="55">
        <v>3549.5</v>
      </c>
    </row>
    <row r="680" spans="1:14" ht="10.050000000000001" hidden="1" customHeight="1">
      <c r="A680" s="52" t="s">
        <v>171</v>
      </c>
      <c r="B680" s="53">
        <v>2004</v>
      </c>
      <c r="C680" s="52" t="s">
        <v>110</v>
      </c>
      <c r="D680" s="54">
        <v>2</v>
      </c>
      <c r="E680" s="55">
        <v>172.8</v>
      </c>
      <c r="F680" s="55">
        <v>0</v>
      </c>
      <c r="G680" s="55">
        <v>172.8</v>
      </c>
      <c r="H680" s="55">
        <v>14.9</v>
      </c>
      <c r="I680" s="55">
        <v>0</v>
      </c>
      <c r="J680" s="55">
        <v>14.9</v>
      </c>
      <c r="K680" s="55">
        <v>18.2</v>
      </c>
      <c r="L680" s="55">
        <v>0</v>
      </c>
      <c r="M680" s="55">
        <v>0</v>
      </c>
      <c r="N680" s="55">
        <v>0</v>
      </c>
    </row>
    <row r="681" spans="1:14" ht="10.050000000000001" hidden="1" customHeight="1">
      <c r="A681" s="52" t="s">
        <v>307</v>
      </c>
      <c r="B681" s="53">
        <v>2004</v>
      </c>
      <c r="C681" s="52" t="s">
        <v>110</v>
      </c>
      <c r="D681" s="54">
        <v>2</v>
      </c>
      <c r="E681" s="55">
        <v>2209.5</v>
      </c>
      <c r="F681" s="55">
        <v>0</v>
      </c>
      <c r="G681" s="55">
        <v>2209.5</v>
      </c>
      <c r="H681" s="55">
        <v>61.9</v>
      </c>
      <c r="I681" s="55">
        <v>0</v>
      </c>
      <c r="J681" s="55">
        <v>61.9</v>
      </c>
      <c r="K681" s="55">
        <v>601.9</v>
      </c>
      <c r="L681" s="55">
        <v>200.2</v>
      </c>
      <c r="M681" s="55">
        <v>440.4</v>
      </c>
      <c r="N681" s="55">
        <v>0</v>
      </c>
    </row>
    <row r="682" spans="1:14" ht="10.050000000000001" hidden="1" customHeight="1">
      <c r="A682" s="52" t="s">
        <v>173</v>
      </c>
      <c r="B682" s="53">
        <v>2004</v>
      </c>
      <c r="C682" s="52" t="s">
        <v>110</v>
      </c>
      <c r="D682" s="54">
        <v>2</v>
      </c>
      <c r="E682" s="55">
        <v>77</v>
      </c>
      <c r="F682" s="55">
        <v>0</v>
      </c>
      <c r="G682" s="55">
        <v>77</v>
      </c>
      <c r="H682" s="55">
        <v>0</v>
      </c>
      <c r="I682" s="55">
        <v>0</v>
      </c>
      <c r="J682" s="55">
        <v>0</v>
      </c>
      <c r="K682" s="55">
        <v>0</v>
      </c>
      <c r="L682" s="55">
        <v>0</v>
      </c>
      <c r="M682" s="55">
        <v>0</v>
      </c>
      <c r="N682" s="55">
        <v>0</v>
      </c>
    </row>
    <row r="683" spans="1:14" ht="10.050000000000001" hidden="1" customHeight="1">
      <c r="A683" s="52" t="s">
        <v>308</v>
      </c>
      <c r="B683" s="53">
        <v>2004</v>
      </c>
      <c r="C683" s="52" t="s">
        <v>110</v>
      </c>
      <c r="D683" s="54">
        <v>2</v>
      </c>
      <c r="E683" s="55">
        <v>139.69999999999999</v>
      </c>
      <c r="F683" s="55">
        <v>0</v>
      </c>
      <c r="G683" s="55">
        <v>139.69999999999999</v>
      </c>
      <c r="H683" s="55">
        <v>0</v>
      </c>
      <c r="I683" s="55">
        <v>0</v>
      </c>
      <c r="J683" s="55">
        <v>0</v>
      </c>
      <c r="K683" s="55">
        <v>0</v>
      </c>
      <c r="L683" s="55">
        <v>0</v>
      </c>
      <c r="M683" s="55">
        <v>0</v>
      </c>
      <c r="N683" s="55">
        <v>0</v>
      </c>
    </row>
    <row r="684" spans="1:14" ht="10.050000000000001" hidden="1" customHeight="1">
      <c r="A684" s="52" t="s">
        <v>314</v>
      </c>
      <c r="B684" s="53">
        <v>2004</v>
      </c>
      <c r="C684" s="52" t="s">
        <v>110</v>
      </c>
      <c r="D684" s="54">
        <v>7</v>
      </c>
      <c r="E684" s="55">
        <v>412.9</v>
      </c>
      <c r="F684" s="55">
        <v>0</v>
      </c>
      <c r="G684" s="55">
        <v>412.9</v>
      </c>
      <c r="H684" s="55">
        <v>701.1</v>
      </c>
      <c r="I684" s="55">
        <v>0</v>
      </c>
      <c r="J684" s="55">
        <v>701.1</v>
      </c>
      <c r="K684" s="55">
        <v>58.7</v>
      </c>
      <c r="L684" s="55">
        <v>58.7</v>
      </c>
      <c r="M684" s="55">
        <v>0</v>
      </c>
      <c r="N684" s="55">
        <v>0</v>
      </c>
    </row>
    <row r="685" spans="1:14" ht="10.050000000000001" hidden="1" customHeight="1">
      <c r="A685" s="52" t="s">
        <v>306</v>
      </c>
      <c r="B685" s="53">
        <v>2004</v>
      </c>
      <c r="C685" s="52" t="s">
        <v>110</v>
      </c>
      <c r="D685" s="54">
        <v>7</v>
      </c>
      <c r="E685" s="55">
        <v>93601.2</v>
      </c>
      <c r="F685" s="55">
        <v>2915.9</v>
      </c>
      <c r="G685" s="55">
        <v>96517.1</v>
      </c>
      <c r="H685" s="55">
        <v>155770.4</v>
      </c>
      <c r="I685" s="55">
        <v>4614.6000000000004</v>
      </c>
      <c r="J685" s="55">
        <v>160385</v>
      </c>
      <c r="K685" s="55">
        <v>16483.599999999999</v>
      </c>
      <c r="L685" s="55">
        <v>16308.9</v>
      </c>
      <c r="M685" s="55">
        <v>1002.8</v>
      </c>
      <c r="N685" s="55">
        <v>404.7</v>
      </c>
    </row>
    <row r="686" spans="1:14" ht="10.050000000000001" hidden="1" customHeight="1">
      <c r="A686" s="52" t="s">
        <v>172</v>
      </c>
      <c r="B686" s="53">
        <v>2004</v>
      </c>
      <c r="C686" s="52" t="s">
        <v>110</v>
      </c>
      <c r="D686" s="54">
        <v>7</v>
      </c>
      <c r="E686" s="55">
        <v>840894.6</v>
      </c>
      <c r="F686" s="55">
        <v>54657.599999999999</v>
      </c>
      <c r="G686" s="55">
        <v>895552.2</v>
      </c>
      <c r="H686" s="55">
        <v>793657.8</v>
      </c>
      <c r="I686" s="55">
        <v>39589.199999999997</v>
      </c>
      <c r="J686" s="55">
        <v>833247</v>
      </c>
      <c r="K686" s="55">
        <v>339955.7</v>
      </c>
      <c r="L686" s="55">
        <v>341402.4</v>
      </c>
      <c r="M686" s="55">
        <v>2670</v>
      </c>
      <c r="N686" s="55">
        <v>19.8</v>
      </c>
    </row>
    <row r="687" spans="1:14" ht="10.050000000000001" hidden="1" customHeight="1">
      <c r="A687" s="52" t="s">
        <v>171</v>
      </c>
      <c r="B687" s="53">
        <v>2004</v>
      </c>
      <c r="C687" s="52" t="s">
        <v>110</v>
      </c>
      <c r="D687" s="54">
        <v>7</v>
      </c>
      <c r="E687" s="55">
        <v>10368427</v>
      </c>
      <c r="F687" s="55">
        <v>100259.5</v>
      </c>
      <c r="G687" s="55">
        <v>10468686.5</v>
      </c>
      <c r="H687" s="55">
        <v>9373143.5</v>
      </c>
      <c r="I687" s="55">
        <v>108135</v>
      </c>
      <c r="J687" s="55">
        <v>9481278.5</v>
      </c>
      <c r="K687" s="55">
        <v>2600102.7999999998</v>
      </c>
      <c r="L687" s="55">
        <v>2646806.1</v>
      </c>
      <c r="M687" s="55">
        <v>59246</v>
      </c>
      <c r="N687" s="55">
        <v>11677.7</v>
      </c>
    </row>
    <row r="688" spans="1:14" ht="10.050000000000001" hidden="1" customHeight="1">
      <c r="A688" s="52" t="s">
        <v>300</v>
      </c>
      <c r="B688" s="53">
        <v>2004</v>
      </c>
      <c r="C688" s="52" t="s">
        <v>110</v>
      </c>
      <c r="D688" s="54">
        <v>7</v>
      </c>
      <c r="E688" s="55">
        <v>270.89999999999998</v>
      </c>
      <c r="F688" s="55">
        <v>69.3</v>
      </c>
      <c r="G688" s="55">
        <v>340.2</v>
      </c>
      <c r="H688" s="55">
        <v>413.9</v>
      </c>
      <c r="I688" s="55">
        <v>95.9</v>
      </c>
      <c r="J688" s="55">
        <v>509.8</v>
      </c>
      <c r="K688" s="55">
        <v>64</v>
      </c>
      <c r="L688" s="55">
        <v>64</v>
      </c>
      <c r="M688" s="55">
        <v>0</v>
      </c>
      <c r="N688" s="55">
        <v>36.799999999999997</v>
      </c>
    </row>
    <row r="689" spans="1:14" ht="10.050000000000001" hidden="1" customHeight="1">
      <c r="A689" s="52" t="s">
        <v>307</v>
      </c>
      <c r="B689" s="53">
        <v>2004</v>
      </c>
      <c r="C689" s="52" t="s">
        <v>110</v>
      </c>
      <c r="D689" s="54">
        <v>7</v>
      </c>
      <c r="E689" s="55">
        <v>86393</v>
      </c>
      <c r="F689" s="55">
        <v>0</v>
      </c>
      <c r="G689" s="55">
        <v>86393</v>
      </c>
      <c r="H689" s="55">
        <v>1406779.4</v>
      </c>
      <c r="I689" s="55">
        <v>27354.7</v>
      </c>
      <c r="J689" s="55">
        <v>1434134.1</v>
      </c>
      <c r="K689" s="55">
        <v>154127.79999999999</v>
      </c>
      <c r="L689" s="55">
        <v>11553.1</v>
      </c>
      <c r="M689" s="55">
        <v>32316.3</v>
      </c>
      <c r="N689" s="55">
        <v>16668</v>
      </c>
    </row>
    <row r="690" spans="1:14" ht="10.050000000000001" hidden="1" customHeight="1">
      <c r="A690" s="52" t="s">
        <v>315</v>
      </c>
      <c r="B690" s="53">
        <v>2004</v>
      </c>
      <c r="C690" s="52" t="s">
        <v>110</v>
      </c>
      <c r="D690" s="54">
        <v>7</v>
      </c>
      <c r="E690" s="55">
        <v>312</v>
      </c>
      <c r="F690" s="55">
        <v>0</v>
      </c>
      <c r="G690" s="55">
        <v>312</v>
      </c>
      <c r="H690" s="55">
        <v>5037.3</v>
      </c>
      <c r="I690" s="55">
        <v>0</v>
      </c>
      <c r="J690" s="55">
        <v>5037.3</v>
      </c>
      <c r="K690" s="55">
        <v>0</v>
      </c>
      <c r="L690" s="55">
        <v>0</v>
      </c>
      <c r="M690" s="55">
        <v>0</v>
      </c>
      <c r="N690" s="55">
        <v>0</v>
      </c>
    </row>
    <row r="691" spans="1:14" ht="10.050000000000001" hidden="1" customHeight="1">
      <c r="A691" s="52" t="s">
        <v>173</v>
      </c>
      <c r="B691" s="53">
        <v>2004</v>
      </c>
      <c r="C691" s="52" t="s">
        <v>110</v>
      </c>
      <c r="D691" s="54">
        <v>7</v>
      </c>
      <c r="E691" s="55">
        <v>5429402.4000000004</v>
      </c>
      <c r="F691" s="55">
        <v>117990.9</v>
      </c>
      <c r="G691" s="55">
        <v>5547393.2999999998</v>
      </c>
      <c r="H691" s="55">
        <v>5151062.3</v>
      </c>
      <c r="I691" s="55">
        <v>101853.4</v>
      </c>
      <c r="J691" s="55">
        <v>5252915.7</v>
      </c>
      <c r="K691" s="55">
        <v>1098266</v>
      </c>
      <c r="L691" s="55">
        <v>1262923.8</v>
      </c>
      <c r="M691" s="55">
        <v>178844.4</v>
      </c>
      <c r="N691" s="55">
        <v>6470.9</v>
      </c>
    </row>
    <row r="692" spans="1:14" ht="10.050000000000001" customHeight="1">
      <c r="A692" s="52" t="s">
        <v>309</v>
      </c>
      <c r="B692" s="53">
        <v>2004</v>
      </c>
      <c r="C692" s="52" t="s">
        <v>110</v>
      </c>
      <c r="D692" s="54">
        <v>7</v>
      </c>
      <c r="E692" s="55">
        <v>93.2</v>
      </c>
      <c r="F692" s="55">
        <v>0</v>
      </c>
      <c r="G692" s="55">
        <v>93.2</v>
      </c>
      <c r="H692" s="55">
        <v>16115.9</v>
      </c>
      <c r="I692" s="55">
        <v>0</v>
      </c>
      <c r="J692" s="55">
        <v>16115.9</v>
      </c>
      <c r="K692" s="55">
        <v>0</v>
      </c>
      <c r="L692" s="55">
        <v>0</v>
      </c>
      <c r="M692" s="55">
        <v>0</v>
      </c>
      <c r="N692" s="55">
        <v>0</v>
      </c>
    </row>
    <row r="693" spans="1:14" ht="10.050000000000001" hidden="1" customHeight="1">
      <c r="A693" s="52" t="s">
        <v>316</v>
      </c>
      <c r="B693" s="53">
        <v>2004</v>
      </c>
      <c r="C693" s="52" t="s">
        <v>110</v>
      </c>
      <c r="D693" s="54">
        <v>7</v>
      </c>
      <c r="E693" s="55">
        <v>105.4</v>
      </c>
      <c r="F693" s="55">
        <v>0</v>
      </c>
      <c r="G693" s="55">
        <v>105.4</v>
      </c>
      <c r="H693" s="55">
        <v>2348.1999999999998</v>
      </c>
      <c r="I693" s="55">
        <v>0</v>
      </c>
      <c r="J693" s="55">
        <v>2348.1999999999998</v>
      </c>
      <c r="K693" s="55">
        <v>0</v>
      </c>
      <c r="L693" s="55">
        <v>0</v>
      </c>
      <c r="M693" s="55">
        <v>0</v>
      </c>
      <c r="N693" s="55">
        <v>0</v>
      </c>
    </row>
    <row r="694" spans="1:14" ht="10.050000000000001" hidden="1" customHeight="1">
      <c r="A694" s="52" t="s">
        <v>310</v>
      </c>
      <c r="B694" s="53">
        <v>2004</v>
      </c>
      <c r="C694" s="52" t="s">
        <v>110</v>
      </c>
      <c r="D694" s="54">
        <v>7</v>
      </c>
      <c r="E694" s="55">
        <v>22566.9</v>
      </c>
      <c r="F694" s="55">
        <v>14.4</v>
      </c>
      <c r="G694" s="55">
        <v>22581.3</v>
      </c>
      <c r="H694" s="55">
        <v>29384</v>
      </c>
      <c r="I694" s="55">
        <v>51.2</v>
      </c>
      <c r="J694" s="55">
        <v>29435.200000000001</v>
      </c>
      <c r="K694" s="55">
        <v>4958</v>
      </c>
      <c r="L694" s="55">
        <v>4920.7</v>
      </c>
      <c r="M694" s="55">
        <v>58.2</v>
      </c>
      <c r="N694" s="55">
        <v>6.9</v>
      </c>
    </row>
    <row r="695" spans="1:14" ht="10.050000000000001" hidden="1" customHeight="1">
      <c r="A695" s="52" t="s">
        <v>308</v>
      </c>
      <c r="B695" s="53">
        <v>2004</v>
      </c>
      <c r="C695" s="52" t="s">
        <v>110</v>
      </c>
      <c r="D695" s="54">
        <v>7</v>
      </c>
      <c r="E695" s="55">
        <v>286.7</v>
      </c>
      <c r="F695" s="55">
        <v>0</v>
      </c>
      <c r="G695" s="55">
        <v>286.7</v>
      </c>
      <c r="H695" s="55">
        <v>11306.1</v>
      </c>
      <c r="I695" s="55">
        <v>17.7</v>
      </c>
      <c r="J695" s="55">
        <v>11323.8</v>
      </c>
      <c r="K695" s="55">
        <v>273.3</v>
      </c>
      <c r="L695" s="55">
        <v>47.8</v>
      </c>
      <c r="M695" s="55">
        <v>0</v>
      </c>
      <c r="N695" s="55">
        <v>77.900000000000006</v>
      </c>
    </row>
    <row r="696" spans="1:14" ht="10.050000000000001" hidden="1" customHeight="1">
      <c r="A696" s="52" t="s">
        <v>174</v>
      </c>
      <c r="B696" s="53">
        <v>2004</v>
      </c>
      <c r="C696" s="52" t="s">
        <v>110</v>
      </c>
      <c r="D696" s="54">
        <v>7</v>
      </c>
      <c r="E696" s="55">
        <v>225391.8</v>
      </c>
      <c r="F696" s="55">
        <v>13127.2</v>
      </c>
      <c r="G696" s="55">
        <v>238519</v>
      </c>
      <c r="H696" s="55">
        <v>206295.2</v>
      </c>
      <c r="I696" s="55">
        <v>14118.5</v>
      </c>
      <c r="J696" s="55">
        <v>220413.7</v>
      </c>
      <c r="K696" s="55">
        <v>44033.2</v>
      </c>
      <c r="L696" s="55">
        <v>42431.9</v>
      </c>
      <c r="M696" s="55">
        <v>837.4</v>
      </c>
      <c r="N696" s="55">
        <v>1040.5999999999999</v>
      </c>
    </row>
    <row r="697" spans="1:14" ht="10.050000000000001" hidden="1" customHeight="1">
      <c r="A697" s="52" t="s">
        <v>314</v>
      </c>
      <c r="B697" s="53">
        <v>2004</v>
      </c>
      <c r="C697" s="52" t="s">
        <v>110</v>
      </c>
      <c r="D697" s="54">
        <v>8</v>
      </c>
      <c r="E697" s="55">
        <v>98.5</v>
      </c>
      <c r="F697" s="55">
        <v>0</v>
      </c>
      <c r="G697" s="55">
        <v>98.5</v>
      </c>
      <c r="H697" s="55">
        <v>808.9</v>
      </c>
      <c r="I697" s="55">
        <v>0</v>
      </c>
      <c r="J697" s="55">
        <v>808.9</v>
      </c>
      <c r="K697" s="55">
        <v>64.599999999999994</v>
      </c>
      <c r="L697" s="55">
        <v>5.9</v>
      </c>
      <c r="M697" s="55">
        <v>0</v>
      </c>
      <c r="N697" s="55">
        <v>0</v>
      </c>
    </row>
    <row r="698" spans="1:14" ht="10.050000000000001" hidden="1" customHeight="1">
      <c r="A698" s="52" t="s">
        <v>306</v>
      </c>
      <c r="B698" s="53">
        <v>2004</v>
      </c>
      <c r="C698" s="52" t="s">
        <v>110</v>
      </c>
      <c r="D698" s="54">
        <v>8</v>
      </c>
      <c r="E698" s="55">
        <v>73310.100000000006</v>
      </c>
      <c r="F698" s="55">
        <v>2436</v>
      </c>
      <c r="G698" s="55">
        <v>75746.100000000006</v>
      </c>
      <c r="H698" s="55">
        <v>207655.9</v>
      </c>
      <c r="I698" s="55">
        <v>5987.6</v>
      </c>
      <c r="J698" s="55">
        <v>213643.5</v>
      </c>
      <c r="K698" s="55">
        <v>23119.5</v>
      </c>
      <c r="L698" s="55">
        <v>10081.200000000001</v>
      </c>
      <c r="M698" s="55">
        <v>3073.2</v>
      </c>
      <c r="N698" s="55">
        <v>372.1</v>
      </c>
    </row>
    <row r="699" spans="1:14" ht="10.050000000000001" hidden="1" customHeight="1">
      <c r="A699" s="52" t="s">
        <v>172</v>
      </c>
      <c r="B699" s="53">
        <v>2004</v>
      </c>
      <c r="C699" s="52" t="s">
        <v>110</v>
      </c>
      <c r="D699" s="54">
        <v>8</v>
      </c>
      <c r="E699" s="55">
        <v>73800.100000000006</v>
      </c>
      <c r="F699" s="55">
        <v>9236.1</v>
      </c>
      <c r="G699" s="55">
        <v>83036.2</v>
      </c>
      <c r="H699" s="55">
        <v>720851.2</v>
      </c>
      <c r="I699" s="55">
        <v>45716.7</v>
      </c>
      <c r="J699" s="55">
        <v>766567.9</v>
      </c>
      <c r="K699" s="55">
        <v>342298.1</v>
      </c>
      <c r="L699" s="55">
        <v>23448.5</v>
      </c>
      <c r="M699" s="55">
        <v>20987.4</v>
      </c>
      <c r="N699" s="55">
        <v>118.7</v>
      </c>
    </row>
    <row r="700" spans="1:14" ht="10.050000000000001" hidden="1" customHeight="1">
      <c r="A700" s="52" t="s">
        <v>171</v>
      </c>
      <c r="B700" s="53">
        <v>2004</v>
      </c>
      <c r="C700" s="52" t="s">
        <v>110</v>
      </c>
      <c r="D700" s="54">
        <v>8</v>
      </c>
      <c r="E700" s="55">
        <v>6738191.4000000004</v>
      </c>
      <c r="F700" s="55">
        <v>205084.2</v>
      </c>
      <c r="G700" s="55">
        <v>6943275.5999999996</v>
      </c>
      <c r="H700" s="55">
        <v>12874690.5</v>
      </c>
      <c r="I700" s="55">
        <v>208735.1</v>
      </c>
      <c r="J700" s="55">
        <v>13083425.6</v>
      </c>
      <c r="K700" s="55">
        <v>4513056.3</v>
      </c>
      <c r="L700" s="55">
        <v>2456346.9</v>
      </c>
      <c r="M700" s="55">
        <v>520500.1</v>
      </c>
      <c r="N700" s="55">
        <v>22893.3</v>
      </c>
    </row>
    <row r="701" spans="1:14" ht="10.050000000000001" hidden="1" customHeight="1">
      <c r="A701" s="52" t="s">
        <v>300</v>
      </c>
      <c r="B701" s="53">
        <v>2004</v>
      </c>
      <c r="C701" s="52" t="s">
        <v>110</v>
      </c>
      <c r="D701" s="54">
        <v>8</v>
      </c>
      <c r="E701" s="55">
        <v>727.7</v>
      </c>
      <c r="F701" s="55">
        <v>43.1</v>
      </c>
      <c r="G701" s="55">
        <v>770.8</v>
      </c>
      <c r="H701" s="55">
        <v>1005.9</v>
      </c>
      <c r="I701" s="55">
        <v>134.5</v>
      </c>
      <c r="J701" s="55">
        <v>1140.4000000000001</v>
      </c>
      <c r="K701" s="55">
        <v>64</v>
      </c>
      <c r="L701" s="55">
        <v>19</v>
      </c>
      <c r="M701" s="55">
        <v>0</v>
      </c>
      <c r="N701" s="55">
        <v>19</v>
      </c>
    </row>
    <row r="702" spans="1:14" ht="10.050000000000001" hidden="1" customHeight="1">
      <c r="A702" s="52" t="s">
        <v>307</v>
      </c>
      <c r="B702" s="53">
        <v>2004</v>
      </c>
      <c r="C702" s="52" t="s">
        <v>110</v>
      </c>
      <c r="D702" s="54">
        <v>8</v>
      </c>
      <c r="E702" s="55">
        <v>91106.9</v>
      </c>
      <c r="F702" s="55">
        <v>0</v>
      </c>
      <c r="G702" s="55">
        <v>91106.9</v>
      </c>
      <c r="H702" s="55">
        <v>800786.9</v>
      </c>
      <c r="I702" s="55">
        <v>21155.1</v>
      </c>
      <c r="J702" s="55">
        <v>821942</v>
      </c>
      <c r="K702" s="55">
        <v>95466.8</v>
      </c>
      <c r="L702" s="55">
        <v>6833.6</v>
      </c>
      <c r="M702" s="55">
        <v>36295.300000000003</v>
      </c>
      <c r="N702" s="55">
        <v>29199.3</v>
      </c>
    </row>
    <row r="703" spans="1:14" ht="10.050000000000001" hidden="1" customHeight="1">
      <c r="A703" s="52" t="s">
        <v>315</v>
      </c>
      <c r="B703" s="53">
        <v>2004</v>
      </c>
      <c r="C703" s="52" t="s">
        <v>110</v>
      </c>
      <c r="D703" s="54">
        <v>8</v>
      </c>
      <c r="E703" s="55">
        <v>903.7</v>
      </c>
      <c r="F703" s="55">
        <v>0</v>
      </c>
      <c r="G703" s="55">
        <v>903.7</v>
      </c>
      <c r="H703" s="55">
        <v>4177.3</v>
      </c>
      <c r="I703" s="55">
        <v>0</v>
      </c>
      <c r="J703" s="55">
        <v>4177.3</v>
      </c>
      <c r="K703" s="55">
        <v>0</v>
      </c>
      <c r="L703" s="55">
        <v>0</v>
      </c>
      <c r="M703" s="55">
        <v>0</v>
      </c>
      <c r="N703" s="55">
        <v>0</v>
      </c>
    </row>
    <row r="704" spans="1:14" ht="10.050000000000001" hidden="1" customHeight="1">
      <c r="A704" s="52" t="s">
        <v>173</v>
      </c>
      <c r="B704" s="53">
        <v>2004</v>
      </c>
      <c r="C704" s="52" t="s">
        <v>110</v>
      </c>
      <c r="D704" s="54">
        <v>8</v>
      </c>
      <c r="E704" s="55">
        <v>741581.7</v>
      </c>
      <c r="F704" s="55">
        <v>16352.5</v>
      </c>
      <c r="G704" s="55">
        <v>757934.2</v>
      </c>
      <c r="H704" s="55">
        <v>5269085.4000000004</v>
      </c>
      <c r="I704" s="55">
        <v>86456.4</v>
      </c>
      <c r="J704" s="55">
        <v>5355541.8</v>
      </c>
      <c r="K704" s="55">
        <v>966502.8</v>
      </c>
      <c r="L704" s="55">
        <v>101866.2</v>
      </c>
      <c r="M704" s="55">
        <v>224712.3</v>
      </c>
      <c r="N704" s="55">
        <v>8917.1</v>
      </c>
    </row>
    <row r="705" spans="1:14" ht="10.050000000000001" customHeight="1">
      <c r="A705" s="52" t="s">
        <v>309</v>
      </c>
      <c r="B705" s="53">
        <v>2004</v>
      </c>
      <c r="C705" s="52" t="s">
        <v>110</v>
      </c>
      <c r="D705" s="54">
        <v>8</v>
      </c>
      <c r="E705" s="55">
        <v>0</v>
      </c>
      <c r="F705" s="55">
        <v>0</v>
      </c>
      <c r="G705" s="55">
        <v>0</v>
      </c>
      <c r="H705" s="55">
        <v>11237.8</v>
      </c>
      <c r="I705" s="55">
        <v>0</v>
      </c>
      <c r="J705" s="55">
        <v>11237.8</v>
      </c>
      <c r="K705" s="55">
        <v>0</v>
      </c>
      <c r="L705" s="55">
        <v>0</v>
      </c>
      <c r="M705" s="55">
        <v>0</v>
      </c>
      <c r="N705" s="55">
        <v>0</v>
      </c>
    </row>
    <row r="706" spans="1:14" ht="10.050000000000001" hidden="1" customHeight="1">
      <c r="A706" s="52" t="s">
        <v>316</v>
      </c>
      <c r="B706" s="53">
        <v>2004</v>
      </c>
      <c r="C706" s="52" t="s">
        <v>110</v>
      </c>
      <c r="D706" s="54">
        <v>8</v>
      </c>
      <c r="E706" s="55">
        <v>22.3</v>
      </c>
      <c r="F706" s="55">
        <v>0</v>
      </c>
      <c r="G706" s="55">
        <v>22.3</v>
      </c>
      <c r="H706" s="55">
        <v>2236.6</v>
      </c>
      <c r="I706" s="55">
        <v>0</v>
      </c>
      <c r="J706" s="55">
        <v>2236.6</v>
      </c>
      <c r="K706" s="55">
        <v>0</v>
      </c>
      <c r="L706" s="55">
        <v>0</v>
      </c>
      <c r="M706" s="55">
        <v>0</v>
      </c>
      <c r="N706" s="55">
        <v>0</v>
      </c>
    </row>
    <row r="707" spans="1:14" ht="10.050000000000001" hidden="1" customHeight="1">
      <c r="A707" s="52" t="s">
        <v>310</v>
      </c>
      <c r="B707" s="53">
        <v>2004</v>
      </c>
      <c r="C707" s="52" t="s">
        <v>110</v>
      </c>
      <c r="D707" s="54">
        <v>8</v>
      </c>
      <c r="E707" s="55">
        <v>32408.7</v>
      </c>
      <c r="F707" s="55">
        <v>1195.2</v>
      </c>
      <c r="G707" s="55">
        <v>33603.9</v>
      </c>
      <c r="H707" s="55">
        <v>56088.7</v>
      </c>
      <c r="I707" s="55">
        <v>874.7</v>
      </c>
      <c r="J707" s="55">
        <v>56963.4</v>
      </c>
      <c r="K707" s="55">
        <v>11462.6</v>
      </c>
      <c r="L707" s="55">
        <v>8692.7000000000007</v>
      </c>
      <c r="M707" s="55">
        <v>2037.8</v>
      </c>
      <c r="N707" s="55">
        <v>150.30000000000001</v>
      </c>
    </row>
    <row r="708" spans="1:14" ht="10.050000000000001" hidden="1" customHeight="1">
      <c r="A708" s="52" t="s">
        <v>308</v>
      </c>
      <c r="B708" s="53">
        <v>2004</v>
      </c>
      <c r="C708" s="52" t="s">
        <v>110</v>
      </c>
      <c r="D708" s="54">
        <v>8</v>
      </c>
      <c r="E708" s="55">
        <v>72.400000000000006</v>
      </c>
      <c r="F708" s="55">
        <v>0</v>
      </c>
      <c r="G708" s="55">
        <v>72.400000000000006</v>
      </c>
      <c r="H708" s="55">
        <v>7295.5</v>
      </c>
      <c r="I708" s="55">
        <v>17.7</v>
      </c>
      <c r="J708" s="55">
        <v>7313.2</v>
      </c>
      <c r="K708" s="55">
        <v>257</v>
      </c>
      <c r="L708" s="55">
        <v>0.4</v>
      </c>
      <c r="M708" s="55">
        <v>0</v>
      </c>
      <c r="N708" s="55">
        <v>16.7</v>
      </c>
    </row>
    <row r="709" spans="1:14" ht="10.050000000000001" hidden="1" customHeight="1">
      <c r="A709" s="52" t="s">
        <v>174</v>
      </c>
      <c r="B709" s="53">
        <v>2004</v>
      </c>
      <c r="C709" s="52" t="s">
        <v>110</v>
      </c>
      <c r="D709" s="54">
        <v>8</v>
      </c>
      <c r="E709" s="55">
        <v>278923.09999999998</v>
      </c>
      <c r="F709" s="55">
        <v>16697.900000000001</v>
      </c>
      <c r="G709" s="55">
        <v>295621</v>
      </c>
      <c r="H709" s="55">
        <v>381300.7</v>
      </c>
      <c r="I709" s="55">
        <v>23821.5</v>
      </c>
      <c r="J709" s="55">
        <v>405122.2</v>
      </c>
      <c r="K709" s="55">
        <v>69084.2</v>
      </c>
      <c r="L709" s="55">
        <v>32429.7</v>
      </c>
      <c r="M709" s="55">
        <v>4557.5</v>
      </c>
      <c r="N709" s="55">
        <v>2821.2</v>
      </c>
    </row>
    <row r="710" spans="1:14" ht="10.050000000000001" hidden="1" customHeight="1">
      <c r="A710" s="52" t="s">
        <v>314</v>
      </c>
      <c r="B710" s="53">
        <v>2004</v>
      </c>
      <c r="C710" s="52" t="s">
        <v>110</v>
      </c>
      <c r="D710" s="54">
        <v>9</v>
      </c>
      <c r="E710" s="55">
        <v>3.3</v>
      </c>
      <c r="F710" s="55">
        <v>0</v>
      </c>
      <c r="G710" s="55">
        <v>3.3</v>
      </c>
      <c r="H710" s="55">
        <v>785.7</v>
      </c>
      <c r="I710" s="55">
        <v>0</v>
      </c>
      <c r="J710" s="55">
        <v>785.7</v>
      </c>
      <c r="K710" s="55">
        <v>63.3</v>
      </c>
      <c r="L710" s="55">
        <v>0</v>
      </c>
      <c r="M710" s="55">
        <v>1.3</v>
      </c>
      <c r="N710" s="55">
        <v>0</v>
      </c>
    </row>
    <row r="711" spans="1:14" ht="10.050000000000001" hidden="1" customHeight="1">
      <c r="A711" s="52" t="s">
        <v>306</v>
      </c>
      <c r="B711" s="53">
        <v>2004</v>
      </c>
      <c r="C711" s="52" t="s">
        <v>110</v>
      </c>
      <c r="D711" s="54">
        <v>9</v>
      </c>
      <c r="E711" s="55">
        <v>14658</v>
      </c>
      <c r="F711" s="55">
        <v>2157.6</v>
      </c>
      <c r="G711" s="55">
        <v>16815.599999999999</v>
      </c>
      <c r="H711" s="55">
        <v>199115.1</v>
      </c>
      <c r="I711" s="55">
        <v>6496.3</v>
      </c>
      <c r="J711" s="55">
        <v>205611.4</v>
      </c>
      <c r="K711" s="55">
        <v>21593.9</v>
      </c>
      <c r="L711" s="55">
        <v>2199.5</v>
      </c>
      <c r="M711" s="55">
        <v>3048.4</v>
      </c>
      <c r="N711" s="55">
        <v>676.7</v>
      </c>
    </row>
    <row r="712" spans="1:14" ht="10.050000000000001" hidden="1" customHeight="1">
      <c r="A712" s="52" t="s">
        <v>172</v>
      </c>
      <c r="B712" s="53">
        <v>2004</v>
      </c>
      <c r="C712" s="52" t="s">
        <v>110</v>
      </c>
      <c r="D712" s="54">
        <v>9</v>
      </c>
      <c r="E712" s="55">
        <v>118109.2</v>
      </c>
      <c r="F712" s="55">
        <v>8525.1</v>
      </c>
      <c r="G712" s="55">
        <v>126634.3</v>
      </c>
      <c r="H712" s="55">
        <v>651691.19999999995</v>
      </c>
      <c r="I712" s="55">
        <v>43328.9</v>
      </c>
      <c r="J712" s="55">
        <v>695020.1</v>
      </c>
      <c r="K712" s="55">
        <v>293466.90000000002</v>
      </c>
      <c r="L712" s="55">
        <v>10569.7</v>
      </c>
      <c r="M712" s="55">
        <v>58943.3</v>
      </c>
      <c r="N712" s="55">
        <v>457.6</v>
      </c>
    </row>
    <row r="713" spans="1:14" ht="10.050000000000001" hidden="1" customHeight="1">
      <c r="A713" s="52" t="s">
        <v>171</v>
      </c>
      <c r="B713" s="53">
        <v>2004</v>
      </c>
      <c r="C713" s="52" t="s">
        <v>110</v>
      </c>
      <c r="D713" s="54">
        <v>9</v>
      </c>
      <c r="E713" s="55">
        <v>1854865.3</v>
      </c>
      <c r="F713" s="55">
        <v>163721.60000000001</v>
      </c>
      <c r="G713" s="55">
        <v>2018586.9</v>
      </c>
      <c r="H713" s="55">
        <v>11828217.699999999</v>
      </c>
      <c r="I713" s="55">
        <v>215104.8</v>
      </c>
      <c r="J713" s="55">
        <v>12043322.5</v>
      </c>
      <c r="K713" s="55">
        <v>4112971.8</v>
      </c>
      <c r="L713" s="55">
        <v>402914.9</v>
      </c>
      <c r="M713" s="55">
        <v>776876.2</v>
      </c>
      <c r="N713" s="55">
        <v>26291.7</v>
      </c>
    </row>
    <row r="714" spans="1:14" ht="10.050000000000001" hidden="1" customHeight="1">
      <c r="A714" s="52" t="s">
        <v>300</v>
      </c>
      <c r="B714" s="53">
        <v>2004</v>
      </c>
      <c r="C714" s="52" t="s">
        <v>110</v>
      </c>
      <c r="D714" s="54">
        <v>9</v>
      </c>
      <c r="E714" s="55">
        <v>248.2</v>
      </c>
      <c r="F714" s="55">
        <v>11.1</v>
      </c>
      <c r="G714" s="55">
        <v>259.3</v>
      </c>
      <c r="H714" s="55">
        <v>928.5</v>
      </c>
      <c r="I714" s="55">
        <v>111.4</v>
      </c>
      <c r="J714" s="55">
        <v>1039.9000000000001</v>
      </c>
      <c r="K714" s="55">
        <v>64</v>
      </c>
      <c r="L714" s="55">
        <v>0</v>
      </c>
      <c r="M714" s="55">
        <v>0</v>
      </c>
      <c r="N714" s="55">
        <v>0</v>
      </c>
    </row>
    <row r="715" spans="1:14" ht="10.050000000000001" hidden="1" customHeight="1">
      <c r="A715" s="52" t="s">
        <v>307</v>
      </c>
      <c r="B715" s="53">
        <v>2004</v>
      </c>
      <c r="C715" s="52" t="s">
        <v>110</v>
      </c>
      <c r="D715" s="54">
        <v>9</v>
      </c>
      <c r="E715" s="55">
        <v>443702.9</v>
      </c>
      <c r="F715" s="55">
        <v>29878.400000000001</v>
      </c>
      <c r="G715" s="55">
        <v>473581.3</v>
      </c>
      <c r="H715" s="55">
        <v>481826.7</v>
      </c>
      <c r="I715" s="55">
        <v>37732.699999999997</v>
      </c>
      <c r="J715" s="55">
        <v>519559.4</v>
      </c>
      <c r="K715" s="55">
        <v>168694.9</v>
      </c>
      <c r="L715" s="55">
        <v>130224.2</v>
      </c>
      <c r="M715" s="55">
        <v>26500.3</v>
      </c>
      <c r="N715" s="55">
        <v>30495.8</v>
      </c>
    </row>
    <row r="716" spans="1:14" ht="10.050000000000001" hidden="1" customHeight="1">
      <c r="A716" s="52" t="s">
        <v>315</v>
      </c>
      <c r="B716" s="53">
        <v>2004</v>
      </c>
      <c r="C716" s="52" t="s">
        <v>110</v>
      </c>
      <c r="D716" s="54">
        <v>9</v>
      </c>
      <c r="E716" s="55">
        <v>13044.2</v>
      </c>
      <c r="F716" s="55">
        <v>0</v>
      </c>
      <c r="G716" s="55">
        <v>13044.2</v>
      </c>
      <c r="H716" s="55">
        <v>15487.7</v>
      </c>
      <c r="I716" s="55">
        <v>0</v>
      </c>
      <c r="J716" s="55">
        <v>15487.7</v>
      </c>
      <c r="K716" s="55">
        <v>807.3</v>
      </c>
      <c r="L716" s="55">
        <v>839.3</v>
      </c>
      <c r="M716" s="55">
        <v>32</v>
      </c>
      <c r="N716" s="55">
        <v>0</v>
      </c>
    </row>
    <row r="717" spans="1:14" ht="10.050000000000001" hidden="1" customHeight="1">
      <c r="A717" s="52" t="s">
        <v>173</v>
      </c>
      <c r="B717" s="53">
        <v>2004</v>
      </c>
      <c r="C717" s="52" t="s">
        <v>110</v>
      </c>
      <c r="D717" s="54">
        <v>9</v>
      </c>
      <c r="E717" s="55">
        <v>263408.5</v>
      </c>
      <c r="F717" s="55">
        <v>9759.8000000000102</v>
      </c>
      <c r="G717" s="55">
        <v>273168.3</v>
      </c>
      <c r="H717" s="55">
        <v>4886977.9000000004</v>
      </c>
      <c r="I717" s="55">
        <v>70849.100000000006</v>
      </c>
      <c r="J717" s="55">
        <v>4957827</v>
      </c>
      <c r="K717" s="55">
        <v>793218.3</v>
      </c>
      <c r="L717" s="55">
        <v>20596.400000000001</v>
      </c>
      <c r="M717" s="55">
        <v>185867</v>
      </c>
      <c r="N717" s="55">
        <v>8013.9</v>
      </c>
    </row>
    <row r="718" spans="1:14" ht="10.050000000000001" customHeight="1">
      <c r="A718" s="52" t="s">
        <v>309</v>
      </c>
      <c r="B718" s="53">
        <v>2004</v>
      </c>
      <c r="C718" s="52" t="s">
        <v>110</v>
      </c>
      <c r="D718" s="54">
        <v>9</v>
      </c>
      <c r="E718" s="55">
        <v>42980.7</v>
      </c>
      <c r="F718" s="55">
        <v>694.5</v>
      </c>
      <c r="G718" s="55">
        <v>43675.199999999997</v>
      </c>
      <c r="H718" s="55">
        <v>28522.799999999999</v>
      </c>
      <c r="I718" s="55">
        <v>0</v>
      </c>
      <c r="J718" s="55">
        <v>28522.799999999999</v>
      </c>
      <c r="K718" s="55">
        <v>0</v>
      </c>
      <c r="L718" s="55">
        <v>0</v>
      </c>
      <c r="M718" s="55">
        <v>0</v>
      </c>
      <c r="N718" s="55">
        <v>0</v>
      </c>
    </row>
    <row r="719" spans="1:14" ht="10.050000000000001" hidden="1" customHeight="1">
      <c r="A719" s="52" t="s">
        <v>316</v>
      </c>
      <c r="B719" s="53">
        <v>2004</v>
      </c>
      <c r="C719" s="52" t="s">
        <v>110</v>
      </c>
      <c r="D719" s="54">
        <v>9</v>
      </c>
      <c r="E719" s="55">
        <v>349.1</v>
      </c>
      <c r="F719" s="55">
        <v>0</v>
      </c>
      <c r="G719" s="55">
        <v>349.1</v>
      </c>
      <c r="H719" s="55">
        <v>2257</v>
      </c>
      <c r="I719" s="55">
        <v>0</v>
      </c>
      <c r="J719" s="55">
        <v>2257</v>
      </c>
      <c r="K719" s="55">
        <v>0</v>
      </c>
      <c r="L719" s="55">
        <v>0</v>
      </c>
      <c r="M719" s="55">
        <v>0</v>
      </c>
      <c r="N719" s="55">
        <v>0</v>
      </c>
    </row>
    <row r="720" spans="1:14" ht="10.050000000000001" hidden="1" customHeight="1">
      <c r="A720" s="52" t="s">
        <v>310</v>
      </c>
      <c r="B720" s="53">
        <v>2004</v>
      </c>
      <c r="C720" s="52" t="s">
        <v>110</v>
      </c>
      <c r="D720" s="54">
        <v>9</v>
      </c>
      <c r="E720" s="55">
        <v>5280.5</v>
      </c>
      <c r="F720" s="55">
        <v>433.5</v>
      </c>
      <c r="G720" s="55">
        <v>5714</v>
      </c>
      <c r="H720" s="55">
        <v>55836.6</v>
      </c>
      <c r="I720" s="55">
        <v>974.5</v>
      </c>
      <c r="J720" s="55">
        <v>56811.1</v>
      </c>
      <c r="K720" s="55">
        <v>11062.6</v>
      </c>
      <c r="L720" s="55">
        <v>833.8</v>
      </c>
      <c r="M720" s="55">
        <v>1104.0999999999999</v>
      </c>
      <c r="N720" s="55">
        <v>129.69999999999999</v>
      </c>
    </row>
    <row r="721" spans="1:14" ht="10.050000000000001" hidden="1" customHeight="1">
      <c r="A721" s="52" t="s">
        <v>308</v>
      </c>
      <c r="B721" s="53">
        <v>2004</v>
      </c>
      <c r="C721" s="52" t="s">
        <v>110</v>
      </c>
      <c r="D721" s="54">
        <v>9</v>
      </c>
      <c r="E721" s="55">
        <v>26326.799999999999</v>
      </c>
      <c r="F721" s="55">
        <v>46.1</v>
      </c>
      <c r="G721" s="55">
        <v>26372.9</v>
      </c>
      <c r="H721" s="55">
        <v>28881.200000000001</v>
      </c>
      <c r="I721" s="55">
        <v>71</v>
      </c>
      <c r="J721" s="55">
        <v>28952.2</v>
      </c>
      <c r="K721" s="55">
        <v>4241.3999999999996</v>
      </c>
      <c r="L721" s="55">
        <v>4057.3</v>
      </c>
      <c r="M721" s="55">
        <v>13.6</v>
      </c>
      <c r="N721" s="55">
        <v>59.3</v>
      </c>
    </row>
    <row r="722" spans="1:14" ht="10.050000000000001" hidden="1" customHeight="1">
      <c r="A722" s="52" t="s">
        <v>174</v>
      </c>
      <c r="B722" s="53">
        <v>2004</v>
      </c>
      <c r="C722" s="52" t="s">
        <v>110</v>
      </c>
      <c r="D722" s="54">
        <v>9</v>
      </c>
      <c r="E722" s="55">
        <v>51925.1</v>
      </c>
      <c r="F722" s="55">
        <v>13821.2</v>
      </c>
      <c r="G722" s="55">
        <v>65746.3</v>
      </c>
      <c r="H722" s="55">
        <v>356347.2</v>
      </c>
      <c r="I722" s="55">
        <v>25371.5</v>
      </c>
      <c r="J722" s="55">
        <v>381718.7</v>
      </c>
      <c r="K722" s="55">
        <v>65837.3</v>
      </c>
      <c r="L722" s="55">
        <v>6632.4</v>
      </c>
      <c r="M722" s="55">
        <v>5095.8</v>
      </c>
      <c r="N722" s="55">
        <v>4783.5</v>
      </c>
    </row>
    <row r="723" spans="1:14" ht="10.050000000000001" hidden="1" customHeight="1">
      <c r="A723" s="52" t="s">
        <v>314</v>
      </c>
      <c r="B723" s="53">
        <v>2004</v>
      </c>
      <c r="C723" s="52" t="s">
        <v>110</v>
      </c>
      <c r="D723" s="54">
        <v>10</v>
      </c>
      <c r="E723" s="55">
        <v>15.6</v>
      </c>
      <c r="F723" s="55">
        <v>0</v>
      </c>
      <c r="G723" s="55">
        <v>15.6</v>
      </c>
      <c r="H723" s="55">
        <v>774.6</v>
      </c>
      <c r="I723" s="55">
        <v>0</v>
      </c>
      <c r="J723" s="55">
        <v>774.6</v>
      </c>
      <c r="K723" s="55">
        <v>50.8</v>
      </c>
      <c r="L723" s="55">
        <v>0</v>
      </c>
      <c r="M723" s="55">
        <v>12.5</v>
      </c>
      <c r="N723" s="55">
        <v>0</v>
      </c>
    </row>
    <row r="724" spans="1:14" ht="10.050000000000001" hidden="1" customHeight="1">
      <c r="A724" s="52" t="s">
        <v>306</v>
      </c>
      <c r="B724" s="53">
        <v>2004</v>
      </c>
      <c r="C724" s="52" t="s">
        <v>110</v>
      </c>
      <c r="D724" s="54">
        <v>10</v>
      </c>
      <c r="E724" s="55">
        <v>4384</v>
      </c>
      <c r="F724" s="55">
        <v>2353.6999999999998</v>
      </c>
      <c r="G724" s="55">
        <v>6737.7</v>
      </c>
      <c r="H724" s="55">
        <v>184967.3</v>
      </c>
      <c r="I724" s="55">
        <v>7396.9</v>
      </c>
      <c r="J724" s="55">
        <v>192364.2</v>
      </c>
      <c r="K724" s="55">
        <v>19667.599999999999</v>
      </c>
      <c r="L724" s="55">
        <v>313.5</v>
      </c>
      <c r="M724" s="55">
        <v>1567</v>
      </c>
      <c r="N724" s="55">
        <v>672.8</v>
      </c>
    </row>
    <row r="725" spans="1:14" ht="10.050000000000001" hidden="1" customHeight="1">
      <c r="A725" s="52" t="s">
        <v>172</v>
      </c>
      <c r="B725" s="53">
        <v>2004</v>
      </c>
      <c r="C725" s="52" t="s">
        <v>110</v>
      </c>
      <c r="D725" s="54">
        <v>10</v>
      </c>
      <c r="E725" s="55">
        <v>105096.8</v>
      </c>
      <c r="F725" s="55">
        <v>9162.7000000000007</v>
      </c>
      <c r="G725" s="55">
        <v>114259.5</v>
      </c>
      <c r="H725" s="55">
        <v>562946.1</v>
      </c>
      <c r="I725" s="55">
        <v>36721.599999999999</v>
      </c>
      <c r="J725" s="55">
        <v>599667.69999999995</v>
      </c>
      <c r="K725" s="55">
        <v>240830.1</v>
      </c>
      <c r="L725" s="55">
        <v>6739.6</v>
      </c>
      <c r="M725" s="55">
        <v>58115</v>
      </c>
      <c r="N725" s="55">
        <v>1261.4000000000001</v>
      </c>
    </row>
    <row r="726" spans="1:14" ht="10.050000000000001" hidden="1" customHeight="1">
      <c r="A726" s="52" t="s">
        <v>171</v>
      </c>
      <c r="B726" s="53">
        <v>2004</v>
      </c>
      <c r="C726" s="52" t="s">
        <v>110</v>
      </c>
      <c r="D726" s="54">
        <v>10</v>
      </c>
      <c r="E726" s="55">
        <v>1031409.2</v>
      </c>
      <c r="F726" s="55">
        <v>56369</v>
      </c>
      <c r="G726" s="55">
        <v>1087778.2</v>
      </c>
      <c r="H726" s="55">
        <v>10440413.800000001</v>
      </c>
      <c r="I726" s="55">
        <v>181810</v>
      </c>
      <c r="J726" s="55">
        <v>10622223.800000001</v>
      </c>
      <c r="K726" s="55">
        <v>3681874.5</v>
      </c>
      <c r="L726" s="55">
        <v>113971.3</v>
      </c>
      <c r="M726" s="55">
        <v>519197.1</v>
      </c>
      <c r="N726" s="55">
        <v>25871.5</v>
      </c>
    </row>
    <row r="727" spans="1:14" ht="10.050000000000001" hidden="1" customHeight="1">
      <c r="A727" s="52" t="s">
        <v>300</v>
      </c>
      <c r="B727" s="53">
        <v>2004</v>
      </c>
      <c r="C727" s="52" t="s">
        <v>110</v>
      </c>
      <c r="D727" s="54">
        <v>10</v>
      </c>
      <c r="E727" s="55">
        <v>103.3</v>
      </c>
      <c r="F727" s="55">
        <v>0</v>
      </c>
      <c r="G727" s="55">
        <v>103.3</v>
      </c>
      <c r="H727" s="55">
        <v>842.5</v>
      </c>
      <c r="I727" s="55">
        <v>58.3</v>
      </c>
      <c r="J727" s="55">
        <v>900.8</v>
      </c>
      <c r="K727" s="55">
        <v>64</v>
      </c>
      <c r="L727" s="55">
        <v>0</v>
      </c>
      <c r="M727" s="55">
        <v>0</v>
      </c>
      <c r="N727" s="55">
        <v>0</v>
      </c>
    </row>
    <row r="728" spans="1:14" ht="10.050000000000001" hidden="1" customHeight="1">
      <c r="A728" s="52" t="s">
        <v>307</v>
      </c>
      <c r="B728" s="53">
        <v>2004</v>
      </c>
      <c r="C728" s="52" t="s">
        <v>110</v>
      </c>
      <c r="D728" s="54">
        <v>10</v>
      </c>
      <c r="E728" s="55">
        <v>5236284</v>
      </c>
      <c r="F728" s="55">
        <v>74134.899999999994</v>
      </c>
      <c r="G728" s="55">
        <v>5310418.9000000004</v>
      </c>
      <c r="H728" s="55">
        <v>4369326.8</v>
      </c>
      <c r="I728" s="55">
        <v>100056.2</v>
      </c>
      <c r="J728" s="55">
        <v>4469383</v>
      </c>
      <c r="K728" s="55">
        <v>1676064.5</v>
      </c>
      <c r="L728" s="55">
        <v>1653271.7</v>
      </c>
      <c r="M728" s="55">
        <v>85288.2</v>
      </c>
      <c r="N728" s="55">
        <v>49662.5</v>
      </c>
    </row>
    <row r="729" spans="1:14" ht="10.050000000000001" hidden="1" customHeight="1">
      <c r="A729" s="52" t="s">
        <v>315</v>
      </c>
      <c r="B729" s="53">
        <v>2004</v>
      </c>
      <c r="C729" s="52" t="s">
        <v>110</v>
      </c>
      <c r="D729" s="54">
        <v>10</v>
      </c>
      <c r="E729" s="55">
        <v>25221.4</v>
      </c>
      <c r="F729" s="55">
        <v>0</v>
      </c>
      <c r="G729" s="55">
        <v>25221.4</v>
      </c>
      <c r="H729" s="55">
        <v>38015.800000000003</v>
      </c>
      <c r="I729" s="55">
        <v>0</v>
      </c>
      <c r="J729" s="55">
        <v>38015.800000000003</v>
      </c>
      <c r="K729" s="55">
        <v>738.1</v>
      </c>
      <c r="L729" s="55">
        <v>1574</v>
      </c>
      <c r="M729" s="55">
        <v>1643.2</v>
      </c>
      <c r="N729" s="55">
        <v>0</v>
      </c>
    </row>
    <row r="730" spans="1:14" ht="10.050000000000001" hidden="1" customHeight="1">
      <c r="A730" s="52" t="s">
        <v>173</v>
      </c>
      <c r="B730" s="53">
        <v>2004</v>
      </c>
      <c r="C730" s="52" t="s">
        <v>110</v>
      </c>
      <c r="D730" s="54">
        <v>10</v>
      </c>
      <c r="E730" s="55">
        <v>176286.3</v>
      </c>
      <c r="F730" s="55">
        <v>17962.599999999999</v>
      </c>
      <c r="G730" s="55">
        <v>194248.9</v>
      </c>
      <c r="H730" s="55">
        <v>4471542.9000000004</v>
      </c>
      <c r="I730" s="55">
        <v>68243.600000000006</v>
      </c>
      <c r="J730" s="55">
        <v>4539786.5</v>
      </c>
      <c r="K730" s="55">
        <v>696361.3</v>
      </c>
      <c r="L730" s="55">
        <v>19461.3</v>
      </c>
      <c r="M730" s="55">
        <v>106872.6</v>
      </c>
      <c r="N730" s="55">
        <v>9445.7000000000007</v>
      </c>
    </row>
    <row r="731" spans="1:14" ht="10.050000000000001" customHeight="1">
      <c r="A731" s="52" t="s">
        <v>309</v>
      </c>
      <c r="B731" s="53">
        <v>2004</v>
      </c>
      <c r="C731" s="52" t="s">
        <v>110</v>
      </c>
      <c r="D731" s="54">
        <v>10</v>
      </c>
      <c r="E731" s="55">
        <v>50882.8</v>
      </c>
      <c r="F731" s="55">
        <v>1252.8</v>
      </c>
      <c r="G731" s="55">
        <v>52135.6</v>
      </c>
      <c r="H731" s="55">
        <v>53443.5</v>
      </c>
      <c r="I731" s="55">
        <v>0</v>
      </c>
      <c r="J731" s="55">
        <v>53443.5</v>
      </c>
      <c r="K731" s="55">
        <v>0</v>
      </c>
      <c r="L731" s="55">
        <v>0</v>
      </c>
      <c r="M731" s="55">
        <v>0</v>
      </c>
      <c r="N731" s="55">
        <v>0</v>
      </c>
    </row>
    <row r="732" spans="1:14" ht="10.050000000000001" hidden="1" customHeight="1">
      <c r="A732" s="52" t="s">
        <v>316</v>
      </c>
      <c r="B732" s="53">
        <v>2004</v>
      </c>
      <c r="C732" s="52" t="s">
        <v>110</v>
      </c>
      <c r="D732" s="54">
        <v>10</v>
      </c>
      <c r="E732" s="55">
        <v>3149.4</v>
      </c>
      <c r="F732" s="55">
        <v>0</v>
      </c>
      <c r="G732" s="55">
        <v>3149.4</v>
      </c>
      <c r="H732" s="55">
        <v>4614.3999999999996</v>
      </c>
      <c r="I732" s="55">
        <v>0</v>
      </c>
      <c r="J732" s="55">
        <v>4614.3999999999996</v>
      </c>
      <c r="K732" s="55">
        <v>28.2</v>
      </c>
      <c r="L732" s="55">
        <v>28.2</v>
      </c>
      <c r="M732" s="55">
        <v>0</v>
      </c>
      <c r="N732" s="55">
        <v>0</v>
      </c>
    </row>
    <row r="733" spans="1:14" ht="10.050000000000001" hidden="1" customHeight="1">
      <c r="A733" s="52" t="s">
        <v>310</v>
      </c>
      <c r="B733" s="53">
        <v>2004</v>
      </c>
      <c r="C733" s="52" t="s">
        <v>110</v>
      </c>
      <c r="D733" s="54">
        <v>10</v>
      </c>
      <c r="E733" s="55">
        <v>2455</v>
      </c>
      <c r="F733" s="55">
        <v>189.9</v>
      </c>
      <c r="G733" s="55">
        <v>2644.9</v>
      </c>
      <c r="H733" s="55">
        <v>53516</v>
      </c>
      <c r="I733" s="55">
        <v>969.5</v>
      </c>
      <c r="J733" s="55">
        <v>54485.5</v>
      </c>
      <c r="K733" s="55">
        <v>9806.5</v>
      </c>
      <c r="L733" s="55">
        <v>231</v>
      </c>
      <c r="M733" s="55">
        <v>1244.0999999999999</v>
      </c>
      <c r="N733" s="55">
        <v>243</v>
      </c>
    </row>
    <row r="734" spans="1:14" ht="10.050000000000001" hidden="1" customHeight="1">
      <c r="A734" s="52" t="s">
        <v>308</v>
      </c>
      <c r="B734" s="53">
        <v>2004</v>
      </c>
      <c r="C734" s="52" t="s">
        <v>110</v>
      </c>
      <c r="D734" s="54">
        <v>10</v>
      </c>
      <c r="E734" s="55">
        <v>86340.7</v>
      </c>
      <c r="F734" s="55">
        <v>25.9</v>
      </c>
      <c r="G734" s="55">
        <v>86366.6</v>
      </c>
      <c r="H734" s="55">
        <v>98125.3</v>
      </c>
      <c r="I734" s="55">
        <v>17.7</v>
      </c>
      <c r="J734" s="55">
        <v>98143</v>
      </c>
      <c r="K734" s="55">
        <v>12576.6</v>
      </c>
      <c r="L734" s="55">
        <v>8987.2999999999993</v>
      </c>
      <c r="M734" s="55">
        <v>577.29999999999995</v>
      </c>
      <c r="N734" s="55">
        <v>74.8</v>
      </c>
    </row>
    <row r="735" spans="1:14" ht="10.050000000000001" hidden="1" customHeight="1">
      <c r="A735" s="52" t="s">
        <v>174</v>
      </c>
      <c r="B735" s="53">
        <v>2004</v>
      </c>
      <c r="C735" s="52" t="s">
        <v>110</v>
      </c>
      <c r="D735" s="54">
        <v>10</v>
      </c>
      <c r="E735" s="55">
        <v>8300.2999999999993</v>
      </c>
      <c r="F735" s="55">
        <v>2493.1</v>
      </c>
      <c r="G735" s="55">
        <v>10793.4</v>
      </c>
      <c r="H735" s="55">
        <v>310471.40000000002</v>
      </c>
      <c r="I735" s="55">
        <v>20308.3</v>
      </c>
      <c r="J735" s="55">
        <v>330779.7</v>
      </c>
      <c r="K735" s="55">
        <v>60827.7</v>
      </c>
      <c r="L735" s="55">
        <v>2029.1</v>
      </c>
      <c r="M735" s="55">
        <v>3124.7</v>
      </c>
      <c r="N735" s="55">
        <v>3914</v>
      </c>
    </row>
    <row r="736" spans="1:14" ht="10.050000000000001" hidden="1" customHeight="1">
      <c r="A736" s="52" t="s">
        <v>314</v>
      </c>
      <c r="B736" s="53">
        <v>2004</v>
      </c>
      <c r="C736" s="52" t="s">
        <v>110</v>
      </c>
      <c r="D736" s="54">
        <v>11</v>
      </c>
      <c r="E736" s="55">
        <v>7.3</v>
      </c>
      <c r="F736" s="55">
        <v>0</v>
      </c>
      <c r="G736" s="55">
        <v>7.3</v>
      </c>
      <c r="H736" s="55">
        <v>676.6</v>
      </c>
      <c r="I736" s="55">
        <v>0</v>
      </c>
      <c r="J736" s="55">
        <v>676.6</v>
      </c>
      <c r="K736" s="55">
        <v>53.8</v>
      </c>
      <c r="L736" s="55">
        <v>6.8</v>
      </c>
      <c r="M736" s="55">
        <v>3.8</v>
      </c>
      <c r="N736" s="55">
        <v>0</v>
      </c>
    </row>
    <row r="737" spans="1:14" ht="10.050000000000001" hidden="1" customHeight="1">
      <c r="A737" s="52" t="s">
        <v>306</v>
      </c>
      <c r="B737" s="53">
        <v>2004</v>
      </c>
      <c r="C737" s="52" t="s">
        <v>110</v>
      </c>
      <c r="D737" s="54">
        <v>11</v>
      </c>
      <c r="E737" s="55">
        <v>4932.6000000000004</v>
      </c>
      <c r="F737" s="55">
        <v>2510.5</v>
      </c>
      <c r="G737" s="55">
        <v>7443.1</v>
      </c>
      <c r="H737" s="55">
        <v>168137.4</v>
      </c>
      <c r="I737" s="55">
        <v>8651</v>
      </c>
      <c r="J737" s="55">
        <v>176788.4</v>
      </c>
      <c r="K737" s="55">
        <v>18005.7</v>
      </c>
      <c r="L737" s="55">
        <v>328.6</v>
      </c>
      <c r="M737" s="55">
        <v>1504</v>
      </c>
      <c r="N737" s="55">
        <v>504.8</v>
      </c>
    </row>
    <row r="738" spans="1:14" ht="10.050000000000001" hidden="1" customHeight="1">
      <c r="A738" s="52" t="s">
        <v>172</v>
      </c>
      <c r="B738" s="53">
        <v>2004</v>
      </c>
      <c r="C738" s="52" t="s">
        <v>110</v>
      </c>
      <c r="D738" s="54">
        <v>11</v>
      </c>
      <c r="E738" s="55">
        <v>187783.7</v>
      </c>
      <c r="F738" s="55">
        <v>595.1</v>
      </c>
      <c r="G738" s="55">
        <v>188378.8</v>
      </c>
      <c r="H738" s="55">
        <v>575517</v>
      </c>
      <c r="I738" s="55">
        <v>32350.5</v>
      </c>
      <c r="J738" s="55">
        <v>607867.5</v>
      </c>
      <c r="K738" s="55">
        <v>142180.5</v>
      </c>
      <c r="L738" s="55">
        <v>9541.7000000000007</v>
      </c>
      <c r="M738" s="55">
        <v>107803.7</v>
      </c>
      <c r="N738" s="55">
        <v>387.6</v>
      </c>
    </row>
    <row r="739" spans="1:14" ht="10.050000000000001" hidden="1" customHeight="1">
      <c r="A739" s="52" t="s">
        <v>171</v>
      </c>
      <c r="B739" s="53">
        <v>2004</v>
      </c>
      <c r="C739" s="52" t="s">
        <v>110</v>
      </c>
      <c r="D739" s="54">
        <v>11</v>
      </c>
      <c r="E739" s="55">
        <v>1081626.8999999999</v>
      </c>
      <c r="F739" s="55">
        <v>29798.5</v>
      </c>
      <c r="G739" s="55">
        <v>1111425.3999999999</v>
      </c>
      <c r="H739" s="55">
        <v>9194611.0999999996</v>
      </c>
      <c r="I739" s="55">
        <v>150335.6</v>
      </c>
      <c r="J739" s="55">
        <v>9344946.6999999993</v>
      </c>
      <c r="K739" s="55">
        <v>3492194.6</v>
      </c>
      <c r="L739" s="55">
        <v>224951.6</v>
      </c>
      <c r="M739" s="55">
        <v>393225.2</v>
      </c>
      <c r="N739" s="55">
        <v>23786.3</v>
      </c>
    </row>
    <row r="740" spans="1:14" ht="10.050000000000001" hidden="1" customHeight="1">
      <c r="A740" s="52" t="s">
        <v>300</v>
      </c>
      <c r="B740" s="53">
        <v>2004</v>
      </c>
      <c r="C740" s="52" t="s">
        <v>110</v>
      </c>
      <c r="D740" s="54">
        <v>11</v>
      </c>
      <c r="E740" s="55">
        <v>237.2</v>
      </c>
      <c r="F740" s="55">
        <v>0</v>
      </c>
      <c r="G740" s="55">
        <v>237.2</v>
      </c>
      <c r="H740" s="55">
        <v>841.2</v>
      </c>
      <c r="I740" s="55">
        <v>49.5</v>
      </c>
      <c r="J740" s="55">
        <v>890.7</v>
      </c>
      <c r="K740" s="55">
        <v>23</v>
      </c>
      <c r="L740" s="55">
        <v>0</v>
      </c>
      <c r="M740" s="55">
        <v>0</v>
      </c>
      <c r="N740" s="55">
        <v>41</v>
      </c>
    </row>
    <row r="741" spans="1:14" ht="10.050000000000001" hidden="1" customHeight="1">
      <c r="A741" s="52" t="s">
        <v>307</v>
      </c>
      <c r="B741" s="53">
        <v>2004</v>
      </c>
      <c r="C741" s="52" t="s">
        <v>110</v>
      </c>
      <c r="D741" s="54">
        <v>11</v>
      </c>
      <c r="E741" s="55">
        <v>4111662.4</v>
      </c>
      <c r="F741" s="55">
        <v>69947.399999999994</v>
      </c>
      <c r="G741" s="55">
        <v>4181609.8</v>
      </c>
      <c r="H741" s="55">
        <v>6922982.9000000097</v>
      </c>
      <c r="I741" s="55">
        <v>140899.5</v>
      </c>
      <c r="J741" s="55">
        <v>7063882.4000000004</v>
      </c>
      <c r="K741" s="55">
        <v>2539674.9</v>
      </c>
      <c r="L741" s="55">
        <v>1289274.2</v>
      </c>
      <c r="M741" s="55">
        <v>223283.8</v>
      </c>
      <c r="N741" s="55">
        <v>203372.4</v>
      </c>
    </row>
    <row r="742" spans="1:14" ht="10.050000000000001" hidden="1" customHeight="1">
      <c r="A742" s="52" t="s">
        <v>315</v>
      </c>
      <c r="B742" s="53">
        <v>2004</v>
      </c>
      <c r="C742" s="52" t="s">
        <v>110</v>
      </c>
      <c r="D742" s="54">
        <v>11</v>
      </c>
      <c r="E742" s="55">
        <v>3426.1</v>
      </c>
      <c r="F742" s="55">
        <v>0</v>
      </c>
      <c r="G742" s="55">
        <v>3426.1</v>
      </c>
      <c r="H742" s="55">
        <v>39073.4</v>
      </c>
      <c r="I742" s="55">
        <v>0</v>
      </c>
      <c r="J742" s="55">
        <v>39073.4</v>
      </c>
      <c r="K742" s="55">
        <v>828.2</v>
      </c>
      <c r="L742" s="55">
        <v>130.69999999999999</v>
      </c>
      <c r="M742" s="55">
        <v>40.6</v>
      </c>
      <c r="N742" s="55">
        <v>0</v>
      </c>
    </row>
    <row r="743" spans="1:14" ht="10.050000000000001" hidden="1" customHeight="1">
      <c r="A743" s="52" t="s">
        <v>173</v>
      </c>
      <c r="B743" s="53">
        <v>2004</v>
      </c>
      <c r="C743" s="52" t="s">
        <v>110</v>
      </c>
      <c r="D743" s="54">
        <v>11</v>
      </c>
      <c r="E743" s="55">
        <v>235158.1</v>
      </c>
      <c r="F743" s="55">
        <v>34572.9</v>
      </c>
      <c r="G743" s="55">
        <v>269731</v>
      </c>
      <c r="H743" s="55">
        <v>4064936.3</v>
      </c>
      <c r="I743" s="55">
        <v>76926.2</v>
      </c>
      <c r="J743" s="55">
        <v>4141862.5</v>
      </c>
      <c r="K743" s="55">
        <v>627692.69999999995</v>
      </c>
      <c r="L743" s="55">
        <v>29335.3</v>
      </c>
      <c r="M743" s="55">
        <v>90563.6</v>
      </c>
      <c r="N743" s="55">
        <v>7638.4</v>
      </c>
    </row>
    <row r="744" spans="1:14" ht="10.050000000000001" customHeight="1">
      <c r="A744" s="52" t="s">
        <v>309</v>
      </c>
      <c r="B744" s="53">
        <v>2004</v>
      </c>
      <c r="C744" s="52" t="s">
        <v>110</v>
      </c>
      <c r="D744" s="54">
        <v>11</v>
      </c>
      <c r="E744" s="55">
        <v>2476.1999999999998</v>
      </c>
      <c r="F744" s="55">
        <v>75.5</v>
      </c>
      <c r="G744" s="55">
        <v>2551.6999999999998</v>
      </c>
      <c r="H744" s="55">
        <v>50524.1</v>
      </c>
      <c r="I744" s="55">
        <v>0</v>
      </c>
      <c r="J744" s="55">
        <v>50524.1</v>
      </c>
      <c r="K744" s="55">
        <v>0</v>
      </c>
      <c r="L744" s="55">
        <v>0</v>
      </c>
      <c r="M744" s="55">
        <v>0</v>
      </c>
      <c r="N744" s="55">
        <v>0</v>
      </c>
    </row>
    <row r="745" spans="1:14" ht="10.050000000000001" hidden="1" customHeight="1">
      <c r="A745" s="52" t="s">
        <v>316</v>
      </c>
      <c r="B745" s="53">
        <v>2004</v>
      </c>
      <c r="C745" s="52" t="s">
        <v>110</v>
      </c>
      <c r="D745" s="54">
        <v>11</v>
      </c>
      <c r="E745" s="55">
        <v>1009.8</v>
      </c>
      <c r="F745" s="55">
        <v>46.6</v>
      </c>
      <c r="G745" s="55">
        <v>1056.4000000000001</v>
      </c>
      <c r="H745" s="55">
        <v>5374.9</v>
      </c>
      <c r="I745" s="55">
        <v>46.6</v>
      </c>
      <c r="J745" s="55">
        <v>5421.5</v>
      </c>
      <c r="K745" s="55">
        <v>28.2</v>
      </c>
      <c r="L745" s="55">
        <v>0</v>
      </c>
      <c r="M745" s="55">
        <v>0</v>
      </c>
      <c r="N745" s="55">
        <v>0</v>
      </c>
    </row>
    <row r="746" spans="1:14" ht="10.050000000000001" hidden="1" customHeight="1">
      <c r="A746" s="52" t="s">
        <v>310</v>
      </c>
      <c r="B746" s="53">
        <v>2004</v>
      </c>
      <c r="C746" s="52" t="s">
        <v>110</v>
      </c>
      <c r="D746" s="54">
        <v>11</v>
      </c>
      <c r="E746" s="55">
        <v>2880.9</v>
      </c>
      <c r="F746" s="55">
        <v>59.6</v>
      </c>
      <c r="G746" s="55">
        <v>2940.5</v>
      </c>
      <c r="H746" s="55">
        <v>52205.3</v>
      </c>
      <c r="I746" s="55">
        <v>931.2</v>
      </c>
      <c r="J746" s="55">
        <v>53136.5</v>
      </c>
      <c r="K746" s="55">
        <v>9228.2000000000007</v>
      </c>
      <c r="L746" s="55">
        <v>176.4</v>
      </c>
      <c r="M746" s="55">
        <v>662.3</v>
      </c>
      <c r="N746" s="55">
        <v>92.4</v>
      </c>
    </row>
    <row r="747" spans="1:14" ht="10.050000000000001" hidden="1" customHeight="1">
      <c r="A747" s="52" t="s">
        <v>308</v>
      </c>
      <c r="B747" s="53">
        <v>2004</v>
      </c>
      <c r="C747" s="52" t="s">
        <v>110</v>
      </c>
      <c r="D747" s="54">
        <v>11</v>
      </c>
      <c r="E747" s="55">
        <v>33688.9</v>
      </c>
      <c r="F747" s="55">
        <v>57.6</v>
      </c>
      <c r="G747" s="55">
        <v>33746.5</v>
      </c>
      <c r="H747" s="55">
        <v>108588.4</v>
      </c>
      <c r="I747" s="55">
        <v>75.3</v>
      </c>
      <c r="J747" s="55">
        <v>108663.7</v>
      </c>
      <c r="K747" s="55">
        <v>12021.3</v>
      </c>
      <c r="L747" s="55">
        <v>2282.8000000000002</v>
      </c>
      <c r="M747" s="55">
        <v>2595.6999999999998</v>
      </c>
      <c r="N747" s="55">
        <v>242.4</v>
      </c>
    </row>
    <row r="748" spans="1:14" ht="10.050000000000001" hidden="1" customHeight="1">
      <c r="A748" s="52" t="s">
        <v>174</v>
      </c>
      <c r="B748" s="53">
        <v>2004</v>
      </c>
      <c r="C748" s="52" t="s">
        <v>110</v>
      </c>
      <c r="D748" s="54">
        <v>11</v>
      </c>
      <c r="E748" s="55">
        <v>8860.7999999999993</v>
      </c>
      <c r="F748" s="55">
        <v>1876.9</v>
      </c>
      <c r="G748" s="55">
        <v>10737.7</v>
      </c>
      <c r="H748" s="55">
        <v>271765.59999999998</v>
      </c>
      <c r="I748" s="55">
        <v>18103.2</v>
      </c>
      <c r="J748" s="55">
        <v>289868.79999999999</v>
      </c>
      <c r="K748" s="55">
        <v>53703.4</v>
      </c>
      <c r="L748" s="55">
        <v>1013.3</v>
      </c>
      <c r="M748" s="55">
        <v>3286.6</v>
      </c>
      <c r="N748" s="55">
        <v>4851</v>
      </c>
    </row>
    <row r="749" spans="1:14" ht="10.050000000000001" hidden="1" customHeight="1">
      <c r="A749" s="52" t="s">
        <v>314</v>
      </c>
      <c r="B749" s="53">
        <v>2004</v>
      </c>
      <c r="C749" s="52" t="s">
        <v>110</v>
      </c>
      <c r="D749" s="54">
        <v>12</v>
      </c>
      <c r="E749" s="55">
        <v>7.2</v>
      </c>
      <c r="F749" s="55">
        <v>0</v>
      </c>
      <c r="G749" s="55">
        <v>7.2</v>
      </c>
      <c r="H749" s="55">
        <v>656.7</v>
      </c>
      <c r="I749" s="55">
        <v>0</v>
      </c>
      <c r="J749" s="55">
        <v>656.7</v>
      </c>
      <c r="K749" s="55">
        <v>53.8</v>
      </c>
      <c r="L749" s="55">
        <v>0</v>
      </c>
      <c r="M749" s="55">
        <v>0</v>
      </c>
      <c r="N749" s="55">
        <v>0</v>
      </c>
    </row>
    <row r="750" spans="1:14" ht="10.050000000000001" hidden="1" customHeight="1">
      <c r="A750" s="52" t="s">
        <v>306</v>
      </c>
      <c r="B750" s="53">
        <v>2004</v>
      </c>
      <c r="C750" s="52" t="s">
        <v>110</v>
      </c>
      <c r="D750" s="54">
        <v>12</v>
      </c>
      <c r="E750" s="55">
        <v>5900.5</v>
      </c>
      <c r="F750" s="55">
        <v>2125.1</v>
      </c>
      <c r="G750" s="55">
        <v>8025.6</v>
      </c>
      <c r="H750" s="55">
        <v>150806.39999999999</v>
      </c>
      <c r="I750" s="55">
        <v>9416.7000000000007</v>
      </c>
      <c r="J750" s="55">
        <v>160223.1</v>
      </c>
      <c r="K750" s="55">
        <v>15517.4</v>
      </c>
      <c r="L750" s="55">
        <v>349.4</v>
      </c>
      <c r="M750" s="55">
        <v>2031.3</v>
      </c>
      <c r="N750" s="55">
        <v>806.4</v>
      </c>
    </row>
    <row r="751" spans="1:14" ht="10.050000000000001" hidden="1" customHeight="1">
      <c r="A751" s="52" t="s">
        <v>172</v>
      </c>
      <c r="B751" s="53">
        <v>2004</v>
      </c>
      <c r="C751" s="52" t="s">
        <v>110</v>
      </c>
      <c r="D751" s="54">
        <v>12</v>
      </c>
      <c r="E751" s="55">
        <v>149129.5</v>
      </c>
      <c r="F751" s="55">
        <v>3131.6</v>
      </c>
      <c r="G751" s="55">
        <v>152261.1</v>
      </c>
      <c r="H751" s="55">
        <v>578217.19999999995</v>
      </c>
      <c r="I751" s="55">
        <v>27828.2</v>
      </c>
      <c r="J751" s="55">
        <v>606045.4</v>
      </c>
      <c r="K751" s="55">
        <v>109218.1</v>
      </c>
      <c r="L751" s="55">
        <v>18988.099999999999</v>
      </c>
      <c r="M751" s="55">
        <v>51674.7</v>
      </c>
      <c r="N751" s="55">
        <v>275.8</v>
      </c>
    </row>
    <row r="752" spans="1:14" ht="10.050000000000001" hidden="1" customHeight="1">
      <c r="A752" s="52" t="s">
        <v>171</v>
      </c>
      <c r="B752" s="53">
        <v>2004</v>
      </c>
      <c r="C752" s="52" t="s">
        <v>110</v>
      </c>
      <c r="D752" s="54">
        <v>12</v>
      </c>
      <c r="E752" s="55">
        <v>1389786.6</v>
      </c>
      <c r="F752" s="55">
        <v>18267.400000000001</v>
      </c>
      <c r="G752" s="55">
        <v>1408054</v>
      </c>
      <c r="H752" s="55">
        <v>8304935.2000000002</v>
      </c>
      <c r="I752" s="55">
        <v>127617.4</v>
      </c>
      <c r="J752" s="55">
        <v>8432552.5999999996</v>
      </c>
      <c r="K752" s="55">
        <v>3189586</v>
      </c>
      <c r="L752" s="55">
        <v>318086.3</v>
      </c>
      <c r="M752" s="55">
        <v>592528.1</v>
      </c>
      <c r="N752" s="55">
        <v>27166</v>
      </c>
    </row>
    <row r="753" spans="1:14" ht="10.050000000000001" hidden="1" customHeight="1">
      <c r="A753" s="52" t="s">
        <v>300</v>
      </c>
      <c r="B753" s="53">
        <v>2004</v>
      </c>
      <c r="C753" s="52" t="s">
        <v>110</v>
      </c>
      <c r="D753" s="54">
        <v>12</v>
      </c>
      <c r="E753" s="55">
        <v>83.9</v>
      </c>
      <c r="F753" s="55">
        <v>0</v>
      </c>
      <c r="G753" s="55">
        <v>83.9</v>
      </c>
      <c r="H753" s="55">
        <v>822.1</v>
      </c>
      <c r="I753" s="55">
        <v>33.1</v>
      </c>
      <c r="J753" s="55">
        <v>855.2</v>
      </c>
      <c r="K753" s="55">
        <v>0</v>
      </c>
      <c r="L753" s="55">
        <v>0</v>
      </c>
      <c r="M753" s="55">
        <v>0</v>
      </c>
      <c r="N753" s="55">
        <v>23</v>
      </c>
    </row>
    <row r="754" spans="1:14" ht="10.050000000000001" hidden="1" customHeight="1">
      <c r="A754" s="52" t="s">
        <v>307</v>
      </c>
      <c r="B754" s="53">
        <v>2004</v>
      </c>
      <c r="C754" s="52" t="s">
        <v>110</v>
      </c>
      <c r="D754" s="54">
        <v>12</v>
      </c>
      <c r="E754" s="55">
        <v>511310.5</v>
      </c>
      <c r="F754" s="55">
        <v>15288.6</v>
      </c>
      <c r="G754" s="55">
        <v>526599.1</v>
      </c>
      <c r="H754" s="55">
        <v>6283876.7999999998</v>
      </c>
      <c r="I754" s="55">
        <v>134215.29999999999</v>
      </c>
      <c r="J754" s="55">
        <v>6418092.0999999996</v>
      </c>
      <c r="K754" s="55">
        <v>2282738</v>
      </c>
      <c r="L754" s="55">
        <v>103438.1</v>
      </c>
      <c r="M754" s="55">
        <v>265424</v>
      </c>
      <c r="N754" s="55">
        <v>94951</v>
      </c>
    </row>
    <row r="755" spans="1:14" ht="10.050000000000001" hidden="1" customHeight="1">
      <c r="A755" s="52" t="s">
        <v>315</v>
      </c>
      <c r="B755" s="53">
        <v>2004</v>
      </c>
      <c r="C755" s="52" t="s">
        <v>110</v>
      </c>
      <c r="D755" s="54">
        <v>12</v>
      </c>
      <c r="E755" s="55">
        <v>819.5</v>
      </c>
      <c r="F755" s="55">
        <v>0</v>
      </c>
      <c r="G755" s="55">
        <v>819.5</v>
      </c>
      <c r="H755" s="55">
        <v>38012</v>
      </c>
      <c r="I755" s="55">
        <v>0</v>
      </c>
      <c r="J755" s="55">
        <v>38012</v>
      </c>
      <c r="K755" s="55">
        <v>598.79999999999995</v>
      </c>
      <c r="L755" s="55">
        <v>9.4</v>
      </c>
      <c r="M755" s="55">
        <v>238.8</v>
      </c>
      <c r="N755" s="55">
        <v>0</v>
      </c>
    </row>
    <row r="756" spans="1:14" ht="10.050000000000001" hidden="1" customHeight="1">
      <c r="A756" s="52" t="s">
        <v>173</v>
      </c>
      <c r="B756" s="53">
        <v>2004</v>
      </c>
      <c r="C756" s="52" t="s">
        <v>110</v>
      </c>
      <c r="D756" s="54">
        <v>12</v>
      </c>
      <c r="E756" s="55">
        <v>251504.8</v>
      </c>
      <c r="F756" s="55">
        <v>16404.7</v>
      </c>
      <c r="G756" s="55">
        <v>267909.5</v>
      </c>
      <c r="H756" s="55">
        <v>3701554.1</v>
      </c>
      <c r="I756" s="55">
        <v>70360.3</v>
      </c>
      <c r="J756" s="55">
        <v>3771914.4</v>
      </c>
      <c r="K756" s="55">
        <v>542905.80000000005</v>
      </c>
      <c r="L756" s="55">
        <v>34446</v>
      </c>
      <c r="M756" s="55">
        <v>109290.3</v>
      </c>
      <c r="N756" s="55">
        <v>9909.9</v>
      </c>
    </row>
    <row r="757" spans="1:14" ht="10.050000000000001" customHeight="1">
      <c r="A757" s="52" t="s">
        <v>309</v>
      </c>
      <c r="B757" s="53">
        <v>2004</v>
      </c>
      <c r="C757" s="52" t="s">
        <v>110</v>
      </c>
      <c r="D757" s="54">
        <v>12</v>
      </c>
      <c r="E757" s="55">
        <v>399.7</v>
      </c>
      <c r="F757" s="55">
        <v>0</v>
      </c>
      <c r="G757" s="55">
        <v>399.7</v>
      </c>
      <c r="H757" s="55">
        <v>46953.9</v>
      </c>
      <c r="I757" s="55">
        <v>0</v>
      </c>
      <c r="J757" s="55">
        <v>46953.9</v>
      </c>
      <c r="K757" s="55">
        <v>0</v>
      </c>
      <c r="L757" s="55">
        <v>0</v>
      </c>
      <c r="M757" s="55">
        <v>0</v>
      </c>
      <c r="N757" s="55">
        <v>0</v>
      </c>
    </row>
    <row r="758" spans="1:14" ht="10.050000000000001" hidden="1" customHeight="1">
      <c r="A758" s="52" t="s">
        <v>316</v>
      </c>
      <c r="B758" s="53">
        <v>2004</v>
      </c>
      <c r="C758" s="52" t="s">
        <v>110</v>
      </c>
      <c r="D758" s="54">
        <v>12</v>
      </c>
      <c r="E758" s="55">
        <v>226.5</v>
      </c>
      <c r="F758" s="55">
        <v>14.8</v>
      </c>
      <c r="G758" s="55">
        <v>241.3</v>
      </c>
      <c r="H758" s="55">
        <v>5169</v>
      </c>
      <c r="I758" s="55">
        <v>61.4</v>
      </c>
      <c r="J758" s="55">
        <v>5230.3999999999996</v>
      </c>
      <c r="K758" s="55">
        <v>77.8</v>
      </c>
      <c r="L758" s="55">
        <v>49.6</v>
      </c>
      <c r="M758" s="55">
        <v>0</v>
      </c>
      <c r="N758" s="55">
        <v>0</v>
      </c>
    </row>
    <row r="759" spans="1:14" ht="10.050000000000001" hidden="1" customHeight="1">
      <c r="A759" s="52" t="s">
        <v>310</v>
      </c>
      <c r="B759" s="53">
        <v>2004</v>
      </c>
      <c r="C759" s="52" t="s">
        <v>110</v>
      </c>
      <c r="D759" s="54">
        <v>12</v>
      </c>
      <c r="E759" s="55">
        <v>2852.6</v>
      </c>
      <c r="F759" s="55">
        <v>0</v>
      </c>
      <c r="G759" s="55">
        <v>2852.6</v>
      </c>
      <c r="H759" s="55">
        <v>50593.1</v>
      </c>
      <c r="I759" s="55">
        <v>764</v>
      </c>
      <c r="J759" s="55">
        <v>51357.1</v>
      </c>
      <c r="K759" s="55">
        <v>8191.9</v>
      </c>
      <c r="L759" s="55">
        <v>101.4</v>
      </c>
      <c r="M759" s="55">
        <v>1008.8</v>
      </c>
      <c r="N759" s="55">
        <v>128.9</v>
      </c>
    </row>
    <row r="760" spans="1:14" ht="10.050000000000001" hidden="1" customHeight="1">
      <c r="A760" s="52" t="s">
        <v>308</v>
      </c>
      <c r="B760" s="53">
        <v>2004</v>
      </c>
      <c r="C760" s="52" t="s">
        <v>110</v>
      </c>
      <c r="D760" s="54">
        <v>12</v>
      </c>
      <c r="E760" s="55">
        <v>5167.2</v>
      </c>
      <c r="F760" s="55">
        <v>0</v>
      </c>
      <c r="G760" s="55">
        <v>5167.2</v>
      </c>
      <c r="H760" s="55">
        <v>90139.300000000105</v>
      </c>
      <c r="I760" s="55">
        <v>138.6</v>
      </c>
      <c r="J760" s="55">
        <v>90277.900000000096</v>
      </c>
      <c r="K760" s="55">
        <v>11059.7</v>
      </c>
      <c r="L760" s="55">
        <v>844</v>
      </c>
      <c r="M760" s="55">
        <v>1499.9</v>
      </c>
      <c r="N760" s="55">
        <v>305.7</v>
      </c>
    </row>
    <row r="761" spans="1:14" ht="10.050000000000001" hidden="1" customHeight="1">
      <c r="A761" s="52" t="s">
        <v>174</v>
      </c>
      <c r="B761" s="53">
        <v>2004</v>
      </c>
      <c r="C761" s="52" t="s">
        <v>110</v>
      </c>
      <c r="D761" s="54">
        <v>12</v>
      </c>
      <c r="E761" s="55">
        <v>9405.5</v>
      </c>
      <c r="F761" s="55">
        <v>1329.9</v>
      </c>
      <c r="G761" s="55">
        <v>10735.4</v>
      </c>
      <c r="H761" s="55">
        <v>238596</v>
      </c>
      <c r="I761" s="55">
        <v>14957.6</v>
      </c>
      <c r="J761" s="55">
        <v>253553.6</v>
      </c>
      <c r="K761" s="55">
        <v>47317.599999999999</v>
      </c>
      <c r="L761" s="55">
        <v>1724.9</v>
      </c>
      <c r="M761" s="55">
        <v>3069.8</v>
      </c>
      <c r="N761" s="55">
        <v>5040.8999999999996</v>
      </c>
    </row>
    <row r="762" spans="1:14" ht="10.050000000000001" hidden="1" customHeight="1">
      <c r="A762" s="52" t="s">
        <v>314</v>
      </c>
      <c r="B762" s="53">
        <v>2005</v>
      </c>
      <c r="C762" s="52" t="s">
        <v>110</v>
      </c>
      <c r="D762" s="54">
        <v>1</v>
      </c>
      <c r="E762" s="55">
        <v>24.2</v>
      </c>
      <c r="F762" s="55">
        <v>0</v>
      </c>
      <c r="G762" s="55">
        <v>24.2</v>
      </c>
      <c r="H762" s="55">
        <v>630.4</v>
      </c>
      <c r="I762" s="55">
        <v>0</v>
      </c>
      <c r="J762" s="55">
        <v>630.4</v>
      </c>
      <c r="K762" s="55">
        <v>29.6</v>
      </c>
      <c r="L762" s="55">
        <v>0</v>
      </c>
      <c r="M762" s="55">
        <v>24.2</v>
      </c>
      <c r="N762" s="55">
        <v>0</v>
      </c>
    </row>
    <row r="763" spans="1:14" ht="10.050000000000001" hidden="1" customHeight="1">
      <c r="A763" s="52" t="s">
        <v>306</v>
      </c>
      <c r="B763" s="53">
        <v>2005</v>
      </c>
      <c r="C763" s="52" t="s">
        <v>110</v>
      </c>
      <c r="D763" s="54">
        <v>1</v>
      </c>
      <c r="E763" s="55">
        <v>6090</v>
      </c>
      <c r="F763" s="55">
        <v>1507.6</v>
      </c>
      <c r="G763" s="55">
        <v>7597.6</v>
      </c>
      <c r="H763" s="55">
        <v>134643.9</v>
      </c>
      <c r="I763" s="55">
        <v>9815.7999999999993</v>
      </c>
      <c r="J763" s="55">
        <v>144459.70000000001</v>
      </c>
      <c r="K763" s="55">
        <v>12687.2</v>
      </c>
      <c r="L763" s="55">
        <v>244.5</v>
      </c>
      <c r="M763" s="55">
        <v>2424.9</v>
      </c>
      <c r="N763" s="55">
        <v>674.4</v>
      </c>
    </row>
    <row r="764" spans="1:14" ht="10.050000000000001" hidden="1" customHeight="1">
      <c r="A764" s="52" t="s">
        <v>172</v>
      </c>
      <c r="B764" s="53">
        <v>2005</v>
      </c>
      <c r="C764" s="52" t="s">
        <v>110</v>
      </c>
      <c r="D764" s="54">
        <v>1</v>
      </c>
      <c r="E764" s="55">
        <v>150806.5</v>
      </c>
      <c r="F764" s="55">
        <v>486.3</v>
      </c>
      <c r="G764" s="55">
        <v>151292.79999999999</v>
      </c>
      <c r="H764" s="55">
        <v>564862.69999999995</v>
      </c>
      <c r="I764" s="55">
        <v>23502.6</v>
      </c>
      <c r="J764" s="55">
        <v>588365.30000000005</v>
      </c>
      <c r="K764" s="55">
        <v>73966.399999999994</v>
      </c>
      <c r="L764" s="55">
        <v>11221</v>
      </c>
      <c r="M764" s="55">
        <v>46236.2</v>
      </c>
      <c r="N764" s="55">
        <v>236.5</v>
      </c>
    </row>
    <row r="765" spans="1:14" ht="10.050000000000001" hidden="1" customHeight="1">
      <c r="A765" s="52" t="s">
        <v>171</v>
      </c>
      <c r="B765" s="53">
        <v>2005</v>
      </c>
      <c r="C765" s="52" t="s">
        <v>110</v>
      </c>
      <c r="D765" s="54">
        <v>1</v>
      </c>
      <c r="E765" s="55">
        <v>2548174.4</v>
      </c>
      <c r="F765" s="55">
        <v>10681.3</v>
      </c>
      <c r="G765" s="55">
        <v>2558855.7000000002</v>
      </c>
      <c r="H765" s="55">
        <v>8410566.9000000004</v>
      </c>
      <c r="I765" s="55">
        <v>118498.5</v>
      </c>
      <c r="J765" s="55">
        <v>8529065.4000000004</v>
      </c>
      <c r="K765" s="55">
        <v>2710000.9</v>
      </c>
      <c r="L765" s="55">
        <v>437578.7</v>
      </c>
      <c r="M765" s="55">
        <v>895771.6</v>
      </c>
      <c r="N765" s="55">
        <v>24027.7</v>
      </c>
    </row>
    <row r="766" spans="1:14" ht="10.050000000000001" hidden="1" customHeight="1">
      <c r="A766" s="52" t="s">
        <v>300</v>
      </c>
      <c r="B766" s="53">
        <v>2005</v>
      </c>
      <c r="C766" s="52" t="s">
        <v>110</v>
      </c>
      <c r="D766" s="54">
        <v>1</v>
      </c>
      <c r="E766" s="55">
        <v>95.6</v>
      </c>
      <c r="F766" s="55">
        <v>0</v>
      </c>
      <c r="G766" s="55">
        <v>95.6</v>
      </c>
      <c r="H766" s="55">
        <v>755.2</v>
      </c>
      <c r="I766" s="55">
        <v>30.1</v>
      </c>
      <c r="J766" s="55">
        <v>785.3</v>
      </c>
      <c r="K766" s="55">
        <v>0</v>
      </c>
      <c r="L766" s="55">
        <v>0</v>
      </c>
      <c r="M766" s="55">
        <v>0</v>
      </c>
      <c r="N766" s="55">
        <v>0</v>
      </c>
    </row>
    <row r="767" spans="1:14" ht="10.050000000000001" hidden="1" customHeight="1">
      <c r="A767" s="52" t="s">
        <v>307</v>
      </c>
      <c r="B767" s="53">
        <v>2005</v>
      </c>
      <c r="C767" s="52" t="s">
        <v>110</v>
      </c>
      <c r="D767" s="54">
        <v>1</v>
      </c>
      <c r="E767" s="55">
        <v>727361.4</v>
      </c>
      <c r="F767" s="55">
        <v>7988.7</v>
      </c>
      <c r="G767" s="55">
        <v>735350.1</v>
      </c>
      <c r="H767" s="55">
        <v>5779593</v>
      </c>
      <c r="I767" s="55">
        <v>114316.9</v>
      </c>
      <c r="J767" s="55">
        <v>5893909.9000000004</v>
      </c>
      <c r="K767" s="55">
        <v>1715975.2</v>
      </c>
      <c r="L767" s="55">
        <v>55656</v>
      </c>
      <c r="M767" s="55">
        <v>545499</v>
      </c>
      <c r="N767" s="55">
        <v>76953.000000000102</v>
      </c>
    </row>
    <row r="768" spans="1:14" ht="10.050000000000001" hidden="1" customHeight="1">
      <c r="A768" s="52" t="s">
        <v>315</v>
      </c>
      <c r="B768" s="53">
        <v>2005</v>
      </c>
      <c r="C768" s="52" t="s">
        <v>110</v>
      </c>
      <c r="D768" s="54">
        <v>1</v>
      </c>
      <c r="E768" s="55">
        <v>1231.0999999999999</v>
      </c>
      <c r="F768" s="55">
        <v>0</v>
      </c>
      <c r="G768" s="55">
        <v>1231.0999999999999</v>
      </c>
      <c r="H768" s="55">
        <v>37028.5</v>
      </c>
      <c r="I768" s="55">
        <v>0</v>
      </c>
      <c r="J768" s="55">
        <v>37028.5</v>
      </c>
      <c r="K768" s="55">
        <v>375.8</v>
      </c>
      <c r="L768" s="55">
        <v>0</v>
      </c>
      <c r="M768" s="55">
        <v>223</v>
      </c>
      <c r="N768" s="55">
        <v>0</v>
      </c>
    </row>
    <row r="769" spans="1:14" ht="10.050000000000001" hidden="1" customHeight="1">
      <c r="A769" s="52" t="s">
        <v>173</v>
      </c>
      <c r="B769" s="53">
        <v>2005</v>
      </c>
      <c r="C769" s="52" t="s">
        <v>110</v>
      </c>
      <c r="D769" s="54">
        <v>1</v>
      </c>
      <c r="E769" s="55">
        <v>482547.1</v>
      </c>
      <c r="F769" s="55">
        <v>13825.1</v>
      </c>
      <c r="G769" s="55">
        <v>496372.2</v>
      </c>
      <c r="H769" s="55">
        <v>3365978.9</v>
      </c>
      <c r="I769" s="55">
        <v>62085.1</v>
      </c>
      <c r="J769" s="55">
        <v>3428064</v>
      </c>
      <c r="K769" s="55">
        <v>365220.1</v>
      </c>
      <c r="L769" s="55">
        <v>56457.7</v>
      </c>
      <c r="M769" s="55">
        <v>222648.9</v>
      </c>
      <c r="N769" s="55">
        <v>11866.9</v>
      </c>
    </row>
    <row r="770" spans="1:14" ht="10.050000000000001" customHeight="1">
      <c r="A770" s="52" t="s">
        <v>309</v>
      </c>
      <c r="B770" s="53">
        <v>2005</v>
      </c>
      <c r="C770" s="52" t="s">
        <v>110</v>
      </c>
      <c r="D770" s="54">
        <v>1</v>
      </c>
      <c r="E770" s="55">
        <v>20.8</v>
      </c>
      <c r="F770" s="55">
        <v>0</v>
      </c>
      <c r="G770" s="55">
        <v>20.8</v>
      </c>
      <c r="H770" s="55">
        <v>51316.6</v>
      </c>
      <c r="I770" s="55">
        <v>0</v>
      </c>
      <c r="J770" s="55">
        <v>51316.6</v>
      </c>
      <c r="K770" s="55">
        <v>0</v>
      </c>
      <c r="L770" s="55">
        <v>0</v>
      </c>
      <c r="M770" s="55">
        <v>0</v>
      </c>
      <c r="N770" s="55">
        <v>0</v>
      </c>
    </row>
    <row r="771" spans="1:14" ht="10.050000000000001" hidden="1" customHeight="1">
      <c r="A771" s="52" t="s">
        <v>316</v>
      </c>
      <c r="B771" s="53">
        <v>2005</v>
      </c>
      <c r="C771" s="52" t="s">
        <v>110</v>
      </c>
      <c r="D771" s="54">
        <v>1</v>
      </c>
      <c r="E771" s="55">
        <v>209.7</v>
      </c>
      <c r="F771" s="55">
        <v>0</v>
      </c>
      <c r="G771" s="55">
        <v>209.7</v>
      </c>
      <c r="H771" s="55">
        <v>4813.3999999999996</v>
      </c>
      <c r="I771" s="55">
        <v>59.4</v>
      </c>
      <c r="J771" s="55">
        <v>4872.8</v>
      </c>
      <c r="K771" s="55">
        <v>22.7</v>
      </c>
      <c r="L771" s="55">
        <v>0</v>
      </c>
      <c r="M771" s="55">
        <v>55.1</v>
      </c>
      <c r="N771" s="55">
        <v>0</v>
      </c>
    </row>
    <row r="772" spans="1:14" ht="10.050000000000001" hidden="1" customHeight="1">
      <c r="A772" s="52" t="s">
        <v>310</v>
      </c>
      <c r="B772" s="53">
        <v>2005</v>
      </c>
      <c r="C772" s="52" t="s">
        <v>110</v>
      </c>
      <c r="D772" s="54">
        <v>1</v>
      </c>
      <c r="E772" s="55">
        <v>5196.8999999999996</v>
      </c>
      <c r="F772" s="55">
        <v>0</v>
      </c>
      <c r="G772" s="55">
        <v>5196.8999999999996</v>
      </c>
      <c r="H772" s="55">
        <v>50990.1</v>
      </c>
      <c r="I772" s="55">
        <v>729.6</v>
      </c>
      <c r="J772" s="55">
        <v>51719.7</v>
      </c>
      <c r="K772" s="55">
        <v>6703.1</v>
      </c>
      <c r="L772" s="55">
        <v>72.8</v>
      </c>
      <c r="M772" s="55">
        <v>1384.7</v>
      </c>
      <c r="N772" s="55">
        <v>176.9</v>
      </c>
    </row>
    <row r="773" spans="1:14" ht="10.050000000000001" hidden="1" customHeight="1">
      <c r="A773" s="52" t="s">
        <v>308</v>
      </c>
      <c r="B773" s="53">
        <v>2005</v>
      </c>
      <c r="C773" s="52" t="s">
        <v>110</v>
      </c>
      <c r="D773" s="54">
        <v>1</v>
      </c>
      <c r="E773" s="55">
        <v>4288.2</v>
      </c>
      <c r="F773" s="55">
        <v>0</v>
      </c>
      <c r="G773" s="55">
        <v>4288.2</v>
      </c>
      <c r="H773" s="55">
        <v>67602.8</v>
      </c>
      <c r="I773" s="55">
        <v>81</v>
      </c>
      <c r="J773" s="55">
        <v>67683.8</v>
      </c>
      <c r="K773" s="55">
        <v>8759.2000000000007</v>
      </c>
      <c r="L773" s="55">
        <v>86.5</v>
      </c>
      <c r="M773" s="55">
        <v>1908.8</v>
      </c>
      <c r="N773" s="55">
        <v>478.2</v>
      </c>
    </row>
    <row r="774" spans="1:14" ht="10.050000000000001" hidden="1" customHeight="1">
      <c r="A774" s="52" t="s">
        <v>174</v>
      </c>
      <c r="B774" s="53">
        <v>2005</v>
      </c>
      <c r="C774" s="52" t="s">
        <v>110</v>
      </c>
      <c r="D774" s="54">
        <v>1</v>
      </c>
      <c r="E774" s="55">
        <v>9102.1</v>
      </c>
      <c r="F774" s="55">
        <v>770.5</v>
      </c>
      <c r="G774" s="55">
        <v>9872.6</v>
      </c>
      <c r="H774" s="55">
        <v>206216.5</v>
      </c>
      <c r="I774" s="55">
        <v>12846.5</v>
      </c>
      <c r="J774" s="55">
        <v>219063</v>
      </c>
      <c r="K774" s="55">
        <v>41104.400000000001</v>
      </c>
      <c r="L774" s="55">
        <v>1530</v>
      </c>
      <c r="M774" s="55">
        <v>2857.9</v>
      </c>
      <c r="N774" s="55">
        <v>5001.1000000000004</v>
      </c>
    </row>
    <row r="775" spans="1:14" ht="10.050000000000001" hidden="1" customHeight="1">
      <c r="A775" s="52" t="s">
        <v>314</v>
      </c>
      <c r="B775" s="53">
        <v>2005</v>
      </c>
      <c r="C775" s="52" t="s">
        <v>110</v>
      </c>
      <c r="D775" s="54">
        <v>2</v>
      </c>
      <c r="E775" s="55">
        <v>0</v>
      </c>
      <c r="F775" s="55">
        <v>0</v>
      </c>
      <c r="G775" s="55">
        <v>0</v>
      </c>
      <c r="H775" s="55">
        <v>579.6</v>
      </c>
      <c r="I775" s="55">
        <v>0</v>
      </c>
      <c r="J775" s="55">
        <v>579.6</v>
      </c>
      <c r="K775" s="55">
        <v>18.7</v>
      </c>
      <c r="L775" s="55">
        <v>0</v>
      </c>
      <c r="M775" s="55">
        <v>10.9</v>
      </c>
      <c r="N775" s="55">
        <v>0</v>
      </c>
    </row>
    <row r="776" spans="1:14" ht="10.050000000000001" hidden="1" customHeight="1">
      <c r="A776" s="52" t="s">
        <v>306</v>
      </c>
      <c r="B776" s="53">
        <v>2005</v>
      </c>
      <c r="C776" s="52" t="s">
        <v>110</v>
      </c>
      <c r="D776" s="54">
        <v>2</v>
      </c>
      <c r="E776" s="55">
        <v>6812.8</v>
      </c>
      <c r="F776" s="55">
        <v>270.7</v>
      </c>
      <c r="G776" s="55">
        <v>7083.5</v>
      </c>
      <c r="H776" s="55">
        <v>116337.8</v>
      </c>
      <c r="I776" s="55">
        <v>8060.6</v>
      </c>
      <c r="J776" s="55">
        <v>124398.39999999999</v>
      </c>
      <c r="K776" s="55">
        <v>9949.2999999999993</v>
      </c>
      <c r="L776" s="55">
        <v>511.3</v>
      </c>
      <c r="M776" s="55">
        <v>2741</v>
      </c>
      <c r="N776" s="55">
        <v>508.2</v>
      </c>
    </row>
    <row r="777" spans="1:14" ht="10.050000000000001" hidden="1" customHeight="1">
      <c r="A777" s="52" t="s">
        <v>172</v>
      </c>
      <c r="B777" s="53">
        <v>2005</v>
      </c>
      <c r="C777" s="52" t="s">
        <v>110</v>
      </c>
      <c r="D777" s="54">
        <v>2</v>
      </c>
      <c r="E777" s="55">
        <v>114295.1</v>
      </c>
      <c r="F777" s="55">
        <v>716</v>
      </c>
      <c r="G777" s="55">
        <v>115011.1</v>
      </c>
      <c r="H777" s="55">
        <v>477017.4</v>
      </c>
      <c r="I777" s="55">
        <v>17715.8</v>
      </c>
      <c r="J777" s="55">
        <v>494733.2</v>
      </c>
      <c r="K777" s="55">
        <v>50721.9</v>
      </c>
      <c r="L777" s="55">
        <v>11015.3</v>
      </c>
      <c r="M777" s="55">
        <v>33874.9</v>
      </c>
      <c r="N777" s="55">
        <v>384.9</v>
      </c>
    </row>
    <row r="778" spans="1:14" ht="10.050000000000001" hidden="1" customHeight="1">
      <c r="A778" s="52" t="s">
        <v>171</v>
      </c>
      <c r="B778" s="53">
        <v>2005</v>
      </c>
      <c r="C778" s="52" t="s">
        <v>110</v>
      </c>
      <c r="D778" s="54">
        <v>2</v>
      </c>
      <c r="E778" s="55">
        <v>2018293.5</v>
      </c>
      <c r="F778" s="55">
        <v>10342.4</v>
      </c>
      <c r="G778" s="55">
        <v>2028635.9</v>
      </c>
      <c r="H778" s="55">
        <v>8053965</v>
      </c>
      <c r="I778" s="55">
        <v>80743</v>
      </c>
      <c r="J778" s="55">
        <v>8134708</v>
      </c>
      <c r="K778" s="55">
        <v>2201616</v>
      </c>
      <c r="L778" s="55">
        <v>337581.2</v>
      </c>
      <c r="M778" s="55">
        <v>828151.6</v>
      </c>
      <c r="N778" s="55">
        <v>19115</v>
      </c>
    </row>
    <row r="779" spans="1:14" ht="10.050000000000001" hidden="1" customHeight="1">
      <c r="A779" s="52" t="s">
        <v>300</v>
      </c>
      <c r="B779" s="53">
        <v>2005</v>
      </c>
      <c r="C779" s="52" t="s">
        <v>110</v>
      </c>
      <c r="D779" s="54">
        <v>2</v>
      </c>
      <c r="E779" s="55">
        <v>52.7</v>
      </c>
      <c r="F779" s="55">
        <v>0</v>
      </c>
      <c r="G779" s="55">
        <v>52.7</v>
      </c>
      <c r="H779" s="55">
        <v>670.6</v>
      </c>
      <c r="I779" s="55">
        <v>30.1</v>
      </c>
      <c r="J779" s="55">
        <v>700.7</v>
      </c>
      <c r="K779" s="55">
        <v>22.8</v>
      </c>
      <c r="L779" s="55">
        <v>22.8</v>
      </c>
      <c r="M779" s="55">
        <v>0</v>
      </c>
      <c r="N779" s="55">
        <v>0</v>
      </c>
    </row>
    <row r="780" spans="1:14" ht="10.050000000000001" hidden="1" customHeight="1">
      <c r="A780" s="52" t="s">
        <v>307</v>
      </c>
      <c r="B780" s="53">
        <v>2005</v>
      </c>
      <c r="C780" s="52" t="s">
        <v>110</v>
      </c>
      <c r="D780" s="54">
        <v>2</v>
      </c>
      <c r="E780" s="55">
        <v>474497.9</v>
      </c>
      <c r="F780" s="55">
        <v>11347.7</v>
      </c>
      <c r="G780" s="55">
        <v>485845.6</v>
      </c>
      <c r="H780" s="55">
        <v>5052434.5999999996</v>
      </c>
      <c r="I780" s="55">
        <v>109637.6</v>
      </c>
      <c r="J780" s="55">
        <v>5162072.2</v>
      </c>
      <c r="K780" s="55">
        <v>1385584</v>
      </c>
      <c r="L780" s="55">
        <v>36412.199999999997</v>
      </c>
      <c r="M780" s="55">
        <v>301812.59999999998</v>
      </c>
      <c r="N780" s="55">
        <v>64990.8</v>
      </c>
    </row>
    <row r="781" spans="1:14" ht="10.050000000000001" hidden="1" customHeight="1">
      <c r="A781" s="52" t="s">
        <v>315</v>
      </c>
      <c r="B781" s="53">
        <v>2005</v>
      </c>
      <c r="C781" s="52" t="s">
        <v>110</v>
      </c>
      <c r="D781" s="54">
        <v>2</v>
      </c>
      <c r="E781" s="55">
        <v>583.9</v>
      </c>
      <c r="F781" s="55">
        <v>0</v>
      </c>
      <c r="G781" s="55">
        <v>583.9</v>
      </c>
      <c r="H781" s="55">
        <v>35488.300000000003</v>
      </c>
      <c r="I781" s="55">
        <v>0</v>
      </c>
      <c r="J781" s="55">
        <v>35488.300000000003</v>
      </c>
      <c r="K781" s="55">
        <v>328.8</v>
      </c>
      <c r="L781" s="55">
        <v>0</v>
      </c>
      <c r="M781" s="55">
        <v>47</v>
      </c>
      <c r="N781" s="55">
        <v>0</v>
      </c>
    </row>
    <row r="782" spans="1:14" ht="10.050000000000001" hidden="1" customHeight="1">
      <c r="A782" s="52" t="s">
        <v>173</v>
      </c>
      <c r="B782" s="53">
        <v>2005</v>
      </c>
      <c r="C782" s="52" t="s">
        <v>110</v>
      </c>
      <c r="D782" s="54">
        <v>2</v>
      </c>
      <c r="E782" s="55">
        <v>322138.5</v>
      </c>
      <c r="F782" s="55">
        <v>7000.9</v>
      </c>
      <c r="G782" s="55">
        <v>329139.40000000002</v>
      </c>
      <c r="H782" s="55">
        <v>2962941.9</v>
      </c>
      <c r="I782" s="55">
        <v>44688.4</v>
      </c>
      <c r="J782" s="55">
        <v>3007630.3</v>
      </c>
      <c r="K782" s="55">
        <v>292479.90000000002</v>
      </c>
      <c r="L782" s="55">
        <v>45818.9</v>
      </c>
      <c r="M782" s="55">
        <v>111817.8</v>
      </c>
      <c r="N782" s="55">
        <v>6752.9</v>
      </c>
    </row>
    <row r="783" spans="1:14" ht="10.050000000000001" customHeight="1">
      <c r="A783" s="52" t="s">
        <v>309</v>
      </c>
      <c r="B783" s="53">
        <v>2005</v>
      </c>
      <c r="C783" s="52" t="s">
        <v>110</v>
      </c>
      <c r="D783" s="54">
        <v>2</v>
      </c>
      <c r="E783" s="55">
        <v>0</v>
      </c>
      <c r="F783" s="55">
        <v>0</v>
      </c>
      <c r="G783" s="55">
        <v>0</v>
      </c>
      <c r="H783" s="55">
        <v>64955.5</v>
      </c>
      <c r="I783" s="55">
        <v>0</v>
      </c>
      <c r="J783" s="55">
        <v>64955.5</v>
      </c>
      <c r="K783" s="55">
        <v>0</v>
      </c>
      <c r="L783" s="55">
        <v>0</v>
      </c>
      <c r="M783" s="55">
        <v>0</v>
      </c>
      <c r="N783" s="55">
        <v>0</v>
      </c>
    </row>
    <row r="784" spans="1:14" ht="10.050000000000001" hidden="1" customHeight="1">
      <c r="A784" s="52" t="s">
        <v>316</v>
      </c>
      <c r="B784" s="53">
        <v>2005</v>
      </c>
      <c r="C784" s="52" t="s">
        <v>110</v>
      </c>
      <c r="D784" s="54">
        <v>2</v>
      </c>
      <c r="E784" s="55">
        <v>51.9</v>
      </c>
      <c r="F784" s="55">
        <v>0</v>
      </c>
      <c r="G784" s="55">
        <v>51.9</v>
      </c>
      <c r="H784" s="55">
        <v>4604.2</v>
      </c>
      <c r="I784" s="55">
        <v>57.2</v>
      </c>
      <c r="J784" s="55">
        <v>4661.3999999999996</v>
      </c>
      <c r="K784" s="55">
        <v>4.2</v>
      </c>
      <c r="L784" s="55">
        <v>0</v>
      </c>
      <c r="M784" s="55">
        <v>18.5</v>
      </c>
      <c r="N784" s="55">
        <v>0</v>
      </c>
    </row>
    <row r="785" spans="1:14" ht="10.050000000000001" hidden="1" customHeight="1">
      <c r="A785" s="52" t="s">
        <v>310</v>
      </c>
      <c r="B785" s="53">
        <v>2005</v>
      </c>
      <c r="C785" s="52" t="s">
        <v>110</v>
      </c>
      <c r="D785" s="54">
        <v>2</v>
      </c>
      <c r="E785" s="55">
        <v>4193.3</v>
      </c>
      <c r="F785" s="55">
        <v>0</v>
      </c>
      <c r="G785" s="55">
        <v>4193.3</v>
      </c>
      <c r="H785" s="55">
        <v>51584.3</v>
      </c>
      <c r="I785" s="55">
        <v>705.2</v>
      </c>
      <c r="J785" s="55">
        <v>52289.5</v>
      </c>
      <c r="K785" s="55">
        <v>4263.1000000000004</v>
      </c>
      <c r="L785" s="55">
        <v>306.5</v>
      </c>
      <c r="M785" s="55">
        <v>2551</v>
      </c>
      <c r="N785" s="55">
        <v>195.5</v>
      </c>
    </row>
    <row r="786" spans="1:14" ht="10.050000000000001" hidden="1" customHeight="1">
      <c r="A786" s="52" t="s">
        <v>308</v>
      </c>
      <c r="B786" s="53">
        <v>2005</v>
      </c>
      <c r="C786" s="52" t="s">
        <v>110</v>
      </c>
      <c r="D786" s="54">
        <v>2</v>
      </c>
      <c r="E786" s="55">
        <v>4243.3</v>
      </c>
      <c r="F786" s="55">
        <v>148</v>
      </c>
      <c r="G786" s="55">
        <v>4391.3</v>
      </c>
      <c r="H786" s="55">
        <v>51220.5</v>
      </c>
      <c r="I786" s="55">
        <v>160.4</v>
      </c>
      <c r="J786" s="55">
        <v>51380.9</v>
      </c>
      <c r="K786" s="55">
        <v>5924.4</v>
      </c>
      <c r="L786" s="55">
        <v>24.7</v>
      </c>
      <c r="M786" s="55">
        <v>2623</v>
      </c>
      <c r="N786" s="55">
        <v>236.5</v>
      </c>
    </row>
    <row r="787" spans="1:14" ht="10.050000000000001" hidden="1" customHeight="1">
      <c r="A787" s="52" t="s">
        <v>174</v>
      </c>
      <c r="B787" s="53">
        <v>2005</v>
      </c>
      <c r="C787" s="52" t="s">
        <v>110</v>
      </c>
      <c r="D787" s="54">
        <v>2</v>
      </c>
      <c r="E787" s="55">
        <v>9013.5</v>
      </c>
      <c r="F787" s="55">
        <v>742.2</v>
      </c>
      <c r="G787" s="55">
        <v>9755.7000000000007</v>
      </c>
      <c r="H787" s="55">
        <v>165948.70000000001</v>
      </c>
      <c r="I787" s="55">
        <v>10713.5</v>
      </c>
      <c r="J787" s="55">
        <v>176662.2</v>
      </c>
      <c r="K787" s="55">
        <v>35245.599999999999</v>
      </c>
      <c r="L787" s="55">
        <v>1384.9</v>
      </c>
      <c r="M787" s="55">
        <v>3362.6</v>
      </c>
      <c r="N787" s="55">
        <v>3881.1</v>
      </c>
    </row>
    <row r="788" spans="1:14" ht="10.050000000000001" hidden="1" customHeight="1">
      <c r="A788" s="52" t="s">
        <v>314</v>
      </c>
      <c r="B788" s="53">
        <v>2005</v>
      </c>
      <c r="C788" s="52" t="s">
        <v>110</v>
      </c>
      <c r="D788" s="54">
        <v>3</v>
      </c>
      <c r="E788" s="55">
        <v>0</v>
      </c>
      <c r="F788" s="55">
        <v>0</v>
      </c>
      <c r="G788" s="55">
        <v>0</v>
      </c>
      <c r="H788" s="55">
        <v>554.70000000000005</v>
      </c>
      <c r="I788" s="55">
        <v>0</v>
      </c>
      <c r="J788" s="55">
        <v>554.70000000000005</v>
      </c>
      <c r="K788" s="55">
        <v>18.7</v>
      </c>
      <c r="L788" s="55">
        <v>0</v>
      </c>
      <c r="M788" s="55">
        <v>0</v>
      </c>
      <c r="N788" s="55">
        <v>0</v>
      </c>
    </row>
    <row r="789" spans="1:14" ht="10.050000000000001" hidden="1" customHeight="1">
      <c r="A789" s="52" t="s">
        <v>306</v>
      </c>
      <c r="B789" s="53">
        <v>2005</v>
      </c>
      <c r="C789" s="52" t="s">
        <v>110</v>
      </c>
      <c r="D789" s="54">
        <v>3</v>
      </c>
      <c r="E789" s="55">
        <v>5687.9</v>
      </c>
      <c r="F789" s="55">
        <v>591.5</v>
      </c>
      <c r="G789" s="55">
        <v>6279.4</v>
      </c>
      <c r="H789" s="55">
        <v>94877.9</v>
      </c>
      <c r="I789" s="55">
        <v>6961.5</v>
      </c>
      <c r="J789" s="55">
        <v>101839.4</v>
      </c>
      <c r="K789" s="55">
        <v>7866.5</v>
      </c>
      <c r="L789" s="55">
        <v>507</v>
      </c>
      <c r="M789" s="55">
        <v>2005.9</v>
      </c>
      <c r="N789" s="55">
        <v>583.9</v>
      </c>
    </row>
    <row r="790" spans="1:14" ht="10.050000000000001" hidden="1" customHeight="1">
      <c r="A790" s="52" t="s">
        <v>172</v>
      </c>
      <c r="B790" s="53">
        <v>2005</v>
      </c>
      <c r="C790" s="52" t="s">
        <v>110</v>
      </c>
      <c r="D790" s="54">
        <v>3</v>
      </c>
      <c r="E790" s="55">
        <v>119728.8</v>
      </c>
      <c r="F790" s="55">
        <v>587.5</v>
      </c>
      <c r="G790" s="55">
        <v>120316.3</v>
      </c>
      <c r="H790" s="55">
        <v>376954.8</v>
      </c>
      <c r="I790" s="55">
        <v>14088</v>
      </c>
      <c r="J790" s="55">
        <v>391042.8</v>
      </c>
      <c r="K790" s="55">
        <v>21687.1</v>
      </c>
      <c r="L790" s="55">
        <v>4339.3</v>
      </c>
      <c r="M790" s="55">
        <v>33216.6</v>
      </c>
      <c r="N790" s="55">
        <v>157.5</v>
      </c>
    </row>
    <row r="791" spans="1:14" ht="10.050000000000001" hidden="1" customHeight="1">
      <c r="A791" s="52" t="s">
        <v>171</v>
      </c>
      <c r="B791" s="53">
        <v>2005</v>
      </c>
      <c r="C791" s="52" t="s">
        <v>110</v>
      </c>
      <c r="D791" s="54">
        <v>3</v>
      </c>
      <c r="E791" s="55">
        <v>2264244.9</v>
      </c>
      <c r="F791" s="55">
        <v>16992.400000000001</v>
      </c>
      <c r="G791" s="55">
        <v>2281237.2999999998</v>
      </c>
      <c r="H791" s="55">
        <v>7502142.4000000004</v>
      </c>
      <c r="I791" s="55">
        <v>70402.899999999994</v>
      </c>
      <c r="J791" s="55">
        <v>7572545.2999999998</v>
      </c>
      <c r="K791" s="55">
        <v>1216692.8</v>
      </c>
      <c r="L791" s="55">
        <v>150672</v>
      </c>
      <c r="M791" s="55">
        <v>1116539.3</v>
      </c>
      <c r="N791" s="55">
        <v>19594.2</v>
      </c>
    </row>
    <row r="792" spans="1:14" ht="10.050000000000001" hidden="1" customHeight="1">
      <c r="A792" s="52" t="s">
        <v>300</v>
      </c>
      <c r="B792" s="53">
        <v>2005</v>
      </c>
      <c r="C792" s="52" t="s">
        <v>110</v>
      </c>
      <c r="D792" s="54">
        <v>3</v>
      </c>
      <c r="E792" s="55">
        <v>224.4</v>
      </c>
      <c r="F792" s="55">
        <v>0</v>
      </c>
      <c r="G792" s="55">
        <v>224.4</v>
      </c>
      <c r="H792" s="55">
        <v>681.4</v>
      </c>
      <c r="I792" s="55">
        <v>30.1</v>
      </c>
      <c r="J792" s="55">
        <v>711.5</v>
      </c>
      <c r="K792" s="55">
        <v>0</v>
      </c>
      <c r="L792" s="55">
        <v>0</v>
      </c>
      <c r="M792" s="55">
        <v>0</v>
      </c>
      <c r="N792" s="55">
        <v>0</v>
      </c>
    </row>
    <row r="793" spans="1:14" ht="10.050000000000001" hidden="1" customHeight="1">
      <c r="A793" s="52" t="s">
        <v>307</v>
      </c>
      <c r="B793" s="53">
        <v>2005</v>
      </c>
      <c r="C793" s="52" t="s">
        <v>110</v>
      </c>
      <c r="D793" s="54">
        <v>3</v>
      </c>
      <c r="E793" s="55">
        <v>493109.1</v>
      </c>
      <c r="F793" s="55">
        <v>7957.6</v>
      </c>
      <c r="G793" s="55">
        <v>501066.7</v>
      </c>
      <c r="H793" s="55">
        <v>4239810.2</v>
      </c>
      <c r="I793" s="55">
        <v>104319.2</v>
      </c>
      <c r="J793" s="55">
        <v>4344129.4000000004</v>
      </c>
      <c r="K793" s="55">
        <v>1062470.8</v>
      </c>
      <c r="L793" s="55">
        <v>41625.4</v>
      </c>
      <c r="M793" s="55">
        <v>310669.3</v>
      </c>
      <c r="N793" s="55">
        <v>54069.3</v>
      </c>
    </row>
    <row r="794" spans="1:14" ht="10.050000000000001" hidden="1" customHeight="1">
      <c r="A794" s="52" t="s">
        <v>315</v>
      </c>
      <c r="B794" s="53">
        <v>2005</v>
      </c>
      <c r="C794" s="52" t="s">
        <v>110</v>
      </c>
      <c r="D794" s="54">
        <v>3</v>
      </c>
      <c r="E794" s="55">
        <v>308</v>
      </c>
      <c r="F794" s="55">
        <v>0</v>
      </c>
      <c r="G794" s="55">
        <v>308</v>
      </c>
      <c r="H794" s="55">
        <v>33484.800000000003</v>
      </c>
      <c r="I794" s="55">
        <v>0</v>
      </c>
      <c r="J794" s="55">
        <v>33484.800000000003</v>
      </c>
      <c r="K794" s="55">
        <v>314.10000000000002</v>
      </c>
      <c r="L794" s="55">
        <v>8.3000000000000007</v>
      </c>
      <c r="M794" s="55">
        <v>23</v>
      </c>
      <c r="N794" s="55">
        <v>0</v>
      </c>
    </row>
    <row r="795" spans="1:14" ht="10.050000000000001" hidden="1" customHeight="1">
      <c r="A795" s="52" t="s">
        <v>173</v>
      </c>
      <c r="B795" s="53">
        <v>2005</v>
      </c>
      <c r="C795" s="52" t="s">
        <v>110</v>
      </c>
      <c r="D795" s="54">
        <v>3</v>
      </c>
      <c r="E795" s="55">
        <v>359346.5</v>
      </c>
      <c r="F795" s="55">
        <v>10470.9</v>
      </c>
      <c r="G795" s="55">
        <v>369817.4</v>
      </c>
      <c r="H795" s="55">
        <v>2551490.9</v>
      </c>
      <c r="I795" s="55">
        <v>38298.699999999997</v>
      </c>
      <c r="J795" s="55">
        <v>2589789.6</v>
      </c>
      <c r="K795" s="55">
        <v>138066</v>
      </c>
      <c r="L795" s="55">
        <v>12947.9</v>
      </c>
      <c r="M795" s="55">
        <v>159984.9</v>
      </c>
      <c r="N795" s="55">
        <v>7403.2000000000098</v>
      </c>
    </row>
    <row r="796" spans="1:14" ht="10.050000000000001" customHeight="1">
      <c r="A796" s="52" t="s">
        <v>309</v>
      </c>
      <c r="B796" s="53">
        <v>2005</v>
      </c>
      <c r="C796" s="52" t="s">
        <v>110</v>
      </c>
      <c r="D796" s="54">
        <v>3</v>
      </c>
      <c r="E796" s="55">
        <v>0</v>
      </c>
      <c r="F796" s="55">
        <v>0</v>
      </c>
      <c r="G796" s="55">
        <v>0</v>
      </c>
      <c r="H796" s="55">
        <v>60377.7</v>
      </c>
      <c r="I796" s="55">
        <v>0</v>
      </c>
      <c r="J796" s="55">
        <v>60377.7</v>
      </c>
      <c r="K796" s="55">
        <v>0</v>
      </c>
      <c r="L796" s="55">
        <v>0</v>
      </c>
      <c r="M796" s="55">
        <v>0</v>
      </c>
      <c r="N796" s="55">
        <v>0</v>
      </c>
    </row>
    <row r="797" spans="1:14" ht="10.050000000000001" hidden="1" customHeight="1">
      <c r="A797" s="52" t="s">
        <v>316</v>
      </c>
      <c r="B797" s="53">
        <v>2005</v>
      </c>
      <c r="C797" s="52" t="s">
        <v>110</v>
      </c>
      <c r="D797" s="54">
        <v>3</v>
      </c>
      <c r="E797" s="55">
        <v>5.9</v>
      </c>
      <c r="F797" s="55">
        <v>0</v>
      </c>
      <c r="G797" s="55">
        <v>5.9</v>
      </c>
      <c r="H797" s="55">
        <v>4087.9</v>
      </c>
      <c r="I797" s="55">
        <v>56.5</v>
      </c>
      <c r="J797" s="55">
        <v>4144.3999999999996</v>
      </c>
      <c r="K797" s="55">
        <v>0</v>
      </c>
      <c r="L797" s="55">
        <v>0</v>
      </c>
      <c r="M797" s="55">
        <v>3.7</v>
      </c>
      <c r="N797" s="55">
        <v>0.5</v>
      </c>
    </row>
    <row r="798" spans="1:14" ht="10.050000000000001" hidden="1" customHeight="1">
      <c r="A798" s="52" t="s">
        <v>310</v>
      </c>
      <c r="B798" s="53">
        <v>2005</v>
      </c>
      <c r="C798" s="52" t="s">
        <v>110</v>
      </c>
      <c r="D798" s="54">
        <v>3</v>
      </c>
      <c r="E798" s="55">
        <v>5851.4</v>
      </c>
      <c r="F798" s="55">
        <v>0</v>
      </c>
      <c r="G798" s="55">
        <v>5851.4</v>
      </c>
      <c r="H798" s="55">
        <v>52528.4</v>
      </c>
      <c r="I798" s="55">
        <v>668.1</v>
      </c>
      <c r="J798" s="55">
        <v>53196.5</v>
      </c>
      <c r="K798" s="55">
        <v>1723.9</v>
      </c>
      <c r="L798" s="55">
        <v>89.8</v>
      </c>
      <c r="M798" s="55">
        <v>2401.8000000000002</v>
      </c>
      <c r="N798" s="55">
        <v>227.2</v>
      </c>
    </row>
    <row r="799" spans="1:14" ht="10.050000000000001" hidden="1" customHeight="1">
      <c r="A799" s="52" t="s">
        <v>308</v>
      </c>
      <c r="B799" s="53">
        <v>2005</v>
      </c>
      <c r="C799" s="52" t="s">
        <v>110</v>
      </c>
      <c r="D799" s="54">
        <v>3</v>
      </c>
      <c r="E799" s="55">
        <v>2988.7</v>
      </c>
      <c r="F799" s="55">
        <v>0</v>
      </c>
      <c r="G799" s="55">
        <v>2988.7</v>
      </c>
      <c r="H799" s="55">
        <v>38230.699999999997</v>
      </c>
      <c r="I799" s="55">
        <v>152.19999999999999</v>
      </c>
      <c r="J799" s="55">
        <v>38382.9</v>
      </c>
      <c r="K799" s="55">
        <v>4202.7</v>
      </c>
      <c r="L799" s="55">
        <v>22.2</v>
      </c>
      <c r="M799" s="55">
        <v>1671.6</v>
      </c>
      <c r="N799" s="55">
        <v>72.3</v>
      </c>
    </row>
    <row r="800" spans="1:14" ht="10.050000000000001" hidden="1" customHeight="1">
      <c r="A800" s="52" t="s">
        <v>174</v>
      </c>
      <c r="B800" s="53">
        <v>2005</v>
      </c>
      <c r="C800" s="52" t="s">
        <v>110</v>
      </c>
      <c r="D800" s="54">
        <v>3</v>
      </c>
      <c r="E800" s="55">
        <v>7066.5</v>
      </c>
      <c r="F800" s="55">
        <v>1673.9</v>
      </c>
      <c r="G800" s="55">
        <v>8740.4</v>
      </c>
      <c r="H800" s="55">
        <v>110120.1</v>
      </c>
      <c r="I800" s="55">
        <v>9263.2999999999993</v>
      </c>
      <c r="J800" s="55">
        <v>119383.4</v>
      </c>
      <c r="K800" s="55">
        <v>30821.599999999999</v>
      </c>
      <c r="L800" s="55">
        <v>882.8</v>
      </c>
      <c r="M800" s="55">
        <v>1787.2</v>
      </c>
      <c r="N800" s="55">
        <v>3519.6</v>
      </c>
    </row>
    <row r="801" spans="1:14" ht="10.050000000000001" hidden="1" customHeight="1">
      <c r="A801" s="52" t="s">
        <v>314</v>
      </c>
      <c r="B801" s="53">
        <v>2005</v>
      </c>
      <c r="C801" s="52" t="s">
        <v>110</v>
      </c>
      <c r="D801" s="54">
        <v>4</v>
      </c>
      <c r="E801" s="55">
        <v>0</v>
      </c>
      <c r="F801" s="55">
        <v>0</v>
      </c>
      <c r="G801" s="55">
        <v>0</v>
      </c>
      <c r="H801" s="55">
        <v>529.5</v>
      </c>
      <c r="I801" s="55">
        <v>0</v>
      </c>
      <c r="J801" s="55">
        <v>529.5</v>
      </c>
      <c r="K801" s="55">
        <v>18.7</v>
      </c>
      <c r="L801" s="55">
        <v>0</v>
      </c>
      <c r="M801" s="55">
        <v>0</v>
      </c>
      <c r="N801" s="55">
        <v>0</v>
      </c>
    </row>
    <row r="802" spans="1:14" ht="10.050000000000001" hidden="1" customHeight="1">
      <c r="A802" s="52" t="s">
        <v>306</v>
      </c>
      <c r="B802" s="53">
        <v>2005</v>
      </c>
      <c r="C802" s="52" t="s">
        <v>110</v>
      </c>
      <c r="D802" s="54">
        <v>4</v>
      </c>
      <c r="E802" s="55">
        <v>6948.2</v>
      </c>
      <c r="F802" s="55">
        <v>160.80000000000001</v>
      </c>
      <c r="G802" s="55">
        <v>7109</v>
      </c>
      <c r="H802" s="55">
        <v>77511.199999999997</v>
      </c>
      <c r="I802" s="55">
        <v>6485.5</v>
      </c>
      <c r="J802" s="55">
        <v>83996.7</v>
      </c>
      <c r="K802" s="55">
        <v>5644.1</v>
      </c>
      <c r="L802" s="55">
        <v>567.9</v>
      </c>
      <c r="M802" s="55">
        <v>2149.1999999999998</v>
      </c>
      <c r="N802" s="55">
        <v>641.1</v>
      </c>
    </row>
    <row r="803" spans="1:14" ht="10.050000000000001" hidden="1" customHeight="1">
      <c r="A803" s="52" t="s">
        <v>172</v>
      </c>
      <c r="B803" s="53">
        <v>2005</v>
      </c>
      <c r="C803" s="52" t="s">
        <v>110</v>
      </c>
      <c r="D803" s="54">
        <v>4</v>
      </c>
      <c r="E803" s="55">
        <v>51509.3</v>
      </c>
      <c r="F803" s="55">
        <v>549.70000000000005</v>
      </c>
      <c r="G803" s="55">
        <v>52059</v>
      </c>
      <c r="H803" s="55">
        <v>228834.8</v>
      </c>
      <c r="I803" s="55">
        <v>12595.9</v>
      </c>
      <c r="J803" s="55">
        <v>241430.7</v>
      </c>
      <c r="K803" s="55">
        <v>16995.2</v>
      </c>
      <c r="L803" s="55">
        <v>4030.1</v>
      </c>
      <c r="M803" s="55">
        <v>8703.9</v>
      </c>
      <c r="N803" s="55">
        <v>18.100000000000001</v>
      </c>
    </row>
    <row r="804" spans="1:14" ht="10.050000000000001" hidden="1" customHeight="1">
      <c r="A804" s="52" t="s">
        <v>171</v>
      </c>
      <c r="B804" s="53">
        <v>2005</v>
      </c>
      <c r="C804" s="52" t="s">
        <v>110</v>
      </c>
      <c r="D804" s="54">
        <v>4</v>
      </c>
      <c r="E804" s="55">
        <v>1383657.4</v>
      </c>
      <c r="F804" s="55">
        <v>5866.5</v>
      </c>
      <c r="G804" s="55">
        <v>1389523.9</v>
      </c>
      <c r="H804" s="55">
        <v>6037446.4000000004</v>
      </c>
      <c r="I804" s="55">
        <v>66425.100000000006</v>
      </c>
      <c r="J804" s="55">
        <v>6103871.5</v>
      </c>
      <c r="K804" s="55">
        <v>839279.00000000105</v>
      </c>
      <c r="L804" s="55">
        <v>129641.7</v>
      </c>
      <c r="M804" s="55">
        <v>488287.8</v>
      </c>
      <c r="N804" s="55">
        <v>20643.2</v>
      </c>
    </row>
    <row r="805" spans="1:14" ht="10.050000000000001" hidden="1" customHeight="1">
      <c r="A805" s="52" t="s">
        <v>300</v>
      </c>
      <c r="B805" s="53">
        <v>2005</v>
      </c>
      <c r="C805" s="52" t="s">
        <v>110</v>
      </c>
      <c r="D805" s="54">
        <v>4</v>
      </c>
      <c r="E805" s="55">
        <v>148.69999999999999</v>
      </c>
      <c r="F805" s="55">
        <v>0</v>
      </c>
      <c r="G805" s="55">
        <v>148.69999999999999</v>
      </c>
      <c r="H805" s="55">
        <v>677.8</v>
      </c>
      <c r="I805" s="55">
        <v>30.1</v>
      </c>
      <c r="J805" s="55">
        <v>707.9</v>
      </c>
      <c r="K805" s="55">
        <v>0</v>
      </c>
      <c r="L805" s="55">
        <v>18.7</v>
      </c>
      <c r="M805" s="55">
        <v>0</v>
      </c>
      <c r="N805" s="55">
        <v>18.7</v>
      </c>
    </row>
    <row r="806" spans="1:14" ht="10.050000000000001" hidden="1" customHeight="1">
      <c r="A806" s="52" t="s">
        <v>307</v>
      </c>
      <c r="B806" s="53">
        <v>2005</v>
      </c>
      <c r="C806" s="52" t="s">
        <v>110</v>
      </c>
      <c r="D806" s="54">
        <v>4</v>
      </c>
      <c r="E806" s="55">
        <v>435759.7</v>
      </c>
      <c r="F806" s="55">
        <v>0</v>
      </c>
      <c r="G806" s="55">
        <v>435759.7</v>
      </c>
      <c r="H806" s="55">
        <v>3423366.2</v>
      </c>
      <c r="I806" s="55">
        <v>102429.5</v>
      </c>
      <c r="J806" s="55">
        <v>3525795.7</v>
      </c>
      <c r="K806" s="55">
        <v>800221.6</v>
      </c>
      <c r="L806" s="55">
        <v>43901.2</v>
      </c>
      <c r="M806" s="55">
        <v>255153.6</v>
      </c>
      <c r="N806" s="55">
        <v>51164.1</v>
      </c>
    </row>
    <row r="807" spans="1:14" ht="10.050000000000001" hidden="1" customHeight="1">
      <c r="A807" s="52" t="s">
        <v>315</v>
      </c>
      <c r="B807" s="53">
        <v>2005</v>
      </c>
      <c r="C807" s="52" t="s">
        <v>110</v>
      </c>
      <c r="D807" s="54">
        <v>4</v>
      </c>
      <c r="E807" s="55">
        <v>509.1</v>
      </c>
      <c r="F807" s="55">
        <v>0</v>
      </c>
      <c r="G807" s="55">
        <v>509.1</v>
      </c>
      <c r="H807" s="55">
        <v>31697.9</v>
      </c>
      <c r="I807" s="55">
        <v>0</v>
      </c>
      <c r="J807" s="55">
        <v>31697.9</v>
      </c>
      <c r="K807" s="55">
        <v>314.10000000000002</v>
      </c>
      <c r="L807" s="55">
        <v>22.7</v>
      </c>
      <c r="M807" s="55">
        <v>22.7</v>
      </c>
      <c r="N807" s="55">
        <v>0</v>
      </c>
    </row>
    <row r="808" spans="1:14" ht="10.050000000000001" hidden="1" customHeight="1">
      <c r="A808" s="52" t="s">
        <v>173</v>
      </c>
      <c r="B808" s="53">
        <v>2005</v>
      </c>
      <c r="C808" s="52" t="s">
        <v>110</v>
      </c>
      <c r="D808" s="54">
        <v>4</v>
      </c>
      <c r="E808" s="55">
        <v>218445.2</v>
      </c>
      <c r="F808" s="55">
        <v>5021.3</v>
      </c>
      <c r="G808" s="55">
        <v>223466.5</v>
      </c>
      <c r="H808" s="55">
        <v>2103116.2000000002</v>
      </c>
      <c r="I808" s="55">
        <v>33047.199999999997</v>
      </c>
      <c r="J808" s="55">
        <v>2136163.4</v>
      </c>
      <c r="K808" s="55">
        <v>82585.600000000006</v>
      </c>
      <c r="L808" s="55">
        <v>8666.3000000000102</v>
      </c>
      <c r="M808" s="55">
        <v>57045.599999999999</v>
      </c>
      <c r="N808" s="55">
        <v>7101.1</v>
      </c>
    </row>
    <row r="809" spans="1:14" ht="10.050000000000001" customHeight="1">
      <c r="A809" s="52" t="s">
        <v>309</v>
      </c>
      <c r="B809" s="53">
        <v>2005</v>
      </c>
      <c r="C809" s="52" t="s">
        <v>110</v>
      </c>
      <c r="D809" s="54">
        <v>4</v>
      </c>
      <c r="E809" s="55">
        <v>571.20000000000005</v>
      </c>
      <c r="F809" s="55">
        <v>0</v>
      </c>
      <c r="G809" s="55">
        <v>571.20000000000005</v>
      </c>
      <c r="H809" s="55">
        <v>33158.699999999997</v>
      </c>
      <c r="I809" s="55">
        <v>0</v>
      </c>
      <c r="J809" s="55">
        <v>33158.699999999997</v>
      </c>
      <c r="K809" s="55">
        <v>0</v>
      </c>
      <c r="L809" s="55">
        <v>0</v>
      </c>
      <c r="M809" s="55">
        <v>0</v>
      </c>
      <c r="N809" s="55">
        <v>0</v>
      </c>
    </row>
    <row r="810" spans="1:14" ht="10.050000000000001" hidden="1" customHeight="1">
      <c r="A810" s="52" t="s">
        <v>316</v>
      </c>
      <c r="B810" s="53">
        <v>2005</v>
      </c>
      <c r="C810" s="52" t="s">
        <v>110</v>
      </c>
      <c r="D810" s="54">
        <v>4</v>
      </c>
      <c r="E810" s="55">
        <v>122</v>
      </c>
      <c r="F810" s="55">
        <v>0</v>
      </c>
      <c r="G810" s="55">
        <v>122</v>
      </c>
      <c r="H810" s="55">
        <v>3536.7</v>
      </c>
      <c r="I810" s="55">
        <v>15.1</v>
      </c>
      <c r="J810" s="55">
        <v>3551.8</v>
      </c>
      <c r="K810" s="55">
        <v>0</v>
      </c>
      <c r="L810" s="55">
        <v>0</v>
      </c>
      <c r="M810" s="55">
        <v>0</v>
      </c>
      <c r="N810" s="55">
        <v>0</v>
      </c>
    </row>
    <row r="811" spans="1:14" ht="10.050000000000001" hidden="1" customHeight="1">
      <c r="A811" s="52" t="s">
        <v>310</v>
      </c>
      <c r="B811" s="53">
        <v>2005</v>
      </c>
      <c r="C811" s="52" t="s">
        <v>110</v>
      </c>
      <c r="D811" s="54">
        <v>4</v>
      </c>
      <c r="E811" s="55">
        <v>2704.3</v>
      </c>
      <c r="F811" s="55">
        <v>0</v>
      </c>
      <c r="G811" s="55">
        <v>2704.3</v>
      </c>
      <c r="H811" s="55">
        <v>50694.3</v>
      </c>
      <c r="I811" s="55">
        <v>652.70000000000005</v>
      </c>
      <c r="J811" s="55">
        <v>51347</v>
      </c>
      <c r="K811" s="55">
        <v>1209.4000000000001</v>
      </c>
      <c r="L811" s="55">
        <v>28.1</v>
      </c>
      <c r="M811" s="55">
        <v>433.5</v>
      </c>
      <c r="N811" s="55">
        <v>109.1</v>
      </c>
    </row>
    <row r="812" spans="1:14" ht="10.050000000000001" hidden="1" customHeight="1">
      <c r="A812" s="52" t="s">
        <v>308</v>
      </c>
      <c r="B812" s="53">
        <v>2005</v>
      </c>
      <c r="C812" s="52" t="s">
        <v>110</v>
      </c>
      <c r="D812" s="54">
        <v>4</v>
      </c>
      <c r="E812" s="55">
        <v>3360.4</v>
      </c>
      <c r="F812" s="55">
        <v>0</v>
      </c>
      <c r="G812" s="55">
        <v>3360.4</v>
      </c>
      <c r="H812" s="55">
        <v>32219.7</v>
      </c>
      <c r="I812" s="55">
        <v>152.19999999999999</v>
      </c>
      <c r="J812" s="55">
        <v>32371.9</v>
      </c>
      <c r="K812" s="55">
        <v>2151.1</v>
      </c>
      <c r="L812" s="55">
        <v>0</v>
      </c>
      <c r="M812" s="55">
        <v>1904.1</v>
      </c>
      <c r="N812" s="55">
        <v>147.5</v>
      </c>
    </row>
    <row r="813" spans="1:14" ht="10.050000000000001" hidden="1" customHeight="1">
      <c r="A813" s="52" t="s">
        <v>174</v>
      </c>
      <c r="B813" s="53">
        <v>2005</v>
      </c>
      <c r="C813" s="52" t="s">
        <v>110</v>
      </c>
      <c r="D813" s="54">
        <v>4</v>
      </c>
      <c r="E813" s="55">
        <v>8035.6</v>
      </c>
      <c r="F813" s="55">
        <v>98.8</v>
      </c>
      <c r="G813" s="55">
        <v>8134.4</v>
      </c>
      <c r="H813" s="55">
        <v>81117.3</v>
      </c>
      <c r="I813" s="55">
        <v>8055.9</v>
      </c>
      <c r="J813" s="55">
        <v>89173.2</v>
      </c>
      <c r="K813" s="55">
        <v>25675.7</v>
      </c>
      <c r="L813" s="55">
        <v>681.1</v>
      </c>
      <c r="M813" s="55">
        <v>2585.1999999999998</v>
      </c>
      <c r="N813" s="55">
        <v>3241.8</v>
      </c>
    </row>
    <row r="814" spans="1:14" ht="10.050000000000001" hidden="1" customHeight="1">
      <c r="A814" s="52" t="s">
        <v>314</v>
      </c>
      <c r="B814" s="53">
        <v>2005</v>
      </c>
      <c r="C814" s="52" t="s">
        <v>110</v>
      </c>
      <c r="D814" s="54">
        <v>5</v>
      </c>
      <c r="E814" s="55">
        <v>41.6</v>
      </c>
      <c r="F814" s="55">
        <v>0</v>
      </c>
      <c r="G814" s="55">
        <v>41.6</v>
      </c>
      <c r="H814" s="55">
        <v>568.70000000000005</v>
      </c>
      <c r="I814" s="55">
        <v>0</v>
      </c>
      <c r="J814" s="55">
        <v>568.70000000000005</v>
      </c>
      <c r="K814" s="55">
        <v>18.7</v>
      </c>
      <c r="L814" s="55">
        <v>0</v>
      </c>
      <c r="M814" s="55">
        <v>0</v>
      </c>
      <c r="N814" s="55">
        <v>0</v>
      </c>
    </row>
    <row r="815" spans="1:14" ht="10.050000000000001" hidden="1" customHeight="1">
      <c r="A815" s="52" t="s">
        <v>306</v>
      </c>
      <c r="B815" s="53">
        <v>2005</v>
      </c>
      <c r="C815" s="52" t="s">
        <v>110</v>
      </c>
      <c r="D815" s="54">
        <v>5</v>
      </c>
      <c r="E815" s="55">
        <v>5792.4</v>
      </c>
      <c r="F815" s="55">
        <v>424.9</v>
      </c>
      <c r="G815" s="55">
        <v>6217.3</v>
      </c>
      <c r="H815" s="55">
        <v>62932.800000000003</v>
      </c>
      <c r="I815" s="55">
        <v>5982.4</v>
      </c>
      <c r="J815" s="55">
        <v>68915.199999999997</v>
      </c>
      <c r="K815" s="55">
        <v>3692.3</v>
      </c>
      <c r="L815" s="55">
        <v>642.1</v>
      </c>
      <c r="M815" s="55">
        <v>1926.1</v>
      </c>
      <c r="N815" s="55">
        <v>667.8</v>
      </c>
    </row>
    <row r="816" spans="1:14" ht="10.050000000000001" hidden="1" customHeight="1">
      <c r="A816" s="52" t="s">
        <v>172</v>
      </c>
      <c r="B816" s="53">
        <v>2005</v>
      </c>
      <c r="C816" s="52" t="s">
        <v>110</v>
      </c>
      <c r="D816" s="54">
        <v>5</v>
      </c>
      <c r="E816" s="55">
        <v>28420</v>
      </c>
      <c r="F816" s="55">
        <v>609</v>
      </c>
      <c r="G816" s="55">
        <v>29029</v>
      </c>
      <c r="H816" s="55">
        <v>107909.9</v>
      </c>
      <c r="I816" s="55">
        <v>9397.7000000000007</v>
      </c>
      <c r="J816" s="55">
        <v>117307.6</v>
      </c>
      <c r="K816" s="55">
        <v>13437.3</v>
      </c>
      <c r="L816" s="55">
        <v>2781</v>
      </c>
      <c r="M816" s="55">
        <v>6334.3</v>
      </c>
      <c r="N816" s="55">
        <v>4.5999999999999996</v>
      </c>
    </row>
    <row r="817" spans="1:14" ht="10.050000000000001" hidden="1" customHeight="1">
      <c r="A817" s="52" t="s">
        <v>171</v>
      </c>
      <c r="B817" s="53">
        <v>2005</v>
      </c>
      <c r="C817" s="52" t="s">
        <v>110</v>
      </c>
      <c r="D817" s="54">
        <v>5</v>
      </c>
      <c r="E817" s="55">
        <v>1289120.6000000001</v>
      </c>
      <c r="F817" s="55">
        <v>1496.1</v>
      </c>
      <c r="G817" s="55">
        <v>1290616.7</v>
      </c>
      <c r="H817" s="55">
        <v>4357144.9000000004</v>
      </c>
      <c r="I817" s="55">
        <v>60965.2</v>
      </c>
      <c r="J817" s="55">
        <v>4418110.0999999996</v>
      </c>
      <c r="K817" s="55">
        <v>327605.8</v>
      </c>
      <c r="L817" s="55">
        <v>92309.2</v>
      </c>
      <c r="M817" s="55">
        <v>568101.69999999995</v>
      </c>
      <c r="N817" s="55">
        <v>35592.9</v>
      </c>
    </row>
    <row r="818" spans="1:14" ht="10.050000000000001" hidden="1" customHeight="1">
      <c r="A818" s="52" t="s">
        <v>300</v>
      </c>
      <c r="B818" s="53">
        <v>2005</v>
      </c>
      <c r="C818" s="52" t="s">
        <v>110</v>
      </c>
      <c r="D818" s="54">
        <v>5</v>
      </c>
      <c r="E818" s="55">
        <v>100.8</v>
      </c>
      <c r="F818" s="55">
        <v>0</v>
      </c>
      <c r="G818" s="55">
        <v>100.8</v>
      </c>
      <c r="H818" s="55">
        <v>671.7</v>
      </c>
      <c r="I818" s="55">
        <v>21.1</v>
      </c>
      <c r="J818" s="55">
        <v>692.8</v>
      </c>
      <c r="K818" s="55">
        <v>0</v>
      </c>
      <c r="L818" s="55">
        <v>0</v>
      </c>
      <c r="M818" s="55">
        <v>0</v>
      </c>
      <c r="N818" s="55">
        <v>0</v>
      </c>
    </row>
    <row r="819" spans="1:14" ht="10.050000000000001" hidden="1" customHeight="1">
      <c r="A819" s="52" t="s">
        <v>307</v>
      </c>
      <c r="B819" s="53">
        <v>2005</v>
      </c>
      <c r="C819" s="52" t="s">
        <v>110</v>
      </c>
      <c r="D819" s="54">
        <v>5</v>
      </c>
      <c r="E819" s="55">
        <v>431530.1</v>
      </c>
      <c r="F819" s="55">
        <v>0</v>
      </c>
      <c r="G819" s="55">
        <v>431530.1</v>
      </c>
      <c r="H819" s="55">
        <v>2655883</v>
      </c>
      <c r="I819" s="55">
        <v>92880.9</v>
      </c>
      <c r="J819" s="55">
        <v>2748763.9</v>
      </c>
      <c r="K819" s="55">
        <v>576618.19999999995</v>
      </c>
      <c r="L819" s="55">
        <v>59762.2</v>
      </c>
      <c r="M819" s="55">
        <v>238726.7</v>
      </c>
      <c r="N819" s="55">
        <v>44694.2</v>
      </c>
    </row>
    <row r="820" spans="1:14" ht="10.050000000000001" hidden="1" customHeight="1">
      <c r="A820" s="52" t="s">
        <v>315</v>
      </c>
      <c r="B820" s="53">
        <v>2005</v>
      </c>
      <c r="C820" s="52" t="s">
        <v>110</v>
      </c>
      <c r="D820" s="54">
        <v>5</v>
      </c>
      <c r="E820" s="55">
        <v>562.9</v>
      </c>
      <c r="F820" s="55">
        <v>0</v>
      </c>
      <c r="G820" s="55">
        <v>562.9</v>
      </c>
      <c r="H820" s="55">
        <v>29959</v>
      </c>
      <c r="I820" s="55">
        <v>0</v>
      </c>
      <c r="J820" s="55">
        <v>29959</v>
      </c>
      <c r="K820" s="55">
        <v>114</v>
      </c>
      <c r="L820" s="55">
        <v>0</v>
      </c>
      <c r="M820" s="55">
        <v>200.1</v>
      </c>
      <c r="N820" s="55">
        <v>0</v>
      </c>
    </row>
    <row r="821" spans="1:14" ht="10.050000000000001" hidden="1" customHeight="1">
      <c r="A821" s="52" t="s">
        <v>173</v>
      </c>
      <c r="B821" s="53">
        <v>2005</v>
      </c>
      <c r="C821" s="52" t="s">
        <v>110</v>
      </c>
      <c r="D821" s="54">
        <v>5</v>
      </c>
      <c r="E821" s="55">
        <v>133368.79999999999</v>
      </c>
      <c r="F821" s="55">
        <v>1900.4</v>
      </c>
      <c r="G821" s="55">
        <v>135269.20000000001</v>
      </c>
      <c r="H821" s="55">
        <v>1513678.1</v>
      </c>
      <c r="I821" s="55">
        <v>26743.5</v>
      </c>
      <c r="J821" s="55">
        <v>1540421.6</v>
      </c>
      <c r="K821" s="55">
        <v>42798</v>
      </c>
      <c r="L821" s="55">
        <v>5638.7</v>
      </c>
      <c r="M821" s="55">
        <v>37855.199999999997</v>
      </c>
      <c r="N821" s="55">
        <v>7579.7</v>
      </c>
    </row>
    <row r="822" spans="1:14" ht="10.050000000000001" customHeight="1">
      <c r="A822" s="52" t="s">
        <v>309</v>
      </c>
      <c r="B822" s="53">
        <v>2005</v>
      </c>
      <c r="C822" s="52" t="s">
        <v>110</v>
      </c>
      <c r="D822" s="54">
        <v>5</v>
      </c>
      <c r="E822" s="55">
        <v>382.7</v>
      </c>
      <c r="F822" s="55">
        <v>0</v>
      </c>
      <c r="G822" s="55">
        <v>382.7</v>
      </c>
      <c r="H822" s="55">
        <v>28150.799999999999</v>
      </c>
      <c r="I822" s="55">
        <v>0</v>
      </c>
      <c r="J822" s="55">
        <v>28150.799999999999</v>
      </c>
      <c r="K822" s="55">
        <v>0</v>
      </c>
      <c r="L822" s="55">
        <v>0</v>
      </c>
      <c r="M822" s="55">
        <v>0</v>
      </c>
      <c r="N822" s="55">
        <v>0</v>
      </c>
    </row>
    <row r="823" spans="1:14" ht="10.050000000000001" hidden="1" customHeight="1">
      <c r="A823" s="52" t="s">
        <v>316</v>
      </c>
      <c r="B823" s="53">
        <v>2005</v>
      </c>
      <c r="C823" s="52" t="s">
        <v>110</v>
      </c>
      <c r="D823" s="54">
        <v>5</v>
      </c>
      <c r="E823" s="55">
        <v>54.9</v>
      </c>
      <c r="F823" s="55">
        <v>0</v>
      </c>
      <c r="G823" s="55">
        <v>54.9</v>
      </c>
      <c r="H823" s="55">
        <v>2906.5</v>
      </c>
      <c r="I823" s="55">
        <v>8.6</v>
      </c>
      <c r="J823" s="55">
        <v>2915.1</v>
      </c>
      <c r="K823" s="55">
        <v>0</v>
      </c>
      <c r="L823" s="55">
        <v>0</v>
      </c>
      <c r="M823" s="55">
        <v>0</v>
      </c>
      <c r="N823" s="55">
        <v>0</v>
      </c>
    </row>
    <row r="824" spans="1:14" ht="10.050000000000001" hidden="1" customHeight="1">
      <c r="A824" s="52" t="s">
        <v>310</v>
      </c>
      <c r="B824" s="53">
        <v>2005</v>
      </c>
      <c r="C824" s="52" t="s">
        <v>110</v>
      </c>
      <c r="D824" s="54">
        <v>5</v>
      </c>
      <c r="E824" s="55">
        <v>2363.8000000000002</v>
      </c>
      <c r="F824" s="55">
        <v>0</v>
      </c>
      <c r="G824" s="55">
        <v>2363.8000000000002</v>
      </c>
      <c r="H824" s="55">
        <v>47607.5</v>
      </c>
      <c r="I824" s="55">
        <v>583.70000000000005</v>
      </c>
      <c r="J824" s="55">
        <v>48191.199999999997</v>
      </c>
      <c r="K824" s="55">
        <v>950.8</v>
      </c>
      <c r="L824" s="55">
        <v>8.1</v>
      </c>
      <c r="M824" s="55">
        <v>172.3</v>
      </c>
      <c r="N824" s="55">
        <v>94.4</v>
      </c>
    </row>
    <row r="825" spans="1:14" ht="10.050000000000001" hidden="1" customHeight="1">
      <c r="A825" s="52" t="s">
        <v>308</v>
      </c>
      <c r="B825" s="53">
        <v>2005</v>
      </c>
      <c r="C825" s="52" t="s">
        <v>110</v>
      </c>
      <c r="D825" s="54">
        <v>5</v>
      </c>
      <c r="E825" s="55">
        <v>1741</v>
      </c>
      <c r="F825" s="55">
        <v>0</v>
      </c>
      <c r="G825" s="55">
        <v>1741</v>
      </c>
      <c r="H825" s="55">
        <v>25062.6</v>
      </c>
      <c r="I825" s="55">
        <v>152.19999999999999</v>
      </c>
      <c r="J825" s="55">
        <v>25214.799999999999</v>
      </c>
      <c r="K825" s="55">
        <v>876.7</v>
      </c>
      <c r="L825" s="55">
        <v>1.8</v>
      </c>
      <c r="M825" s="55">
        <v>1207.4000000000001</v>
      </c>
      <c r="N825" s="55">
        <v>68.8</v>
      </c>
    </row>
    <row r="826" spans="1:14" ht="10.050000000000001" hidden="1" customHeight="1">
      <c r="A826" s="52" t="s">
        <v>174</v>
      </c>
      <c r="B826" s="53">
        <v>2005</v>
      </c>
      <c r="C826" s="52" t="s">
        <v>110</v>
      </c>
      <c r="D826" s="54">
        <v>5</v>
      </c>
      <c r="E826" s="55">
        <v>9573.0000000000091</v>
      </c>
      <c r="F826" s="55">
        <v>24.1</v>
      </c>
      <c r="G826" s="55">
        <v>9597.1000000000095</v>
      </c>
      <c r="H826" s="55">
        <v>54587</v>
      </c>
      <c r="I826" s="55">
        <v>7572.1</v>
      </c>
      <c r="J826" s="55">
        <v>62159.1</v>
      </c>
      <c r="K826" s="55">
        <v>17564</v>
      </c>
      <c r="L826" s="55">
        <v>5305.4</v>
      </c>
      <c r="M826" s="55">
        <v>3547.1</v>
      </c>
      <c r="N826" s="55">
        <v>9870</v>
      </c>
    </row>
    <row r="827" spans="1:14" ht="10.050000000000001" hidden="1" customHeight="1">
      <c r="A827" s="52" t="s">
        <v>314</v>
      </c>
      <c r="B827" s="53">
        <v>2005</v>
      </c>
      <c r="C827" s="52" t="s">
        <v>110</v>
      </c>
      <c r="D827" s="54">
        <v>6</v>
      </c>
      <c r="E827" s="55">
        <v>25.2</v>
      </c>
      <c r="F827" s="55">
        <v>0</v>
      </c>
      <c r="G827" s="55">
        <v>25.2</v>
      </c>
      <c r="H827" s="55">
        <v>497.9</v>
      </c>
      <c r="I827" s="55">
        <v>0</v>
      </c>
      <c r="J827" s="55">
        <v>497.9</v>
      </c>
      <c r="K827" s="55">
        <v>0</v>
      </c>
      <c r="L827" s="55">
        <v>0</v>
      </c>
      <c r="M827" s="55">
        <v>18.7</v>
      </c>
      <c r="N827" s="55">
        <v>0</v>
      </c>
    </row>
    <row r="828" spans="1:14" ht="10.050000000000001" hidden="1" customHeight="1">
      <c r="A828" s="52" t="s">
        <v>306</v>
      </c>
      <c r="B828" s="53">
        <v>2005</v>
      </c>
      <c r="C828" s="52" t="s">
        <v>110</v>
      </c>
      <c r="D828" s="54">
        <v>6</v>
      </c>
      <c r="E828" s="55">
        <v>7272.6</v>
      </c>
      <c r="F828" s="55">
        <v>81.400000000000006</v>
      </c>
      <c r="G828" s="55">
        <v>7354</v>
      </c>
      <c r="H828" s="55">
        <v>47594.1</v>
      </c>
      <c r="I828" s="55">
        <v>4564.2</v>
      </c>
      <c r="J828" s="55">
        <v>52158.3</v>
      </c>
      <c r="K828" s="55">
        <v>1613.9</v>
      </c>
      <c r="L828" s="55">
        <v>234.3</v>
      </c>
      <c r="M828" s="55">
        <v>1497.5</v>
      </c>
      <c r="N828" s="55">
        <v>815.2</v>
      </c>
    </row>
    <row r="829" spans="1:14" ht="10.050000000000001" hidden="1" customHeight="1">
      <c r="A829" s="52" t="s">
        <v>172</v>
      </c>
      <c r="B829" s="53">
        <v>2005</v>
      </c>
      <c r="C829" s="52" t="s">
        <v>110</v>
      </c>
      <c r="D829" s="54">
        <v>6</v>
      </c>
      <c r="E829" s="55">
        <v>20931.2</v>
      </c>
      <c r="F829" s="55">
        <v>187.6</v>
      </c>
      <c r="G829" s="55">
        <v>21118.799999999999</v>
      </c>
      <c r="H829" s="55">
        <v>42791.3</v>
      </c>
      <c r="I829" s="55">
        <v>8024.6</v>
      </c>
      <c r="J829" s="55">
        <v>50815.9</v>
      </c>
      <c r="K829" s="55">
        <v>1428.4</v>
      </c>
      <c r="L829" s="55">
        <v>-941.6</v>
      </c>
      <c r="M829" s="55">
        <v>11004.5</v>
      </c>
      <c r="N829" s="55">
        <v>62.8</v>
      </c>
    </row>
    <row r="830" spans="1:14" ht="10.050000000000001" hidden="1" customHeight="1">
      <c r="A830" s="52" t="s">
        <v>171</v>
      </c>
      <c r="B830" s="53">
        <v>2005</v>
      </c>
      <c r="C830" s="52" t="s">
        <v>110</v>
      </c>
      <c r="D830" s="54">
        <v>6</v>
      </c>
      <c r="E830" s="55">
        <v>822429.5</v>
      </c>
      <c r="F830" s="55">
        <v>1140.5</v>
      </c>
      <c r="G830" s="55">
        <v>823570</v>
      </c>
      <c r="H830" s="55">
        <v>1966191.1</v>
      </c>
      <c r="I830" s="55">
        <v>37964.199999999997</v>
      </c>
      <c r="J830" s="55">
        <v>2004155.3</v>
      </c>
      <c r="K830" s="55">
        <v>36822.699999999997</v>
      </c>
      <c r="L830" s="55">
        <v>37840.9</v>
      </c>
      <c r="M830" s="55">
        <v>296744.09999999998</v>
      </c>
      <c r="N830" s="55">
        <v>31895</v>
      </c>
    </row>
    <row r="831" spans="1:14" ht="10.050000000000001" hidden="1" customHeight="1">
      <c r="A831" s="52" t="s">
        <v>300</v>
      </c>
      <c r="B831" s="53">
        <v>2005</v>
      </c>
      <c r="C831" s="52" t="s">
        <v>110</v>
      </c>
      <c r="D831" s="54">
        <v>6</v>
      </c>
      <c r="E831" s="55">
        <v>173.1</v>
      </c>
      <c r="F831" s="55">
        <v>0</v>
      </c>
      <c r="G831" s="55">
        <v>173.1</v>
      </c>
      <c r="H831" s="55">
        <v>615.9</v>
      </c>
      <c r="I831" s="55">
        <v>18.100000000000001</v>
      </c>
      <c r="J831" s="55">
        <v>634</v>
      </c>
      <c r="K831" s="55">
        <v>0</v>
      </c>
      <c r="L831" s="55">
        <v>0</v>
      </c>
      <c r="M831" s="55">
        <v>0</v>
      </c>
      <c r="N831" s="55">
        <v>0</v>
      </c>
    </row>
    <row r="832" spans="1:14" ht="10.050000000000001" hidden="1" customHeight="1">
      <c r="A832" s="52" t="s">
        <v>307</v>
      </c>
      <c r="B832" s="53">
        <v>2005</v>
      </c>
      <c r="C832" s="52" t="s">
        <v>110</v>
      </c>
      <c r="D832" s="54">
        <v>6</v>
      </c>
      <c r="E832" s="55">
        <v>542989.6</v>
      </c>
      <c r="F832" s="55">
        <v>3398.2</v>
      </c>
      <c r="G832" s="55">
        <v>546387.80000000005</v>
      </c>
      <c r="H832" s="55">
        <v>1862963.4</v>
      </c>
      <c r="I832" s="55">
        <v>45252.1</v>
      </c>
      <c r="J832" s="55">
        <v>1908215.5</v>
      </c>
      <c r="K832" s="55">
        <v>241626.2</v>
      </c>
      <c r="L832" s="55">
        <v>24332</v>
      </c>
      <c r="M832" s="55">
        <v>312891.3</v>
      </c>
      <c r="N832" s="55">
        <v>46457.8</v>
      </c>
    </row>
    <row r="833" spans="1:14" ht="10.050000000000001" hidden="1" customHeight="1">
      <c r="A833" s="52" t="s">
        <v>315</v>
      </c>
      <c r="B833" s="53">
        <v>2005</v>
      </c>
      <c r="C833" s="52" t="s">
        <v>110</v>
      </c>
      <c r="D833" s="54">
        <v>6</v>
      </c>
      <c r="E833" s="55">
        <v>546.6</v>
      </c>
      <c r="F833" s="55">
        <v>0</v>
      </c>
      <c r="G833" s="55">
        <v>546.6</v>
      </c>
      <c r="H833" s="55">
        <v>26817.3</v>
      </c>
      <c r="I833" s="55">
        <v>0</v>
      </c>
      <c r="J833" s="55">
        <v>26817.3</v>
      </c>
      <c r="K833" s="55">
        <v>63</v>
      </c>
      <c r="L833" s="55">
        <v>0</v>
      </c>
      <c r="M833" s="55">
        <v>51</v>
      </c>
      <c r="N833" s="55">
        <v>0</v>
      </c>
    </row>
    <row r="834" spans="1:14" ht="10.050000000000001" hidden="1" customHeight="1">
      <c r="A834" s="52" t="s">
        <v>173</v>
      </c>
      <c r="B834" s="53">
        <v>2005</v>
      </c>
      <c r="C834" s="52" t="s">
        <v>110</v>
      </c>
      <c r="D834" s="54">
        <v>6</v>
      </c>
      <c r="E834" s="55">
        <v>96048.4</v>
      </c>
      <c r="F834" s="55">
        <v>786.1</v>
      </c>
      <c r="G834" s="55">
        <v>96834.5</v>
      </c>
      <c r="H834" s="55">
        <v>790345.7</v>
      </c>
      <c r="I834" s="55">
        <v>15870.5</v>
      </c>
      <c r="J834" s="55">
        <v>806216.2</v>
      </c>
      <c r="K834" s="55">
        <v>67593.7</v>
      </c>
      <c r="L834" s="55">
        <v>58116.800000000003</v>
      </c>
      <c r="M834" s="55">
        <v>23987.200000000001</v>
      </c>
      <c r="N834" s="55">
        <v>9325.2999999999993</v>
      </c>
    </row>
    <row r="835" spans="1:14" ht="10.050000000000001" customHeight="1">
      <c r="A835" s="52" t="s">
        <v>309</v>
      </c>
      <c r="B835" s="53">
        <v>2005</v>
      </c>
      <c r="C835" s="52" t="s">
        <v>110</v>
      </c>
      <c r="D835" s="54">
        <v>6</v>
      </c>
      <c r="E835" s="55">
        <v>152.5</v>
      </c>
      <c r="F835" s="55">
        <v>0</v>
      </c>
      <c r="G835" s="55">
        <v>152.5</v>
      </c>
      <c r="H835" s="55">
        <v>23222.400000000001</v>
      </c>
      <c r="I835" s="55">
        <v>0</v>
      </c>
      <c r="J835" s="55">
        <v>23222.400000000001</v>
      </c>
      <c r="K835" s="55">
        <v>0</v>
      </c>
      <c r="L835" s="55">
        <v>0</v>
      </c>
      <c r="M835" s="55">
        <v>0</v>
      </c>
      <c r="N835" s="55">
        <v>0</v>
      </c>
    </row>
    <row r="836" spans="1:14" ht="10.050000000000001" hidden="1" customHeight="1">
      <c r="A836" s="52" t="s">
        <v>316</v>
      </c>
      <c r="B836" s="53">
        <v>2005</v>
      </c>
      <c r="C836" s="52" t="s">
        <v>110</v>
      </c>
      <c r="D836" s="54">
        <v>6</v>
      </c>
      <c r="E836" s="55">
        <v>38.299999999999997</v>
      </c>
      <c r="F836" s="55">
        <v>0</v>
      </c>
      <c r="G836" s="55">
        <v>38.299999999999997</v>
      </c>
      <c r="H836" s="55">
        <v>2563.3000000000002</v>
      </c>
      <c r="I836" s="55">
        <v>4.8</v>
      </c>
      <c r="J836" s="55">
        <v>2568.1</v>
      </c>
      <c r="K836" s="55">
        <v>0</v>
      </c>
      <c r="L836" s="55">
        <v>0</v>
      </c>
      <c r="M836" s="55">
        <v>0</v>
      </c>
      <c r="N836" s="55">
        <v>0</v>
      </c>
    </row>
    <row r="837" spans="1:14" ht="10.050000000000001" hidden="1" customHeight="1">
      <c r="A837" s="52" t="s">
        <v>310</v>
      </c>
      <c r="B837" s="53">
        <v>2005</v>
      </c>
      <c r="C837" s="52" t="s">
        <v>110</v>
      </c>
      <c r="D837" s="54">
        <v>6</v>
      </c>
      <c r="E837" s="55">
        <v>2507.8000000000002</v>
      </c>
      <c r="F837" s="55">
        <v>0</v>
      </c>
      <c r="G837" s="55">
        <v>2507.8000000000002</v>
      </c>
      <c r="H837" s="55">
        <v>40180.800000000003</v>
      </c>
      <c r="I837" s="55">
        <v>154</v>
      </c>
      <c r="J837" s="55">
        <v>40334.800000000003</v>
      </c>
      <c r="K837" s="55">
        <v>349.2</v>
      </c>
      <c r="L837" s="55">
        <v>13.2</v>
      </c>
      <c r="M837" s="55">
        <v>502.7</v>
      </c>
      <c r="N837" s="55">
        <v>112.1</v>
      </c>
    </row>
    <row r="838" spans="1:14" ht="10.050000000000001" hidden="1" customHeight="1">
      <c r="A838" s="52" t="s">
        <v>308</v>
      </c>
      <c r="B838" s="53">
        <v>2005</v>
      </c>
      <c r="C838" s="52" t="s">
        <v>110</v>
      </c>
      <c r="D838" s="54">
        <v>6</v>
      </c>
      <c r="E838" s="55">
        <v>1401.7</v>
      </c>
      <c r="F838" s="55">
        <v>501</v>
      </c>
      <c r="G838" s="55">
        <v>1902.7</v>
      </c>
      <c r="H838" s="55">
        <v>16371</v>
      </c>
      <c r="I838" s="55">
        <v>152.19999999999999</v>
      </c>
      <c r="J838" s="55">
        <v>16523.2</v>
      </c>
      <c r="K838" s="55">
        <v>427.7</v>
      </c>
      <c r="L838" s="55">
        <v>9</v>
      </c>
      <c r="M838" s="55">
        <v>334.1</v>
      </c>
      <c r="N838" s="55">
        <v>123.9</v>
      </c>
    </row>
    <row r="839" spans="1:14" ht="10.050000000000001" hidden="1" customHeight="1">
      <c r="A839" s="52" t="s">
        <v>174</v>
      </c>
      <c r="B839" s="53">
        <v>2005</v>
      </c>
      <c r="C839" s="52" t="s">
        <v>110</v>
      </c>
      <c r="D839" s="54">
        <v>6</v>
      </c>
      <c r="E839" s="55">
        <v>14579.5</v>
      </c>
      <c r="F839" s="55">
        <v>207.5</v>
      </c>
      <c r="G839" s="55">
        <v>14787</v>
      </c>
      <c r="H839" s="55">
        <v>24822.2</v>
      </c>
      <c r="I839" s="55">
        <v>5650.1</v>
      </c>
      <c r="J839" s="55">
        <v>30472.3</v>
      </c>
      <c r="K839" s="55">
        <v>6718.8</v>
      </c>
      <c r="L839" s="55">
        <v>590.9</v>
      </c>
      <c r="M839" s="55">
        <v>5823.8</v>
      </c>
      <c r="N839" s="55">
        <v>5612.3</v>
      </c>
    </row>
    <row r="840" spans="1:14" ht="10.050000000000001" hidden="1" customHeight="1">
      <c r="A840" s="52" t="s">
        <v>314</v>
      </c>
      <c r="B840" s="53">
        <v>2005</v>
      </c>
      <c r="C840" s="52" t="s">
        <v>111</v>
      </c>
      <c r="D840" s="54">
        <v>7</v>
      </c>
      <c r="E840" s="55">
        <v>0</v>
      </c>
      <c r="F840" s="55">
        <v>0</v>
      </c>
      <c r="G840" s="55">
        <v>0</v>
      </c>
      <c r="H840" s="55">
        <v>470.9</v>
      </c>
      <c r="I840" s="55">
        <v>0</v>
      </c>
      <c r="J840" s="55">
        <v>470.9</v>
      </c>
      <c r="K840" s="55">
        <v>0</v>
      </c>
      <c r="L840" s="55">
        <v>0</v>
      </c>
      <c r="M840" s="55">
        <v>0</v>
      </c>
      <c r="N840" s="55">
        <v>0</v>
      </c>
    </row>
    <row r="841" spans="1:14" ht="10.050000000000001" hidden="1" customHeight="1">
      <c r="A841" s="52" t="s">
        <v>306</v>
      </c>
      <c r="B841" s="53">
        <v>2005</v>
      </c>
      <c r="C841" s="52" t="s">
        <v>111</v>
      </c>
      <c r="D841" s="54">
        <v>7</v>
      </c>
      <c r="E841" s="55">
        <v>87225.4</v>
      </c>
      <c r="F841" s="55">
        <v>1980</v>
      </c>
      <c r="G841" s="55">
        <v>89205.4</v>
      </c>
      <c r="H841" s="55">
        <v>116127.6</v>
      </c>
      <c r="I841" s="55">
        <v>5500.1</v>
      </c>
      <c r="J841" s="55">
        <v>121627.7</v>
      </c>
      <c r="K841" s="55">
        <v>11293.3</v>
      </c>
      <c r="L841" s="55">
        <v>10887.7</v>
      </c>
      <c r="M841" s="55">
        <v>895.5</v>
      </c>
      <c r="N841" s="55">
        <v>297.8</v>
      </c>
    </row>
    <row r="842" spans="1:14" ht="10.050000000000001" hidden="1" customHeight="1">
      <c r="A842" s="52" t="s">
        <v>172</v>
      </c>
      <c r="B842" s="53">
        <v>2005</v>
      </c>
      <c r="C842" s="52" t="s">
        <v>111</v>
      </c>
      <c r="D842" s="54">
        <v>7</v>
      </c>
      <c r="E842" s="55">
        <v>865347.8</v>
      </c>
      <c r="F842" s="55">
        <v>52820.800000000003</v>
      </c>
      <c r="G842" s="55">
        <v>918168.6</v>
      </c>
      <c r="H842" s="55">
        <v>784425.4</v>
      </c>
      <c r="I842" s="55">
        <v>44695.6</v>
      </c>
      <c r="J842" s="55">
        <v>829121</v>
      </c>
      <c r="K842" s="55">
        <v>269005.09999999998</v>
      </c>
      <c r="L842" s="55">
        <v>274006.59999999998</v>
      </c>
      <c r="M842" s="55">
        <v>6424.4</v>
      </c>
      <c r="N842" s="55">
        <v>5.5</v>
      </c>
    </row>
    <row r="843" spans="1:14" ht="10.050000000000001" hidden="1" customHeight="1">
      <c r="A843" s="52" t="s">
        <v>171</v>
      </c>
      <c r="B843" s="53">
        <v>2005</v>
      </c>
      <c r="C843" s="52" t="s">
        <v>111</v>
      </c>
      <c r="D843" s="54">
        <v>7</v>
      </c>
      <c r="E843" s="55">
        <v>10049932.199999999</v>
      </c>
      <c r="F843" s="55">
        <v>112986.9</v>
      </c>
      <c r="G843" s="55">
        <v>10162919.1</v>
      </c>
      <c r="H843" s="55">
        <v>9736755.4000000097</v>
      </c>
      <c r="I843" s="55">
        <v>138432.29999999999</v>
      </c>
      <c r="J843" s="55">
        <v>9875187.6999999993</v>
      </c>
      <c r="K843" s="55">
        <v>2136198.5</v>
      </c>
      <c r="L843" s="55">
        <v>2218358.4</v>
      </c>
      <c r="M843" s="55">
        <v>98880.9</v>
      </c>
      <c r="N843" s="55">
        <v>18341</v>
      </c>
    </row>
    <row r="844" spans="1:14" ht="10.050000000000001" hidden="1" customHeight="1">
      <c r="A844" s="52" t="s">
        <v>300</v>
      </c>
      <c r="B844" s="53">
        <v>2005</v>
      </c>
      <c r="C844" s="52" t="s">
        <v>111</v>
      </c>
      <c r="D844" s="54">
        <v>7</v>
      </c>
      <c r="E844" s="55">
        <v>1084.4000000000001</v>
      </c>
      <c r="F844" s="55">
        <v>73.8</v>
      </c>
      <c r="G844" s="55">
        <v>1158.2</v>
      </c>
      <c r="H844" s="55">
        <v>1635.3</v>
      </c>
      <c r="I844" s="55">
        <v>83.2</v>
      </c>
      <c r="J844" s="55">
        <v>1718.5</v>
      </c>
      <c r="K844" s="55">
        <v>98.7</v>
      </c>
      <c r="L844" s="55">
        <v>98.7</v>
      </c>
      <c r="M844" s="55">
        <v>0</v>
      </c>
      <c r="N844" s="55">
        <v>0</v>
      </c>
    </row>
    <row r="845" spans="1:14" ht="10.050000000000001" hidden="1" customHeight="1">
      <c r="A845" s="52" t="s">
        <v>307</v>
      </c>
      <c r="B845" s="53">
        <v>2005</v>
      </c>
      <c r="C845" s="52" t="s">
        <v>111</v>
      </c>
      <c r="D845" s="54">
        <v>7</v>
      </c>
      <c r="E845" s="55">
        <v>130342.7</v>
      </c>
      <c r="F845" s="55">
        <v>0</v>
      </c>
      <c r="G845" s="55">
        <v>130342.7</v>
      </c>
      <c r="H845" s="55">
        <v>1228128.8999999999</v>
      </c>
      <c r="I845" s="55">
        <v>44698.3</v>
      </c>
      <c r="J845" s="55">
        <v>1272827.2</v>
      </c>
      <c r="K845" s="55">
        <v>196104.1</v>
      </c>
      <c r="L845" s="55">
        <v>18340.900000000001</v>
      </c>
      <c r="M845" s="55">
        <v>43731.9</v>
      </c>
      <c r="N845" s="55">
        <v>17680.900000000001</v>
      </c>
    </row>
    <row r="846" spans="1:14" ht="10.050000000000001" hidden="1" customHeight="1">
      <c r="A846" s="52" t="s">
        <v>315</v>
      </c>
      <c r="B846" s="53">
        <v>2005</v>
      </c>
      <c r="C846" s="52" t="s">
        <v>111</v>
      </c>
      <c r="D846" s="54">
        <v>7</v>
      </c>
      <c r="E846" s="55">
        <v>274</v>
      </c>
      <c r="F846" s="55">
        <v>0</v>
      </c>
      <c r="G846" s="55">
        <v>274</v>
      </c>
      <c r="H846" s="55">
        <v>26428.5</v>
      </c>
      <c r="I846" s="55">
        <v>0</v>
      </c>
      <c r="J846" s="55">
        <v>26428.5</v>
      </c>
      <c r="K846" s="55">
        <v>63</v>
      </c>
      <c r="L846" s="55">
        <v>0</v>
      </c>
      <c r="M846" s="55">
        <v>0</v>
      </c>
      <c r="N846" s="55">
        <v>0</v>
      </c>
    </row>
    <row r="847" spans="1:14" ht="10.050000000000001" hidden="1" customHeight="1">
      <c r="A847" s="52" t="s">
        <v>173</v>
      </c>
      <c r="B847" s="53">
        <v>2005</v>
      </c>
      <c r="C847" s="52" t="s">
        <v>111</v>
      </c>
      <c r="D847" s="54">
        <v>7</v>
      </c>
      <c r="E847" s="55">
        <v>5117042.7</v>
      </c>
      <c r="F847" s="55">
        <v>102964.6</v>
      </c>
      <c r="G847" s="55">
        <v>5220007.3</v>
      </c>
      <c r="H847" s="55">
        <v>4854744</v>
      </c>
      <c r="I847" s="55">
        <v>87614.1</v>
      </c>
      <c r="J847" s="55">
        <v>4942358.0999999996</v>
      </c>
      <c r="K847" s="55">
        <v>927759.3</v>
      </c>
      <c r="L847" s="55">
        <v>1177012.7</v>
      </c>
      <c r="M847" s="55">
        <v>305419.2</v>
      </c>
      <c r="N847" s="55">
        <v>6368.2</v>
      </c>
    </row>
    <row r="848" spans="1:14" ht="10.050000000000001" customHeight="1">
      <c r="A848" s="52" t="s">
        <v>309</v>
      </c>
      <c r="B848" s="53">
        <v>2005</v>
      </c>
      <c r="C848" s="52" t="s">
        <v>111</v>
      </c>
      <c r="D848" s="54">
        <v>7</v>
      </c>
      <c r="E848" s="55">
        <v>0</v>
      </c>
      <c r="F848" s="55">
        <v>0</v>
      </c>
      <c r="G848" s="55">
        <v>0</v>
      </c>
      <c r="H848" s="55">
        <v>14197.6</v>
      </c>
      <c r="I848" s="55">
        <v>0</v>
      </c>
      <c r="J848" s="55">
        <v>14197.6</v>
      </c>
      <c r="K848" s="55">
        <v>0</v>
      </c>
      <c r="L848" s="55">
        <v>0</v>
      </c>
      <c r="M848" s="55">
        <v>0</v>
      </c>
      <c r="N848" s="55">
        <v>0</v>
      </c>
    </row>
    <row r="849" spans="1:14" ht="10.050000000000001" hidden="1" customHeight="1">
      <c r="A849" s="52" t="s">
        <v>316</v>
      </c>
      <c r="B849" s="53">
        <v>2005</v>
      </c>
      <c r="C849" s="52" t="s">
        <v>111</v>
      </c>
      <c r="D849" s="54">
        <v>7</v>
      </c>
      <c r="E849" s="55">
        <v>11.9</v>
      </c>
      <c r="F849" s="55">
        <v>0</v>
      </c>
      <c r="G849" s="55">
        <v>11.9</v>
      </c>
      <c r="H849" s="55">
        <v>2135</v>
      </c>
      <c r="I849" s="55">
        <v>4.5999999999999996</v>
      </c>
      <c r="J849" s="55">
        <v>2139.6</v>
      </c>
      <c r="K849" s="55">
        <v>0</v>
      </c>
      <c r="L849" s="55">
        <v>0</v>
      </c>
      <c r="M849" s="55">
        <v>0</v>
      </c>
      <c r="N849" s="55">
        <v>0</v>
      </c>
    </row>
    <row r="850" spans="1:14" ht="10.050000000000001" hidden="1" customHeight="1">
      <c r="A850" s="52" t="s">
        <v>310</v>
      </c>
      <c r="B850" s="53">
        <v>2005</v>
      </c>
      <c r="C850" s="52" t="s">
        <v>111</v>
      </c>
      <c r="D850" s="54">
        <v>7</v>
      </c>
      <c r="E850" s="55">
        <v>24050.7</v>
      </c>
      <c r="F850" s="55">
        <v>547.29999999999995</v>
      </c>
      <c r="G850" s="55">
        <v>24598</v>
      </c>
      <c r="H850" s="55">
        <v>60437.8</v>
      </c>
      <c r="I850" s="55">
        <v>598.79999999999995</v>
      </c>
      <c r="J850" s="55">
        <v>61036.6</v>
      </c>
      <c r="K850" s="55">
        <v>4167.7</v>
      </c>
      <c r="L850" s="55">
        <v>3974.7</v>
      </c>
      <c r="M850" s="55">
        <v>131.19999999999999</v>
      </c>
      <c r="N850" s="55">
        <v>25</v>
      </c>
    </row>
    <row r="851" spans="1:14" ht="10.050000000000001" hidden="1" customHeight="1">
      <c r="A851" s="52" t="s">
        <v>308</v>
      </c>
      <c r="B851" s="53">
        <v>2005</v>
      </c>
      <c r="C851" s="52" t="s">
        <v>111</v>
      </c>
      <c r="D851" s="54">
        <v>7</v>
      </c>
      <c r="E851" s="55">
        <v>400.8</v>
      </c>
      <c r="F851" s="55">
        <v>0</v>
      </c>
      <c r="G851" s="55">
        <v>400.8</v>
      </c>
      <c r="H851" s="55">
        <v>12397.8</v>
      </c>
      <c r="I851" s="55">
        <v>152.19999999999999</v>
      </c>
      <c r="J851" s="55">
        <v>12550</v>
      </c>
      <c r="K851" s="55">
        <v>376.1</v>
      </c>
      <c r="L851" s="55">
        <v>83.9</v>
      </c>
      <c r="M851" s="55">
        <v>104.8</v>
      </c>
      <c r="N851" s="55">
        <v>30.7</v>
      </c>
    </row>
    <row r="852" spans="1:14" ht="10.050000000000001" hidden="1" customHeight="1">
      <c r="A852" s="52" t="s">
        <v>174</v>
      </c>
      <c r="B852" s="53">
        <v>2005</v>
      </c>
      <c r="C852" s="52" t="s">
        <v>111</v>
      </c>
      <c r="D852" s="54">
        <v>7</v>
      </c>
      <c r="E852" s="55">
        <v>311125.09999999998</v>
      </c>
      <c r="F852" s="55">
        <v>15923</v>
      </c>
      <c r="G852" s="55">
        <v>327048.09999999998</v>
      </c>
      <c r="H852" s="55">
        <v>273392.8</v>
      </c>
      <c r="I852" s="55">
        <v>20958.8</v>
      </c>
      <c r="J852" s="55">
        <v>294351.59999999998</v>
      </c>
      <c r="K852" s="55">
        <v>57192.2</v>
      </c>
      <c r="L852" s="55">
        <v>56752.3</v>
      </c>
      <c r="M852" s="55">
        <v>3322.1</v>
      </c>
      <c r="N852" s="55">
        <v>2800.8</v>
      </c>
    </row>
    <row r="853" spans="1:14" ht="10.050000000000001" hidden="1" customHeight="1">
      <c r="A853" s="52" t="s">
        <v>314</v>
      </c>
      <c r="B853" s="53">
        <v>2005</v>
      </c>
      <c r="C853" s="52" t="s">
        <v>111</v>
      </c>
      <c r="D853" s="54">
        <v>8</v>
      </c>
      <c r="E853" s="55">
        <v>9.5</v>
      </c>
      <c r="F853" s="55">
        <v>0</v>
      </c>
      <c r="G853" s="55">
        <v>9.5</v>
      </c>
      <c r="H853" s="55">
        <v>454.9</v>
      </c>
      <c r="I853" s="55">
        <v>0</v>
      </c>
      <c r="J853" s="55">
        <v>454.9</v>
      </c>
      <c r="K853" s="55">
        <v>0</v>
      </c>
      <c r="L853" s="55">
        <v>0</v>
      </c>
      <c r="M853" s="55">
        <v>0</v>
      </c>
      <c r="N853" s="55">
        <v>0</v>
      </c>
    </row>
    <row r="854" spans="1:14" ht="10.050000000000001" hidden="1" customHeight="1">
      <c r="A854" s="52" t="s">
        <v>306</v>
      </c>
      <c r="B854" s="53">
        <v>2005</v>
      </c>
      <c r="C854" s="52" t="s">
        <v>111</v>
      </c>
      <c r="D854" s="54">
        <v>8</v>
      </c>
      <c r="E854" s="55">
        <v>52750.1</v>
      </c>
      <c r="F854" s="55">
        <v>1244.9000000000001</v>
      </c>
      <c r="G854" s="55">
        <v>53995</v>
      </c>
      <c r="H854" s="55">
        <v>146864.4</v>
      </c>
      <c r="I854" s="55">
        <v>5734.1</v>
      </c>
      <c r="J854" s="55">
        <v>152598.5</v>
      </c>
      <c r="K854" s="55">
        <v>16084.9</v>
      </c>
      <c r="L854" s="55">
        <v>7054.8</v>
      </c>
      <c r="M854" s="55">
        <v>1764</v>
      </c>
      <c r="N854" s="55">
        <v>499.2</v>
      </c>
    </row>
    <row r="855" spans="1:14" ht="10.050000000000001" hidden="1" customHeight="1">
      <c r="A855" s="52" t="s">
        <v>172</v>
      </c>
      <c r="B855" s="53">
        <v>2005</v>
      </c>
      <c r="C855" s="52" t="s">
        <v>111</v>
      </c>
      <c r="D855" s="54">
        <v>8</v>
      </c>
      <c r="E855" s="55">
        <v>106227.1</v>
      </c>
      <c r="F855" s="55">
        <v>4798.8</v>
      </c>
      <c r="G855" s="55">
        <v>111025.9</v>
      </c>
      <c r="H855" s="55">
        <v>690209.9</v>
      </c>
      <c r="I855" s="55">
        <v>40842.699999999997</v>
      </c>
      <c r="J855" s="55">
        <v>731052.6</v>
      </c>
      <c r="K855" s="55">
        <v>250211.6</v>
      </c>
      <c r="L855" s="55">
        <v>20263.2</v>
      </c>
      <c r="M855" s="55">
        <v>36022.9</v>
      </c>
      <c r="N855" s="55">
        <v>3033.8</v>
      </c>
    </row>
    <row r="856" spans="1:14" ht="10.050000000000001" hidden="1" customHeight="1">
      <c r="A856" s="52" t="s">
        <v>171</v>
      </c>
      <c r="B856" s="53">
        <v>2005</v>
      </c>
      <c r="C856" s="52" t="s">
        <v>111</v>
      </c>
      <c r="D856" s="54">
        <v>8</v>
      </c>
      <c r="E856" s="55">
        <v>6203862.7000000002</v>
      </c>
      <c r="F856" s="55">
        <v>171135.9</v>
      </c>
      <c r="G856" s="55">
        <v>6374998.5999999996</v>
      </c>
      <c r="H856" s="55">
        <v>12979729.1</v>
      </c>
      <c r="I856" s="55">
        <v>203169.1</v>
      </c>
      <c r="J856" s="55">
        <v>13182898.199999999</v>
      </c>
      <c r="K856" s="55">
        <v>4037826.2</v>
      </c>
      <c r="L856" s="55">
        <v>2372363.2000000002</v>
      </c>
      <c r="M856" s="55">
        <v>453791.1</v>
      </c>
      <c r="N856" s="55">
        <v>22491.3</v>
      </c>
    </row>
    <row r="857" spans="1:14" ht="10.050000000000001" hidden="1" customHeight="1">
      <c r="A857" s="52" t="s">
        <v>300</v>
      </c>
      <c r="B857" s="53">
        <v>2005</v>
      </c>
      <c r="C857" s="52" t="s">
        <v>111</v>
      </c>
      <c r="D857" s="54">
        <v>8</v>
      </c>
      <c r="E857" s="55">
        <v>1046.5</v>
      </c>
      <c r="F857" s="55">
        <v>27</v>
      </c>
      <c r="G857" s="55">
        <v>1073.5</v>
      </c>
      <c r="H857" s="55">
        <v>2332.6999999999998</v>
      </c>
      <c r="I857" s="55">
        <v>110.2</v>
      </c>
      <c r="J857" s="55">
        <v>2442.9</v>
      </c>
      <c r="K857" s="55">
        <v>107.8</v>
      </c>
      <c r="L857" s="55">
        <v>9.1</v>
      </c>
      <c r="M857" s="55">
        <v>0</v>
      </c>
      <c r="N857" s="55">
        <v>0</v>
      </c>
    </row>
    <row r="858" spans="1:14" ht="10.050000000000001" hidden="1" customHeight="1">
      <c r="A858" s="52" t="s">
        <v>307</v>
      </c>
      <c r="B858" s="53">
        <v>2005</v>
      </c>
      <c r="C858" s="52" t="s">
        <v>111</v>
      </c>
      <c r="D858" s="54">
        <v>8</v>
      </c>
      <c r="E858" s="55">
        <v>158342.70000000001</v>
      </c>
      <c r="F858" s="55">
        <v>0</v>
      </c>
      <c r="G858" s="55">
        <v>158342.70000000001</v>
      </c>
      <c r="H858" s="55">
        <v>601459.4</v>
      </c>
      <c r="I858" s="55">
        <v>42703.3</v>
      </c>
      <c r="J858" s="55">
        <v>644162.69999999995</v>
      </c>
      <c r="K858" s="55">
        <v>118274.1</v>
      </c>
      <c r="L858" s="55">
        <v>5698.8</v>
      </c>
      <c r="M858" s="55">
        <v>59275.4</v>
      </c>
      <c r="N858" s="55">
        <v>23985.9</v>
      </c>
    </row>
    <row r="859" spans="1:14" ht="10.050000000000001" hidden="1" customHeight="1">
      <c r="A859" s="52" t="s">
        <v>315</v>
      </c>
      <c r="B859" s="53">
        <v>2005</v>
      </c>
      <c r="C859" s="52" t="s">
        <v>111</v>
      </c>
      <c r="D859" s="54">
        <v>8</v>
      </c>
      <c r="E859" s="55">
        <v>1199.5</v>
      </c>
      <c r="F859" s="55">
        <v>0</v>
      </c>
      <c r="G859" s="55">
        <v>1199.5</v>
      </c>
      <c r="H859" s="55">
        <v>25461.4</v>
      </c>
      <c r="I859" s="55">
        <v>0</v>
      </c>
      <c r="J859" s="55">
        <v>25461.4</v>
      </c>
      <c r="K859" s="55">
        <v>115.5</v>
      </c>
      <c r="L859" s="55">
        <v>115.5</v>
      </c>
      <c r="M859" s="55">
        <v>63</v>
      </c>
      <c r="N859" s="55">
        <v>0</v>
      </c>
    </row>
    <row r="860" spans="1:14" ht="10.050000000000001" hidden="1" customHeight="1">
      <c r="A860" s="52" t="s">
        <v>173</v>
      </c>
      <c r="B860" s="53">
        <v>2005</v>
      </c>
      <c r="C860" s="52" t="s">
        <v>111</v>
      </c>
      <c r="D860" s="54">
        <v>8</v>
      </c>
      <c r="E860" s="55">
        <v>697223.4</v>
      </c>
      <c r="F860" s="55">
        <v>11090.1</v>
      </c>
      <c r="G860" s="55">
        <v>708313.5</v>
      </c>
      <c r="H860" s="55">
        <v>4879312.8</v>
      </c>
      <c r="I860" s="55">
        <v>73899.7</v>
      </c>
      <c r="J860" s="55">
        <v>4953212.5</v>
      </c>
      <c r="K860" s="55">
        <v>861042.5</v>
      </c>
      <c r="L860" s="55">
        <v>124463.3</v>
      </c>
      <c r="M860" s="55">
        <v>184832.9</v>
      </c>
      <c r="N860" s="55">
        <v>7356.6</v>
      </c>
    </row>
    <row r="861" spans="1:14" ht="10.050000000000001" customHeight="1">
      <c r="A861" s="52" t="s">
        <v>309</v>
      </c>
      <c r="B861" s="53">
        <v>2005</v>
      </c>
      <c r="C861" s="52" t="s">
        <v>111</v>
      </c>
      <c r="D861" s="54">
        <v>8</v>
      </c>
      <c r="E861" s="55">
        <v>99.4</v>
      </c>
      <c r="F861" s="55">
        <v>0</v>
      </c>
      <c r="G861" s="55">
        <v>99.4</v>
      </c>
      <c r="H861" s="55">
        <v>5864.5</v>
      </c>
      <c r="I861" s="55">
        <v>0</v>
      </c>
      <c r="J861" s="55">
        <v>5864.5</v>
      </c>
      <c r="K861" s="55">
        <v>0</v>
      </c>
      <c r="L861" s="55">
        <v>0</v>
      </c>
      <c r="M861" s="55">
        <v>0</v>
      </c>
      <c r="N861" s="55">
        <v>0</v>
      </c>
    </row>
    <row r="862" spans="1:14" ht="10.050000000000001" hidden="1" customHeight="1">
      <c r="A862" s="52" t="s">
        <v>316</v>
      </c>
      <c r="B862" s="53">
        <v>2005</v>
      </c>
      <c r="C862" s="52" t="s">
        <v>111</v>
      </c>
      <c r="D862" s="54">
        <v>8</v>
      </c>
      <c r="E862" s="55">
        <v>8.1</v>
      </c>
      <c r="F862" s="55">
        <v>0</v>
      </c>
      <c r="G862" s="55">
        <v>8.1</v>
      </c>
      <c r="H862" s="55">
        <v>1786.4</v>
      </c>
      <c r="I862" s="55">
        <v>4.5999999999999996</v>
      </c>
      <c r="J862" s="55">
        <v>1791</v>
      </c>
      <c r="K862" s="55">
        <v>0</v>
      </c>
      <c r="L862" s="55">
        <v>0</v>
      </c>
      <c r="M862" s="55">
        <v>0</v>
      </c>
      <c r="N862" s="55">
        <v>0</v>
      </c>
    </row>
    <row r="863" spans="1:14" ht="10.050000000000001" hidden="1" customHeight="1">
      <c r="A863" s="52" t="s">
        <v>310</v>
      </c>
      <c r="B863" s="53">
        <v>2005</v>
      </c>
      <c r="C863" s="52" t="s">
        <v>111</v>
      </c>
      <c r="D863" s="54">
        <v>8</v>
      </c>
      <c r="E863" s="55">
        <v>26823.3</v>
      </c>
      <c r="F863" s="55">
        <v>709</v>
      </c>
      <c r="G863" s="55">
        <v>27532.3</v>
      </c>
      <c r="H863" s="55">
        <v>79853.600000000006</v>
      </c>
      <c r="I863" s="55">
        <v>941.3</v>
      </c>
      <c r="J863" s="55">
        <v>80794.899999999994</v>
      </c>
      <c r="K863" s="55">
        <v>8169.9</v>
      </c>
      <c r="L863" s="55">
        <v>5911.4</v>
      </c>
      <c r="M863" s="55">
        <v>1645.4</v>
      </c>
      <c r="N863" s="55">
        <v>263.8</v>
      </c>
    </row>
    <row r="864" spans="1:14" ht="10.050000000000001" hidden="1" customHeight="1">
      <c r="A864" s="52" t="s">
        <v>308</v>
      </c>
      <c r="B864" s="53">
        <v>2005</v>
      </c>
      <c r="C864" s="52" t="s">
        <v>111</v>
      </c>
      <c r="D864" s="54">
        <v>8</v>
      </c>
      <c r="E864" s="55">
        <v>314.5</v>
      </c>
      <c r="F864" s="55">
        <v>17.5</v>
      </c>
      <c r="G864" s="55">
        <v>332</v>
      </c>
      <c r="H864" s="55">
        <v>6774</v>
      </c>
      <c r="I864" s="55">
        <v>152.19999999999999</v>
      </c>
      <c r="J864" s="55">
        <v>6926.2</v>
      </c>
      <c r="K864" s="55">
        <v>406.5</v>
      </c>
      <c r="L864" s="55">
        <v>114.1</v>
      </c>
      <c r="M864" s="55">
        <v>0</v>
      </c>
      <c r="N864" s="55">
        <v>83.7</v>
      </c>
    </row>
    <row r="865" spans="1:14" ht="10.050000000000001" hidden="1" customHeight="1">
      <c r="A865" s="52" t="s">
        <v>174</v>
      </c>
      <c r="B865" s="53">
        <v>2005</v>
      </c>
      <c r="C865" s="52" t="s">
        <v>111</v>
      </c>
      <c r="D865" s="54">
        <v>8</v>
      </c>
      <c r="E865" s="55">
        <v>244869.6</v>
      </c>
      <c r="F865" s="55">
        <v>11874.4</v>
      </c>
      <c r="G865" s="55">
        <v>256744</v>
      </c>
      <c r="H865" s="55">
        <v>408477.2</v>
      </c>
      <c r="I865" s="55">
        <v>25383</v>
      </c>
      <c r="J865" s="55">
        <v>433860.2</v>
      </c>
      <c r="K865" s="55">
        <v>72977.8</v>
      </c>
      <c r="L865" s="55">
        <v>25163.5</v>
      </c>
      <c r="M865" s="55">
        <v>5600</v>
      </c>
      <c r="N865" s="55">
        <v>3777.9</v>
      </c>
    </row>
    <row r="866" spans="1:14" ht="10.050000000000001" hidden="1" customHeight="1">
      <c r="A866" s="52" t="s">
        <v>314</v>
      </c>
      <c r="B866" s="53">
        <v>2005</v>
      </c>
      <c r="C866" s="52" t="s">
        <v>111</v>
      </c>
      <c r="D866" s="54">
        <v>9</v>
      </c>
      <c r="E866" s="55">
        <v>13.5</v>
      </c>
      <c r="F866" s="55">
        <v>0</v>
      </c>
      <c r="G866" s="55">
        <v>13.5</v>
      </c>
      <c r="H866" s="55">
        <v>442.9</v>
      </c>
      <c r="I866" s="55">
        <v>0</v>
      </c>
      <c r="J866" s="55">
        <v>442.9</v>
      </c>
      <c r="K866" s="55">
        <v>0</v>
      </c>
      <c r="L866" s="55">
        <v>0</v>
      </c>
      <c r="M866" s="55">
        <v>0</v>
      </c>
      <c r="N866" s="55">
        <v>0</v>
      </c>
    </row>
    <row r="867" spans="1:14" ht="10.050000000000001" hidden="1" customHeight="1">
      <c r="A867" s="52" t="s">
        <v>306</v>
      </c>
      <c r="B867" s="53">
        <v>2005</v>
      </c>
      <c r="C867" s="52" t="s">
        <v>111</v>
      </c>
      <c r="D867" s="54">
        <v>9</v>
      </c>
      <c r="E867" s="55">
        <v>9939.7000000000007</v>
      </c>
      <c r="F867" s="55">
        <v>1408.6</v>
      </c>
      <c r="G867" s="55">
        <v>11348.3</v>
      </c>
      <c r="H867" s="55">
        <v>128673.1</v>
      </c>
      <c r="I867" s="55">
        <v>5898.4</v>
      </c>
      <c r="J867" s="55">
        <v>134571.5</v>
      </c>
      <c r="K867" s="55">
        <v>13767.2</v>
      </c>
      <c r="L867" s="55">
        <v>2164.1</v>
      </c>
      <c r="M867" s="55">
        <v>4095.4</v>
      </c>
      <c r="N867" s="55">
        <v>381.7</v>
      </c>
    </row>
    <row r="868" spans="1:14" ht="10.050000000000001" hidden="1" customHeight="1">
      <c r="A868" s="52" t="s">
        <v>172</v>
      </c>
      <c r="B868" s="53">
        <v>2005</v>
      </c>
      <c r="C868" s="52" t="s">
        <v>111</v>
      </c>
      <c r="D868" s="54">
        <v>9</v>
      </c>
      <c r="E868" s="55">
        <v>132427.1</v>
      </c>
      <c r="F868" s="55">
        <v>7096.8</v>
      </c>
      <c r="G868" s="55">
        <v>139523.9</v>
      </c>
      <c r="H868" s="55">
        <v>670512.5</v>
      </c>
      <c r="I868" s="55">
        <v>39819.4</v>
      </c>
      <c r="J868" s="55">
        <v>710331.9</v>
      </c>
      <c r="K868" s="55">
        <v>192780.6</v>
      </c>
      <c r="L868" s="55">
        <v>6196</v>
      </c>
      <c r="M868" s="55">
        <v>63188</v>
      </c>
      <c r="N868" s="55">
        <v>439</v>
      </c>
    </row>
    <row r="869" spans="1:14" ht="10.050000000000001" hidden="1" customHeight="1">
      <c r="A869" s="52" t="s">
        <v>171</v>
      </c>
      <c r="B869" s="53">
        <v>2005</v>
      </c>
      <c r="C869" s="52" t="s">
        <v>111</v>
      </c>
      <c r="D869" s="54">
        <v>9</v>
      </c>
      <c r="E869" s="55">
        <v>1512564.3</v>
      </c>
      <c r="F869" s="55">
        <v>129659.7</v>
      </c>
      <c r="G869" s="55">
        <v>1642224</v>
      </c>
      <c r="H869" s="55">
        <v>11916705</v>
      </c>
      <c r="I869" s="55">
        <v>203474.5</v>
      </c>
      <c r="J869" s="55">
        <v>12120179.5</v>
      </c>
      <c r="K869" s="55">
        <v>3297005.9</v>
      </c>
      <c r="L869" s="55">
        <v>221528.9</v>
      </c>
      <c r="M869" s="55">
        <v>914546.4</v>
      </c>
      <c r="N869" s="55">
        <v>35337.9</v>
      </c>
    </row>
    <row r="870" spans="1:14" ht="10.050000000000001" hidden="1" customHeight="1">
      <c r="A870" s="52" t="s">
        <v>300</v>
      </c>
      <c r="B870" s="53">
        <v>2005</v>
      </c>
      <c r="C870" s="52" t="s">
        <v>111</v>
      </c>
      <c r="D870" s="54">
        <v>9</v>
      </c>
      <c r="E870" s="55">
        <v>215.5</v>
      </c>
      <c r="F870" s="55">
        <v>16.100000000000001</v>
      </c>
      <c r="G870" s="55">
        <v>231.6</v>
      </c>
      <c r="H870" s="55">
        <v>2382</v>
      </c>
      <c r="I870" s="55">
        <v>115.6</v>
      </c>
      <c r="J870" s="55">
        <v>2497.6</v>
      </c>
      <c r="K870" s="55">
        <v>107.8</v>
      </c>
      <c r="L870" s="55">
        <v>0</v>
      </c>
      <c r="M870" s="55">
        <v>0</v>
      </c>
      <c r="N870" s="55">
        <v>0</v>
      </c>
    </row>
    <row r="871" spans="1:14" ht="10.050000000000001" hidden="1" customHeight="1">
      <c r="A871" s="52" t="s">
        <v>307</v>
      </c>
      <c r="B871" s="53">
        <v>2005</v>
      </c>
      <c r="C871" s="52" t="s">
        <v>111</v>
      </c>
      <c r="D871" s="54">
        <v>9</v>
      </c>
      <c r="E871" s="55">
        <v>952434.8</v>
      </c>
      <c r="F871" s="55">
        <v>28639.8</v>
      </c>
      <c r="G871" s="55">
        <v>981074.6</v>
      </c>
      <c r="H871" s="55">
        <v>767452.5</v>
      </c>
      <c r="I871" s="55">
        <v>58746.6</v>
      </c>
      <c r="J871" s="55">
        <v>826199.1</v>
      </c>
      <c r="K871" s="55">
        <v>311881</v>
      </c>
      <c r="L871" s="55">
        <v>259514.3</v>
      </c>
      <c r="M871" s="55">
        <v>45581</v>
      </c>
      <c r="N871" s="55">
        <v>20374.599999999999</v>
      </c>
    </row>
    <row r="872" spans="1:14" ht="10.050000000000001" hidden="1" customHeight="1">
      <c r="A872" s="52" t="s">
        <v>315</v>
      </c>
      <c r="B872" s="53">
        <v>2005</v>
      </c>
      <c r="C872" s="52" t="s">
        <v>111</v>
      </c>
      <c r="D872" s="54">
        <v>9</v>
      </c>
      <c r="E872" s="55">
        <v>11338.6</v>
      </c>
      <c r="F872" s="55">
        <v>0</v>
      </c>
      <c r="G872" s="55">
        <v>11338.6</v>
      </c>
      <c r="H872" s="55">
        <v>33645.5</v>
      </c>
      <c r="I872" s="55">
        <v>0</v>
      </c>
      <c r="J872" s="55">
        <v>33645.5</v>
      </c>
      <c r="K872" s="55">
        <v>629.79999999999995</v>
      </c>
      <c r="L872" s="55">
        <v>1078.7</v>
      </c>
      <c r="M872" s="55">
        <v>564.4</v>
      </c>
      <c r="N872" s="55">
        <v>0</v>
      </c>
    </row>
    <row r="873" spans="1:14" ht="10.050000000000001" hidden="1" customHeight="1">
      <c r="A873" s="52" t="s">
        <v>173</v>
      </c>
      <c r="B873" s="53">
        <v>2005</v>
      </c>
      <c r="C873" s="52" t="s">
        <v>111</v>
      </c>
      <c r="D873" s="54">
        <v>9</v>
      </c>
      <c r="E873" s="55">
        <v>300820.90000000002</v>
      </c>
      <c r="F873" s="55">
        <v>14522.6</v>
      </c>
      <c r="G873" s="55">
        <v>315343.5</v>
      </c>
      <c r="H873" s="55">
        <v>4566694.5</v>
      </c>
      <c r="I873" s="55">
        <v>61972.4</v>
      </c>
      <c r="J873" s="55">
        <v>4628666.9000000004</v>
      </c>
      <c r="K873" s="55">
        <v>656121.19999999995</v>
      </c>
      <c r="L873" s="55">
        <v>17805</v>
      </c>
      <c r="M873" s="55">
        <v>213672.8</v>
      </c>
      <c r="N873" s="55">
        <v>8094.4</v>
      </c>
    </row>
    <row r="874" spans="1:14" ht="10.050000000000001" customHeight="1">
      <c r="A874" s="52" t="s">
        <v>309</v>
      </c>
      <c r="B874" s="53">
        <v>2005</v>
      </c>
      <c r="C874" s="52" t="s">
        <v>111</v>
      </c>
      <c r="D874" s="54">
        <v>9</v>
      </c>
      <c r="E874" s="55">
        <v>43861.2</v>
      </c>
      <c r="F874" s="55">
        <v>70.900000000000006</v>
      </c>
      <c r="G874" s="55">
        <v>43932.1</v>
      </c>
      <c r="H874" s="55">
        <v>20231.599999999999</v>
      </c>
      <c r="I874" s="55">
        <v>0</v>
      </c>
      <c r="J874" s="55">
        <v>20231.599999999999</v>
      </c>
      <c r="K874" s="55">
        <v>0</v>
      </c>
      <c r="L874" s="55">
        <v>0</v>
      </c>
      <c r="M874" s="55">
        <v>0</v>
      </c>
      <c r="N874" s="55">
        <v>0</v>
      </c>
    </row>
    <row r="875" spans="1:14" ht="10.050000000000001" hidden="1" customHeight="1">
      <c r="A875" s="52" t="s">
        <v>316</v>
      </c>
      <c r="B875" s="53">
        <v>2005</v>
      </c>
      <c r="C875" s="52" t="s">
        <v>111</v>
      </c>
      <c r="D875" s="54">
        <v>9</v>
      </c>
      <c r="E875" s="55">
        <v>1002.1</v>
      </c>
      <c r="F875" s="55">
        <v>15</v>
      </c>
      <c r="G875" s="55">
        <v>1017.1</v>
      </c>
      <c r="H875" s="55">
        <v>2268.8000000000002</v>
      </c>
      <c r="I875" s="55">
        <v>18.7</v>
      </c>
      <c r="J875" s="55">
        <v>2287.5</v>
      </c>
      <c r="K875" s="55">
        <v>0</v>
      </c>
      <c r="L875" s="55">
        <v>0</v>
      </c>
      <c r="M875" s="55">
        <v>0</v>
      </c>
      <c r="N875" s="55">
        <v>0</v>
      </c>
    </row>
    <row r="876" spans="1:14" ht="10.050000000000001" hidden="1" customHeight="1">
      <c r="A876" s="52" t="s">
        <v>310</v>
      </c>
      <c r="B876" s="53">
        <v>2005</v>
      </c>
      <c r="C876" s="52" t="s">
        <v>111</v>
      </c>
      <c r="D876" s="54">
        <v>9</v>
      </c>
      <c r="E876" s="55">
        <v>3372.4</v>
      </c>
      <c r="F876" s="55">
        <v>431.6</v>
      </c>
      <c r="G876" s="55">
        <v>3804</v>
      </c>
      <c r="H876" s="55">
        <v>75782</v>
      </c>
      <c r="I876" s="55">
        <v>918.1</v>
      </c>
      <c r="J876" s="55">
        <v>76700.100000000006</v>
      </c>
      <c r="K876" s="55">
        <v>6908</v>
      </c>
      <c r="L876" s="55">
        <v>657.9</v>
      </c>
      <c r="M876" s="55">
        <v>1766</v>
      </c>
      <c r="N876" s="55">
        <v>153.80000000000001</v>
      </c>
    </row>
    <row r="877" spans="1:14" ht="10.050000000000001" hidden="1" customHeight="1">
      <c r="A877" s="52" t="s">
        <v>308</v>
      </c>
      <c r="B877" s="53">
        <v>2005</v>
      </c>
      <c r="C877" s="52" t="s">
        <v>111</v>
      </c>
      <c r="D877" s="54">
        <v>9</v>
      </c>
      <c r="E877" s="55">
        <v>58006.6</v>
      </c>
      <c r="F877" s="55">
        <v>392.2</v>
      </c>
      <c r="G877" s="55">
        <v>58398.8</v>
      </c>
      <c r="H877" s="55">
        <v>54986.7</v>
      </c>
      <c r="I877" s="55">
        <v>152.19999999999999</v>
      </c>
      <c r="J877" s="55">
        <v>55138.9</v>
      </c>
      <c r="K877" s="55">
        <v>9432.7000000000007</v>
      </c>
      <c r="L877" s="55">
        <v>9129.4</v>
      </c>
      <c r="M877" s="55">
        <v>69.400000000000006</v>
      </c>
      <c r="N877" s="55">
        <v>33.799999999999997</v>
      </c>
    </row>
    <row r="878" spans="1:14" ht="10.050000000000001" hidden="1" customHeight="1">
      <c r="A878" s="52" t="s">
        <v>174</v>
      </c>
      <c r="B878" s="53">
        <v>2005</v>
      </c>
      <c r="C878" s="52" t="s">
        <v>111</v>
      </c>
      <c r="D878" s="54">
        <v>9</v>
      </c>
      <c r="E878" s="55">
        <v>13820.9</v>
      </c>
      <c r="F878" s="55">
        <v>9216.6</v>
      </c>
      <c r="G878" s="55">
        <v>23037.5</v>
      </c>
      <c r="H878" s="55">
        <v>340612.5</v>
      </c>
      <c r="I878" s="55">
        <v>25452</v>
      </c>
      <c r="J878" s="55">
        <v>366064.5</v>
      </c>
      <c r="K878" s="55">
        <v>68795.399999999994</v>
      </c>
      <c r="L878" s="55">
        <v>6057.2</v>
      </c>
      <c r="M878" s="55">
        <v>4891</v>
      </c>
      <c r="N878" s="55">
        <v>5348.6</v>
      </c>
    </row>
    <row r="879" spans="1:14" ht="10.050000000000001" hidden="1" customHeight="1">
      <c r="A879" s="52" t="s">
        <v>314</v>
      </c>
      <c r="B879" s="53">
        <v>2005</v>
      </c>
      <c r="C879" s="52" t="s">
        <v>111</v>
      </c>
      <c r="D879" s="54">
        <v>10</v>
      </c>
      <c r="E879" s="55">
        <v>0</v>
      </c>
      <c r="F879" s="55">
        <v>0</v>
      </c>
      <c r="G879" s="55">
        <v>0</v>
      </c>
      <c r="H879" s="55">
        <v>278</v>
      </c>
      <c r="I879" s="55">
        <v>0</v>
      </c>
      <c r="J879" s="55">
        <v>278</v>
      </c>
      <c r="K879" s="55">
        <v>0</v>
      </c>
      <c r="L879" s="55">
        <v>0</v>
      </c>
      <c r="M879" s="55">
        <v>0</v>
      </c>
      <c r="N879" s="55">
        <v>0</v>
      </c>
    </row>
    <row r="880" spans="1:14" ht="10.050000000000001" hidden="1" customHeight="1">
      <c r="A880" s="52" t="s">
        <v>306</v>
      </c>
      <c r="B880" s="53">
        <v>2005</v>
      </c>
      <c r="C880" s="52" t="s">
        <v>111</v>
      </c>
      <c r="D880" s="54">
        <v>10</v>
      </c>
      <c r="E880" s="55">
        <v>4205.6000000000004</v>
      </c>
      <c r="F880" s="55">
        <v>1136.0999999999999</v>
      </c>
      <c r="G880" s="55">
        <v>5341.7</v>
      </c>
      <c r="H880" s="55">
        <v>115090.9</v>
      </c>
      <c r="I880" s="55">
        <v>6069.9</v>
      </c>
      <c r="J880" s="55">
        <v>121160.8</v>
      </c>
      <c r="K880" s="55">
        <v>12631.4</v>
      </c>
      <c r="L880" s="55">
        <v>438.7</v>
      </c>
      <c r="M880" s="55">
        <v>1069.8</v>
      </c>
      <c r="N880" s="55">
        <v>504.7</v>
      </c>
    </row>
    <row r="881" spans="1:14" ht="10.050000000000001" hidden="1" customHeight="1">
      <c r="A881" s="52" t="s">
        <v>172</v>
      </c>
      <c r="B881" s="53">
        <v>2005</v>
      </c>
      <c r="C881" s="52" t="s">
        <v>111</v>
      </c>
      <c r="D881" s="54">
        <v>10</v>
      </c>
      <c r="E881" s="55">
        <v>123244.9</v>
      </c>
      <c r="F881" s="55">
        <v>5141.6000000000004</v>
      </c>
      <c r="G881" s="55">
        <v>128386.5</v>
      </c>
      <c r="H881" s="55">
        <v>633300.19999999995</v>
      </c>
      <c r="I881" s="55">
        <v>33044.1</v>
      </c>
      <c r="J881" s="55">
        <v>666344.30000000005</v>
      </c>
      <c r="K881" s="55">
        <v>128887.6</v>
      </c>
      <c r="L881" s="55">
        <v>4245.5</v>
      </c>
      <c r="M881" s="55">
        <v>68009.899999999994</v>
      </c>
      <c r="N881" s="55">
        <v>128.6</v>
      </c>
    </row>
    <row r="882" spans="1:14" ht="10.050000000000001" hidden="1" customHeight="1">
      <c r="A882" s="52" t="s">
        <v>171</v>
      </c>
      <c r="B882" s="53">
        <v>2005</v>
      </c>
      <c r="C882" s="52" t="s">
        <v>111</v>
      </c>
      <c r="D882" s="54">
        <v>10</v>
      </c>
      <c r="E882" s="55">
        <v>1070692.7</v>
      </c>
      <c r="F882" s="55">
        <v>45385.4</v>
      </c>
      <c r="G882" s="55">
        <v>1116078.1000000001</v>
      </c>
      <c r="H882" s="55">
        <v>10708073.6</v>
      </c>
      <c r="I882" s="55">
        <v>166204.1</v>
      </c>
      <c r="J882" s="55">
        <v>10874277.699999999</v>
      </c>
      <c r="K882" s="55">
        <v>2876482.9</v>
      </c>
      <c r="L882" s="55">
        <v>114759.2</v>
      </c>
      <c r="M882" s="55">
        <v>517145.2</v>
      </c>
      <c r="N882" s="55">
        <v>19357.5</v>
      </c>
    </row>
    <row r="883" spans="1:14" ht="10.050000000000001" hidden="1" customHeight="1">
      <c r="A883" s="52" t="s">
        <v>300</v>
      </c>
      <c r="B883" s="53">
        <v>2005</v>
      </c>
      <c r="C883" s="52" t="s">
        <v>111</v>
      </c>
      <c r="D883" s="54">
        <v>10</v>
      </c>
      <c r="E883" s="55">
        <v>150.69999999999999</v>
      </c>
      <c r="F883" s="55">
        <v>0</v>
      </c>
      <c r="G883" s="55">
        <v>150.69999999999999</v>
      </c>
      <c r="H883" s="55">
        <v>2319.4</v>
      </c>
      <c r="I883" s="55">
        <v>107.3</v>
      </c>
      <c r="J883" s="55">
        <v>2426.6999999999998</v>
      </c>
      <c r="K883" s="55">
        <v>107.8</v>
      </c>
      <c r="L883" s="55">
        <v>0</v>
      </c>
      <c r="M883" s="55">
        <v>0</v>
      </c>
      <c r="N883" s="55">
        <v>0</v>
      </c>
    </row>
    <row r="884" spans="1:14" ht="10.050000000000001" hidden="1" customHeight="1">
      <c r="A884" s="52" t="s">
        <v>307</v>
      </c>
      <c r="B884" s="53">
        <v>2005</v>
      </c>
      <c r="C884" s="52" t="s">
        <v>111</v>
      </c>
      <c r="D884" s="54">
        <v>10</v>
      </c>
      <c r="E884" s="55">
        <v>5209786.9000000004</v>
      </c>
      <c r="F884" s="55">
        <v>67311.100000000006</v>
      </c>
      <c r="G884" s="55">
        <v>5277098</v>
      </c>
      <c r="H884" s="55">
        <v>4767071.5999999996</v>
      </c>
      <c r="I884" s="55">
        <v>102628.1</v>
      </c>
      <c r="J884" s="55">
        <v>4869699.7</v>
      </c>
      <c r="K884" s="55">
        <v>2015922.2</v>
      </c>
      <c r="L884" s="55">
        <v>1870990.2</v>
      </c>
      <c r="M884" s="55">
        <v>112196.3</v>
      </c>
      <c r="N884" s="55">
        <v>54957.1</v>
      </c>
    </row>
    <row r="885" spans="1:14" ht="10.050000000000001" hidden="1" customHeight="1">
      <c r="A885" s="52" t="s">
        <v>315</v>
      </c>
      <c r="B885" s="53">
        <v>2005</v>
      </c>
      <c r="C885" s="52" t="s">
        <v>111</v>
      </c>
      <c r="D885" s="54">
        <v>10</v>
      </c>
      <c r="E885" s="55">
        <v>8071</v>
      </c>
      <c r="F885" s="55">
        <v>0</v>
      </c>
      <c r="G885" s="55">
        <v>8071</v>
      </c>
      <c r="H885" s="55">
        <v>39028.1</v>
      </c>
      <c r="I885" s="55">
        <v>0</v>
      </c>
      <c r="J885" s="55">
        <v>39028.1</v>
      </c>
      <c r="K885" s="55">
        <v>487.5</v>
      </c>
      <c r="L885" s="55">
        <v>558.5</v>
      </c>
      <c r="M885" s="55">
        <v>700.8</v>
      </c>
      <c r="N885" s="55">
        <v>0</v>
      </c>
    </row>
    <row r="886" spans="1:14" ht="10.050000000000001" hidden="1" customHeight="1">
      <c r="A886" s="52" t="s">
        <v>173</v>
      </c>
      <c r="B886" s="53">
        <v>2005</v>
      </c>
      <c r="C886" s="52" t="s">
        <v>111</v>
      </c>
      <c r="D886" s="54">
        <v>10</v>
      </c>
      <c r="E886" s="55">
        <v>157935.5</v>
      </c>
      <c r="F886" s="55">
        <v>16545.099999999999</v>
      </c>
      <c r="G886" s="55">
        <v>174480.6</v>
      </c>
      <c r="H886" s="55">
        <v>4226371.5999999996</v>
      </c>
      <c r="I886" s="55">
        <v>60249.3</v>
      </c>
      <c r="J886" s="55">
        <v>4286620.9000000004</v>
      </c>
      <c r="K886" s="55">
        <v>570836.80000000005</v>
      </c>
      <c r="L886" s="55">
        <v>9727.7000000000007</v>
      </c>
      <c r="M886" s="55">
        <v>87631.8</v>
      </c>
      <c r="N886" s="55">
        <v>7380.3</v>
      </c>
    </row>
    <row r="887" spans="1:14" ht="10.050000000000001" customHeight="1">
      <c r="A887" s="52" t="s">
        <v>309</v>
      </c>
      <c r="B887" s="53">
        <v>2005</v>
      </c>
      <c r="C887" s="52" t="s">
        <v>111</v>
      </c>
      <c r="D887" s="54">
        <v>10</v>
      </c>
      <c r="E887" s="55">
        <v>38797.9</v>
      </c>
      <c r="F887" s="55">
        <v>818.6</v>
      </c>
      <c r="G887" s="55">
        <v>39616.5</v>
      </c>
      <c r="H887" s="55">
        <v>35216.1</v>
      </c>
      <c r="I887" s="55">
        <v>0</v>
      </c>
      <c r="J887" s="55">
        <v>35216.1</v>
      </c>
      <c r="K887" s="55">
        <v>0</v>
      </c>
      <c r="L887" s="55">
        <v>0</v>
      </c>
      <c r="M887" s="55">
        <v>0</v>
      </c>
      <c r="N887" s="55">
        <v>0</v>
      </c>
    </row>
    <row r="888" spans="1:14" ht="10.050000000000001" hidden="1" customHeight="1">
      <c r="A888" s="52" t="s">
        <v>316</v>
      </c>
      <c r="B888" s="53">
        <v>2005</v>
      </c>
      <c r="C888" s="52" t="s">
        <v>111</v>
      </c>
      <c r="D888" s="54">
        <v>10</v>
      </c>
      <c r="E888" s="55">
        <v>3835.4</v>
      </c>
      <c r="F888" s="55">
        <v>0</v>
      </c>
      <c r="G888" s="55">
        <v>3835.4</v>
      </c>
      <c r="H888" s="55">
        <v>5569.1</v>
      </c>
      <c r="I888" s="55">
        <v>18.5</v>
      </c>
      <c r="J888" s="55">
        <v>5587.6</v>
      </c>
      <c r="K888" s="55">
        <v>0</v>
      </c>
      <c r="L888" s="55">
        <v>0</v>
      </c>
      <c r="M888" s="55">
        <v>0</v>
      </c>
      <c r="N888" s="55">
        <v>0</v>
      </c>
    </row>
    <row r="889" spans="1:14" ht="10.050000000000001" hidden="1" customHeight="1">
      <c r="A889" s="52" t="s">
        <v>310</v>
      </c>
      <c r="B889" s="53">
        <v>2005</v>
      </c>
      <c r="C889" s="52" t="s">
        <v>111</v>
      </c>
      <c r="D889" s="54">
        <v>10</v>
      </c>
      <c r="E889" s="55">
        <v>2308.6</v>
      </c>
      <c r="F889" s="55">
        <v>69.900000000000006</v>
      </c>
      <c r="G889" s="55">
        <v>2378.5</v>
      </c>
      <c r="H889" s="55">
        <v>67024.100000000006</v>
      </c>
      <c r="I889" s="55">
        <v>819.4</v>
      </c>
      <c r="J889" s="55">
        <v>67843.5</v>
      </c>
      <c r="K889" s="55">
        <v>6244.1</v>
      </c>
      <c r="L889" s="55">
        <v>501.3</v>
      </c>
      <c r="M889" s="55">
        <v>900.6</v>
      </c>
      <c r="N889" s="55">
        <v>264.60000000000002</v>
      </c>
    </row>
    <row r="890" spans="1:14" ht="10.050000000000001" hidden="1" customHeight="1">
      <c r="A890" s="52" t="s">
        <v>308</v>
      </c>
      <c r="B890" s="53">
        <v>2005</v>
      </c>
      <c r="C890" s="52" t="s">
        <v>111</v>
      </c>
      <c r="D890" s="54">
        <v>10</v>
      </c>
      <c r="E890" s="55">
        <v>88235.1</v>
      </c>
      <c r="F890" s="55">
        <v>114.4</v>
      </c>
      <c r="G890" s="55">
        <v>88349.5</v>
      </c>
      <c r="H890" s="55">
        <v>137457.60000000001</v>
      </c>
      <c r="I890" s="55">
        <v>152.19999999999999</v>
      </c>
      <c r="J890" s="55">
        <v>137609.79999999999</v>
      </c>
      <c r="K890" s="55">
        <v>14712.2</v>
      </c>
      <c r="L890" s="55">
        <v>9550.6</v>
      </c>
      <c r="M890" s="55">
        <v>4075.8</v>
      </c>
      <c r="N890" s="55">
        <v>195.3</v>
      </c>
    </row>
    <row r="891" spans="1:14" ht="10.050000000000001" hidden="1" customHeight="1">
      <c r="A891" s="52" t="s">
        <v>174</v>
      </c>
      <c r="B891" s="53">
        <v>2005</v>
      </c>
      <c r="C891" s="52" t="s">
        <v>111</v>
      </c>
      <c r="D891" s="54">
        <v>10</v>
      </c>
      <c r="E891" s="55">
        <v>9236.1</v>
      </c>
      <c r="F891" s="55">
        <v>3413.9</v>
      </c>
      <c r="G891" s="55">
        <v>12650</v>
      </c>
      <c r="H891" s="55">
        <v>284419</v>
      </c>
      <c r="I891" s="55">
        <v>20681.400000000001</v>
      </c>
      <c r="J891" s="55">
        <v>305100.40000000002</v>
      </c>
      <c r="K891" s="55">
        <v>63008.9</v>
      </c>
      <c r="L891" s="55">
        <v>1326.4</v>
      </c>
      <c r="M891" s="55">
        <v>3158.2</v>
      </c>
      <c r="N891" s="55">
        <v>3954.7</v>
      </c>
    </row>
    <row r="892" spans="1:14" ht="10.050000000000001" hidden="1" customHeight="1">
      <c r="A892" s="52" t="s">
        <v>314</v>
      </c>
      <c r="B892" s="53">
        <v>2005</v>
      </c>
      <c r="C892" s="52" t="s">
        <v>111</v>
      </c>
      <c r="D892" s="54">
        <v>11</v>
      </c>
      <c r="E892" s="55">
        <v>1.6</v>
      </c>
      <c r="F892" s="55">
        <v>0</v>
      </c>
      <c r="G892" s="55">
        <v>1.6</v>
      </c>
      <c r="H892" s="55">
        <v>285.60000000000002</v>
      </c>
      <c r="I892" s="55">
        <v>0</v>
      </c>
      <c r="J892" s="55">
        <v>285.60000000000002</v>
      </c>
      <c r="K892" s="55">
        <v>0</v>
      </c>
      <c r="L892" s="55">
        <v>1.6</v>
      </c>
      <c r="M892" s="55">
        <v>1.6</v>
      </c>
      <c r="N892" s="55">
        <v>0</v>
      </c>
    </row>
    <row r="893" spans="1:14" ht="10.050000000000001" hidden="1" customHeight="1">
      <c r="A893" s="52" t="s">
        <v>306</v>
      </c>
      <c r="B893" s="53">
        <v>2005</v>
      </c>
      <c r="C893" s="52" t="s">
        <v>111</v>
      </c>
      <c r="D893" s="54">
        <v>11</v>
      </c>
      <c r="E893" s="55">
        <v>5133.7</v>
      </c>
      <c r="F893" s="55">
        <v>2576.8000000000002</v>
      </c>
      <c r="G893" s="55">
        <v>7710.5</v>
      </c>
      <c r="H893" s="55">
        <v>101349.7</v>
      </c>
      <c r="I893" s="55">
        <v>7583.5</v>
      </c>
      <c r="J893" s="55">
        <v>108933.2</v>
      </c>
      <c r="K893" s="55">
        <v>11390.1</v>
      </c>
      <c r="L893" s="55">
        <v>697.9</v>
      </c>
      <c r="M893" s="55">
        <v>1336.9</v>
      </c>
      <c r="N893" s="55">
        <v>602.29999999999995</v>
      </c>
    </row>
    <row r="894" spans="1:14" ht="10.050000000000001" hidden="1" customHeight="1">
      <c r="A894" s="52" t="s">
        <v>172</v>
      </c>
      <c r="B894" s="53">
        <v>2005</v>
      </c>
      <c r="C894" s="52" t="s">
        <v>111</v>
      </c>
      <c r="D894" s="54">
        <v>11</v>
      </c>
      <c r="E894" s="55">
        <v>131812.9</v>
      </c>
      <c r="F894" s="55">
        <v>2388</v>
      </c>
      <c r="G894" s="55">
        <v>134200.9</v>
      </c>
      <c r="H894" s="55">
        <v>615157.30000000005</v>
      </c>
      <c r="I894" s="55">
        <v>28737.200000000001</v>
      </c>
      <c r="J894" s="55">
        <v>643894.5</v>
      </c>
      <c r="K894" s="55">
        <v>85359.9</v>
      </c>
      <c r="L894" s="55">
        <v>11907.3</v>
      </c>
      <c r="M894" s="55">
        <v>55155.6</v>
      </c>
      <c r="N894" s="55">
        <v>279.39999999999998</v>
      </c>
    </row>
    <row r="895" spans="1:14" ht="10.050000000000001" hidden="1" customHeight="1">
      <c r="A895" s="52" t="s">
        <v>171</v>
      </c>
      <c r="B895" s="53">
        <v>2005</v>
      </c>
      <c r="C895" s="52" t="s">
        <v>111</v>
      </c>
      <c r="D895" s="54">
        <v>11</v>
      </c>
      <c r="E895" s="55">
        <v>1298112.1000000001</v>
      </c>
      <c r="F895" s="55">
        <v>32177.200000000001</v>
      </c>
      <c r="G895" s="55">
        <v>1330289.3</v>
      </c>
      <c r="H895" s="55">
        <v>9515741.5</v>
      </c>
      <c r="I895" s="55">
        <v>158624</v>
      </c>
      <c r="J895" s="55">
        <v>9674365.5</v>
      </c>
      <c r="K895" s="55">
        <v>2703590.1</v>
      </c>
      <c r="L895" s="55">
        <v>334632.09999999998</v>
      </c>
      <c r="M895" s="55">
        <v>489060.3</v>
      </c>
      <c r="N895" s="55">
        <v>22089.599999999999</v>
      </c>
    </row>
    <row r="896" spans="1:14" ht="10.050000000000001" hidden="1" customHeight="1">
      <c r="A896" s="52" t="s">
        <v>300</v>
      </c>
      <c r="B896" s="53">
        <v>2005</v>
      </c>
      <c r="C896" s="52" t="s">
        <v>111</v>
      </c>
      <c r="D896" s="54">
        <v>11</v>
      </c>
      <c r="E896" s="55">
        <v>162.69999999999999</v>
      </c>
      <c r="F896" s="55">
        <v>0</v>
      </c>
      <c r="G896" s="55">
        <v>162.69999999999999</v>
      </c>
      <c r="H896" s="55">
        <v>2251.3000000000002</v>
      </c>
      <c r="I896" s="55">
        <v>74.099999999999994</v>
      </c>
      <c r="J896" s="55">
        <v>2325.4</v>
      </c>
      <c r="K896" s="55">
        <v>109.6</v>
      </c>
      <c r="L896" s="55">
        <v>1.8</v>
      </c>
      <c r="M896" s="55">
        <v>0</v>
      </c>
      <c r="N896" s="55">
        <v>0</v>
      </c>
    </row>
    <row r="897" spans="1:14" ht="10.050000000000001" hidden="1" customHeight="1">
      <c r="A897" s="52" t="s">
        <v>307</v>
      </c>
      <c r="B897" s="53">
        <v>2005</v>
      </c>
      <c r="C897" s="52" t="s">
        <v>111</v>
      </c>
      <c r="D897" s="54">
        <v>11</v>
      </c>
      <c r="E897" s="55">
        <v>2170002.2999999998</v>
      </c>
      <c r="F897" s="55">
        <v>34254.1</v>
      </c>
      <c r="G897" s="55">
        <v>2204256.4</v>
      </c>
      <c r="H897" s="55">
        <v>5794823.4000000004</v>
      </c>
      <c r="I897" s="55">
        <v>131537.1</v>
      </c>
      <c r="J897" s="55">
        <v>5926360.5</v>
      </c>
      <c r="K897" s="55">
        <v>2257019.1</v>
      </c>
      <c r="L897" s="55">
        <v>632061.69999999995</v>
      </c>
      <c r="M897" s="55">
        <v>303653.5</v>
      </c>
      <c r="N897" s="55">
        <v>88085.1</v>
      </c>
    </row>
    <row r="898" spans="1:14" ht="10.050000000000001" hidden="1" customHeight="1">
      <c r="A898" s="52" t="s">
        <v>315</v>
      </c>
      <c r="B898" s="53">
        <v>2005</v>
      </c>
      <c r="C898" s="52" t="s">
        <v>111</v>
      </c>
      <c r="D898" s="54">
        <v>11</v>
      </c>
      <c r="E898" s="55">
        <v>958.9</v>
      </c>
      <c r="F898" s="55">
        <v>0</v>
      </c>
      <c r="G898" s="55">
        <v>958.9</v>
      </c>
      <c r="H898" s="55">
        <v>37020.5</v>
      </c>
      <c r="I898" s="55">
        <v>0</v>
      </c>
      <c r="J898" s="55">
        <v>37020.5</v>
      </c>
      <c r="K898" s="55">
        <v>533.9</v>
      </c>
      <c r="L898" s="55">
        <v>150.69999999999999</v>
      </c>
      <c r="M898" s="55">
        <v>104.3</v>
      </c>
      <c r="N898" s="55">
        <v>0</v>
      </c>
    </row>
    <row r="899" spans="1:14" ht="10.050000000000001" hidden="1" customHeight="1">
      <c r="A899" s="52" t="s">
        <v>173</v>
      </c>
      <c r="B899" s="53">
        <v>2005</v>
      </c>
      <c r="C899" s="52" t="s">
        <v>111</v>
      </c>
      <c r="D899" s="54">
        <v>11</v>
      </c>
      <c r="E899" s="55">
        <v>194986</v>
      </c>
      <c r="F899" s="55">
        <v>31147</v>
      </c>
      <c r="G899" s="55">
        <v>226133</v>
      </c>
      <c r="H899" s="55">
        <v>3861574.9</v>
      </c>
      <c r="I899" s="55">
        <v>72264.2</v>
      </c>
      <c r="J899" s="55">
        <v>3933839.1</v>
      </c>
      <c r="K899" s="55">
        <v>520749.5</v>
      </c>
      <c r="L899" s="55">
        <v>29641.9</v>
      </c>
      <c r="M899" s="55">
        <v>69821.100000000006</v>
      </c>
      <c r="N899" s="55">
        <v>10170.9</v>
      </c>
    </row>
    <row r="900" spans="1:14" ht="10.050000000000001" customHeight="1">
      <c r="A900" s="52" t="s">
        <v>309</v>
      </c>
      <c r="B900" s="53">
        <v>2005</v>
      </c>
      <c r="C900" s="52" t="s">
        <v>111</v>
      </c>
      <c r="D900" s="54">
        <v>11</v>
      </c>
      <c r="E900" s="55">
        <v>3266.8</v>
      </c>
      <c r="F900" s="55">
        <v>618.1</v>
      </c>
      <c r="G900" s="55">
        <v>3884.9</v>
      </c>
      <c r="H900" s="55">
        <v>31531.200000000001</v>
      </c>
      <c r="I900" s="55">
        <v>0</v>
      </c>
      <c r="J900" s="55">
        <v>31531.200000000001</v>
      </c>
      <c r="K900" s="55">
        <v>0</v>
      </c>
      <c r="L900" s="55">
        <v>0</v>
      </c>
      <c r="M900" s="55">
        <v>0</v>
      </c>
      <c r="N900" s="55">
        <v>0</v>
      </c>
    </row>
    <row r="901" spans="1:14" ht="10.050000000000001" hidden="1" customHeight="1">
      <c r="A901" s="52" t="s">
        <v>316</v>
      </c>
      <c r="B901" s="53">
        <v>2005</v>
      </c>
      <c r="C901" s="52" t="s">
        <v>111</v>
      </c>
      <c r="D901" s="54">
        <v>11</v>
      </c>
      <c r="E901" s="55">
        <v>550.70000000000005</v>
      </c>
      <c r="F901" s="55">
        <v>52.7</v>
      </c>
      <c r="G901" s="55">
        <v>603.4</v>
      </c>
      <c r="H901" s="55">
        <v>5812.8</v>
      </c>
      <c r="I901" s="55">
        <v>71.2</v>
      </c>
      <c r="J901" s="55">
        <v>5884</v>
      </c>
      <c r="K901" s="55">
        <v>0</v>
      </c>
      <c r="L901" s="55">
        <v>0</v>
      </c>
      <c r="M901" s="55">
        <v>0</v>
      </c>
      <c r="N901" s="55">
        <v>0</v>
      </c>
    </row>
    <row r="902" spans="1:14" ht="10.050000000000001" hidden="1" customHeight="1">
      <c r="A902" s="52" t="s">
        <v>310</v>
      </c>
      <c r="B902" s="53">
        <v>2005</v>
      </c>
      <c r="C902" s="52" t="s">
        <v>111</v>
      </c>
      <c r="D902" s="54">
        <v>11</v>
      </c>
      <c r="E902" s="55">
        <v>2417.6999999999998</v>
      </c>
      <c r="F902" s="55">
        <v>0</v>
      </c>
      <c r="G902" s="55">
        <v>2417.6999999999998</v>
      </c>
      <c r="H902" s="55">
        <v>59194.6</v>
      </c>
      <c r="I902" s="55">
        <v>774.5</v>
      </c>
      <c r="J902" s="55">
        <v>59969.1</v>
      </c>
      <c r="K902" s="55">
        <v>6144.8</v>
      </c>
      <c r="L902" s="55">
        <v>541.4</v>
      </c>
      <c r="M902" s="55">
        <v>393.4</v>
      </c>
      <c r="N902" s="55">
        <v>247.3</v>
      </c>
    </row>
    <row r="903" spans="1:14" ht="10.050000000000001" hidden="1" customHeight="1">
      <c r="A903" s="52" t="s">
        <v>308</v>
      </c>
      <c r="B903" s="53">
        <v>2005</v>
      </c>
      <c r="C903" s="52" t="s">
        <v>111</v>
      </c>
      <c r="D903" s="54">
        <v>11</v>
      </c>
      <c r="E903" s="55">
        <v>15577</v>
      </c>
      <c r="F903" s="55">
        <v>63.3</v>
      </c>
      <c r="G903" s="55">
        <v>15640.3</v>
      </c>
      <c r="H903" s="55">
        <v>134126.70000000001</v>
      </c>
      <c r="I903" s="55">
        <v>152.19999999999999</v>
      </c>
      <c r="J903" s="55">
        <v>134278.9</v>
      </c>
      <c r="K903" s="55">
        <v>12956.5</v>
      </c>
      <c r="L903" s="55">
        <v>1014.6</v>
      </c>
      <c r="M903" s="55">
        <v>2641.4</v>
      </c>
      <c r="N903" s="55">
        <v>128.9</v>
      </c>
    </row>
    <row r="904" spans="1:14" ht="10.050000000000001" hidden="1" customHeight="1">
      <c r="A904" s="52" t="s">
        <v>174</v>
      </c>
      <c r="B904" s="53">
        <v>2005</v>
      </c>
      <c r="C904" s="52" t="s">
        <v>111</v>
      </c>
      <c r="D904" s="54">
        <v>11</v>
      </c>
      <c r="E904" s="55">
        <v>7906.6</v>
      </c>
      <c r="F904" s="55">
        <v>3810.2</v>
      </c>
      <c r="G904" s="55">
        <v>11716.8</v>
      </c>
      <c r="H904" s="55">
        <v>240108.2</v>
      </c>
      <c r="I904" s="55">
        <v>18818.599999999999</v>
      </c>
      <c r="J904" s="55">
        <v>258926.8</v>
      </c>
      <c r="K904" s="55">
        <v>57017</v>
      </c>
      <c r="L904" s="55">
        <v>1559.7</v>
      </c>
      <c r="M904" s="55">
        <v>2682.7</v>
      </c>
      <c r="N904" s="55">
        <v>5056.2</v>
      </c>
    </row>
    <row r="905" spans="1:14" ht="10.050000000000001" hidden="1" customHeight="1">
      <c r="A905" s="52" t="s">
        <v>314</v>
      </c>
      <c r="B905" s="53">
        <v>2005</v>
      </c>
      <c r="C905" s="52" t="s">
        <v>111</v>
      </c>
      <c r="D905" s="54">
        <v>12</v>
      </c>
      <c r="E905" s="55">
        <v>0</v>
      </c>
      <c r="F905" s="55">
        <v>0</v>
      </c>
      <c r="G905" s="55">
        <v>0</v>
      </c>
      <c r="H905" s="55">
        <v>258.89999999999998</v>
      </c>
      <c r="I905" s="55">
        <v>0</v>
      </c>
      <c r="J905" s="55">
        <v>258.89999999999998</v>
      </c>
      <c r="K905" s="55">
        <v>0</v>
      </c>
      <c r="L905" s="55">
        <v>0</v>
      </c>
      <c r="M905" s="55">
        <v>0</v>
      </c>
      <c r="N905" s="55">
        <v>0</v>
      </c>
    </row>
    <row r="906" spans="1:14" ht="10.050000000000001" hidden="1" customHeight="1">
      <c r="A906" s="52" t="s">
        <v>306</v>
      </c>
      <c r="B906" s="53">
        <v>2005</v>
      </c>
      <c r="C906" s="52" t="s">
        <v>111</v>
      </c>
      <c r="D906" s="54">
        <v>12</v>
      </c>
      <c r="E906" s="55">
        <v>5493.5</v>
      </c>
      <c r="F906" s="55">
        <v>1525.6</v>
      </c>
      <c r="G906" s="55">
        <v>7019.1</v>
      </c>
      <c r="H906" s="55">
        <v>91435.4</v>
      </c>
      <c r="I906" s="55">
        <v>7728.3</v>
      </c>
      <c r="J906" s="55">
        <v>99163.700000000099</v>
      </c>
      <c r="K906" s="55">
        <v>9587.6</v>
      </c>
      <c r="L906" s="55">
        <v>523.79999999999995</v>
      </c>
      <c r="M906" s="55">
        <v>1881.5</v>
      </c>
      <c r="N906" s="55">
        <v>444.8</v>
      </c>
    </row>
    <row r="907" spans="1:14" ht="10.050000000000001" hidden="1" customHeight="1">
      <c r="A907" s="52" t="s">
        <v>172</v>
      </c>
      <c r="B907" s="53">
        <v>2005</v>
      </c>
      <c r="C907" s="52" t="s">
        <v>111</v>
      </c>
      <c r="D907" s="54">
        <v>12</v>
      </c>
      <c r="E907" s="55">
        <v>115004.6</v>
      </c>
      <c r="F907" s="55">
        <v>1547.1</v>
      </c>
      <c r="G907" s="55">
        <v>116551.7</v>
      </c>
      <c r="H907" s="55">
        <v>575400.6</v>
      </c>
      <c r="I907" s="55">
        <v>26839</v>
      </c>
      <c r="J907" s="55">
        <v>602239.6</v>
      </c>
      <c r="K907" s="55">
        <v>70195.5</v>
      </c>
      <c r="L907" s="55">
        <v>17806.099999999999</v>
      </c>
      <c r="M907" s="55">
        <v>32224.3</v>
      </c>
      <c r="N907" s="55">
        <v>746.2</v>
      </c>
    </row>
    <row r="908" spans="1:14" ht="10.050000000000001" hidden="1" customHeight="1">
      <c r="A908" s="52" t="s">
        <v>171</v>
      </c>
      <c r="B908" s="53">
        <v>2005</v>
      </c>
      <c r="C908" s="52" t="s">
        <v>111</v>
      </c>
      <c r="D908" s="54">
        <v>12</v>
      </c>
      <c r="E908" s="55">
        <v>1432409.3</v>
      </c>
      <c r="F908" s="55">
        <v>25945.3</v>
      </c>
      <c r="G908" s="55">
        <v>1458354.6</v>
      </c>
      <c r="H908" s="55">
        <v>8551812.5</v>
      </c>
      <c r="I908" s="55">
        <v>135670.1</v>
      </c>
      <c r="J908" s="55">
        <v>8687482.5999999996</v>
      </c>
      <c r="K908" s="55">
        <v>2453883.7000000002</v>
      </c>
      <c r="L908" s="55">
        <v>358476.9</v>
      </c>
      <c r="M908" s="55">
        <v>586305.80000000005</v>
      </c>
      <c r="N908" s="55">
        <v>27937</v>
      </c>
    </row>
    <row r="909" spans="1:14" ht="10.050000000000001" hidden="1" customHeight="1">
      <c r="A909" s="52" t="s">
        <v>300</v>
      </c>
      <c r="B909" s="53">
        <v>2005</v>
      </c>
      <c r="C909" s="52" t="s">
        <v>111</v>
      </c>
      <c r="D909" s="54">
        <v>12</v>
      </c>
      <c r="E909" s="55">
        <v>292.2</v>
      </c>
      <c r="F909" s="55">
        <v>0</v>
      </c>
      <c r="G909" s="55">
        <v>292.2</v>
      </c>
      <c r="H909" s="55">
        <v>2271.1</v>
      </c>
      <c r="I909" s="55">
        <v>59.4</v>
      </c>
      <c r="J909" s="55">
        <v>2330.5</v>
      </c>
      <c r="K909" s="55">
        <v>61.6</v>
      </c>
      <c r="L909" s="55">
        <v>0</v>
      </c>
      <c r="M909" s="55">
        <v>0</v>
      </c>
      <c r="N909" s="55">
        <v>48</v>
      </c>
    </row>
    <row r="910" spans="1:14" ht="10.050000000000001" hidden="1" customHeight="1">
      <c r="A910" s="52" t="s">
        <v>307</v>
      </c>
      <c r="B910" s="53">
        <v>2005</v>
      </c>
      <c r="C910" s="52" t="s">
        <v>111</v>
      </c>
      <c r="D910" s="54">
        <v>12</v>
      </c>
      <c r="E910" s="55">
        <v>469042.2</v>
      </c>
      <c r="F910" s="55">
        <v>13607.8</v>
      </c>
      <c r="G910" s="55">
        <v>482650</v>
      </c>
      <c r="H910" s="55">
        <v>5337708</v>
      </c>
      <c r="I910" s="55">
        <v>138217.60000000001</v>
      </c>
      <c r="J910" s="55">
        <v>5475925.5999999996</v>
      </c>
      <c r="K910" s="55">
        <v>2008316.9</v>
      </c>
      <c r="L910" s="55">
        <v>71639</v>
      </c>
      <c r="M910" s="55">
        <v>255903.9</v>
      </c>
      <c r="N910" s="55">
        <v>63596</v>
      </c>
    </row>
    <row r="911" spans="1:14" ht="10.050000000000001" hidden="1" customHeight="1">
      <c r="A911" s="52" t="s">
        <v>315</v>
      </c>
      <c r="B911" s="53">
        <v>2005</v>
      </c>
      <c r="C911" s="52" t="s">
        <v>111</v>
      </c>
      <c r="D911" s="54">
        <v>12</v>
      </c>
      <c r="E911" s="55">
        <v>887.9</v>
      </c>
      <c r="F911" s="55">
        <v>0</v>
      </c>
      <c r="G911" s="55">
        <v>887.9</v>
      </c>
      <c r="H911" s="55">
        <v>35079.4</v>
      </c>
      <c r="I911" s="55">
        <v>0</v>
      </c>
      <c r="J911" s="55">
        <v>35079.4</v>
      </c>
      <c r="K911" s="55">
        <v>159.69999999999999</v>
      </c>
      <c r="L911" s="55">
        <v>0</v>
      </c>
      <c r="M911" s="55">
        <v>374.2</v>
      </c>
      <c r="N911" s="55">
        <v>0</v>
      </c>
    </row>
    <row r="912" spans="1:14" ht="10.050000000000001" hidden="1" customHeight="1">
      <c r="A912" s="52" t="s">
        <v>173</v>
      </c>
      <c r="B912" s="53">
        <v>2005</v>
      </c>
      <c r="C912" s="52" t="s">
        <v>111</v>
      </c>
      <c r="D912" s="54">
        <v>12</v>
      </c>
      <c r="E912" s="55">
        <v>218595.6</v>
      </c>
      <c r="F912" s="55">
        <v>12896.9</v>
      </c>
      <c r="G912" s="55">
        <v>231492.5</v>
      </c>
      <c r="H912" s="55">
        <v>3540455</v>
      </c>
      <c r="I912" s="55">
        <v>69090.899999999994</v>
      </c>
      <c r="J912" s="55">
        <v>3609545.9</v>
      </c>
      <c r="K912" s="55">
        <v>456145.1</v>
      </c>
      <c r="L912" s="55">
        <v>34769.800000000003</v>
      </c>
      <c r="M912" s="55">
        <v>87628.3</v>
      </c>
      <c r="N912" s="55">
        <v>12343</v>
      </c>
    </row>
    <row r="913" spans="1:14" ht="10.050000000000001" customHeight="1">
      <c r="A913" s="52" t="s">
        <v>309</v>
      </c>
      <c r="B913" s="53">
        <v>2005</v>
      </c>
      <c r="C913" s="52" t="s">
        <v>111</v>
      </c>
      <c r="D913" s="54">
        <v>12</v>
      </c>
      <c r="E913" s="55">
        <v>0</v>
      </c>
      <c r="F913" s="55">
        <v>0</v>
      </c>
      <c r="G913" s="55">
        <v>0</v>
      </c>
      <c r="H913" s="55">
        <v>29834.5</v>
      </c>
      <c r="I913" s="55">
        <v>0</v>
      </c>
      <c r="J913" s="55">
        <v>29834.5</v>
      </c>
      <c r="K913" s="55">
        <v>0</v>
      </c>
      <c r="L913" s="55">
        <v>0</v>
      </c>
      <c r="M913" s="55">
        <v>0</v>
      </c>
      <c r="N913" s="55">
        <v>0</v>
      </c>
    </row>
    <row r="914" spans="1:14" ht="10.050000000000001" hidden="1" customHeight="1">
      <c r="A914" s="52" t="s">
        <v>316</v>
      </c>
      <c r="B914" s="53">
        <v>2005</v>
      </c>
      <c r="C914" s="52" t="s">
        <v>111</v>
      </c>
      <c r="D914" s="54">
        <v>12</v>
      </c>
      <c r="E914" s="55">
        <v>214.1</v>
      </c>
      <c r="F914" s="55">
        <v>0</v>
      </c>
      <c r="G914" s="55">
        <v>214.1</v>
      </c>
      <c r="H914" s="55">
        <v>5624.6</v>
      </c>
      <c r="I914" s="55">
        <v>71.2</v>
      </c>
      <c r="J914" s="55">
        <v>5695.8</v>
      </c>
      <c r="K914" s="55">
        <v>0</v>
      </c>
      <c r="L914" s="55">
        <v>0</v>
      </c>
      <c r="M914" s="55">
        <v>0</v>
      </c>
      <c r="N914" s="55">
        <v>0</v>
      </c>
    </row>
    <row r="915" spans="1:14" ht="10.050000000000001" hidden="1" customHeight="1">
      <c r="A915" s="52" t="s">
        <v>310</v>
      </c>
      <c r="B915" s="53">
        <v>2005</v>
      </c>
      <c r="C915" s="52" t="s">
        <v>111</v>
      </c>
      <c r="D915" s="54">
        <v>12</v>
      </c>
      <c r="E915" s="55">
        <v>3951</v>
      </c>
      <c r="F915" s="55">
        <v>86.8</v>
      </c>
      <c r="G915" s="55">
        <v>4037.8</v>
      </c>
      <c r="H915" s="55">
        <v>55602.5</v>
      </c>
      <c r="I915" s="55">
        <v>755.2</v>
      </c>
      <c r="J915" s="55">
        <v>56357.7</v>
      </c>
      <c r="K915" s="55">
        <v>4649.5</v>
      </c>
      <c r="L915" s="55">
        <v>501.8</v>
      </c>
      <c r="M915" s="55">
        <v>1913.9</v>
      </c>
      <c r="N915" s="55">
        <v>83.2</v>
      </c>
    </row>
    <row r="916" spans="1:14" ht="10.050000000000001" hidden="1" customHeight="1">
      <c r="A916" s="52" t="s">
        <v>308</v>
      </c>
      <c r="B916" s="53">
        <v>2005</v>
      </c>
      <c r="C916" s="52" t="s">
        <v>111</v>
      </c>
      <c r="D916" s="54">
        <v>12</v>
      </c>
      <c r="E916" s="55">
        <v>4403.2</v>
      </c>
      <c r="F916" s="55">
        <v>0</v>
      </c>
      <c r="G916" s="55">
        <v>4403.2</v>
      </c>
      <c r="H916" s="55">
        <v>119729</v>
      </c>
      <c r="I916" s="55">
        <v>152.19999999999999</v>
      </c>
      <c r="J916" s="55">
        <v>119881.2</v>
      </c>
      <c r="K916" s="55">
        <v>11014.1</v>
      </c>
      <c r="L916" s="55">
        <v>480.9</v>
      </c>
      <c r="M916" s="55">
        <v>2282.6999999999998</v>
      </c>
      <c r="N916" s="55">
        <v>140.6</v>
      </c>
    </row>
    <row r="917" spans="1:14" ht="10.050000000000001" hidden="1" customHeight="1">
      <c r="A917" s="52" t="s">
        <v>174</v>
      </c>
      <c r="B917" s="53">
        <v>2005</v>
      </c>
      <c r="C917" s="52" t="s">
        <v>111</v>
      </c>
      <c r="D917" s="54">
        <v>12</v>
      </c>
      <c r="E917" s="55">
        <v>9363.6</v>
      </c>
      <c r="F917" s="55">
        <v>1936.4</v>
      </c>
      <c r="G917" s="55">
        <v>11300</v>
      </c>
      <c r="H917" s="55">
        <v>200364.3</v>
      </c>
      <c r="I917" s="55">
        <v>16484</v>
      </c>
      <c r="J917" s="55">
        <v>216848.3</v>
      </c>
      <c r="K917" s="55">
        <v>49429.1</v>
      </c>
      <c r="L917" s="55">
        <v>2078.8000000000002</v>
      </c>
      <c r="M917" s="55">
        <v>3531.7</v>
      </c>
      <c r="N917" s="55">
        <v>6135</v>
      </c>
    </row>
    <row r="918" spans="1:14" ht="10.050000000000001" hidden="1" customHeight="1">
      <c r="A918" s="52" t="s">
        <v>171</v>
      </c>
      <c r="B918" s="53">
        <v>2005</v>
      </c>
      <c r="C918" s="52" t="s">
        <v>112</v>
      </c>
      <c r="D918" s="54">
        <v>7</v>
      </c>
      <c r="E918" s="55">
        <v>70.5</v>
      </c>
      <c r="F918" s="55">
        <v>0</v>
      </c>
      <c r="G918" s="55">
        <v>70.5</v>
      </c>
      <c r="H918" s="55">
        <v>0</v>
      </c>
      <c r="I918" s="55">
        <v>0</v>
      </c>
      <c r="J918" s="55">
        <v>0</v>
      </c>
      <c r="K918" s="55">
        <v>0</v>
      </c>
      <c r="L918" s="55">
        <v>0</v>
      </c>
      <c r="M918" s="55">
        <v>0</v>
      </c>
      <c r="N918" s="55">
        <v>0</v>
      </c>
    </row>
    <row r="919" spans="1:14" ht="10.050000000000001" hidden="1" customHeight="1">
      <c r="A919" s="52" t="s">
        <v>306</v>
      </c>
      <c r="B919" s="53">
        <v>2005</v>
      </c>
      <c r="C919" s="52" t="s">
        <v>112</v>
      </c>
      <c r="D919" s="54">
        <v>9</v>
      </c>
      <c r="E919" s="55">
        <v>0</v>
      </c>
      <c r="F919" s="55">
        <v>0</v>
      </c>
      <c r="G919" s="55">
        <v>0</v>
      </c>
      <c r="H919" s="55">
        <v>60.9</v>
      </c>
      <c r="I919" s="55">
        <v>0</v>
      </c>
      <c r="J919" s="55">
        <v>60.9</v>
      </c>
      <c r="K919" s="55">
        <v>0</v>
      </c>
      <c r="L919" s="55">
        <v>0</v>
      </c>
      <c r="M919" s="55">
        <v>0</v>
      </c>
      <c r="N919" s="55">
        <v>0</v>
      </c>
    </row>
    <row r="920" spans="1:14" ht="10.050000000000001" hidden="1" customHeight="1">
      <c r="A920" s="52" t="s">
        <v>171</v>
      </c>
      <c r="B920" s="53">
        <v>2005</v>
      </c>
      <c r="C920" s="52" t="s">
        <v>112</v>
      </c>
      <c r="D920" s="54">
        <v>9</v>
      </c>
      <c r="E920" s="55">
        <v>0</v>
      </c>
      <c r="F920" s="55">
        <v>0</v>
      </c>
      <c r="G920" s="55">
        <v>0</v>
      </c>
      <c r="H920" s="55">
        <v>42.3</v>
      </c>
      <c r="I920" s="55">
        <v>0</v>
      </c>
      <c r="J920" s="55">
        <v>42.3</v>
      </c>
      <c r="K920" s="55">
        <v>8552.2000000000007</v>
      </c>
      <c r="L920" s="55">
        <v>0</v>
      </c>
      <c r="M920" s="55">
        <v>0</v>
      </c>
      <c r="N920" s="55">
        <v>0</v>
      </c>
    </row>
    <row r="921" spans="1:14" ht="10.050000000000001" hidden="1" customHeight="1">
      <c r="A921" s="52" t="s">
        <v>307</v>
      </c>
      <c r="B921" s="53">
        <v>2005</v>
      </c>
      <c r="C921" s="52" t="s">
        <v>112</v>
      </c>
      <c r="D921" s="54">
        <v>9</v>
      </c>
      <c r="E921" s="55">
        <v>0</v>
      </c>
      <c r="F921" s="55">
        <v>0</v>
      </c>
      <c r="G921" s="55">
        <v>0</v>
      </c>
      <c r="H921" s="55">
        <v>3</v>
      </c>
      <c r="I921" s="55">
        <v>0</v>
      </c>
      <c r="J921" s="55">
        <v>3</v>
      </c>
      <c r="K921" s="55">
        <v>14.6</v>
      </c>
      <c r="L921" s="55">
        <v>0</v>
      </c>
      <c r="M921" s="55">
        <v>0</v>
      </c>
      <c r="N921" s="55">
        <v>0</v>
      </c>
    </row>
    <row r="922" spans="1:14" ht="10.050000000000001" hidden="1" customHeight="1">
      <c r="A922" s="52" t="s">
        <v>173</v>
      </c>
      <c r="B922" s="53">
        <v>2005</v>
      </c>
      <c r="C922" s="52" t="s">
        <v>112</v>
      </c>
      <c r="D922" s="54">
        <v>9</v>
      </c>
      <c r="E922" s="55">
        <v>0</v>
      </c>
      <c r="F922" s="55">
        <v>0</v>
      </c>
      <c r="G922" s="55">
        <v>0</v>
      </c>
      <c r="H922" s="55">
        <v>6.7</v>
      </c>
      <c r="I922" s="55">
        <v>0</v>
      </c>
      <c r="J922" s="55">
        <v>6.7</v>
      </c>
      <c r="K922" s="55">
        <v>306.3</v>
      </c>
      <c r="L922" s="55">
        <v>0</v>
      </c>
      <c r="M922" s="55">
        <v>0</v>
      </c>
      <c r="N922" s="55">
        <v>0</v>
      </c>
    </row>
    <row r="923" spans="1:14" ht="10.050000000000001" hidden="1" customHeight="1">
      <c r="A923" s="52" t="s">
        <v>171</v>
      </c>
      <c r="B923" s="53">
        <v>2006</v>
      </c>
      <c r="C923" s="52" t="s">
        <v>110</v>
      </c>
      <c r="D923" s="54">
        <v>4</v>
      </c>
      <c r="E923" s="55">
        <v>304</v>
      </c>
      <c r="F923" s="55">
        <v>0</v>
      </c>
      <c r="G923" s="55">
        <v>304</v>
      </c>
      <c r="H923" s="55">
        <v>0</v>
      </c>
      <c r="I923" s="55">
        <v>0</v>
      </c>
      <c r="J923" s="55">
        <v>0</v>
      </c>
      <c r="K923" s="55">
        <v>0</v>
      </c>
      <c r="L923" s="55">
        <v>0</v>
      </c>
      <c r="M923" s="55">
        <v>0</v>
      </c>
      <c r="N923" s="55">
        <v>0</v>
      </c>
    </row>
    <row r="924" spans="1:14" ht="10.050000000000001" hidden="1" customHeight="1">
      <c r="A924" s="52" t="s">
        <v>174</v>
      </c>
      <c r="B924" s="53">
        <v>2006</v>
      </c>
      <c r="C924" s="52" t="s">
        <v>110</v>
      </c>
      <c r="D924" s="54">
        <v>4</v>
      </c>
      <c r="E924" s="55">
        <v>47.3</v>
      </c>
      <c r="F924" s="55">
        <v>0</v>
      </c>
      <c r="G924" s="55">
        <v>47.3</v>
      </c>
      <c r="H924" s="55">
        <v>0</v>
      </c>
      <c r="I924" s="55">
        <v>0</v>
      </c>
      <c r="J924" s="55">
        <v>0</v>
      </c>
      <c r="K924" s="55">
        <v>0</v>
      </c>
      <c r="L924" s="55">
        <v>0</v>
      </c>
      <c r="M924" s="55">
        <v>0</v>
      </c>
      <c r="N924" s="55">
        <v>0</v>
      </c>
    </row>
    <row r="925" spans="1:14" ht="10.050000000000001" hidden="1" customHeight="1">
      <c r="A925" s="52" t="s">
        <v>314</v>
      </c>
      <c r="B925" s="53">
        <v>2006</v>
      </c>
      <c r="C925" s="52" t="s">
        <v>111</v>
      </c>
      <c r="D925" s="54">
        <v>1</v>
      </c>
      <c r="E925" s="55">
        <v>0</v>
      </c>
      <c r="F925" s="55">
        <v>0</v>
      </c>
      <c r="G925" s="55">
        <v>0</v>
      </c>
      <c r="H925" s="55">
        <v>209</v>
      </c>
      <c r="I925" s="55">
        <v>0</v>
      </c>
      <c r="J925" s="55">
        <v>209</v>
      </c>
      <c r="K925" s="55">
        <v>0</v>
      </c>
      <c r="L925" s="55">
        <v>0</v>
      </c>
      <c r="M925" s="55">
        <v>0</v>
      </c>
      <c r="N925" s="55">
        <v>0</v>
      </c>
    </row>
    <row r="926" spans="1:14" ht="10.050000000000001" hidden="1" customHeight="1">
      <c r="A926" s="52" t="s">
        <v>306</v>
      </c>
      <c r="B926" s="53">
        <v>2006</v>
      </c>
      <c r="C926" s="52" t="s">
        <v>111</v>
      </c>
      <c r="D926" s="54">
        <v>1</v>
      </c>
      <c r="E926" s="55">
        <v>5086.3</v>
      </c>
      <c r="F926" s="55">
        <v>305.3</v>
      </c>
      <c r="G926" s="55">
        <v>5391.6</v>
      </c>
      <c r="H926" s="55">
        <v>77531.100000000006</v>
      </c>
      <c r="I926" s="55">
        <v>6231.7</v>
      </c>
      <c r="J926" s="55">
        <v>83762.8</v>
      </c>
      <c r="K926" s="55">
        <v>7711.9</v>
      </c>
      <c r="L926" s="55">
        <v>473.1</v>
      </c>
      <c r="M926" s="55">
        <v>1563</v>
      </c>
      <c r="N926" s="55">
        <v>627</v>
      </c>
    </row>
    <row r="927" spans="1:14" ht="10.050000000000001" hidden="1" customHeight="1">
      <c r="A927" s="52" t="s">
        <v>172</v>
      </c>
      <c r="B927" s="53">
        <v>2006</v>
      </c>
      <c r="C927" s="52" t="s">
        <v>111</v>
      </c>
      <c r="D927" s="54">
        <v>1</v>
      </c>
      <c r="E927" s="55">
        <v>128040.3</v>
      </c>
      <c r="F927" s="55">
        <v>927.9</v>
      </c>
      <c r="G927" s="55">
        <v>128968.2</v>
      </c>
      <c r="H927" s="55">
        <v>576948.69999999995</v>
      </c>
      <c r="I927" s="55">
        <v>22221.3</v>
      </c>
      <c r="J927" s="55">
        <v>599170</v>
      </c>
      <c r="K927" s="55">
        <v>44806.400000000001</v>
      </c>
      <c r="L927" s="55">
        <v>20446.900000000001</v>
      </c>
      <c r="M927" s="55">
        <v>45406.5</v>
      </c>
      <c r="N927" s="55">
        <v>291.60000000000002</v>
      </c>
    </row>
    <row r="928" spans="1:14" ht="10.050000000000001" hidden="1" customHeight="1">
      <c r="A928" s="52" t="s">
        <v>171</v>
      </c>
      <c r="B928" s="53">
        <v>2006</v>
      </c>
      <c r="C928" s="52" t="s">
        <v>111</v>
      </c>
      <c r="D928" s="54">
        <v>1</v>
      </c>
      <c r="E928" s="55">
        <v>2382957.2999999998</v>
      </c>
      <c r="F928" s="55">
        <v>11062</v>
      </c>
      <c r="G928" s="55">
        <v>2394019.2999999998</v>
      </c>
      <c r="H928" s="55">
        <v>8221475.7999999998</v>
      </c>
      <c r="I928" s="55">
        <v>113010.4</v>
      </c>
      <c r="J928" s="55">
        <v>8334486.2000000002</v>
      </c>
      <c r="K928" s="55">
        <v>2061594.8</v>
      </c>
      <c r="L928" s="55">
        <v>429374.9</v>
      </c>
      <c r="M928" s="55">
        <v>746021.2</v>
      </c>
      <c r="N928" s="55">
        <v>22267.8</v>
      </c>
    </row>
    <row r="929" spans="1:14" ht="10.050000000000001" hidden="1" customHeight="1">
      <c r="A929" s="52" t="s">
        <v>300</v>
      </c>
      <c r="B929" s="53">
        <v>2006</v>
      </c>
      <c r="C929" s="52" t="s">
        <v>111</v>
      </c>
      <c r="D929" s="54">
        <v>1</v>
      </c>
      <c r="E929" s="55">
        <v>100</v>
      </c>
      <c r="F929" s="55">
        <v>0</v>
      </c>
      <c r="G929" s="55">
        <v>100</v>
      </c>
      <c r="H929" s="55">
        <v>2463.6</v>
      </c>
      <c r="I929" s="55">
        <v>47.3</v>
      </c>
      <c r="J929" s="55">
        <v>2510.9</v>
      </c>
      <c r="K929" s="55">
        <v>62.6</v>
      </c>
      <c r="L929" s="55">
        <v>1.9</v>
      </c>
      <c r="M929" s="55">
        <v>0</v>
      </c>
      <c r="N929" s="55">
        <v>0.9</v>
      </c>
    </row>
    <row r="930" spans="1:14" ht="10.050000000000001" hidden="1" customHeight="1">
      <c r="A930" s="52" t="s">
        <v>307</v>
      </c>
      <c r="B930" s="53">
        <v>2006</v>
      </c>
      <c r="C930" s="52" t="s">
        <v>111</v>
      </c>
      <c r="D930" s="54">
        <v>1</v>
      </c>
      <c r="E930" s="55">
        <v>649836.6</v>
      </c>
      <c r="F930" s="55">
        <v>14640.8</v>
      </c>
      <c r="G930" s="55">
        <v>664477.4</v>
      </c>
      <c r="H930" s="55">
        <v>4960750.5</v>
      </c>
      <c r="I930" s="55">
        <v>126143.2</v>
      </c>
      <c r="J930" s="55">
        <v>5086893.7</v>
      </c>
      <c r="K930" s="55">
        <v>1483984.1</v>
      </c>
      <c r="L930" s="55">
        <v>40803.1</v>
      </c>
      <c r="M930" s="55">
        <v>512809</v>
      </c>
      <c r="N930" s="55">
        <v>50146.8</v>
      </c>
    </row>
    <row r="931" spans="1:14" ht="10.050000000000001" hidden="1" customHeight="1">
      <c r="A931" s="52" t="s">
        <v>315</v>
      </c>
      <c r="B931" s="53">
        <v>2006</v>
      </c>
      <c r="C931" s="52" t="s">
        <v>111</v>
      </c>
      <c r="D931" s="54">
        <v>1</v>
      </c>
      <c r="E931" s="55">
        <v>714.1</v>
      </c>
      <c r="F931" s="55">
        <v>0</v>
      </c>
      <c r="G931" s="55">
        <v>714.1</v>
      </c>
      <c r="H931" s="55">
        <v>31607.1</v>
      </c>
      <c r="I931" s="55">
        <v>0</v>
      </c>
      <c r="J931" s="55">
        <v>31607.1</v>
      </c>
      <c r="K931" s="55">
        <v>33.700000000000003</v>
      </c>
      <c r="L931" s="55">
        <v>186.8</v>
      </c>
      <c r="M931" s="55">
        <v>312.8</v>
      </c>
      <c r="N931" s="55">
        <v>0</v>
      </c>
    </row>
    <row r="932" spans="1:14" ht="10.050000000000001" hidden="1" customHeight="1">
      <c r="A932" s="52" t="s">
        <v>173</v>
      </c>
      <c r="B932" s="53">
        <v>2006</v>
      </c>
      <c r="C932" s="52" t="s">
        <v>111</v>
      </c>
      <c r="D932" s="54">
        <v>1</v>
      </c>
      <c r="E932" s="55">
        <v>387126.8</v>
      </c>
      <c r="F932" s="55">
        <v>12695.1</v>
      </c>
      <c r="G932" s="55">
        <v>399821.9</v>
      </c>
      <c r="H932" s="55">
        <v>3204927.1</v>
      </c>
      <c r="I932" s="55">
        <v>54106.6</v>
      </c>
      <c r="J932" s="55">
        <v>3259033.7</v>
      </c>
      <c r="K932" s="55">
        <v>330920.09999999998</v>
      </c>
      <c r="L932" s="55">
        <v>53164</v>
      </c>
      <c r="M932" s="55">
        <v>156205.70000000001</v>
      </c>
      <c r="N932" s="55">
        <v>10393.5</v>
      </c>
    </row>
    <row r="933" spans="1:14" ht="10.050000000000001" customHeight="1">
      <c r="A933" s="52" t="s">
        <v>309</v>
      </c>
      <c r="B933" s="53">
        <v>2006</v>
      </c>
      <c r="C933" s="52" t="s">
        <v>111</v>
      </c>
      <c r="D933" s="54">
        <v>1</v>
      </c>
      <c r="E933" s="55">
        <v>520.5</v>
      </c>
      <c r="F933" s="55">
        <v>0</v>
      </c>
      <c r="G933" s="55">
        <v>520.5</v>
      </c>
      <c r="H933" s="55">
        <v>27257.1</v>
      </c>
      <c r="I933" s="55">
        <v>0</v>
      </c>
      <c r="J933" s="55">
        <v>27257.1</v>
      </c>
      <c r="K933" s="55">
        <v>0</v>
      </c>
      <c r="L933" s="55">
        <v>0</v>
      </c>
      <c r="M933" s="55">
        <v>0</v>
      </c>
      <c r="N933" s="55">
        <v>0</v>
      </c>
    </row>
    <row r="934" spans="1:14" ht="10.050000000000001" hidden="1" customHeight="1">
      <c r="A934" s="52" t="s">
        <v>316</v>
      </c>
      <c r="B934" s="53">
        <v>2006</v>
      </c>
      <c r="C934" s="52" t="s">
        <v>111</v>
      </c>
      <c r="D934" s="54">
        <v>1</v>
      </c>
      <c r="E934" s="55">
        <v>161.1</v>
      </c>
      <c r="F934" s="55">
        <v>0</v>
      </c>
      <c r="G934" s="55">
        <v>161.1</v>
      </c>
      <c r="H934" s="55">
        <v>5356.3</v>
      </c>
      <c r="I934" s="55">
        <v>71.2</v>
      </c>
      <c r="J934" s="55">
        <v>5427.5</v>
      </c>
      <c r="K934" s="55">
        <v>0</v>
      </c>
      <c r="L934" s="55">
        <v>0</v>
      </c>
      <c r="M934" s="55">
        <v>0</v>
      </c>
      <c r="N934" s="55">
        <v>0</v>
      </c>
    </row>
    <row r="935" spans="1:14" ht="10.050000000000001" hidden="1" customHeight="1">
      <c r="A935" s="52" t="s">
        <v>310</v>
      </c>
      <c r="B935" s="53">
        <v>2006</v>
      </c>
      <c r="C935" s="52" t="s">
        <v>111</v>
      </c>
      <c r="D935" s="54">
        <v>1</v>
      </c>
      <c r="E935" s="55">
        <v>4672.1000000000004</v>
      </c>
      <c r="F935" s="55">
        <v>0</v>
      </c>
      <c r="G935" s="55">
        <v>4672.1000000000004</v>
      </c>
      <c r="H935" s="55">
        <v>53353.599999999999</v>
      </c>
      <c r="I935" s="55">
        <v>661.2</v>
      </c>
      <c r="J935" s="55">
        <v>54014.8</v>
      </c>
      <c r="K935" s="55">
        <v>3211.9</v>
      </c>
      <c r="L935" s="55">
        <v>341.2</v>
      </c>
      <c r="M935" s="55">
        <v>1651.7</v>
      </c>
      <c r="N935" s="55">
        <v>127.1</v>
      </c>
    </row>
    <row r="936" spans="1:14" ht="10.050000000000001" hidden="1" customHeight="1">
      <c r="A936" s="52" t="s">
        <v>308</v>
      </c>
      <c r="B936" s="53">
        <v>2006</v>
      </c>
      <c r="C936" s="52" t="s">
        <v>111</v>
      </c>
      <c r="D936" s="54">
        <v>1</v>
      </c>
      <c r="E936" s="55">
        <v>4365.2</v>
      </c>
      <c r="F936" s="55">
        <v>0</v>
      </c>
      <c r="G936" s="55">
        <v>4365.2</v>
      </c>
      <c r="H936" s="55">
        <v>103992.4</v>
      </c>
      <c r="I936" s="55">
        <v>126.8</v>
      </c>
      <c r="J936" s="55">
        <v>104119.2</v>
      </c>
      <c r="K936" s="55">
        <v>7867.2</v>
      </c>
      <c r="L936" s="55">
        <v>0.2</v>
      </c>
      <c r="M936" s="55">
        <v>3086</v>
      </c>
      <c r="N936" s="55">
        <v>61.1</v>
      </c>
    </row>
    <row r="937" spans="1:14" ht="10.050000000000001" hidden="1" customHeight="1">
      <c r="A937" s="52" t="s">
        <v>174</v>
      </c>
      <c r="B937" s="53">
        <v>2006</v>
      </c>
      <c r="C937" s="52" t="s">
        <v>111</v>
      </c>
      <c r="D937" s="54">
        <v>1</v>
      </c>
      <c r="E937" s="55">
        <v>9500.2000000000007</v>
      </c>
      <c r="F937" s="55">
        <v>990</v>
      </c>
      <c r="G937" s="55">
        <v>10490.2</v>
      </c>
      <c r="H937" s="55">
        <v>160685.1</v>
      </c>
      <c r="I937" s="55">
        <v>11755.8</v>
      </c>
      <c r="J937" s="55">
        <v>172440.9</v>
      </c>
      <c r="K937" s="55">
        <v>41938.699999999997</v>
      </c>
      <c r="L937" s="55">
        <v>1716.8</v>
      </c>
      <c r="M937" s="55">
        <v>4209.8</v>
      </c>
      <c r="N937" s="55">
        <v>4707.8</v>
      </c>
    </row>
    <row r="938" spans="1:14" ht="10.050000000000001" hidden="1" customHeight="1">
      <c r="A938" s="52" t="s">
        <v>314</v>
      </c>
      <c r="B938" s="53">
        <v>2006</v>
      </c>
      <c r="C938" s="52" t="s">
        <v>111</v>
      </c>
      <c r="D938" s="54">
        <v>2</v>
      </c>
      <c r="E938" s="55">
        <v>0</v>
      </c>
      <c r="F938" s="55">
        <v>0</v>
      </c>
      <c r="G938" s="55">
        <v>0</v>
      </c>
      <c r="H938" s="55">
        <v>172.1</v>
      </c>
      <c r="I938" s="55">
        <v>0</v>
      </c>
      <c r="J938" s="55">
        <v>172.1</v>
      </c>
      <c r="K938" s="55">
        <v>0</v>
      </c>
      <c r="L938" s="55">
        <v>0</v>
      </c>
      <c r="M938" s="55">
        <v>0</v>
      </c>
      <c r="N938" s="55">
        <v>0</v>
      </c>
    </row>
    <row r="939" spans="1:14" ht="10.050000000000001" hidden="1" customHeight="1">
      <c r="A939" s="52" t="s">
        <v>306</v>
      </c>
      <c r="B939" s="53">
        <v>2006</v>
      </c>
      <c r="C939" s="52" t="s">
        <v>111</v>
      </c>
      <c r="D939" s="54">
        <v>2</v>
      </c>
      <c r="E939" s="55">
        <v>4844.5</v>
      </c>
      <c r="F939" s="55">
        <v>531.6</v>
      </c>
      <c r="G939" s="55">
        <v>5376.1</v>
      </c>
      <c r="H939" s="55">
        <v>63961.599999999999</v>
      </c>
      <c r="I939" s="55">
        <v>5386.2</v>
      </c>
      <c r="J939" s="55">
        <v>69347.8</v>
      </c>
      <c r="K939" s="55">
        <v>6462</v>
      </c>
      <c r="L939" s="55">
        <v>437.7</v>
      </c>
      <c r="M939" s="55">
        <v>1252.5</v>
      </c>
      <c r="N939" s="55">
        <v>443.8</v>
      </c>
    </row>
    <row r="940" spans="1:14" ht="10.050000000000001" hidden="1" customHeight="1">
      <c r="A940" s="52" t="s">
        <v>172</v>
      </c>
      <c r="B940" s="53">
        <v>2006</v>
      </c>
      <c r="C940" s="52" t="s">
        <v>111</v>
      </c>
      <c r="D940" s="54">
        <v>2</v>
      </c>
      <c r="E940" s="55">
        <v>81532.899999999994</v>
      </c>
      <c r="F940" s="55">
        <v>551.1</v>
      </c>
      <c r="G940" s="55">
        <v>82084</v>
      </c>
      <c r="H940" s="55">
        <v>517741.6</v>
      </c>
      <c r="I940" s="55">
        <v>20005.400000000001</v>
      </c>
      <c r="J940" s="55">
        <v>537747</v>
      </c>
      <c r="K940" s="55">
        <v>36300</v>
      </c>
      <c r="L940" s="55">
        <v>8937.7000000000007</v>
      </c>
      <c r="M940" s="55">
        <v>17077.8</v>
      </c>
      <c r="N940" s="55">
        <v>366.3</v>
      </c>
    </row>
    <row r="941" spans="1:14" ht="10.050000000000001" hidden="1" customHeight="1">
      <c r="A941" s="52" t="s">
        <v>171</v>
      </c>
      <c r="B941" s="53">
        <v>2006</v>
      </c>
      <c r="C941" s="52" t="s">
        <v>111</v>
      </c>
      <c r="D941" s="54">
        <v>2</v>
      </c>
      <c r="E941" s="55">
        <v>1934392.1</v>
      </c>
      <c r="F941" s="55">
        <v>6975.9</v>
      </c>
      <c r="G941" s="55">
        <v>1941368</v>
      </c>
      <c r="H941" s="55">
        <v>7582732.2000000002</v>
      </c>
      <c r="I941" s="55">
        <v>105602.2</v>
      </c>
      <c r="J941" s="55">
        <v>7688334.4000000004</v>
      </c>
      <c r="K941" s="55">
        <v>1600681.4</v>
      </c>
      <c r="L941" s="55">
        <v>324688.09999999998</v>
      </c>
      <c r="M941" s="55">
        <v>738558.5</v>
      </c>
      <c r="N941" s="55">
        <v>49611.5</v>
      </c>
    </row>
    <row r="942" spans="1:14" ht="10.050000000000001" hidden="1" customHeight="1">
      <c r="A942" s="52" t="s">
        <v>300</v>
      </c>
      <c r="B942" s="53">
        <v>2006</v>
      </c>
      <c r="C942" s="52" t="s">
        <v>111</v>
      </c>
      <c r="D942" s="54">
        <v>2</v>
      </c>
      <c r="E942" s="55">
        <v>229.4</v>
      </c>
      <c r="F942" s="55">
        <v>0</v>
      </c>
      <c r="G942" s="55">
        <v>229.4</v>
      </c>
      <c r="H942" s="55">
        <v>2101.1</v>
      </c>
      <c r="I942" s="55">
        <v>47.3</v>
      </c>
      <c r="J942" s="55">
        <v>2148.4</v>
      </c>
      <c r="K942" s="55">
        <v>61.6</v>
      </c>
      <c r="L942" s="55">
        <v>0</v>
      </c>
      <c r="M942" s="55">
        <v>0</v>
      </c>
      <c r="N942" s="55">
        <v>1</v>
      </c>
    </row>
    <row r="943" spans="1:14" ht="10.050000000000001" hidden="1" customHeight="1">
      <c r="A943" s="52" t="s">
        <v>307</v>
      </c>
      <c r="B943" s="53">
        <v>2006</v>
      </c>
      <c r="C943" s="52" t="s">
        <v>111</v>
      </c>
      <c r="D943" s="54">
        <v>2</v>
      </c>
      <c r="E943" s="55">
        <v>493272.3</v>
      </c>
      <c r="F943" s="55">
        <v>0</v>
      </c>
      <c r="G943" s="55">
        <v>493272.3</v>
      </c>
      <c r="H943" s="55">
        <v>4480438.9000000004</v>
      </c>
      <c r="I943" s="55">
        <v>103783</v>
      </c>
      <c r="J943" s="55">
        <v>4584221.9000000004</v>
      </c>
      <c r="K943" s="55">
        <v>1133596.6000000001</v>
      </c>
      <c r="L943" s="55">
        <v>24527.3</v>
      </c>
      <c r="M943" s="55">
        <v>324931.20000000001</v>
      </c>
      <c r="N943" s="55">
        <v>49744.1</v>
      </c>
    </row>
    <row r="944" spans="1:14" ht="10.050000000000001" hidden="1" customHeight="1">
      <c r="A944" s="52" t="s">
        <v>315</v>
      </c>
      <c r="B944" s="53">
        <v>2006</v>
      </c>
      <c r="C944" s="52" t="s">
        <v>111</v>
      </c>
      <c r="D944" s="54">
        <v>2</v>
      </c>
      <c r="E944" s="55">
        <v>151.1</v>
      </c>
      <c r="F944" s="55">
        <v>0</v>
      </c>
      <c r="G944" s="55">
        <v>151.1</v>
      </c>
      <c r="H944" s="55">
        <v>28396.1</v>
      </c>
      <c r="I944" s="55">
        <v>0</v>
      </c>
      <c r="J944" s="55">
        <v>28396.1</v>
      </c>
      <c r="K944" s="55">
        <v>25.7</v>
      </c>
      <c r="L944" s="55">
        <v>0</v>
      </c>
      <c r="M944" s="55">
        <v>8</v>
      </c>
      <c r="N944" s="55">
        <v>0</v>
      </c>
    </row>
    <row r="945" spans="1:14" ht="10.050000000000001" hidden="1" customHeight="1">
      <c r="A945" s="52" t="s">
        <v>173</v>
      </c>
      <c r="B945" s="53">
        <v>2006</v>
      </c>
      <c r="C945" s="52" t="s">
        <v>111</v>
      </c>
      <c r="D945" s="54">
        <v>2</v>
      </c>
      <c r="E945" s="55">
        <v>321625.40000000002</v>
      </c>
      <c r="F945" s="55">
        <v>5113.7</v>
      </c>
      <c r="G945" s="55">
        <v>326739.09999999998</v>
      </c>
      <c r="H945" s="55">
        <v>2925390.8</v>
      </c>
      <c r="I945" s="55">
        <v>45071.6</v>
      </c>
      <c r="J945" s="55">
        <v>2970462.4</v>
      </c>
      <c r="K945" s="55">
        <v>230154.9</v>
      </c>
      <c r="L945" s="55">
        <v>31298.7</v>
      </c>
      <c r="M945" s="55">
        <v>122722.1</v>
      </c>
      <c r="N945" s="55">
        <v>9423.7000000000007</v>
      </c>
    </row>
    <row r="946" spans="1:14" ht="10.050000000000001" customHeight="1">
      <c r="A946" s="52" t="s">
        <v>309</v>
      </c>
      <c r="B946" s="53">
        <v>2006</v>
      </c>
      <c r="C946" s="52" t="s">
        <v>111</v>
      </c>
      <c r="D946" s="54">
        <v>2</v>
      </c>
      <c r="E946" s="55">
        <v>427.6</v>
      </c>
      <c r="F946" s="55">
        <v>0</v>
      </c>
      <c r="G946" s="55">
        <v>427.6</v>
      </c>
      <c r="H946" s="55">
        <v>24921.5</v>
      </c>
      <c r="I946" s="55">
        <v>0</v>
      </c>
      <c r="J946" s="55">
        <v>24921.5</v>
      </c>
      <c r="K946" s="55">
        <v>0</v>
      </c>
      <c r="L946" s="55">
        <v>0</v>
      </c>
      <c r="M946" s="55">
        <v>0</v>
      </c>
      <c r="N946" s="55">
        <v>0</v>
      </c>
    </row>
    <row r="947" spans="1:14" ht="10.050000000000001" hidden="1" customHeight="1">
      <c r="A947" s="52" t="s">
        <v>316</v>
      </c>
      <c r="B947" s="53">
        <v>2006</v>
      </c>
      <c r="C947" s="52" t="s">
        <v>111</v>
      </c>
      <c r="D947" s="54">
        <v>2</v>
      </c>
      <c r="E947" s="55">
        <v>71.599999999999994</v>
      </c>
      <c r="F947" s="55">
        <v>0</v>
      </c>
      <c r="G947" s="55">
        <v>71.599999999999994</v>
      </c>
      <c r="H947" s="55">
        <v>4993.5</v>
      </c>
      <c r="I947" s="55">
        <v>66.7</v>
      </c>
      <c r="J947" s="55">
        <v>5060.2</v>
      </c>
      <c r="K947" s="55">
        <v>0</v>
      </c>
      <c r="L947" s="55">
        <v>0</v>
      </c>
      <c r="M947" s="55">
        <v>0</v>
      </c>
      <c r="N947" s="55">
        <v>0</v>
      </c>
    </row>
    <row r="948" spans="1:14" ht="10.050000000000001" hidden="1" customHeight="1">
      <c r="A948" s="52" t="s">
        <v>310</v>
      </c>
      <c r="B948" s="53">
        <v>2006</v>
      </c>
      <c r="C948" s="52" t="s">
        <v>111</v>
      </c>
      <c r="D948" s="54">
        <v>2</v>
      </c>
      <c r="E948" s="55">
        <v>1960.1</v>
      </c>
      <c r="F948" s="55">
        <v>40.299999999999997</v>
      </c>
      <c r="G948" s="55">
        <v>2000.4</v>
      </c>
      <c r="H948" s="55">
        <v>49171.8</v>
      </c>
      <c r="I948" s="55">
        <v>678.5</v>
      </c>
      <c r="J948" s="55">
        <v>49850.3</v>
      </c>
      <c r="K948" s="55">
        <v>2773.5</v>
      </c>
      <c r="L948" s="55">
        <v>105.3</v>
      </c>
      <c r="M948" s="55">
        <v>403.4</v>
      </c>
      <c r="N948" s="55">
        <v>140.30000000000001</v>
      </c>
    </row>
    <row r="949" spans="1:14" ht="10.050000000000001" hidden="1" customHeight="1">
      <c r="A949" s="52" t="s">
        <v>308</v>
      </c>
      <c r="B949" s="53">
        <v>2006</v>
      </c>
      <c r="C949" s="52" t="s">
        <v>111</v>
      </c>
      <c r="D949" s="54">
        <v>2</v>
      </c>
      <c r="E949" s="55">
        <v>4289.2</v>
      </c>
      <c r="F949" s="55">
        <v>93</v>
      </c>
      <c r="G949" s="55">
        <v>4382.2</v>
      </c>
      <c r="H949" s="55">
        <v>91024.5</v>
      </c>
      <c r="I949" s="55">
        <v>218.2</v>
      </c>
      <c r="J949" s="55">
        <v>91242.7</v>
      </c>
      <c r="K949" s="55">
        <v>5039.7</v>
      </c>
      <c r="L949" s="55">
        <v>0</v>
      </c>
      <c r="M949" s="55">
        <v>2726.1</v>
      </c>
      <c r="N949" s="55">
        <v>101.4</v>
      </c>
    </row>
    <row r="950" spans="1:14" ht="10.050000000000001" hidden="1" customHeight="1">
      <c r="A950" s="52" t="s">
        <v>174</v>
      </c>
      <c r="B950" s="53">
        <v>2006</v>
      </c>
      <c r="C950" s="52" t="s">
        <v>111</v>
      </c>
      <c r="D950" s="54">
        <v>2</v>
      </c>
      <c r="E950" s="55">
        <v>7475.2</v>
      </c>
      <c r="F950" s="55">
        <v>446.7</v>
      </c>
      <c r="G950" s="55">
        <v>7921.9</v>
      </c>
      <c r="H950" s="55">
        <v>120761.60000000001</v>
      </c>
      <c r="I950" s="55">
        <v>10297.799999999999</v>
      </c>
      <c r="J950" s="55">
        <v>131059.4</v>
      </c>
      <c r="K950" s="55">
        <v>35416.5</v>
      </c>
      <c r="L950" s="55">
        <v>877.2</v>
      </c>
      <c r="M950" s="55">
        <v>3204.1</v>
      </c>
      <c r="N950" s="55">
        <v>4195.3</v>
      </c>
    </row>
    <row r="951" spans="1:14" ht="10.050000000000001" hidden="1" customHeight="1">
      <c r="A951" s="52" t="s">
        <v>314</v>
      </c>
      <c r="B951" s="53">
        <v>2006</v>
      </c>
      <c r="C951" s="52" t="s">
        <v>111</v>
      </c>
      <c r="D951" s="54">
        <v>3</v>
      </c>
      <c r="E951" s="55">
        <v>0</v>
      </c>
      <c r="F951" s="55">
        <v>0</v>
      </c>
      <c r="G951" s="55">
        <v>0</v>
      </c>
      <c r="H951" s="55">
        <v>138.6</v>
      </c>
      <c r="I951" s="55">
        <v>0</v>
      </c>
      <c r="J951" s="55">
        <v>138.6</v>
      </c>
      <c r="K951" s="55">
        <v>0</v>
      </c>
      <c r="L951" s="55">
        <v>0</v>
      </c>
      <c r="M951" s="55">
        <v>0</v>
      </c>
      <c r="N951" s="55">
        <v>0</v>
      </c>
    </row>
    <row r="952" spans="1:14" ht="10.050000000000001" hidden="1" customHeight="1">
      <c r="A952" s="52" t="s">
        <v>306</v>
      </c>
      <c r="B952" s="53">
        <v>2006</v>
      </c>
      <c r="C952" s="52" t="s">
        <v>111</v>
      </c>
      <c r="D952" s="54">
        <v>3</v>
      </c>
      <c r="E952" s="55">
        <v>5074.3</v>
      </c>
      <c r="F952" s="55">
        <v>499.3</v>
      </c>
      <c r="G952" s="55">
        <v>5573.6</v>
      </c>
      <c r="H952" s="55">
        <v>51647.5</v>
      </c>
      <c r="I952" s="55">
        <v>4362</v>
      </c>
      <c r="J952" s="55">
        <v>56009.5</v>
      </c>
      <c r="K952" s="55">
        <v>5060.6000000000004</v>
      </c>
      <c r="L952" s="55">
        <v>484.2</v>
      </c>
      <c r="M952" s="55">
        <v>1295.8</v>
      </c>
      <c r="N952" s="55">
        <v>589.79999999999995</v>
      </c>
    </row>
    <row r="953" spans="1:14" ht="10.050000000000001" hidden="1" customHeight="1">
      <c r="A953" s="52" t="s">
        <v>172</v>
      </c>
      <c r="B953" s="53">
        <v>2006</v>
      </c>
      <c r="C953" s="52" t="s">
        <v>111</v>
      </c>
      <c r="D953" s="54">
        <v>3</v>
      </c>
      <c r="E953" s="55">
        <v>95440</v>
      </c>
      <c r="F953" s="55">
        <v>741.4</v>
      </c>
      <c r="G953" s="55">
        <v>96181.4</v>
      </c>
      <c r="H953" s="55">
        <v>445832.3</v>
      </c>
      <c r="I953" s="55">
        <v>18178.099999999999</v>
      </c>
      <c r="J953" s="55">
        <v>464010.4</v>
      </c>
      <c r="K953" s="55">
        <v>18405.8</v>
      </c>
      <c r="L953" s="55">
        <v>7348.3</v>
      </c>
      <c r="M953" s="55">
        <v>25238.3</v>
      </c>
      <c r="N953" s="55">
        <v>4.2</v>
      </c>
    </row>
    <row r="954" spans="1:14" ht="10.050000000000001" hidden="1" customHeight="1">
      <c r="A954" s="52" t="s">
        <v>171</v>
      </c>
      <c r="B954" s="53">
        <v>2006</v>
      </c>
      <c r="C954" s="52" t="s">
        <v>111</v>
      </c>
      <c r="D954" s="54">
        <v>3</v>
      </c>
      <c r="E954" s="55">
        <v>1907509.4</v>
      </c>
      <c r="F954" s="55">
        <v>6266.5</v>
      </c>
      <c r="G954" s="55">
        <v>1913775.9</v>
      </c>
      <c r="H954" s="55">
        <v>6671144.4000000004</v>
      </c>
      <c r="I954" s="55">
        <v>95201.1</v>
      </c>
      <c r="J954" s="55">
        <v>6766345.5</v>
      </c>
      <c r="K954" s="55">
        <v>864014.6</v>
      </c>
      <c r="L954" s="55">
        <v>170401.1</v>
      </c>
      <c r="M954" s="55">
        <v>912383</v>
      </c>
      <c r="N954" s="55">
        <v>-5219.1000000000004</v>
      </c>
    </row>
    <row r="955" spans="1:14" ht="10.050000000000001" hidden="1" customHeight="1">
      <c r="A955" s="52" t="s">
        <v>300</v>
      </c>
      <c r="B955" s="53">
        <v>2006</v>
      </c>
      <c r="C955" s="52" t="s">
        <v>111</v>
      </c>
      <c r="D955" s="54">
        <v>3</v>
      </c>
      <c r="E955" s="55">
        <v>179.3</v>
      </c>
      <c r="F955" s="55">
        <v>0</v>
      </c>
      <c r="G955" s="55">
        <v>179.3</v>
      </c>
      <c r="H955" s="55">
        <v>2074.9</v>
      </c>
      <c r="I955" s="55">
        <v>34</v>
      </c>
      <c r="J955" s="55">
        <v>2108.9</v>
      </c>
      <c r="K955" s="55">
        <v>61.6</v>
      </c>
      <c r="L955" s="55">
        <v>0</v>
      </c>
      <c r="M955" s="55">
        <v>0</v>
      </c>
      <c r="N955" s="55">
        <v>0</v>
      </c>
    </row>
    <row r="956" spans="1:14" ht="10.050000000000001" hidden="1" customHeight="1">
      <c r="A956" s="52" t="s">
        <v>307</v>
      </c>
      <c r="B956" s="53">
        <v>2006</v>
      </c>
      <c r="C956" s="52" t="s">
        <v>111</v>
      </c>
      <c r="D956" s="54">
        <v>3</v>
      </c>
      <c r="E956" s="55">
        <v>446652.5</v>
      </c>
      <c r="F956" s="55">
        <v>8723.1</v>
      </c>
      <c r="G956" s="55">
        <v>455375.6</v>
      </c>
      <c r="H956" s="55">
        <v>3875375.8</v>
      </c>
      <c r="I956" s="55">
        <v>105609.7</v>
      </c>
      <c r="J956" s="55">
        <v>3980985.5</v>
      </c>
      <c r="K956" s="55">
        <v>857686.2</v>
      </c>
      <c r="L956" s="55">
        <v>28353.3</v>
      </c>
      <c r="M956" s="55">
        <v>264569.40000000002</v>
      </c>
      <c r="N956" s="55">
        <v>39687.300000000003</v>
      </c>
    </row>
    <row r="957" spans="1:14" ht="10.050000000000001" hidden="1" customHeight="1">
      <c r="A957" s="52" t="s">
        <v>315</v>
      </c>
      <c r="B957" s="53">
        <v>2006</v>
      </c>
      <c r="C957" s="52" t="s">
        <v>111</v>
      </c>
      <c r="D957" s="54">
        <v>3</v>
      </c>
      <c r="E957" s="55">
        <v>404.1</v>
      </c>
      <c r="F957" s="55">
        <v>0</v>
      </c>
      <c r="G957" s="55">
        <v>404.1</v>
      </c>
      <c r="H957" s="55">
        <v>25150.3</v>
      </c>
      <c r="I957" s="55">
        <v>0</v>
      </c>
      <c r="J957" s="55">
        <v>25150.3</v>
      </c>
      <c r="K957" s="55">
        <v>24.4</v>
      </c>
      <c r="L957" s="55">
        <v>0</v>
      </c>
      <c r="M957" s="55">
        <v>1.3</v>
      </c>
      <c r="N957" s="55">
        <v>0</v>
      </c>
    </row>
    <row r="958" spans="1:14" ht="10.050000000000001" hidden="1" customHeight="1">
      <c r="A958" s="52" t="s">
        <v>173</v>
      </c>
      <c r="B958" s="53">
        <v>2006</v>
      </c>
      <c r="C958" s="52" t="s">
        <v>111</v>
      </c>
      <c r="D958" s="54">
        <v>3</v>
      </c>
      <c r="E958" s="55">
        <v>276956.09999999998</v>
      </c>
      <c r="F958" s="55">
        <v>4164.2</v>
      </c>
      <c r="G958" s="55">
        <v>281120.3</v>
      </c>
      <c r="H958" s="55">
        <v>2579698.6</v>
      </c>
      <c r="I958" s="55">
        <v>36592.1</v>
      </c>
      <c r="J958" s="55">
        <v>2616290.7000000002</v>
      </c>
      <c r="K958" s="55">
        <v>129811.6</v>
      </c>
      <c r="L958" s="55">
        <v>16329.9</v>
      </c>
      <c r="M958" s="55">
        <v>106896.9</v>
      </c>
      <c r="N958" s="55">
        <v>9776.2999999999993</v>
      </c>
    </row>
    <row r="959" spans="1:14" ht="10.050000000000001" customHeight="1">
      <c r="A959" s="52" t="s">
        <v>309</v>
      </c>
      <c r="B959" s="53">
        <v>2006</v>
      </c>
      <c r="C959" s="52" t="s">
        <v>111</v>
      </c>
      <c r="D959" s="54">
        <v>3</v>
      </c>
      <c r="E959" s="55">
        <v>0</v>
      </c>
      <c r="F959" s="55">
        <v>0</v>
      </c>
      <c r="G959" s="55">
        <v>0</v>
      </c>
      <c r="H959" s="55">
        <v>22430.7</v>
      </c>
      <c r="I959" s="55">
        <v>0</v>
      </c>
      <c r="J959" s="55">
        <v>22430.7</v>
      </c>
      <c r="K959" s="55">
        <v>0</v>
      </c>
      <c r="L959" s="55">
        <v>0</v>
      </c>
      <c r="M959" s="55">
        <v>0</v>
      </c>
      <c r="N959" s="55">
        <v>0</v>
      </c>
    </row>
    <row r="960" spans="1:14" ht="10.050000000000001" hidden="1" customHeight="1">
      <c r="A960" s="52" t="s">
        <v>316</v>
      </c>
      <c r="B960" s="53">
        <v>2006</v>
      </c>
      <c r="C960" s="52" t="s">
        <v>111</v>
      </c>
      <c r="D960" s="54">
        <v>3</v>
      </c>
      <c r="E960" s="55">
        <v>47.9</v>
      </c>
      <c r="F960" s="55">
        <v>0</v>
      </c>
      <c r="G960" s="55">
        <v>47.9</v>
      </c>
      <c r="H960" s="55">
        <v>4294.6000000000004</v>
      </c>
      <c r="I960" s="55">
        <v>43.1</v>
      </c>
      <c r="J960" s="55">
        <v>4337.7</v>
      </c>
      <c r="K960" s="55">
        <v>0</v>
      </c>
      <c r="L960" s="55">
        <v>0</v>
      </c>
      <c r="M960" s="55">
        <v>0</v>
      </c>
      <c r="N960" s="55">
        <v>0</v>
      </c>
    </row>
    <row r="961" spans="1:14" ht="10.050000000000001" hidden="1" customHeight="1">
      <c r="A961" s="52" t="s">
        <v>310</v>
      </c>
      <c r="B961" s="53">
        <v>2006</v>
      </c>
      <c r="C961" s="52" t="s">
        <v>111</v>
      </c>
      <c r="D961" s="54">
        <v>3</v>
      </c>
      <c r="E961" s="55">
        <v>4110.6000000000004</v>
      </c>
      <c r="F961" s="55">
        <v>0</v>
      </c>
      <c r="G961" s="55">
        <v>4110.6000000000004</v>
      </c>
      <c r="H961" s="55">
        <v>47195.4</v>
      </c>
      <c r="I961" s="55">
        <v>678.5</v>
      </c>
      <c r="J961" s="55">
        <v>47873.9</v>
      </c>
      <c r="K961" s="55">
        <v>1370.2</v>
      </c>
      <c r="L961" s="55">
        <v>81.7</v>
      </c>
      <c r="M961" s="55">
        <v>1356.5</v>
      </c>
      <c r="N961" s="55">
        <v>128.5</v>
      </c>
    </row>
    <row r="962" spans="1:14" ht="10.050000000000001" hidden="1" customHeight="1">
      <c r="A962" s="52" t="s">
        <v>308</v>
      </c>
      <c r="B962" s="53">
        <v>2006</v>
      </c>
      <c r="C962" s="52" t="s">
        <v>111</v>
      </c>
      <c r="D962" s="54">
        <v>3</v>
      </c>
      <c r="E962" s="55">
        <v>2178.1</v>
      </c>
      <c r="F962" s="55">
        <v>0</v>
      </c>
      <c r="G962" s="55">
        <v>2178.1</v>
      </c>
      <c r="H962" s="55">
        <v>78528.5</v>
      </c>
      <c r="I962" s="55">
        <v>187.4</v>
      </c>
      <c r="J962" s="55">
        <v>78715.899999999994</v>
      </c>
      <c r="K962" s="55">
        <v>3629.7</v>
      </c>
      <c r="L962" s="55">
        <v>21.3</v>
      </c>
      <c r="M962" s="55">
        <v>1030.9000000000001</v>
      </c>
      <c r="N962" s="55">
        <v>400.4</v>
      </c>
    </row>
    <row r="963" spans="1:14" ht="10.050000000000001" hidden="1" customHeight="1">
      <c r="A963" s="52" t="s">
        <v>174</v>
      </c>
      <c r="B963" s="53">
        <v>2006</v>
      </c>
      <c r="C963" s="52" t="s">
        <v>111</v>
      </c>
      <c r="D963" s="54">
        <v>3</v>
      </c>
      <c r="E963" s="55">
        <v>8634.4</v>
      </c>
      <c r="F963" s="55">
        <v>267.7</v>
      </c>
      <c r="G963" s="55">
        <v>8902.1</v>
      </c>
      <c r="H963" s="55">
        <v>86408.8</v>
      </c>
      <c r="I963" s="55">
        <v>9417.1000000000095</v>
      </c>
      <c r="J963" s="55">
        <v>95825.900000000096</v>
      </c>
      <c r="K963" s="55">
        <v>28660.7</v>
      </c>
      <c r="L963" s="55">
        <v>1142.8</v>
      </c>
      <c r="M963" s="55">
        <v>2930.5</v>
      </c>
      <c r="N963" s="55">
        <v>4968.1000000000004</v>
      </c>
    </row>
    <row r="964" spans="1:14" ht="10.050000000000001" hidden="1" customHeight="1">
      <c r="A964" s="52" t="s">
        <v>314</v>
      </c>
      <c r="B964" s="53">
        <v>2006</v>
      </c>
      <c r="C964" s="52" t="s">
        <v>111</v>
      </c>
      <c r="D964" s="54">
        <v>4</v>
      </c>
      <c r="E964" s="55">
        <v>0</v>
      </c>
      <c r="F964" s="55">
        <v>0</v>
      </c>
      <c r="G964" s="55">
        <v>0</v>
      </c>
      <c r="H964" s="55">
        <v>126.9</v>
      </c>
      <c r="I964" s="55">
        <v>0</v>
      </c>
      <c r="J964" s="55">
        <v>126.9</v>
      </c>
      <c r="K964" s="55">
        <v>0</v>
      </c>
      <c r="L964" s="55">
        <v>0</v>
      </c>
      <c r="M964" s="55">
        <v>0</v>
      </c>
      <c r="N964" s="55">
        <v>0</v>
      </c>
    </row>
    <row r="965" spans="1:14" ht="10.050000000000001" hidden="1" customHeight="1">
      <c r="A965" s="52" t="s">
        <v>306</v>
      </c>
      <c r="B965" s="53">
        <v>2006</v>
      </c>
      <c r="C965" s="52" t="s">
        <v>111</v>
      </c>
      <c r="D965" s="54">
        <v>4</v>
      </c>
      <c r="E965" s="55">
        <v>4529.3</v>
      </c>
      <c r="F965" s="55">
        <v>339.3</v>
      </c>
      <c r="G965" s="55">
        <v>4868.6000000000004</v>
      </c>
      <c r="H965" s="55">
        <v>40591</v>
      </c>
      <c r="I965" s="55">
        <v>3935.7</v>
      </c>
      <c r="J965" s="55">
        <v>44526.7</v>
      </c>
      <c r="K965" s="55">
        <v>3495.9</v>
      </c>
      <c r="L965" s="55">
        <v>217.1</v>
      </c>
      <c r="M965" s="55">
        <v>1199.9000000000001</v>
      </c>
      <c r="N965" s="55">
        <v>581.9</v>
      </c>
    </row>
    <row r="966" spans="1:14" ht="10.050000000000001" hidden="1" customHeight="1">
      <c r="A966" s="52" t="s">
        <v>172</v>
      </c>
      <c r="B966" s="53">
        <v>2006</v>
      </c>
      <c r="C966" s="52" t="s">
        <v>111</v>
      </c>
      <c r="D966" s="54">
        <v>4</v>
      </c>
      <c r="E966" s="55">
        <v>42141.599999999999</v>
      </c>
      <c r="F966" s="55">
        <v>219.9</v>
      </c>
      <c r="G966" s="55">
        <v>42361.5</v>
      </c>
      <c r="H966" s="55">
        <v>319354.40000000002</v>
      </c>
      <c r="I966" s="55">
        <v>14498.4</v>
      </c>
      <c r="J966" s="55">
        <v>333852.79999999999</v>
      </c>
      <c r="K966" s="55">
        <v>12291.2</v>
      </c>
      <c r="L966" s="55">
        <v>1895.4</v>
      </c>
      <c r="M966" s="55">
        <v>7952.9</v>
      </c>
      <c r="N966" s="55">
        <v>57.1</v>
      </c>
    </row>
    <row r="967" spans="1:14" ht="10.050000000000001" hidden="1" customHeight="1">
      <c r="A967" s="52" t="s">
        <v>171</v>
      </c>
      <c r="B967" s="53">
        <v>2006</v>
      </c>
      <c r="C967" s="52" t="s">
        <v>111</v>
      </c>
      <c r="D967" s="54">
        <v>4</v>
      </c>
      <c r="E967" s="55">
        <v>907208.9</v>
      </c>
      <c r="F967" s="55">
        <v>10847.5</v>
      </c>
      <c r="G967" s="55">
        <v>918056.4</v>
      </c>
      <c r="H967" s="55">
        <v>5256731.9000000004</v>
      </c>
      <c r="I967" s="55">
        <v>63740.800000000003</v>
      </c>
      <c r="J967" s="55">
        <v>5320472.7</v>
      </c>
      <c r="K967" s="55">
        <v>560834.6</v>
      </c>
      <c r="L967" s="55">
        <v>68068.7</v>
      </c>
      <c r="M967" s="55">
        <v>354750.4</v>
      </c>
      <c r="N967" s="55">
        <v>16457.400000000001</v>
      </c>
    </row>
    <row r="968" spans="1:14" ht="10.050000000000001" hidden="1" customHeight="1">
      <c r="A968" s="52" t="s">
        <v>300</v>
      </c>
      <c r="B968" s="53">
        <v>2006</v>
      </c>
      <c r="C968" s="52" t="s">
        <v>111</v>
      </c>
      <c r="D968" s="54">
        <v>4</v>
      </c>
      <c r="E968" s="55">
        <v>87</v>
      </c>
      <c r="F968" s="55">
        <v>0</v>
      </c>
      <c r="G968" s="55">
        <v>87</v>
      </c>
      <c r="H968" s="55">
        <v>1903.5</v>
      </c>
      <c r="I968" s="55">
        <v>34</v>
      </c>
      <c r="J968" s="55">
        <v>1937.5</v>
      </c>
      <c r="K968" s="55">
        <v>61.6</v>
      </c>
      <c r="L968" s="55">
        <v>0</v>
      </c>
      <c r="M968" s="55">
        <v>0</v>
      </c>
      <c r="N968" s="55">
        <v>0</v>
      </c>
    </row>
    <row r="969" spans="1:14" ht="10.050000000000001" hidden="1" customHeight="1">
      <c r="A969" s="52" t="s">
        <v>307</v>
      </c>
      <c r="B969" s="53">
        <v>2006</v>
      </c>
      <c r="C969" s="52" t="s">
        <v>111</v>
      </c>
      <c r="D969" s="54">
        <v>4</v>
      </c>
      <c r="E969" s="55">
        <v>205815.2</v>
      </c>
      <c r="F969" s="55">
        <v>598.6</v>
      </c>
      <c r="G969" s="55">
        <v>206413.8</v>
      </c>
      <c r="H969" s="55">
        <v>3177782</v>
      </c>
      <c r="I969" s="55">
        <v>100989.1</v>
      </c>
      <c r="J969" s="55">
        <v>3278771.1</v>
      </c>
      <c r="K969" s="55">
        <v>735802.8</v>
      </c>
      <c r="L969" s="55">
        <v>10941.4</v>
      </c>
      <c r="M969" s="55">
        <v>106227.7</v>
      </c>
      <c r="N969" s="55">
        <v>26587.3</v>
      </c>
    </row>
    <row r="970" spans="1:14" ht="10.050000000000001" hidden="1" customHeight="1">
      <c r="A970" s="52" t="s">
        <v>315</v>
      </c>
      <c r="B970" s="53">
        <v>2006</v>
      </c>
      <c r="C970" s="52" t="s">
        <v>111</v>
      </c>
      <c r="D970" s="54">
        <v>4</v>
      </c>
      <c r="E970" s="55">
        <v>245.9</v>
      </c>
      <c r="F970" s="55">
        <v>0</v>
      </c>
      <c r="G970" s="55">
        <v>245.9</v>
      </c>
      <c r="H970" s="55">
        <v>21250.1</v>
      </c>
      <c r="I970" s="55">
        <v>0</v>
      </c>
      <c r="J970" s="55">
        <v>21250.1</v>
      </c>
      <c r="K970" s="55">
        <v>24.4</v>
      </c>
      <c r="L970" s="55">
        <v>0</v>
      </c>
      <c r="M970" s="55">
        <v>0</v>
      </c>
      <c r="N970" s="55">
        <v>0</v>
      </c>
    </row>
    <row r="971" spans="1:14" ht="10.050000000000001" hidden="1" customHeight="1">
      <c r="A971" s="52" t="s">
        <v>173</v>
      </c>
      <c r="B971" s="53">
        <v>2006</v>
      </c>
      <c r="C971" s="52" t="s">
        <v>111</v>
      </c>
      <c r="D971" s="54">
        <v>4</v>
      </c>
      <c r="E971" s="55">
        <v>146473.29999999999</v>
      </c>
      <c r="F971" s="55">
        <v>10535.9</v>
      </c>
      <c r="G971" s="55">
        <v>157009.20000000001</v>
      </c>
      <c r="H971" s="55">
        <v>2085675.7</v>
      </c>
      <c r="I971" s="55">
        <v>26394.400000000001</v>
      </c>
      <c r="J971" s="55">
        <v>2112070.1</v>
      </c>
      <c r="K971" s="55">
        <v>86950.3</v>
      </c>
      <c r="L971" s="55">
        <v>7930.9</v>
      </c>
      <c r="M971" s="55">
        <v>44906.400000000001</v>
      </c>
      <c r="N971" s="55">
        <v>5885.8</v>
      </c>
    </row>
    <row r="972" spans="1:14" ht="10.050000000000001" customHeight="1">
      <c r="A972" s="52" t="s">
        <v>309</v>
      </c>
      <c r="B972" s="53">
        <v>2006</v>
      </c>
      <c r="C972" s="52" t="s">
        <v>111</v>
      </c>
      <c r="D972" s="54">
        <v>4</v>
      </c>
      <c r="E972" s="55">
        <v>0</v>
      </c>
      <c r="F972" s="55">
        <v>0</v>
      </c>
      <c r="G972" s="55">
        <v>0</v>
      </c>
      <c r="H972" s="55">
        <v>20173.099999999999</v>
      </c>
      <c r="I972" s="55">
        <v>0</v>
      </c>
      <c r="J972" s="55">
        <v>20173.099999999999</v>
      </c>
      <c r="K972" s="55">
        <v>0</v>
      </c>
      <c r="L972" s="55">
        <v>0</v>
      </c>
      <c r="M972" s="55">
        <v>0</v>
      </c>
      <c r="N972" s="55">
        <v>0</v>
      </c>
    </row>
    <row r="973" spans="1:14" ht="10.050000000000001" hidden="1" customHeight="1">
      <c r="A973" s="52" t="s">
        <v>316</v>
      </c>
      <c r="B973" s="53">
        <v>2006</v>
      </c>
      <c r="C973" s="52" t="s">
        <v>111</v>
      </c>
      <c r="D973" s="54">
        <v>4</v>
      </c>
      <c r="E973" s="55">
        <v>64.900000000000006</v>
      </c>
      <c r="F973" s="55">
        <v>0</v>
      </c>
      <c r="G973" s="55">
        <v>64.900000000000006</v>
      </c>
      <c r="H973" s="55">
        <v>3637.7</v>
      </c>
      <c r="I973" s="55">
        <v>12.7</v>
      </c>
      <c r="J973" s="55">
        <v>3650.4</v>
      </c>
      <c r="K973" s="55">
        <v>0</v>
      </c>
      <c r="L973" s="55">
        <v>0</v>
      </c>
      <c r="M973" s="55">
        <v>0</v>
      </c>
      <c r="N973" s="55">
        <v>0</v>
      </c>
    </row>
    <row r="974" spans="1:14" ht="10.050000000000001" hidden="1" customHeight="1">
      <c r="A974" s="52" t="s">
        <v>310</v>
      </c>
      <c r="B974" s="53">
        <v>2006</v>
      </c>
      <c r="C974" s="52" t="s">
        <v>111</v>
      </c>
      <c r="D974" s="54">
        <v>4</v>
      </c>
      <c r="E974" s="55">
        <v>2187.6999999999998</v>
      </c>
      <c r="F974" s="55">
        <v>0</v>
      </c>
      <c r="G974" s="55">
        <v>2187.6999999999998</v>
      </c>
      <c r="H974" s="55">
        <v>44663.4</v>
      </c>
      <c r="I974" s="55">
        <v>535.1</v>
      </c>
      <c r="J974" s="55">
        <v>45198.5</v>
      </c>
      <c r="K974" s="55">
        <v>1144.5</v>
      </c>
      <c r="L974" s="55">
        <v>5.6</v>
      </c>
      <c r="M974" s="55">
        <v>146.30000000000001</v>
      </c>
      <c r="N974" s="55">
        <v>85</v>
      </c>
    </row>
    <row r="975" spans="1:14" ht="10.050000000000001" hidden="1" customHeight="1">
      <c r="A975" s="52" t="s">
        <v>308</v>
      </c>
      <c r="B975" s="53">
        <v>2006</v>
      </c>
      <c r="C975" s="52" t="s">
        <v>111</v>
      </c>
      <c r="D975" s="54">
        <v>4</v>
      </c>
      <c r="E975" s="55">
        <v>1422.2</v>
      </c>
      <c r="F975" s="55">
        <v>0</v>
      </c>
      <c r="G975" s="55">
        <v>1422.2</v>
      </c>
      <c r="H975" s="55">
        <v>61909.9</v>
      </c>
      <c r="I975" s="55">
        <v>187.4</v>
      </c>
      <c r="J975" s="55">
        <v>62097.3</v>
      </c>
      <c r="K975" s="55">
        <v>2384.8000000000002</v>
      </c>
      <c r="L975" s="55">
        <v>0</v>
      </c>
      <c r="M975" s="55">
        <v>1221.2</v>
      </c>
      <c r="N975" s="55">
        <v>23.7</v>
      </c>
    </row>
    <row r="976" spans="1:14" ht="10.050000000000001" hidden="1" customHeight="1">
      <c r="A976" s="52" t="s">
        <v>174</v>
      </c>
      <c r="B976" s="53">
        <v>2006</v>
      </c>
      <c r="C976" s="52" t="s">
        <v>111</v>
      </c>
      <c r="D976" s="54">
        <v>4</v>
      </c>
      <c r="E976" s="55">
        <v>5640.2</v>
      </c>
      <c r="F976" s="55">
        <v>800.9</v>
      </c>
      <c r="G976" s="55">
        <v>6441.1</v>
      </c>
      <c r="H976" s="55">
        <v>59344.1</v>
      </c>
      <c r="I976" s="55">
        <v>7461.4</v>
      </c>
      <c r="J976" s="55">
        <v>66805.5</v>
      </c>
      <c r="K976" s="55">
        <v>23998</v>
      </c>
      <c r="L976" s="55">
        <v>139.69999999999999</v>
      </c>
      <c r="M976" s="55">
        <v>1530.4</v>
      </c>
      <c r="N976" s="55">
        <v>3272</v>
      </c>
    </row>
    <row r="977" spans="1:14" ht="10.050000000000001" hidden="1" customHeight="1">
      <c r="A977" s="52" t="s">
        <v>314</v>
      </c>
      <c r="B977" s="53">
        <v>2006</v>
      </c>
      <c r="C977" s="52" t="s">
        <v>111</v>
      </c>
      <c r="D977" s="54">
        <v>5</v>
      </c>
      <c r="E977" s="55">
        <v>0</v>
      </c>
      <c r="F977" s="55">
        <v>0</v>
      </c>
      <c r="G977" s="55">
        <v>0</v>
      </c>
      <c r="H977" s="55">
        <v>62.9</v>
      </c>
      <c r="I977" s="55">
        <v>0</v>
      </c>
      <c r="J977" s="55">
        <v>62.9</v>
      </c>
      <c r="K977" s="55">
        <v>0</v>
      </c>
      <c r="L977" s="55">
        <v>0</v>
      </c>
      <c r="M977" s="55">
        <v>0</v>
      </c>
      <c r="N977" s="55">
        <v>0</v>
      </c>
    </row>
    <row r="978" spans="1:14" ht="10.050000000000001" hidden="1" customHeight="1">
      <c r="A978" s="52" t="s">
        <v>306</v>
      </c>
      <c r="B978" s="53">
        <v>2006</v>
      </c>
      <c r="C978" s="52" t="s">
        <v>111</v>
      </c>
      <c r="D978" s="54">
        <v>5</v>
      </c>
      <c r="E978" s="55">
        <v>4605.6000000000004</v>
      </c>
      <c r="F978" s="55">
        <v>25</v>
      </c>
      <c r="G978" s="55">
        <v>4630.6000000000004</v>
      </c>
      <c r="H978" s="55">
        <v>31118.6</v>
      </c>
      <c r="I978" s="55">
        <v>3246.1</v>
      </c>
      <c r="J978" s="55">
        <v>34364.699999999997</v>
      </c>
      <c r="K978" s="55">
        <v>2291.1999999999998</v>
      </c>
      <c r="L978" s="55">
        <v>381.5</v>
      </c>
      <c r="M978" s="55">
        <v>1001.5</v>
      </c>
      <c r="N978" s="55">
        <v>584.70000000000005</v>
      </c>
    </row>
    <row r="979" spans="1:14" ht="10.050000000000001" hidden="1" customHeight="1">
      <c r="A979" s="52" t="s">
        <v>172</v>
      </c>
      <c r="B979" s="53">
        <v>2006</v>
      </c>
      <c r="C979" s="52" t="s">
        <v>111</v>
      </c>
      <c r="D979" s="54">
        <v>5</v>
      </c>
      <c r="E979" s="55">
        <v>31825.7</v>
      </c>
      <c r="F979" s="55">
        <v>99</v>
      </c>
      <c r="G979" s="55">
        <v>31924.7</v>
      </c>
      <c r="H979" s="55">
        <v>176398.3</v>
      </c>
      <c r="I979" s="55">
        <v>12030.2</v>
      </c>
      <c r="J979" s="55">
        <v>188428.5</v>
      </c>
      <c r="K979" s="55">
        <v>3303.3</v>
      </c>
      <c r="L979" s="55">
        <v>469.5</v>
      </c>
      <c r="M979" s="55">
        <v>9421.4</v>
      </c>
      <c r="N979" s="55">
        <v>36</v>
      </c>
    </row>
    <row r="980" spans="1:14" ht="10.050000000000001" hidden="1" customHeight="1">
      <c r="A980" s="52" t="s">
        <v>171</v>
      </c>
      <c r="B980" s="53">
        <v>2006</v>
      </c>
      <c r="C980" s="52" t="s">
        <v>111</v>
      </c>
      <c r="D980" s="54">
        <v>5</v>
      </c>
      <c r="E980" s="55">
        <v>918865.2</v>
      </c>
      <c r="F980" s="55">
        <v>1313</v>
      </c>
      <c r="G980" s="55">
        <v>920178.2</v>
      </c>
      <c r="H980" s="55">
        <v>3509862.2</v>
      </c>
      <c r="I980" s="55">
        <v>58368.1</v>
      </c>
      <c r="J980" s="55">
        <v>3568230.3</v>
      </c>
      <c r="K980" s="55">
        <v>261525.5</v>
      </c>
      <c r="L980" s="55">
        <v>74567.600000000006</v>
      </c>
      <c r="M980" s="55">
        <v>350687.8</v>
      </c>
      <c r="N980" s="55">
        <v>26171.3</v>
      </c>
    </row>
    <row r="981" spans="1:14" ht="10.050000000000001" hidden="1" customHeight="1">
      <c r="A981" s="52" t="s">
        <v>300</v>
      </c>
      <c r="B981" s="53">
        <v>2006</v>
      </c>
      <c r="C981" s="52" t="s">
        <v>111</v>
      </c>
      <c r="D981" s="54">
        <v>5</v>
      </c>
      <c r="E981" s="55">
        <v>115.7</v>
      </c>
      <c r="F981" s="55">
        <v>0</v>
      </c>
      <c r="G981" s="55">
        <v>115.7</v>
      </c>
      <c r="H981" s="55">
        <v>1867</v>
      </c>
      <c r="I981" s="55">
        <v>34</v>
      </c>
      <c r="J981" s="55">
        <v>1901</v>
      </c>
      <c r="K981" s="55">
        <v>0</v>
      </c>
      <c r="L981" s="55">
        <v>0</v>
      </c>
      <c r="M981" s="55">
        <v>61.6</v>
      </c>
      <c r="N981" s="55">
        <v>0</v>
      </c>
    </row>
    <row r="982" spans="1:14" ht="10.050000000000001" hidden="1" customHeight="1">
      <c r="A982" s="52" t="s">
        <v>307</v>
      </c>
      <c r="B982" s="53">
        <v>2006</v>
      </c>
      <c r="C982" s="52" t="s">
        <v>111</v>
      </c>
      <c r="D982" s="54">
        <v>5</v>
      </c>
      <c r="E982" s="55">
        <v>350991.3</v>
      </c>
      <c r="F982" s="55">
        <v>32.799999999999997</v>
      </c>
      <c r="G982" s="55">
        <v>351024.1</v>
      </c>
      <c r="H982" s="55">
        <v>2519436.7000000002</v>
      </c>
      <c r="I982" s="55">
        <v>99027.7</v>
      </c>
      <c r="J982" s="55">
        <v>2618464.4</v>
      </c>
      <c r="K982" s="55">
        <v>564220.9</v>
      </c>
      <c r="L982" s="55">
        <v>40756.1</v>
      </c>
      <c r="M982" s="55">
        <v>180572.9</v>
      </c>
      <c r="N982" s="55">
        <v>31761.4</v>
      </c>
    </row>
    <row r="983" spans="1:14" ht="10.050000000000001" hidden="1" customHeight="1">
      <c r="A983" s="52" t="s">
        <v>315</v>
      </c>
      <c r="B983" s="53">
        <v>2006</v>
      </c>
      <c r="C983" s="52" t="s">
        <v>111</v>
      </c>
      <c r="D983" s="54">
        <v>5</v>
      </c>
      <c r="E983" s="55">
        <v>240.6</v>
      </c>
      <c r="F983" s="55">
        <v>0</v>
      </c>
      <c r="G983" s="55">
        <v>240.6</v>
      </c>
      <c r="H983" s="55">
        <v>18488.7</v>
      </c>
      <c r="I983" s="55">
        <v>0</v>
      </c>
      <c r="J983" s="55">
        <v>18488.7</v>
      </c>
      <c r="K983" s="55">
        <v>11.2</v>
      </c>
      <c r="L983" s="55">
        <v>0</v>
      </c>
      <c r="M983" s="55">
        <v>13.2</v>
      </c>
      <c r="N983" s="55">
        <v>0</v>
      </c>
    </row>
    <row r="984" spans="1:14" ht="10.050000000000001" hidden="1" customHeight="1">
      <c r="A984" s="52" t="s">
        <v>173</v>
      </c>
      <c r="B984" s="53">
        <v>2006</v>
      </c>
      <c r="C984" s="52" t="s">
        <v>111</v>
      </c>
      <c r="D984" s="54">
        <v>5</v>
      </c>
      <c r="E984" s="55">
        <v>124400.7</v>
      </c>
      <c r="F984" s="55">
        <v>1107.5</v>
      </c>
      <c r="G984" s="55">
        <v>125508.2</v>
      </c>
      <c r="H984" s="55">
        <v>1509140</v>
      </c>
      <c r="I984" s="55">
        <v>20350.7</v>
      </c>
      <c r="J984" s="55">
        <v>1529490.7</v>
      </c>
      <c r="K984" s="55">
        <v>46480.800000000003</v>
      </c>
      <c r="L984" s="55">
        <v>4956.2</v>
      </c>
      <c r="M984" s="55">
        <v>37313.599999999999</v>
      </c>
      <c r="N984" s="55">
        <v>8288.6</v>
      </c>
    </row>
    <row r="985" spans="1:14" ht="10.050000000000001" customHeight="1">
      <c r="A985" s="52" t="s">
        <v>309</v>
      </c>
      <c r="B985" s="53">
        <v>2006</v>
      </c>
      <c r="C985" s="52" t="s">
        <v>111</v>
      </c>
      <c r="D985" s="54">
        <v>5</v>
      </c>
      <c r="E985" s="55">
        <v>0</v>
      </c>
      <c r="F985" s="55">
        <v>0</v>
      </c>
      <c r="G985" s="55">
        <v>0</v>
      </c>
      <c r="H985" s="55">
        <v>18346.3</v>
      </c>
      <c r="I985" s="55">
        <v>0</v>
      </c>
      <c r="J985" s="55">
        <v>18346.3</v>
      </c>
      <c r="K985" s="55">
        <v>0</v>
      </c>
      <c r="L985" s="55">
        <v>0</v>
      </c>
      <c r="M985" s="55">
        <v>0</v>
      </c>
      <c r="N985" s="55">
        <v>0</v>
      </c>
    </row>
    <row r="986" spans="1:14" ht="10.050000000000001" hidden="1" customHeight="1">
      <c r="A986" s="52" t="s">
        <v>316</v>
      </c>
      <c r="B986" s="53">
        <v>2006</v>
      </c>
      <c r="C986" s="52" t="s">
        <v>111</v>
      </c>
      <c r="D986" s="54">
        <v>5</v>
      </c>
      <c r="E986" s="55">
        <v>27.6</v>
      </c>
      <c r="F986" s="55">
        <v>0</v>
      </c>
      <c r="G986" s="55">
        <v>27.6</v>
      </c>
      <c r="H986" s="55">
        <v>2972.5</v>
      </c>
      <c r="I986" s="55">
        <v>12.4</v>
      </c>
      <c r="J986" s="55">
        <v>2984.9</v>
      </c>
      <c r="K986" s="55">
        <v>0</v>
      </c>
      <c r="L986" s="55">
        <v>0</v>
      </c>
      <c r="M986" s="55">
        <v>0</v>
      </c>
      <c r="N986" s="55">
        <v>0</v>
      </c>
    </row>
    <row r="987" spans="1:14" ht="10.050000000000001" hidden="1" customHeight="1">
      <c r="A987" s="52" t="s">
        <v>310</v>
      </c>
      <c r="B987" s="53">
        <v>2006</v>
      </c>
      <c r="C987" s="52" t="s">
        <v>111</v>
      </c>
      <c r="D987" s="54">
        <v>5</v>
      </c>
      <c r="E987" s="55">
        <v>2343.6999999999998</v>
      </c>
      <c r="F987" s="55">
        <v>0</v>
      </c>
      <c r="G987" s="55">
        <v>2343.6999999999998</v>
      </c>
      <c r="H987" s="55">
        <v>37982.199999999997</v>
      </c>
      <c r="I987" s="55">
        <v>497.9</v>
      </c>
      <c r="J987" s="55">
        <v>38480.1</v>
      </c>
      <c r="K987" s="55">
        <v>844.4</v>
      </c>
      <c r="L987" s="55">
        <v>0.1</v>
      </c>
      <c r="M987" s="55">
        <v>201.2</v>
      </c>
      <c r="N987" s="55">
        <v>99</v>
      </c>
    </row>
    <row r="988" spans="1:14" ht="10.050000000000001" hidden="1" customHeight="1">
      <c r="A988" s="52" t="s">
        <v>308</v>
      </c>
      <c r="B988" s="53">
        <v>2006</v>
      </c>
      <c r="C988" s="52" t="s">
        <v>111</v>
      </c>
      <c r="D988" s="54">
        <v>5</v>
      </c>
      <c r="E988" s="55">
        <v>1751.2</v>
      </c>
      <c r="F988" s="55">
        <v>61.2</v>
      </c>
      <c r="G988" s="55">
        <v>1812.4</v>
      </c>
      <c r="H988" s="55">
        <v>47613.9</v>
      </c>
      <c r="I988" s="55">
        <v>248.6</v>
      </c>
      <c r="J988" s="55">
        <v>47862.5</v>
      </c>
      <c r="K988" s="55">
        <v>961.5</v>
      </c>
      <c r="L988" s="55">
        <v>7.6</v>
      </c>
      <c r="M988" s="55">
        <v>1339.9</v>
      </c>
      <c r="N988" s="55">
        <v>91</v>
      </c>
    </row>
    <row r="989" spans="1:14" ht="10.050000000000001" hidden="1" customHeight="1">
      <c r="A989" s="52" t="s">
        <v>174</v>
      </c>
      <c r="B989" s="53">
        <v>2006</v>
      </c>
      <c r="C989" s="52" t="s">
        <v>111</v>
      </c>
      <c r="D989" s="54">
        <v>5</v>
      </c>
      <c r="E989" s="55">
        <v>6629.2</v>
      </c>
      <c r="F989" s="55">
        <v>97.2</v>
      </c>
      <c r="G989" s="55">
        <v>6726.4</v>
      </c>
      <c r="H989" s="55">
        <v>38307.4</v>
      </c>
      <c r="I989" s="55">
        <v>7064</v>
      </c>
      <c r="J989" s="55">
        <v>45371.4</v>
      </c>
      <c r="K989" s="55">
        <v>17546.2</v>
      </c>
      <c r="L989" s="55">
        <v>263.10000000000002</v>
      </c>
      <c r="M989" s="55">
        <v>2972.7</v>
      </c>
      <c r="N989" s="55">
        <v>3742.2</v>
      </c>
    </row>
    <row r="990" spans="1:14" ht="10.050000000000001" hidden="1" customHeight="1">
      <c r="A990" s="52" t="s">
        <v>314</v>
      </c>
      <c r="B990" s="53">
        <v>2006</v>
      </c>
      <c r="C990" s="52" t="s">
        <v>111</v>
      </c>
      <c r="D990" s="54">
        <v>6</v>
      </c>
      <c r="E990" s="55">
        <v>0</v>
      </c>
      <c r="F990" s="55">
        <v>0</v>
      </c>
      <c r="G990" s="55">
        <v>0</v>
      </c>
      <c r="H990" s="55">
        <v>56.1</v>
      </c>
      <c r="I990" s="55">
        <v>0</v>
      </c>
      <c r="J990" s="55">
        <v>56.1</v>
      </c>
      <c r="K990" s="55">
        <v>0</v>
      </c>
      <c r="L990" s="55">
        <v>0</v>
      </c>
      <c r="M990" s="55">
        <v>0</v>
      </c>
      <c r="N990" s="55">
        <v>0</v>
      </c>
    </row>
    <row r="991" spans="1:14" ht="10.050000000000001" hidden="1" customHeight="1">
      <c r="A991" s="52" t="s">
        <v>306</v>
      </c>
      <c r="B991" s="53">
        <v>2006</v>
      </c>
      <c r="C991" s="52" t="s">
        <v>111</v>
      </c>
      <c r="D991" s="54">
        <v>6</v>
      </c>
      <c r="E991" s="55">
        <v>4232.7</v>
      </c>
      <c r="F991" s="55">
        <v>0</v>
      </c>
      <c r="G991" s="55">
        <v>4232.7</v>
      </c>
      <c r="H991" s="55">
        <v>18758.900000000001</v>
      </c>
      <c r="I991" s="55">
        <v>2738.9</v>
      </c>
      <c r="J991" s="55">
        <v>21497.8</v>
      </c>
      <c r="K991" s="55">
        <v>914.5</v>
      </c>
      <c r="L991" s="55">
        <v>197.2</v>
      </c>
      <c r="M991" s="55">
        <v>939.9</v>
      </c>
      <c r="N991" s="55">
        <v>634</v>
      </c>
    </row>
    <row r="992" spans="1:14" ht="10.050000000000001" hidden="1" customHeight="1">
      <c r="A992" s="52" t="s">
        <v>172</v>
      </c>
      <c r="B992" s="53">
        <v>2006</v>
      </c>
      <c r="C992" s="52" t="s">
        <v>111</v>
      </c>
      <c r="D992" s="54">
        <v>6</v>
      </c>
      <c r="E992" s="55">
        <v>14078.6</v>
      </c>
      <c r="F992" s="55">
        <v>0</v>
      </c>
      <c r="G992" s="55">
        <v>14078.6</v>
      </c>
      <c r="H992" s="55">
        <v>85233.2</v>
      </c>
      <c r="I992" s="55">
        <v>6996.1</v>
      </c>
      <c r="J992" s="55">
        <v>92229.3</v>
      </c>
      <c r="K992" s="55">
        <v>302.7</v>
      </c>
      <c r="L992" s="55">
        <v>112.5</v>
      </c>
      <c r="M992" s="55">
        <v>3109.4</v>
      </c>
      <c r="N992" s="55">
        <v>3.7</v>
      </c>
    </row>
    <row r="993" spans="1:14" ht="10.050000000000001" hidden="1" customHeight="1">
      <c r="A993" s="52" t="s">
        <v>171</v>
      </c>
      <c r="B993" s="53">
        <v>2006</v>
      </c>
      <c r="C993" s="52" t="s">
        <v>111</v>
      </c>
      <c r="D993" s="54">
        <v>6</v>
      </c>
      <c r="E993" s="55">
        <v>666735.30000000005</v>
      </c>
      <c r="F993" s="55">
        <v>2568.1</v>
      </c>
      <c r="G993" s="55">
        <v>669303.4</v>
      </c>
      <c r="H993" s="55">
        <v>1633898.5</v>
      </c>
      <c r="I993" s="55">
        <v>39459</v>
      </c>
      <c r="J993" s="55">
        <v>1673357.5</v>
      </c>
      <c r="K993" s="55">
        <v>32582.2</v>
      </c>
      <c r="L993" s="55">
        <v>33522.400000000001</v>
      </c>
      <c r="M993" s="55">
        <v>230089.8</v>
      </c>
      <c r="N993" s="55">
        <v>32033.8</v>
      </c>
    </row>
    <row r="994" spans="1:14" ht="10.050000000000001" hidden="1" customHeight="1">
      <c r="A994" s="52" t="s">
        <v>300</v>
      </c>
      <c r="B994" s="53">
        <v>2006</v>
      </c>
      <c r="C994" s="52" t="s">
        <v>111</v>
      </c>
      <c r="D994" s="54">
        <v>6</v>
      </c>
      <c r="E994" s="55">
        <v>603.4</v>
      </c>
      <c r="F994" s="55">
        <v>0</v>
      </c>
      <c r="G994" s="55">
        <v>603.4</v>
      </c>
      <c r="H994" s="55">
        <v>1826</v>
      </c>
      <c r="I994" s="55">
        <v>34</v>
      </c>
      <c r="J994" s="55">
        <v>1860</v>
      </c>
      <c r="K994" s="55">
        <v>0</v>
      </c>
      <c r="L994" s="55">
        <v>0</v>
      </c>
      <c r="M994" s="55">
        <v>0</v>
      </c>
      <c r="N994" s="55">
        <v>0</v>
      </c>
    </row>
    <row r="995" spans="1:14" ht="10.050000000000001" hidden="1" customHeight="1">
      <c r="A995" s="52" t="s">
        <v>307</v>
      </c>
      <c r="B995" s="53">
        <v>2006</v>
      </c>
      <c r="C995" s="52" t="s">
        <v>111</v>
      </c>
      <c r="D995" s="54">
        <v>6</v>
      </c>
      <c r="E995" s="55">
        <v>554519</v>
      </c>
      <c r="F995" s="55">
        <v>383</v>
      </c>
      <c r="G995" s="55">
        <v>554902</v>
      </c>
      <c r="H995" s="55">
        <v>1971145.9</v>
      </c>
      <c r="I995" s="55">
        <v>53420.1</v>
      </c>
      <c r="J995" s="55">
        <v>2024566</v>
      </c>
      <c r="K995" s="55">
        <v>255244.4</v>
      </c>
      <c r="L995" s="55">
        <v>43606.2</v>
      </c>
      <c r="M995" s="55">
        <v>319689.09999999998</v>
      </c>
      <c r="N995" s="55">
        <v>32959.1</v>
      </c>
    </row>
    <row r="996" spans="1:14" ht="10.050000000000001" hidden="1" customHeight="1">
      <c r="A996" s="52" t="s">
        <v>315</v>
      </c>
      <c r="B996" s="53">
        <v>2006</v>
      </c>
      <c r="C996" s="52" t="s">
        <v>111</v>
      </c>
      <c r="D996" s="54">
        <v>6</v>
      </c>
      <c r="E996" s="55">
        <v>772.1</v>
      </c>
      <c r="F996" s="55">
        <v>0</v>
      </c>
      <c r="G996" s="55">
        <v>772.1</v>
      </c>
      <c r="H996" s="55">
        <v>15755.1</v>
      </c>
      <c r="I996" s="55">
        <v>0</v>
      </c>
      <c r="J996" s="55">
        <v>15755.1</v>
      </c>
      <c r="K996" s="55">
        <v>2.7</v>
      </c>
      <c r="L996" s="55">
        <v>0</v>
      </c>
      <c r="M996" s="55">
        <v>8.5</v>
      </c>
      <c r="N996" s="55">
        <v>0</v>
      </c>
    </row>
    <row r="997" spans="1:14" ht="10.050000000000001" hidden="1" customHeight="1">
      <c r="A997" s="52" t="s">
        <v>173</v>
      </c>
      <c r="B997" s="53">
        <v>2006</v>
      </c>
      <c r="C997" s="52" t="s">
        <v>111</v>
      </c>
      <c r="D997" s="54">
        <v>6</v>
      </c>
      <c r="E997" s="55">
        <v>90749.5</v>
      </c>
      <c r="F997" s="55">
        <v>3039.7</v>
      </c>
      <c r="G997" s="55">
        <v>93789.2</v>
      </c>
      <c r="H997" s="55">
        <v>847263.4</v>
      </c>
      <c r="I997" s="55">
        <v>14055.7</v>
      </c>
      <c r="J997" s="55">
        <v>861319.1</v>
      </c>
      <c r="K997" s="55">
        <v>15200.9</v>
      </c>
      <c r="L997" s="55">
        <v>6801.3</v>
      </c>
      <c r="M997" s="55">
        <v>29761.8</v>
      </c>
      <c r="N997" s="55">
        <v>8292.6</v>
      </c>
    </row>
    <row r="998" spans="1:14" ht="10.050000000000001" customHeight="1">
      <c r="A998" s="52" t="s">
        <v>309</v>
      </c>
      <c r="B998" s="53">
        <v>2006</v>
      </c>
      <c r="C998" s="52" t="s">
        <v>111</v>
      </c>
      <c r="D998" s="54">
        <v>6</v>
      </c>
      <c r="E998" s="55">
        <v>56.9</v>
      </c>
      <c r="F998" s="55">
        <v>0</v>
      </c>
      <c r="G998" s="55">
        <v>56.9</v>
      </c>
      <c r="H998" s="55">
        <v>37799.199999999997</v>
      </c>
      <c r="I998" s="55">
        <v>0</v>
      </c>
      <c r="J998" s="55">
        <v>37799.199999999997</v>
      </c>
      <c r="K998" s="55">
        <v>0</v>
      </c>
      <c r="L998" s="55">
        <v>0</v>
      </c>
      <c r="M998" s="55">
        <v>0</v>
      </c>
      <c r="N998" s="55">
        <v>0</v>
      </c>
    </row>
    <row r="999" spans="1:14" ht="10.050000000000001" hidden="1" customHeight="1">
      <c r="A999" s="52" t="s">
        <v>316</v>
      </c>
      <c r="B999" s="53">
        <v>2006</v>
      </c>
      <c r="C999" s="52" t="s">
        <v>111</v>
      </c>
      <c r="D999" s="54">
        <v>6</v>
      </c>
      <c r="E999" s="55">
        <v>101.5</v>
      </c>
      <c r="F999" s="55">
        <v>0</v>
      </c>
      <c r="G999" s="55">
        <v>101.5</v>
      </c>
      <c r="H999" s="55">
        <v>2340.3000000000002</v>
      </c>
      <c r="I999" s="55">
        <v>12.3</v>
      </c>
      <c r="J999" s="55">
        <v>2352.6</v>
      </c>
      <c r="K999" s="55">
        <v>0</v>
      </c>
      <c r="L999" s="55">
        <v>0</v>
      </c>
      <c r="M999" s="55">
        <v>0</v>
      </c>
      <c r="N999" s="55">
        <v>0</v>
      </c>
    </row>
    <row r="1000" spans="1:14" ht="10.050000000000001" hidden="1" customHeight="1">
      <c r="A1000" s="52" t="s">
        <v>310</v>
      </c>
      <c r="B1000" s="53">
        <v>2006</v>
      </c>
      <c r="C1000" s="52" t="s">
        <v>111</v>
      </c>
      <c r="D1000" s="54">
        <v>6</v>
      </c>
      <c r="E1000" s="55">
        <v>1463.3</v>
      </c>
      <c r="F1000" s="55">
        <v>0</v>
      </c>
      <c r="G1000" s="55">
        <v>1463.3</v>
      </c>
      <c r="H1000" s="55">
        <v>28270.799999999999</v>
      </c>
      <c r="I1000" s="55">
        <v>271.8</v>
      </c>
      <c r="J1000" s="55">
        <v>28542.6</v>
      </c>
      <c r="K1000" s="55">
        <v>585.29999999999995</v>
      </c>
      <c r="L1000" s="55">
        <v>91</v>
      </c>
      <c r="M1000" s="55">
        <v>206.1</v>
      </c>
      <c r="N1000" s="55">
        <v>179.5</v>
      </c>
    </row>
    <row r="1001" spans="1:14" ht="10.050000000000001" hidden="1" customHeight="1">
      <c r="A1001" s="52" t="s">
        <v>308</v>
      </c>
      <c r="B1001" s="53">
        <v>2006</v>
      </c>
      <c r="C1001" s="52" t="s">
        <v>111</v>
      </c>
      <c r="D1001" s="54">
        <v>6</v>
      </c>
      <c r="E1001" s="55">
        <v>1435.9</v>
      </c>
      <c r="F1001" s="55">
        <v>0</v>
      </c>
      <c r="G1001" s="55">
        <v>1435.9</v>
      </c>
      <c r="H1001" s="55">
        <v>32014.799999999999</v>
      </c>
      <c r="I1001" s="55">
        <v>234.3</v>
      </c>
      <c r="J1001" s="55">
        <v>32249.1</v>
      </c>
      <c r="K1001" s="55">
        <v>300.39999999999998</v>
      </c>
      <c r="L1001" s="55">
        <v>0.8</v>
      </c>
      <c r="M1001" s="55">
        <v>337.9</v>
      </c>
      <c r="N1001" s="55">
        <v>324</v>
      </c>
    </row>
    <row r="1002" spans="1:14" ht="10.050000000000001" hidden="1" customHeight="1">
      <c r="A1002" s="52" t="s">
        <v>174</v>
      </c>
      <c r="B1002" s="53">
        <v>2006</v>
      </c>
      <c r="C1002" s="52" t="s">
        <v>111</v>
      </c>
      <c r="D1002" s="54">
        <v>6</v>
      </c>
      <c r="E1002" s="55">
        <v>13142.4</v>
      </c>
      <c r="F1002" s="55">
        <v>283.3</v>
      </c>
      <c r="G1002" s="55">
        <v>13425.7</v>
      </c>
      <c r="H1002" s="55">
        <v>18671.900000000001</v>
      </c>
      <c r="I1002" s="55">
        <v>6061</v>
      </c>
      <c r="J1002" s="55">
        <v>24732.9</v>
      </c>
      <c r="K1002" s="55">
        <v>5757.6</v>
      </c>
      <c r="L1002" s="55">
        <v>319.89999999999998</v>
      </c>
      <c r="M1002" s="55">
        <v>4424</v>
      </c>
      <c r="N1002" s="55">
        <v>7717.3</v>
      </c>
    </row>
    <row r="1003" spans="1:14" ht="10.050000000000001" hidden="1" customHeight="1">
      <c r="A1003" s="52" t="s">
        <v>314</v>
      </c>
      <c r="B1003" s="53">
        <v>2006</v>
      </c>
      <c r="C1003" s="52" t="s">
        <v>112</v>
      </c>
      <c r="D1003" s="54">
        <v>7</v>
      </c>
      <c r="E1003" s="55">
        <v>0</v>
      </c>
      <c r="F1003" s="55">
        <v>0</v>
      </c>
      <c r="G1003" s="55">
        <v>0</v>
      </c>
      <c r="H1003" s="55">
        <v>45.3</v>
      </c>
      <c r="I1003" s="55">
        <v>0</v>
      </c>
      <c r="J1003" s="55">
        <v>45.3</v>
      </c>
      <c r="K1003" s="55">
        <v>0</v>
      </c>
      <c r="L1003" s="55">
        <v>0</v>
      </c>
      <c r="M1003" s="55">
        <v>0</v>
      </c>
      <c r="N1003" s="55">
        <v>0</v>
      </c>
    </row>
    <row r="1004" spans="1:14" ht="10.050000000000001" hidden="1" customHeight="1">
      <c r="A1004" s="52" t="s">
        <v>306</v>
      </c>
      <c r="B1004" s="53">
        <v>2006</v>
      </c>
      <c r="C1004" s="52" t="s">
        <v>112</v>
      </c>
      <c r="D1004" s="54">
        <v>7</v>
      </c>
      <c r="E1004" s="55">
        <v>94179.9</v>
      </c>
      <c r="F1004" s="55">
        <v>1679.7</v>
      </c>
      <c r="G1004" s="55">
        <v>95859.6</v>
      </c>
      <c r="H1004" s="55">
        <v>99337.1</v>
      </c>
      <c r="I1004" s="55">
        <v>3883.1</v>
      </c>
      <c r="J1004" s="55">
        <v>103220.2</v>
      </c>
      <c r="K1004" s="55">
        <v>12005.7</v>
      </c>
      <c r="L1004" s="55">
        <v>12106.9</v>
      </c>
      <c r="M1004" s="55">
        <v>732.2</v>
      </c>
      <c r="N1004" s="55">
        <v>285</v>
      </c>
    </row>
    <row r="1005" spans="1:14" ht="10.050000000000001" hidden="1" customHeight="1">
      <c r="A1005" s="52" t="s">
        <v>172</v>
      </c>
      <c r="B1005" s="53">
        <v>2006</v>
      </c>
      <c r="C1005" s="52" t="s">
        <v>112</v>
      </c>
      <c r="D1005" s="54">
        <v>7</v>
      </c>
      <c r="E1005" s="55">
        <v>903652.7</v>
      </c>
      <c r="F1005" s="55">
        <v>46441.1</v>
      </c>
      <c r="G1005" s="55">
        <v>950093.8</v>
      </c>
      <c r="H1005" s="55">
        <v>835499.3</v>
      </c>
      <c r="I1005" s="55">
        <v>43266.8</v>
      </c>
      <c r="J1005" s="55">
        <v>878766.1</v>
      </c>
      <c r="K1005" s="55">
        <v>308187.7</v>
      </c>
      <c r="L1005" s="55">
        <v>316662.5</v>
      </c>
      <c r="M1005" s="55">
        <v>8776.7000000000007</v>
      </c>
      <c r="N1005" s="55">
        <v>0.8</v>
      </c>
    </row>
    <row r="1006" spans="1:14" ht="10.050000000000001" hidden="1" customHeight="1">
      <c r="A1006" s="52" t="s">
        <v>171</v>
      </c>
      <c r="B1006" s="53">
        <v>2006</v>
      </c>
      <c r="C1006" s="52" t="s">
        <v>112</v>
      </c>
      <c r="D1006" s="54">
        <v>7</v>
      </c>
      <c r="E1006" s="55">
        <v>12249466.5</v>
      </c>
      <c r="F1006" s="55">
        <v>110691.2</v>
      </c>
      <c r="G1006" s="55">
        <v>12360157.699999999</v>
      </c>
      <c r="H1006" s="55">
        <v>11862169.6</v>
      </c>
      <c r="I1006" s="55">
        <v>139720.20000000001</v>
      </c>
      <c r="J1006" s="55">
        <v>12001889.800000001</v>
      </c>
      <c r="K1006" s="55">
        <v>2915885.1</v>
      </c>
      <c r="L1006" s="55">
        <v>3061989.8</v>
      </c>
      <c r="M1006" s="55">
        <v>157770.4</v>
      </c>
      <c r="N1006" s="55">
        <v>21554.3</v>
      </c>
    </row>
    <row r="1007" spans="1:14" ht="10.050000000000001" hidden="1" customHeight="1">
      <c r="A1007" s="52" t="s">
        <v>300</v>
      </c>
      <c r="B1007" s="53">
        <v>2006</v>
      </c>
      <c r="C1007" s="52" t="s">
        <v>112</v>
      </c>
      <c r="D1007" s="54">
        <v>7</v>
      </c>
      <c r="E1007" s="55">
        <v>397.3</v>
      </c>
      <c r="F1007" s="55">
        <v>0</v>
      </c>
      <c r="G1007" s="55">
        <v>397.3</v>
      </c>
      <c r="H1007" s="55">
        <v>1524.4</v>
      </c>
      <c r="I1007" s="55">
        <v>73.599999999999994</v>
      </c>
      <c r="J1007" s="55">
        <v>1598</v>
      </c>
      <c r="K1007" s="55">
        <v>126</v>
      </c>
      <c r="L1007" s="55">
        <v>126</v>
      </c>
      <c r="M1007" s="55">
        <v>0</v>
      </c>
      <c r="N1007" s="55">
        <v>0</v>
      </c>
    </row>
    <row r="1008" spans="1:14" ht="10.050000000000001" hidden="1" customHeight="1">
      <c r="A1008" s="52" t="s">
        <v>307</v>
      </c>
      <c r="B1008" s="53">
        <v>2006</v>
      </c>
      <c r="C1008" s="52" t="s">
        <v>112</v>
      </c>
      <c r="D1008" s="54">
        <v>7</v>
      </c>
      <c r="E1008" s="55">
        <v>139466.5</v>
      </c>
      <c r="F1008" s="55">
        <v>0</v>
      </c>
      <c r="G1008" s="55">
        <v>139466.5</v>
      </c>
      <c r="H1008" s="55">
        <v>1374356.8</v>
      </c>
      <c r="I1008" s="55">
        <v>52936.2</v>
      </c>
      <c r="J1008" s="55">
        <v>1427293</v>
      </c>
      <c r="K1008" s="55">
        <v>185412.9</v>
      </c>
      <c r="L1008" s="55">
        <v>12047.8</v>
      </c>
      <c r="M1008" s="55">
        <v>54889.1</v>
      </c>
      <c r="N1008" s="55">
        <v>27167.8</v>
      </c>
    </row>
    <row r="1009" spans="1:14" ht="10.050000000000001" hidden="1" customHeight="1">
      <c r="A1009" s="52" t="s">
        <v>315</v>
      </c>
      <c r="B1009" s="53">
        <v>2006</v>
      </c>
      <c r="C1009" s="52" t="s">
        <v>112</v>
      </c>
      <c r="D1009" s="54">
        <v>7</v>
      </c>
      <c r="E1009" s="55">
        <v>403.8</v>
      </c>
      <c r="F1009" s="55">
        <v>0</v>
      </c>
      <c r="G1009" s="55">
        <v>403.8</v>
      </c>
      <c r="H1009" s="55">
        <v>12981.6</v>
      </c>
      <c r="I1009" s="55">
        <v>0</v>
      </c>
      <c r="J1009" s="55">
        <v>12981.6</v>
      </c>
      <c r="K1009" s="55">
        <v>0</v>
      </c>
      <c r="L1009" s="55">
        <v>0</v>
      </c>
      <c r="M1009" s="55">
        <v>1.8</v>
      </c>
      <c r="N1009" s="55">
        <v>0.9</v>
      </c>
    </row>
    <row r="1010" spans="1:14" ht="10.050000000000001" hidden="1" customHeight="1">
      <c r="A1010" s="52" t="s">
        <v>173</v>
      </c>
      <c r="B1010" s="53">
        <v>2006</v>
      </c>
      <c r="C1010" s="52" t="s">
        <v>112</v>
      </c>
      <c r="D1010" s="54">
        <v>7</v>
      </c>
      <c r="E1010" s="55">
        <v>5428727.5999999996</v>
      </c>
      <c r="F1010" s="55">
        <v>100468.5</v>
      </c>
      <c r="G1010" s="55">
        <v>5529196.0999999996</v>
      </c>
      <c r="H1010" s="55">
        <v>5422589</v>
      </c>
      <c r="I1010" s="55">
        <v>86855.2</v>
      </c>
      <c r="J1010" s="55">
        <v>5509444.2000000002</v>
      </c>
      <c r="K1010" s="55">
        <v>950182.3</v>
      </c>
      <c r="L1010" s="55">
        <v>1246367.5</v>
      </c>
      <c r="M1010" s="55">
        <v>291760.7</v>
      </c>
      <c r="N1010" s="55">
        <v>8276</v>
      </c>
    </row>
    <row r="1011" spans="1:14" ht="10.050000000000001" customHeight="1">
      <c r="A1011" s="52" t="s">
        <v>309</v>
      </c>
      <c r="B1011" s="53">
        <v>2006</v>
      </c>
      <c r="C1011" s="52" t="s">
        <v>112</v>
      </c>
      <c r="D1011" s="54">
        <v>7</v>
      </c>
      <c r="E1011" s="55">
        <v>38.4</v>
      </c>
      <c r="F1011" s="55">
        <v>0</v>
      </c>
      <c r="G1011" s="55">
        <v>38.4</v>
      </c>
      <c r="H1011" s="55">
        <v>25578.799999999999</v>
      </c>
      <c r="I1011" s="55">
        <v>0</v>
      </c>
      <c r="J1011" s="55">
        <v>25578.799999999999</v>
      </c>
      <c r="K1011" s="55">
        <v>0</v>
      </c>
      <c r="L1011" s="55">
        <v>0</v>
      </c>
      <c r="M1011" s="55">
        <v>0</v>
      </c>
      <c r="N1011" s="55">
        <v>0</v>
      </c>
    </row>
    <row r="1012" spans="1:14" ht="10.050000000000001" hidden="1" customHeight="1">
      <c r="A1012" s="52" t="s">
        <v>316</v>
      </c>
      <c r="B1012" s="53">
        <v>2006</v>
      </c>
      <c r="C1012" s="52" t="s">
        <v>112</v>
      </c>
      <c r="D1012" s="54">
        <v>7</v>
      </c>
      <c r="E1012" s="55">
        <v>1.7</v>
      </c>
      <c r="F1012" s="55">
        <v>0</v>
      </c>
      <c r="G1012" s="55">
        <v>1.7</v>
      </c>
      <c r="H1012" s="55">
        <v>1951.5</v>
      </c>
      <c r="I1012" s="55">
        <v>8</v>
      </c>
      <c r="J1012" s="55">
        <v>1959.5</v>
      </c>
      <c r="K1012" s="55">
        <v>0</v>
      </c>
      <c r="L1012" s="55">
        <v>0</v>
      </c>
      <c r="M1012" s="55">
        <v>0</v>
      </c>
      <c r="N1012" s="55">
        <v>0</v>
      </c>
    </row>
    <row r="1013" spans="1:14" ht="10.050000000000001" hidden="1" customHeight="1">
      <c r="A1013" s="52" t="s">
        <v>310</v>
      </c>
      <c r="B1013" s="53">
        <v>2006</v>
      </c>
      <c r="C1013" s="52" t="s">
        <v>112</v>
      </c>
      <c r="D1013" s="54">
        <v>7</v>
      </c>
      <c r="E1013" s="55">
        <v>25865.599999999999</v>
      </c>
      <c r="F1013" s="55">
        <v>501.1</v>
      </c>
      <c r="G1013" s="55">
        <v>26366.7</v>
      </c>
      <c r="H1013" s="55">
        <v>48049.9</v>
      </c>
      <c r="I1013" s="55">
        <v>749.2</v>
      </c>
      <c r="J1013" s="55">
        <v>48799.1</v>
      </c>
      <c r="K1013" s="55">
        <v>6978.8</v>
      </c>
      <c r="L1013" s="55">
        <v>6669.5</v>
      </c>
      <c r="M1013" s="55">
        <v>107.9</v>
      </c>
      <c r="N1013" s="55">
        <v>132.6</v>
      </c>
    </row>
    <row r="1014" spans="1:14" ht="10.050000000000001" hidden="1" customHeight="1">
      <c r="A1014" s="52" t="s">
        <v>308</v>
      </c>
      <c r="B1014" s="53">
        <v>2006</v>
      </c>
      <c r="C1014" s="52" t="s">
        <v>112</v>
      </c>
      <c r="D1014" s="54">
        <v>7</v>
      </c>
      <c r="E1014" s="55">
        <v>839.8</v>
      </c>
      <c r="F1014" s="55">
        <v>0</v>
      </c>
      <c r="G1014" s="55">
        <v>839.8</v>
      </c>
      <c r="H1014" s="55">
        <v>22335.8</v>
      </c>
      <c r="I1014" s="55">
        <v>234.3</v>
      </c>
      <c r="J1014" s="55">
        <v>22570.1</v>
      </c>
      <c r="K1014" s="55">
        <v>333.4</v>
      </c>
      <c r="L1014" s="55">
        <v>45.6</v>
      </c>
      <c r="M1014" s="55">
        <v>0</v>
      </c>
      <c r="N1014" s="55">
        <v>12.6</v>
      </c>
    </row>
    <row r="1015" spans="1:14" ht="10.050000000000001" hidden="1" customHeight="1">
      <c r="A1015" s="52" t="s">
        <v>174</v>
      </c>
      <c r="B1015" s="53">
        <v>2006</v>
      </c>
      <c r="C1015" s="52" t="s">
        <v>112</v>
      </c>
      <c r="D1015" s="54">
        <v>7</v>
      </c>
      <c r="E1015" s="55">
        <v>327856.90000000002</v>
      </c>
      <c r="F1015" s="55">
        <v>14500.3</v>
      </c>
      <c r="G1015" s="55">
        <v>342357.2</v>
      </c>
      <c r="H1015" s="55">
        <v>284555.2</v>
      </c>
      <c r="I1015" s="55">
        <v>19868.5</v>
      </c>
      <c r="J1015" s="55">
        <v>304423.7</v>
      </c>
      <c r="K1015" s="55">
        <v>63113.3</v>
      </c>
      <c r="L1015" s="55">
        <v>62473</v>
      </c>
      <c r="M1015" s="55">
        <v>2157.9</v>
      </c>
      <c r="N1015" s="55">
        <v>2915</v>
      </c>
    </row>
    <row r="1016" spans="1:14" ht="10.050000000000001" hidden="1" customHeight="1">
      <c r="A1016" s="52" t="s">
        <v>314</v>
      </c>
      <c r="B1016" s="53">
        <v>2006</v>
      </c>
      <c r="C1016" s="52" t="s">
        <v>112</v>
      </c>
      <c r="D1016" s="54">
        <v>8</v>
      </c>
      <c r="E1016" s="55">
        <v>0</v>
      </c>
      <c r="F1016" s="55">
        <v>0</v>
      </c>
      <c r="G1016" s="55">
        <v>0</v>
      </c>
      <c r="H1016" s="55">
        <v>36.200000000000003</v>
      </c>
      <c r="I1016" s="55">
        <v>0</v>
      </c>
      <c r="J1016" s="55">
        <v>36.200000000000003</v>
      </c>
      <c r="K1016" s="55">
        <v>0</v>
      </c>
      <c r="L1016" s="55">
        <v>0</v>
      </c>
      <c r="M1016" s="55">
        <v>0</v>
      </c>
      <c r="N1016" s="55">
        <v>0</v>
      </c>
    </row>
    <row r="1017" spans="1:14" ht="10.050000000000001" hidden="1" customHeight="1">
      <c r="A1017" s="52" t="s">
        <v>306</v>
      </c>
      <c r="B1017" s="53">
        <v>2006</v>
      </c>
      <c r="C1017" s="52" t="s">
        <v>112</v>
      </c>
      <c r="D1017" s="54">
        <v>8</v>
      </c>
      <c r="E1017" s="55">
        <v>38590</v>
      </c>
      <c r="F1017" s="55">
        <v>1789.3</v>
      </c>
      <c r="G1017" s="55">
        <v>40379.300000000003</v>
      </c>
      <c r="H1017" s="55">
        <v>121257.2</v>
      </c>
      <c r="I1017" s="55">
        <v>4552.8</v>
      </c>
      <c r="J1017" s="55">
        <v>125810</v>
      </c>
      <c r="K1017" s="55">
        <v>14852</v>
      </c>
      <c r="L1017" s="55">
        <v>5837.4</v>
      </c>
      <c r="M1017" s="55">
        <v>2574.6</v>
      </c>
      <c r="N1017" s="55">
        <v>416.5</v>
      </c>
    </row>
    <row r="1018" spans="1:14" ht="10.050000000000001" hidden="1" customHeight="1">
      <c r="A1018" s="52" t="s">
        <v>172</v>
      </c>
      <c r="B1018" s="53">
        <v>2006</v>
      </c>
      <c r="C1018" s="52" t="s">
        <v>112</v>
      </c>
      <c r="D1018" s="54">
        <v>8</v>
      </c>
      <c r="E1018" s="55">
        <v>126515.2</v>
      </c>
      <c r="F1018" s="55">
        <v>7104.5</v>
      </c>
      <c r="G1018" s="55">
        <v>133619.70000000001</v>
      </c>
      <c r="H1018" s="55">
        <v>786795.7</v>
      </c>
      <c r="I1018" s="55">
        <v>42671.1</v>
      </c>
      <c r="J1018" s="55">
        <v>829466.8</v>
      </c>
      <c r="K1018" s="55">
        <v>264518.5</v>
      </c>
      <c r="L1018" s="55">
        <v>20845.7</v>
      </c>
      <c r="M1018" s="55">
        <v>64490.7</v>
      </c>
      <c r="N1018" s="55">
        <v>24.2</v>
      </c>
    </row>
    <row r="1019" spans="1:14" ht="10.050000000000001" hidden="1" customHeight="1">
      <c r="A1019" s="52" t="s">
        <v>171</v>
      </c>
      <c r="B1019" s="53">
        <v>2006</v>
      </c>
      <c r="C1019" s="52" t="s">
        <v>112</v>
      </c>
      <c r="D1019" s="54">
        <v>8</v>
      </c>
      <c r="E1019" s="55">
        <v>3068568.7</v>
      </c>
      <c r="F1019" s="55">
        <v>156992.29999999999</v>
      </c>
      <c r="G1019" s="55">
        <v>3225561</v>
      </c>
      <c r="H1019" s="55">
        <v>12405110.4</v>
      </c>
      <c r="I1019" s="55">
        <v>187948.6</v>
      </c>
      <c r="J1019" s="55">
        <v>12593059</v>
      </c>
      <c r="K1019" s="55">
        <v>3553029.7</v>
      </c>
      <c r="L1019" s="55">
        <v>1207654.2</v>
      </c>
      <c r="M1019" s="55">
        <v>546851.5</v>
      </c>
      <c r="N1019" s="55">
        <v>23713.7</v>
      </c>
    </row>
    <row r="1020" spans="1:14" ht="10.050000000000001" hidden="1" customHeight="1">
      <c r="A1020" s="52" t="s">
        <v>300</v>
      </c>
      <c r="B1020" s="53">
        <v>2006</v>
      </c>
      <c r="C1020" s="52" t="s">
        <v>112</v>
      </c>
      <c r="D1020" s="54">
        <v>8</v>
      </c>
      <c r="E1020" s="55">
        <v>564.29999999999995</v>
      </c>
      <c r="F1020" s="55">
        <v>121</v>
      </c>
      <c r="G1020" s="55">
        <v>685.3</v>
      </c>
      <c r="H1020" s="55">
        <v>1877.4</v>
      </c>
      <c r="I1020" s="55">
        <v>194.6</v>
      </c>
      <c r="J1020" s="55">
        <v>2072</v>
      </c>
      <c r="K1020" s="55">
        <v>159.80000000000001</v>
      </c>
      <c r="L1020" s="55">
        <v>35.1</v>
      </c>
      <c r="M1020" s="55">
        <v>0</v>
      </c>
      <c r="N1020" s="55">
        <v>1.3</v>
      </c>
    </row>
    <row r="1021" spans="1:14" ht="10.050000000000001" hidden="1" customHeight="1">
      <c r="A1021" s="52" t="s">
        <v>307</v>
      </c>
      <c r="B1021" s="53">
        <v>2006</v>
      </c>
      <c r="C1021" s="52" t="s">
        <v>112</v>
      </c>
      <c r="D1021" s="54">
        <v>8</v>
      </c>
      <c r="E1021" s="55">
        <v>180712</v>
      </c>
      <c r="F1021" s="55">
        <v>3782.3</v>
      </c>
      <c r="G1021" s="55">
        <v>184494.3</v>
      </c>
      <c r="H1021" s="55">
        <v>759850.8</v>
      </c>
      <c r="I1021" s="55">
        <v>45985.4</v>
      </c>
      <c r="J1021" s="55">
        <v>805836.2</v>
      </c>
      <c r="K1021" s="55">
        <v>109482.5</v>
      </c>
      <c r="L1021" s="55">
        <v>7857.4</v>
      </c>
      <c r="M1021" s="55">
        <v>66960.800000000003</v>
      </c>
      <c r="N1021" s="55">
        <v>16828.599999999999</v>
      </c>
    </row>
    <row r="1022" spans="1:14" ht="10.050000000000001" hidden="1" customHeight="1">
      <c r="A1022" s="52" t="s">
        <v>315</v>
      </c>
      <c r="B1022" s="53">
        <v>2006</v>
      </c>
      <c r="C1022" s="52" t="s">
        <v>112</v>
      </c>
      <c r="D1022" s="54">
        <v>8</v>
      </c>
      <c r="E1022" s="55">
        <v>1285.5999999999999</v>
      </c>
      <c r="F1022" s="55">
        <v>0</v>
      </c>
      <c r="G1022" s="55">
        <v>1285.5999999999999</v>
      </c>
      <c r="H1022" s="55">
        <v>11116.6</v>
      </c>
      <c r="I1022" s="55">
        <v>0</v>
      </c>
      <c r="J1022" s="55">
        <v>11116.6</v>
      </c>
      <c r="K1022" s="55">
        <v>1.9</v>
      </c>
      <c r="L1022" s="55">
        <v>1.9</v>
      </c>
      <c r="M1022" s="55">
        <v>0</v>
      </c>
      <c r="N1022" s="55">
        <v>0</v>
      </c>
    </row>
    <row r="1023" spans="1:14" ht="10.050000000000001" hidden="1" customHeight="1">
      <c r="A1023" s="52" t="s">
        <v>173</v>
      </c>
      <c r="B1023" s="53">
        <v>2006</v>
      </c>
      <c r="C1023" s="52" t="s">
        <v>112</v>
      </c>
      <c r="D1023" s="54">
        <v>8</v>
      </c>
      <c r="E1023" s="55">
        <v>497929.5</v>
      </c>
      <c r="F1023" s="55">
        <v>16677.2</v>
      </c>
      <c r="G1023" s="55">
        <v>514606.7</v>
      </c>
      <c r="H1023" s="55">
        <v>5310379.0999999996</v>
      </c>
      <c r="I1023" s="55">
        <v>72562.899999999994</v>
      </c>
      <c r="J1023" s="55">
        <v>5382942</v>
      </c>
      <c r="K1023" s="55">
        <v>810157.6</v>
      </c>
      <c r="L1023" s="55">
        <v>66053.5</v>
      </c>
      <c r="M1023" s="55">
        <v>197626</v>
      </c>
      <c r="N1023" s="55">
        <v>8401.2999999999993</v>
      </c>
    </row>
    <row r="1024" spans="1:14" ht="10.050000000000001" customHeight="1">
      <c r="A1024" s="52" t="s">
        <v>309</v>
      </c>
      <c r="B1024" s="53">
        <v>2006</v>
      </c>
      <c r="C1024" s="52" t="s">
        <v>112</v>
      </c>
      <c r="D1024" s="54">
        <v>8</v>
      </c>
      <c r="E1024" s="55">
        <v>0</v>
      </c>
      <c r="F1024" s="55">
        <v>0</v>
      </c>
      <c r="G1024" s="55">
        <v>0</v>
      </c>
      <c r="H1024" s="55">
        <v>17650.2</v>
      </c>
      <c r="I1024" s="55">
        <v>0</v>
      </c>
      <c r="J1024" s="55">
        <v>17650.2</v>
      </c>
      <c r="K1024" s="55">
        <v>0</v>
      </c>
      <c r="L1024" s="55">
        <v>0</v>
      </c>
      <c r="M1024" s="55">
        <v>0</v>
      </c>
      <c r="N1024" s="55">
        <v>0</v>
      </c>
    </row>
    <row r="1025" spans="1:14" ht="10.050000000000001" hidden="1" customHeight="1">
      <c r="A1025" s="52" t="s">
        <v>316</v>
      </c>
      <c r="B1025" s="53">
        <v>2006</v>
      </c>
      <c r="C1025" s="52" t="s">
        <v>112</v>
      </c>
      <c r="D1025" s="54">
        <v>8</v>
      </c>
      <c r="E1025" s="55">
        <v>35.799999999999997</v>
      </c>
      <c r="F1025" s="55">
        <v>0</v>
      </c>
      <c r="G1025" s="55">
        <v>35.799999999999997</v>
      </c>
      <c r="H1025" s="55">
        <v>1351.1</v>
      </c>
      <c r="I1025" s="55">
        <v>8</v>
      </c>
      <c r="J1025" s="55">
        <v>1359.1</v>
      </c>
      <c r="K1025" s="55">
        <v>0</v>
      </c>
      <c r="L1025" s="55">
        <v>0</v>
      </c>
      <c r="M1025" s="55">
        <v>0</v>
      </c>
      <c r="N1025" s="55">
        <v>0</v>
      </c>
    </row>
    <row r="1026" spans="1:14" ht="10.050000000000001" hidden="1" customHeight="1">
      <c r="A1026" s="52" t="s">
        <v>310</v>
      </c>
      <c r="B1026" s="53">
        <v>2006</v>
      </c>
      <c r="C1026" s="52" t="s">
        <v>112</v>
      </c>
      <c r="D1026" s="54">
        <v>8</v>
      </c>
      <c r="E1026" s="55">
        <v>7979.5</v>
      </c>
      <c r="F1026" s="55">
        <v>717</v>
      </c>
      <c r="G1026" s="55">
        <v>8696.5</v>
      </c>
      <c r="H1026" s="55">
        <v>51046.6</v>
      </c>
      <c r="I1026" s="55">
        <v>1180.5999999999999</v>
      </c>
      <c r="J1026" s="55">
        <v>52227.199999999997</v>
      </c>
      <c r="K1026" s="55">
        <v>5718.5</v>
      </c>
      <c r="L1026" s="55">
        <v>577.5</v>
      </c>
      <c r="M1026" s="55">
        <v>1757.2</v>
      </c>
      <c r="N1026" s="55">
        <v>80.599999999999994</v>
      </c>
    </row>
    <row r="1027" spans="1:14" ht="10.050000000000001" hidden="1" customHeight="1">
      <c r="A1027" s="52" t="s">
        <v>308</v>
      </c>
      <c r="B1027" s="53">
        <v>2006</v>
      </c>
      <c r="C1027" s="52" t="s">
        <v>112</v>
      </c>
      <c r="D1027" s="54">
        <v>8</v>
      </c>
      <c r="E1027" s="55">
        <v>502.3</v>
      </c>
      <c r="F1027" s="55">
        <v>0</v>
      </c>
      <c r="G1027" s="55">
        <v>502.3</v>
      </c>
      <c r="H1027" s="55">
        <v>16609.900000000001</v>
      </c>
      <c r="I1027" s="55">
        <v>187.4</v>
      </c>
      <c r="J1027" s="55">
        <v>16797.3</v>
      </c>
      <c r="K1027" s="55">
        <v>441.4</v>
      </c>
      <c r="L1027" s="55">
        <v>155.4</v>
      </c>
      <c r="M1027" s="55">
        <v>0</v>
      </c>
      <c r="N1027" s="55">
        <v>47.4</v>
      </c>
    </row>
    <row r="1028" spans="1:14" ht="10.050000000000001" hidden="1" customHeight="1">
      <c r="A1028" s="52" t="s">
        <v>174</v>
      </c>
      <c r="B1028" s="53">
        <v>2006</v>
      </c>
      <c r="C1028" s="52" t="s">
        <v>112</v>
      </c>
      <c r="D1028" s="54">
        <v>8</v>
      </c>
      <c r="E1028" s="55">
        <v>128879.9</v>
      </c>
      <c r="F1028" s="55">
        <v>11831.5</v>
      </c>
      <c r="G1028" s="55">
        <v>140711.4</v>
      </c>
      <c r="H1028" s="55">
        <v>328252.2</v>
      </c>
      <c r="I1028" s="55">
        <v>24441.599999999999</v>
      </c>
      <c r="J1028" s="55">
        <v>352693.8</v>
      </c>
      <c r="K1028" s="55">
        <v>69038.399999999994</v>
      </c>
      <c r="L1028" s="55">
        <v>13381.5</v>
      </c>
      <c r="M1028" s="55">
        <v>3493.9</v>
      </c>
      <c r="N1028" s="55">
        <v>3962.5</v>
      </c>
    </row>
    <row r="1029" spans="1:14" ht="10.050000000000001" hidden="1" customHeight="1">
      <c r="A1029" s="52" t="s">
        <v>314</v>
      </c>
      <c r="B1029" s="53">
        <v>2006</v>
      </c>
      <c r="C1029" s="52" t="s">
        <v>112</v>
      </c>
      <c r="D1029" s="54">
        <v>9</v>
      </c>
      <c r="E1029" s="55">
        <v>0</v>
      </c>
      <c r="F1029" s="55">
        <v>0</v>
      </c>
      <c r="G1029" s="55">
        <v>0</v>
      </c>
      <c r="H1029" s="55">
        <v>35.6</v>
      </c>
      <c r="I1029" s="55">
        <v>0</v>
      </c>
      <c r="J1029" s="55">
        <v>35.6</v>
      </c>
      <c r="K1029" s="55">
        <v>0</v>
      </c>
      <c r="L1029" s="55">
        <v>0</v>
      </c>
      <c r="M1029" s="55">
        <v>0</v>
      </c>
      <c r="N1029" s="55">
        <v>0</v>
      </c>
    </row>
    <row r="1030" spans="1:14" ht="10.050000000000001" hidden="1" customHeight="1">
      <c r="A1030" s="52" t="s">
        <v>306</v>
      </c>
      <c r="B1030" s="53">
        <v>2006</v>
      </c>
      <c r="C1030" s="52" t="s">
        <v>112</v>
      </c>
      <c r="D1030" s="54">
        <v>9</v>
      </c>
      <c r="E1030" s="55">
        <v>9811.1</v>
      </c>
      <c r="F1030" s="55">
        <v>1001.3</v>
      </c>
      <c r="G1030" s="55">
        <v>10812.4</v>
      </c>
      <c r="H1030" s="55">
        <v>113231.2</v>
      </c>
      <c r="I1030" s="55">
        <v>4046.8</v>
      </c>
      <c r="J1030" s="55">
        <v>117278</v>
      </c>
      <c r="K1030" s="55">
        <v>13188.9</v>
      </c>
      <c r="L1030" s="55">
        <v>1395.4</v>
      </c>
      <c r="M1030" s="55">
        <v>2741.1</v>
      </c>
      <c r="N1030" s="55">
        <v>317.39999999999998</v>
      </c>
    </row>
    <row r="1031" spans="1:14" ht="10.050000000000001" hidden="1" customHeight="1">
      <c r="A1031" s="52" t="s">
        <v>172</v>
      </c>
      <c r="B1031" s="53">
        <v>2006</v>
      </c>
      <c r="C1031" s="52" t="s">
        <v>112</v>
      </c>
      <c r="D1031" s="54">
        <v>9</v>
      </c>
      <c r="E1031" s="55">
        <v>183817.3</v>
      </c>
      <c r="F1031" s="55">
        <v>7111.1</v>
      </c>
      <c r="G1031" s="55">
        <v>190928.4</v>
      </c>
      <c r="H1031" s="55">
        <v>774121.7</v>
      </c>
      <c r="I1031" s="55">
        <v>40002.1</v>
      </c>
      <c r="J1031" s="55">
        <v>814123.8</v>
      </c>
      <c r="K1031" s="55">
        <v>159387.20000000001</v>
      </c>
      <c r="L1031" s="55">
        <v>8903.5</v>
      </c>
      <c r="M1031" s="55">
        <v>113281</v>
      </c>
      <c r="N1031" s="55">
        <v>713.7</v>
      </c>
    </row>
    <row r="1032" spans="1:14" ht="10.050000000000001" hidden="1" customHeight="1">
      <c r="A1032" s="52" t="s">
        <v>171</v>
      </c>
      <c r="B1032" s="53">
        <v>2006</v>
      </c>
      <c r="C1032" s="52" t="s">
        <v>112</v>
      </c>
      <c r="D1032" s="54">
        <v>9</v>
      </c>
      <c r="E1032" s="55">
        <v>1854908.9</v>
      </c>
      <c r="F1032" s="55">
        <v>133895</v>
      </c>
      <c r="G1032" s="55">
        <v>1988803.9</v>
      </c>
      <c r="H1032" s="55">
        <v>11779741.1</v>
      </c>
      <c r="I1032" s="55">
        <v>198470.9</v>
      </c>
      <c r="J1032" s="55">
        <v>11978212</v>
      </c>
      <c r="K1032" s="55">
        <v>3088072.3</v>
      </c>
      <c r="L1032" s="55">
        <v>353117.7</v>
      </c>
      <c r="M1032" s="55">
        <v>787728.2</v>
      </c>
      <c r="N1032" s="55">
        <v>33978</v>
      </c>
    </row>
    <row r="1033" spans="1:14" ht="10.050000000000001" hidden="1" customHeight="1">
      <c r="A1033" s="52" t="s">
        <v>300</v>
      </c>
      <c r="B1033" s="53">
        <v>2006</v>
      </c>
      <c r="C1033" s="52" t="s">
        <v>112</v>
      </c>
      <c r="D1033" s="54">
        <v>9</v>
      </c>
      <c r="E1033" s="55">
        <v>132.19999999999999</v>
      </c>
      <c r="F1033" s="55">
        <v>10.8</v>
      </c>
      <c r="G1033" s="55">
        <v>143</v>
      </c>
      <c r="H1033" s="55">
        <v>1830.4</v>
      </c>
      <c r="I1033" s="55">
        <v>160.1</v>
      </c>
      <c r="J1033" s="55">
        <v>1990.5</v>
      </c>
      <c r="K1033" s="55">
        <v>189.6</v>
      </c>
      <c r="L1033" s="55">
        <v>31.4</v>
      </c>
      <c r="M1033" s="55">
        <v>0</v>
      </c>
      <c r="N1033" s="55">
        <v>1.6</v>
      </c>
    </row>
    <row r="1034" spans="1:14" ht="10.050000000000001" hidden="1" customHeight="1">
      <c r="A1034" s="52" t="s">
        <v>307</v>
      </c>
      <c r="B1034" s="53">
        <v>2006</v>
      </c>
      <c r="C1034" s="52" t="s">
        <v>112</v>
      </c>
      <c r="D1034" s="54">
        <v>9</v>
      </c>
      <c r="E1034" s="55">
        <v>616847.9</v>
      </c>
      <c r="F1034" s="55">
        <v>24664.7</v>
      </c>
      <c r="G1034" s="55">
        <v>641512.6</v>
      </c>
      <c r="H1034" s="55">
        <v>585405.5</v>
      </c>
      <c r="I1034" s="55">
        <v>59426.9</v>
      </c>
      <c r="J1034" s="55">
        <v>644832.4</v>
      </c>
      <c r="K1034" s="55">
        <v>247407</v>
      </c>
      <c r="L1034" s="55">
        <v>194611</v>
      </c>
      <c r="M1034" s="55">
        <v>40080.6</v>
      </c>
      <c r="N1034" s="55">
        <v>17009.599999999999</v>
      </c>
    </row>
    <row r="1035" spans="1:14" ht="10.050000000000001" hidden="1" customHeight="1">
      <c r="A1035" s="52" t="s">
        <v>315</v>
      </c>
      <c r="B1035" s="53">
        <v>2006</v>
      </c>
      <c r="C1035" s="52" t="s">
        <v>112</v>
      </c>
      <c r="D1035" s="54">
        <v>9</v>
      </c>
      <c r="E1035" s="55">
        <v>6812.9</v>
      </c>
      <c r="F1035" s="55">
        <v>0</v>
      </c>
      <c r="G1035" s="55">
        <v>6812.9</v>
      </c>
      <c r="H1035" s="55">
        <v>14535</v>
      </c>
      <c r="I1035" s="55">
        <v>0</v>
      </c>
      <c r="J1035" s="55">
        <v>14535</v>
      </c>
      <c r="K1035" s="55">
        <v>822.4</v>
      </c>
      <c r="L1035" s="55">
        <v>946.1</v>
      </c>
      <c r="M1035" s="55">
        <v>125.6</v>
      </c>
      <c r="N1035" s="55">
        <v>0</v>
      </c>
    </row>
    <row r="1036" spans="1:14" ht="10.050000000000001" hidden="1" customHeight="1">
      <c r="A1036" s="52" t="s">
        <v>173</v>
      </c>
      <c r="B1036" s="53">
        <v>2006</v>
      </c>
      <c r="C1036" s="52" t="s">
        <v>112</v>
      </c>
      <c r="D1036" s="54">
        <v>9</v>
      </c>
      <c r="E1036" s="55">
        <v>282366.5</v>
      </c>
      <c r="F1036" s="55">
        <v>18094.900000000001</v>
      </c>
      <c r="G1036" s="55">
        <v>300461.40000000002</v>
      </c>
      <c r="H1036" s="55">
        <v>5011758.0999999996</v>
      </c>
      <c r="I1036" s="55">
        <v>62492.9</v>
      </c>
      <c r="J1036" s="55">
        <v>5074251</v>
      </c>
      <c r="K1036" s="55">
        <v>658062</v>
      </c>
      <c r="L1036" s="55">
        <v>23791</v>
      </c>
      <c r="M1036" s="55">
        <v>165327.29999999999</v>
      </c>
      <c r="N1036" s="55">
        <v>11136.6</v>
      </c>
    </row>
    <row r="1037" spans="1:14" ht="10.050000000000001" customHeight="1">
      <c r="A1037" s="52" t="s">
        <v>309</v>
      </c>
      <c r="B1037" s="53">
        <v>2006</v>
      </c>
      <c r="C1037" s="52" t="s">
        <v>112</v>
      </c>
      <c r="D1037" s="54">
        <v>9</v>
      </c>
      <c r="E1037" s="55">
        <v>34761.4</v>
      </c>
      <c r="F1037" s="55">
        <v>262.5</v>
      </c>
      <c r="G1037" s="55">
        <v>35023.9</v>
      </c>
      <c r="H1037" s="55">
        <v>46194.400000000001</v>
      </c>
      <c r="I1037" s="55">
        <v>0</v>
      </c>
      <c r="J1037" s="55">
        <v>46194.400000000001</v>
      </c>
      <c r="K1037" s="55">
        <v>0</v>
      </c>
      <c r="L1037" s="55">
        <v>0</v>
      </c>
      <c r="M1037" s="55">
        <v>0</v>
      </c>
      <c r="N1037" s="55">
        <v>0</v>
      </c>
    </row>
    <row r="1038" spans="1:14" ht="10.050000000000001" hidden="1" customHeight="1">
      <c r="A1038" s="52" t="s">
        <v>316</v>
      </c>
      <c r="B1038" s="53">
        <v>2006</v>
      </c>
      <c r="C1038" s="52" t="s">
        <v>112</v>
      </c>
      <c r="D1038" s="54">
        <v>9</v>
      </c>
      <c r="E1038" s="55">
        <v>659</v>
      </c>
      <c r="F1038" s="55">
        <v>0</v>
      </c>
      <c r="G1038" s="55">
        <v>659</v>
      </c>
      <c r="H1038" s="55">
        <v>1530</v>
      </c>
      <c r="I1038" s="55">
        <v>8</v>
      </c>
      <c r="J1038" s="55">
        <v>1538</v>
      </c>
      <c r="K1038" s="55">
        <v>0</v>
      </c>
      <c r="L1038" s="55">
        <v>0</v>
      </c>
      <c r="M1038" s="55">
        <v>0</v>
      </c>
      <c r="N1038" s="55">
        <v>0</v>
      </c>
    </row>
    <row r="1039" spans="1:14" ht="10.050000000000001" hidden="1" customHeight="1">
      <c r="A1039" s="52" t="s">
        <v>310</v>
      </c>
      <c r="B1039" s="53">
        <v>2006</v>
      </c>
      <c r="C1039" s="52" t="s">
        <v>112</v>
      </c>
      <c r="D1039" s="54">
        <v>9</v>
      </c>
      <c r="E1039" s="55">
        <v>3294.6</v>
      </c>
      <c r="F1039" s="55">
        <v>317.3</v>
      </c>
      <c r="G1039" s="55">
        <v>3611.9</v>
      </c>
      <c r="H1039" s="55">
        <v>46274.1</v>
      </c>
      <c r="I1039" s="55">
        <v>989.4</v>
      </c>
      <c r="J1039" s="55">
        <v>47263.5</v>
      </c>
      <c r="K1039" s="55">
        <v>5265.5</v>
      </c>
      <c r="L1039" s="55">
        <v>464.6</v>
      </c>
      <c r="M1039" s="55">
        <v>840.7</v>
      </c>
      <c r="N1039" s="55">
        <v>76.900000000000006</v>
      </c>
    </row>
    <row r="1040" spans="1:14" ht="10.050000000000001" hidden="1" customHeight="1">
      <c r="A1040" s="52" t="s">
        <v>308</v>
      </c>
      <c r="B1040" s="53">
        <v>2006</v>
      </c>
      <c r="C1040" s="52" t="s">
        <v>112</v>
      </c>
      <c r="D1040" s="54">
        <v>9</v>
      </c>
      <c r="E1040" s="55">
        <v>67278.600000000006</v>
      </c>
      <c r="F1040" s="55">
        <v>2.2999999999999998</v>
      </c>
      <c r="G1040" s="55">
        <v>67280.899999999994</v>
      </c>
      <c r="H1040" s="55">
        <v>73202.399999999994</v>
      </c>
      <c r="I1040" s="55">
        <v>187.4</v>
      </c>
      <c r="J1040" s="55">
        <v>73389.8</v>
      </c>
      <c r="K1040" s="55">
        <v>14827.3</v>
      </c>
      <c r="L1040" s="55">
        <v>14550.8</v>
      </c>
      <c r="M1040" s="55">
        <v>164.9</v>
      </c>
      <c r="N1040" s="55">
        <v>0</v>
      </c>
    </row>
    <row r="1041" spans="1:14" ht="10.050000000000001" hidden="1" customHeight="1">
      <c r="A1041" s="52" t="s">
        <v>174</v>
      </c>
      <c r="B1041" s="53">
        <v>2006</v>
      </c>
      <c r="C1041" s="52" t="s">
        <v>112</v>
      </c>
      <c r="D1041" s="54">
        <v>9</v>
      </c>
      <c r="E1041" s="55">
        <v>15030.1</v>
      </c>
      <c r="F1041" s="55">
        <v>7219.4</v>
      </c>
      <c r="G1041" s="55">
        <v>22249.5</v>
      </c>
      <c r="H1041" s="55">
        <v>279046.59999999998</v>
      </c>
      <c r="I1041" s="55">
        <v>22645</v>
      </c>
      <c r="J1041" s="55">
        <v>301691.59999999998</v>
      </c>
      <c r="K1041" s="55">
        <v>64487.7</v>
      </c>
      <c r="L1041" s="55">
        <v>5212.2</v>
      </c>
      <c r="M1041" s="55">
        <v>5151.8</v>
      </c>
      <c r="N1041" s="55">
        <v>4611.1000000000004</v>
      </c>
    </row>
    <row r="1042" spans="1:14" ht="10.050000000000001" hidden="1" customHeight="1">
      <c r="A1042" s="52" t="s">
        <v>314</v>
      </c>
      <c r="B1042" s="53">
        <v>2006</v>
      </c>
      <c r="C1042" s="52" t="s">
        <v>112</v>
      </c>
      <c r="D1042" s="54">
        <v>10</v>
      </c>
      <c r="E1042" s="55">
        <v>0</v>
      </c>
      <c r="F1042" s="55">
        <v>0</v>
      </c>
      <c r="G1042" s="55">
        <v>0</v>
      </c>
      <c r="H1042" s="55">
        <v>10.7</v>
      </c>
      <c r="I1042" s="55">
        <v>0</v>
      </c>
      <c r="J1042" s="55">
        <v>10.7</v>
      </c>
      <c r="K1042" s="55">
        <v>0</v>
      </c>
      <c r="L1042" s="55">
        <v>0</v>
      </c>
      <c r="M1042" s="55">
        <v>0</v>
      </c>
      <c r="N1042" s="55">
        <v>0</v>
      </c>
    </row>
    <row r="1043" spans="1:14" ht="10.050000000000001" hidden="1" customHeight="1">
      <c r="A1043" s="52" t="s">
        <v>306</v>
      </c>
      <c r="B1043" s="53">
        <v>2006</v>
      </c>
      <c r="C1043" s="52" t="s">
        <v>112</v>
      </c>
      <c r="D1043" s="54">
        <v>10</v>
      </c>
      <c r="E1043" s="55">
        <v>5190.8999999999996</v>
      </c>
      <c r="F1043" s="55">
        <v>1699.9</v>
      </c>
      <c r="G1043" s="55">
        <v>6890.8</v>
      </c>
      <c r="H1043" s="55">
        <v>100772.1</v>
      </c>
      <c r="I1043" s="55">
        <v>4064.4</v>
      </c>
      <c r="J1043" s="55">
        <v>104836.5</v>
      </c>
      <c r="K1043" s="55">
        <v>11267.5</v>
      </c>
      <c r="L1043" s="55">
        <v>640.1</v>
      </c>
      <c r="M1043" s="55">
        <v>1897</v>
      </c>
      <c r="N1043" s="55">
        <v>673.4</v>
      </c>
    </row>
    <row r="1044" spans="1:14" ht="10.050000000000001" hidden="1" customHeight="1">
      <c r="A1044" s="52" t="s">
        <v>172</v>
      </c>
      <c r="B1044" s="53">
        <v>2006</v>
      </c>
      <c r="C1044" s="52" t="s">
        <v>112</v>
      </c>
      <c r="D1044" s="54">
        <v>10</v>
      </c>
      <c r="E1044" s="55">
        <v>110401.60000000001</v>
      </c>
      <c r="F1044" s="55">
        <v>4900.3</v>
      </c>
      <c r="G1044" s="55">
        <v>115301.9</v>
      </c>
      <c r="H1044" s="55">
        <v>706325.8</v>
      </c>
      <c r="I1044" s="55">
        <v>31844.7</v>
      </c>
      <c r="J1044" s="55">
        <v>738170.5</v>
      </c>
      <c r="K1044" s="55">
        <v>107374.7</v>
      </c>
      <c r="L1044" s="55">
        <v>7123.2</v>
      </c>
      <c r="M1044" s="55">
        <v>58920.1</v>
      </c>
      <c r="N1044" s="55">
        <v>215.6</v>
      </c>
    </row>
    <row r="1045" spans="1:14" ht="10.050000000000001" hidden="1" customHeight="1">
      <c r="A1045" s="52" t="s">
        <v>171</v>
      </c>
      <c r="B1045" s="53">
        <v>2006</v>
      </c>
      <c r="C1045" s="52" t="s">
        <v>112</v>
      </c>
      <c r="D1045" s="54">
        <v>10</v>
      </c>
      <c r="E1045" s="55">
        <v>1343904.2</v>
      </c>
      <c r="F1045" s="55">
        <v>42702.400000000001</v>
      </c>
      <c r="G1045" s="55">
        <v>1386606.6</v>
      </c>
      <c r="H1045" s="55">
        <v>10577083.199999999</v>
      </c>
      <c r="I1045" s="55">
        <v>153829.5</v>
      </c>
      <c r="J1045" s="55">
        <v>10730912.699999999</v>
      </c>
      <c r="K1045" s="55">
        <v>2584119.5</v>
      </c>
      <c r="L1045" s="55">
        <v>185547.6</v>
      </c>
      <c r="M1045" s="55">
        <v>655726.19999999995</v>
      </c>
      <c r="N1045" s="55">
        <v>35412.800000000003</v>
      </c>
    </row>
    <row r="1046" spans="1:14" ht="10.050000000000001" hidden="1" customHeight="1">
      <c r="A1046" s="52" t="s">
        <v>300</v>
      </c>
      <c r="B1046" s="53">
        <v>2006</v>
      </c>
      <c r="C1046" s="52" t="s">
        <v>112</v>
      </c>
      <c r="D1046" s="54">
        <v>10</v>
      </c>
      <c r="E1046" s="55">
        <v>284.2</v>
      </c>
      <c r="F1046" s="55">
        <v>46.2</v>
      </c>
      <c r="G1046" s="55">
        <v>330.4</v>
      </c>
      <c r="H1046" s="55">
        <v>1724.7</v>
      </c>
      <c r="I1046" s="55">
        <v>130.1</v>
      </c>
      <c r="J1046" s="55">
        <v>1854.8</v>
      </c>
      <c r="K1046" s="55">
        <v>62</v>
      </c>
      <c r="L1046" s="55">
        <v>0</v>
      </c>
      <c r="M1046" s="55">
        <v>0</v>
      </c>
      <c r="N1046" s="55">
        <v>127.6</v>
      </c>
    </row>
    <row r="1047" spans="1:14" ht="10.050000000000001" hidden="1" customHeight="1">
      <c r="A1047" s="52" t="s">
        <v>307</v>
      </c>
      <c r="B1047" s="53">
        <v>2006</v>
      </c>
      <c r="C1047" s="52" t="s">
        <v>112</v>
      </c>
      <c r="D1047" s="54">
        <v>10</v>
      </c>
      <c r="E1047" s="55">
        <v>5076568.7</v>
      </c>
      <c r="F1047" s="55">
        <v>38358.1</v>
      </c>
      <c r="G1047" s="55">
        <v>5114926.8</v>
      </c>
      <c r="H1047" s="55">
        <v>4511281.4000000004</v>
      </c>
      <c r="I1047" s="55">
        <v>92302.6</v>
      </c>
      <c r="J1047" s="55">
        <v>4603584</v>
      </c>
      <c r="K1047" s="55">
        <v>2430277.7999999998</v>
      </c>
      <c r="L1047" s="55">
        <v>2365541.6</v>
      </c>
      <c r="M1047" s="55">
        <v>126005.4</v>
      </c>
      <c r="N1047" s="55">
        <v>57234.2</v>
      </c>
    </row>
    <row r="1048" spans="1:14" ht="10.050000000000001" hidden="1" customHeight="1">
      <c r="A1048" s="52" t="s">
        <v>315</v>
      </c>
      <c r="B1048" s="53">
        <v>2006</v>
      </c>
      <c r="C1048" s="52" t="s">
        <v>112</v>
      </c>
      <c r="D1048" s="54">
        <v>10</v>
      </c>
      <c r="E1048" s="55">
        <v>9286.5</v>
      </c>
      <c r="F1048" s="55">
        <v>39.5</v>
      </c>
      <c r="G1048" s="55">
        <v>9326</v>
      </c>
      <c r="H1048" s="55">
        <v>19199.400000000001</v>
      </c>
      <c r="I1048" s="55">
        <v>39.5</v>
      </c>
      <c r="J1048" s="55">
        <v>19238.900000000001</v>
      </c>
      <c r="K1048" s="55">
        <v>424</v>
      </c>
      <c r="L1048" s="55">
        <v>392.6</v>
      </c>
      <c r="M1048" s="55">
        <v>791</v>
      </c>
      <c r="N1048" s="55">
        <v>0</v>
      </c>
    </row>
    <row r="1049" spans="1:14" ht="10.050000000000001" hidden="1" customHeight="1">
      <c r="A1049" s="52" t="s">
        <v>173</v>
      </c>
      <c r="B1049" s="53">
        <v>2006</v>
      </c>
      <c r="C1049" s="52" t="s">
        <v>112</v>
      </c>
      <c r="D1049" s="54">
        <v>10</v>
      </c>
      <c r="E1049" s="55">
        <v>218906.1</v>
      </c>
      <c r="F1049" s="55">
        <v>17052.5</v>
      </c>
      <c r="G1049" s="55">
        <v>235958.6</v>
      </c>
      <c r="H1049" s="55">
        <v>4567853.0999999996</v>
      </c>
      <c r="I1049" s="55">
        <v>61019.3</v>
      </c>
      <c r="J1049" s="55">
        <v>4628872.4000000004</v>
      </c>
      <c r="K1049" s="55">
        <v>565420.1</v>
      </c>
      <c r="L1049" s="55">
        <v>30721.8</v>
      </c>
      <c r="M1049" s="55">
        <v>113085.7</v>
      </c>
      <c r="N1049" s="55">
        <v>10421.200000000001</v>
      </c>
    </row>
    <row r="1050" spans="1:14" ht="10.050000000000001" customHeight="1">
      <c r="A1050" s="52" t="s">
        <v>309</v>
      </c>
      <c r="B1050" s="53">
        <v>2006</v>
      </c>
      <c r="C1050" s="52" t="s">
        <v>112</v>
      </c>
      <c r="D1050" s="54">
        <v>10</v>
      </c>
      <c r="E1050" s="55">
        <v>52254.8</v>
      </c>
      <c r="F1050" s="55">
        <v>576.1</v>
      </c>
      <c r="G1050" s="55">
        <v>52830.9</v>
      </c>
      <c r="H1050" s="55">
        <v>87587</v>
      </c>
      <c r="I1050" s="55">
        <v>0</v>
      </c>
      <c r="J1050" s="55">
        <v>87587</v>
      </c>
      <c r="K1050" s="55">
        <v>0</v>
      </c>
      <c r="L1050" s="55">
        <v>0</v>
      </c>
      <c r="M1050" s="55">
        <v>0</v>
      </c>
      <c r="N1050" s="55">
        <v>0</v>
      </c>
    </row>
    <row r="1051" spans="1:14" ht="10.050000000000001" hidden="1" customHeight="1">
      <c r="A1051" s="52" t="s">
        <v>316</v>
      </c>
      <c r="B1051" s="53">
        <v>2006</v>
      </c>
      <c r="C1051" s="52" t="s">
        <v>112</v>
      </c>
      <c r="D1051" s="54">
        <v>10</v>
      </c>
      <c r="E1051" s="55">
        <v>2078.8000000000002</v>
      </c>
      <c r="F1051" s="55">
        <v>40.700000000000003</v>
      </c>
      <c r="G1051" s="55">
        <v>2119.5</v>
      </c>
      <c r="H1051" s="55">
        <v>3022</v>
      </c>
      <c r="I1051" s="55">
        <v>48.7</v>
      </c>
      <c r="J1051" s="55">
        <v>3070.7</v>
      </c>
      <c r="K1051" s="55">
        <v>10.1</v>
      </c>
      <c r="L1051" s="55">
        <v>10.1</v>
      </c>
      <c r="M1051" s="55">
        <v>0</v>
      </c>
      <c r="N1051" s="55">
        <v>0</v>
      </c>
    </row>
    <row r="1052" spans="1:14" ht="10.050000000000001" hidden="1" customHeight="1">
      <c r="A1052" s="52" t="s">
        <v>310</v>
      </c>
      <c r="B1052" s="53">
        <v>2006</v>
      </c>
      <c r="C1052" s="52" t="s">
        <v>112</v>
      </c>
      <c r="D1052" s="54">
        <v>10</v>
      </c>
      <c r="E1052" s="55">
        <v>2997.9</v>
      </c>
      <c r="F1052" s="55">
        <v>0</v>
      </c>
      <c r="G1052" s="55">
        <v>2997.9</v>
      </c>
      <c r="H1052" s="55">
        <v>42564.2</v>
      </c>
      <c r="I1052" s="55">
        <v>722.4</v>
      </c>
      <c r="J1052" s="55">
        <v>43286.6</v>
      </c>
      <c r="K1052" s="55">
        <v>3929.1</v>
      </c>
      <c r="L1052" s="55">
        <v>498</v>
      </c>
      <c r="M1052" s="55">
        <v>1686.6</v>
      </c>
      <c r="N1052" s="55">
        <v>147.80000000000001</v>
      </c>
    </row>
    <row r="1053" spans="1:14" ht="10.050000000000001" hidden="1" customHeight="1">
      <c r="A1053" s="52" t="s">
        <v>308</v>
      </c>
      <c r="B1053" s="53">
        <v>2006</v>
      </c>
      <c r="C1053" s="52" t="s">
        <v>112</v>
      </c>
      <c r="D1053" s="54">
        <v>10</v>
      </c>
      <c r="E1053" s="55">
        <v>92347.4</v>
      </c>
      <c r="F1053" s="55">
        <v>1.3</v>
      </c>
      <c r="G1053" s="55">
        <v>92348.7</v>
      </c>
      <c r="H1053" s="55">
        <v>139901.29999999999</v>
      </c>
      <c r="I1053" s="55">
        <v>187.4</v>
      </c>
      <c r="J1053" s="55">
        <v>140088.70000000001</v>
      </c>
      <c r="K1053" s="55">
        <v>23127.7</v>
      </c>
      <c r="L1053" s="55">
        <v>11396.9</v>
      </c>
      <c r="M1053" s="55">
        <v>3023.2</v>
      </c>
      <c r="N1053" s="55">
        <v>73.3</v>
      </c>
    </row>
    <row r="1054" spans="1:14" ht="10.050000000000001" hidden="1" customHeight="1">
      <c r="A1054" s="52" t="s">
        <v>174</v>
      </c>
      <c r="B1054" s="53">
        <v>2006</v>
      </c>
      <c r="C1054" s="52" t="s">
        <v>112</v>
      </c>
      <c r="D1054" s="54">
        <v>10</v>
      </c>
      <c r="E1054" s="55">
        <v>10365.799999999999</v>
      </c>
      <c r="F1054" s="55">
        <v>2672.7</v>
      </c>
      <c r="G1054" s="55">
        <v>13038.5</v>
      </c>
      <c r="H1054" s="55">
        <v>230259.20000000001</v>
      </c>
      <c r="I1054" s="55">
        <v>16541.3</v>
      </c>
      <c r="J1054" s="55">
        <v>246800.5</v>
      </c>
      <c r="K1054" s="55">
        <v>58879.9</v>
      </c>
      <c r="L1054" s="55">
        <v>2376.3000000000002</v>
      </c>
      <c r="M1054" s="55">
        <v>3336.5</v>
      </c>
      <c r="N1054" s="55">
        <v>4610.2</v>
      </c>
    </row>
    <row r="1055" spans="1:14" ht="10.050000000000001" hidden="1" customHeight="1">
      <c r="A1055" s="52" t="s">
        <v>314</v>
      </c>
      <c r="B1055" s="53">
        <v>2006</v>
      </c>
      <c r="C1055" s="52" t="s">
        <v>112</v>
      </c>
      <c r="D1055" s="54">
        <v>11</v>
      </c>
      <c r="E1055" s="55">
        <v>0</v>
      </c>
      <c r="F1055" s="55">
        <v>0</v>
      </c>
      <c r="G1055" s="55">
        <v>0</v>
      </c>
      <c r="H1055" s="55">
        <v>10.7</v>
      </c>
      <c r="I1055" s="55">
        <v>0</v>
      </c>
      <c r="J1055" s="55">
        <v>10.7</v>
      </c>
      <c r="K1055" s="55">
        <v>0</v>
      </c>
      <c r="L1055" s="55">
        <v>0</v>
      </c>
      <c r="M1055" s="55">
        <v>0</v>
      </c>
      <c r="N1055" s="55">
        <v>0</v>
      </c>
    </row>
    <row r="1056" spans="1:14" ht="10.050000000000001" hidden="1" customHeight="1">
      <c r="A1056" s="52" t="s">
        <v>306</v>
      </c>
      <c r="B1056" s="53">
        <v>2006</v>
      </c>
      <c r="C1056" s="52" t="s">
        <v>112</v>
      </c>
      <c r="D1056" s="54">
        <v>11</v>
      </c>
      <c r="E1056" s="55">
        <v>5143.8</v>
      </c>
      <c r="F1056" s="55">
        <v>2044.2</v>
      </c>
      <c r="G1056" s="55">
        <v>7188</v>
      </c>
      <c r="H1056" s="55">
        <v>90624.7</v>
      </c>
      <c r="I1056" s="55">
        <v>5532</v>
      </c>
      <c r="J1056" s="55">
        <v>96156.7</v>
      </c>
      <c r="K1056" s="55">
        <v>10065.799999999999</v>
      </c>
      <c r="L1056" s="55">
        <v>623.9</v>
      </c>
      <c r="M1056" s="55">
        <v>1392.6</v>
      </c>
      <c r="N1056" s="55">
        <v>457.8</v>
      </c>
    </row>
    <row r="1057" spans="1:14" ht="10.050000000000001" hidden="1" customHeight="1">
      <c r="A1057" s="52" t="s">
        <v>172</v>
      </c>
      <c r="B1057" s="53">
        <v>2006</v>
      </c>
      <c r="C1057" s="52" t="s">
        <v>112</v>
      </c>
      <c r="D1057" s="54">
        <v>11</v>
      </c>
      <c r="E1057" s="55">
        <v>131011.6</v>
      </c>
      <c r="F1057" s="55">
        <v>2721.3</v>
      </c>
      <c r="G1057" s="55">
        <v>133732.9</v>
      </c>
      <c r="H1057" s="55">
        <v>669878.6</v>
      </c>
      <c r="I1057" s="55">
        <v>30712.799999999999</v>
      </c>
      <c r="J1057" s="55">
        <v>700591.4</v>
      </c>
      <c r="K1057" s="55">
        <v>95237.2</v>
      </c>
      <c r="L1057" s="55">
        <v>25234.400000000001</v>
      </c>
      <c r="M1057" s="55">
        <v>37097.199999999997</v>
      </c>
      <c r="N1057" s="55">
        <v>314.8</v>
      </c>
    </row>
    <row r="1058" spans="1:14" ht="10.050000000000001" hidden="1" customHeight="1">
      <c r="A1058" s="52" t="s">
        <v>171</v>
      </c>
      <c r="B1058" s="53">
        <v>2006</v>
      </c>
      <c r="C1058" s="52" t="s">
        <v>112</v>
      </c>
      <c r="D1058" s="54">
        <v>11</v>
      </c>
      <c r="E1058" s="55">
        <v>1621390.6</v>
      </c>
      <c r="F1058" s="55">
        <v>30992.2</v>
      </c>
      <c r="G1058" s="55">
        <v>1652382.8</v>
      </c>
      <c r="H1058" s="55">
        <v>9809887.9000000004</v>
      </c>
      <c r="I1058" s="55">
        <v>136510.29999999999</v>
      </c>
      <c r="J1058" s="55">
        <v>9946398.1999999993</v>
      </c>
      <c r="K1058" s="55">
        <v>2301543</v>
      </c>
      <c r="L1058" s="55">
        <v>372462.5</v>
      </c>
      <c r="M1058" s="55">
        <v>625783.69999999995</v>
      </c>
      <c r="N1058" s="55">
        <v>34004</v>
      </c>
    </row>
    <row r="1059" spans="1:14" ht="10.050000000000001" hidden="1" customHeight="1">
      <c r="A1059" s="52" t="s">
        <v>300</v>
      </c>
      <c r="B1059" s="53">
        <v>2006</v>
      </c>
      <c r="C1059" s="52" t="s">
        <v>112</v>
      </c>
      <c r="D1059" s="54">
        <v>11</v>
      </c>
      <c r="E1059" s="55">
        <v>146.4</v>
      </c>
      <c r="F1059" s="55">
        <v>0</v>
      </c>
      <c r="G1059" s="55">
        <v>146.4</v>
      </c>
      <c r="H1059" s="55">
        <v>1727.5</v>
      </c>
      <c r="I1059" s="55">
        <v>124.9</v>
      </c>
      <c r="J1059" s="55">
        <v>1852.4</v>
      </c>
      <c r="K1059" s="55">
        <v>186.4</v>
      </c>
      <c r="L1059" s="55">
        <v>126</v>
      </c>
      <c r="M1059" s="55">
        <v>0</v>
      </c>
      <c r="N1059" s="55">
        <v>1.6</v>
      </c>
    </row>
    <row r="1060" spans="1:14" ht="10.050000000000001" hidden="1" customHeight="1">
      <c r="A1060" s="52" t="s">
        <v>307</v>
      </c>
      <c r="B1060" s="53">
        <v>2006</v>
      </c>
      <c r="C1060" s="52" t="s">
        <v>112</v>
      </c>
      <c r="D1060" s="54">
        <v>11</v>
      </c>
      <c r="E1060" s="55">
        <v>1605987.8</v>
      </c>
      <c r="F1060" s="55">
        <v>29819.4</v>
      </c>
      <c r="G1060" s="55">
        <v>1635807.2</v>
      </c>
      <c r="H1060" s="55">
        <v>5071736.0999999996</v>
      </c>
      <c r="I1060" s="55">
        <v>109643.6</v>
      </c>
      <c r="J1060" s="55">
        <v>5181379.7</v>
      </c>
      <c r="K1060" s="55">
        <v>2404251.2000000002</v>
      </c>
      <c r="L1060" s="55">
        <v>528497.5</v>
      </c>
      <c r="M1060" s="55">
        <v>469602.6</v>
      </c>
      <c r="N1060" s="55">
        <v>88467.199999999997</v>
      </c>
    </row>
    <row r="1061" spans="1:14" ht="10.050000000000001" hidden="1" customHeight="1">
      <c r="A1061" s="52" t="s">
        <v>315</v>
      </c>
      <c r="B1061" s="53">
        <v>2006</v>
      </c>
      <c r="C1061" s="52" t="s">
        <v>112</v>
      </c>
      <c r="D1061" s="54">
        <v>11</v>
      </c>
      <c r="E1061" s="55">
        <v>1264.3</v>
      </c>
      <c r="F1061" s="55">
        <v>0</v>
      </c>
      <c r="G1061" s="55">
        <v>1264.3</v>
      </c>
      <c r="H1061" s="55">
        <v>17181.400000000001</v>
      </c>
      <c r="I1061" s="55">
        <v>39.5</v>
      </c>
      <c r="J1061" s="55">
        <v>17220.900000000001</v>
      </c>
      <c r="K1061" s="55">
        <v>299.10000000000002</v>
      </c>
      <c r="L1061" s="55">
        <v>140.6</v>
      </c>
      <c r="M1061" s="55">
        <v>265.5</v>
      </c>
      <c r="N1061" s="55">
        <v>0</v>
      </c>
    </row>
    <row r="1062" spans="1:14" ht="10.050000000000001" hidden="1" customHeight="1">
      <c r="A1062" s="52" t="s">
        <v>173</v>
      </c>
      <c r="B1062" s="53">
        <v>2006</v>
      </c>
      <c r="C1062" s="52" t="s">
        <v>112</v>
      </c>
      <c r="D1062" s="54">
        <v>11</v>
      </c>
      <c r="E1062" s="55">
        <v>279810.40000000002</v>
      </c>
      <c r="F1062" s="55">
        <v>33787.1</v>
      </c>
      <c r="G1062" s="55">
        <v>313597.5</v>
      </c>
      <c r="H1062" s="55">
        <v>4202031.5999999996</v>
      </c>
      <c r="I1062" s="55">
        <v>77348.2</v>
      </c>
      <c r="J1062" s="55">
        <v>4279379.8</v>
      </c>
      <c r="K1062" s="55">
        <v>499645.4</v>
      </c>
      <c r="L1062" s="55">
        <v>49748.7</v>
      </c>
      <c r="M1062" s="55">
        <v>99461</v>
      </c>
      <c r="N1062" s="55">
        <v>16483</v>
      </c>
    </row>
    <row r="1063" spans="1:14" ht="10.050000000000001" customHeight="1">
      <c r="A1063" s="52" t="s">
        <v>309</v>
      </c>
      <c r="B1063" s="53">
        <v>2006</v>
      </c>
      <c r="C1063" s="52" t="s">
        <v>112</v>
      </c>
      <c r="D1063" s="54">
        <v>11</v>
      </c>
      <c r="E1063" s="55">
        <v>2111.3000000000002</v>
      </c>
      <c r="F1063" s="55">
        <v>49.8</v>
      </c>
      <c r="G1063" s="55">
        <v>2161.1</v>
      </c>
      <c r="H1063" s="55">
        <v>84001.3</v>
      </c>
      <c r="I1063" s="55">
        <v>0</v>
      </c>
      <c r="J1063" s="55">
        <v>84001.3</v>
      </c>
      <c r="K1063" s="55">
        <v>0</v>
      </c>
      <c r="L1063" s="55">
        <v>0</v>
      </c>
      <c r="M1063" s="55">
        <v>0</v>
      </c>
      <c r="N1063" s="55">
        <v>0</v>
      </c>
    </row>
    <row r="1064" spans="1:14" ht="10.050000000000001" hidden="1" customHeight="1">
      <c r="A1064" s="52" t="s">
        <v>316</v>
      </c>
      <c r="B1064" s="53">
        <v>2006</v>
      </c>
      <c r="C1064" s="52" t="s">
        <v>112</v>
      </c>
      <c r="D1064" s="54">
        <v>11</v>
      </c>
      <c r="E1064" s="55">
        <v>782.1</v>
      </c>
      <c r="F1064" s="55">
        <v>0</v>
      </c>
      <c r="G1064" s="55">
        <v>782.1</v>
      </c>
      <c r="H1064" s="55">
        <v>3306.9</v>
      </c>
      <c r="I1064" s="55">
        <v>43.7</v>
      </c>
      <c r="J1064" s="55">
        <v>3350.6</v>
      </c>
      <c r="K1064" s="55">
        <v>22.7</v>
      </c>
      <c r="L1064" s="55">
        <v>12.6</v>
      </c>
      <c r="M1064" s="55">
        <v>0</v>
      </c>
      <c r="N1064" s="55">
        <v>0</v>
      </c>
    </row>
    <row r="1065" spans="1:14" ht="10.050000000000001" hidden="1" customHeight="1">
      <c r="A1065" s="52" t="s">
        <v>310</v>
      </c>
      <c r="B1065" s="53">
        <v>2006</v>
      </c>
      <c r="C1065" s="52" t="s">
        <v>112</v>
      </c>
      <c r="D1065" s="54">
        <v>11</v>
      </c>
      <c r="E1065" s="55">
        <v>3195.7</v>
      </c>
      <c r="F1065" s="55">
        <v>16.600000000000001</v>
      </c>
      <c r="G1065" s="55">
        <v>3212.3</v>
      </c>
      <c r="H1065" s="55">
        <v>39715.199999999997</v>
      </c>
      <c r="I1065" s="55">
        <v>730.7</v>
      </c>
      <c r="J1065" s="55">
        <v>40445.9</v>
      </c>
      <c r="K1065" s="55">
        <v>3269.8</v>
      </c>
      <c r="L1065" s="55">
        <v>505.9</v>
      </c>
      <c r="M1065" s="55">
        <v>1105.2</v>
      </c>
      <c r="N1065" s="55">
        <v>60</v>
      </c>
    </row>
    <row r="1066" spans="1:14" ht="10.050000000000001" hidden="1" customHeight="1">
      <c r="A1066" s="52" t="s">
        <v>308</v>
      </c>
      <c r="B1066" s="53">
        <v>2006</v>
      </c>
      <c r="C1066" s="52" t="s">
        <v>112</v>
      </c>
      <c r="D1066" s="54">
        <v>11</v>
      </c>
      <c r="E1066" s="55">
        <v>23827.599999999999</v>
      </c>
      <c r="F1066" s="55">
        <v>0</v>
      </c>
      <c r="G1066" s="55">
        <v>23827.599999999999</v>
      </c>
      <c r="H1066" s="55">
        <v>136833.60000000001</v>
      </c>
      <c r="I1066" s="55">
        <v>187.4</v>
      </c>
      <c r="J1066" s="55">
        <v>137021</v>
      </c>
      <c r="K1066" s="55">
        <v>19263.099999999999</v>
      </c>
      <c r="L1066" s="55">
        <v>3076.5</v>
      </c>
      <c r="M1066" s="55">
        <v>6321.9</v>
      </c>
      <c r="N1066" s="55">
        <v>619.20000000000005</v>
      </c>
    </row>
    <row r="1067" spans="1:14" ht="10.050000000000001" hidden="1" customHeight="1">
      <c r="A1067" s="52" t="s">
        <v>174</v>
      </c>
      <c r="B1067" s="53">
        <v>2006</v>
      </c>
      <c r="C1067" s="52" t="s">
        <v>112</v>
      </c>
      <c r="D1067" s="54">
        <v>11</v>
      </c>
      <c r="E1067" s="55">
        <v>11995.4</v>
      </c>
      <c r="F1067" s="55">
        <v>1813</v>
      </c>
      <c r="G1067" s="55">
        <v>13808.4</v>
      </c>
      <c r="H1067" s="55">
        <v>196482.7</v>
      </c>
      <c r="I1067" s="55">
        <v>15682</v>
      </c>
      <c r="J1067" s="55">
        <v>212164.7</v>
      </c>
      <c r="K1067" s="55">
        <v>52260.4</v>
      </c>
      <c r="L1067" s="55">
        <v>1616.9</v>
      </c>
      <c r="M1067" s="55">
        <v>3384.8</v>
      </c>
      <c r="N1067" s="55">
        <v>4851.6000000000004</v>
      </c>
    </row>
    <row r="1068" spans="1:14" ht="10.050000000000001" hidden="1" customHeight="1">
      <c r="A1068" s="52" t="s">
        <v>314</v>
      </c>
      <c r="B1068" s="53">
        <v>2006</v>
      </c>
      <c r="C1068" s="52" t="s">
        <v>112</v>
      </c>
      <c r="D1068" s="54">
        <v>12</v>
      </c>
      <c r="E1068" s="55">
        <v>0</v>
      </c>
      <c r="F1068" s="55">
        <v>0</v>
      </c>
      <c r="G1068" s="55">
        <v>0</v>
      </c>
      <c r="H1068" s="55">
        <v>10.7</v>
      </c>
      <c r="I1068" s="55">
        <v>0</v>
      </c>
      <c r="J1068" s="55">
        <v>10.7</v>
      </c>
      <c r="K1068" s="55">
        <v>0</v>
      </c>
      <c r="L1068" s="55">
        <v>0</v>
      </c>
      <c r="M1068" s="55">
        <v>0</v>
      </c>
      <c r="N1068" s="55">
        <v>0</v>
      </c>
    </row>
    <row r="1069" spans="1:14" ht="10.050000000000001" hidden="1" customHeight="1">
      <c r="A1069" s="52" t="s">
        <v>306</v>
      </c>
      <c r="B1069" s="53">
        <v>2006</v>
      </c>
      <c r="C1069" s="52" t="s">
        <v>112</v>
      </c>
      <c r="D1069" s="54">
        <v>12</v>
      </c>
      <c r="E1069" s="55">
        <v>4755.2</v>
      </c>
      <c r="F1069" s="55">
        <v>810.9</v>
      </c>
      <c r="G1069" s="55">
        <v>5566.1</v>
      </c>
      <c r="H1069" s="55">
        <v>83028.600000000006</v>
      </c>
      <c r="I1069" s="55">
        <v>5234.3999999999996</v>
      </c>
      <c r="J1069" s="55">
        <v>88263</v>
      </c>
      <c r="K1069" s="55">
        <v>8426.7999999999993</v>
      </c>
      <c r="L1069" s="55">
        <v>261.7</v>
      </c>
      <c r="M1069" s="55">
        <v>1530.9</v>
      </c>
      <c r="N1069" s="55">
        <v>369.8</v>
      </c>
    </row>
    <row r="1070" spans="1:14" ht="10.050000000000001" hidden="1" customHeight="1">
      <c r="A1070" s="52" t="s">
        <v>172</v>
      </c>
      <c r="B1070" s="53">
        <v>2006</v>
      </c>
      <c r="C1070" s="52" t="s">
        <v>112</v>
      </c>
      <c r="D1070" s="54">
        <v>12</v>
      </c>
      <c r="E1070" s="55">
        <v>113498.7</v>
      </c>
      <c r="F1070" s="55">
        <v>1786.9</v>
      </c>
      <c r="G1070" s="55">
        <v>115285.6</v>
      </c>
      <c r="H1070" s="55">
        <v>634470.40000000002</v>
      </c>
      <c r="I1070" s="55">
        <v>26597</v>
      </c>
      <c r="J1070" s="55">
        <v>661067.4</v>
      </c>
      <c r="K1070" s="55">
        <v>94793.3</v>
      </c>
      <c r="L1070" s="55">
        <v>26442.6</v>
      </c>
      <c r="M1070" s="55">
        <v>26804.5</v>
      </c>
      <c r="N1070" s="55">
        <v>82</v>
      </c>
    </row>
    <row r="1071" spans="1:14" ht="10.050000000000001" hidden="1" customHeight="1">
      <c r="A1071" s="52" t="s">
        <v>171</v>
      </c>
      <c r="B1071" s="53">
        <v>2006</v>
      </c>
      <c r="C1071" s="52" t="s">
        <v>112</v>
      </c>
      <c r="D1071" s="54">
        <v>12</v>
      </c>
      <c r="E1071" s="55">
        <v>1215038.3999999999</v>
      </c>
      <c r="F1071" s="55">
        <v>11905.5</v>
      </c>
      <c r="G1071" s="55">
        <v>1226943.8999999999</v>
      </c>
      <c r="H1071" s="55">
        <v>8800174.3000000101</v>
      </c>
      <c r="I1071" s="55">
        <v>102094.8</v>
      </c>
      <c r="J1071" s="55">
        <v>8902269.0999999996</v>
      </c>
      <c r="K1071" s="55">
        <v>2148687.4</v>
      </c>
      <c r="L1071" s="55">
        <v>323212.5</v>
      </c>
      <c r="M1071" s="55">
        <v>454056.8</v>
      </c>
      <c r="N1071" s="55">
        <v>22518.1</v>
      </c>
    </row>
    <row r="1072" spans="1:14" ht="10.050000000000001" hidden="1" customHeight="1">
      <c r="A1072" s="52" t="s">
        <v>300</v>
      </c>
      <c r="B1072" s="53">
        <v>2006</v>
      </c>
      <c r="C1072" s="52" t="s">
        <v>112</v>
      </c>
      <c r="D1072" s="54">
        <v>12</v>
      </c>
      <c r="E1072" s="55">
        <v>165.4</v>
      </c>
      <c r="F1072" s="55">
        <v>0</v>
      </c>
      <c r="G1072" s="55">
        <v>165.4</v>
      </c>
      <c r="H1072" s="55">
        <v>1806.4</v>
      </c>
      <c r="I1072" s="55">
        <v>124.9</v>
      </c>
      <c r="J1072" s="55">
        <v>1931.3</v>
      </c>
      <c r="K1072" s="55">
        <v>183.5</v>
      </c>
      <c r="L1072" s="55">
        <v>0</v>
      </c>
      <c r="M1072" s="55">
        <v>0</v>
      </c>
      <c r="N1072" s="55">
        <v>2.9</v>
      </c>
    </row>
    <row r="1073" spans="1:14" ht="10.050000000000001" hidden="1" customHeight="1">
      <c r="A1073" s="52" t="s">
        <v>307</v>
      </c>
      <c r="B1073" s="53">
        <v>2006</v>
      </c>
      <c r="C1073" s="52" t="s">
        <v>112</v>
      </c>
      <c r="D1073" s="54">
        <v>12</v>
      </c>
      <c r="E1073" s="55">
        <v>454436.6</v>
      </c>
      <c r="F1073" s="55">
        <v>8973.7000000000007</v>
      </c>
      <c r="G1073" s="55">
        <v>463410.3</v>
      </c>
      <c r="H1073" s="55">
        <v>4719498.8</v>
      </c>
      <c r="I1073" s="55">
        <v>102850.4</v>
      </c>
      <c r="J1073" s="55">
        <v>4822349.2</v>
      </c>
      <c r="K1073" s="55">
        <v>2113302.6</v>
      </c>
      <c r="L1073" s="55">
        <v>61429.1</v>
      </c>
      <c r="M1073" s="55">
        <v>293224.59999999998</v>
      </c>
      <c r="N1073" s="55">
        <v>56835.6</v>
      </c>
    </row>
    <row r="1074" spans="1:14" ht="10.050000000000001" hidden="1" customHeight="1">
      <c r="A1074" s="52" t="s">
        <v>315</v>
      </c>
      <c r="B1074" s="53">
        <v>2006</v>
      </c>
      <c r="C1074" s="52" t="s">
        <v>112</v>
      </c>
      <c r="D1074" s="54">
        <v>12</v>
      </c>
      <c r="E1074" s="55">
        <v>376.6</v>
      </c>
      <c r="F1074" s="55">
        <v>0</v>
      </c>
      <c r="G1074" s="55">
        <v>376.6</v>
      </c>
      <c r="H1074" s="55">
        <v>15625.7</v>
      </c>
      <c r="I1074" s="55">
        <v>39.5</v>
      </c>
      <c r="J1074" s="55">
        <v>15665.2</v>
      </c>
      <c r="K1074" s="55">
        <v>263.7</v>
      </c>
      <c r="L1074" s="55">
        <v>86.5</v>
      </c>
      <c r="M1074" s="55">
        <v>116.8</v>
      </c>
      <c r="N1074" s="55">
        <v>5.0999999999999996</v>
      </c>
    </row>
    <row r="1075" spans="1:14" ht="10.050000000000001" hidden="1" customHeight="1">
      <c r="A1075" s="52" t="s">
        <v>173</v>
      </c>
      <c r="B1075" s="53">
        <v>2006</v>
      </c>
      <c r="C1075" s="52" t="s">
        <v>112</v>
      </c>
      <c r="D1075" s="54">
        <v>12</v>
      </c>
      <c r="E1075" s="55">
        <v>253921.5</v>
      </c>
      <c r="F1075" s="55">
        <v>11854.4</v>
      </c>
      <c r="G1075" s="55">
        <v>265775.90000000002</v>
      </c>
      <c r="H1075" s="55">
        <v>3790425.1</v>
      </c>
      <c r="I1075" s="55">
        <v>62881.2</v>
      </c>
      <c r="J1075" s="55">
        <v>3853306.3</v>
      </c>
      <c r="K1075" s="55">
        <v>434281.5</v>
      </c>
      <c r="L1075" s="55">
        <v>43802.5</v>
      </c>
      <c r="M1075" s="55">
        <v>99918.000000000102</v>
      </c>
      <c r="N1075" s="55">
        <v>9248.4</v>
      </c>
    </row>
    <row r="1076" spans="1:14" ht="10.050000000000001" customHeight="1">
      <c r="A1076" s="52" t="s">
        <v>309</v>
      </c>
      <c r="B1076" s="53">
        <v>2006</v>
      </c>
      <c r="C1076" s="52" t="s">
        <v>112</v>
      </c>
      <c r="D1076" s="54">
        <v>12</v>
      </c>
      <c r="E1076" s="55">
        <v>4462.8999999999996</v>
      </c>
      <c r="F1076" s="55">
        <v>0</v>
      </c>
      <c r="G1076" s="55">
        <v>4462.8999999999996</v>
      </c>
      <c r="H1076" s="55">
        <v>76031.5</v>
      </c>
      <c r="I1076" s="55">
        <v>0</v>
      </c>
      <c r="J1076" s="55">
        <v>76031.5</v>
      </c>
      <c r="K1076" s="55">
        <v>0</v>
      </c>
      <c r="L1076" s="55">
        <v>0</v>
      </c>
      <c r="M1076" s="55">
        <v>0</v>
      </c>
      <c r="N1076" s="55">
        <v>0</v>
      </c>
    </row>
    <row r="1077" spans="1:14" ht="10.050000000000001" hidden="1" customHeight="1">
      <c r="A1077" s="52" t="s">
        <v>316</v>
      </c>
      <c r="B1077" s="53">
        <v>2006</v>
      </c>
      <c r="C1077" s="52" t="s">
        <v>112</v>
      </c>
      <c r="D1077" s="54">
        <v>12</v>
      </c>
      <c r="E1077" s="55">
        <v>178.7</v>
      </c>
      <c r="F1077" s="55">
        <v>0</v>
      </c>
      <c r="G1077" s="55">
        <v>178.7</v>
      </c>
      <c r="H1077" s="55">
        <v>2901.7</v>
      </c>
      <c r="I1077" s="55">
        <v>43.7</v>
      </c>
      <c r="J1077" s="55">
        <v>2945.4</v>
      </c>
      <c r="K1077" s="55">
        <v>4</v>
      </c>
      <c r="L1077" s="55">
        <v>0</v>
      </c>
      <c r="M1077" s="55">
        <v>18.7</v>
      </c>
      <c r="N1077" s="55">
        <v>0</v>
      </c>
    </row>
    <row r="1078" spans="1:14" ht="10.050000000000001" hidden="1" customHeight="1">
      <c r="A1078" s="52" t="s">
        <v>310</v>
      </c>
      <c r="B1078" s="53">
        <v>2006</v>
      </c>
      <c r="C1078" s="52" t="s">
        <v>112</v>
      </c>
      <c r="D1078" s="54">
        <v>12</v>
      </c>
      <c r="E1078" s="55">
        <v>1808.4</v>
      </c>
      <c r="F1078" s="55">
        <v>0</v>
      </c>
      <c r="G1078" s="55">
        <v>1808.4</v>
      </c>
      <c r="H1078" s="55">
        <v>35785.599999999999</v>
      </c>
      <c r="I1078" s="55">
        <v>588.29999999999995</v>
      </c>
      <c r="J1078" s="55">
        <v>36373.9</v>
      </c>
      <c r="K1078" s="55">
        <v>2588.6</v>
      </c>
      <c r="L1078" s="55">
        <v>267.10000000000002</v>
      </c>
      <c r="M1078" s="55">
        <v>884.8</v>
      </c>
      <c r="N1078" s="55">
        <v>63.5</v>
      </c>
    </row>
    <row r="1079" spans="1:14" ht="10.050000000000001" hidden="1" customHeight="1">
      <c r="A1079" s="52" t="s">
        <v>308</v>
      </c>
      <c r="B1079" s="53">
        <v>2006</v>
      </c>
      <c r="C1079" s="52" t="s">
        <v>112</v>
      </c>
      <c r="D1079" s="54">
        <v>12</v>
      </c>
      <c r="E1079" s="55">
        <v>7313.8</v>
      </c>
      <c r="F1079" s="55">
        <v>59.2</v>
      </c>
      <c r="G1079" s="55">
        <v>7373</v>
      </c>
      <c r="H1079" s="55">
        <v>123307.5</v>
      </c>
      <c r="I1079" s="55">
        <v>59.2</v>
      </c>
      <c r="J1079" s="55">
        <v>123366.7</v>
      </c>
      <c r="K1079" s="55">
        <v>16471.400000000001</v>
      </c>
      <c r="L1079" s="55">
        <v>1519.2</v>
      </c>
      <c r="M1079" s="55">
        <v>4024.3</v>
      </c>
      <c r="N1079" s="55">
        <v>286.60000000000002</v>
      </c>
    </row>
    <row r="1080" spans="1:14" ht="10.050000000000001" hidden="1" customHeight="1">
      <c r="A1080" s="52" t="s">
        <v>174</v>
      </c>
      <c r="B1080" s="53">
        <v>2006</v>
      </c>
      <c r="C1080" s="52" t="s">
        <v>112</v>
      </c>
      <c r="D1080" s="54">
        <v>12</v>
      </c>
      <c r="E1080" s="55">
        <v>10573.2</v>
      </c>
      <c r="F1080" s="55">
        <v>453</v>
      </c>
      <c r="G1080" s="55">
        <v>11026.2</v>
      </c>
      <c r="H1080" s="55">
        <v>164900.79999999999</v>
      </c>
      <c r="I1080" s="55">
        <v>10769.4</v>
      </c>
      <c r="J1080" s="55">
        <v>175670.2</v>
      </c>
      <c r="K1080" s="55">
        <v>44725.2</v>
      </c>
      <c r="L1080" s="55">
        <v>1245</v>
      </c>
      <c r="M1080" s="55">
        <v>3543.1</v>
      </c>
      <c r="N1080" s="55">
        <v>5237.1000000000004</v>
      </c>
    </row>
    <row r="1081" spans="1:14" ht="10.050000000000001" hidden="1" customHeight="1">
      <c r="A1081" s="52" t="s">
        <v>314</v>
      </c>
      <c r="B1081" s="53">
        <v>2007</v>
      </c>
      <c r="C1081" s="52" t="s">
        <v>112</v>
      </c>
      <c r="D1081" s="54">
        <v>1</v>
      </c>
      <c r="E1081" s="55">
        <v>0</v>
      </c>
      <c r="F1081" s="55">
        <v>0</v>
      </c>
      <c r="G1081" s="55">
        <v>0</v>
      </c>
      <c r="H1081" s="55">
        <v>1.3</v>
      </c>
      <c r="I1081" s="55">
        <v>0</v>
      </c>
      <c r="J1081" s="55">
        <v>1.3</v>
      </c>
      <c r="K1081" s="55">
        <v>0</v>
      </c>
      <c r="L1081" s="55">
        <v>0</v>
      </c>
      <c r="M1081" s="55">
        <v>0</v>
      </c>
      <c r="N1081" s="55">
        <v>0</v>
      </c>
    </row>
    <row r="1082" spans="1:14" ht="10.050000000000001" hidden="1" customHeight="1">
      <c r="A1082" s="52" t="s">
        <v>306</v>
      </c>
      <c r="B1082" s="53">
        <v>2007</v>
      </c>
      <c r="C1082" s="52" t="s">
        <v>112</v>
      </c>
      <c r="D1082" s="54">
        <v>1</v>
      </c>
      <c r="E1082" s="55">
        <v>5121.6000000000004</v>
      </c>
      <c r="F1082" s="55">
        <v>592.6</v>
      </c>
      <c r="G1082" s="55">
        <v>5714.2</v>
      </c>
      <c r="H1082" s="55">
        <v>73391.899999999994</v>
      </c>
      <c r="I1082" s="55">
        <v>4875.5</v>
      </c>
      <c r="J1082" s="55">
        <v>78267.399999999994</v>
      </c>
      <c r="K1082" s="55">
        <v>6509.5</v>
      </c>
      <c r="L1082" s="55">
        <v>353.8</v>
      </c>
      <c r="M1082" s="55">
        <v>1843.6</v>
      </c>
      <c r="N1082" s="55">
        <v>427.5</v>
      </c>
    </row>
    <row r="1083" spans="1:14" ht="10.050000000000001" hidden="1" customHeight="1">
      <c r="A1083" s="52" t="s">
        <v>172</v>
      </c>
      <c r="B1083" s="53">
        <v>2007</v>
      </c>
      <c r="C1083" s="52" t="s">
        <v>112</v>
      </c>
      <c r="D1083" s="54">
        <v>1</v>
      </c>
      <c r="E1083" s="55">
        <v>153215.79999999999</v>
      </c>
      <c r="F1083" s="55">
        <v>834.6</v>
      </c>
      <c r="G1083" s="55">
        <v>154050.4</v>
      </c>
      <c r="H1083" s="55">
        <v>599876.4</v>
      </c>
      <c r="I1083" s="55">
        <v>23333.5</v>
      </c>
      <c r="J1083" s="55">
        <v>623209.9</v>
      </c>
      <c r="K1083" s="55">
        <v>59442.2</v>
      </c>
      <c r="L1083" s="55">
        <v>12794.1</v>
      </c>
      <c r="M1083" s="55">
        <v>47972.6</v>
      </c>
      <c r="N1083" s="55">
        <v>172.6</v>
      </c>
    </row>
    <row r="1084" spans="1:14" ht="10.050000000000001" hidden="1" customHeight="1">
      <c r="A1084" s="52" t="s">
        <v>171</v>
      </c>
      <c r="B1084" s="53">
        <v>2007</v>
      </c>
      <c r="C1084" s="52" t="s">
        <v>112</v>
      </c>
      <c r="D1084" s="54">
        <v>1</v>
      </c>
      <c r="E1084" s="55">
        <v>1871691.8</v>
      </c>
      <c r="F1084" s="55">
        <v>6737.8</v>
      </c>
      <c r="G1084" s="55">
        <v>1878429.6</v>
      </c>
      <c r="H1084" s="55">
        <v>8030448.2999999998</v>
      </c>
      <c r="I1084" s="55">
        <v>75011.199999999997</v>
      </c>
      <c r="J1084" s="55">
        <v>8105459.5</v>
      </c>
      <c r="K1084" s="55">
        <v>1924023.5</v>
      </c>
      <c r="L1084" s="55">
        <v>407653</v>
      </c>
      <c r="M1084" s="55">
        <v>610596</v>
      </c>
      <c r="N1084" s="55">
        <v>22203.200000000001</v>
      </c>
    </row>
    <row r="1085" spans="1:14" ht="10.050000000000001" hidden="1" customHeight="1">
      <c r="A1085" s="52" t="s">
        <v>300</v>
      </c>
      <c r="B1085" s="53">
        <v>2007</v>
      </c>
      <c r="C1085" s="52" t="s">
        <v>112</v>
      </c>
      <c r="D1085" s="54">
        <v>1</v>
      </c>
      <c r="E1085" s="55">
        <v>155.6</v>
      </c>
      <c r="F1085" s="55">
        <v>0</v>
      </c>
      <c r="G1085" s="55">
        <v>155.6</v>
      </c>
      <c r="H1085" s="55">
        <v>1779.1</v>
      </c>
      <c r="I1085" s="55">
        <v>124.9</v>
      </c>
      <c r="J1085" s="55">
        <v>1904</v>
      </c>
      <c r="K1085" s="55">
        <v>98.9</v>
      </c>
      <c r="L1085" s="55">
        <v>126</v>
      </c>
      <c r="M1085" s="55">
        <v>0</v>
      </c>
      <c r="N1085" s="55">
        <v>84.6</v>
      </c>
    </row>
    <row r="1086" spans="1:14" ht="10.050000000000001" hidden="1" customHeight="1">
      <c r="A1086" s="52" t="s">
        <v>307</v>
      </c>
      <c r="B1086" s="53">
        <v>2007</v>
      </c>
      <c r="C1086" s="52" t="s">
        <v>112</v>
      </c>
      <c r="D1086" s="54">
        <v>1</v>
      </c>
      <c r="E1086" s="55">
        <v>769925.1</v>
      </c>
      <c r="F1086" s="55">
        <v>245.7</v>
      </c>
      <c r="G1086" s="55">
        <v>770170.8</v>
      </c>
      <c r="H1086" s="55">
        <v>4478036.4000000004</v>
      </c>
      <c r="I1086" s="55">
        <v>85648.4</v>
      </c>
      <c r="J1086" s="55">
        <v>4563684.8</v>
      </c>
      <c r="K1086" s="55">
        <v>1484090.2</v>
      </c>
      <c r="L1086" s="55">
        <v>33694.199999999997</v>
      </c>
      <c r="M1086" s="55">
        <v>609513.4</v>
      </c>
      <c r="N1086" s="55">
        <v>53147.8</v>
      </c>
    </row>
    <row r="1087" spans="1:14" ht="10.050000000000001" hidden="1" customHeight="1">
      <c r="A1087" s="52" t="s">
        <v>315</v>
      </c>
      <c r="B1087" s="53">
        <v>2007</v>
      </c>
      <c r="C1087" s="52" t="s">
        <v>112</v>
      </c>
      <c r="D1087" s="54">
        <v>1</v>
      </c>
      <c r="E1087" s="55">
        <v>504</v>
      </c>
      <c r="F1087" s="55">
        <v>0</v>
      </c>
      <c r="G1087" s="55">
        <v>504</v>
      </c>
      <c r="H1087" s="55">
        <v>13161.9</v>
      </c>
      <c r="I1087" s="55">
        <v>39.5</v>
      </c>
      <c r="J1087" s="55">
        <v>13201.4</v>
      </c>
      <c r="K1087" s="55">
        <v>205.5</v>
      </c>
      <c r="L1087" s="55">
        <v>79.099999999999994</v>
      </c>
      <c r="M1087" s="55">
        <v>127.7</v>
      </c>
      <c r="N1087" s="55">
        <v>9.6</v>
      </c>
    </row>
    <row r="1088" spans="1:14" ht="10.050000000000001" hidden="1" customHeight="1">
      <c r="A1088" s="52" t="s">
        <v>173</v>
      </c>
      <c r="B1088" s="53">
        <v>2007</v>
      </c>
      <c r="C1088" s="52" t="s">
        <v>112</v>
      </c>
      <c r="D1088" s="54">
        <v>1</v>
      </c>
      <c r="E1088" s="55">
        <v>347894.3</v>
      </c>
      <c r="F1088" s="55">
        <v>10218.700000000001</v>
      </c>
      <c r="G1088" s="55">
        <v>358113</v>
      </c>
      <c r="H1088" s="55">
        <v>3291166.9</v>
      </c>
      <c r="I1088" s="55">
        <v>45358.2</v>
      </c>
      <c r="J1088" s="55">
        <v>3336525.1</v>
      </c>
      <c r="K1088" s="55">
        <v>332305.5</v>
      </c>
      <c r="L1088" s="55">
        <v>58742.2</v>
      </c>
      <c r="M1088" s="55">
        <v>150014.39999999999</v>
      </c>
      <c r="N1088" s="55">
        <v>10703.8</v>
      </c>
    </row>
    <row r="1089" spans="1:14" ht="10.050000000000001" customHeight="1">
      <c r="A1089" s="52" t="s">
        <v>309</v>
      </c>
      <c r="B1089" s="53">
        <v>2007</v>
      </c>
      <c r="C1089" s="52" t="s">
        <v>112</v>
      </c>
      <c r="D1089" s="54">
        <v>1</v>
      </c>
      <c r="E1089" s="55">
        <v>6.9</v>
      </c>
      <c r="F1089" s="55">
        <v>0</v>
      </c>
      <c r="G1089" s="55">
        <v>6.9</v>
      </c>
      <c r="H1089" s="55">
        <v>71428.2</v>
      </c>
      <c r="I1089" s="55">
        <v>0</v>
      </c>
      <c r="J1089" s="55">
        <v>71428.2</v>
      </c>
      <c r="K1089" s="55">
        <v>0</v>
      </c>
      <c r="L1089" s="55">
        <v>0</v>
      </c>
      <c r="M1089" s="55">
        <v>0</v>
      </c>
      <c r="N1089" s="55">
        <v>0</v>
      </c>
    </row>
    <row r="1090" spans="1:14" ht="10.050000000000001" hidden="1" customHeight="1">
      <c r="A1090" s="52" t="s">
        <v>316</v>
      </c>
      <c r="B1090" s="53">
        <v>2007</v>
      </c>
      <c r="C1090" s="52" t="s">
        <v>112</v>
      </c>
      <c r="D1090" s="54">
        <v>1</v>
      </c>
      <c r="E1090" s="55">
        <v>185.4</v>
      </c>
      <c r="F1090" s="55">
        <v>0</v>
      </c>
      <c r="G1090" s="55">
        <v>185.4</v>
      </c>
      <c r="H1090" s="55">
        <v>2883.6</v>
      </c>
      <c r="I1090" s="55">
        <v>43.7</v>
      </c>
      <c r="J1090" s="55">
        <v>2927.3</v>
      </c>
      <c r="K1090" s="55">
        <v>0</v>
      </c>
      <c r="L1090" s="55">
        <v>0</v>
      </c>
      <c r="M1090" s="55">
        <v>4</v>
      </c>
      <c r="N1090" s="55">
        <v>0</v>
      </c>
    </row>
    <row r="1091" spans="1:14" ht="10.050000000000001" hidden="1" customHeight="1">
      <c r="A1091" s="52" t="s">
        <v>310</v>
      </c>
      <c r="B1091" s="53">
        <v>2007</v>
      </c>
      <c r="C1091" s="52" t="s">
        <v>112</v>
      </c>
      <c r="D1091" s="54">
        <v>1</v>
      </c>
      <c r="E1091" s="55">
        <v>2032.2</v>
      </c>
      <c r="F1091" s="55">
        <v>0</v>
      </c>
      <c r="G1091" s="55">
        <v>2032.2</v>
      </c>
      <c r="H1091" s="55">
        <v>30280.400000000001</v>
      </c>
      <c r="I1091" s="55">
        <v>590.4</v>
      </c>
      <c r="J1091" s="55">
        <v>30870.799999999999</v>
      </c>
      <c r="K1091" s="55">
        <v>1719.9</v>
      </c>
      <c r="L1091" s="55">
        <v>22.4</v>
      </c>
      <c r="M1091" s="55">
        <v>832.3</v>
      </c>
      <c r="N1091" s="55">
        <v>58.8</v>
      </c>
    </row>
    <row r="1092" spans="1:14" ht="10.050000000000001" hidden="1" customHeight="1">
      <c r="A1092" s="52" t="s">
        <v>308</v>
      </c>
      <c r="B1092" s="53">
        <v>2007</v>
      </c>
      <c r="C1092" s="52" t="s">
        <v>112</v>
      </c>
      <c r="D1092" s="54">
        <v>1</v>
      </c>
      <c r="E1092" s="55">
        <v>7556.8</v>
      </c>
      <c r="F1092" s="55">
        <v>0</v>
      </c>
      <c r="G1092" s="55">
        <v>7556.8</v>
      </c>
      <c r="H1092" s="55">
        <v>103802.2</v>
      </c>
      <c r="I1092" s="55">
        <v>59.2</v>
      </c>
      <c r="J1092" s="55">
        <v>103861.4</v>
      </c>
      <c r="K1092" s="55">
        <v>10722.3</v>
      </c>
      <c r="L1092" s="55">
        <v>232.9</v>
      </c>
      <c r="M1092" s="55">
        <v>5761</v>
      </c>
      <c r="N1092" s="55">
        <v>221</v>
      </c>
    </row>
    <row r="1093" spans="1:14" ht="10.050000000000001" hidden="1" customHeight="1">
      <c r="A1093" s="52" t="s">
        <v>174</v>
      </c>
      <c r="B1093" s="53">
        <v>2007</v>
      </c>
      <c r="C1093" s="52" t="s">
        <v>112</v>
      </c>
      <c r="D1093" s="54">
        <v>1</v>
      </c>
      <c r="E1093" s="55">
        <v>7645.1</v>
      </c>
      <c r="F1093" s="55">
        <v>202.5</v>
      </c>
      <c r="G1093" s="55">
        <v>7847.6</v>
      </c>
      <c r="H1093" s="55">
        <v>133760.29999999999</v>
      </c>
      <c r="I1093" s="55">
        <v>8642.7999999999993</v>
      </c>
      <c r="J1093" s="55">
        <v>142403.1</v>
      </c>
      <c r="K1093" s="55">
        <v>37495.599999999999</v>
      </c>
      <c r="L1093" s="55">
        <v>1404.2</v>
      </c>
      <c r="M1093" s="55">
        <v>3171.7</v>
      </c>
      <c r="N1093" s="55">
        <v>5462.1</v>
      </c>
    </row>
    <row r="1094" spans="1:14" ht="10.050000000000001" hidden="1" customHeight="1">
      <c r="A1094" s="52" t="s">
        <v>314</v>
      </c>
      <c r="B1094" s="53">
        <v>2007</v>
      </c>
      <c r="C1094" s="52" t="s">
        <v>112</v>
      </c>
      <c r="D1094" s="54">
        <v>2</v>
      </c>
      <c r="E1094" s="55">
        <v>0</v>
      </c>
      <c r="F1094" s="55">
        <v>0</v>
      </c>
      <c r="G1094" s="55">
        <v>0</v>
      </c>
      <c r="H1094" s="55">
        <v>1.3</v>
      </c>
      <c r="I1094" s="55">
        <v>0</v>
      </c>
      <c r="J1094" s="55">
        <v>1.3</v>
      </c>
      <c r="K1094" s="55">
        <v>0</v>
      </c>
      <c r="L1094" s="55">
        <v>0</v>
      </c>
      <c r="M1094" s="55">
        <v>0</v>
      </c>
      <c r="N1094" s="55">
        <v>0</v>
      </c>
    </row>
    <row r="1095" spans="1:14" ht="10.050000000000001" hidden="1" customHeight="1">
      <c r="A1095" s="52" t="s">
        <v>306</v>
      </c>
      <c r="B1095" s="53">
        <v>2007</v>
      </c>
      <c r="C1095" s="52" t="s">
        <v>112</v>
      </c>
      <c r="D1095" s="54">
        <v>2</v>
      </c>
      <c r="E1095" s="55">
        <v>5311.3</v>
      </c>
      <c r="F1095" s="55">
        <v>191.7</v>
      </c>
      <c r="G1095" s="55">
        <v>5503</v>
      </c>
      <c r="H1095" s="55">
        <v>64128.800000000003</v>
      </c>
      <c r="I1095" s="55">
        <v>3794.9</v>
      </c>
      <c r="J1095" s="55">
        <v>67923.7</v>
      </c>
      <c r="K1095" s="55">
        <v>5269.4</v>
      </c>
      <c r="L1095" s="55">
        <v>523</v>
      </c>
      <c r="M1095" s="55">
        <v>1287.0999999999999</v>
      </c>
      <c r="N1095" s="55">
        <v>475.6</v>
      </c>
    </row>
    <row r="1096" spans="1:14" ht="10.050000000000001" hidden="1" customHeight="1">
      <c r="A1096" s="52" t="s">
        <v>172</v>
      </c>
      <c r="B1096" s="53">
        <v>2007</v>
      </c>
      <c r="C1096" s="52" t="s">
        <v>112</v>
      </c>
      <c r="D1096" s="54">
        <v>2</v>
      </c>
      <c r="E1096" s="55">
        <v>87341.6</v>
      </c>
      <c r="F1096" s="55">
        <v>177.1</v>
      </c>
      <c r="G1096" s="55">
        <v>87518.7</v>
      </c>
      <c r="H1096" s="55">
        <v>531961.30000000005</v>
      </c>
      <c r="I1096" s="55">
        <v>20045.5</v>
      </c>
      <c r="J1096" s="55">
        <v>552006.80000000005</v>
      </c>
      <c r="K1096" s="55">
        <v>46749</v>
      </c>
      <c r="L1096" s="55">
        <v>8599.7000000000007</v>
      </c>
      <c r="M1096" s="55">
        <v>21192.2</v>
      </c>
      <c r="N1096" s="55">
        <v>122.4</v>
      </c>
    </row>
    <row r="1097" spans="1:14" ht="10.050000000000001" hidden="1" customHeight="1">
      <c r="A1097" s="52" t="s">
        <v>171</v>
      </c>
      <c r="B1097" s="53">
        <v>2007</v>
      </c>
      <c r="C1097" s="52" t="s">
        <v>112</v>
      </c>
      <c r="D1097" s="54">
        <v>2</v>
      </c>
      <c r="E1097" s="55">
        <v>1489334</v>
      </c>
      <c r="F1097" s="55">
        <v>3532.3</v>
      </c>
      <c r="G1097" s="55">
        <v>1492866.3</v>
      </c>
      <c r="H1097" s="55">
        <v>7032693.7000000002</v>
      </c>
      <c r="I1097" s="55">
        <v>66784.3</v>
      </c>
      <c r="J1097" s="55">
        <v>7099478</v>
      </c>
      <c r="K1097" s="55">
        <v>1625571.5</v>
      </c>
      <c r="L1097" s="55">
        <v>284624.3</v>
      </c>
      <c r="M1097" s="55">
        <v>566928.80000000005</v>
      </c>
      <c r="N1097" s="55">
        <v>19660</v>
      </c>
    </row>
    <row r="1098" spans="1:14" ht="10.050000000000001" hidden="1" customHeight="1">
      <c r="A1098" s="52" t="s">
        <v>300</v>
      </c>
      <c r="B1098" s="53">
        <v>2007</v>
      </c>
      <c r="C1098" s="52" t="s">
        <v>112</v>
      </c>
      <c r="D1098" s="54">
        <v>2</v>
      </c>
      <c r="E1098" s="55">
        <v>199</v>
      </c>
      <c r="F1098" s="55">
        <v>0</v>
      </c>
      <c r="G1098" s="55">
        <v>199</v>
      </c>
      <c r="H1098" s="55">
        <v>1169</v>
      </c>
      <c r="I1098" s="55">
        <v>124.9</v>
      </c>
      <c r="J1098" s="55">
        <v>1293.9000000000001</v>
      </c>
      <c r="K1098" s="55">
        <v>93.3</v>
      </c>
      <c r="L1098" s="55">
        <v>0</v>
      </c>
      <c r="M1098" s="55">
        <v>0</v>
      </c>
      <c r="N1098" s="55">
        <v>5.6</v>
      </c>
    </row>
    <row r="1099" spans="1:14" ht="10.050000000000001" hidden="1" customHeight="1">
      <c r="A1099" s="52" t="s">
        <v>307</v>
      </c>
      <c r="B1099" s="53">
        <v>2007</v>
      </c>
      <c r="C1099" s="52" t="s">
        <v>112</v>
      </c>
      <c r="D1099" s="54">
        <v>2</v>
      </c>
      <c r="E1099" s="55">
        <v>512137.7</v>
      </c>
      <c r="F1099" s="55">
        <v>12249.6</v>
      </c>
      <c r="G1099" s="55">
        <v>524387.30000000005</v>
      </c>
      <c r="H1099" s="55">
        <v>4083138.7</v>
      </c>
      <c r="I1099" s="55">
        <v>90408.7</v>
      </c>
      <c r="J1099" s="55">
        <v>4173547.4</v>
      </c>
      <c r="K1099" s="55">
        <v>1131158.3</v>
      </c>
      <c r="L1099" s="55">
        <v>34370.5</v>
      </c>
      <c r="M1099" s="55">
        <v>351524.4</v>
      </c>
      <c r="N1099" s="55">
        <v>35819.9</v>
      </c>
    </row>
    <row r="1100" spans="1:14" ht="10.050000000000001" hidden="1" customHeight="1">
      <c r="A1100" s="52" t="s">
        <v>315</v>
      </c>
      <c r="B1100" s="53">
        <v>2007</v>
      </c>
      <c r="C1100" s="52" t="s">
        <v>112</v>
      </c>
      <c r="D1100" s="54">
        <v>2</v>
      </c>
      <c r="E1100" s="55">
        <v>493.9</v>
      </c>
      <c r="F1100" s="55">
        <v>0</v>
      </c>
      <c r="G1100" s="55">
        <v>493.9</v>
      </c>
      <c r="H1100" s="55">
        <v>11081.5</v>
      </c>
      <c r="I1100" s="55">
        <v>39.5</v>
      </c>
      <c r="J1100" s="55">
        <v>11121</v>
      </c>
      <c r="K1100" s="55">
        <v>77.099999999999994</v>
      </c>
      <c r="L1100" s="55">
        <v>4</v>
      </c>
      <c r="M1100" s="55">
        <v>132.4</v>
      </c>
      <c r="N1100" s="55">
        <v>0</v>
      </c>
    </row>
    <row r="1101" spans="1:14" ht="10.050000000000001" hidden="1" customHeight="1">
      <c r="A1101" s="52" t="s">
        <v>173</v>
      </c>
      <c r="B1101" s="53">
        <v>2007</v>
      </c>
      <c r="C1101" s="52" t="s">
        <v>112</v>
      </c>
      <c r="D1101" s="54">
        <v>2</v>
      </c>
      <c r="E1101" s="55">
        <v>287566.59999999998</v>
      </c>
      <c r="F1101" s="55">
        <v>4534.1000000000004</v>
      </c>
      <c r="G1101" s="55">
        <v>292100.7</v>
      </c>
      <c r="H1101" s="55">
        <v>2751017.2</v>
      </c>
      <c r="I1101" s="55">
        <v>36407.699999999997</v>
      </c>
      <c r="J1101" s="55">
        <v>2787424.9</v>
      </c>
      <c r="K1101" s="55">
        <v>238054.7</v>
      </c>
      <c r="L1101" s="55">
        <v>28143.3</v>
      </c>
      <c r="M1101" s="55">
        <v>114116.5</v>
      </c>
      <c r="N1101" s="55">
        <v>8698.9</v>
      </c>
    </row>
    <row r="1102" spans="1:14" ht="10.050000000000001" customHeight="1">
      <c r="A1102" s="52" t="s">
        <v>309</v>
      </c>
      <c r="B1102" s="53">
        <v>2007</v>
      </c>
      <c r="C1102" s="52" t="s">
        <v>112</v>
      </c>
      <c r="D1102" s="54">
        <v>2</v>
      </c>
      <c r="E1102" s="55">
        <v>0</v>
      </c>
      <c r="F1102" s="55">
        <v>0</v>
      </c>
      <c r="G1102" s="55">
        <v>0</v>
      </c>
      <c r="H1102" s="55">
        <v>66357</v>
      </c>
      <c r="I1102" s="55">
        <v>0</v>
      </c>
      <c r="J1102" s="55">
        <v>66357</v>
      </c>
      <c r="K1102" s="55">
        <v>0</v>
      </c>
      <c r="L1102" s="55">
        <v>0</v>
      </c>
      <c r="M1102" s="55">
        <v>0</v>
      </c>
      <c r="N1102" s="55">
        <v>0</v>
      </c>
    </row>
    <row r="1103" spans="1:14" ht="10.050000000000001" hidden="1" customHeight="1">
      <c r="A1103" s="52" t="s">
        <v>316</v>
      </c>
      <c r="B1103" s="53">
        <v>2007</v>
      </c>
      <c r="C1103" s="52" t="s">
        <v>112</v>
      </c>
      <c r="D1103" s="54">
        <v>2</v>
      </c>
      <c r="E1103" s="55">
        <v>72.7</v>
      </c>
      <c r="F1103" s="55">
        <v>0</v>
      </c>
      <c r="G1103" s="55">
        <v>72.7</v>
      </c>
      <c r="H1103" s="55">
        <v>2519.5</v>
      </c>
      <c r="I1103" s="55">
        <v>37.700000000000003</v>
      </c>
      <c r="J1103" s="55">
        <v>2557.1999999999998</v>
      </c>
      <c r="K1103" s="55">
        <v>0</v>
      </c>
      <c r="L1103" s="55">
        <v>2.7</v>
      </c>
      <c r="M1103" s="55">
        <v>2.7</v>
      </c>
      <c r="N1103" s="55">
        <v>0</v>
      </c>
    </row>
    <row r="1104" spans="1:14" ht="10.050000000000001" hidden="1" customHeight="1">
      <c r="A1104" s="52" t="s">
        <v>310</v>
      </c>
      <c r="B1104" s="53">
        <v>2007</v>
      </c>
      <c r="C1104" s="52" t="s">
        <v>112</v>
      </c>
      <c r="D1104" s="54">
        <v>2</v>
      </c>
      <c r="E1104" s="55">
        <v>1971.5</v>
      </c>
      <c r="F1104" s="55">
        <v>0</v>
      </c>
      <c r="G1104" s="55">
        <v>1971.5</v>
      </c>
      <c r="H1104" s="55">
        <v>26845.1</v>
      </c>
      <c r="I1104" s="55">
        <v>542.5</v>
      </c>
      <c r="J1104" s="55">
        <v>27387.599999999999</v>
      </c>
      <c r="K1104" s="55">
        <v>2763.2</v>
      </c>
      <c r="L1104" s="55">
        <v>1456.5</v>
      </c>
      <c r="M1104" s="55">
        <v>337.9</v>
      </c>
      <c r="N1104" s="55">
        <v>75.3</v>
      </c>
    </row>
    <row r="1105" spans="1:14" ht="10.050000000000001" hidden="1" customHeight="1">
      <c r="A1105" s="52" t="s">
        <v>308</v>
      </c>
      <c r="B1105" s="53">
        <v>2007</v>
      </c>
      <c r="C1105" s="52" t="s">
        <v>112</v>
      </c>
      <c r="D1105" s="54">
        <v>2</v>
      </c>
      <c r="E1105" s="55">
        <v>4101.2</v>
      </c>
      <c r="F1105" s="55">
        <v>68.099999999999994</v>
      </c>
      <c r="G1105" s="55">
        <v>4169.3</v>
      </c>
      <c r="H1105" s="55">
        <v>85262.9</v>
      </c>
      <c r="I1105" s="55">
        <v>127.3</v>
      </c>
      <c r="J1105" s="55">
        <v>85390.2</v>
      </c>
      <c r="K1105" s="55">
        <v>7554.2</v>
      </c>
      <c r="L1105" s="55">
        <v>0.1</v>
      </c>
      <c r="M1105" s="55">
        <v>2839.6</v>
      </c>
      <c r="N1105" s="55">
        <v>328.6</v>
      </c>
    </row>
    <row r="1106" spans="1:14" ht="10.050000000000001" hidden="1" customHeight="1">
      <c r="A1106" s="52" t="s">
        <v>174</v>
      </c>
      <c r="B1106" s="53">
        <v>2007</v>
      </c>
      <c r="C1106" s="52" t="s">
        <v>112</v>
      </c>
      <c r="D1106" s="54">
        <v>2</v>
      </c>
      <c r="E1106" s="55">
        <v>8258.2999999999993</v>
      </c>
      <c r="F1106" s="55">
        <v>692</v>
      </c>
      <c r="G1106" s="55">
        <v>8950.2999999999993</v>
      </c>
      <c r="H1106" s="55">
        <v>104756.4</v>
      </c>
      <c r="I1106" s="55">
        <v>8311.6</v>
      </c>
      <c r="J1106" s="55">
        <v>113068</v>
      </c>
      <c r="K1106" s="55">
        <v>30473.3</v>
      </c>
      <c r="L1106" s="55">
        <v>863.8</v>
      </c>
      <c r="M1106" s="55">
        <v>2989.3</v>
      </c>
      <c r="N1106" s="55">
        <v>4896.8</v>
      </c>
    </row>
    <row r="1107" spans="1:14" ht="10.050000000000001" hidden="1" customHeight="1">
      <c r="A1107" s="52" t="s">
        <v>314</v>
      </c>
      <c r="B1107" s="53">
        <v>2007</v>
      </c>
      <c r="C1107" s="52" t="s">
        <v>112</v>
      </c>
      <c r="D1107" s="54">
        <v>3</v>
      </c>
      <c r="E1107" s="55">
        <v>0</v>
      </c>
      <c r="F1107" s="55">
        <v>0</v>
      </c>
      <c r="G1107" s="55">
        <v>0</v>
      </c>
      <c r="H1107" s="55">
        <v>1.3</v>
      </c>
      <c r="I1107" s="55">
        <v>0</v>
      </c>
      <c r="J1107" s="55">
        <v>1.3</v>
      </c>
      <c r="K1107" s="55">
        <v>0</v>
      </c>
      <c r="L1107" s="55">
        <v>0</v>
      </c>
      <c r="M1107" s="55">
        <v>0</v>
      </c>
      <c r="N1107" s="55">
        <v>0</v>
      </c>
    </row>
    <row r="1108" spans="1:14" ht="10.050000000000001" hidden="1" customHeight="1">
      <c r="A1108" s="52" t="s">
        <v>306</v>
      </c>
      <c r="B1108" s="53">
        <v>2007</v>
      </c>
      <c r="C1108" s="52" t="s">
        <v>112</v>
      </c>
      <c r="D1108" s="54">
        <v>3</v>
      </c>
      <c r="E1108" s="55">
        <v>5341.6</v>
      </c>
      <c r="F1108" s="55">
        <v>0</v>
      </c>
      <c r="G1108" s="55">
        <v>5341.6</v>
      </c>
      <c r="H1108" s="55">
        <v>54291.8</v>
      </c>
      <c r="I1108" s="55">
        <v>3125.2</v>
      </c>
      <c r="J1108" s="55">
        <v>57417</v>
      </c>
      <c r="K1108" s="55">
        <v>3741.3</v>
      </c>
      <c r="L1108" s="55">
        <v>325.89999999999998</v>
      </c>
      <c r="M1108" s="55">
        <v>1465.9</v>
      </c>
      <c r="N1108" s="55">
        <v>394.9</v>
      </c>
    </row>
    <row r="1109" spans="1:14" ht="10.050000000000001" hidden="1" customHeight="1">
      <c r="A1109" s="52" t="s">
        <v>172</v>
      </c>
      <c r="B1109" s="53">
        <v>2007</v>
      </c>
      <c r="C1109" s="52" t="s">
        <v>112</v>
      </c>
      <c r="D1109" s="54">
        <v>3</v>
      </c>
      <c r="E1109" s="55">
        <v>100962</v>
      </c>
      <c r="F1109" s="55">
        <v>668.4</v>
      </c>
      <c r="G1109" s="55">
        <v>101630.39999999999</v>
      </c>
      <c r="H1109" s="55">
        <v>403370.8</v>
      </c>
      <c r="I1109" s="55">
        <v>15808.3</v>
      </c>
      <c r="J1109" s="55">
        <v>419179.1</v>
      </c>
      <c r="K1109" s="55">
        <v>22089.7</v>
      </c>
      <c r="L1109" s="55">
        <v>7973</v>
      </c>
      <c r="M1109" s="55">
        <v>32146.6</v>
      </c>
      <c r="N1109" s="55">
        <v>485.7</v>
      </c>
    </row>
    <row r="1110" spans="1:14" ht="10.050000000000001" hidden="1" customHeight="1">
      <c r="A1110" s="52" t="s">
        <v>171</v>
      </c>
      <c r="B1110" s="53">
        <v>2007</v>
      </c>
      <c r="C1110" s="52" t="s">
        <v>112</v>
      </c>
      <c r="D1110" s="54">
        <v>3</v>
      </c>
      <c r="E1110" s="55">
        <v>1742693</v>
      </c>
      <c r="F1110" s="55">
        <v>5014</v>
      </c>
      <c r="G1110" s="55">
        <v>1747707</v>
      </c>
      <c r="H1110" s="55">
        <v>6163655.5999999996</v>
      </c>
      <c r="I1110" s="55">
        <v>59383.8</v>
      </c>
      <c r="J1110" s="55">
        <v>6223039.4000000004</v>
      </c>
      <c r="K1110" s="55">
        <v>889477.6</v>
      </c>
      <c r="L1110" s="55">
        <v>155400.9</v>
      </c>
      <c r="M1110" s="55">
        <v>869105.4</v>
      </c>
      <c r="N1110" s="55">
        <v>20554.5</v>
      </c>
    </row>
    <row r="1111" spans="1:14" ht="10.050000000000001" hidden="1" customHeight="1">
      <c r="A1111" s="52" t="s">
        <v>300</v>
      </c>
      <c r="B1111" s="53">
        <v>2007</v>
      </c>
      <c r="C1111" s="52" t="s">
        <v>112</v>
      </c>
      <c r="D1111" s="54">
        <v>3</v>
      </c>
      <c r="E1111" s="55">
        <v>269.39999999999998</v>
      </c>
      <c r="F1111" s="55">
        <v>0</v>
      </c>
      <c r="G1111" s="55">
        <v>269.39999999999998</v>
      </c>
      <c r="H1111" s="55">
        <v>1007.4</v>
      </c>
      <c r="I1111" s="55">
        <v>103</v>
      </c>
      <c r="J1111" s="55">
        <v>1110.4000000000001</v>
      </c>
      <c r="K1111" s="55">
        <v>87.4</v>
      </c>
      <c r="L1111" s="55">
        <v>0</v>
      </c>
      <c r="M1111" s="55">
        <v>0</v>
      </c>
      <c r="N1111" s="55">
        <v>5.9</v>
      </c>
    </row>
    <row r="1112" spans="1:14" ht="10.050000000000001" hidden="1" customHeight="1">
      <c r="A1112" s="52" t="s">
        <v>307</v>
      </c>
      <c r="B1112" s="53">
        <v>2007</v>
      </c>
      <c r="C1112" s="52" t="s">
        <v>112</v>
      </c>
      <c r="D1112" s="54">
        <v>3</v>
      </c>
      <c r="E1112" s="55">
        <v>443573.5</v>
      </c>
      <c r="F1112" s="55">
        <v>7820.6</v>
      </c>
      <c r="G1112" s="55">
        <v>451394.1</v>
      </c>
      <c r="H1112" s="55">
        <v>3540052.6</v>
      </c>
      <c r="I1112" s="55">
        <v>95724.7</v>
      </c>
      <c r="J1112" s="55">
        <v>3635777.3</v>
      </c>
      <c r="K1112" s="55">
        <v>857475.2</v>
      </c>
      <c r="L1112" s="55">
        <v>40034.199999999997</v>
      </c>
      <c r="M1112" s="55">
        <v>278431.7</v>
      </c>
      <c r="N1112" s="55">
        <v>35058.199999999997</v>
      </c>
    </row>
    <row r="1113" spans="1:14" ht="10.050000000000001" hidden="1" customHeight="1">
      <c r="A1113" s="52" t="s">
        <v>315</v>
      </c>
      <c r="B1113" s="53">
        <v>2007</v>
      </c>
      <c r="C1113" s="52" t="s">
        <v>112</v>
      </c>
      <c r="D1113" s="54">
        <v>3</v>
      </c>
      <c r="E1113" s="55">
        <v>245.2</v>
      </c>
      <c r="F1113" s="55">
        <v>0</v>
      </c>
      <c r="G1113" s="55">
        <v>245.2</v>
      </c>
      <c r="H1113" s="55">
        <v>8653.4</v>
      </c>
      <c r="I1113" s="55">
        <v>39.5</v>
      </c>
      <c r="J1113" s="55">
        <v>8692.9</v>
      </c>
      <c r="K1113" s="55">
        <v>67.3</v>
      </c>
      <c r="L1113" s="55">
        <v>0</v>
      </c>
      <c r="M1113" s="55">
        <v>9.8000000000000007</v>
      </c>
      <c r="N1113" s="55">
        <v>0</v>
      </c>
    </row>
    <row r="1114" spans="1:14" ht="10.050000000000001" hidden="1" customHeight="1">
      <c r="A1114" s="52" t="s">
        <v>173</v>
      </c>
      <c r="B1114" s="53">
        <v>2007</v>
      </c>
      <c r="C1114" s="52" t="s">
        <v>112</v>
      </c>
      <c r="D1114" s="54">
        <v>3</v>
      </c>
      <c r="E1114" s="55">
        <v>282111.09999999998</v>
      </c>
      <c r="F1114" s="55">
        <v>2948.3</v>
      </c>
      <c r="G1114" s="55">
        <v>285059.40000000002</v>
      </c>
      <c r="H1114" s="55">
        <v>2262709.7000000002</v>
      </c>
      <c r="I1114" s="55">
        <v>29811.7</v>
      </c>
      <c r="J1114" s="55">
        <v>2292521.4</v>
      </c>
      <c r="K1114" s="55">
        <v>126648.4</v>
      </c>
      <c r="L1114" s="55">
        <v>11237.4</v>
      </c>
      <c r="M1114" s="55">
        <v>113717.6</v>
      </c>
      <c r="N1114" s="55">
        <v>8686.2999999999993</v>
      </c>
    </row>
    <row r="1115" spans="1:14" ht="10.050000000000001" customHeight="1">
      <c r="A1115" s="52" t="s">
        <v>309</v>
      </c>
      <c r="B1115" s="53">
        <v>2007</v>
      </c>
      <c r="C1115" s="52" t="s">
        <v>112</v>
      </c>
      <c r="D1115" s="54">
        <v>3</v>
      </c>
      <c r="E1115" s="55">
        <v>0</v>
      </c>
      <c r="F1115" s="55">
        <v>0</v>
      </c>
      <c r="G1115" s="55">
        <v>0</v>
      </c>
      <c r="H1115" s="55">
        <v>58789.4</v>
      </c>
      <c r="I1115" s="55">
        <v>0</v>
      </c>
      <c r="J1115" s="55">
        <v>58789.4</v>
      </c>
      <c r="K1115" s="55">
        <v>0</v>
      </c>
      <c r="L1115" s="55">
        <v>0</v>
      </c>
      <c r="M1115" s="55">
        <v>0</v>
      </c>
      <c r="N1115" s="55">
        <v>0</v>
      </c>
    </row>
    <row r="1116" spans="1:14" ht="10.050000000000001" hidden="1" customHeight="1">
      <c r="A1116" s="52" t="s">
        <v>316</v>
      </c>
      <c r="B1116" s="53">
        <v>2007</v>
      </c>
      <c r="C1116" s="52" t="s">
        <v>112</v>
      </c>
      <c r="D1116" s="54">
        <v>3</v>
      </c>
      <c r="E1116" s="55">
        <v>28.5</v>
      </c>
      <c r="F1116" s="55">
        <v>0</v>
      </c>
      <c r="G1116" s="55">
        <v>28.5</v>
      </c>
      <c r="H1116" s="55">
        <v>2076.8000000000002</v>
      </c>
      <c r="I1116" s="55">
        <v>7.7</v>
      </c>
      <c r="J1116" s="55">
        <v>2084.5</v>
      </c>
      <c r="K1116" s="55">
        <v>0</v>
      </c>
      <c r="L1116" s="55">
        <v>0</v>
      </c>
      <c r="M1116" s="55">
        <v>0</v>
      </c>
      <c r="N1116" s="55">
        <v>0</v>
      </c>
    </row>
    <row r="1117" spans="1:14" ht="10.050000000000001" hidden="1" customHeight="1">
      <c r="A1117" s="52" t="s">
        <v>310</v>
      </c>
      <c r="B1117" s="53">
        <v>2007</v>
      </c>
      <c r="C1117" s="52" t="s">
        <v>112</v>
      </c>
      <c r="D1117" s="54">
        <v>3</v>
      </c>
      <c r="E1117" s="55">
        <v>2989.7</v>
      </c>
      <c r="F1117" s="55">
        <v>0</v>
      </c>
      <c r="G1117" s="55">
        <v>2989.7</v>
      </c>
      <c r="H1117" s="55">
        <v>23347.8</v>
      </c>
      <c r="I1117" s="55">
        <v>508</v>
      </c>
      <c r="J1117" s="55">
        <v>23855.8</v>
      </c>
      <c r="K1117" s="55">
        <v>842.9</v>
      </c>
      <c r="L1117" s="55">
        <v>49.1</v>
      </c>
      <c r="M1117" s="55">
        <v>1936.7</v>
      </c>
      <c r="N1117" s="55">
        <v>32.700000000000003</v>
      </c>
    </row>
    <row r="1118" spans="1:14" ht="10.050000000000001" hidden="1" customHeight="1">
      <c r="A1118" s="52" t="s">
        <v>308</v>
      </c>
      <c r="B1118" s="53">
        <v>2007</v>
      </c>
      <c r="C1118" s="52" t="s">
        <v>112</v>
      </c>
      <c r="D1118" s="54">
        <v>3</v>
      </c>
      <c r="E1118" s="55">
        <v>4948.5</v>
      </c>
      <c r="F1118" s="55">
        <v>34.9</v>
      </c>
      <c r="G1118" s="55">
        <v>4983.3999999999996</v>
      </c>
      <c r="H1118" s="55">
        <v>66197.7</v>
      </c>
      <c r="I1118" s="55">
        <v>127.3</v>
      </c>
      <c r="J1118" s="55">
        <v>66325</v>
      </c>
      <c r="K1118" s="55">
        <v>4311.8999999999996</v>
      </c>
      <c r="L1118" s="55">
        <v>86.6</v>
      </c>
      <c r="M1118" s="55">
        <v>2895.4</v>
      </c>
      <c r="N1118" s="55">
        <v>433.5</v>
      </c>
    </row>
    <row r="1119" spans="1:14" ht="10.050000000000001" hidden="1" customHeight="1">
      <c r="A1119" s="52" t="s">
        <v>174</v>
      </c>
      <c r="B1119" s="53">
        <v>2007</v>
      </c>
      <c r="C1119" s="52" t="s">
        <v>112</v>
      </c>
      <c r="D1119" s="54">
        <v>3</v>
      </c>
      <c r="E1119" s="55">
        <v>7435.1</v>
      </c>
      <c r="F1119" s="55">
        <v>33.200000000000003</v>
      </c>
      <c r="G1119" s="55">
        <v>7468.3</v>
      </c>
      <c r="H1119" s="55">
        <v>77313.399999999994</v>
      </c>
      <c r="I1119" s="55">
        <v>7218.7</v>
      </c>
      <c r="J1119" s="55">
        <v>84532.1</v>
      </c>
      <c r="K1119" s="55">
        <v>24234.799999999999</v>
      </c>
      <c r="L1119" s="55">
        <v>413.9</v>
      </c>
      <c r="M1119" s="55">
        <v>2561.6999999999998</v>
      </c>
      <c r="N1119" s="55">
        <v>4090.7</v>
      </c>
    </row>
    <row r="1120" spans="1:14" ht="10.050000000000001" hidden="1" customHeight="1">
      <c r="A1120" s="52" t="s">
        <v>314</v>
      </c>
      <c r="B1120" s="53">
        <v>2007</v>
      </c>
      <c r="C1120" s="52" t="s">
        <v>112</v>
      </c>
      <c r="D1120" s="54">
        <v>4</v>
      </c>
      <c r="E1120" s="55">
        <v>0</v>
      </c>
      <c r="F1120" s="55">
        <v>0</v>
      </c>
      <c r="G1120" s="55">
        <v>0</v>
      </c>
      <c r="H1120" s="55">
        <v>1.3</v>
      </c>
      <c r="I1120" s="55">
        <v>0</v>
      </c>
      <c r="J1120" s="55">
        <v>1.3</v>
      </c>
      <c r="K1120" s="55">
        <v>0</v>
      </c>
      <c r="L1120" s="55">
        <v>0</v>
      </c>
      <c r="M1120" s="55">
        <v>0</v>
      </c>
      <c r="N1120" s="55">
        <v>0</v>
      </c>
    </row>
    <row r="1121" spans="1:14" ht="10.050000000000001" hidden="1" customHeight="1">
      <c r="A1121" s="52" t="s">
        <v>306</v>
      </c>
      <c r="B1121" s="53">
        <v>2007</v>
      </c>
      <c r="C1121" s="52" t="s">
        <v>112</v>
      </c>
      <c r="D1121" s="54">
        <v>4</v>
      </c>
      <c r="E1121" s="55">
        <v>3964.8</v>
      </c>
      <c r="F1121" s="55">
        <v>12.3</v>
      </c>
      <c r="G1121" s="55">
        <v>3977.1</v>
      </c>
      <c r="H1121" s="55">
        <v>44809.1</v>
      </c>
      <c r="I1121" s="55">
        <v>2473.9</v>
      </c>
      <c r="J1121" s="55">
        <v>47283</v>
      </c>
      <c r="K1121" s="55">
        <v>2969.3</v>
      </c>
      <c r="L1121" s="55">
        <v>504.5</v>
      </c>
      <c r="M1121" s="55">
        <v>1027.7</v>
      </c>
      <c r="N1121" s="55">
        <v>248.8</v>
      </c>
    </row>
    <row r="1122" spans="1:14" ht="10.050000000000001" hidden="1" customHeight="1">
      <c r="A1122" s="52" t="s">
        <v>172</v>
      </c>
      <c r="B1122" s="53">
        <v>2007</v>
      </c>
      <c r="C1122" s="52" t="s">
        <v>112</v>
      </c>
      <c r="D1122" s="54">
        <v>4</v>
      </c>
      <c r="E1122" s="55">
        <v>58631.4</v>
      </c>
      <c r="F1122" s="55">
        <v>258.8</v>
      </c>
      <c r="G1122" s="55">
        <v>58890.2</v>
      </c>
      <c r="H1122" s="55">
        <v>289440</v>
      </c>
      <c r="I1122" s="55">
        <v>14075.9</v>
      </c>
      <c r="J1122" s="55">
        <v>303515.90000000002</v>
      </c>
      <c r="K1122" s="55">
        <v>12221.9</v>
      </c>
      <c r="L1122" s="55">
        <v>3152.4</v>
      </c>
      <c r="M1122" s="55">
        <v>12960.2</v>
      </c>
      <c r="N1122" s="55">
        <v>60</v>
      </c>
    </row>
    <row r="1123" spans="1:14" ht="10.050000000000001" hidden="1" customHeight="1">
      <c r="A1123" s="52" t="s">
        <v>171</v>
      </c>
      <c r="B1123" s="53">
        <v>2007</v>
      </c>
      <c r="C1123" s="52" t="s">
        <v>112</v>
      </c>
      <c r="D1123" s="54">
        <v>4</v>
      </c>
      <c r="E1123" s="55">
        <v>1016155.3</v>
      </c>
      <c r="F1123" s="55">
        <v>1692.3</v>
      </c>
      <c r="G1123" s="55">
        <v>1017847.6</v>
      </c>
      <c r="H1123" s="55">
        <v>4800055.5999999996</v>
      </c>
      <c r="I1123" s="55">
        <v>53937.2</v>
      </c>
      <c r="J1123" s="55">
        <v>4853992.8</v>
      </c>
      <c r="K1123" s="55">
        <v>593574.19999999995</v>
      </c>
      <c r="L1123" s="55">
        <v>124919.4</v>
      </c>
      <c r="M1123" s="55">
        <v>403676.8</v>
      </c>
      <c r="N1123" s="55">
        <v>20174.7</v>
      </c>
    </row>
    <row r="1124" spans="1:14" ht="10.050000000000001" hidden="1" customHeight="1">
      <c r="A1124" s="52" t="s">
        <v>300</v>
      </c>
      <c r="B1124" s="53">
        <v>2007</v>
      </c>
      <c r="C1124" s="52" t="s">
        <v>112</v>
      </c>
      <c r="D1124" s="54">
        <v>4</v>
      </c>
      <c r="E1124" s="55">
        <v>115.4</v>
      </c>
      <c r="F1124" s="55">
        <v>0</v>
      </c>
      <c r="G1124" s="55">
        <v>115.4</v>
      </c>
      <c r="H1124" s="55">
        <v>961.8</v>
      </c>
      <c r="I1124" s="55">
        <v>103.1</v>
      </c>
      <c r="J1124" s="55">
        <v>1064.9000000000001</v>
      </c>
      <c r="K1124" s="55">
        <v>10.1</v>
      </c>
      <c r="L1124" s="55">
        <v>3.4</v>
      </c>
      <c r="M1124" s="55">
        <v>31.4</v>
      </c>
      <c r="N1124" s="55">
        <v>49.3</v>
      </c>
    </row>
    <row r="1125" spans="1:14" ht="10.050000000000001" hidden="1" customHeight="1">
      <c r="A1125" s="52" t="s">
        <v>307</v>
      </c>
      <c r="B1125" s="53">
        <v>2007</v>
      </c>
      <c r="C1125" s="52" t="s">
        <v>112</v>
      </c>
      <c r="D1125" s="54">
        <v>4</v>
      </c>
      <c r="E1125" s="55">
        <v>298171.7</v>
      </c>
      <c r="F1125" s="55">
        <v>0</v>
      </c>
      <c r="G1125" s="55">
        <v>298171.7</v>
      </c>
      <c r="H1125" s="55">
        <v>2896172.1</v>
      </c>
      <c r="I1125" s="55">
        <v>95184</v>
      </c>
      <c r="J1125" s="55">
        <v>2991356.1</v>
      </c>
      <c r="K1125" s="55">
        <v>697196.9</v>
      </c>
      <c r="L1125" s="55">
        <v>37754.6</v>
      </c>
      <c r="M1125" s="55">
        <v>169293.9</v>
      </c>
      <c r="N1125" s="55">
        <v>28507.200000000001</v>
      </c>
    </row>
    <row r="1126" spans="1:14" ht="10.050000000000001" hidden="1" customHeight="1">
      <c r="A1126" s="52" t="s">
        <v>315</v>
      </c>
      <c r="B1126" s="53">
        <v>2007</v>
      </c>
      <c r="C1126" s="52" t="s">
        <v>112</v>
      </c>
      <c r="D1126" s="54">
        <v>4</v>
      </c>
      <c r="E1126" s="55">
        <v>132.6</v>
      </c>
      <c r="F1126" s="55">
        <v>0</v>
      </c>
      <c r="G1126" s="55">
        <v>132.6</v>
      </c>
      <c r="H1126" s="55">
        <v>6525.6</v>
      </c>
      <c r="I1126" s="55">
        <v>0</v>
      </c>
      <c r="J1126" s="55">
        <v>6525.6</v>
      </c>
      <c r="K1126" s="55">
        <v>8.3000000000000007</v>
      </c>
      <c r="L1126" s="55">
        <v>0</v>
      </c>
      <c r="M1126" s="55">
        <v>59</v>
      </c>
      <c r="N1126" s="55">
        <v>0</v>
      </c>
    </row>
    <row r="1127" spans="1:14" ht="10.050000000000001" hidden="1" customHeight="1">
      <c r="A1127" s="52" t="s">
        <v>173</v>
      </c>
      <c r="B1127" s="53">
        <v>2007</v>
      </c>
      <c r="C1127" s="52" t="s">
        <v>112</v>
      </c>
      <c r="D1127" s="54">
        <v>4</v>
      </c>
      <c r="E1127" s="55">
        <v>147401.1</v>
      </c>
      <c r="F1127" s="55">
        <v>835.2</v>
      </c>
      <c r="G1127" s="55">
        <v>148236.29999999999</v>
      </c>
      <c r="H1127" s="55">
        <v>1710673.1</v>
      </c>
      <c r="I1127" s="55">
        <v>26194.2</v>
      </c>
      <c r="J1127" s="55">
        <v>1736867.3</v>
      </c>
      <c r="K1127" s="55">
        <v>83309.7</v>
      </c>
      <c r="L1127" s="55">
        <v>5641.6</v>
      </c>
      <c r="M1127" s="55">
        <v>42300.800000000003</v>
      </c>
      <c r="N1127" s="55">
        <v>6666.7</v>
      </c>
    </row>
    <row r="1128" spans="1:14" ht="10.050000000000001" customHeight="1">
      <c r="A1128" s="52" t="s">
        <v>309</v>
      </c>
      <c r="B1128" s="53">
        <v>2007</v>
      </c>
      <c r="C1128" s="52" t="s">
        <v>112</v>
      </c>
      <c r="D1128" s="54">
        <v>4</v>
      </c>
      <c r="E1128" s="55">
        <v>0</v>
      </c>
      <c r="F1128" s="55">
        <v>0</v>
      </c>
      <c r="G1128" s="55">
        <v>0</v>
      </c>
      <c r="H1128" s="55">
        <v>51004.3</v>
      </c>
      <c r="I1128" s="55">
        <v>0</v>
      </c>
      <c r="J1128" s="55">
        <v>51004.3</v>
      </c>
      <c r="K1128" s="55">
        <v>0</v>
      </c>
      <c r="L1128" s="55">
        <v>0</v>
      </c>
      <c r="M1128" s="55">
        <v>0</v>
      </c>
      <c r="N1128" s="55">
        <v>0</v>
      </c>
    </row>
    <row r="1129" spans="1:14" ht="10.050000000000001" hidden="1" customHeight="1">
      <c r="A1129" s="52" t="s">
        <v>316</v>
      </c>
      <c r="B1129" s="53">
        <v>2007</v>
      </c>
      <c r="C1129" s="52" t="s">
        <v>112</v>
      </c>
      <c r="D1129" s="54">
        <v>4</v>
      </c>
      <c r="E1129" s="55">
        <v>7.6</v>
      </c>
      <c r="F1129" s="55">
        <v>0</v>
      </c>
      <c r="G1129" s="55">
        <v>7.6</v>
      </c>
      <c r="H1129" s="55">
        <v>1718.4</v>
      </c>
      <c r="I1129" s="55">
        <v>5.7</v>
      </c>
      <c r="J1129" s="55">
        <v>1724.1</v>
      </c>
      <c r="K1129" s="55">
        <v>0</v>
      </c>
      <c r="L1129" s="55">
        <v>0</v>
      </c>
      <c r="M1129" s="55">
        <v>0</v>
      </c>
      <c r="N1129" s="55">
        <v>0</v>
      </c>
    </row>
    <row r="1130" spans="1:14" ht="10.050000000000001" hidden="1" customHeight="1">
      <c r="A1130" s="52" t="s">
        <v>310</v>
      </c>
      <c r="B1130" s="53">
        <v>2007</v>
      </c>
      <c r="C1130" s="52" t="s">
        <v>112</v>
      </c>
      <c r="D1130" s="54">
        <v>4</v>
      </c>
      <c r="E1130" s="55">
        <v>1072.5999999999999</v>
      </c>
      <c r="F1130" s="55">
        <v>0</v>
      </c>
      <c r="G1130" s="55">
        <v>1072.5999999999999</v>
      </c>
      <c r="H1130" s="55">
        <v>20166.900000000001</v>
      </c>
      <c r="I1130" s="55">
        <v>471.4</v>
      </c>
      <c r="J1130" s="55">
        <v>20638.3</v>
      </c>
      <c r="K1130" s="55">
        <v>709.3</v>
      </c>
      <c r="L1130" s="55">
        <v>23.8</v>
      </c>
      <c r="M1130" s="55">
        <v>36</v>
      </c>
      <c r="N1130" s="55">
        <v>121.4</v>
      </c>
    </row>
    <row r="1131" spans="1:14" ht="10.050000000000001" hidden="1" customHeight="1">
      <c r="A1131" s="52" t="s">
        <v>308</v>
      </c>
      <c r="B1131" s="53">
        <v>2007</v>
      </c>
      <c r="C1131" s="52" t="s">
        <v>112</v>
      </c>
      <c r="D1131" s="54">
        <v>4</v>
      </c>
      <c r="E1131" s="55">
        <v>2339.3000000000002</v>
      </c>
      <c r="F1131" s="55">
        <v>0</v>
      </c>
      <c r="G1131" s="55">
        <v>2339.3000000000002</v>
      </c>
      <c r="H1131" s="55">
        <v>43739.8</v>
      </c>
      <c r="I1131" s="55">
        <v>127.3</v>
      </c>
      <c r="J1131" s="55">
        <v>43867.1</v>
      </c>
      <c r="K1131" s="55">
        <v>2997.6</v>
      </c>
      <c r="L1131" s="55">
        <v>47</v>
      </c>
      <c r="M1131" s="55">
        <v>1229.3</v>
      </c>
      <c r="N1131" s="55">
        <v>2.4</v>
      </c>
    </row>
    <row r="1132" spans="1:14" ht="10.050000000000001" hidden="1" customHeight="1">
      <c r="A1132" s="52" t="s">
        <v>174</v>
      </c>
      <c r="B1132" s="53">
        <v>2007</v>
      </c>
      <c r="C1132" s="52" t="s">
        <v>112</v>
      </c>
      <c r="D1132" s="54">
        <v>4</v>
      </c>
      <c r="E1132" s="55">
        <v>7624.4</v>
      </c>
      <c r="F1132" s="55">
        <v>0</v>
      </c>
      <c r="G1132" s="55">
        <v>7624.4</v>
      </c>
      <c r="H1132" s="55">
        <v>57146.5</v>
      </c>
      <c r="I1132" s="55">
        <v>6588</v>
      </c>
      <c r="J1132" s="55">
        <v>63734.5</v>
      </c>
      <c r="K1132" s="55">
        <v>19262</v>
      </c>
      <c r="L1132" s="55">
        <v>502.3</v>
      </c>
      <c r="M1132" s="55">
        <v>2726.3</v>
      </c>
      <c r="N1132" s="55">
        <v>2748.8</v>
      </c>
    </row>
    <row r="1133" spans="1:14" ht="10.050000000000001" hidden="1" customHeight="1">
      <c r="A1133" s="52" t="s">
        <v>314</v>
      </c>
      <c r="B1133" s="53">
        <v>2007</v>
      </c>
      <c r="C1133" s="52" t="s">
        <v>112</v>
      </c>
      <c r="D1133" s="54">
        <v>5</v>
      </c>
      <c r="E1133" s="55">
        <v>0</v>
      </c>
      <c r="F1133" s="55">
        <v>0</v>
      </c>
      <c r="G1133" s="55">
        <v>0</v>
      </c>
      <c r="H1133" s="55">
        <v>1.3</v>
      </c>
      <c r="I1133" s="55">
        <v>0</v>
      </c>
      <c r="J1133" s="55">
        <v>1.3</v>
      </c>
      <c r="K1133" s="55">
        <v>0</v>
      </c>
      <c r="L1133" s="55">
        <v>0</v>
      </c>
      <c r="M1133" s="55">
        <v>0</v>
      </c>
      <c r="N1133" s="55">
        <v>0</v>
      </c>
    </row>
    <row r="1134" spans="1:14" ht="10.050000000000001" hidden="1" customHeight="1">
      <c r="A1134" s="52" t="s">
        <v>306</v>
      </c>
      <c r="B1134" s="53">
        <v>2007</v>
      </c>
      <c r="C1134" s="52" t="s">
        <v>112</v>
      </c>
      <c r="D1134" s="54">
        <v>5</v>
      </c>
      <c r="E1134" s="55">
        <v>4759.8</v>
      </c>
      <c r="F1134" s="55">
        <v>226.5</v>
      </c>
      <c r="G1134" s="55">
        <v>4986.3</v>
      </c>
      <c r="H1134" s="55">
        <v>35641.1</v>
      </c>
      <c r="I1134" s="55">
        <v>2055.6</v>
      </c>
      <c r="J1134" s="55">
        <v>37696.699999999997</v>
      </c>
      <c r="K1134" s="55">
        <v>2097.1999999999998</v>
      </c>
      <c r="L1134" s="55">
        <v>537</v>
      </c>
      <c r="M1134" s="55">
        <v>1080.5</v>
      </c>
      <c r="N1134" s="55">
        <v>328.6</v>
      </c>
    </row>
    <row r="1135" spans="1:14" ht="10.050000000000001" hidden="1" customHeight="1">
      <c r="A1135" s="52" t="s">
        <v>172</v>
      </c>
      <c r="B1135" s="53">
        <v>2007</v>
      </c>
      <c r="C1135" s="52" t="s">
        <v>112</v>
      </c>
      <c r="D1135" s="54">
        <v>5</v>
      </c>
      <c r="E1135" s="55">
        <v>40177.5</v>
      </c>
      <c r="F1135" s="55">
        <v>48.5</v>
      </c>
      <c r="G1135" s="55">
        <v>40226</v>
      </c>
      <c r="H1135" s="55">
        <v>189715.7</v>
      </c>
      <c r="I1135" s="55">
        <v>12207.7</v>
      </c>
      <c r="J1135" s="55">
        <v>201923.4</v>
      </c>
      <c r="K1135" s="55">
        <v>4095.8</v>
      </c>
      <c r="L1135" s="55">
        <v>1644.1</v>
      </c>
      <c r="M1135" s="55">
        <v>9742.6</v>
      </c>
      <c r="N1135" s="55">
        <v>27.6</v>
      </c>
    </row>
    <row r="1136" spans="1:14" ht="10.050000000000001" hidden="1" customHeight="1">
      <c r="A1136" s="52" t="s">
        <v>171</v>
      </c>
      <c r="B1136" s="53">
        <v>2007</v>
      </c>
      <c r="C1136" s="52" t="s">
        <v>112</v>
      </c>
      <c r="D1136" s="54">
        <v>5</v>
      </c>
      <c r="E1136" s="55">
        <v>1061999.1000000001</v>
      </c>
      <c r="F1136" s="55">
        <v>10312.9</v>
      </c>
      <c r="G1136" s="55">
        <v>1072312</v>
      </c>
      <c r="H1136" s="55">
        <v>3495330.9</v>
      </c>
      <c r="I1136" s="55">
        <v>48132.7</v>
      </c>
      <c r="J1136" s="55">
        <v>3543463.6</v>
      </c>
      <c r="K1136" s="55">
        <v>247720.9</v>
      </c>
      <c r="L1136" s="55">
        <v>95335</v>
      </c>
      <c r="M1136" s="55">
        <v>418905</v>
      </c>
      <c r="N1136" s="55">
        <v>25962.2</v>
      </c>
    </row>
    <row r="1137" spans="1:14" ht="10.050000000000001" hidden="1" customHeight="1">
      <c r="A1137" s="52" t="s">
        <v>300</v>
      </c>
      <c r="B1137" s="53">
        <v>2007</v>
      </c>
      <c r="C1137" s="52" t="s">
        <v>112</v>
      </c>
      <c r="D1137" s="54">
        <v>5</v>
      </c>
      <c r="E1137" s="55">
        <v>110.3</v>
      </c>
      <c r="F1137" s="55">
        <v>0</v>
      </c>
      <c r="G1137" s="55">
        <v>110.3</v>
      </c>
      <c r="H1137" s="55">
        <v>700.5</v>
      </c>
      <c r="I1137" s="55">
        <v>3.5</v>
      </c>
      <c r="J1137" s="55">
        <v>704</v>
      </c>
      <c r="K1137" s="55">
        <v>9.6</v>
      </c>
      <c r="L1137" s="55">
        <v>0</v>
      </c>
      <c r="M1137" s="55">
        <v>0</v>
      </c>
      <c r="N1137" s="55">
        <v>0.5</v>
      </c>
    </row>
    <row r="1138" spans="1:14" ht="10.050000000000001" hidden="1" customHeight="1">
      <c r="A1138" s="52" t="s">
        <v>307</v>
      </c>
      <c r="B1138" s="53">
        <v>2007</v>
      </c>
      <c r="C1138" s="52" t="s">
        <v>112</v>
      </c>
      <c r="D1138" s="54">
        <v>5</v>
      </c>
      <c r="E1138" s="55">
        <v>346052.3</v>
      </c>
      <c r="F1138" s="55">
        <v>728.1</v>
      </c>
      <c r="G1138" s="55">
        <v>346780.4</v>
      </c>
      <c r="H1138" s="55">
        <v>2295351.7000000002</v>
      </c>
      <c r="I1138" s="55">
        <v>94055.2</v>
      </c>
      <c r="J1138" s="55">
        <v>2389406.9</v>
      </c>
      <c r="K1138" s="55">
        <v>515943.5</v>
      </c>
      <c r="L1138" s="55">
        <v>38871.4</v>
      </c>
      <c r="M1138" s="55">
        <v>188299</v>
      </c>
      <c r="N1138" s="55">
        <v>31825.8</v>
      </c>
    </row>
    <row r="1139" spans="1:14" ht="10.050000000000001" hidden="1" customHeight="1">
      <c r="A1139" s="52" t="s">
        <v>315</v>
      </c>
      <c r="B1139" s="53">
        <v>2007</v>
      </c>
      <c r="C1139" s="52" t="s">
        <v>112</v>
      </c>
      <c r="D1139" s="54">
        <v>5</v>
      </c>
      <c r="E1139" s="55">
        <v>54.4</v>
      </c>
      <c r="F1139" s="55">
        <v>0</v>
      </c>
      <c r="G1139" s="55">
        <v>54.4</v>
      </c>
      <c r="H1139" s="55">
        <v>4944.8</v>
      </c>
      <c r="I1139" s="55">
        <v>0</v>
      </c>
      <c r="J1139" s="55">
        <v>4944.8</v>
      </c>
      <c r="K1139" s="55">
        <v>2</v>
      </c>
      <c r="L1139" s="55">
        <v>0</v>
      </c>
      <c r="M1139" s="55">
        <v>6.3</v>
      </c>
      <c r="N1139" s="55">
        <v>0</v>
      </c>
    </row>
    <row r="1140" spans="1:14" ht="10.050000000000001" hidden="1" customHeight="1">
      <c r="A1140" s="52" t="s">
        <v>173</v>
      </c>
      <c r="B1140" s="53">
        <v>2007</v>
      </c>
      <c r="C1140" s="52" t="s">
        <v>112</v>
      </c>
      <c r="D1140" s="54">
        <v>5</v>
      </c>
      <c r="E1140" s="55">
        <v>108216.7</v>
      </c>
      <c r="F1140" s="55">
        <v>4672.5</v>
      </c>
      <c r="G1140" s="55">
        <v>112889.2</v>
      </c>
      <c r="H1140" s="55">
        <v>1162478.6000000001</v>
      </c>
      <c r="I1140" s="55">
        <v>22476.6</v>
      </c>
      <c r="J1140" s="55">
        <v>1184955.2</v>
      </c>
      <c r="K1140" s="55">
        <v>44806</v>
      </c>
      <c r="L1140" s="55">
        <v>4613.3</v>
      </c>
      <c r="M1140" s="55">
        <v>34636.400000000001</v>
      </c>
      <c r="N1140" s="55">
        <v>9397.2000000000007</v>
      </c>
    </row>
    <row r="1141" spans="1:14" ht="10.050000000000001" customHeight="1">
      <c r="A1141" s="52" t="s">
        <v>309</v>
      </c>
      <c r="B1141" s="53">
        <v>2007</v>
      </c>
      <c r="C1141" s="52" t="s">
        <v>112</v>
      </c>
      <c r="D1141" s="54">
        <v>5</v>
      </c>
      <c r="E1141" s="55">
        <v>0</v>
      </c>
      <c r="F1141" s="55">
        <v>0</v>
      </c>
      <c r="G1141" s="55">
        <v>0</v>
      </c>
      <c r="H1141" s="55">
        <v>44329.3</v>
      </c>
      <c r="I1141" s="55">
        <v>0</v>
      </c>
      <c r="J1141" s="55">
        <v>44329.3</v>
      </c>
      <c r="K1141" s="55">
        <v>0</v>
      </c>
      <c r="L1141" s="55">
        <v>0</v>
      </c>
      <c r="M1141" s="55">
        <v>0</v>
      </c>
      <c r="N1141" s="55">
        <v>0</v>
      </c>
    </row>
    <row r="1142" spans="1:14" ht="10.050000000000001" hidden="1" customHeight="1">
      <c r="A1142" s="52" t="s">
        <v>316</v>
      </c>
      <c r="B1142" s="53">
        <v>2007</v>
      </c>
      <c r="C1142" s="52" t="s">
        <v>112</v>
      </c>
      <c r="D1142" s="54">
        <v>5</v>
      </c>
      <c r="E1142" s="55">
        <v>19.100000000000001</v>
      </c>
      <c r="F1142" s="55">
        <v>0</v>
      </c>
      <c r="G1142" s="55">
        <v>19.100000000000001</v>
      </c>
      <c r="H1142" s="55">
        <v>1445.9</v>
      </c>
      <c r="I1142" s="55">
        <v>4.4000000000000004</v>
      </c>
      <c r="J1142" s="55">
        <v>1450.3</v>
      </c>
      <c r="K1142" s="55">
        <v>1.1000000000000001</v>
      </c>
      <c r="L1142" s="55">
        <v>1.1000000000000001</v>
      </c>
      <c r="M1142" s="55">
        <v>0</v>
      </c>
      <c r="N1142" s="55">
        <v>0</v>
      </c>
    </row>
    <row r="1143" spans="1:14" ht="10.050000000000001" hidden="1" customHeight="1">
      <c r="A1143" s="52" t="s">
        <v>310</v>
      </c>
      <c r="B1143" s="53">
        <v>2007</v>
      </c>
      <c r="C1143" s="52" t="s">
        <v>112</v>
      </c>
      <c r="D1143" s="54">
        <v>5</v>
      </c>
      <c r="E1143" s="55">
        <v>1453.3</v>
      </c>
      <c r="F1143" s="55">
        <v>0</v>
      </c>
      <c r="G1143" s="55">
        <v>1453.3</v>
      </c>
      <c r="H1143" s="55">
        <v>17303.400000000001</v>
      </c>
      <c r="I1143" s="55">
        <v>397.7</v>
      </c>
      <c r="J1143" s="55">
        <v>17701.099999999999</v>
      </c>
      <c r="K1143" s="55">
        <v>547.9</v>
      </c>
      <c r="L1143" s="55">
        <v>11.3</v>
      </c>
      <c r="M1143" s="55">
        <v>119.4</v>
      </c>
      <c r="N1143" s="55">
        <v>53.3</v>
      </c>
    </row>
    <row r="1144" spans="1:14" ht="10.050000000000001" hidden="1" customHeight="1">
      <c r="A1144" s="52" t="s">
        <v>308</v>
      </c>
      <c r="B1144" s="53">
        <v>2007</v>
      </c>
      <c r="C1144" s="52" t="s">
        <v>112</v>
      </c>
      <c r="D1144" s="54">
        <v>5</v>
      </c>
      <c r="E1144" s="55">
        <v>2618.4</v>
      </c>
      <c r="F1144" s="55">
        <v>0</v>
      </c>
      <c r="G1144" s="55">
        <v>2618.4</v>
      </c>
      <c r="H1144" s="55">
        <v>28546.3</v>
      </c>
      <c r="I1144" s="55">
        <v>127.3</v>
      </c>
      <c r="J1144" s="55">
        <v>28673.599999999999</v>
      </c>
      <c r="K1144" s="55">
        <v>1159.5</v>
      </c>
      <c r="L1144" s="55">
        <v>17.5</v>
      </c>
      <c r="M1144" s="55">
        <v>1673.2</v>
      </c>
      <c r="N1144" s="55">
        <v>182.4</v>
      </c>
    </row>
    <row r="1145" spans="1:14" ht="10.050000000000001" hidden="1" customHeight="1">
      <c r="A1145" s="52" t="s">
        <v>174</v>
      </c>
      <c r="B1145" s="53">
        <v>2007</v>
      </c>
      <c r="C1145" s="52" t="s">
        <v>112</v>
      </c>
      <c r="D1145" s="54">
        <v>5</v>
      </c>
      <c r="E1145" s="55">
        <v>8180.9</v>
      </c>
      <c r="F1145" s="55">
        <v>1170.0999999999999</v>
      </c>
      <c r="G1145" s="55">
        <v>9351</v>
      </c>
      <c r="H1145" s="55">
        <v>35605.300000000003</v>
      </c>
      <c r="I1145" s="55">
        <v>6260.2</v>
      </c>
      <c r="J1145" s="55">
        <v>41865.5</v>
      </c>
      <c r="K1145" s="55">
        <v>13774.6</v>
      </c>
      <c r="L1145" s="55">
        <v>640.5</v>
      </c>
      <c r="M1145" s="55">
        <v>2276.3000000000002</v>
      </c>
      <c r="N1145" s="55">
        <v>3851.6</v>
      </c>
    </row>
    <row r="1146" spans="1:14" ht="10.050000000000001" hidden="1" customHeight="1">
      <c r="A1146" s="52" t="s">
        <v>314</v>
      </c>
      <c r="B1146" s="53">
        <v>2007</v>
      </c>
      <c r="C1146" s="52" t="s">
        <v>112</v>
      </c>
      <c r="D1146" s="54">
        <v>6</v>
      </c>
      <c r="E1146" s="55">
        <v>152.30000000000001</v>
      </c>
      <c r="F1146" s="55">
        <v>0</v>
      </c>
      <c r="G1146" s="55">
        <v>152.30000000000001</v>
      </c>
      <c r="H1146" s="55">
        <v>1.1000000000000001</v>
      </c>
      <c r="I1146" s="55">
        <v>0</v>
      </c>
      <c r="J1146" s="55">
        <v>1.1000000000000001</v>
      </c>
      <c r="K1146" s="55">
        <v>0</v>
      </c>
      <c r="L1146" s="55">
        <v>0</v>
      </c>
      <c r="M1146" s="55">
        <v>0</v>
      </c>
      <c r="N1146" s="55">
        <v>0</v>
      </c>
    </row>
    <row r="1147" spans="1:14" ht="10.050000000000001" hidden="1" customHeight="1">
      <c r="A1147" s="52" t="s">
        <v>306</v>
      </c>
      <c r="B1147" s="53">
        <v>2007</v>
      </c>
      <c r="C1147" s="52" t="s">
        <v>112</v>
      </c>
      <c r="D1147" s="54">
        <v>6</v>
      </c>
      <c r="E1147" s="55">
        <v>4829.1000000000004</v>
      </c>
      <c r="F1147" s="55">
        <v>0</v>
      </c>
      <c r="G1147" s="55">
        <v>4829.1000000000004</v>
      </c>
      <c r="H1147" s="55">
        <v>24128</v>
      </c>
      <c r="I1147" s="55">
        <v>1461.3</v>
      </c>
      <c r="J1147" s="55">
        <v>25589.3</v>
      </c>
      <c r="K1147" s="55">
        <v>948.1</v>
      </c>
      <c r="L1147" s="55">
        <v>74.8</v>
      </c>
      <c r="M1147" s="55">
        <v>853.8</v>
      </c>
      <c r="N1147" s="55">
        <v>377.5</v>
      </c>
    </row>
    <row r="1148" spans="1:14" ht="10.050000000000001" hidden="1" customHeight="1">
      <c r="A1148" s="52" t="s">
        <v>172</v>
      </c>
      <c r="B1148" s="53">
        <v>2007</v>
      </c>
      <c r="C1148" s="52" t="s">
        <v>112</v>
      </c>
      <c r="D1148" s="54">
        <v>6</v>
      </c>
      <c r="E1148" s="55">
        <v>23958.1</v>
      </c>
      <c r="F1148" s="55">
        <v>2.7</v>
      </c>
      <c r="G1148" s="55">
        <v>23960.799999999999</v>
      </c>
      <c r="H1148" s="55">
        <v>70495.399999999994</v>
      </c>
      <c r="I1148" s="55">
        <v>7511</v>
      </c>
      <c r="J1148" s="55">
        <v>78006.399999999994</v>
      </c>
      <c r="K1148" s="55">
        <v>1021.5</v>
      </c>
      <c r="L1148" s="55">
        <v>371</v>
      </c>
      <c r="M1148" s="55">
        <v>3286</v>
      </c>
      <c r="N1148" s="55">
        <v>159.30000000000001</v>
      </c>
    </row>
    <row r="1149" spans="1:14" ht="10.050000000000001" hidden="1" customHeight="1">
      <c r="A1149" s="52" t="s">
        <v>171</v>
      </c>
      <c r="B1149" s="53">
        <v>2007</v>
      </c>
      <c r="C1149" s="52" t="s">
        <v>112</v>
      </c>
      <c r="D1149" s="54">
        <v>6</v>
      </c>
      <c r="E1149" s="55">
        <v>621423.30000000005</v>
      </c>
      <c r="F1149" s="55">
        <v>1660.5</v>
      </c>
      <c r="G1149" s="55">
        <v>623083.80000000005</v>
      </c>
      <c r="H1149" s="55">
        <v>1562152.8</v>
      </c>
      <c r="I1149" s="55">
        <v>34182.400000000001</v>
      </c>
      <c r="J1149" s="55">
        <v>1596335.2</v>
      </c>
      <c r="K1149" s="55">
        <v>31628</v>
      </c>
      <c r="L1149" s="55">
        <v>37770.1</v>
      </c>
      <c r="M1149" s="55">
        <v>227848.1</v>
      </c>
      <c r="N1149" s="55">
        <v>28095.7</v>
      </c>
    </row>
    <row r="1150" spans="1:14" ht="10.050000000000001" hidden="1" customHeight="1">
      <c r="A1150" s="52" t="s">
        <v>300</v>
      </c>
      <c r="B1150" s="53">
        <v>2007</v>
      </c>
      <c r="C1150" s="52" t="s">
        <v>112</v>
      </c>
      <c r="D1150" s="54">
        <v>6</v>
      </c>
      <c r="E1150" s="55">
        <v>202.1</v>
      </c>
      <c r="F1150" s="55">
        <v>0</v>
      </c>
      <c r="G1150" s="55">
        <v>202.1</v>
      </c>
      <c r="H1150" s="55">
        <v>436.7</v>
      </c>
      <c r="I1150" s="55">
        <v>3.5</v>
      </c>
      <c r="J1150" s="55">
        <v>440.2</v>
      </c>
      <c r="K1150" s="55">
        <v>3.6</v>
      </c>
      <c r="L1150" s="55">
        <v>0</v>
      </c>
      <c r="M1150" s="55">
        <v>4.2</v>
      </c>
      <c r="N1150" s="55">
        <v>1.8</v>
      </c>
    </row>
    <row r="1151" spans="1:14" ht="10.050000000000001" hidden="1" customHeight="1">
      <c r="A1151" s="52" t="s">
        <v>307</v>
      </c>
      <c r="B1151" s="53">
        <v>2007</v>
      </c>
      <c r="C1151" s="52" t="s">
        <v>112</v>
      </c>
      <c r="D1151" s="54">
        <v>6</v>
      </c>
      <c r="E1151" s="55">
        <v>505745.9</v>
      </c>
      <c r="F1151" s="55">
        <v>53.4</v>
      </c>
      <c r="G1151" s="55">
        <v>505799.3</v>
      </c>
      <c r="H1151" s="55">
        <v>1699895.5</v>
      </c>
      <c r="I1151" s="55">
        <v>34082.9</v>
      </c>
      <c r="J1151" s="55">
        <v>1733978.4</v>
      </c>
      <c r="K1151" s="55">
        <v>211472.4</v>
      </c>
      <c r="L1151" s="55">
        <v>18789.900000000001</v>
      </c>
      <c r="M1151" s="55">
        <v>290859.2</v>
      </c>
      <c r="N1151" s="55">
        <v>32637.9</v>
      </c>
    </row>
    <row r="1152" spans="1:14" ht="10.050000000000001" hidden="1" customHeight="1">
      <c r="A1152" s="52" t="s">
        <v>315</v>
      </c>
      <c r="B1152" s="53">
        <v>2007</v>
      </c>
      <c r="C1152" s="52" t="s">
        <v>112</v>
      </c>
      <c r="D1152" s="54">
        <v>6</v>
      </c>
      <c r="E1152" s="55">
        <v>654.79999999999995</v>
      </c>
      <c r="F1152" s="55">
        <v>0</v>
      </c>
      <c r="G1152" s="55">
        <v>654.79999999999995</v>
      </c>
      <c r="H1152" s="55">
        <v>2721.1</v>
      </c>
      <c r="I1152" s="55">
        <v>0</v>
      </c>
      <c r="J1152" s="55">
        <v>2721.1</v>
      </c>
      <c r="K1152" s="55">
        <v>0</v>
      </c>
      <c r="L1152" s="55">
        <v>3.6</v>
      </c>
      <c r="M1152" s="55">
        <v>5.6</v>
      </c>
      <c r="N1152" s="55">
        <v>0</v>
      </c>
    </row>
    <row r="1153" spans="1:14" ht="10.050000000000001" hidden="1" customHeight="1">
      <c r="A1153" s="52" t="s">
        <v>173</v>
      </c>
      <c r="B1153" s="53">
        <v>2007</v>
      </c>
      <c r="C1153" s="52" t="s">
        <v>112</v>
      </c>
      <c r="D1153" s="54">
        <v>6</v>
      </c>
      <c r="E1153" s="55">
        <v>78284.2</v>
      </c>
      <c r="F1153" s="55">
        <v>647.6</v>
      </c>
      <c r="G1153" s="55">
        <v>78931.8</v>
      </c>
      <c r="H1153" s="55">
        <v>567841.30000000005</v>
      </c>
      <c r="I1153" s="55">
        <v>16280</v>
      </c>
      <c r="J1153" s="55">
        <v>584121.30000000005</v>
      </c>
      <c r="K1153" s="55">
        <v>14135.3</v>
      </c>
      <c r="L1153" s="55">
        <v>6522.1</v>
      </c>
      <c r="M1153" s="55">
        <v>27507.200000000001</v>
      </c>
      <c r="N1153" s="55">
        <v>9222.2000000000007</v>
      </c>
    </row>
    <row r="1154" spans="1:14" ht="10.050000000000001" customHeight="1">
      <c r="A1154" s="52" t="s">
        <v>309</v>
      </c>
      <c r="B1154" s="53">
        <v>2007</v>
      </c>
      <c r="C1154" s="52" t="s">
        <v>112</v>
      </c>
      <c r="D1154" s="54">
        <v>6</v>
      </c>
      <c r="E1154" s="55">
        <v>128.1</v>
      </c>
      <c r="F1154" s="55">
        <v>0</v>
      </c>
      <c r="G1154" s="55">
        <v>128.1</v>
      </c>
      <c r="H1154" s="55">
        <v>40166.300000000003</v>
      </c>
      <c r="I1154" s="55">
        <v>0</v>
      </c>
      <c r="J1154" s="55">
        <v>40166.300000000003</v>
      </c>
      <c r="K1154" s="55">
        <v>0</v>
      </c>
      <c r="L1154" s="55">
        <v>0</v>
      </c>
      <c r="M1154" s="55">
        <v>0</v>
      </c>
      <c r="N1154" s="55">
        <v>0</v>
      </c>
    </row>
    <row r="1155" spans="1:14" ht="10.050000000000001" hidden="1" customHeight="1">
      <c r="A1155" s="52" t="s">
        <v>316</v>
      </c>
      <c r="B1155" s="53">
        <v>2007</v>
      </c>
      <c r="C1155" s="52" t="s">
        <v>112</v>
      </c>
      <c r="D1155" s="54">
        <v>6</v>
      </c>
      <c r="E1155" s="55">
        <v>141.4</v>
      </c>
      <c r="F1155" s="55">
        <v>0</v>
      </c>
      <c r="G1155" s="55">
        <v>141.4</v>
      </c>
      <c r="H1155" s="55">
        <v>971</v>
      </c>
      <c r="I1155" s="55">
        <v>4.4000000000000004</v>
      </c>
      <c r="J1155" s="55">
        <v>975.4</v>
      </c>
      <c r="K1155" s="55">
        <v>0</v>
      </c>
      <c r="L1155" s="55">
        <v>0</v>
      </c>
      <c r="M1155" s="55">
        <v>0</v>
      </c>
      <c r="N1155" s="55">
        <v>1.1000000000000001</v>
      </c>
    </row>
    <row r="1156" spans="1:14" ht="10.050000000000001" hidden="1" customHeight="1">
      <c r="A1156" s="52" t="s">
        <v>310</v>
      </c>
      <c r="B1156" s="53">
        <v>2007</v>
      </c>
      <c r="C1156" s="52" t="s">
        <v>112</v>
      </c>
      <c r="D1156" s="54">
        <v>6</v>
      </c>
      <c r="E1156" s="55">
        <v>1530.3</v>
      </c>
      <c r="F1156" s="55">
        <v>0</v>
      </c>
      <c r="G1156" s="55">
        <v>1530.3</v>
      </c>
      <c r="H1156" s="55">
        <v>10687</v>
      </c>
      <c r="I1156" s="55">
        <v>219.6</v>
      </c>
      <c r="J1156" s="55">
        <v>10906.6</v>
      </c>
      <c r="K1156" s="55">
        <v>154.19999999999999</v>
      </c>
      <c r="L1156" s="55">
        <v>8.6</v>
      </c>
      <c r="M1156" s="55">
        <v>221.8</v>
      </c>
      <c r="N1156" s="55">
        <v>180.5</v>
      </c>
    </row>
    <row r="1157" spans="1:14" ht="10.050000000000001" hidden="1" customHeight="1">
      <c r="A1157" s="52" t="s">
        <v>308</v>
      </c>
      <c r="B1157" s="53">
        <v>2007</v>
      </c>
      <c r="C1157" s="52" t="s">
        <v>112</v>
      </c>
      <c r="D1157" s="54">
        <v>6</v>
      </c>
      <c r="E1157" s="55">
        <v>2436.8000000000002</v>
      </c>
      <c r="F1157" s="55">
        <v>0</v>
      </c>
      <c r="G1157" s="55">
        <v>2436.8000000000002</v>
      </c>
      <c r="H1157" s="55">
        <v>17067.2</v>
      </c>
      <c r="I1157" s="55">
        <v>68.099999999999994</v>
      </c>
      <c r="J1157" s="55">
        <v>17135.3</v>
      </c>
      <c r="K1157" s="55">
        <v>189.3</v>
      </c>
      <c r="L1157" s="55">
        <v>0.1</v>
      </c>
      <c r="M1157" s="55">
        <v>965</v>
      </c>
      <c r="N1157" s="55">
        <v>5.3</v>
      </c>
    </row>
    <row r="1158" spans="1:14" ht="10.050000000000001" hidden="1" customHeight="1">
      <c r="A1158" s="52" t="s">
        <v>174</v>
      </c>
      <c r="B1158" s="53">
        <v>2007</v>
      </c>
      <c r="C1158" s="52" t="s">
        <v>112</v>
      </c>
      <c r="D1158" s="54">
        <v>6</v>
      </c>
      <c r="E1158" s="55">
        <v>12075.3</v>
      </c>
      <c r="F1158" s="55">
        <v>151.69999999999999</v>
      </c>
      <c r="G1158" s="55">
        <v>12227</v>
      </c>
      <c r="H1158" s="55">
        <v>13468.5</v>
      </c>
      <c r="I1158" s="55">
        <v>5762.6</v>
      </c>
      <c r="J1158" s="55">
        <v>19231.099999999999</v>
      </c>
      <c r="K1158" s="55">
        <v>6018</v>
      </c>
      <c r="L1158" s="55">
        <v>498.6</v>
      </c>
      <c r="M1158" s="55">
        <v>3776</v>
      </c>
      <c r="N1158" s="55">
        <v>4491.2</v>
      </c>
    </row>
    <row r="1159" spans="1:14" ht="10.050000000000001" hidden="1" customHeight="1">
      <c r="A1159" s="52" t="s">
        <v>306</v>
      </c>
      <c r="B1159" s="53">
        <v>2007</v>
      </c>
      <c r="C1159" s="52" t="s">
        <v>112</v>
      </c>
      <c r="D1159" s="54">
        <v>10</v>
      </c>
      <c r="E1159" s="55">
        <v>0</v>
      </c>
      <c r="F1159" s="55">
        <v>0</v>
      </c>
      <c r="G1159" s="55">
        <v>0</v>
      </c>
      <c r="H1159" s="55">
        <v>0</v>
      </c>
      <c r="I1159" s="55">
        <v>0</v>
      </c>
      <c r="J1159" s="55">
        <v>0</v>
      </c>
      <c r="K1159" s="55">
        <v>2.7</v>
      </c>
      <c r="L1159" s="55">
        <v>0</v>
      </c>
      <c r="M1159" s="55">
        <v>0</v>
      </c>
      <c r="N1159" s="55">
        <v>0</v>
      </c>
    </row>
    <row r="1160" spans="1:14" ht="10.050000000000001" hidden="1" customHeight="1">
      <c r="A1160" s="52" t="s">
        <v>171</v>
      </c>
      <c r="B1160" s="53">
        <v>2007</v>
      </c>
      <c r="C1160" s="52" t="s">
        <v>112</v>
      </c>
      <c r="D1160" s="54">
        <v>10</v>
      </c>
      <c r="E1160" s="55">
        <v>373.7</v>
      </c>
      <c r="F1160" s="55">
        <v>0</v>
      </c>
      <c r="G1160" s="55">
        <v>373.7</v>
      </c>
      <c r="H1160" s="55">
        <v>2991.2</v>
      </c>
      <c r="I1160" s="55">
        <v>0</v>
      </c>
      <c r="J1160" s="55">
        <v>2991.2</v>
      </c>
      <c r="K1160" s="55">
        <v>708.9</v>
      </c>
      <c r="L1160" s="55">
        <v>0</v>
      </c>
      <c r="M1160" s="55">
        <v>43.7</v>
      </c>
      <c r="N1160" s="55">
        <v>20.2</v>
      </c>
    </row>
    <row r="1161" spans="1:14" ht="10.050000000000001" hidden="1" customHeight="1">
      <c r="A1161" s="52" t="s">
        <v>307</v>
      </c>
      <c r="B1161" s="53">
        <v>2007</v>
      </c>
      <c r="C1161" s="52" t="s">
        <v>112</v>
      </c>
      <c r="D1161" s="54">
        <v>10</v>
      </c>
      <c r="E1161" s="55">
        <v>1548.8</v>
      </c>
      <c r="F1161" s="55">
        <v>0</v>
      </c>
      <c r="G1161" s="55">
        <v>1548.8</v>
      </c>
      <c r="H1161" s="55">
        <v>1445.8</v>
      </c>
      <c r="I1161" s="55">
        <v>0</v>
      </c>
      <c r="J1161" s="55">
        <v>1445.8</v>
      </c>
      <c r="K1161" s="55">
        <v>1241.0999999999999</v>
      </c>
      <c r="L1161" s="55">
        <v>1180.0999999999999</v>
      </c>
      <c r="M1161" s="55">
        <v>0</v>
      </c>
      <c r="N1161" s="55">
        <v>3</v>
      </c>
    </row>
    <row r="1162" spans="1:14" ht="10.050000000000001" hidden="1" customHeight="1">
      <c r="A1162" s="52" t="s">
        <v>173</v>
      </c>
      <c r="B1162" s="53">
        <v>2007</v>
      </c>
      <c r="C1162" s="52" t="s">
        <v>112</v>
      </c>
      <c r="D1162" s="54">
        <v>10</v>
      </c>
      <c r="E1162" s="55">
        <v>0</v>
      </c>
      <c r="F1162" s="55">
        <v>0</v>
      </c>
      <c r="G1162" s="55">
        <v>0</v>
      </c>
      <c r="H1162" s="55">
        <v>1124.0999999999999</v>
      </c>
      <c r="I1162" s="55">
        <v>0</v>
      </c>
      <c r="J1162" s="55">
        <v>1124.0999999999999</v>
      </c>
      <c r="K1162" s="55">
        <v>384.4</v>
      </c>
      <c r="L1162" s="55">
        <v>0</v>
      </c>
      <c r="M1162" s="55">
        <v>0</v>
      </c>
      <c r="N1162" s="55">
        <v>56.4</v>
      </c>
    </row>
    <row r="1163" spans="1:14" ht="10.050000000000001" hidden="1" customHeight="1">
      <c r="A1163" s="52" t="s">
        <v>310</v>
      </c>
      <c r="B1163" s="53">
        <v>2007</v>
      </c>
      <c r="C1163" s="52" t="s">
        <v>112</v>
      </c>
      <c r="D1163" s="54">
        <v>10</v>
      </c>
      <c r="E1163" s="55">
        <v>0</v>
      </c>
      <c r="F1163" s="55">
        <v>0</v>
      </c>
      <c r="G1163" s="55">
        <v>0</v>
      </c>
      <c r="H1163" s="55">
        <v>0</v>
      </c>
      <c r="I1163" s="55">
        <v>0</v>
      </c>
      <c r="J1163" s="55">
        <v>0</v>
      </c>
      <c r="K1163" s="55">
        <v>15.1</v>
      </c>
      <c r="L1163" s="55">
        <v>0</v>
      </c>
      <c r="M1163" s="55">
        <v>0</v>
      </c>
      <c r="N1163" s="55">
        <v>0</v>
      </c>
    </row>
    <row r="1164" spans="1:14" ht="10.050000000000001" hidden="1" customHeight="1">
      <c r="A1164" s="52" t="s">
        <v>174</v>
      </c>
      <c r="B1164" s="53">
        <v>2007</v>
      </c>
      <c r="C1164" s="52" t="s">
        <v>112</v>
      </c>
      <c r="D1164" s="54">
        <v>10</v>
      </c>
      <c r="E1164" s="55">
        <v>0</v>
      </c>
      <c r="F1164" s="55">
        <v>0</v>
      </c>
      <c r="G1164" s="55">
        <v>0</v>
      </c>
      <c r="H1164" s="55">
        <v>277.8</v>
      </c>
      <c r="I1164" s="55">
        <v>0</v>
      </c>
      <c r="J1164" s="55">
        <v>277.8</v>
      </c>
      <c r="K1164" s="55">
        <v>149.5</v>
      </c>
      <c r="L1164" s="55">
        <v>0</v>
      </c>
      <c r="M1164" s="55">
        <v>0</v>
      </c>
      <c r="N1164" s="55">
        <v>20.5</v>
      </c>
    </row>
    <row r="1165" spans="1:14" ht="10.050000000000001" hidden="1" customHeight="1">
      <c r="A1165" s="52" t="s">
        <v>300</v>
      </c>
      <c r="B1165" s="53">
        <v>2007</v>
      </c>
      <c r="C1165" s="52" t="s">
        <v>113</v>
      </c>
      <c r="D1165" s="54">
        <v>4</v>
      </c>
      <c r="E1165" s="55">
        <v>0</v>
      </c>
      <c r="F1165" s="55">
        <v>0</v>
      </c>
      <c r="G1165" s="55">
        <v>0</v>
      </c>
      <c r="H1165" s="55">
        <v>5.5</v>
      </c>
      <c r="I1165" s="55">
        <v>0</v>
      </c>
      <c r="J1165" s="55">
        <v>5.5</v>
      </c>
      <c r="K1165" s="55">
        <v>0</v>
      </c>
      <c r="L1165" s="55">
        <v>0</v>
      </c>
      <c r="M1165" s="55">
        <v>0</v>
      </c>
      <c r="N1165" s="55">
        <v>0</v>
      </c>
    </row>
    <row r="1166" spans="1:14" ht="10.050000000000001" hidden="1" customHeight="1">
      <c r="A1166" s="52" t="s">
        <v>314</v>
      </c>
      <c r="B1166" s="53">
        <v>2007</v>
      </c>
      <c r="C1166" s="52" t="s">
        <v>113</v>
      </c>
      <c r="D1166" s="54">
        <v>7</v>
      </c>
      <c r="E1166" s="55">
        <v>0</v>
      </c>
      <c r="F1166" s="55">
        <v>0</v>
      </c>
      <c r="G1166" s="55">
        <v>0</v>
      </c>
      <c r="H1166" s="55">
        <v>1.1000000000000001</v>
      </c>
      <c r="I1166" s="55">
        <v>0</v>
      </c>
      <c r="J1166" s="55">
        <v>1.1000000000000001</v>
      </c>
      <c r="K1166" s="55">
        <v>0</v>
      </c>
      <c r="L1166" s="55">
        <v>0</v>
      </c>
      <c r="M1166" s="55">
        <v>0</v>
      </c>
      <c r="N1166" s="55">
        <v>0</v>
      </c>
    </row>
    <row r="1167" spans="1:14" ht="10.050000000000001" hidden="1" customHeight="1">
      <c r="A1167" s="52" t="s">
        <v>306</v>
      </c>
      <c r="B1167" s="53">
        <v>2007</v>
      </c>
      <c r="C1167" s="52" t="s">
        <v>113</v>
      </c>
      <c r="D1167" s="54">
        <v>7</v>
      </c>
      <c r="E1167" s="55">
        <v>59379.7</v>
      </c>
      <c r="F1167" s="55">
        <v>1639.4</v>
      </c>
      <c r="G1167" s="55">
        <v>61019.1</v>
      </c>
      <c r="H1167" s="55">
        <v>71677</v>
      </c>
      <c r="I1167" s="55">
        <v>2247.5</v>
      </c>
      <c r="J1167" s="55">
        <v>73924.500000000102</v>
      </c>
      <c r="K1167" s="55">
        <v>13195.5</v>
      </c>
      <c r="L1167" s="55">
        <v>13397.6</v>
      </c>
      <c r="M1167" s="55">
        <v>1022.4</v>
      </c>
      <c r="N1167" s="55">
        <v>120.4</v>
      </c>
    </row>
    <row r="1168" spans="1:14" ht="10.050000000000001" hidden="1" customHeight="1">
      <c r="A1168" s="52" t="s">
        <v>172</v>
      </c>
      <c r="B1168" s="53">
        <v>2007</v>
      </c>
      <c r="C1168" s="52" t="s">
        <v>113</v>
      </c>
      <c r="D1168" s="54">
        <v>7</v>
      </c>
      <c r="E1168" s="55">
        <v>840095</v>
      </c>
      <c r="F1168" s="55">
        <v>45296.2</v>
      </c>
      <c r="G1168" s="55">
        <v>885391.2</v>
      </c>
      <c r="H1168" s="55">
        <v>774106.2</v>
      </c>
      <c r="I1168" s="55">
        <v>38501.699999999997</v>
      </c>
      <c r="J1168" s="55">
        <v>812607.9</v>
      </c>
      <c r="K1168" s="55">
        <v>310184.59999999998</v>
      </c>
      <c r="L1168" s="55">
        <v>320462</v>
      </c>
      <c r="M1168" s="55">
        <v>11232.8</v>
      </c>
      <c r="N1168" s="55">
        <v>66.099999999999994</v>
      </c>
    </row>
    <row r="1169" spans="1:14" ht="10.050000000000001" hidden="1" customHeight="1">
      <c r="A1169" s="52" t="s">
        <v>171</v>
      </c>
      <c r="B1169" s="53">
        <v>2007</v>
      </c>
      <c r="C1169" s="52" t="s">
        <v>113</v>
      </c>
      <c r="D1169" s="54">
        <v>7</v>
      </c>
      <c r="E1169" s="55">
        <v>9232944.9000000004</v>
      </c>
      <c r="F1169" s="55">
        <v>97252.2</v>
      </c>
      <c r="G1169" s="55">
        <v>9330197.0999999996</v>
      </c>
      <c r="H1169" s="55">
        <v>8851157.5</v>
      </c>
      <c r="I1169" s="55">
        <v>113319.4</v>
      </c>
      <c r="J1169" s="55">
        <v>8964476.9000000004</v>
      </c>
      <c r="K1169" s="55">
        <v>2658935.2000000002</v>
      </c>
      <c r="L1169" s="55">
        <v>2797458.7</v>
      </c>
      <c r="M1169" s="55">
        <v>157664.20000000001</v>
      </c>
      <c r="N1169" s="55">
        <v>12644.5</v>
      </c>
    </row>
    <row r="1170" spans="1:14" ht="10.050000000000001" hidden="1" customHeight="1">
      <c r="A1170" s="52" t="s">
        <v>300</v>
      </c>
      <c r="B1170" s="53">
        <v>2007</v>
      </c>
      <c r="C1170" s="52" t="s">
        <v>113</v>
      </c>
      <c r="D1170" s="54">
        <v>7</v>
      </c>
      <c r="E1170" s="55">
        <v>574.29999999999995</v>
      </c>
      <c r="F1170" s="55">
        <v>0</v>
      </c>
      <c r="G1170" s="55">
        <v>574.29999999999995</v>
      </c>
      <c r="H1170" s="55">
        <v>790.8</v>
      </c>
      <c r="I1170" s="55">
        <v>3.5</v>
      </c>
      <c r="J1170" s="55">
        <v>794.3</v>
      </c>
      <c r="K1170" s="55">
        <v>18.8</v>
      </c>
      <c r="L1170" s="55">
        <v>17</v>
      </c>
      <c r="M1170" s="55">
        <v>0</v>
      </c>
      <c r="N1170" s="55">
        <v>1.8</v>
      </c>
    </row>
    <row r="1171" spans="1:14" ht="10.050000000000001" hidden="1" customHeight="1">
      <c r="A1171" s="52" t="s">
        <v>307</v>
      </c>
      <c r="B1171" s="53">
        <v>2007</v>
      </c>
      <c r="C1171" s="52" t="s">
        <v>113</v>
      </c>
      <c r="D1171" s="54">
        <v>7</v>
      </c>
      <c r="E1171" s="55">
        <v>132145.70000000001</v>
      </c>
      <c r="F1171" s="55">
        <v>0</v>
      </c>
      <c r="G1171" s="55">
        <v>132145.70000000001</v>
      </c>
      <c r="H1171" s="55">
        <v>1180969</v>
      </c>
      <c r="I1171" s="55">
        <v>39059.800000000003</v>
      </c>
      <c r="J1171" s="55">
        <v>1220028.8</v>
      </c>
      <c r="K1171" s="55">
        <v>156597.5</v>
      </c>
      <c r="L1171" s="55">
        <v>11874.5</v>
      </c>
      <c r="M1171" s="55">
        <v>46754</v>
      </c>
      <c r="N1171" s="55">
        <v>19743.2</v>
      </c>
    </row>
    <row r="1172" spans="1:14" ht="10.050000000000001" hidden="1" customHeight="1">
      <c r="A1172" s="52" t="s">
        <v>315</v>
      </c>
      <c r="B1172" s="53">
        <v>2007</v>
      </c>
      <c r="C1172" s="52" t="s">
        <v>113</v>
      </c>
      <c r="D1172" s="54">
        <v>7</v>
      </c>
      <c r="E1172" s="55">
        <v>220.2</v>
      </c>
      <c r="F1172" s="55">
        <v>0</v>
      </c>
      <c r="G1172" s="55">
        <v>220.2</v>
      </c>
      <c r="H1172" s="55">
        <v>1765.2</v>
      </c>
      <c r="I1172" s="55">
        <v>0</v>
      </c>
      <c r="J1172" s="55">
        <v>1765.2</v>
      </c>
      <c r="K1172" s="55">
        <v>0</v>
      </c>
      <c r="L1172" s="55">
        <v>0</v>
      </c>
      <c r="M1172" s="55">
        <v>0</v>
      </c>
      <c r="N1172" s="55">
        <v>0</v>
      </c>
    </row>
    <row r="1173" spans="1:14" ht="10.050000000000001" hidden="1" customHeight="1">
      <c r="A1173" s="52" t="s">
        <v>173</v>
      </c>
      <c r="B1173" s="53">
        <v>2007</v>
      </c>
      <c r="C1173" s="52" t="s">
        <v>113</v>
      </c>
      <c r="D1173" s="54">
        <v>7</v>
      </c>
      <c r="E1173" s="55">
        <v>4232859.4000000004</v>
      </c>
      <c r="F1173" s="55">
        <v>93879.2</v>
      </c>
      <c r="G1173" s="55">
        <v>4326738.5999999996</v>
      </c>
      <c r="H1173" s="55">
        <v>3903044.8</v>
      </c>
      <c r="I1173" s="55">
        <v>75995</v>
      </c>
      <c r="J1173" s="55">
        <v>3979039.8</v>
      </c>
      <c r="K1173" s="55">
        <v>1090011.5</v>
      </c>
      <c r="L1173" s="55">
        <v>1458665.8</v>
      </c>
      <c r="M1173" s="55">
        <v>374015.3</v>
      </c>
      <c r="N1173" s="55">
        <v>9001.4</v>
      </c>
    </row>
    <row r="1174" spans="1:14" ht="10.050000000000001" customHeight="1">
      <c r="A1174" s="52" t="s">
        <v>309</v>
      </c>
      <c r="B1174" s="53">
        <v>2007</v>
      </c>
      <c r="C1174" s="52" t="s">
        <v>113</v>
      </c>
      <c r="D1174" s="54">
        <v>7</v>
      </c>
      <c r="E1174" s="55">
        <v>0</v>
      </c>
      <c r="F1174" s="55">
        <v>0</v>
      </c>
      <c r="G1174" s="55">
        <v>0</v>
      </c>
      <c r="H1174" s="55">
        <v>30567.7</v>
      </c>
      <c r="I1174" s="55">
        <v>0</v>
      </c>
      <c r="J1174" s="55">
        <v>30567.7</v>
      </c>
      <c r="K1174" s="55">
        <v>0</v>
      </c>
      <c r="L1174" s="55">
        <v>0</v>
      </c>
      <c r="M1174" s="55">
        <v>0</v>
      </c>
      <c r="N1174" s="55">
        <v>0</v>
      </c>
    </row>
    <row r="1175" spans="1:14" ht="10.050000000000001" hidden="1" customHeight="1">
      <c r="A1175" s="52" t="s">
        <v>316</v>
      </c>
      <c r="B1175" s="53">
        <v>2007</v>
      </c>
      <c r="C1175" s="52" t="s">
        <v>113</v>
      </c>
      <c r="D1175" s="54">
        <v>7</v>
      </c>
      <c r="E1175" s="55">
        <v>0</v>
      </c>
      <c r="F1175" s="55">
        <v>0</v>
      </c>
      <c r="G1175" s="55">
        <v>0</v>
      </c>
      <c r="H1175" s="55">
        <v>761.3</v>
      </c>
      <c r="I1175" s="55">
        <v>4.4000000000000004</v>
      </c>
      <c r="J1175" s="55">
        <v>765.7</v>
      </c>
      <c r="K1175" s="55">
        <v>0</v>
      </c>
      <c r="L1175" s="55">
        <v>0</v>
      </c>
      <c r="M1175" s="55">
        <v>0</v>
      </c>
      <c r="N1175" s="55">
        <v>0</v>
      </c>
    </row>
    <row r="1176" spans="1:14" ht="10.050000000000001" hidden="1" customHeight="1">
      <c r="A1176" s="52" t="s">
        <v>310</v>
      </c>
      <c r="B1176" s="53">
        <v>2007</v>
      </c>
      <c r="C1176" s="52" t="s">
        <v>113</v>
      </c>
      <c r="D1176" s="54">
        <v>7</v>
      </c>
      <c r="E1176" s="55">
        <v>12764.8</v>
      </c>
      <c r="F1176" s="55">
        <v>171.4</v>
      </c>
      <c r="G1176" s="55">
        <v>12936.2</v>
      </c>
      <c r="H1176" s="55">
        <v>19663.5</v>
      </c>
      <c r="I1176" s="55">
        <v>391.3</v>
      </c>
      <c r="J1176" s="55">
        <v>20054.8</v>
      </c>
      <c r="K1176" s="55">
        <v>2743.1</v>
      </c>
      <c r="L1176" s="55">
        <v>2691.5</v>
      </c>
      <c r="M1176" s="55">
        <v>59</v>
      </c>
      <c r="N1176" s="55">
        <v>43.6</v>
      </c>
    </row>
    <row r="1177" spans="1:14" ht="10.050000000000001" hidden="1" customHeight="1">
      <c r="A1177" s="52" t="s">
        <v>308</v>
      </c>
      <c r="B1177" s="53">
        <v>2007</v>
      </c>
      <c r="C1177" s="52" t="s">
        <v>113</v>
      </c>
      <c r="D1177" s="54">
        <v>7</v>
      </c>
      <c r="E1177" s="55">
        <v>317.7</v>
      </c>
      <c r="F1177" s="55">
        <v>0</v>
      </c>
      <c r="G1177" s="55">
        <v>317.7</v>
      </c>
      <c r="H1177" s="55">
        <v>11071.9</v>
      </c>
      <c r="I1177" s="55">
        <v>68.099999999999994</v>
      </c>
      <c r="J1177" s="55">
        <v>11140</v>
      </c>
      <c r="K1177" s="55">
        <v>137.6</v>
      </c>
      <c r="L1177" s="55">
        <v>77.7</v>
      </c>
      <c r="M1177" s="55">
        <v>72.5</v>
      </c>
      <c r="N1177" s="55">
        <v>56.9</v>
      </c>
    </row>
    <row r="1178" spans="1:14" ht="10.050000000000001" hidden="1" customHeight="1">
      <c r="A1178" s="52" t="s">
        <v>174</v>
      </c>
      <c r="B1178" s="53">
        <v>2007</v>
      </c>
      <c r="C1178" s="52" t="s">
        <v>113</v>
      </c>
      <c r="D1178" s="54">
        <v>7</v>
      </c>
      <c r="E1178" s="55">
        <v>104479.2</v>
      </c>
      <c r="F1178" s="55">
        <v>8010.4</v>
      </c>
      <c r="G1178" s="55">
        <v>112489.60000000001</v>
      </c>
      <c r="H1178" s="55">
        <v>98907</v>
      </c>
      <c r="I1178" s="55">
        <v>13609.2</v>
      </c>
      <c r="J1178" s="55">
        <v>112516.2</v>
      </c>
      <c r="K1178" s="55">
        <v>36597.4</v>
      </c>
      <c r="L1178" s="55">
        <v>34015</v>
      </c>
      <c r="M1178" s="55">
        <v>1052.4000000000001</v>
      </c>
      <c r="N1178" s="55">
        <v>2371.1999999999998</v>
      </c>
    </row>
    <row r="1179" spans="1:14" ht="10.050000000000001" hidden="1" customHeight="1">
      <c r="A1179" s="52" t="s">
        <v>314</v>
      </c>
      <c r="B1179" s="53">
        <v>2007</v>
      </c>
      <c r="C1179" s="52" t="s">
        <v>113</v>
      </c>
      <c r="D1179" s="54">
        <v>8</v>
      </c>
      <c r="E1179" s="55">
        <v>0</v>
      </c>
      <c r="F1179" s="55">
        <v>0</v>
      </c>
      <c r="G1179" s="55">
        <v>0</v>
      </c>
      <c r="H1179" s="55">
        <v>1.1000000000000001</v>
      </c>
      <c r="I1179" s="55">
        <v>0</v>
      </c>
      <c r="J1179" s="55">
        <v>1.1000000000000001</v>
      </c>
      <c r="K1179" s="55">
        <v>0</v>
      </c>
      <c r="L1179" s="55">
        <v>0</v>
      </c>
      <c r="M1179" s="55">
        <v>0</v>
      </c>
      <c r="N1179" s="55">
        <v>0</v>
      </c>
    </row>
    <row r="1180" spans="1:14" ht="10.050000000000001" hidden="1" customHeight="1">
      <c r="A1180" s="52" t="s">
        <v>306</v>
      </c>
      <c r="B1180" s="53">
        <v>2007</v>
      </c>
      <c r="C1180" s="52" t="s">
        <v>113</v>
      </c>
      <c r="D1180" s="54">
        <v>8</v>
      </c>
      <c r="E1180" s="55">
        <v>37620.400000000001</v>
      </c>
      <c r="F1180" s="55">
        <v>1991.7</v>
      </c>
      <c r="G1180" s="55">
        <v>39612.1</v>
      </c>
      <c r="H1180" s="55">
        <v>95150</v>
      </c>
      <c r="I1180" s="55">
        <v>3246.7</v>
      </c>
      <c r="J1180" s="55">
        <v>98396.7</v>
      </c>
      <c r="K1180" s="55">
        <v>14761.5</v>
      </c>
      <c r="L1180" s="55">
        <v>5655.5</v>
      </c>
      <c r="M1180" s="55">
        <v>3434</v>
      </c>
      <c r="N1180" s="55">
        <v>718.7</v>
      </c>
    </row>
    <row r="1181" spans="1:14" ht="10.050000000000001" hidden="1" customHeight="1">
      <c r="A1181" s="52" t="s">
        <v>172</v>
      </c>
      <c r="B1181" s="53">
        <v>2007</v>
      </c>
      <c r="C1181" s="52" t="s">
        <v>113</v>
      </c>
      <c r="D1181" s="54">
        <v>8</v>
      </c>
      <c r="E1181" s="55">
        <v>125328.1</v>
      </c>
      <c r="F1181" s="55">
        <v>7726</v>
      </c>
      <c r="G1181" s="55">
        <v>133054.1</v>
      </c>
      <c r="H1181" s="55">
        <v>754805.1</v>
      </c>
      <c r="I1181" s="55">
        <v>40472</v>
      </c>
      <c r="J1181" s="55">
        <v>795277.1</v>
      </c>
      <c r="K1181" s="55">
        <v>259903.1</v>
      </c>
      <c r="L1181" s="55">
        <v>21703.200000000001</v>
      </c>
      <c r="M1181" s="55">
        <v>71973.600000000006</v>
      </c>
      <c r="N1181" s="55">
        <v>11.1</v>
      </c>
    </row>
    <row r="1182" spans="1:14" ht="10.050000000000001" hidden="1" customHeight="1">
      <c r="A1182" s="52" t="s">
        <v>171</v>
      </c>
      <c r="B1182" s="53">
        <v>2007</v>
      </c>
      <c r="C1182" s="52" t="s">
        <v>113</v>
      </c>
      <c r="D1182" s="54">
        <v>8</v>
      </c>
      <c r="E1182" s="55">
        <v>4011823.2</v>
      </c>
      <c r="F1182" s="55">
        <v>166591.4</v>
      </c>
      <c r="G1182" s="55">
        <v>4178414.6</v>
      </c>
      <c r="H1182" s="55">
        <v>10145274.199999999</v>
      </c>
      <c r="I1182" s="55">
        <v>157408.5</v>
      </c>
      <c r="J1182" s="55">
        <v>10302682.699999999</v>
      </c>
      <c r="K1182" s="55">
        <v>4442026.5</v>
      </c>
      <c r="L1182" s="55">
        <v>2532506</v>
      </c>
      <c r="M1182" s="55">
        <v>727034.7</v>
      </c>
      <c r="N1182" s="55">
        <v>29500.400000000001</v>
      </c>
    </row>
    <row r="1183" spans="1:14" ht="10.050000000000001" hidden="1" customHeight="1">
      <c r="A1183" s="52" t="s">
        <v>300</v>
      </c>
      <c r="B1183" s="53">
        <v>2007</v>
      </c>
      <c r="C1183" s="52" t="s">
        <v>113</v>
      </c>
      <c r="D1183" s="54">
        <v>8</v>
      </c>
      <c r="E1183" s="55">
        <v>731.3</v>
      </c>
      <c r="F1183" s="55">
        <v>16.3</v>
      </c>
      <c r="G1183" s="55">
        <v>747.6</v>
      </c>
      <c r="H1183" s="55">
        <v>1815.5</v>
      </c>
      <c r="I1183" s="55">
        <v>17</v>
      </c>
      <c r="J1183" s="55">
        <v>1832.5</v>
      </c>
      <c r="K1183" s="55">
        <v>28</v>
      </c>
      <c r="L1183" s="55">
        <v>11.3</v>
      </c>
      <c r="M1183" s="55">
        <v>0</v>
      </c>
      <c r="N1183" s="55">
        <v>2.1</v>
      </c>
    </row>
    <row r="1184" spans="1:14" ht="10.050000000000001" hidden="1" customHeight="1">
      <c r="A1184" s="52" t="s">
        <v>307</v>
      </c>
      <c r="B1184" s="53">
        <v>2007</v>
      </c>
      <c r="C1184" s="52" t="s">
        <v>113</v>
      </c>
      <c r="D1184" s="54">
        <v>8</v>
      </c>
      <c r="E1184" s="55">
        <v>136002.20000000001</v>
      </c>
      <c r="F1184" s="55">
        <v>842.4</v>
      </c>
      <c r="G1184" s="55">
        <v>136844.6</v>
      </c>
      <c r="H1184" s="55">
        <v>677438.1</v>
      </c>
      <c r="I1184" s="55">
        <v>36363.1</v>
      </c>
      <c r="J1184" s="55">
        <v>713801.2</v>
      </c>
      <c r="K1184" s="55">
        <v>85159.300000000105</v>
      </c>
      <c r="L1184" s="55">
        <v>5592.1</v>
      </c>
      <c r="M1184" s="55">
        <v>62309.8</v>
      </c>
      <c r="N1184" s="55">
        <v>14714.9</v>
      </c>
    </row>
    <row r="1185" spans="1:14" ht="10.050000000000001" hidden="1" customHeight="1">
      <c r="A1185" s="52" t="s">
        <v>315</v>
      </c>
      <c r="B1185" s="53">
        <v>2007</v>
      </c>
      <c r="C1185" s="52" t="s">
        <v>113</v>
      </c>
      <c r="D1185" s="54">
        <v>8</v>
      </c>
      <c r="E1185" s="55">
        <v>961.5</v>
      </c>
      <c r="F1185" s="55">
        <v>0</v>
      </c>
      <c r="G1185" s="55">
        <v>961.5</v>
      </c>
      <c r="H1185" s="55">
        <v>2028.8</v>
      </c>
      <c r="I1185" s="55">
        <v>0</v>
      </c>
      <c r="J1185" s="55">
        <v>2028.8</v>
      </c>
      <c r="K1185" s="55">
        <v>286.10000000000002</v>
      </c>
      <c r="L1185" s="55">
        <v>286.10000000000002</v>
      </c>
      <c r="M1185" s="55">
        <v>0</v>
      </c>
      <c r="N1185" s="55">
        <v>0</v>
      </c>
    </row>
    <row r="1186" spans="1:14" ht="10.050000000000001" hidden="1" customHeight="1">
      <c r="A1186" s="52" t="s">
        <v>173</v>
      </c>
      <c r="B1186" s="53">
        <v>2007</v>
      </c>
      <c r="C1186" s="52" t="s">
        <v>113</v>
      </c>
      <c r="D1186" s="54">
        <v>8</v>
      </c>
      <c r="E1186" s="55">
        <v>975079.5</v>
      </c>
      <c r="F1186" s="55">
        <v>18562.2</v>
      </c>
      <c r="G1186" s="55">
        <v>993641.7</v>
      </c>
      <c r="H1186" s="55">
        <v>4157799.7</v>
      </c>
      <c r="I1186" s="55">
        <v>59177</v>
      </c>
      <c r="J1186" s="55">
        <v>4216976.7</v>
      </c>
      <c r="K1186" s="55">
        <v>880175.8</v>
      </c>
      <c r="L1186" s="55">
        <v>136943.29999999999</v>
      </c>
      <c r="M1186" s="55">
        <v>329792.5</v>
      </c>
      <c r="N1186" s="55">
        <v>18745.099999999999</v>
      </c>
    </row>
    <row r="1187" spans="1:14" ht="10.050000000000001" customHeight="1">
      <c r="A1187" s="52" t="s">
        <v>309</v>
      </c>
      <c r="B1187" s="53">
        <v>2007</v>
      </c>
      <c r="C1187" s="52" t="s">
        <v>113</v>
      </c>
      <c r="D1187" s="54">
        <v>8</v>
      </c>
      <c r="E1187" s="55">
        <v>0</v>
      </c>
      <c r="F1187" s="55">
        <v>0</v>
      </c>
      <c r="G1187" s="55">
        <v>0</v>
      </c>
      <c r="H1187" s="55">
        <v>20317.2</v>
      </c>
      <c r="I1187" s="55">
        <v>0</v>
      </c>
      <c r="J1187" s="55">
        <v>20317.2</v>
      </c>
      <c r="K1187" s="55">
        <v>0</v>
      </c>
      <c r="L1187" s="55">
        <v>0</v>
      </c>
      <c r="M1187" s="55">
        <v>0</v>
      </c>
      <c r="N1187" s="55">
        <v>0</v>
      </c>
    </row>
    <row r="1188" spans="1:14" ht="10.050000000000001" hidden="1" customHeight="1">
      <c r="A1188" s="52" t="s">
        <v>316</v>
      </c>
      <c r="B1188" s="53">
        <v>2007</v>
      </c>
      <c r="C1188" s="52" t="s">
        <v>113</v>
      </c>
      <c r="D1188" s="54">
        <v>8</v>
      </c>
      <c r="E1188" s="55">
        <v>13.5</v>
      </c>
      <c r="F1188" s="55">
        <v>0</v>
      </c>
      <c r="G1188" s="55">
        <v>13.5</v>
      </c>
      <c r="H1188" s="55">
        <v>619.79999999999995</v>
      </c>
      <c r="I1188" s="55">
        <v>4.4000000000000004</v>
      </c>
      <c r="J1188" s="55">
        <v>624.20000000000005</v>
      </c>
      <c r="K1188" s="55">
        <v>0</v>
      </c>
      <c r="L1188" s="55">
        <v>0</v>
      </c>
      <c r="M1188" s="55">
        <v>0</v>
      </c>
      <c r="N1188" s="55">
        <v>0</v>
      </c>
    </row>
    <row r="1189" spans="1:14" ht="10.050000000000001" hidden="1" customHeight="1">
      <c r="A1189" s="52" t="s">
        <v>310</v>
      </c>
      <c r="B1189" s="53">
        <v>2007</v>
      </c>
      <c r="C1189" s="52" t="s">
        <v>113</v>
      </c>
      <c r="D1189" s="54">
        <v>8</v>
      </c>
      <c r="E1189" s="55">
        <v>14947.6</v>
      </c>
      <c r="F1189" s="55">
        <v>904</v>
      </c>
      <c r="G1189" s="55">
        <v>15851.6</v>
      </c>
      <c r="H1189" s="55">
        <v>28883.8</v>
      </c>
      <c r="I1189" s="55">
        <v>1012.9</v>
      </c>
      <c r="J1189" s="55">
        <v>29896.7</v>
      </c>
      <c r="K1189" s="55">
        <v>5410.9</v>
      </c>
      <c r="L1189" s="55">
        <v>3205.7</v>
      </c>
      <c r="M1189" s="55">
        <v>524.9</v>
      </c>
      <c r="N1189" s="55">
        <v>13</v>
      </c>
    </row>
    <row r="1190" spans="1:14" ht="10.050000000000001" hidden="1" customHeight="1">
      <c r="A1190" s="52" t="s">
        <v>308</v>
      </c>
      <c r="B1190" s="53">
        <v>2007</v>
      </c>
      <c r="C1190" s="52" t="s">
        <v>113</v>
      </c>
      <c r="D1190" s="54">
        <v>8</v>
      </c>
      <c r="E1190" s="55">
        <v>36.700000000000003</v>
      </c>
      <c r="F1190" s="55">
        <v>0</v>
      </c>
      <c r="G1190" s="55">
        <v>36.700000000000003</v>
      </c>
      <c r="H1190" s="55">
        <v>6787.7</v>
      </c>
      <c r="I1190" s="55">
        <v>68.099999999999994</v>
      </c>
      <c r="J1190" s="55">
        <v>6855.8</v>
      </c>
      <c r="K1190" s="55">
        <v>65.900000000000006</v>
      </c>
      <c r="L1190" s="55">
        <v>-14.2</v>
      </c>
      <c r="M1190" s="55">
        <v>0</v>
      </c>
      <c r="N1190" s="55">
        <v>57.5</v>
      </c>
    </row>
    <row r="1191" spans="1:14" ht="10.050000000000001" hidden="1" customHeight="1">
      <c r="A1191" s="52" t="s">
        <v>174</v>
      </c>
      <c r="B1191" s="53">
        <v>2007</v>
      </c>
      <c r="C1191" s="52" t="s">
        <v>113</v>
      </c>
      <c r="D1191" s="54">
        <v>8</v>
      </c>
      <c r="E1191" s="55">
        <v>211015</v>
      </c>
      <c r="F1191" s="55">
        <v>12979.3</v>
      </c>
      <c r="G1191" s="55">
        <v>223994.3</v>
      </c>
      <c r="H1191" s="55">
        <v>227326.4</v>
      </c>
      <c r="I1191" s="55">
        <v>19885.099999999999</v>
      </c>
      <c r="J1191" s="55">
        <v>247211.5</v>
      </c>
      <c r="K1191" s="55">
        <v>59276.5</v>
      </c>
      <c r="L1191" s="55">
        <v>33048.5</v>
      </c>
      <c r="M1191" s="55">
        <v>4791.5</v>
      </c>
      <c r="N1191" s="55">
        <v>5577.9</v>
      </c>
    </row>
    <row r="1192" spans="1:14" ht="10.050000000000001" hidden="1" customHeight="1">
      <c r="A1192" s="52" t="s">
        <v>314</v>
      </c>
      <c r="B1192" s="53">
        <v>2007</v>
      </c>
      <c r="C1192" s="52" t="s">
        <v>113</v>
      </c>
      <c r="D1192" s="54">
        <v>9</v>
      </c>
      <c r="E1192" s="55">
        <v>0</v>
      </c>
      <c r="F1192" s="55">
        <v>0</v>
      </c>
      <c r="G1192" s="55">
        <v>0</v>
      </c>
      <c r="H1192" s="55">
        <v>1.1000000000000001</v>
      </c>
      <c r="I1192" s="55">
        <v>0</v>
      </c>
      <c r="J1192" s="55">
        <v>1.1000000000000001</v>
      </c>
      <c r="K1192" s="55">
        <v>0</v>
      </c>
      <c r="L1192" s="55">
        <v>0</v>
      </c>
      <c r="M1192" s="55">
        <v>0</v>
      </c>
      <c r="N1192" s="55">
        <v>0</v>
      </c>
    </row>
    <row r="1193" spans="1:14" ht="10.050000000000001" hidden="1" customHeight="1">
      <c r="A1193" s="52" t="s">
        <v>306</v>
      </c>
      <c r="B1193" s="53">
        <v>2007</v>
      </c>
      <c r="C1193" s="52" t="s">
        <v>113</v>
      </c>
      <c r="D1193" s="54">
        <v>9</v>
      </c>
      <c r="E1193" s="55">
        <v>8616.4</v>
      </c>
      <c r="F1193" s="55">
        <v>1297.3</v>
      </c>
      <c r="G1193" s="55">
        <v>9913.7000000000007</v>
      </c>
      <c r="H1193" s="55">
        <v>89344.7</v>
      </c>
      <c r="I1193" s="55">
        <v>3141.1</v>
      </c>
      <c r="J1193" s="55">
        <v>92485.8</v>
      </c>
      <c r="K1193" s="55">
        <v>12360</v>
      </c>
      <c r="L1193" s="55">
        <v>1070.2</v>
      </c>
      <c r="M1193" s="55">
        <v>3054.9</v>
      </c>
      <c r="N1193" s="55">
        <v>450.7</v>
      </c>
    </row>
    <row r="1194" spans="1:14" ht="10.050000000000001" hidden="1" customHeight="1">
      <c r="A1194" s="52" t="s">
        <v>172</v>
      </c>
      <c r="B1194" s="53">
        <v>2007</v>
      </c>
      <c r="C1194" s="52" t="s">
        <v>113</v>
      </c>
      <c r="D1194" s="54">
        <v>9</v>
      </c>
      <c r="E1194" s="55">
        <v>165887.9</v>
      </c>
      <c r="F1194" s="55">
        <v>4893.1000000000004</v>
      </c>
      <c r="G1194" s="55">
        <v>170781</v>
      </c>
      <c r="H1194" s="55">
        <v>760502.7</v>
      </c>
      <c r="I1194" s="55">
        <v>36107.5</v>
      </c>
      <c r="J1194" s="55">
        <v>796610.2</v>
      </c>
      <c r="K1194" s="55">
        <v>159085</v>
      </c>
      <c r="L1194" s="55">
        <v>8276.7999999999993</v>
      </c>
      <c r="M1194" s="55">
        <v>108500.9</v>
      </c>
      <c r="N1194" s="55">
        <v>594</v>
      </c>
    </row>
    <row r="1195" spans="1:14" ht="10.050000000000001" hidden="1" customHeight="1">
      <c r="A1195" s="52" t="s">
        <v>171</v>
      </c>
      <c r="B1195" s="53">
        <v>2007</v>
      </c>
      <c r="C1195" s="52" t="s">
        <v>113</v>
      </c>
      <c r="D1195" s="54">
        <v>9</v>
      </c>
      <c r="E1195" s="55">
        <v>2306331.2999999998</v>
      </c>
      <c r="F1195" s="55">
        <v>149403.70000000001</v>
      </c>
      <c r="G1195" s="55">
        <v>2455735</v>
      </c>
      <c r="H1195" s="55">
        <v>10040575.699999999</v>
      </c>
      <c r="I1195" s="55">
        <v>164437.1</v>
      </c>
      <c r="J1195" s="55">
        <v>10205012.800000001</v>
      </c>
      <c r="K1195" s="55">
        <v>3158030.9</v>
      </c>
      <c r="L1195" s="55">
        <v>263006.3</v>
      </c>
      <c r="M1195" s="55">
        <v>1493804.4</v>
      </c>
      <c r="N1195" s="55">
        <v>52144.4</v>
      </c>
    </row>
    <row r="1196" spans="1:14" ht="10.050000000000001" hidden="1" customHeight="1">
      <c r="A1196" s="52" t="s">
        <v>300</v>
      </c>
      <c r="B1196" s="53">
        <v>2007</v>
      </c>
      <c r="C1196" s="52" t="s">
        <v>113</v>
      </c>
      <c r="D1196" s="54">
        <v>9</v>
      </c>
      <c r="E1196" s="55">
        <v>246.1</v>
      </c>
      <c r="F1196" s="55">
        <v>66.3</v>
      </c>
      <c r="G1196" s="55">
        <v>312.39999999999998</v>
      </c>
      <c r="H1196" s="55">
        <v>1217.8</v>
      </c>
      <c r="I1196" s="55">
        <v>70.7</v>
      </c>
      <c r="J1196" s="55">
        <v>1288.5</v>
      </c>
      <c r="K1196" s="55">
        <v>25.8</v>
      </c>
      <c r="L1196" s="55">
        <v>17</v>
      </c>
      <c r="M1196" s="55">
        <v>0</v>
      </c>
      <c r="N1196" s="55">
        <v>2.2000000000000002</v>
      </c>
    </row>
    <row r="1197" spans="1:14" ht="10.050000000000001" hidden="1" customHeight="1">
      <c r="A1197" s="52" t="s">
        <v>307</v>
      </c>
      <c r="B1197" s="53">
        <v>2007</v>
      </c>
      <c r="C1197" s="52" t="s">
        <v>113</v>
      </c>
      <c r="D1197" s="54">
        <v>9</v>
      </c>
      <c r="E1197" s="55">
        <v>389793.3</v>
      </c>
      <c r="F1197" s="55">
        <v>14512.6</v>
      </c>
      <c r="G1197" s="55">
        <v>404305.9</v>
      </c>
      <c r="H1197" s="55">
        <v>521353.4</v>
      </c>
      <c r="I1197" s="55">
        <v>39755</v>
      </c>
      <c r="J1197" s="55">
        <v>561108.4</v>
      </c>
      <c r="K1197" s="55">
        <v>160324.5</v>
      </c>
      <c r="L1197" s="55">
        <v>115799.1</v>
      </c>
      <c r="M1197" s="55">
        <v>26039.7</v>
      </c>
      <c r="N1197" s="55">
        <v>14714.6</v>
      </c>
    </row>
    <row r="1198" spans="1:14" ht="10.050000000000001" hidden="1" customHeight="1">
      <c r="A1198" s="52" t="s">
        <v>315</v>
      </c>
      <c r="B1198" s="53">
        <v>2007</v>
      </c>
      <c r="C1198" s="52" t="s">
        <v>113</v>
      </c>
      <c r="D1198" s="54">
        <v>9</v>
      </c>
      <c r="E1198" s="55">
        <v>8314.2999999999993</v>
      </c>
      <c r="F1198" s="55">
        <v>0</v>
      </c>
      <c r="G1198" s="55">
        <v>8314.2999999999993</v>
      </c>
      <c r="H1198" s="55">
        <v>8297.5</v>
      </c>
      <c r="I1198" s="55">
        <v>0</v>
      </c>
      <c r="J1198" s="55">
        <v>8297.5</v>
      </c>
      <c r="K1198" s="55">
        <v>1133.5</v>
      </c>
      <c r="L1198" s="55">
        <v>1775.6</v>
      </c>
      <c r="M1198" s="55">
        <v>928.2</v>
      </c>
      <c r="N1198" s="55">
        <v>0</v>
      </c>
    </row>
    <row r="1199" spans="1:14" ht="10.050000000000001" hidden="1" customHeight="1">
      <c r="A1199" s="52" t="s">
        <v>173</v>
      </c>
      <c r="B1199" s="53">
        <v>2007</v>
      </c>
      <c r="C1199" s="52" t="s">
        <v>113</v>
      </c>
      <c r="D1199" s="54">
        <v>9</v>
      </c>
      <c r="E1199" s="55">
        <v>452891.3</v>
      </c>
      <c r="F1199" s="55">
        <v>13853.8</v>
      </c>
      <c r="G1199" s="55">
        <v>466745.1</v>
      </c>
      <c r="H1199" s="55">
        <v>4028899.2</v>
      </c>
      <c r="I1199" s="55">
        <v>47349.5</v>
      </c>
      <c r="J1199" s="55">
        <v>4076248.7</v>
      </c>
      <c r="K1199" s="55">
        <v>602229.9</v>
      </c>
      <c r="L1199" s="55">
        <v>61564.800000000003</v>
      </c>
      <c r="M1199" s="55">
        <v>329214.7</v>
      </c>
      <c r="N1199" s="55">
        <v>9586.7999999999993</v>
      </c>
    </row>
    <row r="1200" spans="1:14" ht="10.050000000000001" customHeight="1">
      <c r="A1200" s="52" t="s">
        <v>309</v>
      </c>
      <c r="B1200" s="53">
        <v>2007</v>
      </c>
      <c r="C1200" s="52" t="s">
        <v>113</v>
      </c>
      <c r="D1200" s="54">
        <v>9</v>
      </c>
      <c r="E1200" s="55">
        <v>42543.4</v>
      </c>
      <c r="F1200" s="55">
        <v>576.20000000000005</v>
      </c>
      <c r="G1200" s="55">
        <v>43119.6</v>
      </c>
      <c r="H1200" s="55">
        <v>55541.3</v>
      </c>
      <c r="I1200" s="55">
        <v>0</v>
      </c>
      <c r="J1200" s="55">
        <v>55541.3</v>
      </c>
      <c r="K1200" s="55">
        <v>1947.1</v>
      </c>
      <c r="L1200" s="55">
        <v>1947.1</v>
      </c>
      <c r="M1200" s="55">
        <v>0</v>
      </c>
      <c r="N1200" s="55">
        <v>0</v>
      </c>
    </row>
    <row r="1201" spans="1:14" ht="10.050000000000001" hidden="1" customHeight="1">
      <c r="A1201" s="52" t="s">
        <v>316</v>
      </c>
      <c r="B1201" s="53">
        <v>2007</v>
      </c>
      <c r="C1201" s="52" t="s">
        <v>113</v>
      </c>
      <c r="D1201" s="54">
        <v>9</v>
      </c>
      <c r="E1201" s="55">
        <v>500.8</v>
      </c>
      <c r="F1201" s="55">
        <v>0</v>
      </c>
      <c r="G1201" s="55">
        <v>500.8</v>
      </c>
      <c r="H1201" s="55">
        <v>934.7</v>
      </c>
      <c r="I1201" s="55">
        <v>4.4000000000000004</v>
      </c>
      <c r="J1201" s="55">
        <v>939.1</v>
      </c>
      <c r="K1201" s="55">
        <v>0</v>
      </c>
      <c r="L1201" s="55">
        <v>0</v>
      </c>
      <c r="M1201" s="55">
        <v>0</v>
      </c>
      <c r="N1201" s="55">
        <v>0</v>
      </c>
    </row>
    <row r="1202" spans="1:14" ht="10.050000000000001" hidden="1" customHeight="1">
      <c r="A1202" s="52" t="s">
        <v>310</v>
      </c>
      <c r="B1202" s="53">
        <v>2007</v>
      </c>
      <c r="C1202" s="52" t="s">
        <v>113</v>
      </c>
      <c r="D1202" s="54">
        <v>9</v>
      </c>
      <c r="E1202" s="55">
        <v>3283.5</v>
      </c>
      <c r="F1202" s="55">
        <v>210.6</v>
      </c>
      <c r="G1202" s="55">
        <v>3494.1</v>
      </c>
      <c r="H1202" s="55">
        <v>26727.200000000001</v>
      </c>
      <c r="I1202" s="55">
        <v>855</v>
      </c>
      <c r="J1202" s="55">
        <v>27582.2</v>
      </c>
      <c r="K1202" s="55">
        <v>4556.5</v>
      </c>
      <c r="L1202" s="55">
        <v>238.2</v>
      </c>
      <c r="M1202" s="55">
        <v>1052.5999999999999</v>
      </c>
      <c r="N1202" s="55">
        <v>40</v>
      </c>
    </row>
    <row r="1203" spans="1:14" ht="10.050000000000001" hidden="1" customHeight="1">
      <c r="A1203" s="52" t="s">
        <v>308</v>
      </c>
      <c r="B1203" s="53">
        <v>2007</v>
      </c>
      <c r="C1203" s="52" t="s">
        <v>113</v>
      </c>
      <c r="D1203" s="54">
        <v>9</v>
      </c>
      <c r="E1203" s="55">
        <v>5826.3</v>
      </c>
      <c r="F1203" s="55">
        <v>20.399999999999999</v>
      </c>
      <c r="G1203" s="55">
        <v>5846.7</v>
      </c>
      <c r="H1203" s="55">
        <v>8414.7000000000007</v>
      </c>
      <c r="I1203" s="55">
        <v>147.19999999999999</v>
      </c>
      <c r="J1203" s="55">
        <v>8561.9</v>
      </c>
      <c r="K1203" s="55">
        <v>810.6</v>
      </c>
      <c r="L1203" s="55">
        <v>750.4</v>
      </c>
      <c r="M1203" s="55">
        <v>0</v>
      </c>
      <c r="N1203" s="55">
        <v>5.7</v>
      </c>
    </row>
    <row r="1204" spans="1:14" ht="10.050000000000001" hidden="1" customHeight="1">
      <c r="A1204" s="52" t="s">
        <v>174</v>
      </c>
      <c r="B1204" s="53">
        <v>2007</v>
      </c>
      <c r="C1204" s="52" t="s">
        <v>113</v>
      </c>
      <c r="D1204" s="54">
        <v>9</v>
      </c>
      <c r="E1204" s="55">
        <v>21576.9</v>
      </c>
      <c r="F1204" s="55">
        <v>8339.2999999999993</v>
      </c>
      <c r="G1204" s="55">
        <v>29916.2</v>
      </c>
      <c r="H1204" s="55">
        <v>207296</v>
      </c>
      <c r="I1204" s="55">
        <v>16946.400000000001</v>
      </c>
      <c r="J1204" s="55">
        <v>224242.4</v>
      </c>
      <c r="K1204" s="55">
        <v>53002.1</v>
      </c>
      <c r="L1204" s="55">
        <v>4603.8999999999996</v>
      </c>
      <c r="M1204" s="55">
        <v>6641.2</v>
      </c>
      <c r="N1204" s="55">
        <v>4251.8</v>
      </c>
    </row>
    <row r="1205" spans="1:14" ht="10.050000000000001" hidden="1" customHeight="1">
      <c r="A1205" s="52" t="s">
        <v>314</v>
      </c>
      <c r="B1205" s="53">
        <v>2007</v>
      </c>
      <c r="C1205" s="52" t="s">
        <v>113</v>
      </c>
      <c r="D1205" s="54">
        <v>10</v>
      </c>
      <c r="E1205" s="55">
        <v>19.100000000000001</v>
      </c>
      <c r="F1205" s="55">
        <v>0</v>
      </c>
      <c r="G1205" s="55">
        <v>19.100000000000001</v>
      </c>
      <c r="H1205" s="55">
        <v>1.1000000000000001</v>
      </c>
      <c r="I1205" s="55">
        <v>0</v>
      </c>
      <c r="J1205" s="55">
        <v>1.1000000000000001</v>
      </c>
      <c r="K1205" s="55">
        <v>0</v>
      </c>
      <c r="L1205" s="55">
        <v>0</v>
      </c>
      <c r="M1205" s="55">
        <v>0</v>
      </c>
      <c r="N1205" s="55">
        <v>0</v>
      </c>
    </row>
    <row r="1206" spans="1:14" ht="10.050000000000001" hidden="1" customHeight="1">
      <c r="A1206" s="52" t="s">
        <v>306</v>
      </c>
      <c r="B1206" s="53">
        <v>2007</v>
      </c>
      <c r="C1206" s="52" t="s">
        <v>113</v>
      </c>
      <c r="D1206" s="54">
        <v>10</v>
      </c>
      <c r="E1206" s="55">
        <v>6505.2</v>
      </c>
      <c r="F1206" s="55">
        <v>1039.5</v>
      </c>
      <c r="G1206" s="55">
        <v>7544.7</v>
      </c>
      <c r="H1206" s="55">
        <v>83756.2</v>
      </c>
      <c r="I1206" s="55">
        <v>3245.2</v>
      </c>
      <c r="J1206" s="55">
        <v>87001.4</v>
      </c>
      <c r="K1206" s="55">
        <v>9902.7999999999993</v>
      </c>
      <c r="L1206" s="55">
        <v>733.5</v>
      </c>
      <c r="M1206" s="55">
        <v>2922</v>
      </c>
      <c r="N1206" s="55">
        <v>320.2</v>
      </c>
    </row>
    <row r="1207" spans="1:14" ht="10.050000000000001" hidden="1" customHeight="1">
      <c r="A1207" s="52" t="s">
        <v>172</v>
      </c>
      <c r="B1207" s="53">
        <v>2007</v>
      </c>
      <c r="C1207" s="52" t="s">
        <v>113</v>
      </c>
      <c r="D1207" s="54">
        <v>10</v>
      </c>
      <c r="E1207" s="55">
        <v>168905.8</v>
      </c>
      <c r="F1207" s="55">
        <v>4006.7</v>
      </c>
      <c r="G1207" s="55">
        <v>172912.5</v>
      </c>
      <c r="H1207" s="55">
        <v>769924.8</v>
      </c>
      <c r="I1207" s="55">
        <v>24434.3</v>
      </c>
      <c r="J1207" s="55">
        <v>794359.10000000102</v>
      </c>
      <c r="K1207" s="55">
        <v>77460.7</v>
      </c>
      <c r="L1207" s="55">
        <v>10653.7</v>
      </c>
      <c r="M1207" s="55">
        <v>91870.8</v>
      </c>
      <c r="N1207" s="55">
        <v>407.2</v>
      </c>
    </row>
    <row r="1208" spans="1:14" ht="10.050000000000001" hidden="1" customHeight="1">
      <c r="A1208" s="52" t="s">
        <v>171</v>
      </c>
      <c r="B1208" s="53">
        <v>2007</v>
      </c>
      <c r="C1208" s="52" t="s">
        <v>113</v>
      </c>
      <c r="D1208" s="54">
        <v>10</v>
      </c>
      <c r="E1208" s="55">
        <v>1290717.8</v>
      </c>
      <c r="F1208" s="55">
        <v>45217.4</v>
      </c>
      <c r="G1208" s="55">
        <v>1335935.2</v>
      </c>
      <c r="H1208" s="55">
        <v>8988883</v>
      </c>
      <c r="I1208" s="55">
        <v>110351.4</v>
      </c>
      <c r="J1208" s="55">
        <v>9099234.4000000004</v>
      </c>
      <c r="K1208" s="55">
        <v>2631863.9</v>
      </c>
      <c r="L1208" s="55">
        <v>183988.5</v>
      </c>
      <c r="M1208" s="55">
        <v>685217.7</v>
      </c>
      <c r="N1208" s="55">
        <v>23601.9</v>
      </c>
    </row>
    <row r="1209" spans="1:14" ht="10.050000000000001" hidden="1" customHeight="1">
      <c r="A1209" s="52" t="s">
        <v>300</v>
      </c>
      <c r="B1209" s="53">
        <v>2007</v>
      </c>
      <c r="C1209" s="52" t="s">
        <v>113</v>
      </c>
      <c r="D1209" s="54">
        <v>10</v>
      </c>
      <c r="E1209" s="55">
        <v>178.6</v>
      </c>
      <c r="F1209" s="55">
        <v>0</v>
      </c>
      <c r="G1209" s="55">
        <v>178.6</v>
      </c>
      <c r="H1209" s="55">
        <v>973.5</v>
      </c>
      <c r="I1209" s="55">
        <v>31.6</v>
      </c>
      <c r="J1209" s="55">
        <v>1005.1</v>
      </c>
      <c r="K1209" s="55">
        <v>24.2</v>
      </c>
      <c r="L1209" s="55">
        <v>0</v>
      </c>
      <c r="M1209" s="55">
        <v>0</v>
      </c>
      <c r="N1209" s="55">
        <v>1.6</v>
      </c>
    </row>
    <row r="1210" spans="1:14" ht="10.050000000000001" hidden="1" customHeight="1">
      <c r="A1210" s="52" t="s">
        <v>307</v>
      </c>
      <c r="B1210" s="53">
        <v>2007</v>
      </c>
      <c r="C1210" s="52" t="s">
        <v>113</v>
      </c>
      <c r="D1210" s="54">
        <v>10</v>
      </c>
      <c r="E1210" s="55">
        <v>3977997.6</v>
      </c>
      <c r="F1210" s="55">
        <v>52841.3</v>
      </c>
      <c r="G1210" s="55">
        <v>4030838.9</v>
      </c>
      <c r="H1210" s="55">
        <v>3515835.5</v>
      </c>
      <c r="I1210" s="55">
        <v>76331.7</v>
      </c>
      <c r="J1210" s="55">
        <v>3592167.2</v>
      </c>
      <c r="K1210" s="55">
        <v>2050080.3</v>
      </c>
      <c r="L1210" s="55">
        <v>2009325.4</v>
      </c>
      <c r="M1210" s="55">
        <v>87881.9</v>
      </c>
      <c r="N1210" s="55">
        <v>35603.9</v>
      </c>
    </row>
    <row r="1211" spans="1:14" ht="10.050000000000001" hidden="1" customHeight="1">
      <c r="A1211" s="52" t="s">
        <v>315</v>
      </c>
      <c r="B1211" s="53">
        <v>2007</v>
      </c>
      <c r="C1211" s="52" t="s">
        <v>113</v>
      </c>
      <c r="D1211" s="54">
        <v>10</v>
      </c>
      <c r="E1211" s="55">
        <v>10036</v>
      </c>
      <c r="F1211" s="55">
        <v>43.5</v>
      </c>
      <c r="G1211" s="55">
        <v>10079.5</v>
      </c>
      <c r="H1211" s="55">
        <v>14799.8</v>
      </c>
      <c r="I1211" s="55">
        <v>43.5</v>
      </c>
      <c r="J1211" s="55">
        <v>14843.3</v>
      </c>
      <c r="K1211" s="55">
        <v>1881.9</v>
      </c>
      <c r="L1211" s="55">
        <v>3820.5</v>
      </c>
      <c r="M1211" s="55">
        <v>3072.1</v>
      </c>
      <c r="N1211" s="55">
        <v>0</v>
      </c>
    </row>
    <row r="1212" spans="1:14" ht="10.050000000000001" hidden="1" customHeight="1">
      <c r="A1212" s="52" t="s">
        <v>173</v>
      </c>
      <c r="B1212" s="53">
        <v>2007</v>
      </c>
      <c r="C1212" s="52" t="s">
        <v>113</v>
      </c>
      <c r="D1212" s="54">
        <v>10</v>
      </c>
      <c r="E1212" s="55">
        <v>288400.59999999998</v>
      </c>
      <c r="F1212" s="55">
        <v>13248</v>
      </c>
      <c r="G1212" s="55">
        <v>301648.59999999998</v>
      </c>
      <c r="H1212" s="55">
        <v>3770742.2</v>
      </c>
      <c r="I1212" s="55">
        <v>44183.7</v>
      </c>
      <c r="J1212" s="55">
        <v>3814925.9</v>
      </c>
      <c r="K1212" s="55">
        <v>457607.5</v>
      </c>
      <c r="L1212" s="55">
        <v>19536.099999999999</v>
      </c>
      <c r="M1212" s="55">
        <v>154449.29999999999</v>
      </c>
      <c r="N1212" s="55">
        <v>9252.1</v>
      </c>
    </row>
    <row r="1213" spans="1:14" ht="10.050000000000001" customHeight="1">
      <c r="A1213" s="52" t="s">
        <v>309</v>
      </c>
      <c r="B1213" s="53">
        <v>2007</v>
      </c>
      <c r="C1213" s="52" t="s">
        <v>113</v>
      </c>
      <c r="D1213" s="54">
        <v>10</v>
      </c>
      <c r="E1213" s="55">
        <v>38461.199999999997</v>
      </c>
      <c r="F1213" s="55">
        <v>1010.8</v>
      </c>
      <c r="G1213" s="55">
        <v>39472</v>
      </c>
      <c r="H1213" s="55">
        <v>80153.600000000006</v>
      </c>
      <c r="I1213" s="55">
        <v>0</v>
      </c>
      <c r="J1213" s="55">
        <v>80153.600000000006</v>
      </c>
      <c r="K1213" s="55">
        <v>6336.3</v>
      </c>
      <c r="L1213" s="55">
        <v>4848.8999999999996</v>
      </c>
      <c r="M1213" s="55">
        <v>459.7</v>
      </c>
      <c r="N1213" s="55">
        <v>0</v>
      </c>
    </row>
    <row r="1214" spans="1:14" ht="10.050000000000001" hidden="1" customHeight="1">
      <c r="A1214" s="52" t="s">
        <v>316</v>
      </c>
      <c r="B1214" s="53">
        <v>2007</v>
      </c>
      <c r="C1214" s="52" t="s">
        <v>113</v>
      </c>
      <c r="D1214" s="54">
        <v>10</v>
      </c>
      <c r="E1214" s="55">
        <v>3130.4</v>
      </c>
      <c r="F1214" s="55">
        <v>48</v>
      </c>
      <c r="G1214" s="55">
        <v>3178.4</v>
      </c>
      <c r="H1214" s="55">
        <v>3729.2</v>
      </c>
      <c r="I1214" s="55">
        <v>52.4</v>
      </c>
      <c r="J1214" s="55">
        <v>3781.6</v>
      </c>
      <c r="K1214" s="55">
        <v>0</v>
      </c>
      <c r="L1214" s="55">
        <v>0</v>
      </c>
      <c r="M1214" s="55">
        <v>0</v>
      </c>
      <c r="N1214" s="55">
        <v>0</v>
      </c>
    </row>
    <row r="1215" spans="1:14" ht="10.050000000000001" hidden="1" customHeight="1">
      <c r="A1215" s="52" t="s">
        <v>310</v>
      </c>
      <c r="B1215" s="53">
        <v>2007</v>
      </c>
      <c r="C1215" s="52" t="s">
        <v>113</v>
      </c>
      <c r="D1215" s="54">
        <v>10</v>
      </c>
      <c r="E1215" s="55">
        <v>2051.3000000000002</v>
      </c>
      <c r="F1215" s="55">
        <v>0</v>
      </c>
      <c r="G1215" s="55">
        <v>2051.3000000000002</v>
      </c>
      <c r="H1215" s="55">
        <v>23658.5</v>
      </c>
      <c r="I1215" s="55">
        <v>801.4</v>
      </c>
      <c r="J1215" s="55">
        <v>24459.9</v>
      </c>
      <c r="K1215" s="55">
        <v>3723.8</v>
      </c>
      <c r="L1215" s="55">
        <v>154.6</v>
      </c>
      <c r="M1215" s="55">
        <v>955.7</v>
      </c>
      <c r="N1215" s="55">
        <v>16.5</v>
      </c>
    </row>
    <row r="1216" spans="1:14" ht="10.050000000000001" hidden="1" customHeight="1">
      <c r="A1216" s="52" t="s">
        <v>308</v>
      </c>
      <c r="B1216" s="53">
        <v>2007</v>
      </c>
      <c r="C1216" s="52" t="s">
        <v>113</v>
      </c>
      <c r="D1216" s="54">
        <v>10</v>
      </c>
      <c r="E1216" s="55">
        <v>88097.600000000006</v>
      </c>
      <c r="F1216" s="55">
        <v>6.6</v>
      </c>
      <c r="G1216" s="55">
        <v>88104.2</v>
      </c>
      <c r="H1216" s="55">
        <v>89557.3</v>
      </c>
      <c r="I1216" s="55">
        <v>299.3</v>
      </c>
      <c r="J1216" s="55">
        <v>89856.6</v>
      </c>
      <c r="K1216" s="55">
        <v>27587.5</v>
      </c>
      <c r="L1216" s="55">
        <v>27258.3</v>
      </c>
      <c r="M1216" s="55">
        <v>297.3</v>
      </c>
      <c r="N1216" s="55">
        <v>184.1</v>
      </c>
    </row>
    <row r="1217" spans="1:14" ht="10.050000000000001" hidden="1" customHeight="1">
      <c r="A1217" s="52" t="s">
        <v>174</v>
      </c>
      <c r="B1217" s="53">
        <v>2007</v>
      </c>
      <c r="C1217" s="52" t="s">
        <v>113</v>
      </c>
      <c r="D1217" s="54">
        <v>10</v>
      </c>
      <c r="E1217" s="55">
        <v>12442.4</v>
      </c>
      <c r="F1217" s="55">
        <v>1629.1</v>
      </c>
      <c r="G1217" s="55">
        <v>14071.5</v>
      </c>
      <c r="H1217" s="55">
        <v>181431.5</v>
      </c>
      <c r="I1217" s="55">
        <v>11872.8</v>
      </c>
      <c r="J1217" s="55">
        <v>193304.3</v>
      </c>
      <c r="K1217" s="55">
        <v>47278.7</v>
      </c>
      <c r="L1217" s="55">
        <v>1597.5</v>
      </c>
      <c r="M1217" s="55">
        <v>3287.7</v>
      </c>
      <c r="N1217" s="55">
        <v>3863.2</v>
      </c>
    </row>
    <row r="1218" spans="1:14" ht="10.050000000000001" hidden="1" customHeight="1">
      <c r="A1218" s="52" t="s">
        <v>314</v>
      </c>
      <c r="B1218" s="53">
        <v>2007</v>
      </c>
      <c r="C1218" s="52" t="s">
        <v>113</v>
      </c>
      <c r="D1218" s="54">
        <v>11</v>
      </c>
      <c r="E1218" s="55">
        <v>0</v>
      </c>
      <c r="F1218" s="55">
        <v>0</v>
      </c>
      <c r="G1218" s="55">
        <v>0</v>
      </c>
      <c r="H1218" s="55">
        <v>1.1000000000000001</v>
      </c>
      <c r="I1218" s="55">
        <v>0</v>
      </c>
      <c r="J1218" s="55">
        <v>1.1000000000000001</v>
      </c>
      <c r="K1218" s="55">
        <v>0</v>
      </c>
      <c r="L1218" s="55">
        <v>0</v>
      </c>
      <c r="M1218" s="55">
        <v>0</v>
      </c>
      <c r="N1218" s="55">
        <v>0</v>
      </c>
    </row>
    <row r="1219" spans="1:14" ht="10.050000000000001" hidden="1" customHeight="1">
      <c r="A1219" s="52" t="s">
        <v>306</v>
      </c>
      <c r="B1219" s="53">
        <v>2007</v>
      </c>
      <c r="C1219" s="52" t="s">
        <v>113</v>
      </c>
      <c r="D1219" s="54">
        <v>11</v>
      </c>
      <c r="E1219" s="55">
        <v>5013.3999999999996</v>
      </c>
      <c r="F1219" s="55">
        <v>1364.8</v>
      </c>
      <c r="G1219" s="55">
        <v>6378.2</v>
      </c>
      <c r="H1219" s="55">
        <v>77431.3</v>
      </c>
      <c r="I1219" s="55">
        <v>4251.1000000000004</v>
      </c>
      <c r="J1219" s="55">
        <v>81682.399999999994</v>
      </c>
      <c r="K1219" s="55">
        <v>8542.2000000000007</v>
      </c>
      <c r="L1219" s="55">
        <v>824.3</v>
      </c>
      <c r="M1219" s="55">
        <v>1802.2</v>
      </c>
      <c r="N1219" s="55">
        <v>396.9</v>
      </c>
    </row>
    <row r="1220" spans="1:14" ht="10.050000000000001" hidden="1" customHeight="1">
      <c r="A1220" s="52" t="s">
        <v>172</v>
      </c>
      <c r="B1220" s="53">
        <v>2007</v>
      </c>
      <c r="C1220" s="52" t="s">
        <v>113</v>
      </c>
      <c r="D1220" s="54">
        <v>11</v>
      </c>
      <c r="E1220" s="55">
        <v>94974.5</v>
      </c>
      <c r="F1220" s="55">
        <v>5353.1</v>
      </c>
      <c r="G1220" s="55">
        <v>100327.6</v>
      </c>
      <c r="H1220" s="55">
        <v>714447.9</v>
      </c>
      <c r="I1220" s="55">
        <v>21393.599999999999</v>
      </c>
      <c r="J1220" s="55">
        <v>735841.5</v>
      </c>
      <c r="K1220" s="55">
        <v>79993.3</v>
      </c>
      <c r="L1220" s="55">
        <v>21575.7</v>
      </c>
      <c r="M1220" s="55">
        <v>18209</v>
      </c>
      <c r="N1220" s="55">
        <v>834.1</v>
      </c>
    </row>
    <row r="1221" spans="1:14" ht="10.050000000000001" hidden="1" customHeight="1">
      <c r="A1221" s="52" t="s">
        <v>171</v>
      </c>
      <c r="B1221" s="53">
        <v>2007</v>
      </c>
      <c r="C1221" s="52" t="s">
        <v>113</v>
      </c>
      <c r="D1221" s="54">
        <v>11</v>
      </c>
      <c r="E1221" s="55">
        <v>1553441.3</v>
      </c>
      <c r="F1221" s="55">
        <v>13583.5</v>
      </c>
      <c r="G1221" s="55">
        <v>1567024.8</v>
      </c>
      <c r="H1221" s="55">
        <v>8463991.6999999993</v>
      </c>
      <c r="I1221" s="55">
        <v>82099.199999999997</v>
      </c>
      <c r="J1221" s="55">
        <v>8546090.9000000004</v>
      </c>
      <c r="K1221" s="55">
        <v>2289142.7000000002</v>
      </c>
      <c r="L1221" s="55">
        <v>344028.4</v>
      </c>
      <c r="M1221" s="55">
        <v>668038.5</v>
      </c>
      <c r="N1221" s="55">
        <v>26642.6</v>
      </c>
    </row>
    <row r="1222" spans="1:14" ht="10.050000000000001" hidden="1" customHeight="1">
      <c r="A1222" s="52" t="s">
        <v>300</v>
      </c>
      <c r="B1222" s="53">
        <v>2007</v>
      </c>
      <c r="C1222" s="52" t="s">
        <v>113</v>
      </c>
      <c r="D1222" s="54">
        <v>11</v>
      </c>
      <c r="E1222" s="55">
        <v>165.2</v>
      </c>
      <c r="F1222" s="55">
        <v>0</v>
      </c>
      <c r="G1222" s="55">
        <v>165.2</v>
      </c>
      <c r="H1222" s="55">
        <v>872.6</v>
      </c>
      <c r="I1222" s="55">
        <v>32.5</v>
      </c>
      <c r="J1222" s="55">
        <v>905.1</v>
      </c>
      <c r="K1222" s="55">
        <v>22.6</v>
      </c>
      <c r="L1222" s="55">
        <v>0</v>
      </c>
      <c r="M1222" s="55">
        <v>0</v>
      </c>
      <c r="N1222" s="55">
        <v>1.6</v>
      </c>
    </row>
    <row r="1223" spans="1:14" ht="10.050000000000001" hidden="1" customHeight="1">
      <c r="A1223" s="52" t="s">
        <v>307</v>
      </c>
      <c r="B1223" s="53">
        <v>2007</v>
      </c>
      <c r="C1223" s="52" t="s">
        <v>113</v>
      </c>
      <c r="D1223" s="54">
        <v>11</v>
      </c>
      <c r="E1223" s="55">
        <v>3444772.9</v>
      </c>
      <c r="F1223" s="55">
        <v>48371.199999999997</v>
      </c>
      <c r="G1223" s="55">
        <v>3493144.1</v>
      </c>
      <c r="H1223" s="55">
        <v>5772193.5</v>
      </c>
      <c r="I1223" s="55">
        <v>113755.5</v>
      </c>
      <c r="J1223" s="55">
        <v>5885949</v>
      </c>
      <c r="K1223" s="55">
        <v>3130759</v>
      </c>
      <c r="L1223" s="55">
        <v>1578604.9</v>
      </c>
      <c r="M1223" s="55">
        <v>404373.2</v>
      </c>
      <c r="N1223" s="55">
        <v>96645.5</v>
      </c>
    </row>
    <row r="1224" spans="1:14" ht="10.050000000000001" hidden="1" customHeight="1">
      <c r="A1224" s="52" t="s">
        <v>315</v>
      </c>
      <c r="B1224" s="53">
        <v>2007</v>
      </c>
      <c r="C1224" s="52" t="s">
        <v>113</v>
      </c>
      <c r="D1224" s="54">
        <v>11</v>
      </c>
      <c r="E1224" s="55">
        <v>3398.8</v>
      </c>
      <c r="F1224" s="55">
        <v>13.5</v>
      </c>
      <c r="G1224" s="55">
        <v>3412.3</v>
      </c>
      <c r="H1224" s="55">
        <v>14293.2</v>
      </c>
      <c r="I1224" s="55">
        <v>57</v>
      </c>
      <c r="J1224" s="55">
        <v>14350.2</v>
      </c>
      <c r="K1224" s="55">
        <v>989.3</v>
      </c>
      <c r="L1224" s="55">
        <v>295.60000000000002</v>
      </c>
      <c r="M1224" s="55">
        <v>1186.4000000000001</v>
      </c>
      <c r="N1224" s="55">
        <v>1.8</v>
      </c>
    </row>
    <row r="1225" spans="1:14" ht="10.050000000000001" hidden="1" customHeight="1">
      <c r="A1225" s="52" t="s">
        <v>173</v>
      </c>
      <c r="B1225" s="53">
        <v>2007</v>
      </c>
      <c r="C1225" s="52" t="s">
        <v>113</v>
      </c>
      <c r="D1225" s="54">
        <v>11</v>
      </c>
      <c r="E1225" s="55">
        <v>252091.1</v>
      </c>
      <c r="F1225" s="55">
        <v>27461.200000000001</v>
      </c>
      <c r="G1225" s="55">
        <v>279552.3</v>
      </c>
      <c r="H1225" s="55">
        <v>3591962.8</v>
      </c>
      <c r="I1225" s="55">
        <v>54167.8</v>
      </c>
      <c r="J1225" s="55">
        <v>3646130.6</v>
      </c>
      <c r="K1225" s="55">
        <v>410546.6</v>
      </c>
      <c r="L1225" s="55">
        <v>42065.8</v>
      </c>
      <c r="M1225" s="55">
        <v>80627.399999999994</v>
      </c>
      <c r="N1225" s="55">
        <v>9876.5</v>
      </c>
    </row>
    <row r="1226" spans="1:14" ht="10.050000000000001" customHeight="1">
      <c r="A1226" s="52" t="s">
        <v>309</v>
      </c>
      <c r="B1226" s="53">
        <v>2007</v>
      </c>
      <c r="C1226" s="52" t="s">
        <v>113</v>
      </c>
      <c r="D1226" s="54">
        <v>11</v>
      </c>
      <c r="E1226" s="55">
        <v>2142.5</v>
      </c>
      <c r="F1226" s="55">
        <v>0</v>
      </c>
      <c r="G1226" s="55">
        <v>2142.5</v>
      </c>
      <c r="H1226" s="55">
        <v>70708.100000000006</v>
      </c>
      <c r="I1226" s="55">
        <v>0</v>
      </c>
      <c r="J1226" s="55">
        <v>70708.100000000006</v>
      </c>
      <c r="K1226" s="55">
        <v>5331.5</v>
      </c>
      <c r="L1226" s="55">
        <v>0</v>
      </c>
      <c r="M1226" s="55">
        <v>1004.8</v>
      </c>
      <c r="N1226" s="55">
        <v>0</v>
      </c>
    </row>
    <row r="1227" spans="1:14" ht="10.050000000000001" hidden="1" customHeight="1">
      <c r="A1227" s="52" t="s">
        <v>316</v>
      </c>
      <c r="B1227" s="53">
        <v>2007</v>
      </c>
      <c r="C1227" s="52" t="s">
        <v>113</v>
      </c>
      <c r="D1227" s="54">
        <v>11</v>
      </c>
      <c r="E1227" s="55">
        <v>627.9</v>
      </c>
      <c r="F1227" s="55">
        <v>5</v>
      </c>
      <c r="G1227" s="55">
        <v>632.9</v>
      </c>
      <c r="H1227" s="55">
        <v>3939.8</v>
      </c>
      <c r="I1227" s="55">
        <v>55.4</v>
      </c>
      <c r="J1227" s="55">
        <v>3995.2</v>
      </c>
      <c r="K1227" s="55">
        <v>0</v>
      </c>
      <c r="L1227" s="55">
        <v>0</v>
      </c>
      <c r="M1227" s="55">
        <v>0</v>
      </c>
      <c r="N1227" s="55">
        <v>0</v>
      </c>
    </row>
    <row r="1228" spans="1:14" ht="10.050000000000001" hidden="1" customHeight="1">
      <c r="A1228" s="52" t="s">
        <v>310</v>
      </c>
      <c r="B1228" s="53">
        <v>2007</v>
      </c>
      <c r="C1228" s="52" t="s">
        <v>113</v>
      </c>
      <c r="D1228" s="54">
        <v>11</v>
      </c>
      <c r="E1228" s="55">
        <v>2390</v>
      </c>
      <c r="F1228" s="55">
        <v>0</v>
      </c>
      <c r="G1228" s="55">
        <v>2390</v>
      </c>
      <c r="H1228" s="55">
        <v>21617.4</v>
      </c>
      <c r="I1228" s="55">
        <v>801.1</v>
      </c>
      <c r="J1228" s="55">
        <v>22418.5</v>
      </c>
      <c r="K1228" s="55">
        <v>3120.5</v>
      </c>
      <c r="L1228" s="55">
        <v>0</v>
      </c>
      <c r="M1228" s="55">
        <v>572.9</v>
      </c>
      <c r="N1228" s="55">
        <v>45.5</v>
      </c>
    </row>
    <row r="1229" spans="1:14" ht="10.050000000000001" hidden="1" customHeight="1">
      <c r="A1229" s="52" t="s">
        <v>308</v>
      </c>
      <c r="B1229" s="53">
        <v>2007</v>
      </c>
      <c r="C1229" s="52" t="s">
        <v>113</v>
      </c>
      <c r="D1229" s="54">
        <v>11</v>
      </c>
      <c r="E1229" s="55">
        <v>37165.9</v>
      </c>
      <c r="F1229" s="55">
        <v>3.9</v>
      </c>
      <c r="G1229" s="55">
        <v>37169.800000000003</v>
      </c>
      <c r="H1229" s="55">
        <v>113903.5</v>
      </c>
      <c r="I1229" s="55">
        <v>307.2</v>
      </c>
      <c r="J1229" s="55">
        <v>114210.7</v>
      </c>
      <c r="K1229" s="55">
        <v>31591.3</v>
      </c>
      <c r="L1229" s="55">
        <v>8184.7</v>
      </c>
      <c r="M1229" s="55">
        <v>3518.5</v>
      </c>
      <c r="N1229" s="55">
        <v>662.4</v>
      </c>
    </row>
    <row r="1230" spans="1:14" ht="10.050000000000001" hidden="1" customHeight="1">
      <c r="A1230" s="52" t="s">
        <v>174</v>
      </c>
      <c r="B1230" s="53">
        <v>2007</v>
      </c>
      <c r="C1230" s="52" t="s">
        <v>113</v>
      </c>
      <c r="D1230" s="54">
        <v>11</v>
      </c>
      <c r="E1230" s="55">
        <v>7867.2</v>
      </c>
      <c r="F1230" s="55">
        <v>145.9</v>
      </c>
      <c r="G1230" s="55">
        <v>8013.1</v>
      </c>
      <c r="H1230" s="55">
        <v>163894.6</v>
      </c>
      <c r="I1230" s="55">
        <v>9819.5</v>
      </c>
      <c r="J1230" s="55">
        <v>173714.1</v>
      </c>
      <c r="K1230" s="55">
        <v>42826.5</v>
      </c>
      <c r="L1230" s="55">
        <v>1899.9</v>
      </c>
      <c r="M1230" s="55">
        <v>2656.6</v>
      </c>
      <c r="N1230" s="55">
        <v>3916.1</v>
      </c>
    </row>
    <row r="1231" spans="1:14" ht="10.050000000000001" hidden="1" customHeight="1">
      <c r="A1231" s="52" t="s">
        <v>314</v>
      </c>
      <c r="B1231" s="53">
        <v>2007</v>
      </c>
      <c r="C1231" s="52" t="s">
        <v>113</v>
      </c>
      <c r="D1231" s="54">
        <v>12</v>
      </c>
      <c r="E1231" s="55">
        <v>18.399999999999999</v>
      </c>
      <c r="F1231" s="55">
        <v>0</v>
      </c>
      <c r="G1231" s="55">
        <v>18.399999999999999</v>
      </c>
      <c r="H1231" s="55">
        <v>1.1000000000000001</v>
      </c>
      <c r="I1231" s="55">
        <v>0</v>
      </c>
      <c r="J1231" s="55">
        <v>1.1000000000000001</v>
      </c>
      <c r="K1231" s="55">
        <v>0</v>
      </c>
      <c r="L1231" s="55">
        <v>0</v>
      </c>
      <c r="M1231" s="55">
        <v>0</v>
      </c>
      <c r="N1231" s="55">
        <v>0</v>
      </c>
    </row>
    <row r="1232" spans="1:14" ht="10.050000000000001" hidden="1" customHeight="1">
      <c r="A1232" s="52" t="s">
        <v>306</v>
      </c>
      <c r="B1232" s="53">
        <v>2007</v>
      </c>
      <c r="C1232" s="52" t="s">
        <v>113</v>
      </c>
      <c r="D1232" s="54">
        <v>12</v>
      </c>
      <c r="E1232" s="55">
        <v>4366.3999999999996</v>
      </c>
      <c r="F1232" s="55">
        <v>836.5</v>
      </c>
      <c r="G1232" s="55">
        <v>5202.8999999999996</v>
      </c>
      <c r="H1232" s="55">
        <v>71462.899999999994</v>
      </c>
      <c r="I1232" s="55">
        <v>4464.7</v>
      </c>
      <c r="J1232" s="55">
        <v>75927.600000000006</v>
      </c>
      <c r="K1232" s="55">
        <v>7508.4</v>
      </c>
      <c r="L1232" s="55">
        <v>1081.3</v>
      </c>
      <c r="M1232" s="55">
        <v>1625.1</v>
      </c>
      <c r="N1232" s="55">
        <v>490</v>
      </c>
    </row>
    <row r="1233" spans="1:14" ht="10.050000000000001" hidden="1" customHeight="1">
      <c r="A1233" s="52" t="s">
        <v>172</v>
      </c>
      <c r="B1233" s="53">
        <v>2007</v>
      </c>
      <c r="C1233" s="52" t="s">
        <v>113</v>
      </c>
      <c r="D1233" s="54">
        <v>12</v>
      </c>
      <c r="E1233" s="55">
        <v>76523.899999999994</v>
      </c>
      <c r="F1233" s="55">
        <v>306.5</v>
      </c>
      <c r="G1233" s="55">
        <v>76830.399999999994</v>
      </c>
      <c r="H1233" s="55">
        <v>685484.2</v>
      </c>
      <c r="I1233" s="55">
        <v>21237.599999999999</v>
      </c>
      <c r="J1233" s="55">
        <v>706721.8</v>
      </c>
      <c r="K1233" s="55">
        <v>86759.6</v>
      </c>
      <c r="L1233" s="55">
        <v>21509.7</v>
      </c>
      <c r="M1233" s="55">
        <v>14702.7</v>
      </c>
      <c r="N1233" s="55">
        <v>40.700000000000003</v>
      </c>
    </row>
    <row r="1234" spans="1:14" ht="10.050000000000001" hidden="1" customHeight="1">
      <c r="A1234" s="52" t="s">
        <v>171</v>
      </c>
      <c r="B1234" s="53">
        <v>2007</v>
      </c>
      <c r="C1234" s="52" t="s">
        <v>113</v>
      </c>
      <c r="D1234" s="54">
        <v>12</v>
      </c>
      <c r="E1234" s="55">
        <v>1057321.3999999999</v>
      </c>
      <c r="F1234" s="55">
        <v>7534.1</v>
      </c>
      <c r="G1234" s="55">
        <v>1064855.5</v>
      </c>
      <c r="H1234" s="55">
        <v>7632954.7999999998</v>
      </c>
      <c r="I1234" s="55">
        <v>67541.3</v>
      </c>
      <c r="J1234" s="55">
        <v>7700496.0999999996</v>
      </c>
      <c r="K1234" s="55">
        <v>2166824.2000000002</v>
      </c>
      <c r="L1234" s="55">
        <v>311708.59999999998</v>
      </c>
      <c r="M1234" s="55">
        <v>415808.1</v>
      </c>
      <c r="N1234" s="55">
        <v>15864.9</v>
      </c>
    </row>
    <row r="1235" spans="1:14" ht="10.050000000000001" hidden="1" customHeight="1">
      <c r="A1235" s="52" t="s">
        <v>300</v>
      </c>
      <c r="B1235" s="53">
        <v>2007</v>
      </c>
      <c r="C1235" s="52" t="s">
        <v>113</v>
      </c>
      <c r="D1235" s="54">
        <v>12</v>
      </c>
      <c r="E1235" s="55">
        <v>124.5</v>
      </c>
      <c r="F1235" s="55">
        <v>0</v>
      </c>
      <c r="G1235" s="55">
        <v>124.5</v>
      </c>
      <c r="H1235" s="55">
        <v>832.8</v>
      </c>
      <c r="I1235" s="55">
        <v>31.2</v>
      </c>
      <c r="J1235" s="55">
        <v>864</v>
      </c>
      <c r="K1235" s="55">
        <v>38.200000000000003</v>
      </c>
      <c r="L1235" s="55">
        <v>0</v>
      </c>
      <c r="M1235" s="55">
        <v>0</v>
      </c>
      <c r="N1235" s="55">
        <v>1.4</v>
      </c>
    </row>
    <row r="1236" spans="1:14" ht="10.050000000000001" hidden="1" customHeight="1">
      <c r="A1236" s="52" t="s">
        <v>307</v>
      </c>
      <c r="B1236" s="53">
        <v>2007</v>
      </c>
      <c r="C1236" s="52" t="s">
        <v>113</v>
      </c>
      <c r="D1236" s="54">
        <v>12</v>
      </c>
      <c r="E1236" s="55">
        <v>641590.6</v>
      </c>
      <c r="F1236" s="55">
        <v>10911.6</v>
      </c>
      <c r="G1236" s="55">
        <v>652502.200000001</v>
      </c>
      <c r="H1236" s="55">
        <v>5546735.9000000004</v>
      </c>
      <c r="I1236" s="55">
        <v>110910.7</v>
      </c>
      <c r="J1236" s="55">
        <v>5657646.5999999996</v>
      </c>
      <c r="K1236" s="55">
        <v>3060366.8</v>
      </c>
      <c r="L1236" s="55">
        <v>216507.3</v>
      </c>
      <c r="M1236" s="55">
        <v>220900.3</v>
      </c>
      <c r="N1236" s="55">
        <v>64264.2</v>
      </c>
    </row>
    <row r="1237" spans="1:14" ht="10.050000000000001" hidden="1" customHeight="1">
      <c r="A1237" s="52" t="s">
        <v>315</v>
      </c>
      <c r="B1237" s="53">
        <v>2007</v>
      </c>
      <c r="C1237" s="52" t="s">
        <v>113</v>
      </c>
      <c r="D1237" s="54">
        <v>12</v>
      </c>
      <c r="E1237" s="55">
        <v>1017.3</v>
      </c>
      <c r="F1237" s="55">
        <v>0</v>
      </c>
      <c r="G1237" s="55">
        <v>1017.3</v>
      </c>
      <c r="H1237" s="55">
        <v>13101.6</v>
      </c>
      <c r="I1237" s="55">
        <v>57</v>
      </c>
      <c r="J1237" s="55">
        <v>13158.6</v>
      </c>
      <c r="K1237" s="55">
        <v>553.70000000000005</v>
      </c>
      <c r="L1237" s="55">
        <v>21.1</v>
      </c>
      <c r="M1237" s="55">
        <v>456.4</v>
      </c>
      <c r="N1237" s="55">
        <v>0.3</v>
      </c>
    </row>
    <row r="1238" spans="1:14" ht="10.050000000000001" hidden="1" customHeight="1">
      <c r="A1238" s="52" t="s">
        <v>173</v>
      </c>
      <c r="B1238" s="53">
        <v>2007</v>
      </c>
      <c r="C1238" s="52" t="s">
        <v>113</v>
      </c>
      <c r="D1238" s="54">
        <v>12</v>
      </c>
      <c r="E1238" s="55">
        <v>188549.6</v>
      </c>
      <c r="F1238" s="55">
        <v>12257.8</v>
      </c>
      <c r="G1238" s="55">
        <v>200807.4</v>
      </c>
      <c r="H1238" s="55">
        <v>3276665.3</v>
      </c>
      <c r="I1238" s="55">
        <v>48083</v>
      </c>
      <c r="J1238" s="55">
        <v>3324748.3</v>
      </c>
      <c r="K1238" s="55">
        <v>373159.5</v>
      </c>
      <c r="L1238" s="55">
        <v>36255.599999999999</v>
      </c>
      <c r="M1238" s="55">
        <v>64852.7</v>
      </c>
      <c r="N1238" s="55">
        <v>8448.1</v>
      </c>
    </row>
    <row r="1239" spans="1:14" ht="10.050000000000001" customHeight="1">
      <c r="A1239" s="52" t="s">
        <v>309</v>
      </c>
      <c r="B1239" s="53">
        <v>2007</v>
      </c>
      <c r="C1239" s="52" t="s">
        <v>113</v>
      </c>
      <c r="D1239" s="54">
        <v>12</v>
      </c>
      <c r="E1239" s="55">
        <v>4245.1000000000004</v>
      </c>
      <c r="F1239" s="55">
        <v>0</v>
      </c>
      <c r="G1239" s="55">
        <v>4245.1000000000004</v>
      </c>
      <c r="H1239" s="55">
        <v>65395.4</v>
      </c>
      <c r="I1239" s="55">
        <v>0</v>
      </c>
      <c r="J1239" s="55">
        <v>65395.4</v>
      </c>
      <c r="K1239" s="55">
        <v>5000.6000000000004</v>
      </c>
      <c r="L1239" s="55">
        <v>0</v>
      </c>
      <c r="M1239" s="55">
        <v>330.9</v>
      </c>
      <c r="N1239" s="55">
        <v>0</v>
      </c>
    </row>
    <row r="1240" spans="1:14" ht="10.050000000000001" hidden="1" customHeight="1">
      <c r="A1240" s="52" t="s">
        <v>316</v>
      </c>
      <c r="B1240" s="53">
        <v>2007</v>
      </c>
      <c r="C1240" s="52" t="s">
        <v>113</v>
      </c>
      <c r="D1240" s="54">
        <v>12</v>
      </c>
      <c r="E1240" s="55">
        <v>129.19999999999999</v>
      </c>
      <c r="F1240" s="55">
        <v>0</v>
      </c>
      <c r="G1240" s="55">
        <v>129.19999999999999</v>
      </c>
      <c r="H1240" s="55">
        <v>3952.7</v>
      </c>
      <c r="I1240" s="55">
        <v>55.4</v>
      </c>
      <c r="J1240" s="55">
        <v>4008.1</v>
      </c>
      <c r="K1240" s="55">
        <v>4.8</v>
      </c>
      <c r="L1240" s="55">
        <v>4.8</v>
      </c>
      <c r="M1240" s="55">
        <v>0</v>
      </c>
      <c r="N1240" s="55">
        <v>0</v>
      </c>
    </row>
    <row r="1241" spans="1:14" ht="10.050000000000001" hidden="1" customHeight="1">
      <c r="A1241" s="52" t="s">
        <v>310</v>
      </c>
      <c r="B1241" s="53">
        <v>2007</v>
      </c>
      <c r="C1241" s="52" t="s">
        <v>113</v>
      </c>
      <c r="D1241" s="54">
        <v>12</v>
      </c>
      <c r="E1241" s="55">
        <v>1368.1</v>
      </c>
      <c r="F1241" s="55">
        <v>0</v>
      </c>
      <c r="G1241" s="55">
        <v>1368.1</v>
      </c>
      <c r="H1241" s="55">
        <v>20048.900000000001</v>
      </c>
      <c r="I1241" s="55">
        <v>767.5</v>
      </c>
      <c r="J1241" s="55">
        <v>20816.400000000001</v>
      </c>
      <c r="K1241" s="55">
        <v>2639.6</v>
      </c>
      <c r="L1241" s="55">
        <v>147.6</v>
      </c>
      <c r="M1241" s="55">
        <v>597.79999999999995</v>
      </c>
      <c r="N1241" s="55">
        <v>30.7</v>
      </c>
    </row>
    <row r="1242" spans="1:14" ht="10.050000000000001" hidden="1" customHeight="1">
      <c r="A1242" s="52" t="s">
        <v>308</v>
      </c>
      <c r="B1242" s="53">
        <v>2007</v>
      </c>
      <c r="C1242" s="52" t="s">
        <v>113</v>
      </c>
      <c r="D1242" s="54">
        <v>12</v>
      </c>
      <c r="E1242" s="55">
        <v>6879.6</v>
      </c>
      <c r="F1242" s="55">
        <v>325.89999999999998</v>
      </c>
      <c r="G1242" s="55">
        <v>7205.5</v>
      </c>
      <c r="H1242" s="55">
        <v>105838.6</v>
      </c>
      <c r="I1242" s="55">
        <v>501.2</v>
      </c>
      <c r="J1242" s="55">
        <v>106339.8</v>
      </c>
      <c r="K1242" s="55">
        <v>29656.9</v>
      </c>
      <c r="L1242" s="55">
        <v>1295.4000000000001</v>
      </c>
      <c r="M1242" s="55">
        <v>2929.2</v>
      </c>
      <c r="N1242" s="55">
        <v>300.60000000000002</v>
      </c>
    </row>
    <row r="1243" spans="1:14" ht="10.050000000000001" hidden="1" customHeight="1">
      <c r="A1243" s="52" t="s">
        <v>174</v>
      </c>
      <c r="B1243" s="53">
        <v>2007</v>
      </c>
      <c r="C1243" s="52" t="s">
        <v>113</v>
      </c>
      <c r="D1243" s="54">
        <v>12</v>
      </c>
      <c r="E1243" s="55">
        <v>5362.7</v>
      </c>
      <c r="F1243" s="55">
        <v>0</v>
      </c>
      <c r="G1243" s="55">
        <v>5362.7</v>
      </c>
      <c r="H1243" s="55">
        <v>148696.20000000001</v>
      </c>
      <c r="I1243" s="55">
        <v>8848.7999999999993</v>
      </c>
      <c r="J1243" s="55">
        <v>157545</v>
      </c>
      <c r="K1243" s="55">
        <v>37655.1</v>
      </c>
      <c r="L1243" s="55">
        <v>1102.4000000000001</v>
      </c>
      <c r="M1243" s="55">
        <v>2563.4</v>
      </c>
      <c r="N1243" s="55">
        <v>3658.9</v>
      </c>
    </row>
    <row r="1244" spans="1:14" ht="10.050000000000001" hidden="1" customHeight="1">
      <c r="A1244" s="52" t="s">
        <v>171</v>
      </c>
      <c r="B1244" s="53">
        <v>2007</v>
      </c>
      <c r="C1244" s="52" t="s">
        <v>107</v>
      </c>
      <c r="D1244" s="54">
        <v>7</v>
      </c>
      <c r="E1244" s="55">
        <v>39</v>
      </c>
      <c r="F1244" s="55">
        <v>0</v>
      </c>
      <c r="G1244" s="55">
        <v>39</v>
      </c>
      <c r="H1244" s="55">
        <v>0</v>
      </c>
      <c r="I1244" s="55">
        <v>0</v>
      </c>
      <c r="J1244" s="55">
        <v>0</v>
      </c>
      <c r="K1244" s="55">
        <v>0</v>
      </c>
      <c r="L1244" s="55">
        <v>0</v>
      </c>
      <c r="M1244" s="55">
        <v>0</v>
      </c>
      <c r="N1244" s="55">
        <v>0</v>
      </c>
    </row>
    <row r="1245" spans="1:14" ht="10.050000000000001" hidden="1" customHeight="1">
      <c r="A1245" s="52" t="s">
        <v>173</v>
      </c>
      <c r="B1245" s="53">
        <v>2007</v>
      </c>
      <c r="C1245" s="52" t="s">
        <v>107</v>
      </c>
      <c r="D1245" s="54">
        <v>7</v>
      </c>
      <c r="E1245" s="55">
        <v>72.2</v>
      </c>
      <c r="F1245" s="55">
        <v>0</v>
      </c>
      <c r="G1245" s="55">
        <v>72.2</v>
      </c>
      <c r="H1245" s="55">
        <v>0</v>
      </c>
      <c r="I1245" s="55">
        <v>0</v>
      </c>
      <c r="J1245" s="55">
        <v>0</v>
      </c>
      <c r="K1245" s="55">
        <v>0</v>
      </c>
      <c r="L1245" s="55">
        <v>0</v>
      </c>
      <c r="M1245" s="55">
        <v>0</v>
      </c>
      <c r="N1245" s="55">
        <v>0</v>
      </c>
    </row>
    <row r="1246" spans="1:14" ht="10.050000000000001" hidden="1" customHeight="1">
      <c r="A1246" s="52" t="s">
        <v>174</v>
      </c>
      <c r="B1246" s="53">
        <v>2007</v>
      </c>
      <c r="C1246" s="52" t="s">
        <v>107</v>
      </c>
      <c r="D1246" s="54">
        <v>7</v>
      </c>
      <c r="E1246" s="55">
        <v>27</v>
      </c>
      <c r="F1246" s="55">
        <v>0</v>
      </c>
      <c r="G1246" s="55">
        <v>27</v>
      </c>
      <c r="H1246" s="55">
        <v>0</v>
      </c>
      <c r="I1246" s="55">
        <v>0</v>
      </c>
      <c r="J1246" s="55">
        <v>0</v>
      </c>
      <c r="K1246" s="55">
        <v>0</v>
      </c>
      <c r="L1246" s="55">
        <v>0</v>
      </c>
      <c r="M1246" s="55">
        <v>0</v>
      </c>
      <c r="N1246" s="55">
        <v>0</v>
      </c>
    </row>
    <row r="1247" spans="1:14" ht="10.050000000000001" hidden="1" customHeight="1">
      <c r="A1247" s="52" t="s">
        <v>314</v>
      </c>
      <c r="B1247" s="53">
        <v>2008</v>
      </c>
      <c r="C1247" s="52" t="s">
        <v>113</v>
      </c>
      <c r="D1247" s="54">
        <v>1</v>
      </c>
      <c r="E1247" s="55">
        <v>0</v>
      </c>
      <c r="F1247" s="55">
        <v>0</v>
      </c>
      <c r="G1247" s="55">
        <v>0</v>
      </c>
      <c r="H1247" s="55">
        <v>1.1000000000000001</v>
      </c>
      <c r="I1247" s="55">
        <v>0</v>
      </c>
      <c r="J1247" s="55">
        <v>1.1000000000000001</v>
      </c>
      <c r="K1247" s="55">
        <v>0</v>
      </c>
      <c r="L1247" s="55">
        <v>0</v>
      </c>
      <c r="M1247" s="55">
        <v>0</v>
      </c>
      <c r="N1247" s="55">
        <v>0</v>
      </c>
    </row>
    <row r="1248" spans="1:14" ht="10.050000000000001" hidden="1" customHeight="1">
      <c r="A1248" s="52" t="s">
        <v>306</v>
      </c>
      <c r="B1248" s="53">
        <v>2008</v>
      </c>
      <c r="C1248" s="52" t="s">
        <v>113</v>
      </c>
      <c r="D1248" s="54">
        <v>1</v>
      </c>
      <c r="E1248" s="55">
        <v>4792.6000000000004</v>
      </c>
      <c r="F1248" s="55">
        <v>455.4</v>
      </c>
      <c r="G1248" s="55">
        <v>5248</v>
      </c>
      <c r="H1248" s="55">
        <v>63943.3</v>
      </c>
      <c r="I1248" s="55">
        <v>3535.3</v>
      </c>
      <c r="J1248" s="55">
        <v>67478.600000000006</v>
      </c>
      <c r="K1248" s="55">
        <v>6013.6</v>
      </c>
      <c r="L1248" s="55">
        <v>326.2</v>
      </c>
      <c r="M1248" s="55">
        <v>1580.1</v>
      </c>
      <c r="N1248" s="55">
        <v>261</v>
      </c>
    </row>
    <row r="1249" spans="1:14" ht="10.050000000000001" hidden="1" customHeight="1">
      <c r="A1249" s="52" t="s">
        <v>172</v>
      </c>
      <c r="B1249" s="53">
        <v>2008</v>
      </c>
      <c r="C1249" s="52" t="s">
        <v>113</v>
      </c>
      <c r="D1249" s="54">
        <v>1</v>
      </c>
      <c r="E1249" s="55">
        <v>151141.79999999999</v>
      </c>
      <c r="F1249" s="55">
        <v>1.5</v>
      </c>
      <c r="G1249" s="55">
        <v>151143.29999999999</v>
      </c>
      <c r="H1249" s="55">
        <v>639942.30000000005</v>
      </c>
      <c r="I1249" s="55">
        <v>17743.3</v>
      </c>
      <c r="J1249" s="55">
        <v>657685.6</v>
      </c>
      <c r="K1249" s="55">
        <v>44872.7</v>
      </c>
      <c r="L1249" s="55">
        <v>11918.1</v>
      </c>
      <c r="M1249" s="55">
        <v>53491.6</v>
      </c>
      <c r="N1249" s="55">
        <v>407.6</v>
      </c>
    </row>
    <row r="1250" spans="1:14" ht="10.050000000000001" hidden="1" customHeight="1">
      <c r="A1250" s="52" t="s">
        <v>171</v>
      </c>
      <c r="B1250" s="53">
        <v>2008</v>
      </c>
      <c r="C1250" s="52" t="s">
        <v>113</v>
      </c>
      <c r="D1250" s="54">
        <v>1</v>
      </c>
      <c r="E1250" s="55">
        <v>1907505.4</v>
      </c>
      <c r="F1250" s="55">
        <v>2948.7</v>
      </c>
      <c r="G1250" s="55">
        <v>1910454.1</v>
      </c>
      <c r="H1250" s="55">
        <v>7378826.5</v>
      </c>
      <c r="I1250" s="55">
        <v>51125.5</v>
      </c>
      <c r="J1250" s="55">
        <v>7429952</v>
      </c>
      <c r="K1250" s="55">
        <v>1820328</v>
      </c>
      <c r="L1250" s="55">
        <v>352436.4</v>
      </c>
      <c r="M1250" s="55">
        <v>684831.4</v>
      </c>
      <c r="N1250" s="55">
        <v>20116.7</v>
      </c>
    </row>
    <row r="1251" spans="1:14" ht="10.050000000000001" hidden="1" customHeight="1">
      <c r="A1251" s="52" t="s">
        <v>300</v>
      </c>
      <c r="B1251" s="53">
        <v>2008</v>
      </c>
      <c r="C1251" s="52" t="s">
        <v>113</v>
      </c>
      <c r="D1251" s="54">
        <v>1</v>
      </c>
      <c r="E1251" s="55">
        <v>45.7</v>
      </c>
      <c r="F1251" s="55">
        <v>0</v>
      </c>
      <c r="G1251" s="55">
        <v>45.7</v>
      </c>
      <c r="H1251" s="55">
        <v>704</v>
      </c>
      <c r="I1251" s="55">
        <v>31.2</v>
      </c>
      <c r="J1251" s="55">
        <v>735.2</v>
      </c>
      <c r="K1251" s="55">
        <v>20.8</v>
      </c>
      <c r="L1251" s="55">
        <v>1.1000000000000001</v>
      </c>
      <c r="M1251" s="55">
        <v>0</v>
      </c>
      <c r="N1251" s="55">
        <v>1.5</v>
      </c>
    </row>
    <row r="1252" spans="1:14" ht="10.050000000000001" hidden="1" customHeight="1">
      <c r="A1252" s="52" t="s">
        <v>307</v>
      </c>
      <c r="B1252" s="53">
        <v>2008</v>
      </c>
      <c r="C1252" s="52" t="s">
        <v>113</v>
      </c>
      <c r="D1252" s="54">
        <v>1</v>
      </c>
      <c r="E1252" s="55">
        <v>893906.8</v>
      </c>
      <c r="F1252" s="55">
        <v>1413.1</v>
      </c>
      <c r="G1252" s="55">
        <v>895319.9</v>
      </c>
      <c r="H1252" s="55">
        <v>5332729.5999999996</v>
      </c>
      <c r="I1252" s="55">
        <v>74069.600000000006</v>
      </c>
      <c r="J1252" s="55">
        <v>5406799.2000000002</v>
      </c>
      <c r="K1252" s="55">
        <v>2351965.2000000002</v>
      </c>
      <c r="L1252" s="55">
        <v>52625</v>
      </c>
      <c r="M1252" s="55">
        <v>693587.2</v>
      </c>
      <c r="N1252" s="55">
        <v>68344.899999999994</v>
      </c>
    </row>
    <row r="1253" spans="1:14" ht="10.050000000000001" hidden="1" customHeight="1">
      <c r="A1253" s="52" t="s">
        <v>315</v>
      </c>
      <c r="B1253" s="53">
        <v>2008</v>
      </c>
      <c r="C1253" s="52" t="s">
        <v>113</v>
      </c>
      <c r="D1253" s="54">
        <v>1</v>
      </c>
      <c r="E1253" s="55">
        <v>855.1</v>
      </c>
      <c r="F1253" s="55">
        <v>0</v>
      </c>
      <c r="G1253" s="55">
        <v>855.1</v>
      </c>
      <c r="H1253" s="55">
        <v>10152.299999999999</v>
      </c>
      <c r="I1253" s="55">
        <v>57</v>
      </c>
      <c r="J1253" s="55">
        <v>10209.299999999999</v>
      </c>
      <c r="K1253" s="55">
        <v>255.9</v>
      </c>
      <c r="L1253" s="55">
        <v>137.5</v>
      </c>
      <c r="M1253" s="55">
        <v>435.3</v>
      </c>
      <c r="N1253" s="55">
        <v>0</v>
      </c>
    </row>
    <row r="1254" spans="1:14" ht="10.050000000000001" hidden="1" customHeight="1">
      <c r="A1254" s="52" t="s">
        <v>173</v>
      </c>
      <c r="B1254" s="53">
        <v>2008</v>
      </c>
      <c r="C1254" s="52" t="s">
        <v>113</v>
      </c>
      <c r="D1254" s="54">
        <v>1</v>
      </c>
      <c r="E1254" s="55">
        <v>289844.7</v>
      </c>
      <c r="F1254" s="55">
        <v>8322.6</v>
      </c>
      <c r="G1254" s="55">
        <v>298167.3</v>
      </c>
      <c r="H1254" s="55">
        <v>3009463.3</v>
      </c>
      <c r="I1254" s="55">
        <v>33430.400000000001</v>
      </c>
      <c r="J1254" s="55">
        <v>3042893.7</v>
      </c>
      <c r="K1254" s="55">
        <v>286133.7</v>
      </c>
      <c r="L1254" s="55">
        <v>39537</v>
      </c>
      <c r="M1254" s="55">
        <v>118112.6</v>
      </c>
      <c r="N1254" s="55">
        <v>8733.5</v>
      </c>
    </row>
    <row r="1255" spans="1:14" ht="10.050000000000001" customHeight="1">
      <c r="A1255" s="52" t="s">
        <v>309</v>
      </c>
      <c r="B1255" s="53">
        <v>2008</v>
      </c>
      <c r="C1255" s="52" t="s">
        <v>113</v>
      </c>
      <c r="D1255" s="54">
        <v>1</v>
      </c>
      <c r="E1255" s="55">
        <v>1929.8</v>
      </c>
      <c r="F1255" s="55">
        <v>0</v>
      </c>
      <c r="G1255" s="55">
        <v>1929.8</v>
      </c>
      <c r="H1255" s="55">
        <v>60553.7</v>
      </c>
      <c r="I1255" s="55">
        <v>0</v>
      </c>
      <c r="J1255" s="55">
        <v>60553.7</v>
      </c>
      <c r="K1255" s="55">
        <v>3080.9</v>
      </c>
      <c r="L1255" s="55">
        <v>0</v>
      </c>
      <c r="M1255" s="55">
        <v>1919.7</v>
      </c>
      <c r="N1255" s="55">
        <v>0</v>
      </c>
    </row>
    <row r="1256" spans="1:14" ht="10.050000000000001" hidden="1" customHeight="1">
      <c r="A1256" s="52" t="s">
        <v>316</v>
      </c>
      <c r="B1256" s="53">
        <v>2008</v>
      </c>
      <c r="C1256" s="52" t="s">
        <v>113</v>
      </c>
      <c r="D1256" s="54">
        <v>1</v>
      </c>
      <c r="E1256" s="55">
        <v>47.9</v>
      </c>
      <c r="F1256" s="55">
        <v>11.7</v>
      </c>
      <c r="G1256" s="55">
        <v>59.6</v>
      </c>
      <c r="H1256" s="55">
        <v>3439.2</v>
      </c>
      <c r="I1256" s="55">
        <v>67.099999999999994</v>
      </c>
      <c r="J1256" s="55">
        <v>3506.3</v>
      </c>
      <c r="K1256" s="55">
        <v>26.8</v>
      </c>
      <c r="L1256" s="55">
        <v>22</v>
      </c>
      <c r="M1256" s="55">
        <v>0</v>
      </c>
      <c r="N1256" s="55">
        <v>0</v>
      </c>
    </row>
    <row r="1257" spans="1:14" ht="10.050000000000001" hidden="1" customHeight="1">
      <c r="A1257" s="52" t="s">
        <v>310</v>
      </c>
      <c r="B1257" s="53">
        <v>2008</v>
      </c>
      <c r="C1257" s="52" t="s">
        <v>113</v>
      </c>
      <c r="D1257" s="54">
        <v>1</v>
      </c>
      <c r="E1257" s="55">
        <v>1911.1</v>
      </c>
      <c r="F1257" s="55">
        <v>0</v>
      </c>
      <c r="G1257" s="55">
        <v>1911.1</v>
      </c>
      <c r="H1257" s="55">
        <v>17801.599999999999</v>
      </c>
      <c r="I1257" s="55">
        <v>648.5</v>
      </c>
      <c r="J1257" s="55">
        <v>18450.099999999999</v>
      </c>
      <c r="K1257" s="55">
        <v>2901.1</v>
      </c>
      <c r="L1257" s="55">
        <v>1058.0999999999999</v>
      </c>
      <c r="M1257" s="55">
        <v>710.6</v>
      </c>
      <c r="N1257" s="55">
        <v>86</v>
      </c>
    </row>
    <row r="1258" spans="1:14" ht="10.050000000000001" hidden="1" customHeight="1">
      <c r="A1258" s="52" t="s">
        <v>308</v>
      </c>
      <c r="B1258" s="53">
        <v>2008</v>
      </c>
      <c r="C1258" s="52" t="s">
        <v>113</v>
      </c>
      <c r="D1258" s="54">
        <v>1</v>
      </c>
      <c r="E1258" s="55">
        <v>11603</v>
      </c>
      <c r="F1258" s="55">
        <v>0</v>
      </c>
      <c r="G1258" s="55">
        <v>11603</v>
      </c>
      <c r="H1258" s="55">
        <v>99828.5</v>
      </c>
      <c r="I1258" s="55">
        <v>458.2</v>
      </c>
      <c r="J1258" s="55">
        <v>100286.7</v>
      </c>
      <c r="K1258" s="55">
        <v>19167.3</v>
      </c>
      <c r="L1258" s="55">
        <v>37.200000000000003</v>
      </c>
      <c r="M1258" s="55">
        <v>10349.5</v>
      </c>
      <c r="N1258" s="55">
        <v>177.3</v>
      </c>
    </row>
    <row r="1259" spans="1:14" ht="10.050000000000001" hidden="1" customHeight="1">
      <c r="A1259" s="52" t="s">
        <v>174</v>
      </c>
      <c r="B1259" s="53">
        <v>2008</v>
      </c>
      <c r="C1259" s="52" t="s">
        <v>113</v>
      </c>
      <c r="D1259" s="54">
        <v>1</v>
      </c>
      <c r="E1259" s="55">
        <v>7117.5</v>
      </c>
      <c r="F1259" s="55">
        <v>0</v>
      </c>
      <c r="G1259" s="55">
        <v>7117.5</v>
      </c>
      <c r="H1259" s="55">
        <v>132140.6</v>
      </c>
      <c r="I1259" s="55">
        <v>5586.2</v>
      </c>
      <c r="J1259" s="55">
        <v>137726.79999999999</v>
      </c>
      <c r="K1259" s="55">
        <v>31226.799999999999</v>
      </c>
      <c r="L1259" s="55">
        <v>873.6</v>
      </c>
      <c r="M1259" s="55">
        <v>2996.6</v>
      </c>
      <c r="N1259" s="55">
        <v>4305.3</v>
      </c>
    </row>
    <row r="1260" spans="1:14" ht="10.050000000000001" hidden="1" customHeight="1">
      <c r="A1260" s="52" t="s">
        <v>314</v>
      </c>
      <c r="B1260" s="53">
        <v>2008</v>
      </c>
      <c r="C1260" s="52" t="s">
        <v>113</v>
      </c>
      <c r="D1260" s="54">
        <v>2</v>
      </c>
      <c r="E1260" s="55">
        <v>39</v>
      </c>
      <c r="F1260" s="55">
        <v>0</v>
      </c>
      <c r="G1260" s="55">
        <v>39</v>
      </c>
      <c r="H1260" s="55">
        <v>1.1000000000000001</v>
      </c>
      <c r="I1260" s="55">
        <v>0</v>
      </c>
      <c r="J1260" s="55">
        <v>1.1000000000000001</v>
      </c>
      <c r="K1260" s="55">
        <v>0</v>
      </c>
      <c r="L1260" s="55">
        <v>0</v>
      </c>
      <c r="M1260" s="55">
        <v>0</v>
      </c>
      <c r="N1260" s="55">
        <v>0</v>
      </c>
    </row>
    <row r="1261" spans="1:14" ht="10.050000000000001" hidden="1" customHeight="1">
      <c r="A1261" s="52" t="s">
        <v>306</v>
      </c>
      <c r="B1261" s="53">
        <v>2008</v>
      </c>
      <c r="C1261" s="52" t="s">
        <v>113</v>
      </c>
      <c r="D1261" s="54">
        <v>2</v>
      </c>
      <c r="E1261" s="55">
        <v>4079.2</v>
      </c>
      <c r="F1261" s="55">
        <v>114.1</v>
      </c>
      <c r="G1261" s="55">
        <v>4193.3</v>
      </c>
      <c r="H1261" s="55">
        <v>58032.5</v>
      </c>
      <c r="I1261" s="55">
        <v>2314</v>
      </c>
      <c r="J1261" s="55">
        <v>60346.5</v>
      </c>
      <c r="K1261" s="55">
        <v>4864.2</v>
      </c>
      <c r="L1261" s="55">
        <v>372.1</v>
      </c>
      <c r="M1261" s="55">
        <v>1190.2</v>
      </c>
      <c r="N1261" s="55">
        <v>375.9</v>
      </c>
    </row>
    <row r="1262" spans="1:14" ht="10.050000000000001" hidden="1" customHeight="1">
      <c r="A1262" s="52" t="s">
        <v>172</v>
      </c>
      <c r="B1262" s="53">
        <v>2008</v>
      </c>
      <c r="C1262" s="52" t="s">
        <v>113</v>
      </c>
      <c r="D1262" s="54">
        <v>2</v>
      </c>
      <c r="E1262" s="55">
        <v>80581.100000000006</v>
      </c>
      <c r="F1262" s="55">
        <v>624.4</v>
      </c>
      <c r="G1262" s="55">
        <v>81205.5</v>
      </c>
      <c r="H1262" s="55">
        <v>516866.2</v>
      </c>
      <c r="I1262" s="55">
        <v>17639.8</v>
      </c>
      <c r="J1262" s="55">
        <v>534506</v>
      </c>
      <c r="K1262" s="55">
        <v>29663</v>
      </c>
      <c r="L1262" s="55">
        <v>6370.4</v>
      </c>
      <c r="M1262" s="55">
        <v>21530</v>
      </c>
      <c r="N1262" s="55">
        <v>50.1</v>
      </c>
    </row>
    <row r="1263" spans="1:14" ht="10.050000000000001" hidden="1" customHeight="1">
      <c r="A1263" s="52" t="s">
        <v>171</v>
      </c>
      <c r="B1263" s="53">
        <v>2008</v>
      </c>
      <c r="C1263" s="52" t="s">
        <v>113</v>
      </c>
      <c r="D1263" s="54">
        <v>2</v>
      </c>
      <c r="E1263" s="55">
        <v>1488201.2</v>
      </c>
      <c r="F1263" s="55">
        <v>3642.4</v>
      </c>
      <c r="G1263" s="55">
        <v>1491843.6</v>
      </c>
      <c r="H1263" s="55">
        <v>6806479.2000000002</v>
      </c>
      <c r="I1263" s="55">
        <v>49688.800000000003</v>
      </c>
      <c r="J1263" s="55">
        <v>6856168</v>
      </c>
      <c r="K1263" s="55">
        <v>1455605.9</v>
      </c>
      <c r="L1263" s="55">
        <v>275743.40000000002</v>
      </c>
      <c r="M1263" s="55">
        <v>615593</v>
      </c>
      <c r="N1263" s="55">
        <v>24490</v>
      </c>
    </row>
    <row r="1264" spans="1:14" ht="10.050000000000001" hidden="1" customHeight="1">
      <c r="A1264" s="52" t="s">
        <v>300</v>
      </c>
      <c r="B1264" s="53">
        <v>2008</v>
      </c>
      <c r="C1264" s="52" t="s">
        <v>113</v>
      </c>
      <c r="D1264" s="54">
        <v>2</v>
      </c>
      <c r="E1264" s="55">
        <v>87.3</v>
      </c>
      <c r="F1264" s="55">
        <v>0</v>
      </c>
      <c r="G1264" s="55">
        <v>87.3</v>
      </c>
      <c r="H1264" s="55">
        <v>613</v>
      </c>
      <c r="I1264" s="55">
        <v>31.1</v>
      </c>
      <c r="J1264" s="55">
        <v>644.1</v>
      </c>
      <c r="K1264" s="55">
        <v>19</v>
      </c>
      <c r="L1264" s="55">
        <v>0</v>
      </c>
      <c r="M1264" s="55">
        <v>0</v>
      </c>
      <c r="N1264" s="55">
        <v>1.8</v>
      </c>
    </row>
    <row r="1265" spans="1:14" ht="10.050000000000001" hidden="1" customHeight="1">
      <c r="A1265" s="52" t="s">
        <v>307</v>
      </c>
      <c r="B1265" s="53">
        <v>2008</v>
      </c>
      <c r="C1265" s="52" t="s">
        <v>113</v>
      </c>
      <c r="D1265" s="54">
        <v>2</v>
      </c>
      <c r="E1265" s="55">
        <v>370363</v>
      </c>
      <c r="F1265" s="55">
        <v>826.2</v>
      </c>
      <c r="G1265" s="55">
        <v>371189.2</v>
      </c>
      <c r="H1265" s="55">
        <v>4584943.0999999996</v>
      </c>
      <c r="I1265" s="55">
        <v>61836.2</v>
      </c>
      <c r="J1265" s="55">
        <v>4646779.3</v>
      </c>
      <c r="K1265" s="55">
        <v>2106575.2999999998</v>
      </c>
      <c r="L1265" s="55">
        <v>39622.9</v>
      </c>
      <c r="M1265" s="55">
        <v>238473.9</v>
      </c>
      <c r="N1265" s="55">
        <v>46357.599999999999</v>
      </c>
    </row>
    <row r="1266" spans="1:14" ht="10.050000000000001" hidden="1" customHeight="1">
      <c r="A1266" s="52" t="s">
        <v>315</v>
      </c>
      <c r="B1266" s="53">
        <v>2008</v>
      </c>
      <c r="C1266" s="52" t="s">
        <v>113</v>
      </c>
      <c r="D1266" s="54">
        <v>2</v>
      </c>
      <c r="E1266" s="55">
        <v>497.1</v>
      </c>
      <c r="F1266" s="55">
        <v>0</v>
      </c>
      <c r="G1266" s="55">
        <v>497.1</v>
      </c>
      <c r="H1266" s="55">
        <v>8146.5</v>
      </c>
      <c r="I1266" s="55">
        <v>57</v>
      </c>
      <c r="J1266" s="55">
        <v>8203.5</v>
      </c>
      <c r="K1266" s="55">
        <v>240.9</v>
      </c>
      <c r="L1266" s="55">
        <v>11.6</v>
      </c>
      <c r="M1266" s="55">
        <v>26.6</v>
      </c>
      <c r="N1266" s="55">
        <v>0</v>
      </c>
    </row>
    <row r="1267" spans="1:14" ht="10.050000000000001" hidden="1" customHeight="1">
      <c r="A1267" s="52" t="s">
        <v>173</v>
      </c>
      <c r="B1267" s="53">
        <v>2008</v>
      </c>
      <c r="C1267" s="52" t="s">
        <v>113</v>
      </c>
      <c r="D1267" s="54">
        <v>2</v>
      </c>
      <c r="E1267" s="55">
        <v>195989.4</v>
      </c>
      <c r="F1267" s="55">
        <v>2358</v>
      </c>
      <c r="G1267" s="55">
        <v>198347.4</v>
      </c>
      <c r="H1267" s="55">
        <v>2576268</v>
      </c>
      <c r="I1267" s="55">
        <v>25328.400000000001</v>
      </c>
      <c r="J1267" s="55">
        <v>2601596.4</v>
      </c>
      <c r="K1267" s="55">
        <v>227668.2</v>
      </c>
      <c r="L1267" s="55">
        <v>23635.1</v>
      </c>
      <c r="M1267" s="55">
        <v>73878.100000000006</v>
      </c>
      <c r="N1267" s="55">
        <v>8418.6</v>
      </c>
    </row>
    <row r="1268" spans="1:14" ht="10.050000000000001" customHeight="1">
      <c r="A1268" s="52" t="s">
        <v>309</v>
      </c>
      <c r="B1268" s="53">
        <v>2008</v>
      </c>
      <c r="C1268" s="52" t="s">
        <v>113</v>
      </c>
      <c r="D1268" s="54">
        <v>2</v>
      </c>
      <c r="E1268" s="55">
        <v>94</v>
      </c>
      <c r="F1268" s="55">
        <v>0</v>
      </c>
      <c r="G1268" s="55">
        <v>94</v>
      </c>
      <c r="H1268" s="55">
        <v>51917.9</v>
      </c>
      <c r="I1268" s="55">
        <v>0</v>
      </c>
      <c r="J1268" s="55">
        <v>51917.9</v>
      </c>
      <c r="K1268" s="55">
        <v>2986.9</v>
      </c>
      <c r="L1268" s="55">
        <v>0</v>
      </c>
      <c r="M1268" s="55">
        <v>94</v>
      </c>
      <c r="N1268" s="55">
        <v>0</v>
      </c>
    </row>
    <row r="1269" spans="1:14" ht="10.050000000000001" hidden="1" customHeight="1">
      <c r="A1269" s="52" t="s">
        <v>316</v>
      </c>
      <c r="B1269" s="53">
        <v>2008</v>
      </c>
      <c r="C1269" s="52" t="s">
        <v>113</v>
      </c>
      <c r="D1269" s="54">
        <v>2</v>
      </c>
      <c r="E1269" s="55">
        <v>29.7</v>
      </c>
      <c r="F1269" s="55">
        <v>0</v>
      </c>
      <c r="G1269" s="55">
        <v>29.7</v>
      </c>
      <c r="H1269" s="55">
        <v>3069.3</v>
      </c>
      <c r="I1269" s="55">
        <v>12.4</v>
      </c>
      <c r="J1269" s="55">
        <v>3081.7</v>
      </c>
      <c r="K1269" s="55">
        <v>16.899999999999999</v>
      </c>
      <c r="L1269" s="55">
        <v>16.2</v>
      </c>
      <c r="M1269" s="55">
        <v>26.1</v>
      </c>
      <c r="N1269" s="55">
        <v>0</v>
      </c>
    </row>
    <row r="1270" spans="1:14" ht="10.050000000000001" hidden="1" customHeight="1">
      <c r="A1270" s="52" t="s">
        <v>310</v>
      </c>
      <c r="B1270" s="53">
        <v>2008</v>
      </c>
      <c r="C1270" s="52" t="s">
        <v>113</v>
      </c>
      <c r="D1270" s="54">
        <v>2</v>
      </c>
      <c r="E1270" s="55">
        <v>1272.5</v>
      </c>
      <c r="F1270" s="55">
        <v>0</v>
      </c>
      <c r="G1270" s="55">
        <v>1272.5</v>
      </c>
      <c r="H1270" s="55">
        <v>16180</v>
      </c>
      <c r="I1270" s="55">
        <v>637.6</v>
      </c>
      <c r="J1270" s="55">
        <v>16817.599999999999</v>
      </c>
      <c r="K1270" s="55">
        <v>2480.5</v>
      </c>
      <c r="L1270" s="55">
        <v>303.5</v>
      </c>
      <c r="M1270" s="55">
        <v>679.8</v>
      </c>
      <c r="N1270" s="55">
        <v>44.3</v>
      </c>
    </row>
    <row r="1271" spans="1:14" ht="10.050000000000001" hidden="1" customHeight="1">
      <c r="A1271" s="52" t="s">
        <v>308</v>
      </c>
      <c r="B1271" s="53">
        <v>2008</v>
      </c>
      <c r="C1271" s="52" t="s">
        <v>113</v>
      </c>
      <c r="D1271" s="54">
        <v>2</v>
      </c>
      <c r="E1271" s="55">
        <v>5926.6</v>
      </c>
      <c r="F1271" s="55">
        <v>15.7</v>
      </c>
      <c r="G1271" s="55">
        <v>5942.3</v>
      </c>
      <c r="H1271" s="55">
        <v>83301</v>
      </c>
      <c r="I1271" s="55">
        <v>430.8</v>
      </c>
      <c r="J1271" s="55">
        <v>83731.8</v>
      </c>
      <c r="K1271" s="55">
        <v>14687.3</v>
      </c>
      <c r="L1271" s="55">
        <v>40.200000000000003</v>
      </c>
      <c r="M1271" s="55">
        <v>4111.3999999999996</v>
      </c>
      <c r="N1271" s="55">
        <v>408.8</v>
      </c>
    </row>
    <row r="1272" spans="1:14" ht="10.050000000000001" hidden="1" customHeight="1">
      <c r="A1272" s="52" t="s">
        <v>174</v>
      </c>
      <c r="B1272" s="53">
        <v>2008</v>
      </c>
      <c r="C1272" s="52" t="s">
        <v>113</v>
      </c>
      <c r="D1272" s="54">
        <v>2</v>
      </c>
      <c r="E1272" s="55">
        <v>6101.7</v>
      </c>
      <c r="F1272" s="55">
        <v>12</v>
      </c>
      <c r="G1272" s="55">
        <v>6113.7</v>
      </c>
      <c r="H1272" s="55">
        <v>116747.8</v>
      </c>
      <c r="I1272" s="55">
        <v>5044</v>
      </c>
      <c r="J1272" s="55">
        <v>121791.8</v>
      </c>
      <c r="K1272" s="55">
        <v>25194.9</v>
      </c>
      <c r="L1272" s="55">
        <v>667.5</v>
      </c>
      <c r="M1272" s="55">
        <v>3052.6</v>
      </c>
      <c r="N1272" s="55">
        <v>3646.8</v>
      </c>
    </row>
    <row r="1273" spans="1:14" ht="10.050000000000001" hidden="1" customHeight="1">
      <c r="A1273" s="52" t="s">
        <v>314</v>
      </c>
      <c r="B1273" s="53">
        <v>2008</v>
      </c>
      <c r="C1273" s="52" t="s">
        <v>113</v>
      </c>
      <c r="D1273" s="54">
        <v>3</v>
      </c>
      <c r="E1273" s="55">
        <v>0</v>
      </c>
      <c r="F1273" s="55">
        <v>0</v>
      </c>
      <c r="G1273" s="55">
        <v>0</v>
      </c>
      <c r="H1273" s="55">
        <v>1.1000000000000001</v>
      </c>
      <c r="I1273" s="55">
        <v>0</v>
      </c>
      <c r="J1273" s="55">
        <v>1.1000000000000001</v>
      </c>
      <c r="K1273" s="55">
        <v>0</v>
      </c>
      <c r="L1273" s="55">
        <v>0</v>
      </c>
      <c r="M1273" s="55">
        <v>0</v>
      </c>
      <c r="N1273" s="55">
        <v>0</v>
      </c>
    </row>
    <row r="1274" spans="1:14" ht="10.050000000000001" hidden="1" customHeight="1">
      <c r="A1274" s="52" t="s">
        <v>306</v>
      </c>
      <c r="B1274" s="53">
        <v>2008</v>
      </c>
      <c r="C1274" s="52" t="s">
        <v>113</v>
      </c>
      <c r="D1274" s="54">
        <v>3</v>
      </c>
      <c r="E1274" s="55">
        <v>4833.2</v>
      </c>
      <c r="F1274" s="55">
        <v>0</v>
      </c>
      <c r="G1274" s="55">
        <v>4833.2</v>
      </c>
      <c r="H1274" s="55">
        <v>52614.7</v>
      </c>
      <c r="I1274" s="55">
        <v>2008.7</v>
      </c>
      <c r="J1274" s="55">
        <v>54623.4</v>
      </c>
      <c r="K1274" s="55">
        <v>3317.2</v>
      </c>
      <c r="L1274" s="55">
        <v>401</v>
      </c>
      <c r="M1274" s="55">
        <v>1680.3</v>
      </c>
      <c r="N1274" s="55">
        <v>250.5</v>
      </c>
    </row>
    <row r="1275" spans="1:14" ht="10.050000000000001" hidden="1" customHeight="1">
      <c r="A1275" s="52" t="s">
        <v>172</v>
      </c>
      <c r="B1275" s="53">
        <v>2008</v>
      </c>
      <c r="C1275" s="52" t="s">
        <v>113</v>
      </c>
      <c r="D1275" s="54">
        <v>3</v>
      </c>
      <c r="E1275" s="55">
        <v>67535.3</v>
      </c>
      <c r="F1275" s="55">
        <v>8.3000000000000007</v>
      </c>
      <c r="G1275" s="55">
        <v>67543.600000000006</v>
      </c>
      <c r="H1275" s="55">
        <v>439518.6</v>
      </c>
      <c r="I1275" s="55">
        <v>17148.3</v>
      </c>
      <c r="J1275" s="55">
        <v>456666.9</v>
      </c>
      <c r="K1275" s="55">
        <v>17120.599999999999</v>
      </c>
      <c r="L1275" s="55">
        <v>5795.1</v>
      </c>
      <c r="M1275" s="55">
        <v>18106.599999999999</v>
      </c>
      <c r="N1275" s="55">
        <v>231.1</v>
      </c>
    </row>
    <row r="1276" spans="1:14" ht="10.050000000000001" hidden="1" customHeight="1">
      <c r="A1276" s="52" t="s">
        <v>171</v>
      </c>
      <c r="B1276" s="53">
        <v>2008</v>
      </c>
      <c r="C1276" s="52" t="s">
        <v>113</v>
      </c>
      <c r="D1276" s="54">
        <v>3</v>
      </c>
      <c r="E1276" s="55">
        <v>1658744.1</v>
      </c>
      <c r="F1276" s="55">
        <v>2433.8000000000002</v>
      </c>
      <c r="G1276" s="55">
        <v>1661177.9</v>
      </c>
      <c r="H1276" s="55">
        <v>6429860.4000000004</v>
      </c>
      <c r="I1276" s="55">
        <v>43106.6</v>
      </c>
      <c r="J1276" s="55">
        <v>6472967</v>
      </c>
      <c r="K1276" s="55">
        <v>904701.8</v>
      </c>
      <c r="L1276" s="55">
        <v>243174</v>
      </c>
      <c r="M1276" s="55">
        <v>775627.9</v>
      </c>
      <c r="N1276" s="55">
        <v>21433</v>
      </c>
    </row>
    <row r="1277" spans="1:14" ht="10.050000000000001" hidden="1" customHeight="1">
      <c r="A1277" s="52" t="s">
        <v>300</v>
      </c>
      <c r="B1277" s="53">
        <v>2008</v>
      </c>
      <c r="C1277" s="52" t="s">
        <v>113</v>
      </c>
      <c r="D1277" s="54">
        <v>3</v>
      </c>
      <c r="E1277" s="55">
        <v>261.60000000000002</v>
      </c>
      <c r="F1277" s="55">
        <v>0</v>
      </c>
      <c r="G1277" s="55">
        <v>261.60000000000002</v>
      </c>
      <c r="H1277" s="55">
        <v>769.1</v>
      </c>
      <c r="I1277" s="55">
        <v>31.1</v>
      </c>
      <c r="J1277" s="55">
        <v>800.2</v>
      </c>
      <c r="K1277" s="55">
        <v>18.100000000000001</v>
      </c>
      <c r="L1277" s="55">
        <v>0</v>
      </c>
      <c r="M1277" s="55">
        <v>0</v>
      </c>
      <c r="N1277" s="55">
        <v>0.9</v>
      </c>
    </row>
    <row r="1278" spans="1:14" ht="10.050000000000001" hidden="1" customHeight="1">
      <c r="A1278" s="52" t="s">
        <v>307</v>
      </c>
      <c r="B1278" s="53">
        <v>2008</v>
      </c>
      <c r="C1278" s="52" t="s">
        <v>113</v>
      </c>
      <c r="D1278" s="54">
        <v>3</v>
      </c>
      <c r="E1278" s="55">
        <v>525933.30000000005</v>
      </c>
      <c r="F1278" s="55">
        <v>12110.6</v>
      </c>
      <c r="G1278" s="55">
        <v>538043.9</v>
      </c>
      <c r="H1278" s="55">
        <v>3915948.2</v>
      </c>
      <c r="I1278" s="55">
        <v>69388.5</v>
      </c>
      <c r="J1278" s="55">
        <v>3985336.7</v>
      </c>
      <c r="K1278" s="55">
        <v>1721707.2</v>
      </c>
      <c r="L1278" s="55">
        <v>32034.5</v>
      </c>
      <c r="M1278" s="55">
        <v>367375.5</v>
      </c>
      <c r="N1278" s="55">
        <v>48881</v>
      </c>
    </row>
    <row r="1279" spans="1:14" ht="10.050000000000001" hidden="1" customHeight="1">
      <c r="A1279" s="52" t="s">
        <v>315</v>
      </c>
      <c r="B1279" s="53">
        <v>2008</v>
      </c>
      <c r="C1279" s="52" t="s">
        <v>113</v>
      </c>
      <c r="D1279" s="54">
        <v>3</v>
      </c>
      <c r="E1279" s="55">
        <v>189.9</v>
      </c>
      <c r="F1279" s="55">
        <v>0</v>
      </c>
      <c r="G1279" s="55">
        <v>189.9</v>
      </c>
      <c r="H1279" s="55">
        <v>6176</v>
      </c>
      <c r="I1279" s="55">
        <v>57</v>
      </c>
      <c r="J1279" s="55">
        <v>6233</v>
      </c>
      <c r="K1279" s="55">
        <v>209.3</v>
      </c>
      <c r="L1279" s="55">
        <v>0</v>
      </c>
      <c r="M1279" s="55">
        <v>31.6</v>
      </c>
      <c r="N1279" s="55">
        <v>0</v>
      </c>
    </row>
    <row r="1280" spans="1:14" ht="10.050000000000001" hidden="1" customHeight="1">
      <c r="A1280" s="52" t="s">
        <v>173</v>
      </c>
      <c r="B1280" s="53">
        <v>2008</v>
      </c>
      <c r="C1280" s="52" t="s">
        <v>113</v>
      </c>
      <c r="D1280" s="54">
        <v>3</v>
      </c>
      <c r="E1280" s="55">
        <v>205289.60000000001</v>
      </c>
      <c r="F1280" s="55">
        <v>78</v>
      </c>
      <c r="G1280" s="55">
        <v>205367.6</v>
      </c>
      <c r="H1280" s="55">
        <v>2150081.7000000002</v>
      </c>
      <c r="I1280" s="55">
        <v>22798.7</v>
      </c>
      <c r="J1280" s="55">
        <v>2172880.4</v>
      </c>
      <c r="K1280" s="55">
        <v>150532.70000000001</v>
      </c>
      <c r="L1280" s="55">
        <v>14035.3</v>
      </c>
      <c r="M1280" s="55">
        <v>83346.500000000102</v>
      </c>
      <c r="N1280" s="55">
        <v>8125.1</v>
      </c>
    </row>
    <row r="1281" spans="1:14" ht="10.050000000000001" customHeight="1">
      <c r="A1281" s="52" t="s">
        <v>309</v>
      </c>
      <c r="B1281" s="53">
        <v>2008</v>
      </c>
      <c r="C1281" s="52" t="s">
        <v>113</v>
      </c>
      <c r="D1281" s="54">
        <v>3</v>
      </c>
      <c r="E1281" s="55">
        <v>528.70000000000005</v>
      </c>
      <c r="F1281" s="55">
        <v>0</v>
      </c>
      <c r="G1281" s="55">
        <v>528.70000000000005</v>
      </c>
      <c r="H1281" s="55">
        <v>46900.6</v>
      </c>
      <c r="I1281" s="55">
        <v>0</v>
      </c>
      <c r="J1281" s="55">
        <v>46900.6</v>
      </c>
      <c r="K1281" s="55">
        <v>2465.6</v>
      </c>
      <c r="L1281" s="55">
        <v>0</v>
      </c>
      <c r="M1281" s="55">
        <v>521.29999999999995</v>
      </c>
      <c r="N1281" s="55">
        <v>0</v>
      </c>
    </row>
    <row r="1282" spans="1:14" ht="10.050000000000001" hidden="1" customHeight="1">
      <c r="A1282" s="52" t="s">
        <v>316</v>
      </c>
      <c r="B1282" s="53">
        <v>2008</v>
      </c>
      <c r="C1282" s="52" t="s">
        <v>113</v>
      </c>
      <c r="D1282" s="54">
        <v>3</v>
      </c>
      <c r="E1282" s="55">
        <v>31.4</v>
      </c>
      <c r="F1282" s="55">
        <v>0</v>
      </c>
      <c r="G1282" s="55">
        <v>31.4</v>
      </c>
      <c r="H1282" s="55">
        <v>2907.1</v>
      </c>
      <c r="I1282" s="55">
        <v>10.9</v>
      </c>
      <c r="J1282" s="55">
        <v>2918</v>
      </c>
      <c r="K1282" s="55">
        <v>4.8</v>
      </c>
      <c r="L1282" s="55">
        <v>0</v>
      </c>
      <c r="M1282" s="55">
        <v>12.1</v>
      </c>
      <c r="N1282" s="55">
        <v>0</v>
      </c>
    </row>
    <row r="1283" spans="1:14" ht="10.050000000000001" hidden="1" customHeight="1">
      <c r="A1283" s="52" t="s">
        <v>310</v>
      </c>
      <c r="B1283" s="53">
        <v>2008</v>
      </c>
      <c r="C1283" s="52" t="s">
        <v>113</v>
      </c>
      <c r="D1283" s="54">
        <v>3</v>
      </c>
      <c r="E1283" s="55">
        <v>1507</v>
      </c>
      <c r="F1283" s="55">
        <v>0</v>
      </c>
      <c r="G1283" s="55">
        <v>1507</v>
      </c>
      <c r="H1283" s="55">
        <v>14729.8</v>
      </c>
      <c r="I1283" s="55">
        <v>618</v>
      </c>
      <c r="J1283" s="55">
        <v>15347.8</v>
      </c>
      <c r="K1283" s="55">
        <v>1974.4</v>
      </c>
      <c r="L1283" s="55">
        <v>27.9</v>
      </c>
      <c r="M1283" s="55">
        <v>511.8</v>
      </c>
      <c r="N1283" s="55">
        <v>22.2</v>
      </c>
    </row>
    <row r="1284" spans="1:14" ht="10.050000000000001" hidden="1" customHeight="1">
      <c r="A1284" s="52" t="s">
        <v>308</v>
      </c>
      <c r="B1284" s="53">
        <v>2008</v>
      </c>
      <c r="C1284" s="52" t="s">
        <v>113</v>
      </c>
      <c r="D1284" s="54">
        <v>3</v>
      </c>
      <c r="E1284" s="55">
        <v>4569.3999999999996</v>
      </c>
      <c r="F1284" s="55">
        <v>0</v>
      </c>
      <c r="G1284" s="55">
        <v>4569.3999999999996</v>
      </c>
      <c r="H1284" s="55">
        <v>65023.1</v>
      </c>
      <c r="I1284" s="55">
        <v>356.9</v>
      </c>
      <c r="J1284" s="55">
        <v>65380</v>
      </c>
      <c r="K1284" s="55">
        <v>11190.1</v>
      </c>
      <c r="L1284" s="55">
        <v>6.6</v>
      </c>
      <c r="M1284" s="55">
        <v>3335.3</v>
      </c>
      <c r="N1284" s="55">
        <v>168.5</v>
      </c>
    </row>
    <row r="1285" spans="1:14" ht="10.050000000000001" hidden="1" customHeight="1">
      <c r="A1285" s="52" t="s">
        <v>174</v>
      </c>
      <c r="B1285" s="53">
        <v>2008</v>
      </c>
      <c r="C1285" s="52" t="s">
        <v>113</v>
      </c>
      <c r="D1285" s="54">
        <v>3</v>
      </c>
      <c r="E1285" s="55">
        <v>6627</v>
      </c>
      <c r="F1285" s="55">
        <v>0</v>
      </c>
      <c r="G1285" s="55">
        <v>6627</v>
      </c>
      <c r="H1285" s="55">
        <v>99794.7</v>
      </c>
      <c r="I1285" s="55">
        <v>4897.5</v>
      </c>
      <c r="J1285" s="55">
        <v>104692.2</v>
      </c>
      <c r="K1285" s="55">
        <v>20215.3</v>
      </c>
      <c r="L1285" s="55">
        <v>539.20000000000005</v>
      </c>
      <c r="M1285" s="55">
        <v>2313.1999999999998</v>
      </c>
      <c r="N1285" s="55">
        <v>3203.2</v>
      </c>
    </row>
    <row r="1286" spans="1:14" ht="10.050000000000001" hidden="1" customHeight="1">
      <c r="A1286" s="52" t="s">
        <v>306</v>
      </c>
      <c r="B1286" s="53">
        <v>2008</v>
      </c>
      <c r="C1286" s="52" t="s">
        <v>113</v>
      </c>
      <c r="D1286" s="54">
        <v>4</v>
      </c>
      <c r="E1286" s="55">
        <v>3452</v>
      </c>
      <c r="F1286" s="55">
        <v>0</v>
      </c>
      <c r="G1286" s="55">
        <v>3452</v>
      </c>
      <c r="H1286" s="55">
        <v>45482.6</v>
      </c>
      <c r="I1286" s="55">
        <v>1771.1</v>
      </c>
      <c r="J1286" s="55">
        <v>47253.7</v>
      </c>
      <c r="K1286" s="55">
        <v>2367.1</v>
      </c>
      <c r="L1286" s="55">
        <v>317.7</v>
      </c>
      <c r="M1286" s="55">
        <v>940.2</v>
      </c>
      <c r="N1286" s="55">
        <v>315.60000000000002</v>
      </c>
    </row>
    <row r="1287" spans="1:14" ht="10.050000000000001" hidden="1" customHeight="1">
      <c r="A1287" s="52" t="s">
        <v>172</v>
      </c>
      <c r="B1287" s="53">
        <v>2008</v>
      </c>
      <c r="C1287" s="52" t="s">
        <v>113</v>
      </c>
      <c r="D1287" s="54">
        <v>4</v>
      </c>
      <c r="E1287" s="55">
        <v>41378.699999999997</v>
      </c>
      <c r="F1287" s="55">
        <v>8.3000000000000007</v>
      </c>
      <c r="G1287" s="55">
        <v>41387</v>
      </c>
      <c r="H1287" s="55">
        <v>340780.6</v>
      </c>
      <c r="I1287" s="55">
        <v>14309.8</v>
      </c>
      <c r="J1287" s="55">
        <v>355090.4</v>
      </c>
      <c r="K1287" s="55">
        <v>11504.4</v>
      </c>
      <c r="L1287" s="55">
        <v>2739.9</v>
      </c>
      <c r="M1287" s="55">
        <v>8350.6</v>
      </c>
      <c r="N1287" s="55">
        <v>5.3</v>
      </c>
    </row>
    <row r="1288" spans="1:14" ht="10.050000000000001" hidden="1" customHeight="1">
      <c r="A1288" s="52" t="s">
        <v>171</v>
      </c>
      <c r="B1288" s="53">
        <v>2008</v>
      </c>
      <c r="C1288" s="52" t="s">
        <v>113</v>
      </c>
      <c r="D1288" s="54">
        <v>4</v>
      </c>
      <c r="E1288" s="55">
        <v>965609.00000000105</v>
      </c>
      <c r="F1288" s="55">
        <v>330.3</v>
      </c>
      <c r="G1288" s="55">
        <v>965939.3</v>
      </c>
      <c r="H1288" s="55">
        <v>5094162.2</v>
      </c>
      <c r="I1288" s="55">
        <v>27760.5</v>
      </c>
      <c r="J1288" s="55">
        <v>5121922.7</v>
      </c>
      <c r="K1288" s="55">
        <v>562238.30000000005</v>
      </c>
      <c r="L1288" s="55">
        <v>100884.7</v>
      </c>
      <c r="M1288" s="55">
        <v>421977.5</v>
      </c>
      <c r="N1288" s="55">
        <v>20143.599999999999</v>
      </c>
    </row>
    <row r="1289" spans="1:14" ht="10.050000000000001" hidden="1" customHeight="1">
      <c r="A1289" s="52" t="s">
        <v>300</v>
      </c>
      <c r="B1289" s="53">
        <v>2008</v>
      </c>
      <c r="C1289" s="52" t="s">
        <v>113</v>
      </c>
      <c r="D1289" s="54">
        <v>4</v>
      </c>
      <c r="E1289" s="55">
        <v>66</v>
      </c>
      <c r="F1289" s="55">
        <v>0</v>
      </c>
      <c r="G1289" s="55">
        <v>66</v>
      </c>
      <c r="H1289" s="55">
        <v>571.6</v>
      </c>
      <c r="I1289" s="55">
        <v>14.9</v>
      </c>
      <c r="J1289" s="55">
        <v>586.5</v>
      </c>
      <c r="K1289" s="55">
        <v>18.100000000000001</v>
      </c>
      <c r="L1289" s="55">
        <v>0</v>
      </c>
      <c r="M1289" s="55">
        <v>0</v>
      </c>
      <c r="N1289" s="55">
        <v>0</v>
      </c>
    </row>
    <row r="1290" spans="1:14" ht="10.050000000000001" hidden="1" customHeight="1">
      <c r="A1290" s="52" t="s">
        <v>307</v>
      </c>
      <c r="B1290" s="53">
        <v>2008</v>
      </c>
      <c r="C1290" s="52" t="s">
        <v>113</v>
      </c>
      <c r="D1290" s="54">
        <v>4</v>
      </c>
      <c r="E1290" s="55">
        <v>437180.7</v>
      </c>
      <c r="F1290" s="55">
        <v>0</v>
      </c>
      <c r="G1290" s="55">
        <v>437180.7</v>
      </c>
      <c r="H1290" s="55">
        <v>3031980.9</v>
      </c>
      <c r="I1290" s="55">
        <v>69120</v>
      </c>
      <c r="J1290" s="55">
        <v>3101100.9</v>
      </c>
      <c r="K1290" s="55">
        <v>1425723.4</v>
      </c>
      <c r="L1290" s="55">
        <v>27825</v>
      </c>
      <c r="M1290" s="55">
        <v>280832.3</v>
      </c>
      <c r="N1290" s="55">
        <v>42649.1</v>
      </c>
    </row>
    <row r="1291" spans="1:14" ht="10.050000000000001" hidden="1" customHeight="1">
      <c r="A1291" s="52" t="s">
        <v>315</v>
      </c>
      <c r="B1291" s="53">
        <v>2008</v>
      </c>
      <c r="C1291" s="52" t="s">
        <v>113</v>
      </c>
      <c r="D1291" s="54">
        <v>4</v>
      </c>
      <c r="E1291" s="55">
        <v>277.89999999999998</v>
      </c>
      <c r="F1291" s="55">
        <v>0</v>
      </c>
      <c r="G1291" s="55">
        <v>277.89999999999998</v>
      </c>
      <c r="H1291" s="55">
        <v>4231.5</v>
      </c>
      <c r="I1291" s="55">
        <v>0</v>
      </c>
      <c r="J1291" s="55">
        <v>4231.5</v>
      </c>
      <c r="K1291" s="55">
        <v>165.9</v>
      </c>
      <c r="L1291" s="55">
        <v>0</v>
      </c>
      <c r="M1291" s="55">
        <v>43.4</v>
      </c>
      <c r="N1291" s="55">
        <v>0</v>
      </c>
    </row>
    <row r="1292" spans="1:14" ht="10.050000000000001" hidden="1" customHeight="1">
      <c r="A1292" s="52" t="s">
        <v>173</v>
      </c>
      <c r="B1292" s="53">
        <v>2008</v>
      </c>
      <c r="C1292" s="52" t="s">
        <v>113</v>
      </c>
      <c r="D1292" s="54">
        <v>4</v>
      </c>
      <c r="E1292" s="55">
        <v>138190.1</v>
      </c>
      <c r="F1292" s="55">
        <v>56.7</v>
      </c>
      <c r="G1292" s="55">
        <v>138246.79999999999</v>
      </c>
      <c r="H1292" s="55">
        <v>1592932</v>
      </c>
      <c r="I1292" s="55">
        <v>14818.6</v>
      </c>
      <c r="J1292" s="55">
        <v>1607750.6</v>
      </c>
      <c r="K1292" s="55">
        <v>104561.4</v>
      </c>
      <c r="L1292" s="55">
        <v>8447.5</v>
      </c>
      <c r="M1292" s="55">
        <v>47428</v>
      </c>
      <c r="N1292" s="55">
        <v>6828.4</v>
      </c>
    </row>
    <row r="1293" spans="1:14" ht="10.050000000000001" customHeight="1">
      <c r="A1293" s="52" t="s">
        <v>309</v>
      </c>
      <c r="B1293" s="53">
        <v>2008</v>
      </c>
      <c r="C1293" s="52" t="s">
        <v>113</v>
      </c>
      <c r="D1293" s="54">
        <v>4</v>
      </c>
      <c r="E1293" s="55">
        <v>2134.8000000000002</v>
      </c>
      <c r="F1293" s="55">
        <v>0</v>
      </c>
      <c r="G1293" s="55">
        <v>2134.8000000000002</v>
      </c>
      <c r="H1293" s="55">
        <v>39902.699999999997</v>
      </c>
      <c r="I1293" s="55">
        <v>0</v>
      </c>
      <c r="J1293" s="55">
        <v>39902.699999999997</v>
      </c>
      <c r="K1293" s="55">
        <v>0</v>
      </c>
      <c r="L1293" s="55">
        <v>0</v>
      </c>
      <c r="M1293" s="55">
        <v>1898.2</v>
      </c>
      <c r="N1293" s="55">
        <v>0</v>
      </c>
    </row>
    <row r="1294" spans="1:14" ht="10.050000000000001" hidden="1" customHeight="1">
      <c r="A1294" s="52" t="s">
        <v>316</v>
      </c>
      <c r="B1294" s="53">
        <v>2008</v>
      </c>
      <c r="C1294" s="52" t="s">
        <v>113</v>
      </c>
      <c r="D1294" s="54">
        <v>4</v>
      </c>
      <c r="E1294" s="55">
        <v>32.9</v>
      </c>
      <c r="F1294" s="55">
        <v>0</v>
      </c>
      <c r="G1294" s="55">
        <v>32.9</v>
      </c>
      <c r="H1294" s="55">
        <v>2656.2</v>
      </c>
      <c r="I1294" s="55">
        <v>0</v>
      </c>
      <c r="J1294" s="55">
        <v>2656.2</v>
      </c>
      <c r="K1294" s="55">
        <v>31.6</v>
      </c>
      <c r="L1294" s="55">
        <v>26.8</v>
      </c>
      <c r="M1294" s="55">
        <v>0</v>
      </c>
      <c r="N1294" s="55">
        <v>0</v>
      </c>
    </row>
    <row r="1295" spans="1:14" ht="10.050000000000001" hidden="1" customHeight="1">
      <c r="A1295" s="52" t="s">
        <v>310</v>
      </c>
      <c r="B1295" s="53">
        <v>2008</v>
      </c>
      <c r="C1295" s="52" t="s">
        <v>113</v>
      </c>
      <c r="D1295" s="54">
        <v>4</v>
      </c>
      <c r="E1295" s="55">
        <v>1681.4</v>
      </c>
      <c r="F1295" s="55">
        <v>0</v>
      </c>
      <c r="G1295" s="55">
        <v>1681.4</v>
      </c>
      <c r="H1295" s="55">
        <v>12922.2</v>
      </c>
      <c r="I1295" s="55">
        <v>598.20000000000005</v>
      </c>
      <c r="J1295" s="55">
        <v>13520.4</v>
      </c>
      <c r="K1295" s="55">
        <v>680.9</v>
      </c>
      <c r="L1295" s="55">
        <v>1.1000000000000001</v>
      </c>
      <c r="M1295" s="55">
        <v>1289.2</v>
      </c>
      <c r="N1295" s="55">
        <v>5.4</v>
      </c>
    </row>
    <row r="1296" spans="1:14" ht="10.050000000000001" hidden="1" customHeight="1">
      <c r="A1296" s="52" t="s">
        <v>308</v>
      </c>
      <c r="B1296" s="53">
        <v>2008</v>
      </c>
      <c r="C1296" s="52" t="s">
        <v>113</v>
      </c>
      <c r="D1296" s="54">
        <v>4</v>
      </c>
      <c r="E1296" s="55">
        <v>5784.3</v>
      </c>
      <c r="F1296" s="55">
        <v>0</v>
      </c>
      <c r="G1296" s="55">
        <v>5784.3</v>
      </c>
      <c r="H1296" s="55">
        <v>44286</v>
      </c>
      <c r="I1296" s="55">
        <v>315</v>
      </c>
      <c r="J1296" s="55">
        <v>44601</v>
      </c>
      <c r="K1296" s="55">
        <v>7293.7</v>
      </c>
      <c r="L1296" s="55">
        <v>34</v>
      </c>
      <c r="M1296" s="55">
        <v>3780</v>
      </c>
      <c r="N1296" s="55">
        <v>150.4</v>
      </c>
    </row>
    <row r="1297" spans="1:14" ht="10.050000000000001" hidden="1" customHeight="1">
      <c r="A1297" s="52" t="s">
        <v>174</v>
      </c>
      <c r="B1297" s="53">
        <v>2008</v>
      </c>
      <c r="C1297" s="52" t="s">
        <v>113</v>
      </c>
      <c r="D1297" s="54">
        <v>4</v>
      </c>
      <c r="E1297" s="55">
        <v>6405.8</v>
      </c>
      <c r="F1297" s="55">
        <v>0</v>
      </c>
      <c r="G1297" s="55">
        <v>6405.8</v>
      </c>
      <c r="H1297" s="55">
        <v>77902.399999999994</v>
      </c>
      <c r="I1297" s="55">
        <v>2881.3</v>
      </c>
      <c r="J1297" s="55">
        <v>80783.7</v>
      </c>
      <c r="K1297" s="55">
        <v>15416.5</v>
      </c>
      <c r="L1297" s="55">
        <v>604.29999999999995</v>
      </c>
      <c r="M1297" s="55">
        <v>2644.5</v>
      </c>
      <c r="N1297" s="55">
        <v>2784.6</v>
      </c>
    </row>
    <row r="1298" spans="1:14" ht="10.050000000000001" hidden="1" customHeight="1">
      <c r="A1298" s="52" t="s">
        <v>314</v>
      </c>
      <c r="B1298" s="53">
        <v>2008</v>
      </c>
      <c r="C1298" s="52" t="s">
        <v>113</v>
      </c>
      <c r="D1298" s="54">
        <v>5</v>
      </c>
      <c r="E1298" s="55">
        <v>18.7</v>
      </c>
      <c r="F1298" s="55">
        <v>0</v>
      </c>
      <c r="G1298" s="55">
        <v>18.7</v>
      </c>
      <c r="H1298" s="55">
        <v>0</v>
      </c>
      <c r="I1298" s="55">
        <v>0</v>
      </c>
      <c r="J1298" s="55">
        <v>0</v>
      </c>
      <c r="K1298" s="55">
        <v>0</v>
      </c>
      <c r="L1298" s="55">
        <v>0</v>
      </c>
      <c r="M1298" s="55">
        <v>0</v>
      </c>
      <c r="N1298" s="55">
        <v>0</v>
      </c>
    </row>
    <row r="1299" spans="1:14" ht="10.050000000000001" hidden="1" customHeight="1">
      <c r="A1299" s="52" t="s">
        <v>306</v>
      </c>
      <c r="B1299" s="53">
        <v>2008</v>
      </c>
      <c r="C1299" s="52" t="s">
        <v>113</v>
      </c>
      <c r="D1299" s="54">
        <v>5</v>
      </c>
      <c r="E1299" s="55">
        <v>3965.6</v>
      </c>
      <c r="F1299" s="55">
        <v>0</v>
      </c>
      <c r="G1299" s="55">
        <v>3965.6</v>
      </c>
      <c r="H1299" s="55">
        <v>39430.1</v>
      </c>
      <c r="I1299" s="55">
        <v>1633.5</v>
      </c>
      <c r="J1299" s="55">
        <v>41063.599999999999</v>
      </c>
      <c r="K1299" s="55">
        <v>1744.7</v>
      </c>
      <c r="L1299" s="55">
        <v>810.4</v>
      </c>
      <c r="M1299" s="55">
        <v>1213</v>
      </c>
      <c r="N1299" s="55">
        <v>227</v>
      </c>
    </row>
    <row r="1300" spans="1:14" ht="10.050000000000001" hidden="1" customHeight="1">
      <c r="A1300" s="52" t="s">
        <v>172</v>
      </c>
      <c r="B1300" s="53">
        <v>2008</v>
      </c>
      <c r="C1300" s="52" t="s">
        <v>113</v>
      </c>
      <c r="D1300" s="54">
        <v>5</v>
      </c>
      <c r="E1300" s="55">
        <v>21190.7</v>
      </c>
      <c r="F1300" s="55">
        <v>0</v>
      </c>
      <c r="G1300" s="55">
        <v>21190.7</v>
      </c>
      <c r="H1300" s="55">
        <v>230231</v>
      </c>
      <c r="I1300" s="55">
        <v>13307.5</v>
      </c>
      <c r="J1300" s="55">
        <v>243538.5</v>
      </c>
      <c r="K1300" s="55">
        <v>6155.1</v>
      </c>
      <c r="L1300" s="55">
        <v>982.4</v>
      </c>
      <c r="M1300" s="55">
        <v>5976.1</v>
      </c>
      <c r="N1300" s="55">
        <v>359.4</v>
      </c>
    </row>
    <row r="1301" spans="1:14" ht="10.050000000000001" hidden="1" customHeight="1">
      <c r="A1301" s="52" t="s">
        <v>171</v>
      </c>
      <c r="B1301" s="53">
        <v>2008</v>
      </c>
      <c r="C1301" s="52" t="s">
        <v>113</v>
      </c>
      <c r="D1301" s="54">
        <v>5</v>
      </c>
      <c r="E1301" s="55">
        <v>679749.8</v>
      </c>
      <c r="F1301" s="55">
        <v>279.39999999999998</v>
      </c>
      <c r="G1301" s="55">
        <v>680029.2</v>
      </c>
      <c r="H1301" s="55">
        <v>3644775.8</v>
      </c>
      <c r="I1301" s="55">
        <v>21141.599999999999</v>
      </c>
      <c r="J1301" s="55">
        <v>3665917.4</v>
      </c>
      <c r="K1301" s="55">
        <v>271678.7</v>
      </c>
      <c r="L1301" s="55">
        <v>58463</v>
      </c>
      <c r="M1301" s="55">
        <v>321528.2</v>
      </c>
      <c r="N1301" s="55">
        <v>28429.200000000001</v>
      </c>
    </row>
    <row r="1302" spans="1:14" ht="10.050000000000001" hidden="1" customHeight="1">
      <c r="A1302" s="52" t="s">
        <v>300</v>
      </c>
      <c r="B1302" s="53">
        <v>2008</v>
      </c>
      <c r="C1302" s="52" t="s">
        <v>113</v>
      </c>
      <c r="D1302" s="54">
        <v>5</v>
      </c>
      <c r="E1302" s="55">
        <v>78.7</v>
      </c>
      <c r="F1302" s="55">
        <v>0</v>
      </c>
      <c r="G1302" s="55">
        <v>78.7</v>
      </c>
      <c r="H1302" s="55">
        <v>430.8</v>
      </c>
      <c r="I1302" s="55">
        <v>14.9</v>
      </c>
      <c r="J1302" s="55">
        <v>445.7</v>
      </c>
      <c r="K1302" s="55">
        <v>0</v>
      </c>
      <c r="L1302" s="55">
        <v>0</v>
      </c>
      <c r="M1302" s="55">
        <v>17</v>
      </c>
      <c r="N1302" s="55">
        <v>0</v>
      </c>
    </row>
    <row r="1303" spans="1:14" ht="10.050000000000001" hidden="1" customHeight="1">
      <c r="A1303" s="52" t="s">
        <v>307</v>
      </c>
      <c r="B1303" s="53">
        <v>2008</v>
      </c>
      <c r="C1303" s="52" t="s">
        <v>113</v>
      </c>
      <c r="D1303" s="54">
        <v>5</v>
      </c>
      <c r="E1303" s="55">
        <v>459738.1</v>
      </c>
      <c r="F1303" s="55">
        <v>6619.2</v>
      </c>
      <c r="G1303" s="55">
        <v>466357.3</v>
      </c>
      <c r="H1303" s="55">
        <v>2366160.5</v>
      </c>
      <c r="I1303" s="55">
        <v>75588.7</v>
      </c>
      <c r="J1303" s="55">
        <v>2441749.2000000002</v>
      </c>
      <c r="K1303" s="55">
        <v>1093477.5</v>
      </c>
      <c r="L1303" s="55">
        <v>51888.800000000003</v>
      </c>
      <c r="M1303" s="55">
        <v>328809.8</v>
      </c>
      <c r="N1303" s="55">
        <v>55324.9</v>
      </c>
    </row>
    <row r="1304" spans="1:14" ht="10.050000000000001" hidden="1" customHeight="1">
      <c r="A1304" s="52" t="s">
        <v>315</v>
      </c>
      <c r="B1304" s="53">
        <v>2008</v>
      </c>
      <c r="C1304" s="52" t="s">
        <v>113</v>
      </c>
      <c r="D1304" s="54">
        <v>5</v>
      </c>
      <c r="E1304" s="55">
        <v>470.4</v>
      </c>
      <c r="F1304" s="55">
        <v>0</v>
      </c>
      <c r="G1304" s="55">
        <v>470.4</v>
      </c>
      <c r="H1304" s="55">
        <v>3040.1</v>
      </c>
      <c r="I1304" s="55">
        <v>0</v>
      </c>
      <c r="J1304" s="55">
        <v>3040.1</v>
      </c>
      <c r="K1304" s="55">
        <v>127.7</v>
      </c>
      <c r="L1304" s="55">
        <v>3</v>
      </c>
      <c r="M1304" s="55">
        <v>39.700000000000003</v>
      </c>
      <c r="N1304" s="55">
        <v>1.5</v>
      </c>
    </row>
    <row r="1305" spans="1:14" ht="10.050000000000001" hidden="1" customHeight="1">
      <c r="A1305" s="52" t="s">
        <v>173</v>
      </c>
      <c r="B1305" s="53">
        <v>2008</v>
      </c>
      <c r="C1305" s="52" t="s">
        <v>113</v>
      </c>
      <c r="D1305" s="54">
        <v>5</v>
      </c>
      <c r="E1305" s="55">
        <v>104439.4</v>
      </c>
      <c r="F1305" s="55">
        <v>6.6</v>
      </c>
      <c r="G1305" s="55">
        <v>104446</v>
      </c>
      <c r="H1305" s="55">
        <v>1087009.6000000001</v>
      </c>
      <c r="I1305" s="55">
        <v>11499.7</v>
      </c>
      <c r="J1305" s="55">
        <v>1098509.3</v>
      </c>
      <c r="K1305" s="55">
        <v>54116.7</v>
      </c>
      <c r="L1305" s="55">
        <v>6727.1</v>
      </c>
      <c r="M1305" s="55">
        <v>50459.9</v>
      </c>
      <c r="N1305" s="55">
        <v>6767</v>
      </c>
    </row>
    <row r="1306" spans="1:14" ht="10.050000000000001" customHeight="1">
      <c r="A1306" s="52" t="s">
        <v>309</v>
      </c>
      <c r="B1306" s="53">
        <v>2008</v>
      </c>
      <c r="C1306" s="52" t="s">
        <v>113</v>
      </c>
      <c r="D1306" s="54">
        <v>5</v>
      </c>
      <c r="E1306" s="55">
        <v>0</v>
      </c>
      <c r="F1306" s="55">
        <v>0</v>
      </c>
      <c r="G1306" s="55">
        <v>0</v>
      </c>
      <c r="H1306" s="55">
        <v>32666.1</v>
      </c>
      <c r="I1306" s="55">
        <v>0</v>
      </c>
      <c r="J1306" s="55">
        <v>32666.1</v>
      </c>
      <c r="K1306" s="55">
        <v>0</v>
      </c>
      <c r="L1306" s="55">
        <v>0</v>
      </c>
      <c r="M1306" s="55">
        <v>0</v>
      </c>
      <c r="N1306" s="55">
        <v>0</v>
      </c>
    </row>
    <row r="1307" spans="1:14" ht="10.050000000000001" hidden="1" customHeight="1">
      <c r="A1307" s="52" t="s">
        <v>316</v>
      </c>
      <c r="B1307" s="53">
        <v>2008</v>
      </c>
      <c r="C1307" s="52" t="s">
        <v>113</v>
      </c>
      <c r="D1307" s="54">
        <v>5</v>
      </c>
      <c r="E1307" s="55">
        <v>76.3</v>
      </c>
      <c r="F1307" s="55">
        <v>0</v>
      </c>
      <c r="G1307" s="55">
        <v>76.3</v>
      </c>
      <c r="H1307" s="55">
        <v>2169.9</v>
      </c>
      <c r="I1307" s="55">
        <v>0</v>
      </c>
      <c r="J1307" s="55">
        <v>2169.9</v>
      </c>
      <c r="K1307" s="55">
        <v>31.6</v>
      </c>
      <c r="L1307" s="55">
        <v>0</v>
      </c>
      <c r="M1307" s="55">
        <v>0</v>
      </c>
      <c r="N1307" s="55">
        <v>0</v>
      </c>
    </row>
    <row r="1308" spans="1:14" ht="10.050000000000001" hidden="1" customHeight="1">
      <c r="A1308" s="52" t="s">
        <v>310</v>
      </c>
      <c r="B1308" s="53">
        <v>2008</v>
      </c>
      <c r="C1308" s="52" t="s">
        <v>113</v>
      </c>
      <c r="D1308" s="54">
        <v>5</v>
      </c>
      <c r="E1308" s="55">
        <v>634.29999999999995</v>
      </c>
      <c r="F1308" s="55">
        <v>0</v>
      </c>
      <c r="G1308" s="55">
        <v>634.29999999999995</v>
      </c>
      <c r="H1308" s="55">
        <v>11265.6</v>
      </c>
      <c r="I1308" s="55">
        <v>595.70000000000005</v>
      </c>
      <c r="J1308" s="55">
        <v>11861.3</v>
      </c>
      <c r="K1308" s="55">
        <v>420.2</v>
      </c>
      <c r="L1308" s="55">
        <v>15.5</v>
      </c>
      <c r="M1308" s="55">
        <v>186.3</v>
      </c>
      <c r="N1308" s="55">
        <v>89.9</v>
      </c>
    </row>
    <row r="1309" spans="1:14" ht="10.050000000000001" hidden="1" customHeight="1">
      <c r="A1309" s="52" t="s">
        <v>308</v>
      </c>
      <c r="B1309" s="53">
        <v>2008</v>
      </c>
      <c r="C1309" s="52" t="s">
        <v>113</v>
      </c>
      <c r="D1309" s="54">
        <v>5</v>
      </c>
      <c r="E1309" s="55">
        <v>6026.1</v>
      </c>
      <c r="F1309" s="55">
        <v>0</v>
      </c>
      <c r="G1309" s="55">
        <v>6026.1</v>
      </c>
      <c r="H1309" s="55">
        <v>31732.400000000001</v>
      </c>
      <c r="I1309" s="55">
        <v>315</v>
      </c>
      <c r="J1309" s="55">
        <v>32047.4</v>
      </c>
      <c r="K1309" s="55">
        <v>2992.8</v>
      </c>
      <c r="L1309" s="55">
        <v>0.1</v>
      </c>
      <c r="M1309" s="55">
        <v>4233.2</v>
      </c>
      <c r="N1309" s="55">
        <v>67.8</v>
      </c>
    </row>
    <row r="1310" spans="1:14" ht="10.050000000000001" hidden="1" customHeight="1">
      <c r="A1310" s="52" t="s">
        <v>174</v>
      </c>
      <c r="B1310" s="53">
        <v>2008</v>
      </c>
      <c r="C1310" s="52" t="s">
        <v>113</v>
      </c>
      <c r="D1310" s="54">
        <v>5</v>
      </c>
      <c r="E1310" s="55">
        <v>5087.3999999999996</v>
      </c>
      <c r="F1310" s="55">
        <v>0</v>
      </c>
      <c r="G1310" s="55">
        <v>5087.3999999999996</v>
      </c>
      <c r="H1310" s="55">
        <v>53679.1</v>
      </c>
      <c r="I1310" s="55">
        <v>2835.9</v>
      </c>
      <c r="J1310" s="55">
        <v>56515</v>
      </c>
      <c r="K1310" s="55">
        <v>10438</v>
      </c>
      <c r="L1310" s="55">
        <v>369.9</v>
      </c>
      <c r="M1310" s="55">
        <v>1588.8</v>
      </c>
      <c r="N1310" s="55">
        <v>3759.6</v>
      </c>
    </row>
    <row r="1311" spans="1:14" ht="10.050000000000001" hidden="1" customHeight="1">
      <c r="A1311" s="52" t="s">
        <v>314</v>
      </c>
      <c r="B1311" s="53">
        <v>2008</v>
      </c>
      <c r="C1311" s="52" t="s">
        <v>113</v>
      </c>
      <c r="D1311" s="54">
        <v>6</v>
      </c>
      <c r="E1311" s="55">
        <v>84.4</v>
      </c>
      <c r="F1311" s="55">
        <v>0</v>
      </c>
      <c r="G1311" s="55">
        <v>84.4</v>
      </c>
      <c r="H1311" s="55">
        <v>0</v>
      </c>
      <c r="I1311" s="55">
        <v>0</v>
      </c>
      <c r="J1311" s="55">
        <v>0</v>
      </c>
      <c r="K1311" s="55">
        <v>0</v>
      </c>
      <c r="L1311" s="55">
        <v>0</v>
      </c>
      <c r="M1311" s="55">
        <v>0</v>
      </c>
      <c r="N1311" s="55">
        <v>0</v>
      </c>
    </row>
    <row r="1312" spans="1:14" ht="10.050000000000001" hidden="1" customHeight="1">
      <c r="A1312" s="52" t="s">
        <v>306</v>
      </c>
      <c r="B1312" s="53">
        <v>2008</v>
      </c>
      <c r="C1312" s="52" t="s">
        <v>113</v>
      </c>
      <c r="D1312" s="54">
        <v>6</v>
      </c>
      <c r="E1312" s="55">
        <v>3278.4</v>
      </c>
      <c r="F1312" s="55">
        <v>1</v>
      </c>
      <c r="G1312" s="55">
        <v>3279.4</v>
      </c>
      <c r="H1312" s="55">
        <v>29346.6</v>
      </c>
      <c r="I1312" s="55">
        <v>1028.5999999999999</v>
      </c>
      <c r="J1312" s="55">
        <v>30375.200000000001</v>
      </c>
      <c r="K1312" s="55">
        <v>741.3</v>
      </c>
      <c r="L1312" s="55">
        <v>252.6</v>
      </c>
      <c r="M1312" s="55">
        <v>1085.8</v>
      </c>
      <c r="N1312" s="55">
        <v>158.30000000000001</v>
      </c>
    </row>
    <row r="1313" spans="1:14" ht="10.050000000000001" hidden="1" customHeight="1">
      <c r="A1313" s="52" t="s">
        <v>172</v>
      </c>
      <c r="B1313" s="53">
        <v>2008</v>
      </c>
      <c r="C1313" s="52" t="s">
        <v>113</v>
      </c>
      <c r="D1313" s="54">
        <v>6</v>
      </c>
      <c r="E1313" s="55">
        <v>20866.099999999999</v>
      </c>
      <c r="F1313" s="55">
        <v>0</v>
      </c>
      <c r="G1313" s="55">
        <v>20866.099999999999</v>
      </c>
      <c r="H1313" s="55">
        <v>155544.6</v>
      </c>
      <c r="I1313" s="55">
        <v>2678.5</v>
      </c>
      <c r="J1313" s="55">
        <v>158223.1</v>
      </c>
      <c r="K1313" s="55">
        <v>1232.5999999999999</v>
      </c>
      <c r="L1313" s="55">
        <v>-270</v>
      </c>
      <c r="M1313" s="55">
        <v>3709.2</v>
      </c>
      <c r="N1313" s="55">
        <v>943.3</v>
      </c>
    </row>
    <row r="1314" spans="1:14" ht="10.050000000000001" hidden="1" customHeight="1">
      <c r="A1314" s="52" t="s">
        <v>171</v>
      </c>
      <c r="B1314" s="53">
        <v>2008</v>
      </c>
      <c r="C1314" s="52" t="s">
        <v>113</v>
      </c>
      <c r="D1314" s="54">
        <v>6</v>
      </c>
      <c r="E1314" s="55">
        <v>554106.19999999995</v>
      </c>
      <c r="F1314" s="55">
        <v>1386.7</v>
      </c>
      <c r="G1314" s="55">
        <v>555492.9</v>
      </c>
      <c r="H1314" s="55">
        <v>1665147.3</v>
      </c>
      <c r="I1314" s="55">
        <v>12911.8</v>
      </c>
      <c r="J1314" s="55">
        <v>1678059.1</v>
      </c>
      <c r="K1314" s="55">
        <v>47917.1</v>
      </c>
      <c r="L1314" s="55">
        <v>38416.800000000003</v>
      </c>
      <c r="M1314" s="55">
        <v>236498.2</v>
      </c>
      <c r="N1314" s="55">
        <v>27989.599999999999</v>
      </c>
    </row>
    <row r="1315" spans="1:14" ht="10.050000000000001" hidden="1" customHeight="1">
      <c r="A1315" s="52" t="s">
        <v>300</v>
      </c>
      <c r="B1315" s="53">
        <v>2008</v>
      </c>
      <c r="C1315" s="52" t="s">
        <v>113</v>
      </c>
      <c r="D1315" s="54">
        <v>6</v>
      </c>
      <c r="E1315" s="55">
        <v>487.8</v>
      </c>
      <c r="F1315" s="55">
        <v>0</v>
      </c>
      <c r="G1315" s="55">
        <v>487.8</v>
      </c>
      <c r="H1315" s="55">
        <v>377.7</v>
      </c>
      <c r="I1315" s="55">
        <v>1.8</v>
      </c>
      <c r="J1315" s="55">
        <v>379.5</v>
      </c>
      <c r="K1315" s="55">
        <v>0</v>
      </c>
      <c r="L1315" s="55">
        <v>0</v>
      </c>
      <c r="M1315" s="55">
        <v>0</v>
      </c>
      <c r="N1315" s="55">
        <v>0</v>
      </c>
    </row>
    <row r="1316" spans="1:14" ht="10.050000000000001" hidden="1" customHeight="1">
      <c r="A1316" s="52" t="s">
        <v>307</v>
      </c>
      <c r="B1316" s="53">
        <v>2008</v>
      </c>
      <c r="C1316" s="52" t="s">
        <v>113</v>
      </c>
      <c r="D1316" s="54">
        <v>6</v>
      </c>
      <c r="E1316" s="55">
        <v>823350.8</v>
      </c>
      <c r="F1316" s="55">
        <v>151.69999999999999</v>
      </c>
      <c r="G1316" s="55">
        <v>823502.5</v>
      </c>
      <c r="H1316" s="55">
        <v>1947867</v>
      </c>
      <c r="I1316" s="55">
        <v>12346.5</v>
      </c>
      <c r="J1316" s="55">
        <v>1960213.5</v>
      </c>
      <c r="K1316" s="55">
        <v>472626.3</v>
      </c>
      <c r="L1316" s="55">
        <v>19435.3</v>
      </c>
      <c r="M1316" s="55">
        <v>587601.30000000005</v>
      </c>
      <c r="N1316" s="55">
        <v>50684.5</v>
      </c>
    </row>
    <row r="1317" spans="1:14" ht="10.050000000000001" hidden="1" customHeight="1">
      <c r="A1317" s="52" t="s">
        <v>315</v>
      </c>
      <c r="B1317" s="53">
        <v>2008</v>
      </c>
      <c r="C1317" s="52" t="s">
        <v>113</v>
      </c>
      <c r="D1317" s="54">
        <v>6</v>
      </c>
      <c r="E1317" s="55">
        <v>670.9</v>
      </c>
      <c r="F1317" s="55">
        <v>0</v>
      </c>
      <c r="G1317" s="55">
        <v>670.9</v>
      </c>
      <c r="H1317" s="55">
        <v>1498.1</v>
      </c>
      <c r="I1317" s="55">
        <v>0</v>
      </c>
      <c r="J1317" s="55">
        <v>1498.1</v>
      </c>
      <c r="K1317" s="55">
        <v>73.099999999999994</v>
      </c>
      <c r="L1317" s="55">
        <v>-3</v>
      </c>
      <c r="M1317" s="55">
        <v>51.6</v>
      </c>
      <c r="N1317" s="55">
        <v>0</v>
      </c>
    </row>
    <row r="1318" spans="1:14" ht="10.050000000000001" hidden="1" customHeight="1">
      <c r="A1318" s="52" t="s">
        <v>173</v>
      </c>
      <c r="B1318" s="53">
        <v>2008</v>
      </c>
      <c r="C1318" s="52" t="s">
        <v>113</v>
      </c>
      <c r="D1318" s="54">
        <v>6</v>
      </c>
      <c r="E1318" s="55">
        <v>78215.8</v>
      </c>
      <c r="F1318" s="55">
        <v>1313.3</v>
      </c>
      <c r="G1318" s="55">
        <v>79529.100000000006</v>
      </c>
      <c r="H1318" s="55">
        <v>585604.9</v>
      </c>
      <c r="I1318" s="55">
        <v>5794.3</v>
      </c>
      <c r="J1318" s="55">
        <v>591399.19999999995</v>
      </c>
      <c r="K1318" s="55">
        <v>15145.7</v>
      </c>
      <c r="L1318" s="55">
        <v>6547.6</v>
      </c>
      <c r="M1318" s="55">
        <v>36188</v>
      </c>
      <c r="N1318" s="55">
        <v>9575.7000000000007</v>
      </c>
    </row>
    <row r="1319" spans="1:14" ht="10.050000000000001" customHeight="1">
      <c r="A1319" s="52" t="s">
        <v>309</v>
      </c>
      <c r="B1319" s="53">
        <v>2008</v>
      </c>
      <c r="C1319" s="52" t="s">
        <v>113</v>
      </c>
      <c r="D1319" s="54">
        <v>6</v>
      </c>
      <c r="E1319" s="55">
        <v>28.2</v>
      </c>
      <c r="F1319" s="55">
        <v>0</v>
      </c>
      <c r="G1319" s="55">
        <v>28.2</v>
      </c>
      <c r="H1319" s="55">
        <v>23011.9</v>
      </c>
      <c r="I1319" s="55">
        <v>0</v>
      </c>
      <c r="J1319" s="55">
        <v>23011.9</v>
      </c>
      <c r="K1319" s="55">
        <v>0</v>
      </c>
      <c r="L1319" s="55">
        <v>0</v>
      </c>
      <c r="M1319" s="55">
        <v>0</v>
      </c>
      <c r="N1319" s="55">
        <v>0</v>
      </c>
    </row>
    <row r="1320" spans="1:14" ht="10.050000000000001" hidden="1" customHeight="1">
      <c r="A1320" s="52" t="s">
        <v>316</v>
      </c>
      <c r="B1320" s="53">
        <v>2008</v>
      </c>
      <c r="C1320" s="52" t="s">
        <v>113</v>
      </c>
      <c r="D1320" s="54">
        <v>6</v>
      </c>
      <c r="E1320" s="55">
        <v>243.5</v>
      </c>
      <c r="F1320" s="55">
        <v>0</v>
      </c>
      <c r="G1320" s="55">
        <v>243.5</v>
      </c>
      <c r="H1320" s="55">
        <v>1703.4</v>
      </c>
      <c r="I1320" s="55">
        <v>0</v>
      </c>
      <c r="J1320" s="55">
        <v>1703.4</v>
      </c>
      <c r="K1320" s="55">
        <v>4.8</v>
      </c>
      <c r="L1320" s="55">
        <v>0.8</v>
      </c>
      <c r="M1320" s="55">
        <v>27.6</v>
      </c>
      <c r="N1320" s="55">
        <v>0</v>
      </c>
    </row>
    <row r="1321" spans="1:14" ht="10.050000000000001" hidden="1" customHeight="1">
      <c r="A1321" s="52" t="s">
        <v>310</v>
      </c>
      <c r="B1321" s="53">
        <v>2008</v>
      </c>
      <c r="C1321" s="52" t="s">
        <v>113</v>
      </c>
      <c r="D1321" s="54">
        <v>6</v>
      </c>
      <c r="E1321" s="55">
        <v>1041.7</v>
      </c>
      <c r="F1321" s="55">
        <v>0</v>
      </c>
      <c r="G1321" s="55">
        <v>1041.7</v>
      </c>
      <c r="H1321" s="55">
        <v>7243.2</v>
      </c>
      <c r="I1321" s="55">
        <v>246.6</v>
      </c>
      <c r="J1321" s="55">
        <v>7489.8</v>
      </c>
      <c r="K1321" s="55">
        <v>67</v>
      </c>
      <c r="L1321" s="55">
        <v>0</v>
      </c>
      <c r="M1321" s="55">
        <v>276.8</v>
      </c>
      <c r="N1321" s="55">
        <v>76.400000000000006</v>
      </c>
    </row>
    <row r="1322" spans="1:14" ht="10.050000000000001" hidden="1" customHeight="1">
      <c r="A1322" s="52" t="s">
        <v>308</v>
      </c>
      <c r="B1322" s="53">
        <v>2008</v>
      </c>
      <c r="C1322" s="52" t="s">
        <v>113</v>
      </c>
      <c r="D1322" s="54">
        <v>6</v>
      </c>
      <c r="E1322" s="55">
        <v>4312.5</v>
      </c>
      <c r="F1322" s="55">
        <v>53.9</v>
      </c>
      <c r="G1322" s="55">
        <v>4366.3999999999996</v>
      </c>
      <c r="H1322" s="55">
        <v>18734.8</v>
      </c>
      <c r="I1322" s="55">
        <v>114.9</v>
      </c>
      <c r="J1322" s="55">
        <v>18849.7</v>
      </c>
      <c r="K1322" s="55">
        <v>1022.3</v>
      </c>
      <c r="L1322" s="55">
        <v>160.1</v>
      </c>
      <c r="M1322" s="55">
        <v>1832</v>
      </c>
      <c r="N1322" s="55">
        <v>298.60000000000002</v>
      </c>
    </row>
    <row r="1323" spans="1:14" ht="10.050000000000001" hidden="1" customHeight="1">
      <c r="A1323" s="52" t="s">
        <v>174</v>
      </c>
      <c r="B1323" s="53">
        <v>2008</v>
      </c>
      <c r="C1323" s="52" t="s">
        <v>113</v>
      </c>
      <c r="D1323" s="54">
        <v>6</v>
      </c>
      <c r="E1323" s="55">
        <v>8263.9</v>
      </c>
      <c r="F1323" s="55">
        <v>0</v>
      </c>
      <c r="G1323" s="55">
        <v>8263.9</v>
      </c>
      <c r="H1323" s="55">
        <v>25744.5</v>
      </c>
      <c r="I1323" s="55">
        <v>2062</v>
      </c>
      <c r="J1323" s="55">
        <v>27806.5</v>
      </c>
      <c r="K1323" s="55">
        <v>4776.8999999999996</v>
      </c>
      <c r="L1323" s="55">
        <v>444.5</v>
      </c>
      <c r="M1323" s="55">
        <v>2958.6</v>
      </c>
      <c r="N1323" s="55">
        <v>3147</v>
      </c>
    </row>
    <row r="1324" spans="1:14" ht="10.050000000000001" hidden="1" customHeight="1">
      <c r="A1324" s="52" t="s">
        <v>306</v>
      </c>
      <c r="B1324" s="53">
        <v>2008</v>
      </c>
      <c r="C1324" s="52" t="s">
        <v>113</v>
      </c>
      <c r="D1324" s="54">
        <v>7</v>
      </c>
      <c r="E1324" s="55">
        <v>0</v>
      </c>
      <c r="F1324" s="55">
        <v>0</v>
      </c>
      <c r="G1324" s="55">
        <v>0</v>
      </c>
      <c r="H1324" s="55">
        <v>0</v>
      </c>
      <c r="I1324" s="55">
        <v>10.199999999999999</v>
      </c>
      <c r="J1324" s="55">
        <v>10.199999999999999</v>
      </c>
      <c r="K1324" s="55">
        <v>0</v>
      </c>
      <c r="L1324" s="55">
        <v>0</v>
      </c>
      <c r="M1324" s="55">
        <v>0</v>
      </c>
      <c r="N1324" s="55">
        <v>0</v>
      </c>
    </row>
    <row r="1325" spans="1:14" ht="10.050000000000001" hidden="1" customHeight="1">
      <c r="A1325" s="52" t="s">
        <v>171</v>
      </c>
      <c r="B1325" s="53">
        <v>2008</v>
      </c>
      <c r="C1325" s="52" t="s">
        <v>113</v>
      </c>
      <c r="D1325" s="54">
        <v>7</v>
      </c>
      <c r="E1325" s="55">
        <v>3365.2</v>
      </c>
      <c r="F1325" s="55">
        <v>0</v>
      </c>
      <c r="G1325" s="55">
        <v>3365.2</v>
      </c>
      <c r="H1325" s="55">
        <v>7123.6</v>
      </c>
      <c r="I1325" s="55">
        <v>0</v>
      </c>
      <c r="J1325" s="55">
        <v>7123.6</v>
      </c>
      <c r="K1325" s="55">
        <v>1705.2</v>
      </c>
      <c r="L1325" s="55">
        <v>1683.7</v>
      </c>
      <c r="M1325" s="55">
        <v>0</v>
      </c>
      <c r="N1325" s="55">
        <v>0</v>
      </c>
    </row>
    <row r="1326" spans="1:14" ht="10.050000000000001" hidden="1" customHeight="1">
      <c r="A1326" s="52" t="s">
        <v>300</v>
      </c>
      <c r="B1326" s="53">
        <v>2008</v>
      </c>
      <c r="C1326" s="52" t="s">
        <v>113</v>
      </c>
      <c r="D1326" s="54">
        <v>7</v>
      </c>
      <c r="E1326" s="55">
        <v>0</v>
      </c>
      <c r="F1326" s="55">
        <v>0</v>
      </c>
      <c r="G1326" s="55">
        <v>0</v>
      </c>
      <c r="H1326" s="55">
        <v>7.4</v>
      </c>
      <c r="I1326" s="55">
        <v>0</v>
      </c>
      <c r="J1326" s="55">
        <v>7.4</v>
      </c>
      <c r="K1326" s="55">
        <v>0</v>
      </c>
      <c r="L1326" s="55">
        <v>0</v>
      </c>
      <c r="M1326" s="55">
        <v>0</v>
      </c>
      <c r="N1326" s="55">
        <v>0</v>
      </c>
    </row>
    <row r="1327" spans="1:14" ht="10.050000000000001" hidden="1" customHeight="1">
      <c r="A1327" s="52" t="s">
        <v>307</v>
      </c>
      <c r="B1327" s="53">
        <v>2008</v>
      </c>
      <c r="C1327" s="52" t="s">
        <v>113</v>
      </c>
      <c r="D1327" s="54">
        <v>7</v>
      </c>
      <c r="E1327" s="55">
        <v>0</v>
      </c>
      <c r="F1327" s="55">
        <v>0</v>
      </c>
      <c r="G1327" s="55">
        <v>0</v>
      </c>
      <c r="H1327" s="55">
        <v>699.6</v>
      </c>
      <c r="I1327" s="55">
        <v>0</v>
      </c>
      <c r="J1327" s="55">
        <v>699.6</v>
      </c>
      <c r="K1327" s="55">
        <v>0</v>
      </c>
      <c r="L1327" s="55">
        <v>0</v>
      </c>
      <c r="M1327" s="55">
        <v>0</v>
      </c>
      <c r="N1327" s="55">
        <v>0</v>
      </c>
    </row>
    <row r="1328" spans="1:14" ht="10.050000000000001" hidden="1" customHeight="1">
      <c r="A1328" s="52" t="s">
        <v>173</v>
      </c>
      <c r="B1328" s="53">
        <v>2008</v>
      </c>
      <c r="C1328" s="52" t="s">
        <v>113</v>
      </c>
      <c r="D1328" s="54">
        <v>7</v>
      </c>
      <c r="E1328" s="55">
        <v>26610</v>
      </c>
      <c r="F1328" s="55">
        <v>0</v>
      </c>
      <c r="G1328" s="55">
        <v>26610</v>
      </c>
      <c r="H1328" s="55">
        <v>26976.3</v>
      </c>
      <c r="I1328" s="55">
        <v>0</v>
      </c>
      <c r="J1328" s="55">
        <v>26976.3</v>
      </c>
      <c r="K1328" s="55">
        <v>1441</v>
      </c>
      <c r="L1328" s="55">
        <v>1494.5</v>
      </c>
      <c r="M1328" s="55">
        <v>0</v>
      </c>
      <c r="N1328" s="55">
        <v>56.4</v>
      </c>
    </row>
    <row r="1329" spans="1:14" ht="10.050000000000001" hidden="1" customHeight="1">
      <c r="A1329" s="52" t="s">
        <v>310</v>
      </c>
      <c r="B1329" s="53">
        <v>2008</v>
      </c>
      <c r="C1329" s="52" t="s">
        <v>113</v>
      </c>
      <c r="D1329" s="54">
        <v>7</v>
      </c>
      <c r="E1329" s="55">
        <v>0</v>
      </c>
      <c r="F1329" s="55">
        <v>0</v>
      </c>
      <c r="G1329" s="55">
        <v>0</v>
      </c>
      <c r="H1329" s="55">
        <v>377.6</v>
      </c>
      <c r="I1329" s="55">
        <v>5.6</v>
      </c>
      <c r="J1329" s="55">
        <v>383.2</v>
      </c>
      <c r="K1329" s="55">
        <v>0</v>
      </c>
      <c r="L1329" s="55">
        <v>0</v>
      </c>
      <c r="M1329" s="55">
        <v>0</v>
      </c>
      <c r="N1329" s="55">
        <v>0</v>
      </c>
    </row>
    <row r="1330" spans="1:14" ht="10.050000000000001" hidden="1" customHeight="1">
      <c r="A1330" s="52" t="s">
        <v>174</v>
      </c>
      <c r="B1330" s="53">
        <v>2008</v>
      </c>
      <c r="C1330" s="52" t="s">
        <v>113</v>
      </c>
      <c r="D1330" s="54">
        <v>7</v>
      </c>
      <c r="E1330" s="55">
        <v>0</v>
      </c>
      <c r="F1330" s="55">
        <v>0</v>
      </c>
      <c r="G1330" s="55">
        <v>0</v>
      </c>
      <c r="H1330" s="55">
        <v>37.6</v>
      </c>
      <c r="I1330" s="55">
        <v>0</v>
      </c>
      <c r="J1330" s="55">
        <v>37.6</v>
      </c>
      <c r="K1330" s="55">
        <v>0</v>
      </c>
      <c r="L1330" s="55">
        <v>0</v>
      </c>
      <c r="M1330" s="55">
        <v>0</v>
      </c>
      <c r="N1330" s="55">
        <v>0</v>
      </c>
    </row>
    <row r="1331" spans="1:14" ht="10.050000000000001" hidden="1" customHeight="1">
      <c r="A1331" s="52" t="s">
        <v>307</v>
      </c>
      <c r="B1331" s="53">
        <v>2008</v>
      </c>
      <c r="C1331" s="52" t="s">
        <v>107</v>
      </c>
      <c r="D1331" s="54">
        <v>1</v>
      </c>
      <c r="E1331" s="55">
        <v>38.799999999999997</v>
      </c>
      <c r="F1331" s="55">
        <v>0</v>
      </c>
      <c r="G1331" s="55">
        <v>38.799999999999997</v>
      </c>
      <c r="H1331" s="55">
        <v>0</v>
      </c>
      <c r="I1331" s="55">
        <v>0</v>
      </c>
      <c r="J1331" s="55">
        <v>0</v>
      </c>
      <c r="K1331" s="55">
        <v>0</v>
      </c>
      <c r="L1331" s="55">
        <v>0</v>
      </c>
      <c r="M1331" s="55">
        <v>0</v>
      </c>
      <c r="N1331" s="55">
        <v>0</v>
      </c>
    </row>
    <row r="1332" spans="1:14" ht="10.050000000000001" hidden="1" customHeight="1">
      <c r="A1332" s="52" t="s">
        <v>314</v>
      </c>
      <c r="B1332" s="53">
        <v>2008</v>
      </c>
      <c r="C1332" s="52" t="s">
        <v>107</v>
      </c>
      <c r="D1332" s="54">
        <v>7</v>
      </c>
      <c r="E1332" s="55">
        <v>119.5</v>
      </c>
      <c r="F1332" s="55">
        <v>0</v>
      </c>
      <c r="G1332" s="55">
        <v>119.5</v>
      </c>
      <c r="H1332" s="55">
        <v>0</v>
      </c>
      <c r="I1332" s="55">
        <v>0</v>
      </c>
      <c r="J1332" s="55">
        <v>0</v>
      </c>
      <c r="K1332" s="55">
        <v>0</v>
      </c>
      <c r="L1332" s="55">
        <v>0</v>
      </c>
      <c r="M1332" s="55">
        <v>0</v>
      </c>
      <c r="N1332" s="55">
        <v>0</v>
      </c>
    </row>
    <row r="1333" spans="1:14" ht="10.050000000000001" hidden="1" customHeight="1">
      <c r="A1333" s="52" t="s">
        <v>306</v>
      </c>
      <c r="B1333" s="53">
        <v>2008</v>
      </c>
      <c r="C1333" s="52" t="s">
        <v>107</v>
      </c>
      <c r="D1333" s="54">
        <v>7</v>
      </c>
      <c r="E1333" s="55">
        <v>87861.2</v>
      </c>
      <c r="F1333" s="55">
        <v>2142.4</v>
      </c>
      <c r="G1333" s="55">
        <v>90003.6</v>
      </c>
      <c r="H1333" s="55">
        <v>106815.4</v>
      </c>
      <c r="I1333" s="55">
        <v>2668.1</v>
      </c>
      <c r="J1333" s="55">
        <v>109483.5</v>
      </c>
      <c r="K1333" s="55">
        <v>26417</v>
      </c>
      <c r="L1333" s="55">
        <v>27801.9</v>
      </c>
      <c r="M1333" s="55">
        <v>1961.2</v>
      </c>
      <c r="N1333" s="55">
        <v>116.9</v>
      </c>
    </row>
    <row r="1334" spans="1:14" ht="10.050000000000001" hidden="1" customHeight="1">
      <c r="A1334" s="52" t="s">
        <v>172</v>
      </c>
      <c r="B1334" s="53">
        <v>2008</v>
      </c>
      <c r="C1334" s="52" t="s">
        <v>107</v>
      </c>
      <c r="D1334" s="54">
        <v>7</v>
      </c>
      <c r="E1334" s="55">
        <v>720754.5</v>
      </c>
      <c r="F1334" s="55">
        <v>54908.4</v>
      </c>
      <c r="G1334" s="55">
        <v>775662.9</v>
      </c>
      <c r="H1334" s="55">
        <v>791014.8</v>
      </c>
      <c r="I1334" s="55">
        <v>37914.6</v>
      </c>
      <c r="J1334" s="55">
        <v>828929.4</v>
      </c>
      <c r="K1334" s="55">
        <v>378733.7</v>
      </c>
      <c r="L1334" s="55">
        <v>384455.5</v>
      </c>
      <c r="M1334" s="55">
        <v>6871.6</v>
      </c>
      <c r="N1334" s="55">
        <v>82.8</v>
      </c>
    </row>
    <row r="1335" spans="1:14" ht="10.050000000000001" hidden="1" customHeight="1">
      <c r="A1335" s="52" t="s">
        <v>171</v>
      </c>
      <c r="B1335" s="53">
        <v>2008</v>
      </c>
      <c r="C1335" s="52" t="s">
        <v>107</v>
      </c>
      <c r="D1335" s="54">
        <v>7</v>
      </c>
      <c r="E1335" s="55">
        <v>10297387.5</v>
      </c>
      <c r="F1335" s="55">
        <v>98619</v>
      </c>
      <c r="G1335" s="55">
        <v>10396006.5</v>
      </c>
      <c r="H1335" s="55">
        <v>9768051.5</v>
      </c>
      <c r="I1335" s="55">
        <v>99053.8</v>
      </c>
      <c r="J1335" s="55">
        <v>9867105.3000000007</v>
      </c>
      <c r="K1335" s="55">
        <v>4172373</v>
      </c>
      <c r="L1335" s="55">
        <v>4261507.0999999996</v>
      </c>
      <c r="M1335" s="55">
        <v>122372.7</v>
      </c>
      <c r="N1335" s="55">
        <v>17082</v>
      </c>
    </row>
    <row r="1336" spans="1:14" ht="10.050000000000001" hidden="1" customHeight="1">
      <c r="A1336" s="52" t="s">
        <v>300</v>
      </c>
      <c r="B1336" s="53">
        <v>2008</v>
      </c>
      <c r="C1336" s="52" t="s">
        <v>107</v>
      </c>
      <c r="D1336" s="54">
        <v>7</v>
      </c>
      <c r="E1336" s="55">
        <v>850.7</v>
      </c>
      <c r="F1336" s="55">
        <v>42.1</v>
      </c>
      <c r="G1336" s="55">
        <v>892.8</v>
      </c>
      <c r="H1336" s="55">
        <v>1179.2</v>
      </c>
      <c r="I1336" s="55">
        <v>43.9</v>
      </c>
      <c r="J1336" s="55">
        <v>1223.0999999999999</v>
      </c>
      <c r="K1336" s="55">
        <v>54.2</v>
      </c>
      <c r="L1336" s="55">
        <v>54.2</v>
      </c>
      <c r="M1336" s="55">
        <v>0</v>
      </c>
      <c r="N1336" s="55">
        <v>0</v>
      </c>
    </row>
    <row r="1337" spans="1:14" ht="10.050000000000001" hidden="1" customHeight="1">
      <c r="A1337" s="52" t="s">
        <v>307</v>
      </c>
      <c r="B1337" s="53">
        <v>2008</v>
      </c>
      <c r="C1337" s="52" t="s">
        <v>107</v>
      </c>
      <c r="D1337" s="54">
        <v>7</v>
      </c>
      <c r="E1337" s="55">
        <v>215311.6</v>
      </c>
      <c r="F1337" s="55">
        <v>0</v>
      </c>
      <c r="G1337" s="55">
        <v>215311.6</v>
      </c>
      <c r="H1337" s="55">
        <v>1327495.8</v>
      </c>
      <c r="I1337" s="55">
        <v>10946.6</v>
      </c>
      <c r="J1337" s="55">
        <v>1338442.3999999999</v>
      </c>
      <c r="K1337" s="55">
        <v>358166.4</v>
      </c>
      <c r="L1337" s="55">
        <v>25041</v>
      </c>
      <c r="M1337" s="55">
        <v>108123.9</v>
      </c>
      <c r="N1337" s="55">
        <v>25020.2</v>
      </c>
    </row>
    <row r="1338" spans="1:14" ht="10.050000000000001" hidden="1" customHeight="1">
      <c r="A1338" s="52" t="s">
        <v>315</v>
      </c>
      <c r="B1338" s="53">
        <v>2008</v>
      </c>
      <c r="C1338" s="52" t="s">
        <v>107</v>
      </c>
      <c r="D1338" s="54">
        <v>7</v>
      </c>
      <c r="E1338" s="55">
        <v>294.5</v>
      </c>
      <c r="F1338" s="55">
        <v>0</v>
      </c>
      <c r="G1338" s="55">
        <v>294.5</v>
      </c>
      <c r="H1338" s="55">
        <v>1280.5999999999999</v>
      </c>
      <c r="I1338" s="55">
        <v>0</v>
      </c>
      <c r="J1338" s="55">
        <v>1280.5999999999999</v>
      </c>
      <c r="K1338" s="55">
        <v>73.099999999999994</v>
      </c>
      <c r="L1338" s="55">
        <v>0</v>
      </c>
      <c r="M1338" s="55">
        <v>0</v>
      </c>
      <c r="N1338" s="55">
        <v>0</v>
      </c>
    </row>
    <row r="1339" spans="1:14" ht="10.050000000000001" hidden="1" customHeight="1">
      <c r="A1339" s="52" t="s">
        <v>173</v>
      </c>
      <c r="B1339" s="53">
        <v>2008</v>
      </c>
      <c r="C1339" s="52" t="s">
        <v>107</v>
      </c>
      <c r="D1339" s="54">
        <v>7</v>
      </c>
      <c r="E1339" s="55">
        <v>5709746.5999999996</v>
      </c>
      <c r="F1339" s="55">
        <v>129337.3</v>
      </c>
      <c r="G1339" s="55">
        <v>5839083.9000000004</v>
      </c>
      <c r="H1339" s="55">
        <v>5441539.4000000004</v>
      </c>
      <c r="I1339" s="55">
        <v>84323.6</v>
      </c>
      <c r="J1339" s="55">
        <v>5525863.0000000102</v>
      </c>
      <c r="K1339" s="55">
        <v>1806252.3</v>
      </c>
      <c r="L1339" s="55">
        <v>2105568.4</v>
      </c>
      <c r="M1339" s="55">
        <v>303726.7</v>
      </c>
      <c r="N1339" s="55">
        <v>11117.4</v>
      </c>
    </row>
    <row r="1340" spans="1:14" ht="10.050000000000001" customHeight="1">
      <c r="A1340" s="52" t="s">
        <v>309</v>
      </c>
      <c r="B1340" s="53">
        <v>2008</v>
      </c>
      <c r="C1340" s="52" t="s">
        <v>107</v>
      </c>
      <c r="D1340" s="54">
        <v>7</v>
      </c>
      <c r="E1340" s="55">
        <v>0</v>
      </c>
      <c r="F1340" s="55">
        <v>0</v>
      </c>
      <c r="G1340" s="55">
        <v>0</v>
      </c>
      <c r="H1340" s="55">
        <v>14180.6</v>
      </c>
      <c r="I1340" s="55">
        <v>0</v>
      </c>
      <c r="J1340" s="55">
        <v>14180.6</v>
      </c>
      <c r="K1340" s="55">
        <v>0</v>
      </c>
      <c r="L1340" s="55">
        <v>0</v>
      </c>
      <c r="M1340" s="55">
        <v>0</v>
      </c>
      <c r="N1340" s="55">
        <v>0</v>
      </c>
    </row>
    <row r="1341" spans="1:14" ht="10.050000000000001" hidden="1" customHeight="1">
      <c r="A1341" s="52" t="s">
        <v>316</v>
      </c>
      <c r="B1341" s="53">
        <v>2008</v>
      </c>
      <c r="C1341" s="52" t="s">
        <v>107</v>
      </c>
      <c r="D1341" s="54">
        <v>7</v>
      </c>
      <c r="E1341" s="55">
        <v>91.2</v>
      </c>
      <c r="F1341" s="55">
        <v>0</v>
      </c>
      <c r="G1341" s="55">
        <v>91.2</v>
      </c>
      <c r="H1341" s="55">
        <v>1357.5</v>
      </c>
      <c r="I1341" s="55">
        <v>0</v>
      </c>
      <c r="J1341" s="55">
        <v>1357.5</v>
      </c>
      <c r="K1341" s="55">
        <v>4.8</v>
      </c>
      <c r="L1341" s="55">
        <v>0</v>
      </c>
      <c r="M1341" s="55">
        <v>0</v>
      </c>
      <c r="N1341" s="55">
        <v>0</v>
      </c>
    </row>
    <row r="1342" spans="1:14" ht="10.050000000000001" hidden="1" customHeight="1">
      <c r="A1342" s="52" t="s">
        <v>310</v>
      </c>
      <c r="B1342" s="53">
        <v>2008</v>
      </c>
      <c r="C1342" s="52" t="s">
        <v>107</v>
      </c>
      <c r="D1342" s="54">
        <v>7</v>
      </c>
      <c r="E1342" s="55">
        <v>12953.3</v>
      </c>
      <c r="F1342" s="55">
        <v>93.3</v>
      </c>
      <c r="G1342" s="55">
        <v>13046.6</v>
      </c>
      <c r="H1342" s="55">
        <v>16164.8</v>
      </c>
      <c r="I1342" s="55">
        <v>332.4</v>
      </c>
      <c r="J1342" s="55">
        <v>16497.2</v>
      </c>
      <c r="K1342" s="55">
        <v>6279.5</v>
      </c>
      <c r="L1342" s="55">
        <v>6412</v>
      </c>
      <c r="M1342" s="55">
        <v>198.9</v>
      </c>
      <c r="N1342" s="55">
        <v>0.6</v>
      </c>
    </row>
    <row r="1343" spans="1:14" ht="10.050000000000001" hidden="1" customHeight="1">
      <c r="A1343" s="52" t="s">
        <v>308</v>
      </c>
      <c r="B1343" s="53">
        <v>2008</v>
      </c>
      <c r="C1343" s="52" t="s">
        <v>107</v>
      </c>
      <c r="D1343" s="54">
        <v>7</v>
      </c>
      <c r="E1343" s="55">
        <v>713.2</v>
      </c>
      <c r="F1343" s="55">
        <v>0</v>
      </c>
      <c r="G1343" s="55">
        <v>713.2</v>
      </c>
      <c r="H1343" s="55">
        <v>11714.6</v>
      </c>
      <c r="I1343" s="55">
        <v>114.9</v>
      </c>
      <c r="J1343" s="55">
        <v>11829.5</v>
      </c>
      <c r="K1343" s="55">
        <v>720.2</v>
      </c>
      <c r="L1343" s="55">
        <v>59.5</v>
      </c>
      <c r="M1343" s="55">
        <v>186</v>
      </c>
      <c r="N1343" s="55">
        <v>175.6</v>
      </c>
    </row>
    <row r="1344" spans="1:14" ht="10.050000000000001" hidden="1" customHeight="1">
      <c r="A1344" s="52" t="s">
        <v>174</v>
      </c>
      <c r="B1344" s="53">
        <v>2008</v>
      </c>
      <c r="C1344" s="52" t="s">
        <v>107</v>
      </c>
      <c r="D1344" s="54">
        <v>7</v>
      </c>
      <c r="E1344" s="55">
        <v>190601.1</v>
      </c>
      <c r="F1344" s="55">
        <v>8919.7000000000007</v>
      </c>
      <c r="G1344" s="55">
        <v>199520.8</v>
      </c>
      <c r="H1344" s="55">
        <v>182484.2</v>
      </c>
      <c r="I1344" s="55">
        <v>10718.8</v>
      </c>
      <c r="J1344" s="55">
        <v>193203</v>
      </c>
      <c r="K1344" s="55">
        <v>60172.7</v>
      </c>
      <c r="L1344" s="55">
        <v>60043.5</v>
      </c>
      <c r="M1344" s="55">
        <v>2160.1</v>
      </c>
      <c r="N1344" s="55">
        <v>2487.6</v>
      </c>
    </row>
    <row r="1345" spans="1:14" ht="10.050000000000001" hidden="1" customHeight="1">
      <c r="A1345" s="52" t="s">
        <v>306</v>
      </c>
      <c r="B1345" s="53">
        <v>2008</v>
      </c>
      <c r="C1345" s="52" t="s">
        <v>107</v>
      </c>
      <c r="D1345" s="54">
        <v>8</v>
      </c>
      <c r="E1345" s="55">
        <v>62829.4</v>
      </c>
      <c r="F1345" s="55">
        <v>1827.3</v>
      </c>
      <c r="G1345" s="55">
        <v>64656.7</v>
      </c>
      <c r="H1345" s="55">
        <v>158683.6</v>
      </c>
      <c r="I1345" s="55">
        <v>3312.4</v>
      </c>
      <c r="J1345" s="55">
        <v>161996</v>
      </c>
      <c r="K1345" s="55">
        <v>28023</v>
      </c>
      <c r="L1345" s="55">
        <v>9369.7999999999993</v>
      </c>
      <c r="M1345" s="55">
        <v>7469.5</v>
      </c>
      <c r="N1345" s="55">
        <v>294.3</v>
      </c>
    </row>
    <row r="1346" spans="1:14" ht="10.050000000000001" hidden="1" customHeight="1">
      <c r="A1346" s="52" t="s">
        <v>172</v>
      </c>
      <c r="B1346" s="53">
        <v>2008</v>
      </c>
      <c r="C1346" s="52" t="s">
        <v>107</v>
      </c>
      <c r="D1346" s="54">
        <v>8</v>
      </c>
      <c r="E1346" s="55">
        <v>141204.79999999999</v>
      </c>
      <c r="F1346" s="55">
        <v>5184.1000000000004</v>
      </c>
      <c r="G1346" s="55">
        <v>146388.9</v>
      </c>
      <c r="H1346" s="55">
        <v>821284.4</v>
      </c>
      <c r="I1346" s="55">
        <v>40621</v>
      </c>
      <c r="J1346" s="55">
        <v>861905.4</v>
      </c>
      <c r="K1346" s="55">
        <v>414473.9</v>
      </c>
      <c r="L1346" s="55">
        <v>89614.3</v>
      </c>
      <c r="M1346" s="55">
        <v>52226.2</v>
      </c>
      <c r="N1346" s="55">
        <v>1647.9</v>
      </c>
    </row>
    <row r="1347" spans="1:14" ht="10.050000000000001" hidden="1" customHeight="1">
      <c r="A1347" s="52" t="s">
        <v>171</v>
      </c>
      <c r="B1347" s="53">
        <v>2008</v>
      </c>
      <c r="C1347" s="52" t="s">
        <v>107</v>
      </c>
      <c r="D1347" s="54">
        <v>8</v>
      </c>
      <c r="E1347" s="55">
        <v>4971932.3</v>
      </c>
      <c r="F1347" s="55">
        <v>181126.1</v>
      </c>
      <c r="G1347" s="55">
        <v>5153058.4000000004</v>
      </c>
      <c r="H1347" s="55">
        <v>11907204.6</v>
      </c>
      <c r="I1347" s="55">
        <v>162095</v>
      </c>
      <c r="J1347" s="55">
        <v>12069299.6</v>
      </c>
      <c r="K1347" s="55">
        <v>6181922.5999999996</v>
      </c>
      <c r="L1347" s="55">
        <v>2972834.4</v>
      </c>
      <c r="M1347" s="55">
        <v>914320.2</v>
      </c>
      <c r="N1347" s="55">
        <v>50566.3</v>
      </c>
    </row>
    <row r="1348" spans="1:14" ht="10.050000000000001" hidden="1" customHeight="1">
      <c r="A1348" s="52" t="s">
        <v>300</v>
      </c>
      <c r="B1348" s="53">
        <v>2008</v>
      </c>
      <c r="C1348" s="52" t="s">
        <v>107</v>
      </c>
      <c r="D1348" s="54">
        <v>8</v>
      </c>
      <c r="E1348" s="55">
        <v>978.1</v>
      </c>
      <c r="F1348" s="55">
        <v>21.6</v>
      </c>
      <c r="G1348" s="55">
        <v>999.7</v>
      </c>
      <c r="H1348" s="55">
        <v>1848.3</v>
      </c>
      <c r="I1348" s="55">
        <v>65.400000000000006</v>
      </c>
      <c r="J1348" s="55">
        <v>1913.7</v>
      </c>
      <c r="K1348" s="55">
        <v>68.900000000000006</v>
      </c>
      <c r="L1348" s="55">
        <v>110.6</v>
      </c>
      <c r="M1348" s="55">
        <v>41.7</v>
      </c>
      <c r="N1348" s="55">
        <v>0</v>
      </c>
    </row>
    <row r="1349" spans="1:14" ht="10.050000000000001" hidden="1" customHeight="1">
      <c r="A1349" s="52" t="s">
        <v>307</v>
      </c>
      <c r="B1349" s="53">
        <v>2008</v>
      </c>
      <c r="C1349" s="52" t="s">
        <v>107</v>
      </c>
      <c r="D1349" s="54">
        <v>8</v>
      </c>
      <c r="E1349" s="55">
        <v>184626.5</v>
      </c>
      <c r="F1349" s="55">
        <v>37</v>
      </c>
      <c r="G1349" s="55">
        <v>184663.5</v>
      </c>
      <c r="H1349" s="55">
        <v>810506.2</v>
      </c>
      <c r="I1349" s="55">
        <v>10986.1</v>
      </c>
      <c r="J1349" s="55">
        <v>821492.3</v>
      </c>
      <c r="K1349" s="55">
        <v>247364.2</v>
      </c>
      <c r="L1349" s="55">
        <v>13023.9</v>
      </c>
      <c r="M1349" s="55">
        <v>101592.1</v>
      </c>
      <c r="N1349" s="55">
        <v>22234</v>
      </c>
    </row>
    <row r="1350" spans="1:14" ht="10.050000000000001" hidden="1" customHeight="1">
      <c r="A1350" s="52" t="s">
        <v>315</v>
      </c>
      <c r="B1350" s="53">
        <v>2008</v>
      </c>
      <c r="C1350" s="52" t="s">
        <v>107</v>
      </c>
      <c r="D1350" s="54">
        <v>8</v>
      </c>
      <c r="E1350" s="55">
        <v>615.29999999999995</v>
      </c>
      <c r="F1350" s="55">
        <v>0</v>
      </c>
      <c r="G1350" s="55">
        <v>615.29999999999995</v>
      </c>
      <c r="H1350" s="55">
        <v>1365.9</v>
      </c>
      <c r="I1350" s="55">
        <v>0</v>
      </c>
      <c r="J1350" s="55">
        <v>1365.9</v>
      </c>
      <c r="K1350" s="55">
        <v>169.9</v>
      </c>
      <c r="L1350" s="55">
        <v>96.8</v>
      </c>
      <c r="M1350" s="55">
        <v>0</v>
      </c>
      <c r="N1350" s="55">
        <v>0</v>
      </c>
    </row>
    <row r="1351" spans="1:14" ht="10.050000000000001" hidden="1" customHeight="1">
      <c r="A1351" s="52" t="s">
        <v>173</v>
      </c>
      <c r="B1351" s="53">
        <v>2008</v>
      </c>
      <c r="C1351" s="52" t="s">
        <v>107</v>
      </c>
      <c r="D1351" s="54">
        <v>8</v>
      </c>
      <c r="E1351" s="55">
        <v>996661.9</v>
      </c>
      <c r="F1351" s="55">
        <v>13299.2</v>
      </c>
      <c r="G1351" s="55">
        <v>1009961.1</v>
      </c>
      <c r="H1351" s="55">
        <v>5804203.2000000002</v>
      </c>
      <c r="I1351" s="55">
        <v>69647.899999999994</v>
      </c>
      <c r="J1351" s="55">
        <v>5873851.0999999996</v>
      </c>
      <c r="K1351" s="55">
        <v>1509106.8</v>
      </c>
      <c r="L1351" s="55">
        <v>175056.3</v>
      </c>
      <c r="M1351" s="55">
        <v>465212.4</v>
      </c>
      <c r="N1351" s="55">
        <v>9466</v>
      </c>
    </row>
    <row r="1352" spans="1:14" ht="10.050000000000001" customHeight="1">
      <c r="A1352" s="52" t="s">
        <v>309</v>
      </c>
      <c r="B1352" s="53">
        <v>2008</v>
      </c>
      <c r="C1352" s="52" t="s">
        <v>107</v>
      </c>
      <c r="D1352" s="54">
        <v>8</v>
      </c>
      <c r="E1352" s="55">
        <v>0</v>
      </c>
      <c r="F1352" s="55">
        <v>0</v>
      </c>
      <c r="G1352" s="55">
        <v>0</v>
      </c>
      <c r="H1352" s="55">
        <v>9813.6</v>
      </c>
      <c r="I1352" s="55">
        <v>0</v>
      </c>
      <c r="J1352" s="55">
        <v>9813.6</v>
      </c>
      <c r="K1352" s="55">
        <v>0</v>
      </c>
      <c r="L1352" s="55">
        <v>0</v>
      </c>
      <c r="M1352" s="55">
        <v>0</v>
      </c>
      <c r="N1352" s="55">
        <v>0</v>
      </c>
    </row>
    <row r="1353" spans="1:14" ht="10.050000000000001" hidden="1" customHeight="1">
      <c r="A1353" s="52" t="s">
        <v>316</v>
      </c>
      <c r="B1353" s="53">
        <v>2008</v>
      </c>
      <c r="C1353" s="52" t="s">
        <v>107</v>
      </c>
      <c r="D1353" s="54">
        <v>8</v>
      </c>
      <c r="E1353" s="55">
        <v>4.9000000000000004</v>
      </c>
      <c r="F1353" s="55">
        <v>0</v>
      </c>
      <c r="G1353" s="55">
        <v>4.9000000000000004</v>
      </c>
      <c r="H1353" s="55">
        <v>1061.2</v>
      </c>
      <c r="I1353" s="55">
        <v>0</v>
      </c>
      <c r="J1353" s="55">
        <v>1061.2</v>
      </c>
      <c r="K1353" s="55">
        <v>4.8</v>
      </c>
      <c r="L1353" s="55">
        <v>0</v>
      </c>
      <c r="M1353" s="55">
        <v>0</v>
      </c>
      <c r="N1353" s="55">
        <v>0</v>
      </c>
    </row>
    <row r="1354" spans="1:14" ht="10.050000000000001" hidden="1" customHeight="1">
      <c r="A1354" s="52" t="s">
        <v>310</v>
      </c>
      <c r="B1354" s="53">
        <v>2008</v>
      </c>
      <c r="C1354" s="52" t="s">
        <v>107</v>
      </c>
      <c r="D1354" s="54">
        <v>8</v>
      </c>
      <c r="E1354" s="55">
        <v>16603.900000000001</v>
      </c>
      <c r="F1354" s="55">
        <v>1932.3</v>
      </c>
      <c r="G1354" s="55">
        <v>18536.2</v>
      </c>
      <c r="H1354" s="55">
        <v>27997.7</v>
      </c>
      <c r="I1354" s="55">
        <v>2059</v>
      </c>
      <c r="J1354" s="55">
        <v>30056.7</v>
      </c>
      <c r="K1354" s="55">
        <v>8298.2999999999993</v>
      </c>
      <c r="L1354" s="55">
        <v>4776.1000000000004</v>
      </c>
      <c r="M1354" s="55">
        <v>2749.3</v>
      </c>
      <c r="N1354" s="55">
        <v>8</v>
      </c>
    </row>
    <row r="1355" spans="1:14" ht="10.050000000000001" hidden="1" customHeight="1">
      <c r="A1355" s="52" t="s">
        <v>308</v>
      </c>
      <c r="B1355" s="53">
        <v>2008</v>
      </c>
      <c r="C1355" s="52" t="s">
        <v>107</v>
      </c>
      <c r="D1355" s="54">
        <v>8</v>
      </c>
      <c r="E1355" s="55">
        <v>601.20000000000005</v>
      </c>
      <c r="F1355" s="55">
        <v>0</v>
      </c>
      <c r="G1355" s="55">
        <v>601.20000000000005</v>
      </c>
      <c r="H1355" s="55">
        <v>9413.6</v>
      </c>
      <c r="I1355" s="55">
        <v>114.9</v>
      </c>
      <c r="J1355" s="55">
        <v>9528.5</v>
      </c>
      <c r="K1355" s="55">
        <v>314.5</v>
      </c>
      <c r="L1355" s="55">
        <v>0</v>
      </c>
      <c r="M1355" s="55">
        <v>380.8</v>
      </c>
      <c r="N1355" s="55">
        <v>24.9</v>
      </c>
    </row>
    <row r="1356" spans="1:14" ht="10.050000000000001" hidden="1" customHeight="1">
      <c r="A1356" s="52" t="s">
        <v>174</v>
      </c>
      <c r="B1356" s="53">
        <v>2008</v>
      </c>
      <c r="C1356" s="52" t="s">
        <v>107</v>
      </c>
      <c r="D1356" s="54">
        <v>8</v>
      </c>
      <c r="E1356" s="55">
        <v>284758.7</v>
      </c>
      <c r="F1356" s="55">
        <v>11230.5</v>
      </c>
      <c r="G1356" s="55">
        <v>295989.2</v>
      </c>
      <c r="H1356" s="55">
        <v>392648</v>
      </c>
      <c r="I1356" s="55">
        <v>16772.7</v>
      </c>
      <c r="J1356" s="55">
        <v>409420.7</v>
      </c>
      <c r="K1356" s="55">
        <v>86334.8</v>
      </c>
      <c r="L1356" s="55">
        <v>42889.4</v>
      </c>
      <c r="M1356" s="55">
        <v>10081.799999999999</v>
      </c>
      <c r="N1356" s="55">
        <v>6645.5</v>
      </c>
    </row>
    <row r="1357" spans="1:14" ht="10.050000000000001" hidden="1" customHeight="1">
      <c r="A1357" s="52" t="s">
        <v>306</v>
      </c>
      <c r="B1357" s="53">
        <v>2008</v>
      </c>
      <c r="C1357" s="52" t="s">
        <v>107</v>
      </c>
      <c r="D1357" s="54">
        <v>9</v>
      </c>
      <c r="E1357" s="55">
        <v>15289.4</v>
      </c>
      <c r="F1357" s="55">
        <v>4033.8</v>
      </c>
      <c r="G1357" s="55">
        <v>19323.2</v>
      </c>
      <c r="H1357" s="55">
        <v>159603.29999999999</v>
      </c>
      <c r="I1357" s="55">
        <v>4378.3</v>
      </c>
      <c r="J1357" s="55">
        <v>163981.6</v>
      </c>
      <c r="K1357" s="55">
        <v>23015.9</v>
      </c>
      <c r="L1357" s="55">
        <v>1140.5</v>
      </c>
      <c r="M1357" s="55">
        <v>5730.3</v>
      </c>
      <c r="N1357" s="55">
        <v>428.4</v>
      </c>
    </row>
    <row r="1358" spans="1:14" ht="10.050000000000001" hidden="1" customHeight="1">
      <c r="A1358" s="52" t="s">
        <v>172</v>
      </c>
      <c r="B1358" s="53">
        <v>2008</v>
      </c>
      <c r="C1358" s="52" t="s">
        <v>107</v>
      </c>
      <c r="D1358" s="54">
        <v>9</v>
      </c>
      <c r="E1358" s="55">
        <v>100099.1</v>
      </c>
      <c r="F1358" s="55">
        <v>7317.6</v>
      </c>
      <c r="G1358" s="55">
        <v>107416.7</v>
      </c>
      <c r="H1358" s="55">
        <v>759458.8</v>
      </c>
      <c r="I1358" s="55">
        <v>38955.9</v>
      </c>
      <c r="J1358" s="55">
        <v>798414.700000001</v>
      </c>
      <c r="K1358" s="55">
        <v>378613.4</v>
      </c>
      <c r="L1358" s="55">
        <v>18597.8</v>
      </c>
      <c r="M1358" s="55">
        <v>53993</v>
      </c>
      <c r="N1358" s="55">
        <v>465.3</v>
      </c>
    </row>
    <row r="1359" spans="1:14" ht="10.050000000000001" hidden="1" customHeight="1">
      <c r="A1359" s="52" t="s">
        <v>171</v>
      </c>
      <c r="B1359" s="53">
        <v>2008</v>
      </c>
      <c r="C1359" s="52" t="s">
        <v>107</v>
      </c>
      <c r="D1359" s="54">
        <v>9</v>
      </c>
      <c r="E1359" s="55">
        <v>2367201.5</v>
      </c>
      <c r="F1359" s="55">
        <v>163822.29999999999</v>
      </c>
      <c r="G1359" s="55">
        <v>2531023.7999999998</v>
      </c>
      <c r="H1359" s="55">
        <v>11188766</v>
      </c>
      <c r="I1359" s="55">
        <v>175610.3</v>
      </c>
      <c r="J1359" s="55">
        <v>11364376.300000001</v>
      </c>
      <c r="K1359" s="55">
        <v>5372253</v>
      </c>
      <c r="L1359" s="55">
        <v>527956.4</v>
      </c>
      <c r="M1359" s="55">
        <v>1301856.3</v>
      </c>
      <c r="N1359" s="55">
        <v>41685.9</v>
      </c>
    </row>
    <row r="1360" spans="1:14" ht="10.050000000000001" hidden="1" customHeight="1">
      <c r="A1360" s="52" t="s">
        <v>300</v>
      </c>
      <c r="B1360" s="53">
        <v>2008</v>
      </c>
      <c r="C1360" s="52" t="s">
        <v>107</v>
      </c>
      <c r="D1360" s="54">
        <v>9</v>
      </c>
      <c r="E1360" s="55">
        <v>575.9</v>
      </c>
      <c r="F1360" s="55">
        <v>4</v>
      </c>
      <c r="G1360" s="55">
        <v>579.9</v>
      </c>
      <c r="H1360" s="55">
        <v>2122.1</v>
      </c>
      <c r="I1360" s="55">
        <v>23</v>
      </c>
      <c r="J1360" s="55">
        <v>2145.1</v>
      </c>
      <c r="K1360" s="55">
        <v>68.900000000000006</v>
      </c>
      <c r="L1360" s="55">
        <v>0</v>
      </c>
      <c r="M1360" s="55">
        <v>0</v>
      </c>
      <c r="N1360" s="55">
        <v>0</v>
      </c>
    </row>
    <row r="1361" spans="1:14" ht="10.050000000000001" hidden="1" customHeight="1">
      <c r="A1361" s="52" t="s">
        <v>307</v>
      </c>
      <c r="B1361" s="53">
        <v>2008</v>
      </c>
      <c r="C1361" s="52" t="s">
        <v>107</v>
      </c>
      <c r="D1361" s="54">
        <v>9</v>
      </c>
      <c r="E1361" s="55">
        <v>369797.6</v>
      </c>
      <c r="F1361" s="55">
        <v>23026.2</v>
      </c>
      <c r="G1361" s="55">
        <v>392823.8</v>
      </c>
      <c r="H1361" s="55">
        <v>447645.3</v>
      </c>
      <c r="I1361" s="55">
        <v>24143.3</v>
      </c>
      <c r="J1361" s="55">
        <v>471788.6</v>
      </c>
      <c r="K1361" s="55">
        <v>192245.7</v>
      </c>
      <c r="L1361" s="55">
        <v>65036.1</v>
      </c>
      <c r="M1361" s="55">
        <v>100971.2</v>
      </c>
      <c r="N1361" s="55">
        <v>19349.3</v>
      </c>
    </row>
    <row r="1362" spans="1:14" ht="10.050000000000001" hidden="1" customHeight="1">
      <c r="A1362" s="52" t="s">
        <v>315</v>
      </c>
      <c r="B1362" s="53">
        <v>2008</v>
      </c>
      <c r="C1362" s="52" t="s">
        <v>107</v>
      </c>
      <c r="D1362" s="54">
        <v>9</v>
      </c>
      <c r="E1362" s="55">
        <v>7967.8</v>
      </c>
      <c r="F1362" s="55">
        <v>0</v>
      </c>
      <c r="G1362" s="55">
        <v>7967.8</v>
      </c>
      <c r="H1362" s="55">
        <v>8332</v>
      </c>
      <c r="I1362" s="55">
        <v>0</v>
      </c>
      <c r="J1362" s="55">
        <v>8332</v>
      </c>
      <c r="K1362" s="55">
        <v>2462.6</v>
      </c>
      <c r="L1362" s="55">
        <v>3475.8</v>
      </c>
      <c r="M1362" s="55">
        <v>1183.0999999999999</v>
      </c>
      <c r="N1362" s="55">
        <v>0</v>
      </c>
    </row>
    <row r="1363" spans="1:14" ht="10.050000000000001" hidden="1" customHeight="1">
      <c r="A1363" s="52" t="s">
        <v>173</v>
      </c>
      <c r="B1363" s="53">
        <v>2008</v>
      </c>
      <c r="C1363" s="52" t="s">
        <v>107</v>
      </c>
      <c r="D1363" s="54">
        <v>9</v>
      </c>
      <c r="E1363" s="55">
        <v>411106</v>
      </c>
      <c r="F1363" s="55">
        <v>15514.6</v>
      </c>
      <c r="G1363" s="55">
        <v>426620.6</v>
      </c>
      <c r="H1363" s="55">
        <v>5348260.9000000004</v>
      </c>
      <c r="I1363" s="55">
        <v>50553.4</v>
      </c>
      <c r="J1363" s="55">
        <v>5398814.2999999998</v>
      </c>
      <c r="K1363" s="55">
        <v>1235902.8</v>
      </c>
      <c r="L1363" s="55">
        <v>28945.7</v>
      </c>
      <c r="M1363" s="55">
        <v>289861</v>
      </c>
      <c r="N1363" s="55">
        <v>12554.3</v>
      </c>
    </row>
    <row r="1364" spans="1:14" ht="10.050000000000001" customHeight="1">
      <c r="A1364" s="52" t="s">
        <v>309</v>
      </c>
      <c r="B1364" s="53">
        <v>2008</v>
      </c>
      <c r="C1364" s="52" t="s">
        <v>107</v>
      </c>
      <c r="D1364" s="54">
        <v>9</v>
      </c>
      <c r="E1364" s="55">
        <v>35958.9</v>
      </c>
      <c r="F1364" s="55">
        <v>706.8</v>
      </c>
      <c r="G1364" s="55">
        <v>36665.699999999997</v>
      </c>
      <c r="H1364" s="55">
        <v>34151.9</v>
      </c>
      <c r="I1364" s="55">
        <v>0</v>
      </c>
      <c r="J1364" s="55">
        <v>34151.9</v>
      </c>
      <c r="K1364" s="55">
        <v>4500.8999999999996</v>
      </c>
      <c r="L1364" s="55">
        <v>4500.8999999999996</v>
      </c>
      <c r="M1364" s="55">
        <v>0</v>
      </c>
      <c r="N1364" s="55">
        <v>0</v>
      </c>
    </row>
    <row r="1365" spans="1:14" ht="10.050000000000001" hidden="1" customHeight="1">
      <c r="A1365" s="52" t="s">
        <v>316</v>
      </c>
      <c r="B1365" s="53">
        <v>2008</v>
      </c>
      <c r="C1365" s="52" t="s">
        <v>107</v>
      </c>
      <c r="D1365" s="54">
        <v>9</v>
      </c>
      <c r="E1365" s="55">
        <v>272.8</v>
      </c>
      <c r="F1365" s="55">
        <v>13.7</v>
      </c>
      <c r="G1365" s="55">
        <v>286.5</v>
      </c>
      <c r="H1365" s="55">
        <v>872.5</v>
      </c>
      <c r="I1365" s="55">
        <v>13.7</v>
      </c>
      <c r="J1365" s="55">
        <v>886.2</v>
      </c>
      <c r="K1365" s="55">
        <v>4.8</v>
      </c>
      <c r="L1365" s="55">
        <v>0</v>
      </c>
      <c r="M1365" s="55">
        <v>0</v>
      </c>
      <c r="N1365" s="55">
        <v>0</v>
      </c>
    </row>
    <row r="1366" spans="1:14" ht="10.050000000000001" hidden="1" customHeight="1">
      <c r="A1366" s="52" t="s">
        <v>310</v>
      </c>
      <c r="B1366" s="53">
        <v>2008</v>
      </c>
      <c r="C1366" s="52" t="s">
        <v>107</v>
      </c>
      <c r="D1366" s="54">
        <v>9</v>
      </c>
      <c r="E1366" s="55">
        <v>4623.7</v>
      </c>
      <c r="F1366" s="55">
        <v>672.5</v>
      </c>
      <c r="G1366" s="55">
        <v>5296.2</v>
      </c>
      <c r="H1366" s="55">
        <v>27696.1</v>
      </c>
      <c r="I1366" s="55">
        <v>2170.1999999999998</v>
      </c>
      <c r="J1366" s="55">
        <v>29866.3</v>
      </c>
      <c r="K1366" s="55">
        <v>7048.7</v>
      </c>
      <c r="L1366" s="55">
        <v>345.3</v>
      </c>
      <c r="M1366" s="55">
        <v>1576.6</v>
      </c>
      <c r="N1366" s="55">
        <v>18.3</v>
      </c>
    </row>
    <row r="1367" spans="1:14" ht="10.050000000000001" hidden="1" customHeight="1">
      <c r="A1367" s="52" t="s">
        <v>308</v>
      </c>
      <c r="B1367" s="53">
        <v>2008</v>
      </c>
      <c r="C1367" s="52" t="s">
        <v>107</v>
      </c>
      <c r="D1367" s="54">
        <v>9</v>
      </c>
      <c r="E1367" s="55">
        <v>4819.8999999999996</v>
      </c>
      <c r="F1367" s="55">
        <v>213.4</v>
      </c>
      <c r="G1367" s="55">
        <v>5033.3</v>
      </c>
      <c r="H1367" s="55">
        <v>10730.7</v>
      </c>
      <c r="I1367" s="55">
        <v>376.2</v>
      </c>
      <c r="J1367" s="55">
        <v>11106.9</v>
      </c>
      <c r="K1367" s="55">
        <v>1076.0999999999999</v>
      </c>
      <c r="L1367" s="55">
        <v>763.8</v>
      </c>
      <c r="M1367" s="55">
        <v>0</v>
      </c>
      <c r="N1367" s="55">
        <v>2.2000000000000002</v>
      </c>
    </row>
    <row r="1368" spans="1:14" ht="10.050000000000001" hidden="1" customHeight="1">
      <c r="A1368" s="52" t="s">
        <v>174</v>
      </c>
      <c r="B1368" s="53">
        <v>2008</v>
      </c>
      <c r="C1368" s="52" t="s">
        <v>107</v>
      </c>
      <c r="D1368" s="54">
        <v>9</v>
      </c>
      <c r="E1368" s="55">
        <v>71661.600000000006</v>
      </c>
      <c r="F1368" s="55">
        <v>11457.9</v>
      </c>
      <c r="G1368" s="55">
        <v>83119.5</v>
      </c>
      <c r="H1368" s="55">
        <v>396849.9</v>
      </c>
      <c r="I1368" s="55">
        <v>14469.6</v>
      </c>
      <c r="J1368" s="55">
        <v>411319.5</v>
      </c>
      <c r="K1368" s="55">
        <v>79472</v>
      </c>
      <c r="L1368" s="55">
        <v>8660.2000000000007</v>
      </c>
      <c r="M1368" s="55">
        <v>8699.5000000000091</v>
      </c>
      <c r="N1368" s="55">
        <v>6842.1</v>
      </c>
    </row>
    <row r="1369" spans="1:14" ht="10.050000000000001" hidden="1" customHeight="1">
      <c r="A1369" s="52" t="s">
        <v>306</v>
      </c>
      <c r="B1369" s="53">
        <v>2008</v>
      </c>
      <c r="C1369" s="52" t="s">
        <v>107</v>
      </c>
      <c r="D1369" s="54">
        <v>10</v>
      </c>
      <c r="E1369" s="55">
        <v>5948</v>
      </c>
      <c r="F1369" s="55">
        <v>1623.8</v>
      </c>
      <c r="G1369" s="55">
        <v>7571.8</v>
      </c>
      <c r="H1369" s="55">
        <v>150597.29999999999</v>
      </c>
      <c r="I1369" s="55">
        <v>5057</v>
      </c>
      <c r="J1369" s="55">
        <v>155654.29999999999</v>
      </c>
      <c r="K1369" s="55">
        <v>21182.400000000001</v>
      </c>
      <c r="L1369" s="55">
        <v>805.1</v>
      </c>
      <c r="M1369" s="55">
        <v>2233.6999999999998</v>
      </c>
      <c r="N1369" s="55">
        <v>400.3</v>
      </c>
    </row>
    <row r="1370" spans="1:14" ht="10.050000000000001" hidden="1" customHeight="1">
      <c r="A1370" s="52" t="s">
        <v>172</v>
      </c>
      <c r="B1370" s="53">
        <v>2008</v>
      </c>
      <c r="C1370" s="52" t="s">
        <v>107</v>
      </c>
      <c r="D1370" s="54">
        <v>10</v>
      </c>
      <c r="E1370" s="55">
        <v>110777.1</v>
      </c>
      <c r="F1370" s="55">
        <v>8682.4</v>
      </c>
      <c r="G1370" s="55">
        <v>119459.5</v>
      </c>
      <c r="H1370" s="55">
        <v>692192.8</v>
      </c>
      <c r="I1370" s="55">
        <v>26635.5</v>
      </c>
      <c r="J1370" s="55">
        <v>718828.3</v>
      </c>
      <c r="K1370" s="55">
        <v>330677</v>
      </c>
      <c r="L1370" s="55">
        <v>12149</v>
      </c>
      <c r="M1370" s="55">
        <v>59353</v>
      </c>
      <c r="N1370" s="55">
        <v>732.4</v>
      </c>
    </row>
    <row r="1371" spans="1:14" ht="10.050000000000001" hidden="1" customHeight="1">
      <c r="A1371" s="52" t="s">
        <v>171</v>
      </c>
      <c r="B1371" s="53">
        <v>2008</v>
      </c>
      <c r="C1371" s="52" t="s">
        <v>107</v>
      </c>
      <c r="D1371" s="54">
        <v>10</v>
      </c>
      <c r="E1371" s="55">
        <v>1205677.1000000001</v>
      </c>
      <c r="F1371" s="55">
        <v>57016.4</v>
      </c>
      <c r="G1371" s="55">
        <v>1262693.5</v>
      </c>
      <c r="H1371" s="55">
        <v>9650984.6999999993</v>
      </c>
      <c r="I1371" s="55">
        <v>129185.9</v>
      </c>
      <c r="J1371" s="55">
        <v>9780170.5999999996</v>
      </c>
      <c r="K1371" s="55">
        <v>4910549.0999999996</v>
      </c>
      <c r="L1371" s="55">
        <v>218035.9</v>
      </c>
      <c r="M1371" s="55">
        <v>651027.4</v>
      </c>
      <c r="N1371" s="55">
        <v>29961.7</v>
      </c>
    </row>
    <row r="1372" spans="1:14" ht="10.050000000000001" hidden="1" customHeight="1">
      <c r="A1372" s="52" t="s">
        <v>300</v>
      </c>
      <c r="B1372" s="53">
        <v>2008</v>
      </c>
      <c r="C1372" s="52" t="s">
        <v>107</v>
      </c>
      <c r="D1372" s="54">
        <v>10</v>
      </c>
      <c r="E1372" s="55">
        <v>383.6</v>
      </c>
      <c r="F1372" s="55">
        <v>112.5</v>
      </c>
      <c r="G1372" s="55">
        <v>496.1</v>
      </c>
      <c r="H1372" s="55">
        <v>2116.3000000000002</v>
      </c>
      <c r="I1372" s="55">
        <v>59.4</v>
      </c>
      <c r="J1372" s="55">
        <v>2175.6999999999998</v>
      </c>
      <c r="K1372" s="55">
        <v>68.900000000000006</v>
      </c>
      <c r="L1372" s="55">
        <v>0</v>
      </c>
      <c r="M1372" s="55">
        <v>0</v>
      </c>
      <c r="N1372" s="55">
        <v>0</v>
      </c>
    </row>
    <row r="1373" spans="1:14" ht="10.050000000000001" hidden="1" customHeight="1">
      <c r="A1373" s="52" t="s">
        <v>307</v>
      </c>
      <c r="B1373" s="53">
        <v>2008</v>
      </c>
      <c r="C1373" s="52" t="s">
        <v>107</v>
      </c>
      <c r="D1373" s="54">
        <v>10</v>
      </c>
      <c r="E1373" s="55">
        <v>3187313.9</v>
      </c>
      <c r="F1373" s="55">
        <v>55181.1</v>
      </c>
      <c r="G1373" s="55">
        <v>3242495</v>
      </c>
      <c r="H1373" s="55">
        <v>2526866.2999999998</v>
      </c>
      <c r="I1373" s="55">
        <v>60368.1</v>
      </c>
      <c r="J1373" s="55">
        <v>2587234.4</v>
      </c>
      <c r="K1373" s="55">
        <v>1480333.2</v>
      </c>
      <c r="L1373" s="55">
        <v>1483070.9</v>
      </c>
      <c r="M1373" s="55">
        <v>161026.4</v>
      </c>
      <c r="N1373" s="55">
        <v>35455.800000000003</v>
      </c>
    </row>
    <row r="1374" spans="1:14" ht="10.050000000000001" hidden="1" customHeight="1">
      <c r="A1374" s="52" t="s">
        <v>315</v>
      </c>
      <c r="B1374" s="53">
        <v>2008</v>
      </c>
      <c r="C1374" s="52" t="s">
        <v>107</v>
      </c>
      <c r="D1374" s="54">
        <v>10</v>
      </c>
      <c r="E1374" s="55">
        <v>10189</v>
      </c>
      <c r="F1374" s="55">
        <v>0</v>
      </c>
      <c r="G1374" s="55">
        <v>10189</v>
      </c>
      <c r="H1374" s="55">
        <v>15337.9</v>
      </c>
      <c r="I1374" s="55">
        <v>0</v>
      </c>
      <c r="J1374" s="55">
        <v>15337.9</v>
      </c>
      <c r="K1374" s="55">
        <v>1972</v>
      </c>
      <c r="L1374" s="55">
        <v>2097.8000000000002</v>
      </c>
      <c r="M1374" s="55">
        <v>2588.4</v>
      </c>
      <c r="N1374" s="55">
        <v>0</v>
      </c>
    </row>
    <row r="1375" spans="1:14" ht="10.050000000000001" hidden="1" customHeight="1">
      <c r="A1375" s="52" t="s">
        <v>173</v>
      </c>
      <c r="B1375" s="53">
        <v>2008</v>
      </c>
      <c r="C1375" s="52" t="s">
        <v>107</v>
      </c>
      <c r="D1375" s="54">
        <v>10</v>
      </c>
      <c r="E1375" s="55">
        <v>277659.2</v>
      </c>
      <c r="F1375" s="55">
        <v>20838.7</v>
      </c>
      <c r="G1375" s="55">
        <v>298497.90000000002</v>
      </c>
      <c r="H1375" s="55">
        <v>4833199.4000000004</v>
      </c>
      <c r="I1375" s="55">
        <v>55907.5</v>
      </c>
      <c r="J1375" s="55">
        <v>4889106.9000000004</v>
      </c>
      <c r="K1375" s="55">
        <v>1102355.6000000001</v>
      </c>
      <c r="L1375" s="55">
        <v>19507.099999999999</v>
      </c>
      <c r="M1375" s="55">
        <v>143802.79999999999</v>
      </c>
      <c r="N1375" s="55">
        <v>9258.1</v>
      </c>
    </row>
    <row r="1376" spans="1:14" ht="10.050000000000001" customHeight="1">
      <c r="A1376" s="52" t="s">
        <v>309</v>
      </c>
      <c r="B1376" s="53">
        <v>2008</v>
      </c>
      <c r="C1376" s="52" t="s">
        <v>107</v>
      </c>
      <c r="D1376" s="54">
        <v>10</v>
      </c>
      <c r="E1376" s="55">
        <v>50964.4</v>
      </c>
      <c r="F1376" s="55">
        <v>1093.0999999999999</v>
      </c>
      <c r="G1376" s="55">
        <v>52057.5</v>
      </c>
      <c r="H1376" s="55">
        <v>68508.5</v>
      </c>
      <c r="I1376" s="55">
        <v>0</v>
      </c>
      <c r="J1376" s="55">
        <v>68508.5</v>
      </c>
      <c r="K1376" s="55">
        <v>8628.2999999999993</v>
      </c>
      <c r="L1376" s="55">
        <v>8003.9</v>
      </c>
      <c r="M1376" s="55">
        <v>3876.5</v>
      </c>
      <c r="N1376" s="55">
        <v>0</v>
      </c>
    </row>
    <row r="1377" spans="1:14" ht="10.050000000000001" hidden="1" customHeight="1">
      <c r="A1377" s="52" t="s">
        <v>316</v>
      </c>
      <c r="B1377" s="53">
        <v>2008</v>
      </c>
      <c r="C1377" s="52" t="s">
        <v>107</v>
      </c>
      <c r="D1377" s="54">
        <v>10</v>
      </c>
      <c r="E1377" s="55">
        <v>2663.2</v>
      </c>
      <c r="F1377" s="55">
        <v>58</v>
      </c>
      <c r="G1377" s="55">
        <v>2721.2</v>
      </c>
      <c r="H1377" s="55">
        <v>3063.7</v>
      </c>
      <c r="I1377" s="55">
        <v>71.7</v>
      </c>
      <c r="J1377" s="55">
        <v>3135.4</v>
      </c>
      <c r="K1377" s="55">
        <v>4.8</v>
      </c>
      <c r="L1377" s="55">
        <v>0</v>
      </c>
      <c r="M1377" s="55">
        <v>0</v>
      </c>
      <c r="N1377" s="55">
        <v>0</v>
      </c>
    </row>
    <row r="1378" spans="1:14" ht="10.050000000000001" hidden="1" customHeight="1">
      <c r="A1378" s="52" t="s">
        <v>310</v>
      </c>
      <c r="B1378" s="53">
        <v>2008</v>
      </c>
      <c r="C1378" s="52" t="s">
        <v>107</v>
      </c>
      <c r="D1378" s="54">
        <v>10</v>
      </c>
      <c r="E1378" s="55">
        <v>2775.3</v>
      </c>
      <c r="F1378" s="55">
        <v>196.9</v>
      </c>
      <c r="G1378" s="55">
        <v>2972.2</v>
      </c>
      <c r="H1378" s="55">
        <v>27235</v>
      </c>
      <c r="I1378" s="55">
        <v>2231.1999999999998</v>
      </c>
      <c r="J1378" s="55">
        <v>29466.2</v>
      </c>
      <c r="K1378" s="55">
        <v>5972.4</v>
      </c>
      <c r="L1378" s="55">
        <v>289.60000000000002</v>
      </c>
      <c r="M1378" s="55">
        <v>1335.2</v>
      </c>
      <c r="N1378" s="55">
        <v>30.7</v>
      </c>
    </row>
    <row r="1379" spans="1:14" ht="10.050000000000001" hidden="1" customHeight="1">
      <c r="A1379" s="52" t="s">
        <v>308</v>
      </c>
      <c r="B1379" s="53">
        <v>2008</v>
      </c>
      <c r="C1379" s="52" t="s">
        <v>107</v>
      </c>
      <c r="D1379" s="54">
        <v>10</v>
      </c>
      <c r="E1379" s="55">
        <v>56717.9</v>
      </c>
      <c r="F1379" s="55">
        <v>154.6</v>
      </c>
      <c r="G1379" s="55">
        <v>56872.5</v>
      </c>
      <c r="H1379" s="55">
        <v>57388.4</v>
      </c>
      <c r="I1379" s="55">
        <v>508</v>
      </c>
      <c r="J1379" s="55">
        <v>57896.4</v>
      </c>
      <c r="K1379" s="55">
        <v>12838.7</v>
      </c>
      <c r="L1379" s="55">
        <v>12310.5</v>
      </c>
      <c r="M1379" s="55">
        <v>453.7</v>
      </c>
      <c r="N1379" s="55">
        <v>94.2</v>
      </c>
    </row>
    <row r="1380" spans="1:14" ht="10.050000000000001" hidden="1" customHeight="1">
      <c r="A1380" s="52" t="s">
        <v>174</v>
      </c>
      <c r="B1380" s="53">
        <v>2008</v>
      </c>
      <c r="C1380" s="52" t="s">
        <v>107</v>
      </c>
      <c r="D1380" s="54">
        <v>10</v>
      </c>
      <c r="E1380" s="55">
        <v>11195.4</v>
      </c>
      <c r="F1380" s="55">
        <v>2803.1</v>
      </c>
      <c r="G1380" s="55">
        <v>13998.5</v>
      </c>
      <c r="H1380" s="55">
        <v>354598.7</v>
      </c>
      <c r="I1380" s="55">
        <v>10109.4</v>
      </c>
      <c r="J1380" s="55">
        <v>364708.1</v>
      </c>
      <c r="K1380" s="55">
        <v>72053.8</v>
      </c>
      <c r="L1380" s="55">
        <v>1374.6</v>
      </c>
      <c r="M1380" s="55">
        <v>4304.8</v>
      </c>
      <c r="N1380" s="55">
        <v>4488</v>
      </c>
    </row>
    <row r="1381" spans="1:14" ht="10.050000000000001" hidden="1" customHeight="1">
      <c r="A1381" s="52" t="s">
        <v>306</v>
      </c>
      <c r="B1381" s="53">
        <v>2008</v>
      </c>
      <c r="C1381" s="52" t="s">
        <v>107</v>
      </c>
      <c r="D1381" s="54">
        <v>11</v>
      </c>
      <c r="E1381" s="55">
        <v>5234.1000000000004</v>
      </c>
      <c r="F1381" s="55">
        <v>1337.4</v>
      </c>
      <c r="G1381" s="55">
        <v>6571.5</v>
      </c>
      <c r="H1381" s="55">
        <v>144885.4</v>
      </c>
      <c r="I1381" s="55">
        <v>6114.4</v>
      </c>
      <c r="J1381" s="55">
        <v>150999.79999999999</v>
      </c>
      <c r="K1381" s="55">
        <v>19035</v>
      </c>
      <c r="L1381" s="55">
        <v>766.5</v>
      </c>
      <c r="M1381" s="55">
        <v>2586.6999999999998</v>
      </c>
      <c r="N1381" s="55">
        <v>363.4</v>
      </c>
    </row>
    <row r="1382" spans="1:14" ht="10.050000000000001" hidden="1" customHeight="1">
      <c r="A1382" s="52" t="s">
        <v>172</v>
      </c>
      <c r="B1382" s="53">
        <v>2008</v>
      </c>
      <c r="C1382" s="52" t="s">
        <v>107</v>
      </c>
      <c r="D1382" s="54">
        <v>11</v>
      </c>
      <c r="E1382" s="55">
        <v>79644</v>
      </c>
      <c r="F1382" s="55">
        <v>2862.7</v>
      </c>
      <c r="G1382" s="55">
        <v>82506.7</v>
      </c>
      <c r="H1382" s="55">
        <v>609891.80000000005</v>
      </c>
      <c r="I1382" s="55">
        <v>19503.5</v>
      </c>
      <c r="J1382" s="55">
        <v>629395.30000000005</v>
      </c>
      <c r="K1382" s="55">
        <v>309577.8</v>
      </c>
      <c r="L1382" s="55">
        <v>16122.4</v>
      </c>
      <c r="M1382" s="55">
        <v>36810.6</v>
      </c>
      <c r="N1382" s="55">
        <v>411</v>
      </c>
    </row>
    <row r="1383" spans="1:14" ht="10.050000000000001" hidden="1" customHeight="1">
      <c r="A1383" s="52" t="s">
        <v>171</v>
      </c>
      <c r="B1383" s="53">
        <v>2008</v>
      </c>
      <c r="C1383" s="52" t="s">
        <v>107</v>
      </c>
      <c r="D1383" s="54">
        <v>11</v>
      </c>
      <c r="E1383" s="55">
        <v>1295772.3</v>
      </c>
      <c r="F1383" s="55">
        <v>22442.7</v>
      </c>
      <c r="G1383" s="55">
        <v>1318215</v>
      </c>
      <c r="H1383" s="55">
        <v>8535797.3000000007</v>
      </c>
      <c r="I1383" s="55">
        <v>120663.2</v>
      </c>
      <c r="J1383" s="55">
        <v>8656460.5000000093</v>
      </c>
      <c r="K1383" s="55">
        <v>4536255.3</v>
      </c>
      <c r="L1383" s="55">
        <v>324969.90000000002</v>
      </c>
      <c r="M1383" s="55">
        <v>672738.3</v>
      </c>
      <c r="N1383" s="55">
        <v>28775.599999999999</v>
      </c>
    </row>
    <row r="1384" spans="1:14" ht="10.050000000000001" hidden="1" customHeight="1">
      <c r="A1384" s="52" t="s">
        <v>300</v>
      </c>
      <c r="B1384" s="53">
        <v>2008</v>
      </c>
      <c r="C1384" s="52" t="s">
        <v>107</v>
      </c>
      <c r="D1384" s="54">
        <v>11</v>
      </c>
      <c r="E1384" s="55">
        <v>260</v>
      </c>
      <c r="F1384" s="55">
        <v>0</v>
      </c>
      <c r="G1384" s="55">
        <v>260</v>
      </c>
      <c r="H1384" s="55">
        <v>1814.6</v>
      </c>
      <c r="I1384" s="55">
        <v>56.1</v>
      </c>
      <c r="J1384" s="55">
        <v>1870.7</v>
      </c>
      <c r="K1384" s="55">
        <v>68.900000000000006</v>
      </c>
      <c r="L1384" s="55">
        <v>0</v>
      </c>
      <c r="M1384" s="55">
        <v>0</v>
      </c>
      <c r="N1384" s="55">
        <v>0</v>
      </c>
    </row>
    <row r="1385" spans="1:14" ht="10.050000000000001" hidden="1" customHeight="1">
      <c r="A1385" s="52" t="s">
        <v>307</v>
      </c>
      <c r="B1385" s="53">
        <v>2008</v>
      </c>
      <c r="C1385" s="52" t="s">
        <v>107</v>
      </c>
      <c r="D1385" s="54">
        <v>11</v>
      </c>
      <c r="E1385" s="55">
        <v>4318788.8</v>
      </c>
      <c r="F1385" s="55">
        <v>78443.3</v>
      </c>
      <c r="G1385" s="55">
        <v>4397232.0999999996</v>
      </c>
      <c r="H1385" s="55">
        <v>5506657.9000000004</v>
      </c>
      <c r="I1385" s="55">
        <v>123490</v>
      </c>
      <c r="J1385" s="55">
        <v>5630147.9000000004</v>
      </c>
      <c r="K1385" s="55">
        <v>2753337.2</v>
      </c>
      <c r="L1385" s="55">
        <v>1634559.9</v>
      </c>
      <c r="M1385" s="55">
        <v>276148.5</v>
      </c>
      <c r="N1385" s="55">
        <v>88489.2</v>
      </c>
    </row>
    <row r="1386" spans="1:14" ht="10.050000000000001" hidden="1" customHeight="1">
      <c r="A1386" s="52" t="s">
        <v>315</v>
      </c>
      <c r="B1386" s="53">
        <v>2008</v>
      </c>
      <c r="C1386" s="52" t="s">
        <v>107</v>
      </c>
      <c r="D1386" s="54">
        <v>11</v>
      </c>
      <c r="E1386" s="55">
        <v>2224.8000000000002</v>
      </c>
      <c r="F1386" s="55">
        <v>0</v>
      </c>
      <c r="G1386" s="55">
        <v>2224.8000000000002</v>
      </c>
      <c r="H1386" s="55">
        <v>16411</v>
      </c>
      <c r="I1386" s="55">
        <v>0</v>
      </c>
      <c r="J1386" s="55">
        <v>16411</v>
      </c>
      <c r="K1386" s="55">
        <v>613.1</v>
      </c>
      <c r="L1386" s="55">
        <v>-6.5</v>
      </c>
      <c r="M1386" s="55">
        <v>1352.4</v>
      </c>
      <c r="N1386" s="55">
        <v>0</v>
      </c>
    </row>
    <row r="1387" spans="1:14" ht="10.050000000000001" hidden="1" customHeight="1">
      <c r="A1387" s="52" t="s">
        <v>173</v>
      </c>
      <c r="B1387" s="53">
        <v>2008</v>
      </c>
      <c r="C1387" s="52" t="s">
        <v>107</v>
      </c>
      <c r="D1387" s="54">
        <v>11</v>
      </c>
      <c r="E1387" s="55">
        <v>283981.7</v>
      </c>
      <c r="F1387" s="55">
        <v>32206.3</v>
      </c>
      <c r="G1387" s="55">
        <v>316188</v>
      </c>
      <c r="H1387" s="55">
        <v>4464456.8</v>
      </c>
      <c r="I1387" s="55">
        <v>74357.899999999994</v>
      </c>
      <c r="J1387" s="55">
        <v>4538814.7</v>
      </c>
      <c r="K1387" s="55">
        <v>1006494.6</v>
      </c>
      <c r="L1387" s="55">
        <v>37949.1</v>
      </c>
      <c r="M1387" s="55">
        <v>125455.3</v>
      </c>
      <c r="N1387" s="55">
        <v>8549.4</v>
      </c>
    </row>
    <row r="1388" spans="1:14" ht="10.050000000000001" customHeight="1">
      <c r="A1388" s="52" t="s">
        <v>309</v>
      </c>
      <c r="B1388" s="53">
        <v>2008</v>
      </c>
      <c r="C1388" s="52" t="s">
        <v>107</v>
      </c>
      <c r="D1388" s="54">
        <v>11</v>
      </c>
      <c r="E1388" s="55">
        <v>6330</v>
      </c>
      <c r="F1388" s="55">
        <v>0</v>
      </c>
      <c r="G1388" s="55">
        <v>6330</v>
      </c>
      <c r="H1388" s="55">
        <v>66322.5</v>
      </c>
      <c r="I1388" s="55">
        <v>0</v>
      </c>
      <c r="J1388" s="55">
        <v>66322.5</v>
      </c>
      <c r="K1388" s="55">
        <v>4931.7</v>
      </c>
      <c r="L1388" s="55">
        <v>235.1</v>
      </c>
      <c r="M1388" s="55">
        <v>3100.7</v>
      </c>
      <c r="N1388" s="55">
        <v>0</v>
      </c>
    </row>
    <row r="1389" spans="1:14" ht="10.050000000000001" hidden="1" customHeight="1">
      <c r="A1389" s="52" t="s">
        <v>316</v>
      </c>
      <c r="B1389" s="53">
        <v>2008</v>
      </c>
      <c r="C1389" s="52" t="s">
        <v>107</v>
      </c>
      <c r="D1389" s="54">
        <v>11</v>
      </c>
      <c r="E1389" s="55">
        <v>743.7</v>
      </c>
      <c r="F1389" s="55">
        <v>0</v>
      </c>
      <c r="G1389" s="55">
        <v>743.7</v>
      </c>
      <c r="H1389" s="55">
        <v>3410.3</v>
      </c>
      <c r="I1389" s="55">
        <v>28.7</v>
      </c>
      <c r="J1389" s="55">
        <v>3439</v>
      </c>
      <c r="K1389" s="55">
        <v>4.8</v>
      </c>
      <c r="L1389" s="55">
        <v>0</v>
      </c>
      <c r="M1389" s="55">
        <v>0</v>
      </c>
      <c r="N1389" s="55">
        <v>0</v>
      </c>
    </row>
    <row r="1390" spans="1:14" ht="10.050000000000001" hidden="1" customHeight="1">
      <c r="A1390" s="52" t="s">
        <v>310</v>
      </c>
      <c r="B1390" s="53">
        <v>2008</v>
      </c>
      <c r="C1390" s="52" t="s">
        <v>107</v>
      </c>
      <c r="D1390" s="54">
        <v>11</v>
      </c>
      <c r="E1390" s="55">
        <v>1854.8</v>
      </c>
      <c r="F1390" s="55">
        <v>0</v>
      </c>
      <c r="G1390" s="55">
        <v>1854.8</v>
      </c>
      <c r="H1390" s="55">
        <v>25588.799999999999</v>
      </c>
      <c r="I1390" s="55">
        <v>2223</v>
      </c>
      <c r="J1390" s="55">
        <v>27811.8</v>
      </c>
      <c r="K1390" s="55">
        <v>5525.5</v>
      </c>
      <c r="L1390" s="55">
        <v>22.7</v>
      </c>
      <c r="M1390" s="55">
        <v>417.3</v>
      </c>
      <c r="N1390" s="55">
        <v>52.3</v>
      </c>
    </row>
    <row r="1391" spans="1:14" ht="10.050000000000001" hidden="1" customHeight="1">
      <c r="A1391" s="52" t="s">
        <v>308</v>
      </c>
      <c r="B1391" s="53">
        <v>2008</v>
      </c>
      <c r="C1391" s="52" t="s">
        <v>107</v>
      </c>
      <c r="D1391" s="54">
        <v>11</v>
      </c>
      <c r="E1391" s="55">
        <v>38150.5</v>
      </c>
      <c r="F1391" s="55">
        <v>5.6</v>
      </c>
      <c r="G1391" s="55">
        <v>38156.1</v>
      </c>
      <c r="H1391" s="55">
        <v>75323.5</v>
      </c>
      <c r="I1391" s="55">
        <v>506.4</v>
      </c>
      <c r="J1391" s="55">
        <v>75829.899999999994</v>
      </c>
      <c r="K1391" s="55">
        <v>14361.2</v>
      </c>
      <c r="L1391" s="55">
        <v>3140.9</v>
      </c>
      <c r="M1391" s="55">
        <v>1431.5</v>
      </c>
      <c r="N1391" s="55">
        <v>186.9</v>
      </c>
    </row>
    <row r="1392" spans="1:14" ht="10.050000000000001" hidden="1" customHeight="1">
      <c r="A1392" s="52" t="s">
        <v>174</v>
      </c>
      <c r="B1392" s="53">
        <v>2008</v>
      </c>
      <c r="C1392" s="52" t="s">
        <v>107</v>
      </c>
      <c r="D1392" s="54">
        <v>11</v>
      </c>
      <c r="E1392" s="55">
        <v>7755.4</v>
      </c>
      <c r="F1392" s="55">
        <v>147.30000000000001</v>
      </c>
      <c r="G1392" s="55">
        <v>7902.7</v>
      </c>
      <c r="H1392" s="55">
        <v>316971.90000000002</v>
      </c>
      <c r="I1392" s="55">
        <v>9681.2000000000007</v>
      </c>
      <c r="J1392" s="55">
        <v>326653.09999999998</v>
      </c>
      <c r="K1392" s="55">
        <v>65901.3</v>
      </c>
      <c r="L1392" s="55">
        <v>1404.3</v>
      </c>
      <c r="M1392" s="55">
        <v>3144</v>
      </c>
      <c r="N1392" s="55">
        <v>4412.8</v>
      </c>
    </row>
    <row r="1393" spans="1:14" ht="10.050000000000001" hidden="1" customHeight="1">
      <c r="A1393" s="52" t="s">
        <v>306</v>
      </c>
      <c r="B1393" s="53">
        <v>2008</v>
      </c>
      <c r="C1393" s="52" t="s">
        <v>107</v>
      </c>
      <c r="D1393" s="54">
        <v>12</v>
      </c>
      <c r="E1393" s="55">
        <v>4156.3</v>
      </c>
      <c r="F1393" s="55">
        <v>424</v>
      </c>
      <c r="G1393" s="55">
        <v>4580.3</v>
      </c>
      <c r="H1393" s="55">
        <v>138840.4</v>
      </c>
      <c r="I1393" s="55">
        <v>5951.4</v>
      </c>
      <c r="J1393" s="55">
        <v>144791.79999999999</v>
      </c>
      <c r="K1393" s="55">
        <v>18085.8</v>
      </c>
      <c r="L1393" s="55">
        <v>939.8</v>
      </c>
      <c r="M1393" s="55">
        <v>1608.8</v>
      </c>
      <c r="N1393" s="55">
        <v>289.89999999999998</v>
      </c>
    </row>
    <row r="1394" spans="1:14" ht="10.050000000000001" hidden="1" customHeight="1">
      <c r="A1394" s="52" t="s">
        <v>172</v>
      </c>
      <c r="B1394" s="53">
        <v>2008</v>
      </c>
      <c r="C1394" s="52" t="s">
        <v>107</v>
      </c>
      <c r="D1394" s="54">
        <v>12</v>
      </c>
      <c r="E1394" s="55">
        <v>94728.1</v>
      </c>
      <c r="F1394" s="55">
        <v>91.4</v>
      </c>
      <c r="G1394" s="55">
        <v>94819.5</v>
      </c>
      <c r="H1394" s="55">
        <v>496425.9</v>
      </c>
      <c r="I1394" s="55">
        <v>16740.900000000001</v>
      </c>
      <c r="J1394" s="55">
        <v>513166.8</v>
      </c>
      <c r="K1394" s="55">
        <v>284424</v>
      </c>
      <c r="L1394" s="55">
        <v>17423.099999999999</v>
      </c>
      <c r="M1394" s="55">
        <v>42415</v>
      </c>
      <c r="N1394" s="55">
        <v>161.9</v>
      </c>
    </row>
    <row r="1395" spans="1:14" ht="10.050000000000001" hidden="1" customHeight="1">
      <c r="A1395" s="52" t="s">
        <v>171</v>
      </c>
      <c r="B1395" s="53">
        <v>2008</v>
      </c>
      <c r="C1395" s="52" t="s">
        <v>107</v>
      </c>
      <c r="D1395" s="54">
        <v>12</v>
      </c>
      <c r="E1395" s="55">
        <v>1003371.5</v>
      </c>
      <c r="F1395" s="55">
        <v>11853</v>
      </c>
      <c r="G1395" s="55">
        <v>1015224.5</v>
      </c>
      <c r="H1395" s="55">
        <v>7247370.2000000002</v>
      </c>
      <c r="I1395" s="55">
        <v>97983.5</v>
      </c>
      <c r="J1395" s="55">
        <v>7345353.7000000002</v>
      </c>
      <c r="K1395" s="55">
        <v>4421586.5</v>
      </c>
      <c r="L1395" s="55">
        <v>348269.2</v>
      </c>
      <c r="M1395" s="55">
        <v>437040.1</v>
      </c>
      <c r="N1395" s="55">
        <v>25848.9</v>
      </c>
    </row>
    <row r="1396" spans="1:14" ht="10.050000000000001" hidden="1" customHeight="1">
      <c r="A1396" s="52" t="s">
        <v>300</v>
      </c>
      <c r="B1396" s="53">
        <v>2008</v>
      </c>
      <c r="C1396" s="52" t="s">
        <v>107</v>
      </c>
      <c r="D1396" s="54">
        <v>12</v>
      </c>
      <c r="E1396" s="55">
        <v>268.2</v>
      </c>
      <c r="F1396" s="55">
        <v>26</v>
      </c>
      <c r="G1396" s="55">
        <v>294.2</v>
      </c>
      <c r="H1396" s="55">
        <v>1930.4</v>
      </c>
      <c r="I1396" s="55">
        <v>56.1</v>
      </c>
      <c r="J1396" s="55">
        <v>1986.5</v>
      </c>
      <c r="K1396" s="55">
        <v>137.80000000000001</v>
      </c>
      <c r="L1396" s="55">
        <v>0</v>
      </c>
      <c r="M1396" s="55">
        <v>0</v>
      </c>
      <c r="N1396" s="55">
        <v>0</v>
      </c>
    </row>
    <row r="1397" spans="1:14" ht="10.050000000000001" hidden="1" customHeight="1">
      <c r="A1397" s="52" t="s">
        <v>307</v>
      </c>
      <c r="B1397" s="53">
        <v>2008</v>
      </c>
      <c r="C1397" s="52" t="s">
        <v>107</v>
      </c>
      <c r="D1397" s="54">
        <v>12</v>
      </c>
      <c r="E1397" s="55">
        <v>1572948.4</v>
      </c>
      <c r="F1397" s="55">
        <v>536.29999999999995</v>
      </c>
      <c r="G1397" s="55">
        <v>1573484.7</v>
      </c>
      <c r="H1397" s="55">
        <v>5860726.5</v>
      </c>
      <c r="I1397" s="55">
        <v>86222.5</v>
      </c>
      <c r="J1397" s="55">
        <v>5946949</v>
      </c>
      <c r="K1397" s="55">
        <v>2928709</v>
      </c>
      <c r="L1397" s="55">
        <v>514500.8</v>
      </c>
      <c r="M1397" s="55">
        <v>238534.39999999999</v>
      </c>
      <c r="N1397" s="55">
        <v>100394.6</v>
      </c>
    </row>
    <row r="1398" spans="1:14" ht="10.050000000000001" hidden="1" customHeight="1">
      <c r="A1398" s="52" t="s">
        <v>315</v>
      </c>
      <c r="B1398" s="53">
        <v>2008</v>
      </c>
      <c r="C1398" s="52" t="s">
        <v>107</v>
      </c>
      <c r="D1398" s="54">
        <v>12</v>
      </c>
      <c r="E1398" s="55">
        <v>503.9</v>
      </c>
      <c r="F1398" s="55">
        <v>0</v>
      </c>
      <c r="G1398" s="55">
        <v>503.9</v>
      </c>
      <c r="H1398" s="55">
        <v>15380.4</v>
      </c>
      <c r="I1398" s="55">
        <v>0</v>
      </c>
      <c r="J1398" s="55">
        <v>15380.4</v>
      </c>
      <c r="K1398" s="55">
        <v>516.9</v>
      </c>
      <c r="L1398" s="55">
        <v>22</v>
      </c>
      <c r="M1398" s="55">
        <v>118.2</v>
      </c>
      <c r="N1398" s="55">
        <v>0</v>
      </c>
    </row>
    <row r="1399" spans="1:14" ht="10.050000000000001" hidden="1" customHeight="1">
      <c r="A1399" s="52" t="s">
        <v>173</v>
      </c>
      <c r="B1399" s="53">
        <v>2008</v>
      </c>
      <c r="C1399" s="52" t="s">
        <v>107</v>
      </c>
      <c r="D1399" s="54">
        <v>12</v>
      </c>
      <c r="E1399" s="55">
        <v>212378.9</v>
      </c>
      <c r="F1399" s="55">
        <v>14459.4</v>
      </c>
      <c r="G1399" s="55">
        <v>226838.3</v>
      </c>
      <c r="H1399" s="55">
        <v>3997524.5</v>
      </c>
      <c r="I1399" s="55">
        <v>69634.2</v>
      </c>
      <c r="J1399" s="55">
        <v>4067158.7</v>
      </c>
      <c r="K1399" s="55">
        <v>963400.5</v>
      </c>
      <c r="L1399" s="55">
        <v>45595.8</v>
      </c>
      <c r="M1399" s="55">
        <v>78421.5</v>
      </c>
      <c r="N1399" s="55">
        <v>10247.5</v>
      </c>
    </row>
    <row r="1400" spans="1:14" ht="10.050000000000001" customHeight="1">
      <c r="A1400" s="52" t="s">
        <v>309</v>
      </c>
      <c r="B1400" s="53">
        <v>2008</v>
      </c>
      <c r="C1400" s="52" t="s">
        <v>107</v>
      </c>
      <c r="D1400" s="54">
        <v>12</v>
      </c>
      <c r="E1400" s="55">
        <v>0</v>
      </c>
      <c r="F1400" s="55">
        <v>0</v>
      </c>
      <c r="G1400" s="55">
        <v>0</v>
      </c>
      <c r="H1400" s="55">
        <v>59070.3</v>
      </c>
      <c r="I1400" s="55">
        <v>0</v>
      </c>
      <c r="J1400" s="55">
        <v>59070.3</v>
      </c>
      <c r="K1400" s="55">
        <v>2838.2</v>
      </c>
      <c r="L1400" s="55">
        <v>0</v>
      </c>
      <c r="M1400" s="55">
        <v>1855</v>
      </c>
      <c r="N1400" s="55">
        <v>238.5</v>
      </c>
    </row>
    <row r="1401" spans="1:14" ht="10.050000000000001" hidden="1" customHeight="1">
      <c r="A1401" s="52" t="s">
        <v>316</v>
      </c>
      <c r="B1401" s="53">
        <v>2008</v>
      </c>
      <c r="C1401" s="52" t="s">
        <v>107</v>
      </c>
      <c r="D1401" s="54">
        <v>12</v>
      </c>
      <c r="E1401" s="55">
        <v>232.9</v>
      </c>
      <c r="F1401" s="55">
        <v>0</v>
      </c>
      <c r="G1401" s="55">
        <v>232.9</v>
      </c>
      <c r="H1401" s="55">
        <v>3204.2</v>
      </c>
      <c r="I1401" s="55">
        <v>28.7</v>
      </c>
      <c r="J1401" s="55">
        <v>3232.9</v>
      </c>
      <c r="K1401" s="55">
        <v>4.8</v>
      </c>
      <c r="L1401" s="55">
        <v>0</v>
      </c>
      <c r="M1401" s="55">
        <v>0</v>
      </c>
      <c r="N1401" s="55">
        <v>0</v>
      </c>
    </row>
    <row r="1402" spans="1:14" ht="10.050000000000001" hidden="1" customHeight="1">
      <c r="A1402" s="52" t="s">
        <v>310</v>
      </c>
      <c r="B1402" s="53">
        <v>2008</v>
      </c>
      <c r="C1402" s="52" t="s">
        <v>107</v>
      </c>
      <c r="D1402" s="54">
        <v>12</v>
      </c>
      <c r="E1402" s="55">
        <v>3229.9</v>
      </c>
      <c r="F1402" s="55">
        <v>0</v>
      </c>
      <c r="G1402" s="55">
        <v>3229.9</v>
      </c>
      <c r="H1402" s="55">
        <v>25315.1</v>
      </c>
      <c r="I1402" s="55">
        <v>906.2</v>
      </c>
      <c r="J1402" s="55">
        <v>26221.3</v>
      </c>
      <c r="K1402" s="55">
        <v>3818.2</v>
      </c>
      <c r="L1402" s="55">
        <v>76.400000000000006</v>
      </c>
      <c r="M1402" s="55">
        <v>1762.2</v>
      </c>
      <c r="N1402" s="55">
        <v>21.5</v>
      </c>
    </row>
    <row r="1403" spans="1:14" ht="10.050000000000001" hidden="1" customHeight="1">
      <c r="A1403" s="52" t="s">
        <v>308</v>
      </c>
      <c r="B1403" s="53">
        <v>2008</v>
      </c>
      <c r="C1403" s="52" t="s">
        <v>107</v>
      </c>
      <c r="D1403" s="54">
        <v>12</v>
      </c>
      <c r="E1403" s="55">
        <v>9572.9</v>
      </c>
      <c r="F1403" s="55">
        <v>0.1</v>
      </c>
      <c r="G1403" s="55">
        <v>9573</v>
      </c>
      <c r="H1403" s="55">
        <v>68048.3</v>
      </c>
      <c r="I1403" s="55">
        <v>435.7</v>
      </c>
      <c r="J1403" s="55">
        <v>68484</v>
      </c>
      <c r="K1403" s="55">
        <v>13959.9</v>
      </c>
      <c r="L1403" s="55">
        <v>1721.4</v>
      </c>
      <c r="M1403" s="55">
        <v>1771.7</v>
      </c>
      <c r="N1403" s="55">
        <v>351</v>
      </c>
    </row>
    <row r="1404" spans="1:14" ht="10.050000000000001" hidden="1" customHeight="1">
      <c r="A1404" s="52" t="s">
        <v>174</v>
      </c>
      <c r="B1404" s="53">
        <v>2008</v>
      </c>
      <c r="C1404" s="52" t="s">
        <v>107</v>
      </c>
      <c r="D1404" s="54">
        <v>12</v>
      </c>
      <c r="E1404" s="55">
        <v>5540.7</v>
      </c>
      <c r="F1404" s="55">
        <v>1.4</v>
      </c>
      <c r="G1404" s="55">
        <v>5542.1</v>
      </c>
      <c r="H1404" s="55">
        <v>274764.90000000002</v>
      </c>
      <c r="I1404" s="55">
        <v>7399.2</v>
      </c>
      <c r="J1404" s="55">
        <v>282164.09999999998</v>
      </c>
      <c r="K1404" s="55">
        <v>59364.2</v>
      </c>
      <c r="L1404" s="55">
        <v>1034.4000000000001</v>
      </c>
      <c r="M1404" s="55">
        <v>2392.8000000000002</v>
      </c>
      <c r="N1404" s="55">
        <v>5178.7</v>
      </c>
    </row>
    <row r="1405" spans="1:14" ht="10.050000000000001" hidden="1" customHeight="1">
      <c r="A1405" s="52" t="s">
        <v>171</v>
      </c>
      <c r="B1405" s="53">
        <v>2008</v>
      </c>
      <c r="C1405" s="52" t="s">
        <v>114</v>
      </c>
      <c r="D1405" s="54">
        <v>7</v>
      </c>
      <c r="E1405" s="55">
        <v>132</v>
      </c>
      <c r="F1405" s="55">
        <v>0</v>
      </c>
      <c r="G1405" s="55">
        <v>132</v>
      </c>
      <c r="H1405" s="55">
        <v>0</v>
      </c>
      <c r="I1405" s="55">
        <v>0</v>
      </c>
      <c r="J1405" s="55">
        <v>0</v>
      </c>
      <c r="K1405" s="55">
        <v>0</v>
      </c>
      <c r="L1405" s="55">
        <v>0</v>
      </c>
      <c r="M1405" s="55">
        <v>0</v>
      </c>
      <c r="N1405" s="55">
        <v>0</v>
      </c>
    </row>
    <row r="1406" spans="1:14" ht="10.050000000000001" hidden="1" customHeight="1">
      <c r="A1406" s="52" t="s">
        <v>306</v>
      </c>
      <c r="B1406" s="53">
        <v>2009</v>
      </c>
      <c r="C1406" s="52" t="s">
        <v>107</v>
      </c>
      <c r="D1406" s="54">
        <v>1</v>
      </c>
      <c r="E1406" s="55">
        <v>4064.1</v>
      </c>
      <c r="F1406" s="55">
        <v>919.4</v>
      </c>
      <c r="G1406" s="55">
        <v>4983.5</v>
      </c>
      <c r="H1406" s="55">
        <v>130387.7</v>
      </c>
      <c r="I1406" s="55">
        <v>5533.9</v>
      </c>
      <c r="J1406" s="55">
        <v>135921.60000000001</v>
      </c>
      <c r="K1406" s="55">
        <v>16364.9</v>
      </c>
      <c r="L1406" s="55">
        <v>631.70000000000005</v>
      </c>
      <c r="M1406" s="55">
        <v>1811.7</v>
      </c>
      <c r="N1406" s="55">
        <v>539.6</v>
      </c>
    </row>
    <row r="1407" spans="1:14" ht="10.050000000000001" hidden="1" customHeight="1">
      <c r="A1407" s="52" t="s">
        <v>172</v>
      </c>
      <c r="B1407" s="53">
        <v>2009</v>
      </c>
      <c r="C1407" s="52" t="s">
        <v>107</v>
      </c>
      <c r="D1407" s="54">
        <v>1</v>
      </c>
      <c r="E1407" s="55">
        <v>114309.3</v>
      </c>
      <c r="F1407" s="55">
        <v>782.7</v>
      </c>
      <c r="G1407" s="55">
        <v>115092</v>
      </c>
      <c r="H1407" s="55">
        <v>388502.5</v>
      </c>
      <c r="I1407" s="55">
        <v>15664.2</v>
      </c>
      <c r="J1407" s="55">
        <v>404166.7</v>
      </c>
      <c r="K1407" s="55">
        <v>243949.4</v>
      </c>
      <c r="L1407" s="55">
        <v>12403.3</v>
      </c>
      <c r="M1407" s="55">
        <v>49806.6</v>
      </c>
      <c r="N1407" s="55">
        <v>3071.3</v>
      </c>
    </row>
    <row r="1408" spans="1:14" ht="10.050000000000001" hidden="1" customHeight="1">
      <c r="A1408" s="52" t="s">
        <v>171</v>
      </c>
      <c r="B1408" s="53">
        <v>2009</v>
      </c>
      <c r="C1408" s="52" t="s">
        <v>107</v>
      </c>
      <c r="D1408" s="54">
        <v>1</v>
      </c>
      <c r="E1408" s="55">
        <v>1625286</v>
      </c>
      <c r="F1408" s="55">
        <v>5571.2</v>
      </c>
      <c r="G1408" s="55">
        <v>1630857.2</v>
      </c>
      <c r="H1408" s="55">
        <v>6533316.2000000002</v>
      </c>
      <c r="I1408" s="55">
        <v>86947.5</v>
      </c>
      <c r="J1408" s="55">
        <v>6620263.7000000002</v>
      </c>
      <c r="K1408" s="55">
        <v>4017245.1</v>
      </c>
      <c r="L1408" s="55">
        <v>340744.2</v>
      </c>
      <c r="M1408" s="55">
        <v>705092.6</v>
      </c>
      <c r="N1408" s="55">
        <v>39826.1</v>
      </c>
    </row>
    <row r="1409" spans="1:14" ht="10.050000000000001" hidden="1" customHeight="1">
      <c r="A1409" s="52" t="s">
        <v>300</v>
      </c>
      <c r="B1409" s="53">
        <v>2009</v>
      </c>
      <c r="C1409" s="52" t="s">
        <v>107</v>
      </c>
      <c r="D1409" s="54">
        <v>1</v>
      </c>
      <c r="E1409" s="55">
        <v>181.9</v>
      </c>
      <c r="F1409" s="55">
        <v>0</v>
      </c>
      <c r="G1409" s="55">
        <v>181.9</v>
      </c>
      <c r="H1409" s="55">
        <v>2012.4</v>
      </c>
      <c r="I1409" s="55">
        <v>56.1</v>
      </c>
      <c r="J1409" s="55">
        <v>2068.5</v>
      </c>
      <c r="K1409" s="55">
        <v>68.900000000000006</v>
      </c>
      <c r="L1409" s="55">
        <v>0</v>
      </c>
      <c r="M1409" s="55">
        <v>0</v>
      </c>
      <c r="N1409" s="55">
        <v>0</v>
      </c>
    </row>
    <row r="1410" spans="1:14" ht="10.050000000000001" hidden="1" customHeight="1">
      <c r="A1410" s="52" t="s">
        <v>307</v>
      </c>
      <c r="B1410" s="53">
        <v>2009</v>
      </c>
      <c r="C1410" s="52" t="s">
        <v>107</v>
      </c>
      <c r="D1410" s="54">
        <v>1</v>
      </c>
      <c r="E1410" s="55">
        <v>627266</v>
      </c>
      <c r="F1410" s="55">
        <v>267</v>
      </c>
      <c r="G1410" s="55">
        <v>627533</v>
      </c>
      <c r="H1410" s="55">
        <v>5289728.7</v>
      </c>
      <c r="I1410" s="55">
        <v>67730</v>
      </c>
      <c r="J1410" s="55">
        <v>5357458.7</v>
      </c>
      <c r="K1410" s="55">
        <v>2620965.7000000002</v>
      </c>
      <c r="L1410" s="55">
        <v>127890.4</v>
      </c>
      <c r="M1410" s="55">
        <v>359934.5</v>
      </c>
      <c r="N1410" s="55">
        <v>72718.5</v>
      </c>
    </row>
    <row r="1411" spans="1:14" ht="10.050000000000001" hidden="1" customHeight="1">
      <c r="A1411" s="52" t="s">
        <v>315</v>
      </c>
      <c r="B1411" s="53">
        <v>2009</v>
      </c>
      <c r="C1411" s="52" t="s">
        <v>107</v>
      </c>
      <c r="D1411" s="54">
        <v>1</v>
      </c>
      <c r="E1411" s="55">
        <v>430.6</v>
      </c>
      <c r="F1411" s="55">
        <v>0</v>
      </c>
      <c r="G1411" s="55">
        <v>430.6</v>
      </c>
      <c r="H1411" s="55">
        <v>13465.3</v>
      </c>
      <c r="I1411" s="55">
        <v>0</v>
      </c>
      <c r="J1411" s="55">
        <v>13465.3</v>
      </c>
      <c r="K1411" s="55">
        <v>379</v>
      </c>
      <c r="L1411" s="55">
        <v>4</v>
      </c>
      <c r="M1411" s="55">
        <v>141.9</v>
      </c>
      <c r="N1411" s="55">
        <v>0</v>
      </c>
    </row>
    <row r="1412" spans="1:14" ht="10.050000000000001" hidden="1" customHeight="1">
      <c r="A1412" s="52" t="s">
        <v>173</v>
      </c>
      <c r="B1412" s="53">
        <v>2009</v>
      </c>
      <c r="C1412" s="52" t="s">
        <v>107</v>
      </c>
      <c r="D1412" s="54">
        <v>1</v>
      </c>
      <c r="E1412" s="55">
        <v>290640.90000000002</v>
      </c>
      <c r="F1412" s="55">
        <v>10227.9</v>
      </c>
      <c r="G1412" s="55">
        <v>300868.8</v>
      </c>
      <c r="H1412" s="55">
        <v>3647020.9</v>
      </c>
      <c r="I1412" s="55">
        <v>57615.4</v>
      </c>
      <c r="J1412" s="55">
        <v>3704636.3</v>
      </c>
      <c r="K1412" s="55">
        <v>828680.5</v>
      </c>
      <c r="L1412" s="55">
        <v>37406.199999999997</v>
      </c>
      <c r="M1412" s="55">
        <v>159159.1</v>
      </c>
      <c r="N1412" s="55">
        <v>13126.5</v>
      </c>
    </row>
    <row r="1413" spans="1:14" ht="10.050000000000001" customHeight="1">
      <c r="A1413" s="52" t="s">
        <v>309</v>
      </c>
      <c r="B1413" s="53">
        <v>2009</v>
      </c>
      <c r="C1413" s="52" t="s">
        <v>107</v>
      </c>
      <c r="D1413" s="54">
        <v>1</v>
      </c>
      <c r="E1413" s="55">
        <v>2575.1999999999998</v>
      </c>
      <c r="F1413" s="55">
        <v>0</v>
      </c>
      <c r="G1413" s="55">
        <v>2575.1999999999998</v>
      </c>
      <c r="H1413" s="55">
        <v>51659.8</v>
      </c>
      <c r="I1413" s="55">
        <v>0</v>
      </c>
      <c r="J1413" s="55">
        <v>51659.8</v>
      </c>
      <c r="K1413" s="55">
        <v>2108.5</v>
      </c>
      <c r="L1413" s="55">
        <v>0</v>
      </c>
      <c r="M1413" s="55">
        <v>0</v>
      </c>
      <c r="N1413" s="55">
        <v>0</v>
      </c>
    </row>
    <row r="1414" spans="1:14" ht="10.050000000000001" hidden="1" customHeight="1">
      <c r="A1414" s="52" t="s">
        <v>316</v>
      </c>
      <c r="B1414" s="53">
        <v>2009</v>
      </c>
      <c r="C1414" s="52" t="s">
        <v>107</v>
      </c>
      <c r="D1414" s="54">
        <v>1</v>
      </c>
      <c r="E1414" s="55">
        <v>87.9</v>
      </c>
      <c r="F1414" s="55">
        <v>0</v>
      </c>
      <c r="G1414" s="55">
        <v>87.9</v>
      </c>
      <c r="H1414" s="55">
        <v>2969.4</v>
      </c>
      <c r="I1414" s="55">
        <v>28.7</v>
      </c>
      <c r="J1414" s="55">
        <v>2998.1</v>
      </c>
      <c r="K1414" s="55">
        <v>0</v>
      </c>
      <c r="L1414" s="55">
        <v>0</v>
      </c>
      <c r="M1414" s="55">
        <v>0</v>
      </c>
      <c r="N1414" s="55">
        <v>4.8</v>
      </c>
    </row>
    <row r="1415" spans="1:14" ht="10.050000000000001" hidden="1" customHeight="1">
      <c r="A1415" s="52" t="s">
        <v>310</v>
      </c>
      <c r="B1415" s="53">
        <v>2009</v>
      </c>
      <c r="C1415" s="52" t="s">
        <v>107</v>
      </c>
      <c r="D1415" s="54">
        <v>1</v>
      </c>
      <c r="E1415" s="55">
        <v>3072.9</v>
      </c>
      <c r="F1415" s="55">
        <v>0</v>
      </c>
      <c r="G1415" s="55">
        <v>3072.9</v>
      </c>
      <c r="H1415" s="55">
        <v>24766.2</v>
      </c>
      <c r="I1415" s="55">
        <v>903.4</v>
      </c>
      <c r="J1415" s="55">
        <v>25669.599999999999</v>
      </c>
      <c r="K1415" s="55">
        <v>2521</v>
      </c>
      <c r="L1415" s="55">
        <v>118.2</v>
      </c>
      <c r="M1415" s="55">
        <v>1395.4</v>
      </c>
      <c r="N1415" s="55">
        <v>20</v>
      </c>
    </row>
    <row r="1416" spans="1:14" ht="10.050000000000001" hidden="1" customHeight="1">
      <c r="A1416" s="52" t="s">
        <v>308</v>
      </c>
      <c r="B1416" s="53">
        <v>2009</v>
      </c>
      <c r="C1416" s="52" t="s">
        <v>107</v>
      </c>
      <c r="D1416" s="54">
        <v>1</v>
      </c>
      <c r="E1416" s="55">
        <v>5536.9</v>
      </c>
      <c r="F1416" s="55">
        <v>0</v>
      </c>
      <c r="G1416" s="55">
        <v>5536.9</v>
      </c>
      <c r="H1416" s="55">
        <v>57555</v>
      </c>
      <c r="I1416" s="55">
        <v>423.4</v>
      </c>
      <c r="J1416" s="55">
        <v>57978.400000000001</v>
      </c>
      <c r="K1416" s="55">
        <v>12452.9</v>
      </c>
      <c r="L1416" s="55">
        <v>753.5</v>
      </c>
      <c r="M1416" s="55">
        <v>1931.8</v>
      </c>
      <c r="N1416" s="55">
        <v>328.7</v>
      </c>
    </row>
    <row r="1417" spans="1:14" ht="10.050000000000001" hidden="1" customHeight="1">
      <c r="A1417" s="52" t="s">
        <v>174</v>
      </c>
      <c r="B1417" s="53">
        <v>2009</v>
      </c>
      <c r="C1417" s="52" t="s">
        <v>107</v>
      </c>
      <c r="D1417" s="54">
        <v>1</v>
      </c>
      <c r="E1417" s="55">
        <v>7615.6</v>
      </c>
      <c r="F1417" s="55">
        <v>0</v>
      </c>
      <c r="G1417" s="55">
        <v>7615.6</v>
      </c>
      <c r="H1417" s="55">
        <v>242405.1</v>
      </c>
      <c r="I1417" s="55">
        <v>6722.7</v>
      </c>
      <c r="J1417" s="55">
        <v>249127.8</v>
      </c>
      <c r="K1417" s="55">
        <v>51513</v>
      </c>
      <c r="L1417" s="55">
        <v>2584.1</v>
      </c>
      <c r="M1417" s="55">
        <v>4026.5</v>
      </c>
      <c r="N1417" s="55">
        <v>6355.9</v>
      </c>
    </row>
    <row r="1418" spans="1:14" ht="10.050000000000001" hidden="1" customHeight="1">
      <c r="A1418" s="52" t="s">
        <v>306</v>
      </c>
      <c r="B1418" s="53">
        <v>2009</v>
      </c>
      <c r="C1418" s="52" t="s">
        <v>107</v>
      </c>
      <c r="D1418" s="54">
        <v>2</v>
      </c>
      <c r="E1418" s="55">
        <v>5204.2</v>
      </c>
      <c r="F1418" s="55">
        <v>433.2</v>
      </c>
      <c r="G1418" s="55">
        <v>5637.4</v>
      </c>
      <c r="H1418" s="55">
        <v>120722.7</v>
      </c>
      <c r="I1418" s="55">
        <v>5021.3</v>
      </c>
      <c r="J1418" s="55">
        <v>125744</v>
      </c>
      <c r="K1418" s="55">
        <v>14162.3</v>
      </c>
      <c r="L1418" s="55">
        <v>746.6</v>
      </c>
      <c r="M1418" s="55">
        <v>2585.1999999999998</v>
      </c>
      <c r="N1418" s="55">
        <v>376.3</v>
      </c>
    </row>
    <row r="1419" spans="1:14" ht="10.050000000000001" hidden="1" customHeight="1">
      <c r="A1419" s="52" t="s">
        <v>172</v>
      </c>
      <c r="B1419" s="53">
        <v>2009</v>
      </c>
      <c r="C1419" s="52" t="s">
        <v>107</v>
      </c>
      <c r="D1419" s="54">
        <v>2</v>
      </c>
      <c r="E1419" s="55">
        <v>193628.7</v>
      </c>
      <c r="F1419" s="55">
        <v>225.5</v>
      </c>
      <c r="G1419" s="55">
        <v>193854.2</v>
      </c>
      <c r="H1419" s="55">
        <v>343809.6</v>
      </c>
      <c r="I1419" s="55">
        <v>14809.6</v>
      </c>
      <c r="J1419" s="55">
        <v>358619.2</v>
      </c>
      <c r="K1419" s="55">
        <v>130924.3</v>
      </c>
      <c r="L1419" s="55">
        <v>11314.4</v>
      </c>
      <c r="M1419" s="55">
        <v>117608.3</v>
      </c>
      <c r="N1419" s="55">
        <v>4779.5</v>
      </c>
    </row>
    <row r="1420" spans="1:14" ht="10.050000000000001" hidden="1" customHeight="1">
      <c r="A1420" s="52" t="s">
        <v>171</v>
      </c>
      <c r="B1420" s="53">
        <v>2009</v>
      </c>
      <c r="C1420" s="52" t="s">
        <v>107</v>
      </c>
      <c r="D1420" s="54">
        <v>2</v>
      </c>
      <c r="E1420" s="55">
        <v>1730335.8</v>
      </c>
      <c r="F1420" s="55">
        <v>3823.7</v>
      </c>
      <c r="G1420" s="55">
        <v>1734159.5</v>
      </c>
      <c r="H1420" s="55">
        <v>5852773.5</v>
      </c>
      <c r="I1420" s="55">
        <v>85733.7</v>
      </c>
      <c r="J1420" s="55">
        <v>5938507.2000000104</v>
      </c>
      <c r="K1420" s="55">
        <v>3489906.7</v>
      </c>
      <c r="L1420" s="55">
        <v>340366.3</v>
      </c>
      <c r="M1420" s="55">
        <v>788728.7</v>
      </c>
      <c r="N1420" s="55">
        <v>46369</v>
      </c>
    </row>
    <row r="1421" spans="1:14" ht="10.050000000000001" hidden="1" customHeight="1">
      <c r="A1421" s="52" t="s">
        <v>300</v>
      </c>
      <c r="B1421" s="53">
        <v>2009</v>
      </c>
      <c r="C1421" s="52" t="s">
        <v>107</v>
      </c>
      <c r="D1421" s="54">
        <v>2</v>
      </c>
      <c r="E1421" s="55">
        <v>207.5</v>
      </c>
      <c r="F1421" s="55">
        <v>0</v>
      </c>
      <c r="G1421" s="55">
        <v>207.5</v>
      </c>
      <c r="H1421" s="55">
        <v>1834.4</v>
      </c>
      <c r="I1421" s="55">
        <v>56.1</v>
      </c>
      <c r="J1421" s="55">
        <v>1890.5</v>
      </c>
      <c r="K1421" s="55">
        <v>14.7</v>
      </c>
      <c r="L1421" s="55">
        <v>0</v>
      </c>
      <c r="M1421" s="55">
        <v>54.2</v>
      </c>
      <c r="N1421" s="55">
        <v>0</v>
      </c>
    </row>
    <row r="1422" spans="1:14" ht="10.050000000000001" hidden="1" customHeight="1">
      <c r="A1422" s="52" t="s">
        <v>307</v>
      </c>
      <c r="B1422" s="53">
        <v>2009</v>
      </c>
      <c r="C1422" s="52" t="s">
        <v>107</v>
      </c>
      <c r="D1422" s="54">
        <v>2</v>
      </c>
      <c r="E1422" s="55">
        <v>425574.9</v>
      </c>
      <c r="F1422" s="55">
        <v>15467.5</v>
      </c>
      <c r="G1422" s="55">
        <v>441042.4</v>
      </c>
      <c r="H1422" s="55">
        <v>4517453.8</v>
      </c>
      <c r="I1422" s="55">
        <v>64308.2</v>
      </c>
      <c r="J1422" s="55">
        <v>4581762</v>
      </c>
      <c r="K1422" s="55">
        <v>2308428.1</v>
      </c>
      <c r="L1422" s="55">
        <v>45359.6</v>
      </c>
      <c r="M1422" s="55">
        <v>278676.7</v>
      </c>
      <c r="N1422" s="55">
        <v>66208.3</v>
      </c>
    </row>
    <row r="1423" spans="1:14" ht="10.050000000000001" hidden="1" customHeight="1">
      <c r="A1423" s="52" t="s">
        <v>315</v>
      </c>
      <c r="B1423" s="53">
        <v>2009</v>
      </c>
      <c r="C1423" s="52" t="s">
        <v>107</v>
      </c>
      <c r="D1423" s="54">
        <v>2</v>
      </c>
      <c r="E1423" s="55">
        <v>388.9</v>
      </c>
      <c r="F1423" s="55">
        <v>0</v>
      </c>
      <c r="G1423" s="55">
        <v>388.9</v>
      </c>
      <c r="H1423" s="55">
        <v>11696.9</v>
      </c>
      <c r="I1423" s="55">
        <v>0</v>
      </c>
      <c r="J1423" s="55">
        <v>11696.9</v>
      </c>
      <c r="K1423" s="55">
        <v>328.2</v>
      </c>
      <c r="L1423" s="55">
        <v>0</v>
      </c>
      <c r="M1423" s="55">
        <v>50.8</v>
      </c>
      <c r="N1423" s="55">
        <v>0</v>
      </c>
    </row>
    <row r="1424" spans="1:14" ht="10.050000000000001" hidden="1" customHeight="1">
      <c r="A1424" s="52" t="s">
        <v>173</v>
      </c>
      <c r="B1424" s="53">
        <v>2009</v>
      </c>
      <c r="C1424" s="52" t="s">
        <v>107</v>
      </c>
      <c r="D1424" s="54">
        <v>2</v>
      </c>
      <c r="E1424" s="55">
        <v>317382.09999999998</v>
      </c>
      <c r="F1424" s="55">
        <v>5799.2</v>
      </c>
      <c r="G1424" s="55">
        <v>323181.3</v>
      </c>
      <c r="H1424" s="55">
        <v>3282041.9</v>
      </c>
      <c r="I1424" s="55">
        <v>49006.5</v>
      </c>
      <c r="J1424" s="55">
        <v>3331048.4</v>
      </c>
      <c r="K1424" s="55">
        <v>702718.7</v>
      </c>
      <c r="L1424" s="55">
        <v>34175.4</v>
      </c>
      <c r="M1424" s="55">
        <v>145302</v>
      </c>
      <c r="N1424" s="55">
        <v>13952.3</v>
      </c>
    </row>
    <row r="1425" spans="1:14" ht="10.050000000000001" customHeight="1">
      <c r="A1425" s="52" t="s">
        <v>309</v>
      </c>
      <c r="B1425" s="53">
        <v>2009</v>
      </c>
      <c r="C1425" s="52" t="s">
        <v>107</v>
      </c>
      <c r="D1425" s="54">
        <v>2</v>
      </c>
      <c r="E1425" s="55">
        <v>2379.6</v>
      </c>
      <c r="F1425" s="55">
        <v>0</v>
      </c>
      <c r="G1425" s="55">
        <v>2379.6</v>
      </c>
      <c r="H1425" s="55">
        <v>47295.5</v>
      </c>
      <c r="I1425" s="55">
        <v>0</v>
      </c>
      <c r="J1425" s="55">
        <v>47295.5</v>
      </c>
      <c r="K1425" s="55">
        <v>0</v>
      </c>
      <c r="L1425" s="55">
        <v>0</v>
      </c>
      <c r="M1425" s="55">
        <v>2108.5</v>
      </c>
      <c r="N1425" s="55">
        <v>0</v>
      </c>
    </row>
    <row r="1426" spans="1:14" ht="10.050000000000001" hidden="1" customHeight="1">
      <c r="A1426" s="52" t="s">
        <v>316</v>
      </c>
      <c r="B1426" s="53">
        <v>2009</v>
      </c>
      <c r="C1426" s="52" t="s">
        <v>107</v>
      </c>
      <c r="D1426" s="54">
        <v>2</v>
      </c>
      <c r="E1426" s="55">
        <v>104.3</v>
      </c>
      <c r="F1426" s="55">
        <v>0</v>
      </c>
      <c r="G1426" s="55">
        <v>104.3</v>
      </c>
      <c r="H1426" s="55">
        <v>2919.5</v>
      </c>
      <c r="I1426" s="55">
        <v>28.7</v>
      </c>
      <c r="J1426" s="55">
        <v>2948.2</v>
      </c>
      <c r="K1426" s="55">
        <v>0</v>
      </c>
      <c r="L1426" s="55">
        <v>0</v>
      </c>
      <c r="M1426" s="55">
        <v>0</v>
      </c>
      <c r="N1426" s="55">
        <v>0</v>
      </c>
    </row>
    <row r="1427" spans="1:14" ht="10.050000000000001" hidden="1" customHeight="1">
      <c r="A1427" s="52" t="s">
        <v>310</v>
      </c>
      <c r="B1427" s="53">
        <v>2009</v>
      </c>
      <c r="C1427" s="52" t="s">
        <v>107</v>
      </c>
      <c r="D1427" s="54">
        <v>2</v>
      </c>
      <c r="E1427" s="55">
        <v>1411.9</v>
      </c>
      <c r="F1427" s="55">
        <v>118</v>
      </c>
      <c r="G1427" s="55">
        <v>1529.9</v>
      </c>
      <c r="H1427" s="55">
        <v>22642.7</v>
      </c>
      <c r="I1427" s="55">
        <v>1008.3</v>
      </c>
      <c r="J1427" s="55">
        <v>23651</v>
      </c>
      <c r="K1427" s="55">
        <v>1794.4</v>
      </c>
      <c r="L1427" s="55">
        <v>73.8</v>
      </c>
      <c r="M1427" s="55">
        <v>774.3</v>
      </c>
      <c r="N1427" s="55">
        <v>26.1</v>
      </c>
    </row>
    <row r="1428" spans="1:14" ht="10.050000000000001" hidden="1" customHeight="1">
      <c r="A1428" s="52" t="s">
        <v>308</v>
      </c>
      <c r="B1428" s="53">
        <v>2009</v>
      </c>
      <c r="C1428" s="52" t="s">
        <v>107</v>
      </c>
      <c r="D1428" s="54">
        <v>2</v>
      </c>
      <c r="E1428" s="55">
        <v>3458.2</v>
      </c>
      <c r="F1428" s="55">
        <v>60</v>
      </c>
      <c r="G1428" s="55">
        <v>3518.2</v>
      </c>
      <c r="H1428" s="55">
        <v>46371.1</v>
      </c>
      <c r="I1428" s="55">
        <v>424.9</v>
      </c>
      <c r="J1428" s="55">
        <v>46796</v>
      </c>
      <c r="K1428" s="55">
        <v>9520.4</v>
      </c>
      <c r="L1428" s="55">
        <v>183.7</v>
      </c>
      <c r="M1428" s="55">
        <v>2084.1999999999998</v>
      </c>
      <c r="N1428" s="55">
        <v>326.2</v>
      </c>
    </row>
    <row r="1429" spans="1:14" ht="10.050000000000001" hidden="1" customHeight="1">
      <c r="A1429" s="52" t="s">
        <v>174</v>
      </c>
      <c r="B1429" s="53">
        <v>2009</v>
      </c>
      <c r="C1429" s="52" t="s">
        <v>107</v>
      </c>
      <c r="D1429" s="54">
        <v>2</v>
      </c>
      <c r="E1429" s="55">
        <v>8440.9</v>
      </c>
      <c r="F1429" s="55">
        <v>0</v>
      </c>
      <c r="G1429" s="55">
        <v>8440.9</v>
      </c>
      <c r="H1429" s="55">
        <v>210204.2</v>
      </c>
      <c r="I1429" s="55">
        <v>6766.6</v>
      </c>
      <c r="J1429" s="55">
        <v>216970.8</v>
      </c>
      <c r="K1429" s="55">
        <v>43349.8</v>
      </c>
      <c r="L1429" s="55">
        <v>1242.9000000000001</v>
      </c>
      <c r="M1429" s="55">
        <v>4261.1000000000004</v>
      </c>
      <c r="N1429" s="55">
        <v>5259.4</v>
      </c>
    </row>
    <row r="1430" spans="1:14" ht="10.050000000000001" hidden="1" customHeight="1">
      <c r="A1430" s="52" t="s">
        <v>306</v>
      </c>
      <c r="B1430" s="53">
        <v>2009</v>
      </c>
      <c r="C1430" s="52" t="s">
        <v>107</v>
      </c>
      <c r="D1430" s="54">
        <v>3</v>
      </c>
      <c r="E1430" s="55">
        <v>6037.7</v>
      </c>
      <c r="F1430" s="55">
        <v>102.3</v>
      </c>
      <c r="G1430" s="55">
        <v>6140</v>
      </c>
      <c r="H1430" s="55">
        <v>112071.7</v>
      </c>
      <c r="I1430" s="55">
        <v>4425</v>
      </c>
      <c r="J1430" s="55">
        <v>116496.7</v>
      </c>
      <c r="K1430" s="55">
        <v>11203.2</v>
      </c>
      <c r="L1430" s="55">
        <v>723.9</v>
      </c>
      <c r="M1430" s="55">
        <v>3162.8</v>
      </c>
      <c r="N1430" s="55">
        <v>523.70000000000005</v>
      </c>
    </row>
    <row r="1431" spans="1:14" ht="10.050000000000001" hidden="1" customHeight="1">
      <c r="A1431" s="52" t="s">
        <v>172</v>
      </c>
      <c r="B1431" s="53">
        <v>2009</v>
      </c>
      <c r="C1431" s="52" t="s">
        <v>107</v>
      </c>
      <c r="D1431" s="54">
        <v>3</v>
      </c>
      <c r="E1431" s="55">
        <v>143606.6</v>
      </c>
      <c r="F1431" s="55">
        <v>0</v>
      </c>
      <c r="G1431" s="55">
        <v>143606.6</v>
      </c>
      <c r="H1431" s="55">
        <v>246449.8</v>
      </c>
      <c r="I1431" s="55">
        <v>13974.1</v>
      </c>
      <c r="J1431" s="55">
        <v>260423.9</v>
      </c>
      <c r="K1431" s="55">
        <v>89604</v>
      </c>
      <c r="L1431" s="55">
        <v>8658.7000000000007</v>
      </c>
      <c r="M1431" s="55">
        <v>47689.2</v>
      </c>
      <c r="N1431" s="55">
        <v>2289.8000000000002</v>
      </c>
    </row>
    <row r="1432" spans="1:14" ht="10.050000000000001" hidden="1" customHeight="1">
      <c r="A1432" s="52" t="s">
        <v>171</v>
      </c>
      <c r="B1432" s="53">
        <v>2009</v>
      </c>
      <c r="C1432" s="52" t="s">
        <v>107</v>
      </c>
      <c r="D1432" s="54">
        <v>3</v>
      </c>
      <c r="E1432" s="55">
        <v>1998878</v>
      </c>
      <c r="F1432" s="55">
        <v>4189</v>
      </c>
      <c r="G1432" s="55">
        <v>2003067</v>
      </c>
      <c r="H1432" s="55">
        <v>5069211.9000000004</v>
      </c>
      <c r="I1432" s="55">
        <v>80615.899999999994</v>
      </c>
      <c r="J1432" s="55">
        <v>5149827.8</v>
      </c>
      <c r="K1432" s="55">
        <v>2627503.7999999998</v>
      </c>
      <c r="L1432" s="55">
        <v>232602</v>
      </c>
      <c r="M1432" s="55">
        <v>1111011</v>
      </c>
      <c r="N1432" s="55">
        <v>28137.8</v>
      </c>
    </row>
    <row r="1433" spans="1:14" ht="10.050000000000001" hidden="1" customHeight="1">
      <c r="A1433" s="52" t="s">
        <v>300</v>
      </c>
      <c r="B1433" s="53">
        <v>2009</v>
      </c>
      <c r="C1433" s="52" t="s">
        <v>107</v>
      </c>
      <c r="D1433" s="54">
        <v>3</v>
      </c>
      <c r="E1433" s="55">
        <v>182.1</v>
      </c>
      <c r="F1433" s="55">
        <v>16.899999999999999</v>
      </c>
      <c r="G1433" s="55">
        <v>199</v>
      </c>
      <c r="H1433" s="55">
        <v>1586.7</v>
      </c>
      <c r="I1433" s="55">
        <v>54.2</v>
      </c>
      <c r="J1433" s="55">
        <v>1640.9</v>
      </c>
      <c r="K1433" s="55">
        <v>0</v>
      </c>
      <c r="L1433" s="55">
        <v>0</v>
      </c>
      <c r="M1433" s="55">
        <v>14.7</v>
      </c>
      <c r="N1433" s="55">
        <v>0</v>
      </c>
    </row>
    <row r="1434" spans="1:14" ht="10.050000000000001" hidden="1" customHeight="1">
      <c r="A1434" s="52" t="s">
        <v>307</v>
      </c>
      <c r="B1434" s="53">
        <v>2009</v>
      </c>
      <c r="C1434" s="52" t="s">
        <v>107</v>
      </c>
      <c r="D1434" s="54">
        <v>3</v>
      </c>
      <c r="E1434" s="55">
        <v>451243.1</v>
      </c>
      <c r="F1434" s="55">
        <v>2424.4</v>
      </c>
      <c r="G1434" s="55">
        <v>453667.5</v>
      </c>
      <c r="H1434" s="55">
        <v>3706260.3</v>
      </c>
      <c r="I1434" s="55">
        <v>61395.6</v>
      </c>
      <c r="J1434" s="55">
        <v>3767655.9</v>
      </c>
      <c r="K1434" s="55">
        <v>1989078.2</v>
      </c>
      <c r="L1434" s="55">
        <v>30747.5</v>
      </c>
      <c r="M1434" s="55">
        <v>309192.7</v>
      </c>
      <c r="N1434" s="55">
        <v>53366</v>
      </c>
    </row>
    <row r="1435" spans="1:14" ht="10.050000000000001" hidden="1" customHeight="1">
      <c r="A1435" s="52" t="s">
        <v>315</v>
      </c>
      <c r="B1435" s="53">
        <v>2009</v>
      </c>
      <c r="C1435" s="52" t="s">
        <v>107</v>
      </c>
      <c r="D1435" s="54">
        <v>3</v>
      </c>
      <c r="E1435" s="55">
        <v>568.79999999999995</v>
      </c>
      <c r="F1435" s="55">
        <v>0</v>
      </c>
      <c r="G1435" s="55">
        <v>568.79999999999995</v>
      </c>
      <c r="H1435" s="55">
        <v>9838.7000000000007</v>
      </c>
      <c r="I1435" s="55">
        <v>0</v>
      </c>
      <c r="J1435" s="55">
        <v>9838.7000000000007</v>
      </c>
      <c r="K1435" s="55">
        <v>204.4</v>
      </c>
      <c r="L1435" s="55">
        <v>5.3</v>
      </c>
      <c r="M1435" s="55">
        <v>129.1</v>
      </c>
      <c r="N1435" s="55">
        <v>0</v>
      </c>
    </row>
    <row r="1436" spans="1:14" ht="10.050000000000001" hidden="1" customHeight="1">
      <c r="A1436" s="52" t="s">
        <v>173</v>
      </c>
      <c r="B1436" s="53">
        <v>2009</v>
      </c>
      <c r="C1436" s="52" t="s">
        <v>107</v>
      </c>
      <c r="D1436" s="54">
        <v>3</v>
      </c>
      <c r="E1436" s="55">
        <v>381331.9</v>
      </c>
      <c r="F1436" s="55">
        <v>4549.8999999999996</v>
      </c>
      <c r="G1436" s="55">
        <v>385881.8</v>
      </c>
      <c r="H1436" s="55">
        <v>2948319.3</v>
      </c>
      <c r="I1436" s="55">
        <v>41267.9</v>
      </c>
      <c r="J1436" s="55">
        <v>2989587.2</v>
      </c>
      <c r="K1436" s="55">
        <v>479719.4</v>
      </c>
      <c r="L1436" s="55">
        <v>22708.799999999999</v>
      </c>
      <c r="M1436" s="55">
        <v>236904.6</v>
      </c>
      <c r="N1436" s="55">
        <v>10657.3</v>
      </c>
    </row>
    <row r="1437" spans="1:14" ht="10.050000000000001" customHeight="1">
      <c r="A1437" s="52" t="s">
        <v>309</v>
      </c>
      <c r="B1437" s="53">
        <v>2009</v>
      </c>
      <c r="C1437" s="52" t="s">
        <v>107</v>
      </c>
      <c r="D1437" s="54">
        <v>3</v>
      </c>
      <c r="E1437" s="55">
        <v>395.2</v>
      </c>
      <c r="F1437" s="55">
        <v>0</v>
      </c>
      <c r="G1437" s="55">
        <v>395.2</v>
      </c>
      <c r="H1437" s="55">
        <v>37479.199999999997</v>
      </c>
      <c r="I1437" s="55">
        <v>0</v>
      </c>
      <c r="J1437" s="55">
        <v>37479.199999999997</v>
      </c>
      <c r="K1437" s="55">
        <v>0</v>
      </c>
      <c r="L1437" s="55">
        <v>0</v>
      </c>
      <c r="M1437" s="55">
        <v>0</v>
      </c>
      <c r="N1437" s="55">
        <v>0</v>
      </c>
    </row>
    <row r="1438" spans="1:14" ht="10.050000000000001" hidden="1" customHeight="1">
      <c r="A1438" s="52" t="s">
        <v>316</v>
      </c>
      <c r="B1438" s="53">
        <v>2009</v>
      </c>
      <c r="C1438" s="52" t="s">
        <v>107</v>
      </c>
      <c r="D1438" s="54">
        <v>3</v>
      </c>
      <c r="E1438" s="55">
        <v>46.1</v>
      </c>
      <c r="F1438" s="55">
        <v>0</v>
      </c>
      <c r="G1438" s="55">
        <v>46.1</v>
      </c>
      <c r="H1438" s="55">
        <v>2355.3000000000002</v>
      </c>
      <c r="I1438" s="55">
        <v>28.7</v>
      </c>
      <c r="J1438" s="55">
        <v>2384</v>
      </c>
      <c r="K1438" s="55">
        <v>0</v>
      </c>
      <c r="L1438" s="55">
        <v>0</v>
      </c>
      <c r="M1438" s="55">
        <v>0</v>
      </c>
      <c r="N1438" s="55">
        <v>0</v>
      </c>
    </row>
    <row r="1439" spans="1:14" ht="10.050000000000001" hidden="1" customHeight="1">
      <c r="A1439" s="52" t="s">
        <v>310</v>
      </c>
      <c r="B1439" s="53">
        <v>2009</v>
      </c>
      <c r="C1439" s="52" t="s">
        <v>107</v>
      </c>
      <c r="D1439" s="54">
        <v>3</v>
      </c>
      <c r="E1439" s="55">
        <v>1367</v>
      </c>
      <c r="F1439" s="55">
        <v>45</v>
      </c>
      <c r="G1439" s="55">
        <v>1412</v>
      </c>
      <c r="H1439" s="55">
        <v>21664</v>
      </c>
      <c r="I1439" s="55">
        <v>1004.7</v>
      </c>
      <c r="J1439" s="55">
        <v>22668.7</v>
      </c>
      <c r="K1439" s="55">
        <v>1524.7</v>
      </c>
      <c r="L1439" s="55">
        <v>6.1</v>
      </c>
      <c r="M1439" s="55">
        <v>295</v>
      </c>
      <c r="N1439" s="55">
        <v>23.6</v>
      </c>
    </row>
    <row r="1440" spans="1:14" ht="10.050000000000001" hidden="1" customHeight="1">
      <c r="A1440" s="52" t="s">
        <v>308</v>
      </c>
      <c r="B1440" s="53">
        <v>2009</v>
      </c>
      <c r="C1440" s="52" t="s">
        <v>107</v>
      </c>
      <c r="D1440" s="54">
        <v>3</v>
      </c>
      <c r="E1440" s="55">
        <v>3149.6</v>
      </c>
      <c r="F1440" s="55">
        <v>18.2</v>
      </c>
      <c r="G1440" s="55">
        <v>3167.8</v>
      </c>
      <c r="H1440" s="55">
        <v>38596.300000000003</v>
      </c>
      <c r="I1440" s="55">
        <v>323</v>
      </c>
      <c r="J1440" s="55">
        <v>38919.300000000003</v>
      </c>
      <c r="K1440" s="55">
        <v>7716.5</v>
      </c>
      <c r="L1440" s="55">
        <v>161.69999999999999</v>
      </c>
      <c r="M1440" s="55">
        <v>2197.5</v>
      </c>
      <c r="N1440" s="55">
        <v>17.7</v>
      </c>
    </row>
    <row r="1441" spans="1:14" ht="10.050000000000001" hidden="1" customHeight="1">
      <c r="A1441" s="52" t="s">
        <v>174</v>
      </c>
      <c r="B1441" s="53">
        <v>2009</v>
      </c>
      <c r="C1441" s="52" t="s">
        <v>107</v>
      </c>
      <c r="D1441" s="54">
        <v>3</v>
      </c>
      <c r="E1441" s="55">
        <v>7796.4</v>
      </c>
      <c r="F1441" s="55">
        <v>0</v>
      </c>
      <c r="G1441" s="55">
        <v>7796.4</v>
      </c>
      <c r="H1441" s="55">
        <v>163348.5</v>
      </c>
      <c r="I1441" s="55">
        <v>6773.9</v>
      </c>
      <c r="J1441" s="55">
        <v>170122.4</v>
      </c>
      <c r="K1441" s="55">
        <v>36957.800000000003</v>
      </c>
      <c r="L1441" s="55">
        <v>2192.4</v>
      </c>
      <c r="M1441" s="55">
        <v>4271.3</v>
      </c>
      <c r="N1441" s="55">
        <v>4447.6000000000004</v>
      </c>
    </row>
    <row r="1442" spans="1:14" ht="10.050000000000001" hidden="1" customHeight="1">
      <c r="A1442" s="52" t="s">
        <v>306</v>
      </c>
      <c r="B1442" s="53">
        <v>2009</v>
      </c>
      <c r="C1442" s="52" t="s">
        <v>107</v>
      </c>
      <c r="D1442" s="54">
        <v>4</v>
      </c>
      <c r="E1442" s="55">
        <v>6558.4</v>
      </c>
      <c r="F1442" s="55">
        <v>6.3</v>
      </c>
      <c r="G1442" s="55">
        <v>6564.7</v>
      </c>
      <c r="H1442" s="55">
        <v>104992.9</v>
      </c>
      <c r="I1442" s="55">
        <v>4059.1</v>
      </c>
      <c r="J1442" s="55">
        <v>109052</v>
      </c>
      <c r="K1442" s="55">
        <v>7525.9</v>
      </c>
      <c r="L1442" s="55">
        <v>535.29999999999995</v>
      </c>
      <c r="M1442" s="55">
        <v>3678.6</v>
      </c>
      <c r="N1442" s="55">
        <v>545.9</v>
      </c>
    </row>
    <row r="1443" spans="1:14" ht="10.050000000000001" hidden="1" customHeight="1">
      <c r="A1443" s="52" t="s">
        <v>172</v>
      </c>
      <c r="B1443" s="53">
        <v>2009</v>
      </c>
      <c r="C1443" s="52" t="s">
        <v>107</v>
      </c>
      <c r="D1443" s="54">
        <v>4</v>
      </c>
      <c r="E1443" s="55">
        <v>131291</v>
      </c>
      <c r="F1443" s="55">
        <v>248.4</v>
      </c>
      <c r="G1443" s="55">
        <v>131539.4</v>
      </c>
      <c r="H1443" s="55">
        <v>168280.3</v>
      </c>
      <c r="I1443" s="55">
        <v>12203.3</v>
      </c>
      <c r="J1443" s="55">
        <v>180483.6</v>
      </c>
      <c r="K1443" s="55">
        <v>32827.699999999997</v>
      </c>
      <c r="L1443" s="55">
        <v>5421</v>
      </c>
      <c r="M1443" s="55">
        <v>60379.7</v>
      </c>
      <c r="N1443" s="55">
        <v>1817.6</v>
      </c>
    </row>
    <row r="1444" spans="1:14" ht="10.050000000000001" hidden="1" customHeight="1">
      <c r="A1444" s="52" t="s">
        <v>171</v>
      </c>
      <c r="B1444" s="53">
        <v>2009</v>
      </c>
      <c r="C1444" s="52" t="s">
        <v>107</v>
      </c>
      <c r="D1444" s="54">
        <v>4</v>
      </c>
      <c r="E1444" s="55">
        <v>1930698.8</v>
      </c>
      <c r="F1444" s="55">
        <v>2997.2</v>
      </c>
      <c r="G1444" s="55">
        <v>1933696</v>
      </c>
      <c r="H1444" s="55">
        <v>4474170.5999999996</v>
      </c>
      <c r="I1444" s="55">
        <v>75519.5</v>
      </c>
      <c r="J1444" s="55">
        <v>4549690.0999999996</v>
      </c>
      <c r="K1444" s="55">
        <v>1593456.8</v>
      </c>
      <c r="L1444" s="55">
        <v>164713.60000000001</v>
      </c>
      <c r="M1444" s="55">
        <v>1159976.8999999999</v>
      </c>
      <c r="N1444" s="55">
        <v>39516.9</v>
      </c>
    </row>
    <row r="1445" spans="1:14" ht="10.050000000000001" hidden="1" customHeight="1">
      <c r="A1445" s="52" t="s">
        <v>300</v>
      </c>
      <c r="B1445" s="53">
        <v>2009</v>
      </c>
      <c r="C1445" s="52" t="s">
        <v>107</v>
      </c>
      <c r="D1445" s="54">
        <v>4</v>
      </c>
      <c r="E1445" s="55">
        <v>218</v>
      </c>
      <c r="F1445" s="55">
        <v>0</v>
      </c>
      <c r="G1445" s="55">
        <v>218</v>
      </c>
      <c r="H1445" s="55">
        <v>1478.3</v>
      </c>
      <c r="I1445" s="55">
        <v>47.2</v>
      </c>
      <c r="J1445" s="55">
        <v>1525.5</v>
      </c>
      <c r="K1445" s="55">
        <v>0</v>
      </c>
      <c r="L1445" s="55">
        <v>0</v>
      </c>
      <c r="M1445" s="55">
        <v>0</v>
      </c>
      <c r="N1445" s="55">
        <v>0</v>
      </c>
    </row>
    <row r="1446" spans="1:14" ht="10.050000000000001" hidden="1" customHeight="1">
      <c r="A1446" s="52" t="s">
        <v>307</v>
      </c>
      <c r="B1446" s="53">
        <v>2009</v>
      </c>
      <c r="C1446" s="52" t="s">
        <v>107</v>
      </c>
      <c r="D1446" s="54">
        <v>4</v>
      </c>
      <c r="E1446" s="55">
        <v>516716.2</v>
      </c>
      <c r="F1446" s="55">
        <v>0</v>
      </c>
      <c r="G1446" s="55">
        <v>516716.2</v>
      </c>
      <c r="H1446" s="55">
        <v>3036962</v>
      </c>
      <c r="I1446" s="55">
        <v>58437.1</v>
      </c>
      <c r="J1446" s="55">
        <v>3095399.1</v>
      </c>
      <c r="K1446" s="55">
        <v>1606213</v>
      </c>
      <c r="L1446" s="55">
        <v>38747.9</v>
      </c>
      <c r="M1446" s="55">
        <v>373357.6</v>
      </c>
      <c r="N1446" s="55">
        <v>46994.7</v>
      </c>
    </row>
    <row r="1447" spans="1:14" ht="10.050000000000001" hidden="1" customHeight="1">
      <c r="A1447" s="52" t="s">
        <v>315</v>
      </c>
      <c r="B1447" s="53">
        <v>2009</v>
      </c>
      <c r="C1447" s="52" t="s">
        <v>107</v>
      </c>
      <c r="D1447" s="54">
        <v>4</v>
      </c>
      <c r="E1447" s="55">
        <v>584.6</v>
      </c>
      <c r="F1447" s="55">
        <v>0</v>
      </c>
      <c r="G1447" s="55">
        <v>584.6</v>
      </c>
      <c r="H1447" s="55">
        <v>8637.6</v>
      </c>
      <c r="I1447" s="55">
        <v>0</v>
      </c>
      <c r="J1447" s="55">
        <v>8637.6</v>
      </c>
      <c r="K1447" s="55">
        <v>125.8</v>
      </c>
      <c r="L1447" s="55">
        <v>0</v>
      </c>
      <c r="M1447" s="55">
        <v>78.599999999999994</v>
      </c>
      <c r="N1447" s="55">
        <v>0</v>
      </c>
    </row>
    <row r="1448" spans="1:14" ht="10.050000000000001" hidden="1" customHeight="1">
      <c r="A1448" s="52" t="s">
        <v>173</v>
      </c>
      <c r="B1448" s="53">
        <v>2009</v>
      </c>
      <c r="C1448" s="52" t="s">
        <v>107</v>
      </c>
      <c r="D1448" s="54">
        <v>4</v>
      </c>
      <c r="E1448" s="55">
        <v>287104.7</v>
      </c>
      <c r="F1448" s="55">
        <v>2192.9</v>
      </c>
      <c r="G1448" s="55">
        <v>289297.59999999998</v>
      </c>
      <c r="H1448" s="55">
        <v>2528120.7999999998</v>
      </c>
      <c r="I1448" s="55">
        <v>35312.6</v>
      </c>
      <c r="J1448" s="55">
        <v>2563433.4</v>
      </c>
      <c r="K1448" s="55">
        <v>319924.3</v>
      </c>
      <c r="L1448" s="55">
        <v>14040.5</v>
      </c>
      <c r="M1448" s="55">
        <v>161075.70000000001</v>
      </c>
      <c r="N1448" s="55">
        <v>12952</v>
      </c>
    </row>
    <row r="1449" spans="1:14" ht="10.050000000000001" customHeight="1">
      <c r="A1449" s="52" t="s">
        <v>309</v>
      </c>
      <c r="B1449" s="53">
        <v>2009</v>
      </c>
      <c r="C1449" s="52" t="s">
        <v>107</v>
      </c>
      <c r="D1449" s="54">
        <v>4</v>
      </c>
      <c r="E1449" s="55">
        <v>716.3</v>
      </c>
      <c r="F1449" s="55">
        <v>0</v>
      </c>
      <c r="G1449" s="55">
        <v>716.3</v>
      </c>
      <c r="H1449" s="55">
        <v>32269.5</v>
      </c>
      <c r="I1449" s="55">
        <v>0</v>
      </c>
      <c r="J1449" s="55">
        <v>32269.5</v>
      </c>
      <c r="K1449" s="55">
        <v>0</v>
      </c>
      <c r="L1449" s="55">
        <v>0</v>
      </c>
      <c r="M1449" s="55">
        <v>0</v>
      </c>
      <c r="N1449" s="55">
        <v>0</v>
      </c>
    </row>
    <row r="1450" spans="1:14" ht="10.050000000000001" hidden="1" customHeight="1">
      <c r="A1450" s="52" t="s">
        <v>316</v>
      </c>
      <c r="B1450" s="53">
        <v>2009</v>
      </c>
      <c r="C1450" s="52" t="s">
        <v>107</v>
      </c>
      <c r="D1450" s="54">
        <v>4</v>
      </c>
      <c r="E1450" s="55">
        <v>13.3</v>
      </c>
      <c r="F1450" s="55">
        <v>0</v>
      </c>
      <c r="G1450" s="55">
        <v>13.3</v>
      </c>
      <c r="H1450" s="55">
        <v>1796.3</v>
      </c>
      <c r="I1450" s="55">
        <v>10.8</v>
      </c>
      <c r="J1450" s="55">
        <v>1807.1</v>
      </c>
      <c r="K1450" s="55">
        <v>0</v>
      </c>
      <c r="L1450" s="55">
        <v>0</v>
      </c>
      <c r="M1450" s="55">
        <v>0</v>
      </c>
      <c r="N1450" s="55">
        <v>0</v>
      </c>
    </row>
    <row r="1451" spans="1:14" ht="10.050000000000001" hidden="1" customHeight="1">
      <c r="A1451" s="52" t="s">
        <v>310</v>
      </c>
      <c r="B1451" s="53">
        <v>2009</v>
      </c>
      <c r="C1451" s="52" t="s">
        <v>107</v>
      </c>
      <c r="D1451" s="54">
        <v>4</v>
      </c>
      <c r="E1451" s="55">
        <v>1256.2</v>
      </c>
      <c r="F1451" s="55">
        <v>0</v>
      </c>
      <c r="G1451" s="55">
        <v>1256.2</v>
      </c>
      <c r="H1451" s="55">
        <v>20016</v>
      </c>
      <c r="I1451" s="55">
        <v>922.2</v>
      </c>
      <c r="J1451" s="55">
        <v>20938.2</v>
      </c>
      <c r="K1451" s="55">
        <v>958.3</v>
      </c>
      <c r="L1451" s="55">
        <v>8.1999999999999993</v>
      </c>
      <c r="M1451" s="55">
        <v>562.4</v>
      </c>
      <c r="N1451" s="55">
        <v>12.2</v>
      </c>
    </row>
    <row r="1452" spans="1:14" ht="10.050000000000001" hidden="1" customHeight="1">
      <c r="A1452" s="52" t="s">
        <v>308</v>
      </c>
      <c r="B1452" s="53">
        <v>2009</v>
      </c>
      <c r="C1452" s="52" t="s">
        <v>107</v>
      </c>
      <c r="D1452" s="54">
        <v>4</v>
      </c>
      <c r="E1452" s="55">
        <v>2714.5</v>
      </c>
      <c r="F1452" s="55">
        <v>0</v>
      </c>
      <c r="G1452" s="55">
        <v>2714.5</v>
      </c>
      <c r="H1452" s="55">
        <v>31143</v>
      </c>
      <c r="I1452" s="55">
        <v>294.3</v>
      </c>
      <c r="J1452" s="55">
        <v>31437.3</v>
      </c>
      <c r="K1452" s="55">
        <v>5512.4</v>
      </c>
      <c r="L1452" s="55">
        <v>45.4</v>
      </c>
      <c r="M1452" s="55">
        <v>2098.3000000000002</v>
      </c>
      <c r="N1452" s="55">
        <v>151.19999999999999</v>
      </c>
    </row>
    <row r="1453" spans="1:14" ht="10.050000000000001" hidden="1" customHeight="1">
      <c r="A1453" s="52" t="s">
        <v>174</v>
      </c>
      <c r="B1453" s="53">
        <v>2009</v>
      </c>
      <c r="C1453" s="52" t="s">
        <v>107</v>
      </c>
      <c r="D1453" s="54">
        <v>4</v>
      </c>
      <c r="E1453" s="55">
        <v>8896.5</v>
      </c>
      <c r="F1453" s="55">
        <v>0</v>
      </c>
      <c r="G1453" s="55">
        <v>8896.5</v>
      </c>
      <c r="H1453" s="55">
        <v>116407.5</v>
      </c>
      <c r="I1453" s="55">
        <v>6539.1</v>
      </c>
      <c r="J1453" s="55">
        <v>122946.6</v>
      </c>
      <c r="K1453" s="55">
        <v>28936.1</v>
      </c>
      <c r="L1453" s="55">
        <v>552.79999999999995</v>
      </c>
      <c r="M1453" s="55">
        <v>4993.3999999999996</v>
      </c>
      <c r="N1453" s="55">
        <v>3628.9</v>
      </c>
    </row>
    <row r="1454" spans="1:14" ht="10.050000000000001" hidden="1" customHeight="1">
      <c r="A1454" s="52" t="s">
        <v>306</v>
      </c>
      <c r="B1454" s="53">
        <v>2009</v>
      </c>
      <c r="C1454" s="52" t="s">
        <v>107</v>
      </c>
      <c r="D1454" s="54">
        <v>5</v>
      </c>
      <c r="E1454" s="55">
        <v>6363.2</v>
      </c>
      <c r="F1454" s="55">
        <v>0</v>
      </c>
      <c r="G1454" s="55">
        <v>6363.2</v>
      </c>
      <c r="H1454" s="55">
        <v>98625.3</v>
      </c>
      <c r="I1454" s="55">
        <v>3886.1</v>
      </c>
      <c r="J1454" s="55">
        <v>102511.4</v>
      </c>
      <c r="K1454" s="55">
        <v>4741.7</v>
      </c>
      <c r="L1454" s="55">
        <v>514.6</v>
      </c>
      <c r="M1454" s="55">
        <v>2839</v>
      </c>
      <c r="N1454" s="55">
        <v>466.7</v>
      </c>
    </row>
    <row r="1455" spans="1:14" ht="10.050000000000001" hidden="1" customHeight="1">
      <c r="A1455" s="52" t="s">
        <v>172</v>
      </c>
      <c r="B1455" s="53">
        <v>2009</v>
      </c>
      <c r="C1455" s="52" t="s">
        <v>107</v>
      </c>
      <c r="D1455" s="54">
        <v>5</v>
      </c>
      <c r="E1455" s="55">
        <v>63347.3</v>
      </c>
      <c r="F1455" s="55">
        <v>0</v>
      </c>
      <c r="G1455" s="55">
        <v>63347.3</v>
      </c>
      <c r="H1455" s="55">
        <v>117097.7</v>
      </c>
      <c r="I1455" s="55">
        <v>11617.9</v>
      </c>
      <c r="J1455" s="55">
        <v>128715.6</v>
      </c>
      <c r="K1455" s="55">
        <v>14113</v>
      </c>
      <c r="L1455" s="55">
        <v>2154.1</v>
      </c>
      <c r="M1455" s="55">
        <v>20383.900000000001</v>
      </c>
      <c r="N1455" s="55">
        <v>484.9</v>
      </c>
    </row>
    <row r="1456" spans="1:14" ht="10.050000000000001" hidden="1" customHeight="1">
      <c r="A1456" s="52" t="s">
        <v>171</v>
      </c>
      <c r="B1456" s="53">
        <v>2009</v>
      </c>
      <c r="C1456" s="52" t="s">
        <v>107</v>
      </c>
      <c r="D1456" s="54">
        <v>5</v>
      </c>
      <c r="E1456" s="55">
        <v>1941101.5</v>
      </c>
      <c r="F1456" s="55">
        <v>724.5</v>
      </c>
      <c r="G1456" s="55">
        <v>1941826</v>
      </c>
      <c r="H1456" s="55">
        <v>3825509.6</v>
      </c>
      <c r="I1456" s="55">
        <v>69098.8</v>
      </c>
      <c r="J1456" s="55">
        <v>3894608.4</v>
      </c>
      <c r="K1456" s="55">
        <v>628334.6</v>
      </c>
      <c r="L1456" s="55">
        <v>176791.3</v>
      </c>
      <c r="M1456" s="55">
        <v>1093775.2</v>
      </c>
      <c r="N1456" s="55">
        <v>49685</v>
      </c>
    </row>
    <row r="1457" spans="1:14" ht="10.050000000000001" hidden="1" customHeight="1">
      <c r="A1457" s="52" t="s">
        <v>300</v>
      </c>
      <c r="B1457" s="53">
        <v>2009</v>
      </c>
      <c r="C1457" s="52" t="s">
        <v>107</v>
      </c>
      <c r="D1457" s="54">
        <v>5</v>
      </c>
      <c r="E1457" s="55">
        <v>217.7</v>
      </c>
      <c r="F1457" s="55">
        <v>0</v>
      </c>
      <c r="G1457" s="55">
        <v>217.7</v>
      </c>
      <c r="H1457" s="55">
        <v>1509.2</v>
      </c>
      <c r="I1457" s="55">
        <v>47.2</v>
      </c>
      <c r="J1457" s="55">
        <v>1556.4</v>
      </c>
      <c r="K1457" s="55">
        <v>0</v>
      </c>
      <c r="L1457" s="55">
        <v>0</v>
      </c>
      <c r="M1457" s="55">
        <v>0</v>
      </c>
      <c r="N1457" s="55">
        <v>0</v>
      </c>
    </row>
    <row r="1458" spans="1:14" ht="10.050000000000001" hidden="1" customHeight="1">
      <c r="A1458" s="52" t="s">
        <v>307</v>
      </c>
      <c r="B1458" s="53">
        <v>2009</v>
      </c>
      <c r="C1458" s="52" t="s">
        <v>107</v>
      </c>
      <c r="D1458" s="54">
        <v>5</v>
      </c>
      <c r="E1458" s="55">
        <v>650218.5</v>
      </c>
      <c r="F1458" s="55">
        <v>9757.1</v>
      </c>
      <c r="G1458" s="55">
        <v>659975.6</v>
      </c>
      <c r="H1458" s="55">
        <v>2603101.1</v>
      </c>
      <c r="I1458" s="55">
        <v>58268.800000000003</v>
      </c>
      <c r="J1458" s="55">
        <v>2661369.9</v>
      </c>
      <c r="K1458" s="55">
        <v>1159871</v>
      </c>
      <c r="L1458" s="55">
        <v>47505.3</v>
      </c>
      <c r="M1458" s="55">
        <v>445136</v>
      </c>
      <c r="N1458" s="55">
        <v>48104.3</v>
      </c>
    </row>
    <row r="1459" spans="1:14" ht="10.050000000000001" hidden="1" customHeight="1">
      <c r="A1459" s="52" t="s">
        <v>315</v>
      </c>
      <c r="B1459" s="53">
        <v>2009</v>
      </c>
      <c r="C1459" s="52" t="s">
        <v>107</v>
      </c>
      <c r="D1459" s="54">
        <v>5</v>
      </c>
      <c r="E1459" s="55">
        <v>364.3</v>
      </c>
      <c r="F1459" s="55">
        <v>0</v>
      </c>
      <c r="G1459" s="55">
        <v>364.3</v>
      </c>
      <c r="H1459" s="55">
        <v>7004.6</v>
      </c>
      <c r="I1459" s="55">
        <v>0</v>
      </c>
      <c r="J1459" s="55">
        <v>7004.6</v>
      </c>
      <c r="K1459" s="55">
        <v>30.7</v>
      </c>
      <c r="L1459" s="55">
        <v>0</v>
      </c>
      <c r="M1459" s="55">
        <v>95.1</v>
      </c>
      <c r="N1459" s="55">
        <v>0</v>
      </c>
    </row>
    <row r="1460" spans="1:14" ht="10.050000000000001" hidden="1" customHeight="1">
      <c r="A1460" s="52" t="s">
        <v>173</v>
      </c>
      <c r="B1460" s="53">
        <v>2009</v>
      </c>
      <c r="C1460" s="52" t="s">
        <v>107</v>
      </c>
      <c r="D1460" s="54">
        <v>5</v>
      </c>
      <c r="E1460" s="55">
        <v>276753</v>
      </c>
      <c r="F1460" s="55">
        <v>302.5</v>
      </c>
      <c r="G1460" s="55">
        <v>277055.5</v>
      </c>
      <c r="H1460" s="55">
        <v>2106531.7000000002</v>
      </c>
      <c r="I1460" s="55">
        <v>30220</v>
      </c>
      <c r="J1460" s="55">
        <v>2136751.7000000002</v>
      </c>
      <c r="K1460" s="55">
        <v>149862.70000000001</v>
      </c>
      <c r="L1460" s="55">
        <v>12922.9</v>
      </c>
      <c r="M1460" s="55">
        <v>170917.3</v>
      </c>
      <c r="N1460" s="55">
        <v>12352.2</v>
      </c>
    </row>
    <row r="1461" spans="1:14" ht="10.050000000000001" customHeight="1">
      <c r="A1461" s="52" t="s">
        <v>309</v>
      </c>
      <c r="B1461" s="53">
        <v>2009</v>
      </c>
      <c r="C1461" s="52" t="s">
        <v>107</v>
      </c>
      <c r="D1461" s="54">
        <v>5</v>
      </c>
      <c r="E1461" s="55">
        <v>407</v>
      </c>
      <c r="F1461" s="55">
        <v>0</v>
      </c>
      <c r="G1461" s="55">
        <v>407</v>
      </c>
      <c r="H1461" s="55">
        <v>27216.6</v>
      </c>
      <c r="I1461" s="55">
        <v>0</v>
      </c>
      <c r="J1461" s="55">
        <v>27216.6</v>
      </c>
      <c r="K1461" s="55">
        <v>0</v>
      </c>
      <c r="L1461" s="55">
        <v>0</v>
      </c>
      <c r="M1461" s="55">
        <v>0</v>
      </c>
      <c r="N1461" s="55">
        <v>0</v>
      </c>
    </row>
    <row r="1462" spans="1:14" ht="10.050000000000001" hidden="1" customHeight="1">
      <c r="A1462" s="52" t="s">
        <v>316</v>
      </c>
      <c r="B1462" s="53">
        <v>2009</v>
      </c>
      <c r="C1462" s="52" t="s">
        <v>107</v>
      </c>
      <c r="D1462" s="54">
        <v>5</v>
      </c>
      <c r="E1462" s="55">
        <v>30.4</v>
      </c>
      <c r="F1462" s="55">
        <v>0</v>
      </c>
      <c r="G1462" s="55">
        <v>30.4</v>
      </c>
      <c r="H1462" s="55">
        <v>1348.1</v>
      </c>
      <c r="I1462" s="55">
        <v>10.8</v>
      </c>
      <c r="J1462" s="55">
        <v>1358.9</v>
      </c>
      <c r="K1462" s="55">
        <v>0</v>
      </c>
      <c r="L1462" s="55">
        <v>0</v>
      </c>
      <c r="M1462" s="55">
        <v>0</v>
      </c>
      <c r="N1462" s="55">
        <v>0</v>
      </c>
    </row>
    <row r="1463" spans="1:14" ht="10.050000000000001" hidden="1" customHeight="1">
      <c r="A1463" s="52" t="s">
        <v>310</v>
      </c>
      <c r="B1463" s="53">
        <v>2009</v>
      </c>
      <c r="C1463" s="52" t="s">
        <v>107</v>
      </c>
      <c r="D1463" s="54">
        <v>5</v>
      </c>
      <c r="E1463" s="55">
        <v>1337.3</v>
      </c>
      <c r="F1463" s="55">
        <v>0</v>
      </c>
      <c r="G1463" s="55">
        <v>1337.3</v>
      </c>
      <c r="H1463" s="55">
        <v>17876.8</v>
      </c>
      <c r="I1463" s="55">
        <v>858.5</v>
      </c>
      <c r="J1463" s="55">
        <v>18735.3</v>
      </c>
      <c r="K1463" s="55">
        <v>563.79999999999995</v>
      </c>
      <c r="L1463" s="55">
        <v>0</v>
      </c>
      <c r="M1463" s="55">
        <v>387.8</v>
      </c>
      <c r="N1463" s="55">
        <v>6.7</v>
      </c>
    </row>
    <row r="1464" spans="1:14" ht="10.050000000000001" hidden="1" customHeight="1">
      <c r="A1464" s="52" t="s">
        <v>308</v>
      </c>
      <c r="B1464" s="53">
        <v>2009</v>
      </c>
      <c r="C1464" s="52" t="s">
        <v>107</v>
      </c>
      <c r="D1464" s="54">
        <v>5</v>
      </c>
      <c r="E1464" s="55">
        <v>2386.8000000000002</v>
      </c>
      <c r="F1464" s="55">
        <v>0</v>
      </c>
      <c r="G1464" s="55">
        <v>2386.8000000000002</v>
      </c>
      <c r="H1464" s="55">
        <v>25323.7</v>
      </c>
      <c r="I1464" s="55">
        <v>293.39999999999998</v>
      </c>
      <c r="J1464" s="55">
        <v>25617.1</v>
      </c>
      <c r="K1464" s="55">
        <v>3409.6</v>
      </c>
      <c r="L1464" s="55">
        <v>-89</v>
      </c>
      <c r="M1464" s="55">
        <v>1824.5</v>
      </c>
      <c r="N1464" s="55">
        <v>189.3</v>
      </c>
    </row>
    <row r="1465" spans="1:14" ht="10.050000000000001" hidden="1" customHeight="1">
      <c r="A1465" s="52" t="s">
        <v>174</v>
      </c>
      <c r="B1465" s="53">
        <v>2009</v>
      </c>
      <c r="C1465" s="52" t="s">
        <v>107</v>
      </c>
      <c r="D1465" s="54">
        <v>5</v>
      </c>
      <c r="E1465" s="55">
        <v>10917.5</v>
      </c>
      <c r="F1465" s="55">
        <v>0</v>
      </c>
      <c r="G1465" s="55">
        <v>10917.5</v>
      </c>
      <c r="H1465" s="55">
        <v>80887</v>
      </c>
      <c r="I1465" s="55">
        <v>6439.9</v>
      </c>
      <c r="J1465" s="55">
        <v>87326.9</v>
      </c>
      <c r="K1465" s="55">
        <v>20832.8</v>
      </c>
      <c r="L1465" s="55">
        <v>442.3</v>
      </c>
      <c r="M1465" s="55">
        <v>5007.5</v>
      </c>
      <c r="N1465" s="55">
        <v>3548.8</v>
      </c>
    </row>
    <row r="1466" spans="1:14" ht="10.050000000000001" hidden="1" customHeight="1">
      <c r="A1466" s="52" t="s">
        <v>306</v>
      </c>
      <c r="B1466" s="53">
        <v>2009</v>
      </c>
      <c r="C1466" s="52" t="s">
        <v>107</v>
      </c>
      <c r="D1466" s="54">
        <v>6</v>
      </c>
      <c r="E1466" s="55">
        <v>6162.3</v>
      </c>
      <c r="F1466" s="55">
        <v>284.10000000000002</v>
      </c>
      <c r="G1466" s="55">
        <v>6446.4</v>
      </c>
      <c r="H1466" s="55">
        <v>79681.8</v>
      </c>
      <c r="I1466" s="55">
        <v>3084.4</v>
      </c>
      <c r="J1466" s="55">
        <v>82766.2</v>
      </c>
      <c r="K1466" s="55">
        <v>2318.1</v>
      </c>
      <c r="L1466" s="55">
        <v>113.1</v>
      </c>
      <c r="M1466" s="55">
        <v>1878</v>
      </c>
      <c r="N1466" s="55">
        <v>646.9</v>
      </c>
    </row>
    <row r="1467" spans="1:14" ht="10.050000000000001" hidden="1" customHeight="1">
      <c r="A1467" s="52" t="s">
        <v>172</v>
      </c>
      <c r="B1467" s="53">
        <v>2009</v>
      </c>
      <c r="C1467" s="52" t="s">
        <v>107</v>
      </c>
      <c r="D1467" s="54">
        <v>6</v>
      </c>
      <c r="E1467" s="55">
        <v>58753.9</v>
      </c>
      <c r="F1467" s="55">
        <v>637.4</v>
      </c>
      <c r="G1467" s="55">
        <v>59391.3</v>
      </c>
      <c r="H1467" s="55">
        <v>66714.600000000006</v>
      </c>
      <c r="I1467" s="55">
        <v>6410.5</v>
      </c>
      <c r="J1467" s="55">
        <v>73125.100000000006</v>
      </c>
      <c r="K1467" s="55">
        <v>3378.4</v>
      </c>
      <c r="L1467" s="55">
        <v>761</v>
      </c>
      <c r="M1467" s="55">
        <v>10783.1</v>
      </c>
      <c r="N1467" s="55">
        <v>712.5</v>
      </c>
    </row>
    <row r="1468" spans="1:14" ht="10.050000000000001" hidden="1" customHeight="1">
      <c r="A1468" s="52" t="s">
        <v>171</v>
      </c>
      <c r="B1468" s="53">
        <v>2009</v>
      </c>
      <c r="C1468" s="52" t="s">
        <v>107</v>
      </c>
      <c r="D1468" s="54">
        <v>6</v>
      </c>
      <c r="E1468" s="55">
        <v>1248372.7</v>
      </c>
      <c r="F1468" s="55">
        <v>12605.6</v>
      </c>
      <c r="G1468" s="55">
        <v>1260978.3</v>
      </c>
      <c r="H1468" s="55">
        <v>2119654.9</v>
      </c>
      <c r="I1468" s="55">
        <v>52280.7</v>
      </c>
      <c r="J1468" s="55">
        <v>2171935.6</v>
      </c>
      <c r="K1468" s="55">
        <v>161076.4</v>
      </c>
      <c r="L1468" s="55">
        <v>82555.199999999997</v>
      </c>
      <c r="M1468" s="55">
        <v>508327.4</v>
      </c>
      <c r="N1468" s="55">
        <v>40358.800000000003</v>
      </c>
    </row>
    <row r="1469" spans="1:14" ht="10.050000000000001" hidden="1" customHeight="1">
      <c r="A1469" s="52" t="s">
        <v>300</v>
      </c>
      <c r="B1469" s="53">
        <v>2009</v>
      </c>
      <c r="C1469" s="52" t="s">
        <v>107</v>
      </c>
      <c r="D1469" s="54">
        <v>6</v>
      </c>
      <c r="E1469" s="55">
        <v>497.1</v>
      </c>
      <c r="F1469" s="55">
        <v>0</v>
      </c>
      <c r="G1469" s="55">
        <v>497.1</v>
      </c>
      <c r="H1469" s="55">
        <v>874.2</v>
      </c>
      <c r="I1469" s="55">
        <v>21.5</v>
      </c>
      <c r="J1469" s="55">
        <v>895.7</v>
      </c>
      <c r="K1469" s="55">
        <v>0</v>
      </c>
      <c r="L1469" s="55">
        <v>0</v>
      </c>
      <c r="M1469" s="55">
        <v>0</v>
      </c>
      <c r="N1469" s="55">
        <v>0</v>
      </c>
    </row>
    <row r="1470" spans="1:14" ht="10.050000000000001" hidden="1" customHeight="1">
      <c r="A1470" s="52" t="s">
        <v>307</v>
      </c>
      <c r="B1470" s="53">
        <v>2009</v>
      </c>
      <c r="C1470" s="52" t="s">
        <v>107</v>
      </c>
      <c r="D1470" s="54">
        <v>6</v>
      </c>
      <c r="E1470" s="55">
        <v>893718.2</v>
      </c>
      <c r="F1470" s="55">
        <v>222.7</v>
      </c>
      <c r="G1470" s="55">
        <v>893940.9</v>
      </c>
      <c r="H1470" s="55">
        <v>2132535.2999999998</v>
      </c>
      <c r="I1470" s="55">
        <v>27830</v>
      </c>
      <c r="J1470" s="55">
        <v>2160365.2999999998</v>
      </c>
      <c r="K1470" s="55">
        <v>517219.5</v>
      </c>
      <c r="L1470" s="55">
        <v>26618.6</v>
      </c>
      <c r="M1470" s="55">
        <v>601981.5</v>
      </c>
      <c r="N1470" s="55">
        <v>63569.1</v>
      </c>
    </row>
    <row r="1471" spans="1:14" ht="10.050000000000001" hidden="1" customHeight="1">
      <c r="A1471" s="52" t="s">
        <v>315</v>
      </c>
      <c r="B1471" s="53">
        <v>2009</v>
      </c>
      <c r="C1471" s="52" t="s">
        <v>107</v>
      </c>
      <c r="D1471" s="54">
        <v>6</v>
      </c>
      <c r="E1471" s="55">
        <v>714.5</v>
      </c>
      <c r="F1471" s="55">
        <v>0</v>
      </c>
      <c r="G1471" s="55">
        <v>714.5</v>
      </c>
      <c r="H1471" s="55">
        <v>5273.1</v>
      </c>
      <c r="I1471" s="55">
        <v>0</v>
      </c>
      <c r="J1471" s="55">
        <v>5273.1</v>
      </c>
      <c r="K1471" s="55">
        <v>0</v>
      </c>
      <c r="L1471" s="55">
        <v>10.1</v>
      </c>
      <c r="M1471" s="55">
        <v>40.799999999999997</v>
      </c>
      <c r="N1471" s="55">
        <v>0</v>
      </c>
    </row>
    <row r="1472" spans="1:14" ht="10.050000000000001" hidden="1" customHeight="1">
      <c r="A1472" s="52" t="s">
        <v>173</v>
      </c>
      <c r="B1472" s="53">
        <v>2009</v>
      </c>
      <c r="C1472" s="52" t="s">
        <v>107</v>
      </c>
      <c r="D1472" s="54">
        <v>6</v>
      </c>
      <c r="E1472" s="55">
        <v>184079.1</v>
      </c>
      <c r="F1472" s="55">
        <v>6429.5</v>
      </c>
      <c r="G1472" s="55">
        <v>190508.6</v>
      </c>
      <c r="H1472" s="55">
        <v>1363509.6</v>
      </c>
      <c r="I1472" s="55">
        <v>20762.400000000001</v>
      </c>
      <c r="J1472" s="55">
        <v>1384272</v>
      </c>
      <c r="K1472" s="55">
        <v>54646.1</v>
      </c>
      <c r="L1472" s="55">
        <v>11926.3</v>
      </c>
      <c r="M1472" s="55">
        <v>90198.1</v>
      </c>
      <c r="N1472" s="55">
        <v>16925.7</v>
      </c>
    </row>
    <row r="1473" spans="1:14" ht="10.050000000000001" customHeight="1">
      <c r="A1473" s="52" t="s">
        <v>309</v>
      </c>
      <c r="B1473" s="53">
        <v>2009</v>
      </c>
      <c r="C1473" s="52" t="s">
        <v>107</v>
      </c>
      <c r="D1473" s="54">
        <v>6</v>
      </c>
      <c r="E1473" s="55">
        <v>680</v>
      </c>
      <c r="F1473" s="55">
        <v>0</v>
      </c>
      <c r="G1473" s="55">
        <v>680</v>
      </c>
      <c r="H1473" s="55">
        <v>19184.8</v>
      </c>
      <c r="I1473" s="55">
        <v>0</v>
      </c>
      <c r="J1473" s="55">
        <v>19184.8</v>
      </c>
      <c r="K1473" s="55">
        <v>0</v>
      </c>
      <c r="L1473" s="55">
        <v>0</v>
      </c>
      <c r="M1473" s="55">
        <v>0</v>
      </c>
      <c r="N1473" s="55">
        <v>0</v>
      </c>
    </row>
    <row r="1474" spans="1:14" ht="10.050000000000001" hidden="1" customHeight="1">
      <c r="A1474" s="52" t="s">
        <v>316</v>
      </c>
      <c r="B1474" s="53">
        <v>2009</v>
      </c>
      <c r="C1474" s="52" t="s">
        <v>107</v>
      </c>
      <c r="D1474" s="54">
        <v>6</v>
      </c>
      <c r="E1474" s="55">
        <v>17.3</v>
      </c>
      <c r="F1474" s="55">
        <v>0</v>
      </c>
      <c r="G1474" s="55">
        <v>17.3</v>
      </c>
      <c r="H1474" s="55">
        <v>816.4</v>
      </c>
      <c r="I1474" s="55">
        <v>0.2</v>
      </c>
      <c r="J1474" s="55">
        <v>816.6</v>
      </c>
      <c r="K1474" s="55">
        <v>0</v>
      </c>
      <c r="L1474" s="55">
        <v>0</v>
      </c>
      <c r="M1474" s="55">
        <v>0</v>
      </c>
      <c r="N1474" s="55">
        <v>0</v>
      </c>
    </row>
    <row r="1475" spans="1:14" ht="10.050000000000001" hidden="1" customHeight="1">
      <c r="A1475" s="52" t="s">
        <v>310</v>
      </c>
      <c r="B1475" s="53">
        <v>2009</v>
      </c>
      <c r="C1475" s="52" t="s">
        <v>107</v>
      </c>
      <c r="D1475" s="54">
        <v>6</v>
      </c>
      <c r="E1475" s="55">
        <v>1280.3</v>
      </c>
      <c r="F1475" s="55">
        <v>0</v>
      </c>
      <c r="G1475" s="55">
        <v>1280.3</v>
      </c>
      <c r="H1475" s="55">
        <v>14446.4</v>
      </c>
      <c r="I1475" s="55">
        <v>519.29999999999995</v>
      </c>
      <c r="J1475" s="55">
        <v>14965.7</v>
      </c>
      <c r="K1475" s="55">
        <v>92.2</v>
      </c>
      <c r="L1475" s="55">
        <v>-22.2</v>
      </c>
      <c r="M1475" s="55">
        <v>266</v>
      </c>
      <c r="N1475" s="55">
        <v>183.4</v>
      </c>
    </row>
    <row r="1476" spans="1:14" ht="10.050000000000001" hidden="1" customHeight="1">
      <c r="A1476" s="52" t="s">
        <v>308</v>
      </c>
      <c r="B1476" s="53">
        <v>2009</v>
      </c>
      <c r="C1476" s="52" t="s">
        <v>107</v>
      </c>
      <c r="D1476" s="54">
        <v>6</v>
      </c>
      <c r="E1476" s="55">
        <v>3409.2</v>
      </c>
      <c r="F1476" s="55">
        <v>0</v>
      </c>
      <c r="G1476" s="55">
        <v>3409.2</v>
      </c>
      <c r="H1476" s="55">
        <v>16293.6</v>
      </c>
      <c r="I1476" s="55">
        <v>160</v>
      </c>
      <c r="J1476" s="55">
        <v>16453.599999999999</v>
      </c>
      <c r="K1476" s="55">
        <v>457.7</v>
      </c>
      <c r="L1476" s="55">
        <v>-164.9</v>
      </c>
      <c r="M1476" s="55">
        <v>2250.1999999999998</v>
      </c>
      <c r="N1476" s="55">
        <v>536.79999999999995</v>
      </c>
    </row>
    <row r="1477" spans="1:14" ht="10.050000000000001" hidden="1" customHeight="1">
      <c r="A1477" s="52" t="s">
        <v>174</v>
      </c>
      <c r="B1477" s="53">
        <v>2009</v>
      </c>
      <c r="C1477" s="52" t="s">
        <v>107</v>
      </c>
      <c r="D1477" s="54">
        <v>6</v>
      </c>
      <c r="E1477" s="55">
        <v>16106.5</v>
      </c>
      <c r="F1477" s="55">
        <v>1638.7</v>
      </c>
      <c r="G1477" s="55">
        <v>17745.2</v>
      </c>
      <c r="H1477" s="55">
        <v>32422.5</v>
      </c>
      <c r="I1477" s="55">
        <v>3318.2</v>
      </c>
      <c r="J1477" s="55">
        <v>35740.699999999997</v>
      </c>
      <c r="K1477" s="55">
        <v>8784.1000000000095</v>
      </c>
      <c r="L1477" s="55">
        <v>426.5</v>
      </c>
      <c r="M1477" s="55">
        <v>6939.8</v>
      </c>
      <c r="N1477" s="55">
        <v>5524.7</v>
      </c>
    </row>
    <row r="1478" spans="1:14" ht="10.050000000000001" hidden="1" customHeight="1">
      <c r="A1478" s="52" t="s">
        <v>306</v>
      </c>
      <c r="B1478" s="53">
        <v>2009</v>
      </c>
      <c r="C1478" s="52" t="s">
        <v>107</v>
      </c>
      <c r="D1478" s="54">
        <v>7</v>
      </c>
      <c r="E1478" s="55">
        <v>45.4</v>
      </c>
      <c r="F1478" s="55">
        <v>0</v>
      </c>
      <c r="G1478" s="55">
        <v>45.4</v>
      </c>
      <c r="H1478" s="55">
        <v>263.5</v>
      </c>
      <c r="I1478" s="55">
        <v>0</v>
      </c>
      <c r="J1478" s="55">
        <v>263.5</v>
      </c>
      <c r="K1478" s="55">
        <v>0</v>
      </c>
      <c r="L1478" s="55">
        <v>0</v>
      </c>
      <c r="M1478" s="55">
        <v>0</v>
      </c>
      <c r="N1478" s="55">
        <v>0</v>
      </c>
    </row>
    <row r="1479" spans="1:14" ht="10.050000000000001" hidden="1" customHeight="1">
      <c r="A1479" s="52" t="s">
        <v>172</v>
      </c>
      <c r="B1479" s="53">
        <v>2009</v>
      </c>
      <c r="C1479" s="52" t="s">
        <v>107</v>
      </c>
      <c r="D1479" s="54">
        <v>7</v>
      </c>
      <c r="E1479" s="55">
        <v>106.9</v>
      </c>
      <c r="F1479" s="55">
        <v>0</v>
      </c>
      <c r="G1479" s="55">
        <v>106.9</v>
      </c>
      <c r="H1479" s="55">
        <v>320.8</v>
      </c>
      <c r="I1479" s="55">
        <v>0</v>
      </c>
      <c r="J1479" s="55">
        <v>320.8</v>
      </c>
      <c r="K1479" s="55">
        <v>0</v>
      </c>
      <c r="L1479" s="55">
        <v>0</v>
      </c>
      <c r="M1479" s="55">
        <v>0</v>
      </c>
      <c r="N1479" s="55">
        <v>0</v>
      </c>
    </row>
    <row r="1480" spans="1:14" ht="10.050000000000001" hidden="1" customHeight="1">
      <c r="A1480" s="52" t="s">
        <v>171</v>
      </c>
      <c r="B1480" s="53">
        <v>2009</v>
      </c>
      <c r="C1480" s="52" t="s">
        <v>107</v>
      </c>
      <c r="D1480" s="54">
        <v>7</v>
      </c>
      <c r="E1480" s="55">
        <v>4779.2</v>
      </c>
      <c r="F1480" s="55">
        <v>0</v>
      </c>
      <c r="G1480" s="55">
        <v>4779.2</v>
      </c>
      <c r="H1480" s="55">
        <v>4431.1000000000004</v>
      </c>
      <c r="I1480" s="55">
        <v>0</v>
      </c>
      <c r="J1480" s="55">
        <v>4431.1000000000004</v>
      </c>
      <c r="K1480" s="55">
        <v>0</v>
      </c>
      <c r="L1480" s="55">
        <v>0</v>
      </c>
      <c r="M1480" s="55">
        <v>0</v>
      </c>
      <c r="N1480" s="55">
        <v>0</v>
      </c>
    </row>
    <row r="1481" spans="1:14" ht="10.050000000000001" hidden="1" customHeight="1">
      <c r="A1481" s="52" t="s">
        <v>300</v>
      </c>
      <c r="B1481" s="53">
        <v>2009</v>
      </c>
      <c r="C1481" s="52" t="s">
        <v>107</v>
      </c>
      <c r="D1481" s="54">
        <v>7</v>
      </c>
      <c r="E1481" s="55">
        <v>20.2</v>
      </c>
      <c r="F1481" s="55">
        <v>0</v>
      </c>
      <c r="G1481" s="55">
        <v>20.2</v>
      </c>
      <c r="H1481" s="55">
        <v>35.4</v>
      </c>
      <c r="I1481" s="55">
        <v>0</v>
      </c>
      <c r="J1481" s="55">
        <v>35.4</v>
      </c>
      <c r="K1481" s="55">
        <v>0</v>
      </c>
      <c r="L1481" s="55">
        <v>0</v>
      </c>
      <c r="M1481" s="55">
        <v>0</v>
      </c>
      <c r="N1481" s="55">
        <v>0</v>
      </c>
    </row>
    <row r="1482" spans="1:14" ht="10.050000000000001" hidden="1" customHeight="1">
      <c r="A1482" s="52" t="s">
        <v>307</v>
      </c>
      <c r="B1482" s="53">
        <v>2009</v>
      </c>
      <c r="C1482" s="52" t="s">
        <v>107</v>
      </c>
      <c r="D1482" s="54">
        <v>7</v>
      </c>
      <c r="E1482" s="55">
        <v>30</v>
      </c>
      <c r="F1482" s="55">
        <v>0</v>
      </c>
      <c r="G1482" s="55">
        <v>30</v>
      </c>
      <c r="H1482" s="55">
        <v>1704.5</v>
      </c>
      <c r="I1482" s="55">
        <v>0</v>
      </c>
      <c r="J1482" s="55">
        <v>1704.5</v>
      </c>
      <c r="K1482" s="55">
        <v>0</v>
      </c>
      <c r="L1482" s="55">
        <v>0</v>
      </c>
      <c r="M1482" s="55">
        <v>0</v>
      </c>
      <c r="N1482" s="55">
        <v>0</v>
      </c>
    </row>
    <row r="1483" spans="1:14" ht="10.050000000000001" hidden="1" customHeight="1">
      <c r="A1483" s="52" t="s">
        <v>173</v>
      </c>
      <c r="B1483" s="53">
        <v>2009</v>
      </c>
      <c r="C1483" s="52" t="s">
        <v>107</v>
      </c>
      <c r="D1483" s="54">
        <v>7</v>
      </c>
      <c r="E1483" s="55">
        <v>1737.7</v>
      </c>
      <c r="F1483" s="55">
        <v>0</v>
      </c>
      <c r="G1483" s="55">
        <v>1737.7</v>
      </c>
      <c r="H1483" s="55">
        <v>1489.9</v>
      </c>
      <c r="I1483" s="55">
        <v>0</v>
      </c>
      <c r="J1483" s="55">
        <v>1489.9</v>
      </c>
      <c r="K1483" s="55">
        <v>0</v>
      </c>
      <c r="L1483" s="55">
        <v>0</v>
      </c>
      <c r="M1483" s="55">
        <v>0</v>
      </c>
      <c r="N1483" s="55">
        <v>0</v>
      </c>
    </row>
    <row r="1484" spans="1:14" ht="10.050000000000001" customHeight="1">
      <c r="A1484" s="52" t="s">
        <v>309</v>
      </c>
      <c r="B1484" s="53">
        <v>2009</v>
      </c>
      <c r="C1484" s="52" t="s">
        <v>107</v>
      </c>
      <c r="D1484" s="54">
        <v>7</v>
      </c>
      <c r="E1484" s="55">
        <v>0</v>
      </c>
      <c r="F1484" s="55">
        <v>0</v>
      </c>
      <c r="G1484" s="55">
        <v>0</v>
      </c>
      <c r="H1484" s="55">
        <v>260.10000000000002</v>
      </c>
      <c r="I1484" s="55">
        <v>0</v>
      </c>
      <c r="J1484" s="55">
        <v>260.10000000000002</v>
      </c>
      <c r="K1484" s="55">
        <v>0</v>
      </c>
      <c r="L1484" s="55">
        <v>0</v>
      </c>
      <c r="M1484" s="55">
        <v>0</v>
      </c>
      <c r="N1484" s="55">
        <v>0</v>
      </c>
    </row>
    <row r="1485" spans="1:14" ht="10.050000000000001" hidden="1" customHeight="1">
      <c r="A1485" s="52" t="s">
        <v>174</v>
      </c>
      <c r="B1485" s="53">
        <v>2009</v>
      </c>
      <c r="C1485" s="52" t="s">
        <v>107</v>
      </c>
      <c r="D1485" s="54">
        <v>7</v>
      </c>
      <c r="E1485" s="55">
        <v>262.3</v>
      </c>
      <c r="F1485" s="55">
        <v>0</v>
      </c>
      <c r="G1485" s="55">
        <v>262.3</v>
      </c>
      <c r="H1485" s="55">
        <v>194.4</v>
      </c>
      <c r="I1485" s="55">
        <v>0</v>
      </c>
      <c r="J1485" s="55">
        <v>194.4</v>
      </c>
      <c r="K1485" s="55">
        <v>0</v>
      </c>
      <c r="L1485" s="55">
        <v>0</v>
      </c>
      <c r="M1485" s="55">
        <v>0</v>
      </c>
      <c r="N1485" s="55">
        <v>0</v>
      </c>
    </row>
    <row r="1486" spans="1:14" ht="10.050000000000001" hidden="1" customHeight="1">
      <c r="A1486" s="52" t="s">
        <v>306</v>
      </c>
      <c r="B1486" s="53">
        <v>2009</v>
      </c>
      <c r="C1486" s="52" t="s">
        <v>107</v>
      </c>
      <c r="D1486" s="54">
        <v>8</v>
      </c>
      <c r="E1486" s="55">
        <v>0.8</v>
      </c>
      <c r="F1486" s="55">
        <v>0</v>
      </c>
      <c r="G1486" s="55">
        <v>0.8</v>
      </c>
      <c r="H1486" s="55">
        <v>1.1000000000000001</v>
      </c>
      <c r="I1486" s="55">
        <v>0</v>
      </c>
      <c r="J1486" s="55">
        <v>1.1000000000000001</v>
      </c>
      <c r="K1486" s="55">
        <v>0</v>
      </c>
      <c r="L1486" s="55">
        <v>0</v>
      </c>
      <c r="M1486" s="55">
        <v>0</v>
      </c>
      <c r="N1486" s="55">
        <v>0</v>
      </c>
    </row>
    <row r="1487" spans="1:14" ht="10.050000000000001" hidden="1" customHeight="1">
      <c r="A1487" s="52" t="s">
        <v>171</v>
      </c>
      <c r="B1487" s="53">
        <v>2009</v>
      </c>
      <c r="C1487" s="52" t="s">
        <v>107</v>
      </c>
      <c r="D1487" s="54">
        <v>8</v>
      </c>
      <c r="E1487" s="55">
        <v>82.1</v>
      </c>
      <c r="F1487" s="55">
        <v>0</v>
      </c>
      <c r="G1487" s="55">
        <v>82.1</v>
      </c>
      <c r="H1487" s="55">
        <v>6.4</v>
      </c>
      <c r="I1487" s="55">
        <v>0</v>
      </c>
      <c r="J1487" s="55">
        <v>6.4</v>
      </c>
      <c r="K1487" s="55">
        <v>637.4</v>
      </c>
      <c r="L1487" s="55">
        <v>40.5</v>
      </c>
      <c r="M1487" s="55">
        <v>0</v>
      </c>
      <c r="N1487" s="55">
        <v>29.6</v>
      </c>
    </row>
    <row r="1488" spans="1:14" ht="10.050000000000001" hidden="1" customHeight="1">
      <c r="A1488" s="52" t="s">
        <v>307</v>
      </c>
      <c r="B1488" s="53">
        <v>2009</v>
      </c>
      <c r="C1488" s="52" t="s">
        <v>107</v>
      </c>
      <c r="D1488" s="54">
        <v>8</v>
      </c>
      <c r="E1488" s="55">
        <v>19</v>
      </c>
      <c r="F1488" s="55">
        <v>0</v>
      </c>
      <c r="G1488" s="55">
        <v>19</v>
      </c>
      <c r="H1488" s="55">
        <v>0</v>
      </c>
      <c r="I1488" s="55">
        <v>0</v>
      </c>
      <c r="J1488" s="55">
        <v>0</v>
      </c>
      <c r="K1488" s="55">
        <v>0</v>
      </c>
      <c r="L1488" s="55">
        <v>0</v>
      </c>
      <c r="M1488" s="55">
        <v>0</v>
      </c>
      <c r="N1488" s="55">
        <v>0</v>
      </c>
    </row>
    <row r="1489" spans="1:14" ht="10.050000000000001" hidden="1" customHeight="1">
      <c r="A1489" s="52" t="s">
        <v>173</v>
      </c>
      <c r="B1489" s="53">
        <v>2009</v>
      </c>
      <c r="C1489" s="52" t="s">
        <v>107</v>
      </c>
      <c r="D1489" s="54">
        <v>8</v>
      </c>
      <c r="E1489" s="55">
        <v>0</v>
      </c>
      <c r="F1489" s="55">
        <v>0</v>
      </c>
      <c r="G1489" s="55">
        <v>0</v>
      </c>
      <c r="H1489" s="55">
        <v>11.4</v>
      </c>
      <c r="I1489" s="55">
        <v>0</v>
      </c>
      <c r="J1489" s="55">
        <v>11.4</v>
      </c>
      <c r="K1489" s="55">
        <v>14.6</v>
      </c>
      <c r="L1489" s="55">
        <v>0</v>
      </c>
      <c r="M1489" s="55">
        <v>0</v>
      </c>
      <c r="N1489" s="55">
        <v>0</v>
      </c>
    </row>
    <row r="1490" spans="1:14" ht="10.050000000000001" hidden="1" customHeight="1">
      <c r="A1490" s="52" t="s">
        <v>174</v>
      </c>
      <c r="B1490" s="53">
        <v>2009</v>
      </c>
      <c r="C1490" s="52" t="s">
        <v>107</v>
      </c>
      <c r="D1490" s="54">
        <v>8</v>
      </c>
      <c r="E1490" s="55">
        <v>29.6</v>
      </c>
      <c r="F1490" s="55">
        <v>0</v>
      </c>
      <c r="G1490" s="55">
        <v>29.6</v>
      </c>
      <c r="H1490" s="55">
        <v>0</v>
      </c>
      <c r="I1490" s="55">
        <v>0</v>
      </c>
      <c r="J1490" s="55">
        <v>0</v>
      </c>
      <c r="K1490" s="55">
        <v>0</v>
      </c>
      <c r="L1490" s="55">
        <v>0</v>
      </c>
      <c r="M1490" s="55">
        <v>0</v>
      </c>
      <c r="N1490" s="55">
        <v>0</v>
      </c>
    </row>
    <row r="1491" spans="1:14" ht="10.050000000000001" hidden="1" customHeight="1">
      <c r="A1491" s="52" t="s">
        <v>306</v>
      </c>
      <c r="B1491" s="53">
        <v>2009</v>
      </c>
      <c r="C1491" s="52" t="s">
        <v>114</v>
      </c>
      <c r="D1491" s="54">
        <v>1</v>
      </c>
      <c r="E1491" s="55">
        <v>0</v>
      </c>
      <c r="F1491" s="55">
        <v>0</v>
      </c>
      <c r="G1491" s="55">
        <v>0</v>
      </c>
      <c r="H1491" s="55">
        <v>0</v>
      </c>
      <c r="I1491" s="55">
        <v>144.6</v>
      </c>
      <c r="J1491" s="55">
        <v>144.6</v>
      </c>
      <c r="K1491" s="55">
        <v>0</v>
      </c>
      <c r="L1491" s="55">
        <v>0</v>
      </c>
      <c r="M1491" s="55">
        <v>0</v>
      </c>
      <c r="N1491" s="55">
        <v>0</v>
      </c>
    </row>
    <row r="1492" spans="1:14" ht="10.050000000000001" hidden="1" customHeight="1">
      <c r="A1492" s="52" t="s">
        <v>172</v>
      </c>
      <c r="B1492" s="53">
        <v>2009</v>
      </c>
      <c r="C1492" s="52" t="s">
        <v>114</v>
      </c>
      <c r="D1492" s="54">
        <v>1</v>
      </c>
      <c r="E1492" s="55">
        <v>0</v>
      </c>
      <c r="F1492" s="55">
        <v>0</v>
      </c>
      <c r="G1492" s="55">
        <v>0</v>
      </c>
      <c r="H1492" s="55">
        <v>0</v>
      </c>
      <c r="I1492" s="55">
        <v>961.3</v>
      </c>
      <c r="J1492" s="55">
        <v>961.3</v>
      </c>
      <c r="K1492" s="55">
        <v>0</v>
      </c>
      <c r="L1492" s="55">
        <v>0</v>
      </c>
      <c r="M1492" s="55">
        <v>0</v>
      </c>
      <c r="N1492" s="55">
        <v>0</v>
      </c>
    </row>
    <row r="1493" spans="1:14" ht="10.050000000000001" hidden="1" customHeight="1">
      <c r="A1493" s="52" t="s">
        <v>171</v>
      </c>
      <c r="B1493" s="53">
        <v>2009</v>
      </c>
      <c r="C1493" s="52" t="s">
        <v>114</v>
      </c>
      <c r="D1493" s="54">
        <v>1</v>
      </c>
      <c r="E1493" s="55">
        <v>0</v>
      </c>
      <c r="F1493" s="55">
        <v>0</v>
      </c>
      <c r="G1493" s="55">
        <v>0</v>
      </c>
      <c r="H1493" s="55">
        <v>0</v>
      </c>
      <c r="I1493" s="55">
        <v>3293.3</v>
      </c>
      <c r="J1493" s="55">
        <v>3293.3</v>
      </c>
      <c r="K1493" s="55">
        <v>0</v>
      </c>
      <c r="L1493" s="55">
        <v>0</v>
      </c>
      <c r="M1493" s="55">
        <v>0</v>
      </c>
      <c r="N1493" s="55">
        <v>0</v>
      </c>
    </row>
    <row r="1494" spans="1:14" ht="10.050000000000001" hidden="1" customHeight="1">
      <c r="A1494" s="52" t="s">
        <v>173</v>
      </c>
      <c r="B1494" s="53">
        <v>2009</v>
      </c>
      <c r="C1494" s="52" t="s">
        <v>114</v>
      </c>
      <c r="D1494" s="54">
        <v>1</v>
      </c>
      <c r="E1494" s="55">
        <v>0</v>
      </c>
      <c r="F1494" s="55">
        <v>24.7</v>
      </c>
      <c r="G1494" s="55">
        <v>24.7</v>
      </c>
      <c r="H1494" s="55">
        <v>0</v>
      </c>
      <c r="I1494" s="55">
        <v>1650.7</v>
      </c>
      <c r="J1494" s="55">
        <v>1650.7</v>
      </c>
      <c r="K1494" s="55">
        <v>0</v>
      </c>
      <c r="L1494" s="55">
        <v>0</v>
      </c>
      <c r="M1494" s="55">
        <v>0</v>
      </c>
      <c r="N1494" s="55">
        <v>0</v>
      </c>
    </row>
    <row r="1495" spans="1:14" ht="10.050000000000001" hidden="1" customHeight="1">
      <c r="A1495" s="52" t="s">
        <v>174</v>
      </c>
      <c r="B1495" s="53">
        <v>2009</v>
      </c>
      <c r="C1495" s="52" t="s">
        <v>114</v>
      </c>
      <c r="D1495" s="54">
        <v>1</v>
      </c>
      <c r="E1495" s="55">
        <v>0</v>
      </c>
      <c r="F1495" s="55">
        <v>0</v>
      </c>
      <c r="G1495" s="55">
        <v>0</v>
      </c>
      <c r="H1495" s="55">
        <v>0</v>
      </c>
      <c r="I1495" s="55">
        <v>210.9</v>
      </c>
      <c r="J1495" s="55">
        <v>210.9</v>
      </c>
      <c r="K1495" s="55">
        <v>0</v>
      </c>
      <c r="L1495" s="55">
        <v>0</v>
      </c>
      <c r="M1495" s="55">
        <v>0</v>
      </c>
      <c r="N1495" s="55">
        <v>0</v>
      </c>
    </row>
    <row r="1496" spans="1:14" ht="10.050000000000001" hidden="1" customHeight="1">
      <c r="A1496" s="52" t="s">
        <v>306</v>
      </c>
      <c r="B1496" s="53">
        <v>2009</v>
      </c>
      <c r="C1496" s="52" t="s">
        <v>114</v>
      </c>
      <c r="D1496" s="54">
        <v>2</v>
      </c>
      <c r="E1496" s="55">
        <v>0</v>
      </c>
      <c r="F1496" s="55">
        <v>53.4</v>
      </c>
      <c r="G1496" s="55">
        <v>53.4</v>
      </c>
      <c r="H1496" s="55">
        <v>439</v>
      </c>
      <c r="I1496" s="55">
        <v>86</v>
      </c>
      <c r="J1496" s="55">
        <v>525</v>
      </c>
      <c r="K1496" s="55">
        <v>0</v>
      </c>
      <c r="L1496" s="55">
        <v>0</v>
      </c>
      <c r="M1496" s="55">
        <v>0</v>
      </c>
      <c r="N1496" s="55">
        <v>0</v>
      </c>
    </row>
    <row r="1497" spans="1:14" ht="10.050000000000001" hidden="1" customHeight="1">
      <c r="A1497" s="52" t="s">
        <v>172</v>
      </c>
      <c r="B1497" s="53">
        <v>2009</v>
      </c>
      <c r="C1497" s="52" t="s">
        <v>114</v>
      </c>
      <c r="D1497" s="54">
        <v>2</v>
      </c>
      <c r="E1497" s="55">
        <v>0</v>
      </c>
      <c r="F1497" s="55">
        <v>0</v>
      </c>
      <c r="G1497" s="55">
        <v>0</v>
      </c>
      <c r="H1497" s="55">
        <v>0</v>
      </c>
      <c r="I1497" s="55">
        <v>940.4</v>
      </c>
      <c r="J1497" s="55">
        <v>940.4</v>
      </c>
      <c r="K1497" s="55">
        <v>0</v>
      </c>
      <c r="L1497" s="55">
        <v>0</v>
      </c>
      <c r="M1497" s="55">
        <v>0</v>
      </c>
      <c r="N1497" s="55">
        <v>0</v>
      </c>
    </row>
    <row r="1498" spans="1:14" ht="10.050000000000001" hidden="1" customHeight="1">
      <c r="A1498" s="52" t="s">
        <v>171</v>
      </c>
      <c r="B1498" s="53">
        <v>2009</v>
      </c>
      <c r="C1498" s="52" t="s">
        <v>114</v>
      </c>
      <c r="D1498" s="54">
        <v>2</v>
      </c>
      <c r="E1498" s="55">
        <v>998.1</v>
      </c>
      <c r="F1498" s="55">
        <v>0</v>
      </c>
      <c r="G1498" s="55">
        <v>998.1</v>
      </c>
      <c r="H1498" s="55">
        <v>6686.7</v>
      </c>
      <c r="I1498" s="55">
        <v>2768.3</v>
      </c>
      <c r="J1498" s="55">
        <v>9455</v>
      </c>
      <c r="K1498" s="55">
        <v>29760.6</v>
      </c>
      <c r="L1498" s="55">
        <v>2407.5</v>
      </c>
      <c r="M1498" s="55">
        <v>244.8</v>
      </c>
      <c r="N1498" s="55">
        <v>4.3</v>
      </c>
    </row>
    <row r="1499" spans="1:14" ht="10.050000000000001" hidden="1" customHeight="1">
      <c r="A1499" s="52" t="s">
        <v>307</v>
      </c>
      <c r="B1499" s="53">
        <v>2009</v>
      </c>
      <c r="C1499" s="52" t="s">
        <v>114</v>
      </c>
      <c r="D1499" s="54">
        <v>2</v>
      </c>
      <c r="E1499" s="55">
        <v>682.3</v>
      </c>
      <c r="F1499" s="55">
        <v>0</v>
      </c>
      <c r="G1499" s="55">
        <v>682.3</v>
      </c>
      <c r="H1499" s="55">
        <v>4874.7</v>
      </c>
      <c r="I1499" s="55">
        <v>0</v>
      </c>
      <c r="J1499" s="55">
        <v>4874.7</v>
      </c>
      <c r="K1499" s="55">
        <v>11242.9</v>
      </c>
      <c r="L1499" s="55">
        <v>35.1</v>
      </c>
      <c r="M1499" s="55">
        <v>682.3</v>
      </c>
      <c r="N1499" s="55">
        <v>25.2</v>
      </c>
    </row>
    <row r="1500" spans="1:14" ht="10.050000000000001" hidden="1" customHeight="1">
      <c r="A1500" s="52" t="s">
        <v>173</v>
      </c>
      <c r="B1500" s="53">
        <v>2009</v>
      </c>
      <c r="C1500" s="52" t="s">
        <v>114</v>
      </c>
      <c r="D1500" s="54">
        <v>2</v>
      </c>
      <c r="E1500" s="55">
        <v>133.1</v>
      </c>
      <c r="F1500" s="55">
        <v>0</v>
      </c>
      <c r="G1500" s="55">
        <v>133.1</v>
      </c>
      <c r="H1500" s="55">
        <v>23910.799999999999</v>
      </c>
      <c r="I1500" s="55">
        <v>1423.1</v>
      </c>
      <c r="J1500" s="55">
        <v>25333.9</v>
      </c>
      <c r="K1500" s="55">
        <v>648.1</v>
      </c>
      <c r="L1500" s="55">
        <v>46.5</v>
      </c>
      <c r="M1500" s="55">
        <v>18.600000000000001</v>
      </c>
      <c r="N1500" s="55">
        <v>0.7</v>
      </c>
    </row>
    <row r="1501" spans="1:14" ht="10.050000000000001" hidden="1" customHeight="1">
      <c r="A1501" s="52" t="s">
        <v>310</v>
      </c>
      <c r="B1501" s="53">
        <v>2009</v>
      </c>
      <c r="C1501" s="52" t="s">
        <v>114</v>
      </c>
      <c r="D1501" s="54">
        <v>2</v>
      </c>
      <c r="E1501" s="55">
        <v>0</v>
      </c>
      <c r="F1501" s="55">
        <v>0</v>
      </c>
      <c r="G1501" s="55">
        <v>0</v>
      </c>
      <c r="H1501" s="55">
        <v>612.1</v>
      </c>
      <c r="I1501" s="55">
        <v>0</v>
      </c>
      <c r="J1501" s="55">
        <v>612.1</v>
      </c>
      <c r="K1501" s="55">
        <v>42.8</v>
      </c>
      <c r="L1501" s="55">
        <v>42.8</v>
      </c>
      <c r="M1501" s="55">
        <v>0</v>
      </c>
      <c r="N1501" s="55">
        <v>0</v>
      </c>
    </row>
    <row r="1502" spans="1:14" ht="10.050000000000001" hidden="1" customHeight="1">
      <c r="A1502" s="52" t="s">
        <v>308</v>
      </c>
      <c r="B1502" s="53">
        <v>2009</v>
      </c>
      <c r="C1502" s="52" t="s">
        <v>114</v>
      </c>
      <c r="D1502" s="54">
        <v>2</v>
      </c>
      <c r="E1502" s="55">
        <v>50.8</v>
      </c>
      <c r="F1502" s="55">
        <v>0</v>
      </c>
      <c r="G1502" s="55">
        <v>50.8</v>
      </c>
      <c r="H1502" s="55">
        <v>0</v>
      </c>
      <c r="I1502" s="55">
        <v>0</v>
      </c>
      <c r="J1502" s="55">
        <v>0</v>
      </c>
      <c r="K1502" s="55">
        <v>249.6</v>
      </c>
      <c r="L1502" s="55">
        <v>0</v>
      </c>
      <c r="M1502" s="55">
        <v>50.8</v>
      </c>
      <c r="N1502" s="55">
        <v>0</v>
      </c>
    </row>
    <row r="1503" spans="1:14" ht="10.050000000000001" hidden="1" customHeight="1">
      <c r="A1503" s="52" t="s">
        <v>174</v>
      </c>
      <c r="B1503" s="53">
        <v>2009</v>
      </c>
      <c r="C1503" s="52" t="s">
        <v>114</v>
      </c>
      <c r="D1503" s="54">
        <v>2</v>
      </c>
      <c r="E1503" s="55">
        <v>0</v>
      </c>
      <c r="F1503" s="55">
        <v>0</v>
      </c>
      <c r="G1503" s="55">
        <v>0</v>
      </c>
      <c r="H1503" s="55">
        <v>0</v>
      </c>
      <c r="I1503" s="55">
        <v>209.5</v>
      </c>
      <c r="J1503" s="55">
        <v>209.5</v>
      </c>
      <c r="K1503" s="55">
        <v>0</v>
      </c>
      <c r="L1503" s="55">
        <v>0</v>
      </c>
      <c r="M1503" s="55">
        <v>0</v>
      </c>
      <c r="N1503" s="55">
        <v>0</v>
      </c>
    </row>
    <row r="1504" spans="1:14" ht="10.050000000000001" hidden="1" customHeight="1">
      <c r="A1504" s="52" t="s">
        <v>307</v>
      </c>
      <c r="B1504" s="53">
        <v>2009</v>
      </c>
      <c r="C1504" s="52" t="s">
        <v>114</v>
      </c>
      <c r="D1504" s="54">
        <v>5</v>
      </c>
      <c r="E1504" s="55">
        <v>130</v>
      </c>
      <c r="F1504" s="55">
        <v>0</v>
      </c>
      <c r="G1504" s="55">
        <v>130</v>
      </c>
      <c r="H1504" s="55">
        <v>0</v>
      </c>
      <c r="I1504" s="55">
        <v>0</v>
      </c>
      <c r="J1504" s="55">
        <v>0</v>
      </c>
      <c r="K1504" s="55">
        <v>0</v>
      </c>
      <c r="L1504" s="55">
        <v>0</v>
      </c>
      <c r="M1504" s="55">
        <v>0</v>
      </c>
      <c r="N1504" s="55">
        <v>0</v>
      </c>
    </row>
    <row r="1505" spans="1:14" ht="10.050000000000001" hidden="1" customHeight="1">
      <c r="A1505" s="52" t="s">
        <v>306</v>
      </c>
      <c r="B1505" s="53">
        <v>2009</v>
      </c>
      <c r="C1505" s="52" t="s">
        <v>114</v>
      </c>
      <c r="D1505" s="54">
        <v>7</v>
      </c>
      <c r="E1505" s="55">
        <v>131144.6</v>
      </c>
      <c r="F1505" s="55">
        <v>1692.2</v>
      </c>
      <c r="G1505" s="55">
        <v>132836.79999999999</v>
      </c>
      <c r="H1505" s="55">
        <v>201336.1</v>
      </c>
      <c r="I1505" s="55">
        <v>4278.1000000000004</v>
      </c>
      <c r="J1505" s="55">
        <v>205614.2</v>
      </c>
      <c r="K1505" s="55">
        <v>31205.599999999999</v>
      </c>
      <c r="L1505" s="55">
        <v>31599.4</v>
      </c>
      <c r="M1505" s="55">
        <v>2426</v>
      </c>
      <c r="N1505" s="55">
        <v>254.6</v>
      </c>
    </row>
    <row r="1506" spans="1:14" ht="10.050000000000001" hidden="1" customHeight="1">
      <c r="A1506" s="52" t="s">
        <v>172</v>
      </c>
      <c r="B1506" s="53">
        <v>2009</v>
      </c>
      <c r="C1506" s="52" t="s">
        <v>114</v>
      </c>
      <c r="D1506" s="54">
        <v>7</v>
      </c>
      <c r="E1506" s="55">
        <v>762916.5</v>
      </c>
      <c r="F1506" s="55">
        <v>41064.300000000003</v>
      </c>
      <c r="G1506" s="55">
        <v>803980.80000000005</v>
      </c>
      <c r="H1506" s="55">
        <v>749127</v>
      </c>
      <c r="I1506" s="55">
        <v>39358</v>
      </c>
      <c r="J1506" s="55">
        <v>788485</v>
      </c>
      <c r="K1506" s="55">
        <v>368973.8</v>
      </c>
      <c r="L1506" s="55">
        <v>381783.1</v>
      </c>
      <c r="M1506" s="55">
        <v>14922.1</v>
      </c>
      <c r="N1506" s="55">
        <v>1184.0999999999999</v>
      </c>
    </row>
    <row r="1507" spans="1:14" ht="10.050000000000001" hidden="1" customHeight="1">
      <c r="A1507" s="52" t="s">
        <v>171</v>
      </c>
      <c r="B1507" s="53">
        <v>2009</v>
      </c>
      <c r="C1507" s="52" t="s">
        <v>114</v>
      </c>
      <c r="D1507" s="54">
        <v>7</v>
      </c>
      <c r="E1507" s="55">
        <v>9865298.3000000007</v>
      </c>
      <c r="F1507" s="55">
        <v>103183.2</v>
      </c>
      <c r="G1507" s="55">
        <v>9968481.5</v>
      </c>
      <c r="H1507" s="55">
        <v>9876302.4000000097</v>
      </c>
      <c r="I1507" s="55">
        <v>139503.9</v>
      </c>
      <c r="J1507" s="55">
        <v>10015806.300000001</v>
      </c>
      <c r="K1507" s="55">
        <v>3381318.7</v>
      </c>
      <c r="L1507" s="55">
        <v>3436497.9</v>
      </c>
      <c r="M1507" s="55">
        <v>177703</v>
      </c>
      <c r="N1507" s="55">
        <v>33127.5</v>
      </c>
    </row>
    <row r="1508" spans="1:14" ht="10.050000000000001" hidden="1" customHeight="1">
      <c r="A1508" s="52" t="s">
        <v>300</v>
      </c>
      <c r="B1508" s="53">
        <v>2009</v>
      </c>
      <c r="C1508" s="52" t="s">
        <v>114</v>
      </c>
      <c r="D1508" s="54">
        <v>7</v>
      </c>
      <c r="E1508" s="55">
        <v>971.3</v>
      </c>
      <c r="F1508" s="55">
        <v>248.4</v>
      </c>
      <c r="G1508" s="55">
        <v>1219.7</v>
      </c>
      <c r="H1508" s="55">
        <v>1608.5</v>
      </c>
      <c r="I1508" s="55">
        <v>19.5</v>
      </c>
      <c r="J1508" s="55">
        <v>1628</v>
      </c>
      <c r="K1508" s="55">
        <v>19.2</v>
      </c>
      <c r="L1508" s="55">
        <v>19.2</v>
      </c>
      <c r="M1508" s="55">
        <v>0</v>
      </c>
      <c r="N1508" s="55">
        <v>0</v>
      </c>
    </row>
    <row r="1509" spans="1:14" ht="10.050000000000001" hidden="1" customHeight="1">
      <c r="A1509" s="52" t="s">
        <v>307</v>
      </c>
      <c r="B1509" s="53">
        <v>2009</v>
      </c>
      <c r="C1509" s="52" t="s">
        <v>114</v>
      </c>
      <c r="D1509" s="54">
        <v>7</v>
      </c>
      <c r="E1509" s="55">
        <v>172705.6</v>
      </c>
      <c r="F1509" s="55">
        <v>0</v>
      </c>
      <c r="G1509" s="55">
        <v>172705.6</v>
      </c>
      <c r="H1509" s="55">
        <v>1441669</v>
      </c>
      <c r="I1509" s="55">
        <v>26542.400000000001</v>
      </c>
      <c r="J1509" s="55">
        <v>1468211.4</v>
      </c>
      <c r="K1509" s="55">
        <v>473020.8</v>
      </c>
      <c r="L1509" s="55">
        <v>84208.3</v>
      </c>
      <c r="M1509" s="55">
        <v>72088.399999999994</v>
      </c>
      <c r="N1509" s="55">
        <v>32854.1</v>
      </c>
    </row>
    <row r="1510" spans="1:14" ht="10.050000000000001" hidden="1" customHeight="1">
      <c r="A1510" s="52" t="s">
        <v>315</v>
      </c>
      <c r="B1510" s="53">
        <v>2009</v>
      </c>
      <c r="C1510" s="52" t="s">
        <v>114</v>
      </c>
      <c r="D1510" s="54">
        <v>7</v>
      </c>
      <c r="E1510" s="55">
        <v>227.7</v>
      </c>
      <c r="F1510" s="55">
        <v>0</v>
      </c>
      <c r="G1510" s="55">
        <v>227.7</v>
      </c>
      <c r="H1510" s="55">
        <v>3892.8</v>
      </c>
      <c r="I1510" s="55">
        <v>0</v>
      </c>
      <c r="J1510" s="55">
        <v>3892.8</v>
      </c>
      <c r="K1510" s="55">
        <v>194.2</v>
      </c>
      <c r="L1510" s="55">
        <v>194.2</v>
      </c>
      <c r="M1510" s="55">
        <v>0</v>
      </c>
      <c r="N1510" s="55">
        <v>0</v>
      </c>
    </row>
    <row r="1511" spans="1:14" ht="10.050000000000001" hidden="1" customHeight="1">
      <c r="A1511" s="52" t="s">
        <v>173</v>
      </c>
      <c r="B1511" s="53">
        <v>2009</v>
      </c>
      <c r="C1511" s="52" t="s">
        <v>114</v>
      </c>
      <c r="D1511" s="54">
        <v>7</v>
      </c>
      <c r="E1511" s="55">
        <v>6410014.7000000002</v>
      </c>
      <c r="F1511" s="55">
        <v>113672.3</v>
      </c>
      <c r="G1511" s="55">
        <v>6523687</v>
      </c>
      <c r="H1511" s="55">
        <v>6894105.9000000004</v>
      </c>
      <c r="I1511" s="55">
        <v>96510.399999999994</v>
      </c>
      <c r="J1511" s="55">
        <v>6990616.2999999998</v>
      </c>
      <c r="K1511" s="55">
        <v>1737877</v>
      </c>
      <c r="L1511" s="55">
        <v>2148362.4</v>
      </c>
      <c r="M1511" s="55">
        <v>447523.6</v>
      </c>
      <c r="N1511" s="55">
        <v>13300.4</v>
      </c>
    </row>
    <row r="1512" spans="1:14" ht="10.050000000000001" customHeight="1">
      <c r="A1512" s="52" t="s">
        <v>309</v>
      </c>
      <c r="B1512" s="53">
        <v>2009</v>
      </c>
      <c r="C1512" s="52" t="s">
        <v>114</v>
      </c>
      <c r="D1512" s="54">
        <v>7</v>
      </c>
      <c r="E1512" s="55">
        <v>0</v>
      </c>
      <c r="F1512" s="55">
        <v>0</v>
      </c>
      <c r="G1512" s="55">
        <v>0</v>
      </c>
      <c r="H1512" s="55">
        <v>11299.1</v>
      </c>
      <c r="I1512" s="55">
        <v>0</v>
      </c>
      <c r="J1512" s="55">
        <v>11299.1</v>
      </c>
      <c r="K1512" s="55">
        <v>0</v>
      </c>
      <c r="L1512" s="55">
        <v>0</v>
      </c>
      <c r="M1512" s="55">
        <v>0</v>
      </c>
      <c r="N1512" s="55">
        <v>0</v>
      </c>
    </row>
    <row r="1513" spans="1:14" ht="10.050000000000001" hidden="1" customHeight="1">
      <c r="A1513" s="52" t="s">
        <v>316</v>
      </c>
      <c r="B1513" s="53">
        <v>2009</v>
      </c>
      <c r="C1513" s="52" t="s">
        <v>114</v>
      </c>
      <c r="D1513" s="54">
        <v>7</v>
      </c>
      <c r="E1513" s="55">
        <v>23.5</v>
      </c>
      <c r="F1513" s="55">
        <v>0</v>
      </c>
      <c r="G1513" s="55">
        <v>23.5</v>
      </c>
      <c r="H1513" s="55">
        <v>642.70000000000005</v>
      </c>
      <c r="I1513" s="55">
        <v>0.2</v>
      </c>
      <c r="J1513" s="55">
        <v>642.9</v>
      </c>
      <c r="K1513" s="55">
        <v>0</v>
      </c>
      <c r="L1513" s="55">
        <v>0</v>
      </c>
      <c r="M1513" s="55">
        <v>0</v>
      </c>
      <c r="N1513" s="55">
        <v>0</v>
      </c>
    </row>
    <row r="1514" spans="1:14" ht="10.050000000000001" hidden="1" customHeight="1">
      <c r="A1514" s="52" t="s">
        <v>310</v>
      </c>
      <c r="B1514" s="53">
        <v>2009</v>
      </c>
      <c r="C1514" s="52" t="s">
        <v>114</v>
      </c>
      <c r="D1514" s="54">
        <v>7</v>
      </c>
      <c r="E1514" s="55">
        <v>16296.8</v>
      </c>
      <c r="F1514" s="55">
        <v>17.8</v>
      </c>
      <c r="G1514" s="55">
        <v>16314.6</v>
      </c>
      <c r="H1514" s="55">
        <v>26553.200000000001</v>
      </c>
      <c r="I1514" s="55">
        <v>536.20000000000005</v>
      </c>
      <c r="J1514" s="55">
        <v>27089.4</v>
      </c>
      <c r="K1514" s="55">
        <v>5897.2</v>
      </c>
      <c r="L1514" s="55">
        <v>6076.1</v>
      </c>
      <c r="M1514" s="55">
        <v>270.39999999999998</v>
      </c>
      <c r="N1514" s="55">
        <v>0.7</v>
      </c>
    </row>
    <row r="1515" spans="1:14" ht="10.050000000000001" hidden="1" customHeight="1">
      <c r="A1515" s="52" t="s">
        <v>308</v>
      </c>
      <c r="B1515" s="53">
        <v>2009</v>
      </c>
      <c r="C1515" s="52" t="s">
        <v>114</v>
      </c>
      <c r="D1515" s="54">
        <v>7</v>
      </c>
      <c r="E1515" s="55">
        <v>366.4</v>
      </c>
      <c r="F1515" s="55">
        <v>0</v>
      </c>
      <c r="G1515" s="55">
        <v>366.4</v>
      </c>
      <c r="H1515" s="55">
        <v>10335.200000000001</v>
      </c>
      <c r="I1515" s="55">
        <v>159</v>
      </c>
      <c r="J1515" s="55">
        <v>10494.2</v>
      </c>
      <c r="K1515" s="55">
        <v>299.2</v>
      </c>
      <c r="L1515" s="55">
        <v>3.2</v>
      </c>
      <c r="M1515" s="55">
        <v>78.900000000000006</v>
      </c>
      <c r="N1515" s="55">
        <v>82.8</v>
      </c>
    </row>
    <row r="1516" spans="1:14" ht="10.050000000000001" hidden="1" customHeight="1">
      <c r="A1516" s="52" t="s">
        <v>174</v>
      </c>
      <c r="B1516" s="53">
        <v>2009</v>
      </c>
      <c r="C1516" s="52" t="s">
        <v>114</v>
      </c>
      <c r="D1516" s="54">
        <v>7</v>
      </c>
      <c r="E1516" s="55">
        <v>247713.1</v>
      </c>
      <c r="F1516" s="55">
        <v>9240.1</v>
      </c>
      <c r="G1516" s="55">
        <v>256953.2</v>
      </c>
      <c r="H1516" s="55">
        <v>231664</v>
      </c>
      <c r="I1516" s="55">
        <v>12916.1</v>
      </c>
      <c r="J1516" s="55">
        <v>244580.1</v>
      </c>
      <c r="K1516" s="55">
        <v>76770.8</v>
      </c>
      <c r="L1516" s="55">
        <v>78401.8</v>
      </c>
      <c r="M1516" s="55">
        <v>2782.9</v>
      </c>
      <c r="N1516" s="55">
        <v>7607.7</v>
      </c>
    </row>
    <row r="1517" spans="1:14" ht="10.050000000000001" hidden="1" customHeight="1">
      <c r="A1517" s="52" t="s">
        <v>314</v>
      </c>
      <c r="B1517" s="53">
        <v>2009</v>
      </c>
      <c r="C1517" s="52" t="s">
        <v>114</v>
      </c>
      <c r="D1517" s="54">
        <v>8</v>
      </c>
      <c r="E1517" s="55">
        <v>10.8</v>
      </c>
      <c r="F1517" s="55">
        <v>0</v>
      </c>
      <c r="G1517" s="55">
        <v>10.8</v>
      </c>
      <c r="H1517" s="55">
        <v>0</v>
      </c>
      <c r="I1517" s="55">
        <v>0</v>
      </c>
      <c r="J1517" s="55">
        <v>0</v>
      </c>
      <c r="K1517" s="55">
        <v>0</v>
      </c>
      <c r="L1517" s="55">
        <v>0</v>
      </c>
      <c r="M1517" s="55">
        <v>0</v>
      </c>
      <c r="N1517" s="55">
        <v>0</v>
      </c>
    </row>
    <row r="1518" spans="1:14" ht="10.050000000000001" hidden="1" customHeight="1">
      <c r="A1518" s="52" t="s">
        <v>306</v>
      </c>
      <c r="B1518" s="53">
        <v>2009</v>
      </c>
      <c r="C1518" s="52" t="s">
        <v>114</v>
      </c>
      <c r="D1518" s="54">
        <v>8</v>
      </c>
      <c r="E1518" s="55">
        <v>85015.1</v>
      </c>
      <c r="F1518" s="55">
        <v>2604.6</v>
      </c>
      <c r="G1518" s="55">
        <v>87619.7</v>
      </c>
      <c r="H1518" s="55">
        <v>267865.5</v>
      </c>
      <c r="I1518" s="55">
        <v>5874.9</v>
      </c>
      <c r="J1518" s="55">
        <v>273740.40000000002</v>
      </c>
      <c r="K1518" s="55">
        <v>31946.6</v>
      </c>
      <c r="L1518" s="55">
        <v>10784</v>
      </c>
      <c r="M1518" s="55">
        <v>9623.5</v>
      </c>
      <c r="N1518" s="55">
        <v>419.5</v>
      </c>
    </row>
    <row r="1519" spans="1:14" ht="10.050000000000001" hidden="1" customHeight="1">
      <c r="A1519" s="52" t="s">
        <v>172</v>
      </c>
      <c r="B1519" s="53">
        <v>2009</v>
      </c>
      <c r="C1519" s="52" t="s">
        <v>114</v>
      </c>
      <c r="D1519" s="54">
        <v>8</v>
      </c>
      <c r="E1519" s="55">
        <v>132454.79999999999</v>
      </c>
      <c r="F1519" s="55">
        <v>11777.3</v>
      </c>
      <c r="G1519" s="55">
        <v>144232.1</v>
      </c>
      <c r="H1519" s="55">
        <v>806561.9</v>
      </c>
      <c r="I1519" s="55">
        <v>38434.9</v>
      </c>
      <c r="J1519" s="55">
        <v>844996.8</v>
      </c>
      <c r="K1519" s="55">
        <v>338862.2</v>
      </c>
      <c r="L1519" s="55">
        <v>49342</v>
      </c>
      <c r="M1519" s="55">
        <v>79136.2</v>
      </c>
      <c r="N1519" s="55">
        <v>317.39999999999998</v>
      </c>
    </row>
    <row r="1520" spans="1:14" ht="10.050000000000001" hidden="1" customHeight="1">
      <c r="A1520" s="52" t="s">
        <v>171</v>
      </c>
      <c r="B1520" s="53">
        <v>2009</v>
      </c>
      <c r="C1520" s="52" t="s">
        <v>114</v>
      </c>
      <c r="D1520" s="54">
        <v>8</v>
      </c>
      <c r="E1520" s="55">
        <v>7339115.0000000102</v>
      </c>
      <c r="F1520" s="55">
        <v>188340</v>
      </c>
      <c r="G1520" s="55">
        <v>7527455.0000000102</v>
      </c>
      <c r="H1520" s="55">
        <v>14356101.699999999</v>
      </c>
      <c r="I1520" s="55">
        <v>213362.2</v>
      </c>
      <c r="J1520" s="55">
        <v>14569463.9</v>
      </c>
      <c r="K1520" s="55">
        <v>5087587.8</v>
      </c>
      <c r="L1520" s="55">
        <v>2915031.8</v>
      </c>
      <c r="M1520" s="55">
        <v>1184324.8</v>
      </c>
      <c r="N1520" s="55">
        <v>23691.4</v>
      </c>
    </row>
    <row r="1521" spans="1:14" ht="10.050000000000001" hidden="1" customHeight="1">
      <c r="A1521" s="52" t="s">
        <v>300</v>
      </c>
      <c r="B1521" s="53">
        <v>2009</v>
      </c>
      <c r="C1521" s="52" t="s">
        <v>114</v>
      </c>
      <c r="D1521" s="54">
        <v>8</v>
      </c>
      <c r="E1521" s="55">
        <v>1053.5999999999999</v>
      </c>
      <c r="F1521" s="55">
        <v>28.5</v>
      </c>
      <c r="G1521" s="55">
        <v>1082.0999999999999</v>
      </c>
      <c r="H1521" s="55">
        <v>2614.8000000000002</v>
      </c>
      <c r="I1521" s="55">
        <v>48</v>
      </c>
      <c r="J1521" s="55">
        <v>2662.8</v>
      </c>
      <c r="K1521" s="55">
        <v>10.1</v>
      </c>
      <c r="L1521" s="55">
        <v>0.7</v>
      </c>
      <c r="M1521" s="55">
        <v>0.2</v>
      </c>
      <c r="N1521" s="55">
        <v>9.6</v>
      </c>
    </row>
    <row r="1522" spans="1:14" ht="10.050000000000001" hidden="1" customHeight="1">
      <c r="A1522" s="52" t="s">
        <v>307</v>
      </c>
      <c r="B1522" s="53">
        <v>2009</v>
      </c>
      <c r="C1522" s="52" t="s">
        <v>114</v>
      </c>
      <c r="D1522" s="54">
        <v>8</v>
      </c>
      <c r="E1522" s="55">
        <v>213349.5</v>
      </c>
      <c r="F1522" s="55">
        <v>1866.2</v>
      </c>
      <c r="G1522" s="55">
        <v>215215.7</v>
      </c>
      <c r="H1522" s="55">
        <v>793064.2</v>
      </c>
      <c r="I1522" s="55">
        <v>26783</v>
      </c>
      <c r="J1522" s="55">
        <v>819847.200000001</v>
      </c>
      <c r="K1522" s="55">
        <v>340824.1</v>
      </c>
      <c r="L1522" s="55">
        <v>13065.9</v>
      </c>
      <c r="M1522" s="55">
        <v>124461.2</v>
      </c>
      <c r="N1522" s="55">
        <v>20266.2</v>
      </c>
    </row>
    <row r="1523" spans="1:14" ht="10.050000000000001" hidden="1" customHeight="1">
      <c r="A1523" s="52" t="s">
        <v>315</v>
      </c>
      <c r="B1523" s="53">
        <v>2009</v>
      </c>
      <c r="C1523" s="52" t="s">
        <v>114</v>
      </c>
      <c r="D1523" s="54">
        <v>8</v>
      </c>
      <c r="E1523" s="55">
        <v>2956.9</v>
      </c>
      <c r="F1523" s="55">
        <v>32.299999999999997</v>
      </c>
      <c r="G1523" s="55">
        <v>2989.2</v>
      </c>
      <c r="H1523" s="55">
        <v>5585</v>
      </c>
      <c r="I1523" s="55">
        <v>32.299999999999997</v>
      </c>
      <c r="J1523" s="55">
        <v>5617.3</v>
      </c>
      <c r="K1523" s="55">
        <v>294.89999999999998</v>
      </c>
      <c r="L1523" s="55">
        <v>100.7</v>
      </c>
      <c r="M1523" s="55">
        <v>0</v>
      </c>
      <c r="N1523" s="55">
        <v>0</v>
      </c>
    </row>
    <row r="1524" spans="1:14" ht="10.050000000000001" hidden="1" customHeight="1">
      <c r="A1524" s="52" t="s">
        <v>173</v>
      </c>
      <c r="B1524" s="53">
        <v>2009</v>
      </c>
      <c r="C1524" s="52" t="s">
        <v>114</v>
      </c>
      <c r="D1524" s="54">
        <v>8</v>
      </c>
      <c r="E1524" s="55">
        <v>1124188.7</v>
      </c>
      <c r="F1524" s="55">
        <v>20425.2</v>
      </c>
      <c r="G1524" s="55">
        <v>1144613.8999999999</v>
      </c>
      <c r="H1524" s="55">
        <v>7460173.2999999998</v>
      </c>
      <c r="I1524" s="55">
        <v>89650.3</v>
      </c>
      <c r="J1524" s="55">
        <v>7549823.5999999996</v>
      </c>
      <c r="K1524" s="55">
        <v>1309988</v>
      </c>
      <c r="L1524" s="55">
        <v>113984.5</v>
      </c>
      <c r="M1524" s="55">
        <v>530783.9</v>
      </c>
      <c r="N1524" s="55">
        <v>11014.7</v>
      </c>
    </row>
    <row r="1525" spans="1:14" ht="10.050000000000001" customHeight="1">
      <c r="A1525" s="52" t="s">
        <v>309</v>
      </c>
      <c r="B1525" s="53">
        <v>2009</v>
      </c>
      <c r="C1525" s="52" t="s">
        <v>114</v>
      </c>
      <c r="D1525" s="54">
        <v>8</v>
      </c>
      <c r="E1525" s="55">
        <v>0</v>
      </c>
      <c r="F1525" s="55">
        <v>0</v>
      </c>
      <c r="G1525" s="55">
        <v>0</v>
      </c>
      <c r="H1525" s="55">
        <v>9040.7999999999993</v>
      </c>
      <c r="I1525" s="55">
        <v>0</v>
      </c>
      <c r="J1525" s="55">
        <v>9040.7999999999993</v>
      </c>
      <c r="K1525" s="55">
        <v>0</v>
      </c>
      <c r="L1525" s="55">
        <v>0</v>
      </c>
      <c r="M1525" s="55">
        <v>0</v>
      </c>
      <c r="N1525" s="55">
        <v>0</v>
      </c>
    </row>
    <row r="1526" spans="1:14" ht="10.050000000000001" hidden="1" customHeight="1">
      <c r="A1526" s="52" t="s">
        <v>316</v>
      </c>
      <c r="B1526" s="53">
        <v>2009</v>
      </c>
      <c r="C1526" s="52" t="s">
        <v>114</v>
      </c>
      <c r="D1526" s="54">
        <v>8</v>
      </c>
      <c r="E1526" s="55">
        <v>26.4</v>
      </c>
      <c r="F1526" s="55">
        <v>0</v>
      </c>
      <c r="G1526" s="55">
        <v>26.4</v>
      </c>
      <c r="H1526" s="55">
        <v>476.2</v>
      </c>
      <c r="I1526" s="55">
        <v>0.2</v>
      </c>
      <c r="J1526" s="55">
        <v>476.4</v>
      </c>
      <c r="K1526" s="55">
        <v>0</v>
      </c>
      <c r="L1526" s="55">
        <v>0</v>
      </c>
      <c r="M1526" s="55">
        <v>0</v>
      </c>
      <c r="N1526" s="55">
        <v>0</v>
      </c>
    </row>
    <row r="1527" spans="1:14" ht="10.050000000000001" hidden="1" customHeight="1">
      <c r="A1527" s="52" t="s">
        <v>310</v>
      </c>
      <c r="B1527" s="53">
        <v>2009</v>
      </c>
      <c r="C1527" s="52" t="s">
        <v>114</v>
      </c>
      <c r="D1527" s="54">
        <v>8</v>
      </c>
      <c r="E1527" s="55">
        <v>21084.2</v>
      </c>
      <c r="F1527" s="55">
        <v>1253.9000000000001</v>
      </c>
      <c r="G1527" s="55">
        <v>22338.1</v>
      </c>
      <c r="H1527" s="55">
        <v>44252.800000000003</v>
      </c>
      <c r="I1527" s="55">
        <v>1397.5</v>
      </c>
      <c r="J1527" s="55">
        <v>45650.3</v>
      </c>
      <c r="K1527" s="55">
        <v>9954.7000000000007</v>
      </c>
      <c r="L1527" s="55">
        <v>6983.3</v>
      </c>
      <c r="M1527" s="55">
        <v>2917.7</v>
      </c>
      <c r="N1527" s="55">
        <v>8.1</v>
      </c>
    </row>
    <row r="1528" spans="1:14" ht="10.050000000000001" hidden="1" customHeight="1">
      <c r="A1528" s="52" t="s">
        <v>308</v>
      </c>
      <c r="B1528" s="53">
        <v>2009</v>
      </c>
      <c r="C1528" s="52" t="s">
        <v>114</v>
      </c>
      <c r="D1528" s="54">
        <v>8</v>
      </c>
      <c r="E1528" s="55">
        <v>857.3</v>
      </c>
      <c r="F1528" s="55">
        <v>0</v>
      </c>
      <c r="G1528" s="55">
        <v>857.3</v>
      </c>
      <c r="H1528" s="55">
        <v>6441.9</v>
      </c>
      <c r="I1528" s="55">
        <v>159</v>
      </c>
      <c r="J1528" s="55">
        <v>6600.9</v>
      </c>
      <c r="K1528" s="55">
        <v>231.6</v>
      </c>
      <c r="L1528" s="55">
        <v>21.3</v>
      </c>
      <c r="M1528" s="55">
        <v>79.3</v>
      </c>
      <c r="N1528" s="55">
        <v>9.6</v>
      </c>
    </row>
    <row r="1529" spans="1:14" ht="10.050000000000001" hidden="1" customHeight="1">
      <c r="A1529" s="52" t="s">
        <v>174</v>
      </c>
      <c r="B1529" s="53">
        <v>2009</v>
      </c>
      <c r="C1529" s="52" t="s">
        <v>114</v>
      </c>
      <c r="D1529" s="54">
        <v>8</v>
      </c>
      <c r="E1529" s="55">
        <v>371536.8</v>
      </c>
      <c r="F1529" s="55">
        <v>11326.7</v>
      </c>
      <c r="G1529" s="55">
        <v>382863.5</v>
      </c>
      <c r="H1529" s="55">
        <v>517531.5</v>
      </c>
      <c r="I1529" s="55">
        <v>17801.599999999999</v>
      </c>
      <c r="J1529" s="55">
        <v>535333.1</v>
      </c>
      <c r="K1529" s="55">
        <v>113745.60000000001</v>
      </c>
      <c r="L1529" s="55">
        <v>59516.3</v>
      </c>
      <c r="M1529" s="55">
        <v>13693.5</v>
      </c>
      <c r="N1529" s="55">
        <v>8843</v>
      </c>
    </row>
    <row r="1530" spans="1:14" ht="10.050000000000001" hidden="1" customHeight="1">
      <c r="A1530" s="52" t="s">
        <v>306</v>
      </c>
      <c r="B1530" s="53">
        <v>2009</v>
      </c>
      <c r="C1530" s="52" t="s">
        <v>114</v>
      </c>
      <c r="D1530" s="54">
        <v>9</v>
      </c>
      <c r="E1530" s="55">
        <v>12655.4</v>
      </c>
      <c r="F1530" s="55">
        <v>2194</v>
      </c>
      <c r="G1530" s="55">
        <v>14849.4</v>
      </c>
      <c r="H1530" s="55">
        <v>263450.09999999998</v>
      </c>
      <c r="I1530" s="55">
        <v>6306.4</v>
      </c>
      <c r="J1530" s="55">
        <v>269756.5</v>
      </c>
      <c r="K1530" s="55">
        <v>27387.599999999999</v>
      </c>
      <c r="L1530" s="55">
        <v>1146.5999999999999</v>
      </c>
      <c r="M1530" s="55">
        <v>3937.7</v>
      </c>
      <c r="N1530" s="55">
        <v>1765.9</v>
      </c>
    </row>
    <row r="1531" spans="1:14" ht="10.050000000000001" hidden="1" customHeight="1">
      <c r="A1531" s="52" t="s">
        <v>172</v>
      </c>
      <c r="B1531" s="53">
        <v>2009</v>
      </c>
      <c r="C1531" s="52" t="s">
        <v>114</v>
      </c>
      <c r="D1531" s="54">
        <v>9</v>
      </c>
      <c r="E1531" s="55">
        <v>88249.2</v>
      </c>
      <c r="F1531" s="55">
        <v>12050.9</v>
      </c>
      <c r="G1531" s="55">
        <v>100300.1</v>
      </c>
      <c r="H1531" s="55">
        <v>747812.3</v>
      </c>
      <c r="I1531" s="55">
        <v>32160.799999999999</v>
      </c>
      <c r="J1531" s="55">
        <v>779973.1</v>
      </c>
      <c r="K1531" s="55">
        <v>303882.90000000002</v>
      </c>
      <c r="L1531" s="55">
        <v>13598.2</v>
      </c>
      <c r="M1531" s="55">
        <v>47320.3</v>
      </c>
      <c r="N1531" s="55">
        <v>257</v>
      </c>
    </row>
    <row r="1532" spans="1:14" ht="10.050000000000001" hidden="1" customHeight="1">
      <c r="A1532" s="52" t="s">
        <v>171</v>
      </c>
      <c r="B1532" s="53">
        <v>2009</v>
      </c>
      <c r="C1532" s="52" t="s">
        <v>114</v>
      </c>
      <c r="D1532" s="54">
        <v>9</v>
      </c>
      <c r="E1532" s="55">
        <v>1371348.8</v>
      </c>
      <c r="F1532" s="55">
        <v>132290.70000000001</v>
      </c>
      <c r="G1532" s="55">
        <v>1503639.5</v>
      </c>
      <c r="H1532" s="55">
        <v>12842686.4</v>
      </c>
      <c r="I1532" s="55">
        <v>215772.3</v>
      </c>
      <c r="J1532" s="55">
        <v>13058458.699999999</v>
      </c>
      <c r="K1532" s="55">
        <v>4542388.5999999996</v>
      </c>
      <c r="L1532" s="55">
        <v>210026.2</v>
      </c>
      <c r="M1532" s="55">
        <v>733474.9</v>
      </c>
      <c r="N1532" s="55">
        <v>21120.1</v>
      </c>
    </row>
    <row r="1533" spans="1:14" ht="10.050000000000001" hidden="1" customHeight="1">
      <c r="A1533" s="52" t="s">
        <v>300</v>
      </c>
      <c r="B1533" s="53">
        <v>2009</v>
      </c>
      <c r="C1533" s="52" t="s">
        <v>114</v>
      </c>
      <c r="D1533" s="54">
        <v>9</v>
      </c>
      <c r="E1533" s="55">
        <v>314.39999999999998</v>
      </c>
      <c r="F1533" s="55">
        <v>16.2</v>
      </c>
      <c r="G1533" s="55">
        <v>330.6</v>
      </c>
      <c r="H1533" s="55">
        <v>2279.8000000000002</v>
      </c>
      <c r="I1533" s="55">
        <v>46.9</v>
      </c>
      <c r="J1533" s="55">
        <v>2326.6999999999998</v>
      </c>
      <c r="K1533" s="55">
        <v>9.9</v>
      </c>
      <c r="L1533" s="55">
        <v>0</v>
      </c>
      <c r="M1533" s="55">
        <v>0.2</v>
      </c>
      <c r="N1533" s="55">
        <v>0</v>
      </c>
    </row>
    <row r="1534" spans="1:14" ht="10.050000000000001" hidden="1" customHeight="1">
      <c r="A1534" s="52" t="s">
        <v>307</v>
      </c>
      <c r="B1534" s="53">
        <v>2009</v>
      </c>
      <c r="C1534" s="52" t="s">
        <v>114</v>
      </c>
      <c r="D1534" s="54">
        <v>9</v>
      </c>
      <c r="E1534" s="55">
        <v>1913440.6</v>
      </c>
      <c r="F1534" s="55">
        <v>43259.9</v>
      </c>
      <c r="G1534" s="55">
        <v>1956700.5</v>
      </c>
      <c r="H1534" s="55">
        <v>1666865.3</v>
      </c>
      <c r="I1534" s="55">
        <v>55436.6</v>
      </c>
      <c r="J1534" s="55">
        <v>1722301.9</v>
      </c>
      <c r="K1534" s="55">
        <v>752536.9</v>
      </c>
      <c r="L1534" s="55">
        <v>547581.80000000005</v>
      </c>
      <c r="M1534" s="55">
        <v>100026.1</v>
      </c>
      <c r="N1534" s="55">
        <v>35789.599999999999</v>
      </c>
    </row>
    <row r="1535" spans="1:14" ht="10.050000000000001" hidden="1" customHeight="1">
      <c r="A1535" s="52" t="s">
        <v>315</v>
      </c>
      <c r="B1535" s="53">
        <v>2009</v>
      </c>
      <c r="C1535" s="52" t="s">
        <v>114</v>
      </c>
      <c r="D1535" s="54">
        <v>9</v>
      </c>
      <c r="E1535" s="55">
        <v>13379.7</v>
      </c>
      <c r="F1535" s="55">
        <v>24.6</v>
      </c>
      <c r="G1535" s="55">
        <v>13404.3</v>
      </c>
      <c r="H1535" s="55">
        <v>16601.900000000001</v>
      </c>
      <c r="I1535" s="55">
        <v>56.9</v>
      </c>
      <c r="J1535" s="55">
        <v>16658.8</v>
      </c>
      <c r="K1535" s="55">
        <v>3345.3</v>
      </c>
      <c r="L1535" s="55">
        <v>3470.2</v>
      </c>
      <c r="M1535" s="55">
        <v>419.7</v>
      </c>
      <c r="N1535" s="55">
        <v>0.1</v>
      </c>
    </row>
    <row r="1536" spans="1:14" ht="10.050000000000001" hidden="1" customHeight="1">
      <c r="A1536" s="52" t="s">
        <v>173</v>
      </c>
      <c r="B1536" s="53">
        <v>2009</v>
      </c>
      <c r="C1536" s="52" t="s">
        <v>114</v>
      </c>
      <c r="D1536" s="54">
        <v>9</v>
      </c>
      <c r="E1536" s="55">
        <v>320679.2</v>
      </c>
      <c r="F1536" s="55">
        <v>11930.3</v>
      </c>
      <c r="G1536" s="55">
        <v>332609.5</v>
      </c>
      <c r="H1536" s="55">
        <v>7191632.5</v>
      </c>
      <c r="I1536" s="55">
        <v>75130</v>
      </c>
      <c r="J1536" s="55">
        <v>7266762.5</v>
      </c>
      <c r="K1536" s="55">
        <v>1110249.6000000001</v>
      </c>
      <c r="L1536" s="55">
        <v>21700</v>
      </c>
      <c r="M1536" s="55">
        <v>209764</v>
      </c>
      <c r="N1536" s="55">
        <v>11595.5</v>
      </c>
    </row>
    <row r="1537" spans="1:14" ht="10.050000000000001" customHeight="1">
      <c r="A1537" s="52" t="s">
        <v>309</v>
      </c>
      <c r="B1537" s="53">
        <v>2009</v>
      </c>
      <c r="C1537" s="52" t="s">
        <v>114</v>
      </c>
      <c r="D1537" s="54">
        <v>9</v>
      </c>
      <c r="E1537" s="55">
        <v>49290.3</v>
      </c>
      <c r="F1537" s="55">
        <v>373.2</v>
      </c>
      <c r="G1537" s="55">
        <v>49663.5</v>
      </c>
      <c r="H1537" s="55">
        <v>53047.6</v>
      </c>
      <c r="I1537" s="55">
        <v>0</v>
      </c>
      <c r="J1537" s="55">
        <v>53047.6</v>
      </c>
      <c r="K1537" s="55">
        <v>7722.4</v>
      </c>
      <c r="L1537" s="55">
        <v>7722.4</v>
      </c>
      <c r="M1537" s="55">
        <v>0</v>
      </c>
      <c r="N1537" s="55">
        <v>0</v>
      </c>
    </row>
    <row r="1538" spans="1:14" ht="10.050000000000001" hidden="1" customHeight="1">
      <c r="A1538" s="52" t="s">
        <v>316</v>
      </c>
      <c r="B1538" s="53">
        <v>2009</v>
      </c>
      <c r="C1538" s="52" t="s">
        <v>114</v>
      </c>
      <c r="D1538" s="54">
        <v>9</v>
      </c>
      <c r="E1538" s="55">
        <v>1644.7</v>
      </c>
      <c r="F1538" s="55">
        <v>57.5</v>
      </c>
      <c r="G1538" s="55">
        <v>1702.2</v>
      </c>
      <c r="H1538" s="55">
        <v>1858.6</v>
      </c>
      <c r="I1538" s="55">
        <v>57.7</v>
      </c>
      <c r="J1538" s="55">
        <v>1916.3</v>
      </c>
      <c r="K1538" s="55">
        <v>12.9</v>
      </c>
      <c r="L1538" s="55">
        <v>12.9</v>
      </c>
      <c r="M1538" s="55">
        <v>0</v>
      </c>
      <c r="N1538" s="55">
        <v>0</v>
      </c>
    </row>
    <row r="1539" spans="1:14" ht="10.050000000000001" hidden="1" customHeight="1">
      <c r="A1539" s="52" t="s">
        <v>310</v>
      </c>
      <c r="B1539" s="53">
        <v>2009</v>
      </c>
      <c r="C1539" s="52" t="s">
        <v>114</v>
      </c>
      <c r="D1539" s="54">
        <v>9</v>
      </c>
      <c r="E1539" s="55">
        <v>3231.9</v>
      </c>
      <c r="F1539" s="55">
        <v>482.2</v>
      </c>
      <c r="G1539" s="55">
        <v>3714.1</v>
      </c>
      <c r="H1539" s="55">
        <v>44002.7</v>
      </c>
      <c r="I1539" s="55">
        <v>1396.1</v>
      </c>
      <c r="J1539" s="55">
        <v>45398.8</v>
      </c>
      <c r="K1539" s="55">
        <v>8859.4</v>
      </c>
      <c r="L1539" s="55">
        <v>276.7</v>
      </c>
      <c r="M1539" s="55">
        <v>1353.8</v>
      </c>
      <c r="N1539" s="55">
        <v>18.2</v>
      </c>
    </row>
    <row r="1540" spans="1:14" ht="10.050000000000001" hidden="1" customHeight="1">
      <c r="A1540" s="52" t="s">
        <v>308</v>
      </c>
      <c r="B1540" s="53">
        <v>2009</v>
      </c>
      <c r="C1540" s="52" t="s">
        <v>114</v>
      </c>
      <c r="D1540" s="54">
        <v>9</v>
      </c>
      <c r="E1540" s="55">
        <v>63208</v>
      </c>
      <c r="F1540" s="55">
        <v>478.6</v>
      </c>
      <c r="G1540" s="55">
        <v>63686.6</v>
      </c>
      <c r="H1540" s="55">
        <v>50714.2</v>
      </c>
      <c r="I1540" s="55">
        <v>623.9</v>
      </c>
      <c r="J1540" s="55">
        <v>51338.1</v>
      </c>
      <c r="K1540" s="55">
        <v>7591.2</v>
      </c>
      <c r="L1540" s="55">
        <v>7460.6</v>
      </c>
      <c r="M1540" s="55">
        <v>95.9</v>
      </c>
      <c r="N1540" s="55">
        <v>4.4000000000000004</v>
      </c>
    </row>
    <row r="1541" spans="1:14" ht="10.050000000000001" hidden="1" customHeight="1">
      <c r="A1541" s="52" t="s">
        <v>174</v>
      </c>
      <c r="B1541" s="53">
        <v>2009</v>
      </c>
      <c r="C1541" s="52" t="s">
        <v>114</v>
      </c>
      <c r="D1541" s="54">
        <v>9</v>
      </c>
      <c r="E1541" s="55">
        <v>27171</v>
      </c>
      <c r="F1541" s="55">
        <v>10475.5</v>
      </c>
      <c r="G1541" s="55">
        <v>37646.5</v>
      </c>
      <c r="H1541" s="55">
        <v>468863.7</v>
      </c>
      <c r="I1541" s="55">
        <v>17478</v>
      </c>
      <c r="J1541" s="55">
        <v>486341.7</v>
      </c>
      <c r="K1541" s="55">
        <v>104831.5</v>
      </c>
      <c r="L1541" s="55">
        <v>5078.8999999999996</v>
      </c>
      <c r="M1541" s="55">
        <v>7595.7</v>
      </c>
      <c r="N1541" s="55">
        <v>6376.2</v>
      </c>
    </row>
    <row r="1542" spans="1:14" ht="10.050000000000001" hidden="1" customHeight="1">
      <c r="A1542" s="52" t="s">
        <v>306</v>
      </c>
      <c r="B1542" s="53">
        <v>2009</v>
      </c>
      <c r="C1542" s="52" t="s">
        <v>114</v>
      </c>
      <c r="D1542" s="54">
        <v>10</v>
      </c>
      <c r="E1542" s="55">
        <v>5115.5</v>
      </c>
      <c r="F1542" s="55">
        <v>2127.8000000000002</v>
      </c>
      <c r="G1542" s="55">
        <v>7243.3</v>
      </c>
      <c r="H1542" s="55">
        <v>253908.4</v>
      </c>
      <c r="I1542" s="55">
        <v>7457.6</v>
      </c>
      <c r="J1542" s="55">
        <v>261366</v>
      </c>
      <c r="K1542" s="55">
        <v>24862.1</v>
      </c>
      <c r="L1542" s="55">
        <v>757.8</v>
      </c>
      <c r="M1542" s="55">
        <v>2924.8</v>
      </c>
      <c r="N1542" s="55">
        <v>358.5</v>
      </c>
    </row>
    <row r="1543" spans="1:14" ht="10.050000000000001" hidden="1" customHeight="1">
      <c r="A1543" s="52" t="s">
        <v>172</v>
      </c>
      <c r="B1543" s="53">
        <v>2009</v>
      </c>
      <c r="C1543" s="52" t="s">
        <v>114</v>
      </c>
      <c r="D1543" s="54">
        <v>10</v>
      </c>
      <c r="E1543" s="55">
        <v>60914.400000000001</v>
      </c>
      <c r="F1543" s="55">
        <v>6230.5</v>
      </c>
      <c r="G1543" s="55">
        <v>67144.899999999994</v>
      </c>
      <c r="H1543" s="55">
        <v>690529.9</v>
      </c>
      <c r="I1543" s="55">
        <v>21764.9</v>
      </c>
      <c r="J1543" s="55">
        <v>712294.8</v>
      </c>
      <c r="K1543" s="55">
        <v>281399.2</v>
      </c>
      <c r="L1543" s="55">
        <v>9602.6</v>
      </c>
      <c r="M1543" s="55">
        <v>31123.8</v>
      </c>
      <c r="N1543" s="55">
        <v>962.5</v>
      </c>
    </row>
    <row r="1544" spans="1:14" ht="10.050000000000001" hidden="1" customHeight="1">
      <c r="A1544" s="52" t="s">
        <v>171</v>
      </c>
      <c r="B1544" s="53">
        <v>2009</v>
      </c>
      <c r="C1544" s="52" t="s">
        <v>114</v>
      </c>
      <c r="D1544" s="54">
        <v>10</v>
      </c>
      <c r="E1544" s="55">
        <v>885130.700000001</v>
      </c>
      <c r="F1544" s="55">
        <v>55759.7</v>
      </c>
      <c r="G1544" s="55">
        <v>940890.40000000095</v>
      </c>
      <c r="H1544" s="55">
        <v>11070821.9</v>
      </c>
      <c r="I1544" s="55">
        <v>201866.1</v>
      </c>
      <c r="J1544" s="55">
        <v>11272688</v>
      </c>
      <c r="K1544" s="55">
        <v>4206619.0999999996</v>
      </c>
      <c r="L1544" s="55">
        <v>128188</v>
      </c>
      <c r="M1544" s="55">
        <v>445548.1</v>
      </c>
      <c r="N1544" s="55">
        <v>18409.400000000001</v>
      </c>
    </row>
    <row r="1545" spans="1:14" ht="10.050000000000001" hidden="1" customHeight="1">
      <c r="A1545" s="52" t="s">
        <v>300</v>
      </c>
      <c r="B1545" s="53">
        <v>2009</v>
      </c>
      <c r="C1545" s="52" t="s">
        <v>114</v>
      </c>
      <c r="D1545" s="54">
        <v>10</v>
      </c>
      <c r="E1545" s="55">
        <v>332.4</v>
      </c>
      <c r="F1545" s="55">
        <v>64</v>
      </c>
      <c r="G1545" s="55">
        <v>396.4</v>
      </c>
      <c r="H1545" s="55">
        <v>2244.6999999999998</v>
      </c>
      <c r="I1545" s="55">
        <v>69</v>
      </c>
      <c r="J1545" s="55">
        <v>2313.6999999999998</v>
      </c>
      <c r="K1545" s="55">
        <v>12.6</v>
      </c>
      <c r="L1545" s="55">
        <v>4.0999999999999996</v>
      </c>
      <c r="M1545" s="55">
        <v>0</v>
      </c>
      <c r="N1545" s="55">
        <v>1.4</v>
      </c>
    </row>
    <row r="1546" spans="1:14" ht="10.050000000000001" hidden="1" customHeight="1">
      <c r="A1546" s="52" t="s">
        <v>307</v>
      </c>
      <c r="B1546" s="53">
        <v>2009</v>
      </c>
      <c r="C1546" s="52" t="s">
        <v>114</v>
      </c>
      <c r="D1546" s="54">
        <v>10</v>
      </c>
      <c r="E1546" s="55">
        <v>5701095.0999999996</v>
      </c>
      <c r="F1546" s="55">
        <v>66965.2</v>
      </c>
      <c r="G1546" s="55">
        <v>5768060.2999999998</v>
      </c>
      <c r="H1546" s="55">
        <v>5915525.9000000004</v>
      </c>
      <c r="I1546" s="55">
        <v>99907.1</v>
      </c>
      <c r="J1546" s="55">
        <v>6015433</v>
      </c>
      <c r="K1546" s="55">
        <v>3027308.9</v>
      </c>
      <c r="L1546" s="55">
        <v>2567119</v>
      </c>
      <c r="M1546" s="55">
        <v>211606.6</v>
      </c>
      <c r="N1546" s="55">
        <v>81690.899999999994</v>
      </c>
    </row>
    <row r="1547" spans="1:14" ht="10.050000000000001" hidden="1" customHeight="1">
      <c r="A1547" s="52" t="s">
        <v>315</v>
      </c>
      <c r="B1547" s="53">
        <v>2009</v>
      </c>
      <c r="C1547" s="52" t="s">
        <v>114</v>
      </c>
      <c r="D1547" s="54">
        <v>10</v>
      </c>
      <c r="E1547" s="55">
        <v>10477.299999999999</v>
      </c>
      <c r="F1547" s="55">
        <v>0</v>
      </c>
      <c r="G1547" s="55">
        <v>10477.299999999999</v>
      </c>
      <c r="H1547" s="55">
        <v>24054.5</v>
      </c>
      <c r="I1547" s="55">
        <v>56.9</v>
      </c>
      <c r="J1547" s="55">
        <v>24111.4</v>
      </c>
      <c r="K1547" s="55">
        <v>3862.8</v>
      </c>
      <c r="L1547" s="55">
        <v>1364.1</v>
      </c>
      <c r="M1547" s="55">
        <v>844.2</v>
      </c>
      <c r="N1547" s="55">
        <v>2.4</v>
      </c>
    </row>
    <row r="1548" spans="1:14" ht="10.050000000000001" hidden="1" customHeight="1">
      <c r="A1548" s="52" t="s">
        <v>173</v>
      </c>
      <c r="B1548" s="53">
        <v>2009</v>
      </c>
      <c r="C1548" s="52" t="s">
        <v>114</v>
      </c>
      <c r="D1548" s="54">
        <v>10</v>
      </c>
      <c r="E1548" s="55">
        <v>165665.5</v>
      </c>
      <c r="F1548" s="55">
        <v>14060.4</v>
      </c>
      <c r="G1548" s="55">
        <v>179725.9</v>
      </c>
      <c r="H1548" s="55">
        <v>6761609</v>
      </c>
      <c r="I1548" s="55">
        <v>72309.100000000006</v>
      </c>
      <c r="J1548" s="55">
        <v>6833918.0999999996</v>
      </c>
      <c r="K1548" s="55">
        <v>1022908.6</v>
      </c>
      <c r="L1548" s="55">
        <v>15582.4</v>
      </c>
      <c r="M1548" s="55">
        <v>92575.4</v>
      </c>
      <c r="N1548" s="55">
        <v>10348</v>
      </c>
    </row>
    <row r="1549" spans="1:14" ht="10.050000000000001" customHeight="1">
      <c r="A1549" s="52" t="s">
        <v>309</v>
      </c>
      <c r="B1549" s="53">
        <v>2009</v>
      </c>
      <c r="C1549" s="52" t="s">
        <v>114</v>
      </c>
      <c r="D1549" s="54">
        <v>10</v>
      </c>
      <c r="E1549" s="55">
        <v>59446.2</v>
      </c>
      <c r="F1549" s="55">
        <v>1049.2</v>
      </c>
      <c r="G1549" s="55">
        <v>60495.4</v>
      </c>
      <c r="H1549" s="55">
        <v>100506</v>
      </c>
      <c r="I1549" s="55">
        <v>0</v>
      </c>
      <c r="J1549" s="55">
        <v>100506</v>
      </c>
      <c r="K1549" s="55">
        <v>15232.6</v>
      </c>
      <c r="L1549" s="55">
        <v>7970.5</v>
      </c>
      <c r="M1549" s="55">
        <v>460.3</v>
      </c>
      <c r="N1549" s="55">
        <v>0</v>
      </c>
    </row>
    <row r="1550" spans="1:14" ht="10.050000000000001" hidden="1" customHeight="1">
      <c r="A1550" s="52" t="s">
        <v>316</v>
      </c>
      <c r="B1550" s="53">
        <v>2009</v>
      </c>
      <c r="C1550" s="52" t="s">
        <v>114</v>
      </c>
      <c r="D1550" s="54">
        <v>10</v>
      </c>
      <c r="E1550" s="55">
        <v>3663.3</v>
      </c>
      <c r="F1550" s="55">
        <v>11.6</v>
      </c>
      <c r="G1550" s="55">
        <v>3674.9</v>
      </c>
      <c r="H1550" s="55">
        <v>6790.8</v>
      </c>
      <c r="I1550" s="55">
        <v>69.3</v>
      </c>
      <c r="J1550" s="55">
        <v>6860.1</v>
      </c>
      <c r="K1550" s="55">
        <v>0</v>
      </c>
      <c r="L1550" s="55">
        <v>0</v>
      </c>
      <c r="M1550" s="55">
        <v>12.9</v>
      </c>
      <c r="N1550" s="55">
        <v>0</v>
      </c>
    </row>
    <row r="1551" spans="1:14" ht="10.050000000000001" hidden="1" customHeight="1">
      <c r="A1551" s="52" t="s">
        <v>310</v>
      </c>
      <c r="B1551" s="53">
        <v>2009</v>
      </c>
      <c r="C1551" s="52" t="s">
        <v>114</v>
      </c>
      <c r="D1551" s="54">
        <v>10</v>
      </c>
      <c r="E1551" s="55">
        <v>1815.1</v>
      </c>
      <c r="F1551" s="55">
        <v>436.7</v>
      </c>
      <c r="G1551" s="55">
        <v>2251.8000000000002</v>
      </c>
      <c r="H1551" s="55">
        <v>41864.1</v>
      </c>
      <c r="I1551" s="55">
        <v>1611.2</v>
      </c>
      <c r="J1551" s="55">
        <v>43475.3</v>
      </c>
      <c r="K1551" s="55">
        <v>8275.5</v>
      </c>
      <c r="L1551" s="55">
        <v>58.1</v>
      </c>
      <c r="M1551" s="55">
        <v>625.9</v>
      </c>
      <c r="N1551" s="55">
        <v>16.100000000000001</v>
      </c>
    </row>
    <row r="1552" spans="1:14" ht="10.050000000000001" hidden="1" customHeight="1">
      <c r="A1552" s="52" t="s">
        <v>308</v>
      </c>
      <c r="B1552" s="53">
        <v>2009</v>
      </c>
      <c r="C1552" s="52" t="s">
        <v>114</v>
      </c>
      <c r="D1552" s="54">
        <v>10</v>
      </c>
      <c r="E1552" s="55">
        <v>88819.3</v>
      </c>
      <c r="F1552" s="55">
        <v>104.7</v>
      </c>
      <c r="G1552" s="55">
        <v>88924</v>
      </c>
      <c r="H1552" s="55">
        <v>128238.39999999999</v>
      </c>
      <c r="I1552" s="55">
        <v>582.70000000000005</v>
      </c>
      <c r="J1552" s="55">
        <v>128821.1</v>
      </c>
      <c r="K1552" s="55">
        <v>16887.2</v>
      </c>
      <c r="L1552" s="55">
        <v>11177.4</v>
      </c>
      <c r="M1552" s="55">
        <v>1863.5</v>
      </c>
      <c r="N1552" s="55">
        <v>17.899999999999999</v>
      </c>
    </row>
    <row r="1553" spans="1:14" ht="10.050000000000001" hidden="1" customHeight="1">
      <c r="A1553" s="52" t="s">
        <v>174</v>
      </c>
      <c r="B1553" s="53">
        <v>2009</v>
      </c>
      <c r="C1553" s="52" t="s">
        <v>114</v>
      </c>
      <c r="D1553" s="54">
        <v>10</v>
      </c>
      <c r="E1553" s="55">
        <v>12229.7</v>
      </c>
      <c r="F1553" s="55">
        <v>2482.9</v>
      </c>
      <c r="G1553" s="55">
        <v>14712.6</v>
      </c>
      <c r="H1553" s="55">
        <v>407256.4</v>
      </c>
      <c r="I1553" s="55">
        <v>14991.3</v>
      </c>
      <c r="J1553" s="55">
        <v>422247.7</v>
      </c>
      <c r="K1553" s="55">
        <v>96854.9</v>
      </c>
      <c r="L1553" s="55">
        <v>1988.3</v>
      </c>
      <c r="M1553" s="55">
        <v>4608.8</v>
      </c>
      <c r="N1553" s="55">
        <v>5356.1</v>
      </c>
    </row>
    <row r="1554" spans="1:14" ht="10.050000000000001" hidden="1" customHeight="1">
      <c r="A1554" s="52" t="s">
        <v>306</v>
      </c>
      <c r="B1554" s="53">
        <v>2009</v>
      </c>
      <c r="C1554" s="52" t="s">
        <v>114</v>
      </c>
      <c r="D1554" s="54">
        <v>11</v>
      </c>
      <c r="E1554" s="55">
        <v>4128</v>
      </c>
      <c r="F1554" s="55">
        <v>1344.9</v>
      </c>
      <c r="G1554" s="55">
        <v>5472.9</v>
      </c>
      <c r="H1554" s="55">
        <v>240225.5</v>
      </c>
      <c r="I1554" s="55">
        <v>8045.6</v>
      </c>
      <c r="J1554" s="55">
        <v>248271.1</v>
      </c>
      <c r="K1554" s="55">
        <v>22880.5</v>
      </c>
      <c r="L1554" s="55">
        <v>369.7</v>
      </c>
      <c r="M1554" s="55">
        <v>1472.2</v>
      </c>
      <c r="N1554" s="55">
        <v>879.1</v>
      </c>
    </row>
    <row r="1555" spans="1:14" ht="10.050000000000001" hidden="1" customHeight="1">
      <c r="A1555" s="52" t="s">
        <v>172</v>
      </c>
      <c r="B1555" s="53">
        <v>2009</v>
      </c>
      <c r="C1555" s="52" t="s">
        <v>114</v>
      </c>
      <c r="D1555" s="54">
        <v>11</v>
      </c>
      <c r="E1555" s="55">
        <v>56484.7</v>
      </c>
      <c r="F1555" s="55">
        <v>1874.5</v>
      </c>
      <c r="G1555" s="55">
        <v>58359.199999999997</v>
      </c>
      <c r="H1555" s="55">
        <v>611627.69999999995</v>
      </c>
      <c r="I1555" s="55">
        <v>17854.900000000001</v>
      </c>
      <c r="J1555" s="55">
        <v>629482.6</v>
      </c>
      <c r="K1555" s="55">
        <v>269741.2</v>
      </c>
      <c r="L1555" s="55">
        <v>9111.6</v>
      </c>
      <c r="M1555" s="55">
        <v>19572.599999999999</v>
      </c>
      <c r="N1555" s="55">
        <v>1197</v>
      </c>
    </row>
    <row r="1556" spans="1:14" ht="10.050000000000001" hidden="1" customHeight="1">
      <c r="A1556" s="52" t="s">
        <v>171</v>
      </c>
      <c r="B1556" s="53">
        <v>2009</v>
      </c>
      <c r="C1556" s="52" t="s">
        <v>114</v>
      </c>
      <c r="D1556" s="54">
        <v>11</v>
      </c>
      <c r="E1556" s="55">
        <v>1255469.8</v>
      </c>
      <c r="F1556" s="55">
        <v>45554.1</v>
      </c>
      <c r="G1556" s="55">
        <v>1301023.8999999999</v>
      </c>
      <c r="H1556" s="55">
        <v>9883236.2000000104</v>
      </c>
      <c r="I1556" s="55">
        <v>183205.1</v>
      </c>
      <c r="J1556" s="55">
        <v>10066441.300000001</v>
      </c>
      <c r="K1556" s="55">
        <v>3849018.9</v>
      </c>
      <c r="L1556" s="55">
        <v>251110.9</v>
      </c>
      <c r="M1556" s="55">
        <v>562707.4</v>
      </c>
      <c r="N1556" s="55">
        <v>46003.7</v>
      </c>
    </row>
    <row r="1557" spans="1:14" ht="10.050000000000001" hidden="1" customHeight="1">
      <c r="A1557" s="52" t="s">
        <v>300</v>
      </c>
      <c r="B1557" s="53">
        <v>2009</v>
      </c>
      <c r="C1557" s="52" t="s">
        <v>114</v>
      </c>
      <c r="D1557" s="54">
        <v>11</v>
      </c>
      <c r="E1557" s="55">
        <v>242.8</v>
      </c>
      <c r="F1557" s="55">
        <v>0</v>
      </c>
      <c r="G1557" s="55">
        <v>242.8</v>
      </c>
      <c r="H1557" s="55">
        <v>2207.6999999999998</v>
      </c>
      <c r="I1557" s="55">
        <v>40.5</v>
      </c>
      <c r="J1557" s="55">
        <v>2248.1999999999998</v>
      </c>
      <c r="K1557" s="55">
        <v>12</v>
      </c>
      <c r="L1557" s="55">
        <v>0</v>
      </c>
      <c r="M1557" s="55">
        <v>0</v>
      </c>
      <c r="N1557" s="55">
        <v>0.6</v>
      </c>
    </row>
    <row r="1558" spans="1:14" ht="10.050000000000001" hidden="1" customHeight="1">
      <c r="A1558" s="52" t="s">
        <v>307</v>
      </c>
      <c r="B1558" s="53">
        <v>2009</v>
      </c>
      <c r="C1558" s="52" t="s">
        <v>114</v>
      </c>
      <c r="D1558" s="54">
        <v>11</v>
      </c>
      <c r="E1558" s="55">
        <v>1671094.8</v>
      </c>
      <c r="F1558" s="55">
        <v>83250.5</v>
      </c>
      <c r="G1558" s="55">
        <v>1754345.3</v>
      </c>
      <c r="H1558" s="55">
        <v>6338270.2999999998</v>
      </c>
      <c r="I1558" s="55">
        <v>167855.9</v>
      </c>
      <c r="J1558" s="55">
        <v>6506126.2000000002</v>
      </c>
      <c r="K1558" s="55">
        <v>3032414.3</v>
      </c>
      <c r="L1558" s="55">
        <v>545701.1</v>
      </c>
      <c r="M1558" s="55">
        <v>440212.8</v>
      </c>
      <c r="N1558" s="55">
        <v>105988.9</v>
      </c>
    </row>
    <row r="1559" spans="1:14" ht="10.050000000000001" hidden="1" customHeight="1">
      <c r="A1559" s="52" t="s">
        <v>315</v>
      </c>
      <c r="B1559" s="53">
        <v>2009</v>
      </c>
      <c r="C1559" s="52" t="s">
        <v>114</v>
      </c>
      <c r="D1559" s="54">
        <v>11</v>
      </c>
      <c r="E1559" s="55">
        <v>3464.3</v>
      </c>
      <c r="F1559" s="55">
        <v>0</v>
      </c>
      <c r="G1559" s="55">
        <v>3464.3</v>
      </c>
      <c r="H1559" s="55">
        <v>26748.400000000001</v>
      </c>
      <c r="I1559" s="55">
        <v>56.9</v>
      </c>
      <c r="J1559" s="55">
        <v>26805.3</v>
      </c>
      <c r="K1559" s="55">
        <v>2340.6</v>
      </c>
      <c r="L1559" s="55">
        <v>137.69999999999999</v>
      </c>
      <c r="M1559" s="55">
        <v>1658.8</v>
      </c>
      <c r="N1559" s="55">
        <v>1.1000000000000001</v>
      </c>
    </row>
    <row r="1560" spans="1:14" ht="10.050000000000001" hidden="1" customHeight="1">
      <c r="A1560" s="52" t="s">
        <v>173</v>
      </c>
      <c r="B1560" s="53">
        <v>2009</v>
      </c>
      <c r="C1560" s="52" t="s">
        <v>114</v>
      </c>
      <c r="D1560" s="54">
        <v>11</v>
      </c>
      <c r="E1560" s="55">
        <v>255509.2</v>
      </c>
      <c r="F1560" s="55">
        <v>22498</v>
      </c>
      <c r="G1560" s="55">
        <v>278007.2</v>
      </c>
      <c r="H1560" s="55">
        <v>6418292.5</v>
      </c>
      <c r="I1560" s="55">
        <v>80237.7</v>
      </c>
      <c r="J1560" s="55">
        <v>6498530.2000000002</v>
      </c>
      <c r="K1560" s="55">
        <v>917115</v>
      </c>
      <c r="L1560" s="55">
        <v>22416.5</v>
      </c>
      <c r="M1560" s="55">
        <v>113567.5</v>
      </c>
      <c r="N1560" s="55">
        <v>14642.5</v>
      </c>
    </row>
    <row r="1561" spans="1:14" ht="10.050000000000001" customHeight="1">
      <c r="A1561" s="52" t="s">
        <v>309</v>
      </c>
      <c r="B1561" s="53">
        <v>2009</v>
      </c>
      <c r="C1561" s="52" t="s">
        <v>114</v>
      </c>
      <c r="D1561" s="54">
        <v>11</v>
      </c>
      <c r="E1561" s="55">
        <v>4438.8</v>
      </c>
      <c r="F1561" s="55">
        <v>0</v>
      </c>
      <c r="G1561" s="55">
        <v>4438.8</v>
      </c>
      <c r="H1561" s="55">
        <v>95593.9</v>
      </c>
      <c r="I1561" s="55">
        <v>0</v>
      </c>
      <c r="J1561" s="55">
        <v>95593.9</v>
      </c>
      <c r="K1561" s="55">
        <v>13751.2</v>
      </c>
      <c r="L1561" s="55">
        <v>109.5</v>
      </c>
      <c r="M1561" s="55">
        <v>1590.9</v>
      </c>
      <c r="N1561" s="55">
        <v>0</v>
      </c>
    </row>
    <row r="1562" spans="1:14" ht="10.050000000000001" hidden="1" customHeight="1">
      <c r="A1562" s="52" t="s">
        <v>316</v>
      </c>
      <c r="B1562" s="53">
        <v>2009</v>
      </c>
      <c r="C1562" s="52" t="s">
        <v>114</v>
      </c>
      <c r="D1562" s="54">
        <v>11</v>
      </c>
      <c r="E1562" s="55">
        <v>826.8</v>
      </c>
      <c r="F1562" s="55">
        <v>12.4</v>
      </c>
      <c r="G1562" s="55">
        <v>839.2</v>
      </c>
      <c r="H1562" s="55">
        <v>5990.2</v>
      </c>
      <c r="I1562" s="55">
        <v>81.7</v>
      </c>
      <c r="J1562" s="55">
        <v>6071.9</v>
      </c>
      <c r="K1562" s="55">
        <v>0</v>
      </c>
      <c r="L1562" s="55">
        <v>0</v>
      </c>
      <c r="M1562" s="55">
        <v>0</v>
      </c>
      <c r="N1562" s="55">
        <v>0</v>
      </c>
    </row>
    <row r="1563" spans="1:14" ht="10.050000000000001" hidden="1" customHeight="1">
      <c r="A1563" s="52" t="s">
        <v>310</v>
      </c>
      <c r="B1563" s="53">
        <v>2009</v>
      </c>
      <c r="C1563" s="52" t="s">
        <v>114</v>
      </c>
      <c r="D1563" s="54">
        <v>11</v>
      </c>
      <c r="E1563" s="55">
        <v>2498.1999999999998</v>
      </c>
      <c r="F1563" s="55">
        <v>413.9</v>
      </c>
      <c r="G1563" s="55">
        <v>2912.1</v>
      </c>
      <c r="H1563" s="55">
        <v>40462.199999999997</v>
      </c>
      <c r="I1563" s="55">
        <v>1809.5</v>
      </c>
      <c r="J1563" s="55">
        <v>42271.7</v>
      </c>
      <c r="K1563" s="55">
        <v>7658.3</v>
      </c>
      <c r="L1563" s="55">
        <v>164.9</v>
      </c>
      <c r="M1563" s="55">
        <v>769.6</v>
      </c>
      <c r="N1563" s="55">
        <v>12.5</v>
      </c>
    </row>
    <row r="1564" spans="1:14" ht="10.050000000000001" hidden="1" customHeight="1">
      <c r="A1564" s="52" t="s">
        <v>308</v>
      </c>
      <c r="B1564" s="53">
        <v>2009</v>
      </c>
      <c r="C1564" s="52" t="s">
        <v>114</v>
      </c>
      <c r="D1564" s="54">
        <v>11</v>
      </c>
      <c r="E1564" s="55">
        <v>9508.1</v>
      </c>
      <c r="F1564" s="55">
        <v>0</v>
      </c>
      <c r="G1564" s="55">
        <v>9508.1</v>
      </c>
      <c r="H1564" s="55">
        <v>117520.7</v>
      </c>
      <c r="I1564" s="55">
        <v>582.70000000000005</v>
      </c>
      <c r="J1564" s="55">
        <v>118103.4</v>
      </c>
      <c r="K1564" s="55">
        <v>16055.3</v>
      </c>
      <c r="L1564" s="55">
        <v>1645</v>
      </c>
      <c r="M1564" s="55">
        <v>2238.1999999999998</v>
      </c>
      <c r="N1564" s="55">
        <v>238.7</v>
      </c>
    </row>
    <row r="1565" spans="1:14" ht="10.050000000000001" hidden="1" customHeight="1">
      <c r="A1565" s="52" t="s">
        <v>174</v>
      </c>
      <c r="B1565" s="53">
        <v>2009</v>
      </c>
      <c r="C1565" s="52" t="s">
        <v>114</v>
      </c>
      <c r="D1565" s="54">
        <v>11</v>
      </c>
      <c r="E1565" s="55">
        <v>12459.4</v>
      </c>
      <c r="F1565" s="55">
        <v>2002.4</v>
      </c>
      <c r="G1565" s="55">
        <v>14461.8</v>
      </c>
      <c r="H1565" s="55">
        <v>350527.6</v>
      </c>
      <c r="I1565" s="55">
        <v>12344.5</v>
      </c>
      <c r="J1565" s="55">
        <v>362872.1</v>
      </c>
      <c r="K1565" s="55">
        <v>87056.1</v>
      </c>
      <c r="L1565" s="55">
        <v>2848.5</v>
      </c>
      <c r="M1565" s="55">
        <v>5232.8</v>
      </c>
      <c r="N1565" s="55">
        <v>7414.5</v>
      </c>
    </row>
    <row r="1566" spans="1:14" ht="10.050000000000001" hidden="1" customHeight="1">
      <c r="A1566" s="52" t="s">
        <v>306</v>
      </c>
      <c r="B1566" s="53">
        <v>2009</v>
      </c>
      <c r="C1566" s="52" t="s">
        <v>114</v>
      </c>
      <c r="D1566" s="54">
        <v>12</v>
      </c>
      <c r="E1566" s="55">
        <v>4856.2</v>
      </c>
      <c r="F1566" s="55">
        <v>1087.7</v>
      </c>
      <c r="G1566" s="55">
        <v>5943.9</v>
      </c>
      <c r="H1566" s="55">
        <v>229947.3</v>
      </c>
      <c r="I1566" s="55">
        <v>8541.9</v>
      </c>
      <c r="J1566" s="55">
        <v>238489.2</v>
      </c>
      <c r="K1566" s="55">
        <v>21402</v>
      </c>
      <c r="L1566" s="55">
        <v>598.5</v>
      </c>
      <c r="M1566" s="55">
        <v>1825.4</v>
      </c>
      <c r="N1566" s="55">
        <v>251.6</v>
      </c>
    </row>
    <row r="1567" spans="1:14" ht="10.050000000000001" hidden="1" customHeight="1">
      <c r="A1567" s="52" t="s">
        <v>172</v>
      </c>
      <c r="B1567" s="53">
        <v>2009</v>
      </c>
      <c r="C1567" s="52" t="s">
        <v>114</v>
      </c>
      <c r="D1567" s="54">
        <v>12</v>
      </c>
      <c r="E1567" s="55">
        <v>85900.2</v>
      </c>
      <c r="F1567" s="55">
        <v>255.2</v>
      </c>
      <c r="G1567" s="55">
        <v>86155.4</v>
      </c>
      <c r="H1567" s="55">
        <v>565898.80000000005</v>
      </c>
      <c r="I1567" s="55">
        <v>16446</v>
      </c>
      <c r="J1567" s="55">
        <v>582344.80000000005</v>
      </c>
      <c r="K1567" s="55">
        <v>231914</v>
      </c>
      <c r="L1567" s="55">
        <v>10901.7</v>
      </c>
      <c r="M1567" s="55">
        <v>29478.799999999999</v>
      </c>
      <c r="N1567" s="55">
        <v>19250.099999999999</v>
      </c>
    </row>
    <row r="1568" spans="1:14" ht="10.050000000000001" hidden="1" customHeight="1">
      <c r="A1568" s="52" t="s">
        <v>171</v>
      </c>
      <c r="B1568" s="53">
        <v>2009</v>
      </c>
      <c r="C1568" s="52" t="s">
        <v>114</v>
      </c>
      <c r="D1568" s="54">
        <v>12</v>
      </c>
      <c r="E1568" s="55">
        <v>1145431</v>
      </c>
      <c r="F1568" s="55">
        <v>21574.9</v>
      </c>
      <c r="G1568" s="55">
        <v>1167005.8999999999</v>
      </c>
      <c r="H1568" s="55">
        <v>8937577</v>
      </c>
      <c r="I1568" s="55">
        <v>178618.9</v>
      </c>
      <c r="J1568" s="55">
        <v>9116195.9000000004</v>
      </c>
      <c r="K1568" s="55">
        <v>3628980.8</v>
      </c>
      <c r="L1568" s="55">
        <v>292887.3</v>
      </c>
      <c r="M1568" s="55">
        <v>476501.3</v>
      </c>
      <c r="N1568" s="55">
        <v>36900.400000000001</v>
      </c>
    </row>
    <row r="1569" spans="1:14" ht="10.050000000000001" hidden="1" customHeight="1">
      <c r="A1569" s="52" t="s">
        <v>300</v>
      </c>
      <c r="B1569" s="53">
        <v>2009</v>
      </c>
      <c r="C1569" s="52" t="s">
        <v>114</v>
      </c>
      <c r="D1569" s="54">
        <v>12</v>
      </c>
      <c r="E1569" s="55">
        <v>141.6</v>
      </c>
      <c r="F1569" s="55">
        <v>0</v>
      </c>
      <c r="G1569" s="55">
        <v>141.6</v>
      </c>
      <c r="H1569" s="55">
        <v>2111</v>
      </c>
      <c r="I1569" s="55">
        <v>40.5</v>
      </c>
      <c r="J1569" s="55">
        <v>2151.5</v>
      </c>
      <c r="K1569" s="55">
        <v>11.7</v>
      </c>
      <c r="L1569" s="55">
        <v>3.5</v>
      </c>
      <c r="M1569" s="55">
        <v>0</v>
      </c>
      <c r="N1569" s="55">
        <v>3.8</v>
      </c>
    </row>
    <row r="1570" spans="1:14" ht="10.050000000000001" hidden="1" customHeight="1">
      <c r="A1570" s="52" t="s">
        <v>307</v>
      </c>
      <c r="B1570" s="53">
        <v>2009</v>
      </c>
      <c r="C1570" s="52" t="s">
        <v>114</v>
      </c>
      <c r="D1570" s="54">
        <v>12</v>
      </c>
      <c r="E1570" s="55">
        <v>445097.7</v>
      </c>
      <c r="F1570" s="55">
        <v>105</v>
      </c>
      <c r="G1570" s="55">
        <v>445202.7</v>
      </c>
      <c r="H1570" s="55">
        <v>5844289.5</v>
      </c>
      <c r="I1570" s="55">
        <v>129590</v>
      </c>
      <c r="J1570" s="55">
        <v>5973879.5</v>
      </c>
      <c r="K1570" s="55">
        <v>2788807.8</v>
      </c>
      <c r="L1570" s="55">
        <v>67263.5</v>
      </c>
      <c r="M1570" s="55">
        <v>252462.1</v>
      </c>
      <c r="N1570" s="55">
        <v>57890.9</v>
      </c>
    </row>
    <row r="1571" spans="1:14" ht="10.050000000000001" hidden="1" customHeight="1">
      <c r="A1571" s="52" t="s">
        <v>315</v>
      </c>
      <c r="B1571" s="53">
        <v>2009</v>
      </c>
      <c r="C1571" s="52" t="s">
        <v>114</v>
      </c>
      <c r="D1571" s="54">
        <v>12</v>
      </c>
      <c r="E1571" s="55">
        <v>821.2</v>
      </c>
      <c r="F1571" s="55">
        <v>0</v>
      </c>
      <c r="G1571" s="55">
        <v>821.2</v>
      </c>
      <c r="H1571" s="55">
        <v>25557.5</v>
      </c>
      <c r="I1571" s="55">
        <v>48.6</v>
      </c>
      <c r="J1571" s="55">
        <v>25606.1</v>
      </c>
      <c r="K1571" s="55">
        <v>2122.1</v>
      </c>
      <c r="L1571" s="55">
        <v>75.599999999999994</v>
      </c>
      <c r="M1571" s="55">
        <v>269.7</v>
      </c>
      <c r="N1571" s="55">
        <v>24.4</v>
      </c>
    </row>
    <row r="1572" spans="1:14" ht="10.050000000000001" hidden="1" customHeight="1">
      <c r="A1572" s="52" t="s">
        <v>173</v>
      </c>
      <c r="B1572" s="53">
        <v>2009</v>
      </c>
      <c r="C1572" s="52" t="s">
        <v>114</v>
      </c>
      <c r="D1572" s="54">
        <v>12</v>
      </c>
      <c r="E1572" s="55">
        <v>234640.9</v>
      </c>
      <c r="F1572" s="55">
        <v>15505.4</v>
      </c>
      <c r="G1572" s="55">
        <v>250146.3</v>
      </c>
      <c r="H1572" s="55">
        <v>6034303.2000000002</v>
      </c>
      <c r="I1572" s="55">
        <v>83198.3</v>
      </c>
      <c r="J1572" s="55">
        <v>6117501.5</v>
      </c>
      <c r="K1572" s="55">
        <v>830385.6</v>
      </c>
      <c r="L1572" s="55">
        <v>37823.5</v>
      </c>
      <c r="M1572" s="55">
        <v>108429.3</v>
      </c>
      <c r="N1572" s="55">
        <v>16184.1</v>
      </c>
    </row>
    <row r="1573" spans="1:14" ht="10.050000000000001" customHeight="1">
      <c r="A1573" s="52" t="s">
        <v>309</v>
      </c>
      <c r="B1573" s="53">
        <v>2009</v>
      </c>
      <c r="C1573" s="52" t="s">
        <v>114</v>
      </c>
      <c r="D1573" s="54">
        <v>12</v>
      </c>
      <c r="E1573" s="55">
        <v>1679.8</v>
      </c>
      <c r="F1573" s="55">
        <v>0</v>
      </c>
      <c r="G1573" s="55">
        <v>1679.8</v>
      </c>
      <c r="H1573" s="55">
        <v>91366.5</v>
      </c>
      <c r="I1573" s="55">
        <v>0</v>
      </c>
      <c r="J1573" s="55">
        <v>91366.5</v>
      </c>
      <c r="K1573" s="55">
        <v>12404.2</v>
      </c>
      <c r="L1573" s="55">
        <v>0</v>
      </c>
      <c r="M1573" s="55">
        <v>1347</v>
      </c>
      <c r="N1573" s="55">
        <v>0</v>
      </c>
    </row>
    <row r="1574" spans="1:14" ht="10.050000000000001" hidden="1" customHeight="1">
      <c r="A1574" s="52" t="s">
        <v>316</v>
      </c>
      <c r="B1574" s="53">
        <v>2009</v>
      </c>
      <c r="C1574" s="52" t="s">
        <v>114</v>
      </c>
      <c r="D1574" s="54">
        <v>12</v>
      </c>
      <c r="E1574" s="55">
        <v>278.10000000000002</v>
      </c>
      <c r="F1574" s="55">
        <v>5.8</v>
      </c>
      <c r="G1574" s="55">
        <v>283.89999999999998</v>
      </c>
      <c r="H1574" s="55">
        <v>5880.5</v>
      </c>
      <c r="I1574" s="55">
        <v>87.5</v>
      </c>
      <c r="J1574" s="55">
        <v>5968</v>
      </c>
      <c r="K1574" s="55">
        <v>12.1</v>
      </c>
      <c r="L1574" s="55">
        <v>12.1</v>
      </c>
      <c r="M1574" s="55">
        <v>0</v>
      </c>
      <c r="N1574" s="55">
        <v>0</v>
      </c>
    </row>
    <row r="1575" spans="1:14" ht="10.050000000000001" hidden="1" customHeight="1">
      <c r="A1575" s="52" t="s">
        <v>310</v>
      </c>
      <c r="B1575" s="53">
        <v>2009</v>
      </c>
      <c r="C1575" s="52" t="s">
        <v>114</v>
      </c>
      <c r="D1575" s="54">
        <v>12</v>
      </c>
      <c r="E1575" s="55">
        <v>5120.8999999999996</v>
      </c>
      <c r="F1575" s="55">
        <v>9.1999999999999993</v>
      </c>
      <c r="G1575" s="55">
        <v>5130.1000000000004</v>
      </c>
      <c r="H1575" s="55">
        <v>41420.199999999997</v>
      </c>
      <c r="I1575" s="55">
        <v>1389.4</v>
      </c>
      <c r="J1575" s="55">
        <v>42809.599999999999</v>
      </c>
      <c r="K1575" s="55">
        <v>4393.3999999999996</v>
      </c>
      <c r="L1575" s="55">
        <v>35.200000000000003</v>
      </c>
      <c r="M1575" s="55">
        <v>3277.4</v>
      </c>
      <c r="N1575" s="55">
        <v>22.7</v>
      </c>
    </row>
    <row r="1576" spans="1:14" ht="10.050000000000001" hidden="1" customHeight="1">
      <c r="A1576" s="52" t="s">
        <v>308</v>
      </c>
      <c r="B1576" s="53">
        <v>2009</v>
      </c>
      <c r="C1576" s="52" t="s">
        <v>114</v>
      </c>
      <c r="D1576" s="54">
        <v>12</v>
      </c>
      <c r="E1576" s="55">
        <v>4194.7</v>
      </c>
      <c r="F1576" s="55">
        <v>0</v>
      </c>
      <c r="G1576" s="55">
        <v>4194.7</v>
      </c>
      <c r="H1576" s="55">
        <v>104502.8</v>
      </c>
      <c r="I1576" s="55">
        <v>582.70000000000005</v>
      </c>
      <c r="J1576" s="55">
        <v>105085.5</v>
      </c>
      <c r="K1576" s="55">
        <v>14683.7</v>
      </c>
      <c r="L1576" s="55">
        <v>853.6</v>
      </c>
      <c r="M1576" s="55">
        <v>2224.3000000000002</v>
      </c>
      <c r="N1576" s="55">
        <v>0.9</v>
      </c>
    </row>
    <row r="1577" spans="1:14" ht="10.050000000000001" hidden="1" customHeight="1">
      <c r="A1577" s="52" t="s">
        <v>174</v>
      </c>
      <c r="B1577" s="53">
        <v>2009</v>
      </c>
      <c r="C1577" s="52" t="s">
        <v>114</v>
      </c>
      <c r="D1577" s="54">
        <v>12</v>
      </c>
      <c r="E1577" s="55">
        <v>8979</v>
      </c>
      <c r="F1577" s="55">
        <v>703.9</v>
      </c>
      <c r="G1577" s="55">
        <v>9682.9</v>
      </c>
      <c r="H1577" s="55">
        <v>289719.3</v>
      </c>
      <c r="I1577" s="55">
        <v>12182.2</v>
      </c>
      <c r="J1577" s="55">
        <v>301901.5</v>
      </c>
      <c r="K1577" s="55">
        <v>79038</v>
      </c>
      <c r="L1577" s="55">
        <v>2351.1</v>
      </c>
      <c r="M1577" s="55">
        <v>4833.7</v>
      </c>
      <c r="N1577" s="55">
        <v>5535.5</v>
      </c>
    </row>
    <row r="1578" spans="1:14" ht="10.050000000000001" hidden="1" customHeight="1">
      <c r="A1578" s="52" t="s">
        <v>173</v>
      </c>
      <c r="B1578" s="53">
        <v>2010</v>
      </c>
      <c r="C1578" s="52" t="s">
        <v>107</v>
      </c>
      <c r="D1578" s="54">
        <v>6</v>
      </c>
      <c r="E1578" s="55">
        <v>59.9</v>
      </c>
      <c r="F1578" s="55">
        <v>0</v>
      </c>
      <c r="G1578" s="55">
        <v>59.9</v>
      </c>
      <c r="H1578" s="55">
        <v>38.700000000000003</v>
      </c>
      <c r="I1578" s="55">
        <v>0</v>
      </c>
      <c r="J1578" s="55">
        <v>38.700000000000003</v>
      </c>
      <c r="K1578" s="55">
        <v>136.6</v>
      </c>
      <c r="L1578" s="55">
        <v>175.8</v>
      </c>
      <c r="M1578" s="55">
        <v>39.200000000000003</v>
      </c>
      <c r="N1578" s="55">
        <v>0</v>
      </c>
    </row>
    <row r="1579" spans="1:14" ht="10.050000000000001" hidden="1" customHeight="1">
      <c r="A1579" s="52" t="s">
        <v>306</v>
      </c>
      <c r="B1579" s="53">
        <v>2010</v>
      </c>
      <c r="C1579" s="52" t="s">
        <v>114</v>
      </c>
      <c r="D1579" s="54">
        <v>1</v>
      </c>
      <c r="E1579" s="55">
        <v>5943.5</v>
      </c>
      <c r="F1579" s="55">
        <v>674.5</v>
      </c>
      <c r="G1579" s="55">
        <v>6618</v>
      </c>
      <c r="H1579" s="55">
        <v>213865.8</v>
      </c>
      <c r="I1579" s="55">
        <v>8516.2000000000007</v>
      </c>
      <c r="J1579" s="55">
        <v>222382</v>
      </c>
      <c r="K1579" s="55">
        <v>17856.5</v>
      </c>
      <c r="L1579" s="55">
        <v>721.8</v>
      </c>
      <c r="M1579" s="55">
        <v>3470.3</v>
      </c>
      <c r="N1579" s="55">
        <v>828.3</v>
      </c>
    </row>
    <row r="1580" spans="1:14" ht="10.050000000000001" hidden="1" customHeight="1">
      <c r="A1580" s="52" t="s">
        <v>172</v>
      </c>
      <c r="B1580" s="53">
        <v>2010</v>
      </c>
      <c r="C1580" s="52" t="s">
        <v>114</v>
      </c>
      <c r="D1580" s="54">
        <v>1</v>
      </c>
      <c r="E1580" s="55">
        <v>105115.2</v>
      </c>
      <c r="F1580" s="55">
        <v>841.9</v>
      </c>
      <c r="G1580" s="55">
        <v>105957.1</v>
      </c>
      <c r="H1580" s="55">
        <v>537901</v>
      </c>
      <c r="I1580" s="55">
        <v>14513.9</v>
      </c>
      <c r="J1580" s="55">
        <v>552414.9</v>
      </c>
      <c r="K1580" s="55">
        <v>184991.8</v>
      </c>
      <c r="L1580" s="55">
        <v>7380.5</v>
      </c>
      <c r="M1580" s="55">
        <v>53918</v>
      </c>
      <c r="N1580" s="55">
        <v>966.2</v>
      </c>
    </row>
    <row r="1581" spans="1:14" ht="10.050000000000001" hidden="1" customHeight="1">
      <c r="A1581" s="52" t="s">
        <v>171</v>
      </c>
      <c r="B1581" s="53">
        <v>2010</v>
      </c>
      <c r="C1581" s="52" t="s">
        <v>114</v>
      </c>
      <c r="D1581" s="54">
        <v>1</v>
      </c>
      <c r="E1581" s="55">
        <v>1895283.6</v>
      </c>
      <c r="F1581" s="55">
        <v>8783.4</v>
      </c>
      <c r="G1581" s="55">
        <v>1904067</v>
      </c>
      <c r="H1581" s="55">
        <v>8290330.2000000002</v>
      </c>
      <c r="I1581" s="55">
        <v>165169.9</v>
      </c>
      <c r="J1581" s="55">
        <v>8455500.0999999996</v>
      </c>
      <c r="K1581" s="55">
        <v>3202230.7</v>
      </c>
      <c r="L1581" s="55">
        <v>334028.7</v>
      </c>
      <c r="M1581" s="55">
        <v>733646.7</v>
      </c>
      <c r="N1581" s="55">
        <v>38437.699999999997</v>
      </c>
    </row>
    <row r="1582" spans="1:14" ht="10.050000000000001" hidden="1" customHeight="1">
      <c r="A1582" s="52" t="s">
        <v>300</v>
      </c>
      <c r="B1582" s="53">
        <v>2010</v>
      </c>
      <c r="C1582" s="52" t="s">
        <v>114</v>
      </c>
      <c r="D1582" s="54">
        <v>1</v>
      </c>
      <c r="E1582" s="55">
        <v>139.9</v>
      </c>
      <c r="F1582" s="55">
        <v>0</v>
      </c>
      <c r="G1582" s="55">
        <v>139.9</v>
      </c>
      <c r="H1582" s="55">
        <v>1967.7</v>
      </c>
      <c r="I1582" s="55">
        <v>40.5</v>
      </c>
      <c r="J1582" s="55">
        <v>2008.2</v>
      </c>
      <c r="K1582" s="55">
        <v>13.1</v>
      </c>
      <c r="L1582" s="55">
        <v>1.6</v>
      </c>
      <c r="M1582" s="55">
        <v>0</v>
      </c>
      <c r="N1582" s="55">
        <v>0.2</v>
      </c>
    </row>
    <row r="1583" spans="1:14" ht="10.050000000000001" hidden="1" customHeight="1">
      <c r="A1583" s="52" t="s">
        <v>307</v>
      </c>
      <c r="B1583" s="53">
        <v>2010</v>
      </c>
      <c r="C1583" s="52" t="s">
        <v>114</v>
      </c>
      <c r="D1583" s="54">
        <v>1</v>
      </c>
      <c r="E1583" s="55">
        <v>613159</v>
      </c>
      <c r="F1583" s="55">
        <v>2535.6999999999998</v>
      </c>
      <c r="G1583" s="55">
        <v>615694.69999999995</v>
      </c>
      <c r="H1583" s="55">
        <v>5430843.7999999998</v>
      </c>
      <c r="I1583" s="55">
        <v>109814.9</v>
      </c>
      <c r="J1583" s="55">
        <v>5540658.7000000002</v>
      </c>
      <c r="K1583" s="55">
        <v>2343166.9</v>
      </c>
      <c r="L1583" s="55">
        <v>25128.6</v>
      </c>
      <c r="M1583" s="55">
        <v>406527</v>
      </c>
      <c r="N1583" s="55">
        <v>70411.3</v>
      </c>
    </row>
    <row r="1584" spans="1:14" ht="10.050000000000001" hidden="1" customHeight="1">
      <c r="A1584" s="52" t="s">
        <v>315</v>
      </c>
      <c r="B1584" s="53">
        <v>2010</v>
      </c>
      <c r="C1584" s="52" t="s">
        <v>114</v>
      </c>
      <c r="D1584" s="54">
        <v>1</v>
      </c>
      <c r="E1584" s="55">
        <v>767.9</v>
      </c>
      <c r="F1584" s="55">
        <v>0</v>
      </c>
      <c r="G1584" s="55">
        <v>767.9</v>
      </c>
      <c r="H1584" s="55">
        <v>24352.5</v>
      </c>
      <c r="I1584" s="55">
        <v>48.6</v>
      </c>
      <c r="J1584" s="55">
        <v>24401.1</v>
      </c>
      <c r="K1584" s="55">
        <v>847.3</v>
      </c>
      <c r="L1584" s="55">
        <v>54.1</v>
      </c>
      <c r="M1584" s="55">
        <v>1328.9</v>
      </c>
      <c r="N1584" s="55">
        <v>0</v>
      </c>
    </row>
    <row r="1585" spans="1:14" ht="10.050000000000001" hidden="1" customHeight="1">
      <c r="A1585" s="52" t="s">
        <v>173</v>
      </c>
      <c r="B1585" s="53">
        <v>2010</v>
      </c>
      <c r="C1585" s="52" t="s">
        <v>114</v>
      </c>
      <c r="D1585" s="54">
        <v>1</v>
      </c>
      <c r="E1585" s="55">
        <v>391174.1</v>
      </c>
      <c r="F1585" s="55">
        <v>10139</v>
      </c>
      <c r="G1585" s="55">
        <v>401313.1</v>
      </c>
      <c r="H1585" s="55">
        <v>5678112.2999999998</v>
      </c>
      <c r="I1585" s="55">
        <v>75646.3</v>
      </c>
      <c r="J1585" s="55">
        <v>5753758.5999999996</v>
      </c>
      <c r="K1585" s="55">
        <v>640843.80000000005</v>
      </c>
      <c r="L1585" s="55">
        <v>43087.7</v>
      </c>
      <c r="M1585" s="55">
        <v>216271.6</v>
      </c>
      <c r="N1585" s="55">
        <v>25597.9</v>
      </c>
    </row>
    <row r="1586" spans="1:14" ht="10.050000000000001" customHeight="1">
      <c r="A1586" s="52" t="s">
        <v>309</v>
      </c>
      <c r="B1586" s="53">
        <v>2010</v>
      </c>
      <c r="C1586" s="52" t="s">
        <v>114</v>
      </c>
      <c r="D1586" s="54">
        <v>1</v>
      </c>
      <c r="E1586" s="55">
        <v>4788.7</v>
      </c>
      <c r="F1586" s="55">
        <v>0</v>
      </c>
      <c r="G1586" s="55">
        <v>4788.7</v>
      </c>
      <c r="H1586" s="55">
        <v>86679.8</v>
      </c>
      <c r="I1586" s="55">
        <v>0</v>
      </c>
      <c r="J1586" s="55">
        <v>86679.8</v>
      </c>
      <c r="K1586" s="55">
        <v>8673.2000000000007</v>
      </c>
      <c r="L1586" s="55">
        <v>0</v>
      </c>
      <c r="M1586" s="55">
        <v>3731</v>
      </c>
      <c r="N1586" s="55">
        <v>0</v>
      </c>
    </row>
    <row r="1587" spans="1:14" ht="10.050000000000001" hidden="1" customHeight="1">
      <c r="A1587" s="52" t="s">
        <v>316</v>
      </c>
      <c r="B1587" s="53">
        <v>2010</v>
      </c>
      <c r="C1587" s="52" t="s">
        <v>114</v>
      </c>
      <c r="D1587" s="54">
        <v>1</v>
      </c>
      <c r="E1587" s="55">
        <v>195.5</v>
      </c>
      <c r="F1587" s="55">
        <v>0</v>
      </c>
      <c r="G1587" s="55">
        <v>195.5</v>
      </c>
      <c r="H1587" s="55">
        <v>5551.4</v>
      </c>
      <c r="I1587" s="55">
        <v>87.5</v>
      </c>
      <c r="J1587" s="55">
        <v>5638.9</v>
      </c>
      <c r="K1587" s="55">
        <v>1</v>
      </c>
      <c r="L1587" s="55">
        <v>14</v>
      </c>
      <c r="M1587" s="55">
        <v>25.1</v>
      </c>
      <c r="N1587" s="55">
        <v>0</v>
      </c>
    </row>
    <row r="1588" spans="1:14" ht="10.050000000000001" hidden="1" customHeight="1">
      <c r="A1588" s="52" t="s">
        <v>310</v>
      </c>
      <c r="B1588" s="53">
        <v>2010</v>
      </c>
      <c r="C1588" s="52" t="s">
        <v>114</v>
      </c>
      <c r="D1588" s="54">
        <v>1</v>
      </c>
      <c r="E1588" s="55">
        <v>1736.6</v>
      </c>
      <c r="F1588" s="55">
        <v>0</v>
      </c>
      <c r="G1588" s="55">
        <v>1736.6</v>
      </c>
      <c r="H1588" s="55">
        <v>40121.199999999997</v>
      </c>
      <c r="I1588" s="55">
        <v>1371.7</v>
      </c>
      <c r="J1588" s="55">
        <v>41492.9</v>
      </c>
      <c r="K1588" s="55">
        <v>4209.7</v>
      </c>
      <c r="L1588" s="55">
        <v>287.89999999999998</v>
      </c>
      <c r="M1588" s="55">
        <v>417.9</v>
      </c>
      <c r="N1588" s="55">
        <v>70.900000000000006</v>
      </c>
    </row>
    <row r="1589" spans="1:14" ht="10.050000000000001" hidden="1" customHeight="1">
      <c r="A1589" s="52" t="s">
        <v>308</v>
      </c>
      <c r="B1589" s="53">
        <v>2010</v>
      </c>
      <c r="C1589" s="52" t="s">
        <v>114</v>
      </c>
      <c r="D1589" s="54">
        <v>1</v>
      </c>
      <c r="E1589" s="55">
        <v>4675.3</v>
      </c>
      <c r="F1589" s="55">
        <v>0</v>
      </c>
      <c r="G1589" s="55">
        <v>4675.3</v>
      </c>
      <c r="H1589" s="55">
        <v>90460.3</v>
      </c>
      <c r="I1589" s="55">
        <v>582.70000000000005</v>
      </c>
      <c r="J1589" s="55">
        <v>91043</v>
      </c>
      <c r="K1589" s="55">
        <v>11095.6</v>
      </c>
      <c r="L1589" s="55">
        <v>177.2</v>
      </c>
      <c r="M1589" s="55">
        <v>3535.9</v>
      </c>
      <c r="N1589" s="55">
        <v>229.4</v>
      </c>
    </row>
    <row r="1590" spans="1:14" ht="10.050000000000001" hidden="1" customHeight="1">
      <c r="A1590" s="52" t="s">
        <v>174</v>
      </c>
      <c r="B1590" s="53">
        <v>2010</v>
      </c>
      <c r="C1590" s="52" t="s">
        <v>114</v>
      </c>
      <c r="D1590" s="54">
        <v>1</v>
      </c>
      <c r="E1590" s="55">
        <v>11051.8</v>
      </c>
      <c r="F1590" s="55">
        <v>212.1</v>
      </c>
      <c r="G1590" s="55">
        <v>11263.9</v>
      </c>
      <c r="H1590" s="55">
        <v>228222.2</v>
      </c>
      <c r="I1590" s="55">
        <v>11888.5</v>
      </c>
      <c r="J1590" s="55">
        <v>240110.7</v>
      </c>
      <c r="K1590" s="55">
        <v>68936.3</v>
      </c>
      <c r="L1590" s="55">
        <v>2519.6999999999998</v>
      </c>
      <c r="M1590" s="55">
        <v>5289</v>
      </c>
      <c r="N1590" s="55">
        <v>8497.5</v>
      </c>
    </row>
    <row r="1591" spans="1:14" ht="10.050000000000001" hidden="1" customHeight="1">
      <c r="A1591" s="52" t="s">
        <v>306</v>
      </c>
      <c r="B1591" s="53">
        <v>2010</v>
      </c>
      <c r="C1591" s="52" t="s">
        <v>114</v>
      </c>
      <c r="D1591" s="54">
        <v>2</v>
      </c>
      <c r="E1591" s="55">
        <v>6698.2</v>
      </c>
      <c r="F1591" s="55">
        <v>777.1</v>
      </c>
      <c r="G1591" s="55">
        <v>7475.3</v>
      </c>
      <c r="H1591" s="55">
        <v>198133.1</v>
      </c>
      <c r="I1591" s="55">
        <v>7599.3</v>
      </c>
      <c r="J1591" s="55">
        <v>205732.4</v>
      </c>
      <c r="K1591" s="55">
        <v>14097.5</v>
      </c>
      <c r="L1591" s="55">
        <v>309.10000000000002</v>
      </c>
      <c r="M1591" s="55">
        <v>3480</v>
      </c>
      <c r="N1591" s="55">
        <v>588.1</v>
      </c>
    </row>
    <row r="1592" spans="1:14" ht="10.050000000000001" hidden="1" customHeight="1">
      <c r="A1592" s="52" t="s">
        <v>172</v>
      </c>
      <c r="B1592" s="53">
        <v>2010</v>
      </c>
      <c r="C1592" s="52" t="s">
        <v>114</v>
      </c>
      <c r="D1592" s="54">
        <v>2</v>
      </c>
      <c r="E1592" s="55">
        <v>138784.4</v>
      </c>
      <c r="F1592" s="55">
        <v>535.5</v>
      </c>
      <c r="G1592" s="55">
        <v>139319.9</v>
      </c>
      <c r="H1592" s="55">
        <v>499528.8</v>
      </c>
      <c r="I1592" s="55">
        <v>14066.2</v>
      </c>
      <c r="J1592" s="55">
        <v>513595</v>
      </c>
      <c r="K1592" s="55">
        <v>145715.1</v>
      </c>
      <c r="L1592" s="55">
        <v>18810.900000000001</v>
      </c>
      <c r="M1592" s="55">
        <v>57352.1</v>
      </c>
      <c r="N1592" s="55">
        <v>735.5</v>
      </c>
    </row>
    <row r="1593" spans="1:14" ht="10.050000000000001" hidden="1" customHeight="1">
      <c r="A1593" s="52" t="s">
        <v>171</v>
      </c>
      <c r="B1593" s="53">
        <v>2010</v>
      </c>
      <c r="C1593" s="52" t="s">
        <v>114</v>
      </c>
      <c r="D1593" s="54">
        <v>2</v>
      </c>
      <c r="E1593" s="55">
        <v>1735982.9</v>
      </c>
      <c r="F1593" s="55">
        <v>11323.4</v>
      </c>
      <c r="G1593" s="55">
        <v>1747306.3</v>
      </c>
      <c r="H1593" s="55">
        <v>7316770.5999999996</v>
      </c>
      <c r="I1593" s="55">
        <v>146910.39999999999</v>
      </c>
      <c r="J1593" s="55">
        <v>7463681</v>
      </c>
      <c r="K1593" s="55">
        <v>2909072.6</v>
      </c>
      <c r="L1593" s="55">
        <v>350962.3</v>
      </c>
      <c r="M1593" s="55">
        <v>623616.1</v>
      </c>
      <c r="N1593" s="55">
        <v>20506.900000000001</v>
      </c>
    </row>
    <row r="1594" spans="1:14" ht="10.050000000000001" hidden="1" customHeight="1">
      <c r="A1594" s="52" t="s">
        <v>300</v>
      </c>
      <c r="B1594" s="53">
        <v>2010</v>
      </c>
      <c r="C1594" s="52" t="s">
        <v>114</v>
      </c>
      <c r="D1594" s="54">
        <v>2</v>
      </c>
      <c r="E1594" s="55">
        <v>151.4</v>
      </c>
      <c r="F1594" s="55">
        <v>0</v>
      </c>
      <c r="G1594" s="55">
        <v>151.4</v>
      </c>
      <c r="H1594" s="55">
        <v>1703.6</v>
      </c>
      <c r="I1594" s="55">
        <v>40.5</v>
      </c>
      <c r="J1594" s="55">
        <v>1744.1</v>
      </c>
      <c r="K1594" s="55">
        <v>12</v>
      </c>
      <c r="L1594" s="55">
        <v>0</v>
      </c>
      <c r="M1594" s="55">
        <v>0</v>
      </c>
      <c r="N1594" s="55">
        <v>1.1000000000000001</v>
      </c>
    </row>
    <row r="1595" spans="1:14" ht="10.050000000000001" hidden="1" customHeight="1">
      <c r="A1595" s="52" t="s">
        <v>307</v>
      </c>
      <c r="B1595" s="53">
        <v>2010</v>
      </c>
      <c r="C1595" s="52" t="s">
        <v>114</v>
      </c>
      <c r="D1595" s="54">
        <v>2</v>
      </c>
      <c r="E1595" s="55">
        <v>331645.40000000002</v>
      </c>
      <c r="F1595" s="55">
        <v>1072</v>
      </c>
      <c r="G1595" s="55">
        <v>332717.40000000002</v>
      </c>
      <c r="H1595" s="55">
        <v>4684931.5</v>
      </c>
      <c r="I1595" s="55">
        <v>91044.9</v>
      </c>
      <c r="J1595" s="55">
        <v>4775976.4000000004</v>
      </c>
      <c r="K1595" s="55">
        <v>2139523.7000000002</v>
      </c>
      <c r="L1595" s="55">
        <v>29889.200000000001</v>
      </c>
      <c r="M1595" s="55">
        <v>181180.6</v>
      </c>
      <c r="N1595" s="55">
        <v>52066.5</v>
      </c>
    </row>
    <row r="1596" spans="1:14" ht="10.050000000000001" hidden="1" customHeight="1">
      <c r="A1596" s="52" t="s">
        <v>315</v>
      </c>
      <c r="B1596" s="53">
        <v>2010</v>
      </c>
      <c r="C1596" s="52" t="s">
        <v>114</v>
      </c>
      <c r="D1596" s="54">
        <v>2</v>
      </c>
      <c r="E1596" s="55">
        <v>855.8</v>
      </c>
      <c r="F1596" s="55">
        <v>0</v>
      </c>
      <c r="G1596" s="55">
        <v>855.8</v>
      </c>
      <c r="H1596" s="55">
        <v>22330.3</v>
      </c>
      <c r="I1596" s="55">
        <v>41.8</v>
      </c>
      <c r="J1596" s="55">
        <v>22372.1</v>
      </c>
      <c r="K1596" s="55">
        <v>369.2</v>
      </c>
      <c r="L1596" s="55">
        <v>-8.9</v>
      </c>
      <c r="M1596" s="55">
        <v>466.4</v>
      </c>
      <c r="N1596" s="55">
        <v>2.8</v>
      </c>
    </row>
    <row r="1597" spans="1:14" ht="10.050000000000001" hidden="1" customHeight="1">
      <c r="A1597" s="52" t="s">
        <v>173</v>
      </c>
      <c r="B1597" s="53">
        <v>2010</v>
      </c>
      <c r="C1597" s="52" t="s">
        <v>114</v>
      </c>
      <c r="D1597" s="54">
        <v>2</v>
      </c>
      <c r="E1597" s="55">
        <v>366391</v>
      </c>
      <c r="F1597" s="55">
        <v>10160.200000000001</v>
      </c>
      <c r="G1597" s="55">
        <v>376551.2</v>
      </c>
      <c r="H1597" s="55">
        <v>5159915</v>
      </c>
      <c r="I1597" s="55">
        <v>67467.199999999997</v>
      </c>
      <c r="J1597" s="55">
        <v>5227382.2</v>
      </c>
      <c r="K1597" s="55">
        <v>514989.3</v>
      </c>
      <c r="L1597" s="55">
        <v>41505.199999999997</v>
      </c>
      <c r="M1597" s="55">
        <v>154967.4</v>
      </c>
      <c r="N1597" s="55">
        <v>12400.3</v>
      </c>
    </row>
    <row r="1598" spans="1:14" ht="10.050000000000001" customHeight="1">
      <c r="A1598" s="52" t="s">
        <v>309</v>
      </c>
      <c r="B1598" s="53">
        <v>2010</v>
      </c>
      <c r="C1598" s="52" t="s">
        <v>114</v>
      </c>
      <c r="D1598" s="54">
        <v>2</v>
      </c>
      <c r="E1598" s="55">
        <v>7033.7</v>
      </c>
      <c r="F1598" s="55">
        <v>0</v>
      </c>
      <c r="G1598" s="55">
        <v>7033.7</v>
      </c>
      <c r="H1598" s="55">
        <v>84189</v>
      </c>
      <c r="I1598" s="55">
        <v>0</v>
      </c>
      <c r="J1598" s="55">
        <v>84189</v>
      </c>
      <c r="K1598" s="55">
        <v>1147.5</v>
      </c>
      <c r="L1598" s="55">
        <v>0</v>
      </c>
      <c r="M1598" s="55">
        <v>7525.7</v>
      </c>
      <c r="N1598" s="55">
        <v>0</v>
      </c>
    </row>
    <row r="1599" spans="1:14" ht="10.050000000000001" hidden="1" customHeight="1">
      <c r="A1599" s="52" t="s">
        <v>316</v>
      </c>
      <c r="B1599" s="53">
        <v>2010</v>
      </c>
      <c r="C1599" s="52" t="s">
        <v>114</v>
      </c>
      <c r="D1599" s="54">
        <v>2</v>
      </c>
      <c r="E1599" s="55">
        <v>80.400000000000006</v>
      </c>
      <c r="F1599" s="55">
        <v>0</v>
      </c>
      <c r="G1599" s="55">
        <v>80.400000000000006</v>
      </c>
      <c r="H1599" s="55">
        <v>5105.2</v>
      </c>
      <c r="I1599" s="55">
        <v>49.9</v>
      </c>
      <c r="J1599" s="55">
        <v>5155.1000000000004</v>
      </c>
      <c r="K1599" s="55">
        <v>1</v>
      </c>
      <c r="L1599" s="55">
        <v>0</v>
      </c>
      <c r="M1599" s="55">
        <v>0</v>
      </c>
      <c r="N1599" s="55">
        <v>0</v>
      </c>
    </row>
    <row r="1600" spans="1:14" ht="10.050000000000001" hidden="1" customHeight="1">
      <c r="A1600" s="52" t="s">
        <v>310</v>
      </c>
      <c r="B1600" s="53">
        <v>2010</v>
      </c>
      <c r="C1600" s="52" t="s">
        <v>114</v>
      </c>
      <c r="D1600" s="54">
        <v>2</v>
      </c>
      <c r="E1600" s="55">
        <v>2495.4</v>
      </c>
      <c r="F1600" s="55">
        <v>89.4</v>
      </c>
      <c r="G1600" s="55">
        <v>2584.8000000000002</v>
      </c>
      <c r="H1600" s="55">
        <v>38577.699999999997</v>
      </c>
      <c r="I1600" s="55">
        <v>924</v>
      </c>
      <c r="J1600" s="55">
        <v>39501.699999999997</v>
      </c>
      <c r="K1600" s="55">
        <v>3084.7</v>
      </c>
      <c r="L1600" s="55">
        <v>154</v>
      </c>
      <c r="M1600" s="55">
        <v>1260.5</v>
      </c>
      <c r="N1600" s="55">
        <v>18.5</v>
      </c>
    </row>
    <row r="1601" spans="1:14" ht="10.050000000000001" hidden="1" customHeight="1">
      <c r="A1601" s="52" t="s">
        <v>308</v>
      </c>
      <c r="B1601" s="53">
        <v>2010</v>
      </c>
      <c r="C1601" s="52" t="s">
        <v>114</v>
      </c>
      <c r="D1601" s="54">
        <v>2</v>
      </c>
      <c r="E1601" s="55">
        <v>3168.2</v>
      </c>
      <c r="F1601" s="55">
        <v>0</v>
      </c>
      <c r="G1601" s="55">
        <v>3168.2</v>
      </c>
      <c r="H1601" s="55">
        <v>73585.7</v>
      </c>
      <c r="I1601" s="55">
        <v>581.1</v>
      </c>
      <c r="J1601" s="55">
        <v>74166.8</v>
      </c>
      <c r="K1601" s="55">
        <v>9405.7000000000007</v>
      </c>
      <c r="L1601" s="55">
        <v>50</v>
      </c>
      <c r="M1601" s="55">
        <v>1698.6</v>
      </c>
      <c r="N1601" s="55">
        <v>41.3</v>
      </c>
    </row>
    <row r="1602" spans="1:14" ht="10.050000000000001" hidden="1" customHeight="1">
      <c r="A1602" s="52" t="s">
        <v>174</v>
      </c>
      <c r="B1602" s="53">
        <v>2010</v>
      </c>
      <c r="C1602" s="52" t="s">
        <v>114</v>
      </c>
      <c r="D1602" s="54">
        <v>2</v>
      </c>
      <c r="E1602" s="55">
        <v>9542.4</v>
      </c>
      <c r="F1602" s="55">
        <v>264</v>
      </c>
      <c r="G1602" s="55">
        <v>9806.4</v>
      </c>
      <c r="H1602" s="55">
        <v>179371.9</v>
      </c>
      <c r="I1602" s="55">
        <v>10138.1</v>
      </c>
      <c r="J1602" s="55">
        <v>189510</v>
      </c>
      <c r="K1602" s="55">
        <v>59802.7</v>
      </c>
      <c r="L1602" s="55">
        <v>2786.9</v>
      </c>
      <c r="M1602" s="55">
        <v>4705.3999999999996</v>
      </c>
      <c r="N1602" s="55">
        <v>7021.8</v>
      </c>
    </row>
    <row r="1603" spans="1:14" ht="10.050000000000001" hidden="1" customHeight="1">
      <c r="A1603" s="52" t="s">
        <v>306</v>
      </c>
      <c r="B1603" s="53">
        <v>2010</v>
      </c>
      <c r="C1603" s="52" t="s">
        <v>114</v>
      </c>
      <c r="D1603" s="54">
        <v>3</v>
      </c>
      <c r="E1603" s="55">
        <v>6386.6</v>
      </c>
      <c r="F1603" s="55">
        <v>1002.8</v>
      </c>
      <c r="G1603" s="55">
        <v>7389.4</v>
      </c>
      <c r="H1603" s="55">
        <v>180554.3</v>
      </c>
      <c r="I1603" s="55">
        <v>7076.2</v>
      </c>
      <c r="J1603" s="55">
        <v>187630.5</v>
      </c>
      <c r="K1603" s="55">
        <v>10746.1</v>
      </c>
      <c r="L1603" s="55">
        <v>874.4</v>
      </c>
      <c r="M1603" s="55">
        <v>3472.5</v>
      </c>
      <c r="N1603" s="55">
        <v>753.3</v>
      </c>
    </row>
    <row r="1604" spans="1:14" ht="10.050000000000001" hidden="1" customHeight="1">
      <c r="A1604" s="52" t="s">
        <v>172</v>
      </c>
      <c r="B1604" s="53">
        <v>2010</v>
      </c>
      <c r="C1604" s="52" t="s">
        <v>114</v>
      </c>
      <c r="D1604" s="54">
        <v>3</v>
      </c>
      <c r="E1604" s="55">
        <v>185886.5</v>
      </c>
      <c r="F1604" s="55">
        <v>665.1</v>
      </c>
      <c r="G1604" s="55">
        <v>186551.6</v>
      </c>
      <c r="H1604" s="55">
        <v>490145</v>
      </c>
      <c r="I1604" s="55">
        <v>11782.4</v>
      </c>
      <c r="J1604" s="55">
        <v>501927.4</v>
      </c>
      <c r="K1604" s="55">
        <v>93926.399999999994</v>
      </c>
      <c r="L1604" s="55">
        <v>15441.9</v>
      </c>
      <c r="M1604" s="55">
        <v>64817.599999999999</v>
      </c>
      <c r="N1604" s="55">
        <v>2413</v>
      </c>
    </row>
    <row r="1605" spans="1:14" ht="10.050000000000001" hidden="1" customHeight="1">
      <c r="A1605" s="52" t="s">
        <v>171</v>
      </c>
      <c r="B1605" s="53">
        <v>2010</v>
      </c>
      <c r="C1605" s="52" t="s">
        <v>114</v>
      </c>
      <c r="D1605" s="54">
        <v>3</v>
      </c>
      <c r="E1605" s="55">
        <v>2248531.4</v>
      </c>
      <c r="F1605" s="55">
        <v>9823.7000000000007</v>
      </c>
      <c r="G1605" s="55">
        <v>2258355.1</v>
      </c>
      <c r="H1605" s="55">
        <v>6444456</v>
      </c>
      <c r="I1605" s="55">
        <v>136439.29999999999</v>
      </c>
      <c r="J1605" s="55">
        <v>6580895.2999999998</v>
      </c>
      <c r="K1605" s="55">
        <v>2062450</v>
      </c>
      <c r="L1605" s="55">
        <v>303936.90000000002</v>
      </c>
      <c r="M1605" s="55">
        <v>1098385.5</v>
      </c>
      <c r="N1605" s="55">
        <v>49834.400000000001</v>
      </c>
    </row>
    <row r="1606" spans="1:14" ht="10.050000000000001" hidden="1" customHeight="1">
      <c r="A1606" s="52" t="s">
        <v>300</v>
      </c>
      <c r="B1606" s="53">
        <v>2010</v>
      </c>
      <c r="C1606" s="52" t="s">
        <v>114</v>
      </c>
      <c r="D1606" s="54">
        <v>3</v>
      </c>
      <c r="E1606" s="55">
        <v>303.8</v>
      </c>
      <c r="F1606" s="55">
        <v>0</v>
      </c>
      <c r="G1606" s="55">
        <v>303.8</v>
      </c>
      <c r="H1606" s="55">
        <v>1658</v>
      </c>
      <c r="I1606" s="55">
        <v>40.5</v>
      </c>
      <c r="J1606" s="55">
        <v>1698.5</v>
      </c>
      <c r="K1606" s="55">
        <v>11.5</v>
      </c>
      <c r="L1606" s="55">
        <v>0</v>
      </c>
      <c r="M1606" s="55">
        <v>0</v>
      </c>
      <c r="N1606" s="55">
        <v>0.5</v>
      </c>
    </row>
    <row r="1607" spans="1:14" ht="10.050000000000001" hidden="1" customHeight="1">
      <c r="A1607" s="52" t="s">
        <v>307</v>
      </c>
      <c r="B1607" s="53">
        <v>2010</v>
      </c>
      <c r="C1607" s="52" t="s">
        <v>114</v>
      </c>
      <c r="D1607" s="54">
        <v>3</v>
      </c>
      <c r="E1607" s="55">
        <v>598295.4</v>
      </c>
      <c r="F1607" s="55">
        <v>17870.7</v>
      </c>
      <c r="G1607" s="55">
        <v>616166.10000000102</v>
      </c>
      <c r="H1607" s="55">
        <v>4014227</v>
      </c>
      <c r="I1607" s="55">
        <v>74218.7</v>
      </c>
      <c r="J1607" s="55">
        <v>4088445.7</v>
      </c>
      <c r="K1607" s="55">
        <v>1704649.5</v>
      </c>
      <c r="L1607" s="55">
        <v>25789.599999999999</v>
      </c>
      <c r="M1607" s="55">
        <v>399648.7</v>
      </c>
      <c r="N1607" s="55">
        <v>60404.1</v>
      </c>
    </row>
    <row r="1608" spans="1:14" ht="10.050000000000001" hidden="1" customHeight="1">
      <c r="A1608" s="52" t="s">
        <v>315</v>
      </c>
      <c r="B1608" s="53">
        <v>2010</v>
      </c>
      <c r="C1608" s="52" t="s">
        <v>114</v>
      </c>
      <c r="D1608" s="54">
        <v>3</v>
      </c>
      <c r="E1608" s="55">
        <v>245.2</v>
      </c>
      <c r="F1608" s="55">
        <v>0</v>
      </c>
      <c r="G1608" s="55">
        <v>245.2</v>
      </c>
      <c r="H1608" s="55">
        <v>19632.900000000001</v>
      </c>
      <c r="I1608" s="55">
        <v>24.2</v>
      </c>
      <c r="J1608" s="55">
        <v>19657.099999999999</v>
      </c>
      <c r="K1608" s="55">
        <v>337.7</v>
      </c>
      <c r="L1608" s="55">
        <v>18.3</v>
      </c>
      <c r="M1608" s="55">
        <v>48.8</v>
      </c>
      <c r="N1608" s="55">
        <v>1</v>
      </c>
    </row>
    <row r="1609" spans="1:14" ht="10.050000000000001" hidden="1" customHeight="1">
      <c r="A1609" s="52" t="s">
        <v>173</v>
      </c>
      <c r="B1609" s="53">
        <v>2010</v>
      </c>
      <c r="C1609" s="52" t="s">
        <v>114</v>
      </c>
      <c r="D1609" s="54">
        <v>3</v>
      </c>
      <c r="E1609" s="55">
        <v>375541</v>
      </c>
      <c r="F1609" s="55">
        <v>13353.6</v>
      </c>
      <c r="G1609" s="55">
        <v>388894.6</v>
      </c>
      <c r="H1609" s="55">
        <v>4470573.8</v>
      </c>
      <c r="I1609" s="55">
        <v>59065.4</v>
      </c>
      <c r="J1609" s="55">
        <v>4529639.2</v>
      </c>
      <c r="K1609" s="55">
        <v>355689.5</v>
      </c>
      <c r="L1609" s="55">
        <v>25775.599999999999</v>
      </c>
      <c r="M1609" s="55">
        <v>168252</v>
      </c>
      <c r="N1609" s="55">
        <v>16279.9</v>
      </c>
    </row>
    <row r="1610" spans="1:14" ht="10.050000000000001" customHeight="1">
      <c r="A1610" s="52" t="s">
        <v>309</v>
      </c>
      <c r="B1610" s="53">
        <v>2010</v>
      </c>
      <c r="C1610" s="52" t="s">
        <v>114</v>
      </c>
      <c r="D1610" s="54">
        <v>3</v>
      </c>
      <c r="E1610" s="55">
        <v>1685.8</v>
      </c>
      <c r="F1610" s="55">
        <v>0</v>
      </c>
      <c r="G1610" s="55">
        <v>1685.8</v>
      </c>
      <c r="H1610" s="55">
        <v>73405.399999999994</v>
      </c>
      <c r="I1610" s="55">
        <v>0</v>
      </c>
      <c r="J1610" s="55">
        <v>73405.399999999994</v>
      </c>
      <c r="K1610" s="55">
        <v>248</v>
      </c>
      <c r="L1610" s="55">
        <v>0</v>
      </c>
      <c r="M1610" s="55">
        <v>899.5</v>
      </c>
      <c r="N1610" s="55">
        <v>0</v>
      </c>
    </row>
    <row r="1611" spans="1:14" ht="10.050000000000001" hidden="1" customHeight="1">
      <c r="A1611" s="52" t="s">
        <v>316</v>
      </c>
      <c r="B1611" s="53">
        <v>2010</v>
      </c>
      <c r="C1611" s="52" t="s">
        <v>114</v>
      </c>
      <c r="D1611" s="54">
        <v>3</v>
      </c>
      <c r="E1611" s="55">
        <v>50.9</v>
      </c>
      <c r="F1611" s="55">
        <v>0</v>
      </c>
      <c r="G1611" s="55">
        <v>50.9</v>
      </c>
      <c r="H1611" s="55">
        <v>4624.3</v>
      </c>
      <c r="I1611" s="55">
        <v>34.9</v>
      </c>
      <c r="J1611" s="55">
        <v>4659.2</v>
      </c>
      <c r="K1611" s="55">
        <v>1</v>
      </c>
      <c r="L1611" s="55">
        <v>0</v>
      </c>
      <c r="M1611" s="55">
        <v>0</v>
      </c>
      <c r="N1611" s="55">
        <v>0</v>
      </c>
    </row>
    <row r="1612" spans="1:14" ht="10.050000000000001" hidden="1" customHeight="1">
      <c r="A1612" s="52" t="s">
        <v>310</v>
      </c>
      <c r="B1612" s="53">
        <v>2010</v>
      </c>
      <c r="C1612" s="52" t="s">
        <v>114</v>
      </c>
      <c r="D1612" s="54">
        <v>3</v>
      </c>
      <c r="E1612" s="55">
        <v>2573.1</v>
      </c>
      <c r="F1612" s="55">
        <v>0</v>
      </c>
      <c r="G1612" s="55">
        <v>2573.1</v>
      </c>
      <c r="H1612" s="55">
        <v>35856.400000000001</v>
      </c>
      <c r="I1612" s="55">
        <v>922</v>
      </c>
      <c r="J1612" s="55">
        <v>36778.400000000001</v>
      </c>
      <c r="K1612" s="55">
        <v>2195.3000000000002</v>
      </c>
      <c r="L1612" s="55">
        <v>22.8</v>
      </c>
      <c r="M1612" s="55">
        <v>827.2</v>
      </c>
      <c r="N1612" s="55">
        <v>85</v>
      </c>
    </row>
    <row r="1613" spans="1:14" ht="10.050000000000001" hidden="1" customHeight="1">
      <c r="A1613" s="52" t="s">
        <v>308</v>
      </c>
      <c r="B1613" s="53">
        <v>2010</v>
      </c>
      <c r="C1613" s="52" t="s">
        <v>114</v>
      </c>
      <c r="D1613" s="54">
        <v>3</v>
      </c>
      <c r="E1613" s="55">
        <v>3160.9</v>
      </c>
      <c r="F1613" s="55">
        <v>118</v>
      </c>
      <c r="G1613" s="55">
        <v>3278.9</v>
      </c>
      <c r="H1613" s="55">
        <v>55589.4</v>
      </c>
      <c r="I1613" s="55">
        <v>459.2</v>
      </c>
      <c r="J1613" s="55">
        <v>56048.6</v>
      </c>
      <c r="K1613" s="55">
        <v>6675.2</v>
      </c>
      <c r="L1613" s="55">
        <v>-48.8</v>
      </c>
      <c r="M1613" s="55">
        <v>2415.8000000000002</v>
      </c>
      <c r="N1613" s="55">
        <v>265.89999999999998</v>
      </c>
    </row>
    <row r="1614" spans="1:14" ht="10.050000000000001" hidden="1" customHeight="1">
      <c r="A1614" s="52" t="s">
        <v>174</v>
      </c>
      <c r="B1614" s="53">
        <v>2010</v>
      </c>
      <c r="C1614" s="52" t="s">
        <v>114</v>
      </c>
      <c r="D1614" s="54">
        <v>3</v>
      </c>
      <c r="E1614" s="55">
        <v>9856.2999999999993</v>
      </c>
      <c r="F1614" s="55">
        <v>351</v>
      </c>
      <c r="G1614" s="55">
        <v>10207.299999999999</v>
      </c>
      <c r="H1614" s="55">
        <v>130021.8</v>
      </c>
      <c r="I1614" s="55">
        <v>9654.9</v>
      </c>
      <c r="J1614" s="55">
        <v>139676.70000000001</v>
      </c>
      <c r="K1614" s="55">
        <v>49244.1</v>
      </c>
      <c r="L1614" s="55">
        <v>1780.6</v>
      </c>
      <c r="M1614" s="55">
        <v>5976.6</v>
      </c>
      <c r="N1614" s="55">
        <v>6362.6</v>
      </c>
    </row>
    <row r="1615" spans="1:14" ht="10.050000000000001" hidden="1" customHeight="1">
      <c r="A1615" s="52" t="s">
        <v>306</v>
      </c>
      <c r="B1615" s="53">
        <v>2010</v>
      </c>
      <c r="C1615" s="52" t="s">
        <v>114</v>
      </c>
      <c r="D1615" s="54">
        <v>4</v>
      </c>
      <c r="E1615" s="55">
        <v>5477.6</v>
      </c>
      <c r="F1615" s="55">
        <v>554.1</v>
      </c>
      <c r="G1615" s="55">
        <v>6031.7</v>
      </c>
      <c r="H1615" s="55">
        <v>163546.1</v>
      </c>
      <c r="I1615" s="55">
        <v>6358.8</v>
      </c>
      <c r="J1615" s="55">
        <v>169904.9</v>
      </c>
      <c r="K1615" s="55">
        <v>7744.3</v>
      </c>
      <c r="L1615" s="55">
        <v>593.6</v>
      </c>
      <c r="M1615" s="55">
        <v>2773.9</v>
      </c>
      <c r="N1615" s="55">
        <v>821.5</v>
      </c>
    </row>
    <row r="1616" spans="1:14" ht="10.050000000000001" hidden="1" customHeight="1">
      <c r="A1616" s="52" t="s">
        <v>172</v>
      </c>
      <c r="B1616" s="53">
        <v>2010</v>
      </c>
      <c r="C1616" s="52" t="s">
        <v>114</v>
      </c>
      <c r="D1616" s="54">
        <v>4</v>
      </c>
      <c r="E1616" s="55">
        <v>122065.8</v>
      </c>
      <c r="F1616" s="55">
        <v>688.9</v>
      </c>
      <c r="G1616" s="55">
        <v>122754.7</v>
      </c>
      <c r="H1616" s="55">
        <v>432202.4</v>
      </c>
      <c r="I1616" s="55">
        <v>11024.1</v>
      </c>
      <c r="J1616" s="55">
        <v>443226.5</v>
      </c>
      <c r="K1616" s="55">
        <v>56190.9</v>
      </c>
      <c r="L1616" s="55">
        <v>7774.4</v>
      </c>
      <c r="M1616" s="55">
        <v>45016.6</v>
      </c>
      <c r="N1616" s="55">
        <v>493.3</v>
      </c>
    </row>
    <row r="1617" spans="1:14" ht="10.050000000000001" hidden="1" customHeight="1">
      <c r="A1617" s="52" t="s">
        <v>171</v>
      </c>
      <c r="B1617" s="53">
        <v>2010</v>
      </c>
      <c r="C1617" s="52" t="s">
        <v>114</v>
      </c>
      <c r="D1617" s="54">
        <v>4</v>
      </c>
      <c r="E1617" s="55">
        <v>1638137.6</v>
      </c>
      <c r="F1617" s="55">
        <v>5254.5</v>
      </c>
      <c r="G1617" s="55">
        <v>1643392.1</v>
      </c>
      <c r="H1617" s="55">
        <v>5150770.7</v>
      </c>
      <c r="I1617" s="55">
        <v>125904</v>
      </c>
      <c r="J1617" s="55">
        <v>5276674.7</v>
      </c>
      <c r="K1617" s="55">
        <v>1466501.6</v>
      </c>
      <c r="L1617" s="55">
        <v>240761.60000000001</v>
      </c>
      <c r="M1617" s="55">
        <v>812698.1</v>
      </c>
      <c r="N1617" s="55">
        <v>32267.8</v>
      </c>
    </row>
    <row r="1618" spans="1:14" ht="10.050000000000001" hidden="1" customHeight="1">
      <c r="A1618" s="52" t="s">
        <v>300</v>
      </c>
      <c r="B1618" s="53">
        <v>2010</v>
      </c>
      <c r="C1618" s="52" t="s">
        <v>114</v>
      </c>
      <c r="D1618" s="54">
        <v>4</v>
      </c>
      <c r="E1618" s="55">
        <v>236.1</v>
      </c>
      <c r="F1618" s="55">
        <v>97.7</v>
      </c>
      <c r="G1618" s="55">
        <v>333.8</v>
      </c>
      <c r="H1618" s="55">
        <v>1475.4</v>
      </c>
      <c r="I1618" s="55">
        <v>138.19999999999999</v>
      </c>
      <c r="J1618" s="55">
        <v>1613.6</v>
      </c>
      <c r="K1618" s="55">
        <v>11</v>
      </c>
      <c r="L1618" s="55">
        <v>0</v>
      </c>
      <c r="M1618" s="55">
        <v>0</v>
      </c>
      <c r="N1618" s="55">
        <v>0.5</v>
      </c>
    </row>
    <row r="1619" spans="1:14" ht="10.050000000000001" hidden="1" customHeight="1">
      <c r="A1619" s="52" t="s">
        <v>307</v>
      </c>
      <c r="B1619" s="53">
        <v>2010</v>
      </c>
      <c r="C1619" s="52" t="s">
        <v>114</v>
      </c>
      <c r="D1619" s="54">
        <v>4</v>
      </c>
      <c r="E1619" s="55">
        <v>533964.19999999995</v>
      </c>
      <c r="F1619" s="55">
        <v>0</v>
      </c>
      <c r="G1619" s="55">
        <v>533964.19999999995</v>
      </c>
      <c r="H1619" s="55">
        <v>3317514.9</v>
      </c>
      <c r="I1619" s="55">
        <v>72537.7</v>
      </c>
      <c r="J1619" s="55">
        <v>3390052.6</v>
      </c>
      <c r="K1619" s="55">
        <v>1335859.8999999999</v>
      </c>
      <c r="L1619" s="55">
        <v>34602.199999999997</v>
      </c>
      <c r="M1619" s="55">
        <v>347623.3</v>
      </c>
      <c r="N1619" s="55">
        <v>55571.199999999997</v>
      </c>
    </row>
    <row r="1620" spans="1:14" ht="10.050000000000001" hidden="1" customHeight="1">
      <c r="A1620" s="52" t="s">
        <v>315</v>
      </c>
      <c r="B1620" s="53">
        <v>2010</v>
      </c>
      <c r="C1620" s="52" t="s">
        <v>114</v>
      </c>
      <c r="D1620" s="54">
        <v>4</v>
      </c>
      <c r="E1620" s="55">
        <v>285.39999999999998</v>
      </c>
      <c r="F1620" s="55">
        <v>0</v>
      </c>
      <c r="G1620" s="55">
        <v>285.39999999999998</v>
      </c>
      <c r="H1620" s="55">
        <v>17870</v>
      </c>
      <c r="I1620" s="55">
        <v>18.399999999999999</v>
      </c>
      <c r="J1620" s="55">
        <v>17888.400000000001</v>
      </c>
      <c r="K1620" s="55">
        <v>300.10000000000002</v>
      </c>
      <c r="L1620" s="55">
        <v>40.9</v>
      </c>
      <c r="M1620" s="55">
        <v>75.7</v>
      </c>
      <c r="N1620" s="55">
        <v>2.8</v>
      </c>
    </row>
    <row r="1621" spans="1:14" ht="10.050000000000001" hidden="1" customHeight="1">
      <c r="A1621" s="52" t="s">
        <v>173</v>
      </c>
      <c r="B1621" s="53">
        <v>2010</v>
      </c>
      <c r="C1621" s="52" t="s">
        <v>114</v>
      </c>
      <c r="D1621" s="54">
        <v>4</v>
      </c>
      <c r="E1621" s="55">
        <v>269952.7</v>
      </c>
      <c r="F1621" s="55">
        <v>5435.8</v>
      </c>
      <c r="G1621" s="55">
        <v>275388.5</v>
      </c>
      <c r="H1621" s="55">
        <v>3794136</v>
      </c>
      <c r="I1621" s="55">
        <v>51876.9</v>
      </c>
      <c r="J1621" s="55">
        <v>3846012.9</v>
      </c>
      <c r="K1621" s="55">
        <v>254579.6</v>
      </c>
      <c r="L1621" s="55">
        <v>17084.400000000001</v>
      </c>
      <c r="M1621" s="55">
        <v>106863.3</v>
      </c>
      <c r="N1621" s="55">
        <v>12072.9</v>
      </c>
    </row>
    <row r="1622" spans="1:14" ht="10.050000000000001" customHeight="1">
      <c r="A1622" s="52" t="s">
        <v>309</v>
      </c>
      <c r="B1622" s="53">
        <v>2010</v>
      </c>
      <c r="C1622" s="52" t="s">
        <v>114</v>
      </c>
      <c r="D1622" s="54">
        <v>4</v>
      </c>
      <c r="E1622" s="55">
        <v>541.29999999999995</v>
      </c>
      <c r="F1622" s="55">
        <v>0</v>
      </c>
      <c r="G1622" s="55">
        <v>541.29999999999995</v>
      </c>
      <c r="H1622" s="55">
        <v>62069</v>
      </c>
      <c r="I1622" s="55">
        <v>0</v>
      </c>
      <c r="J1622" s="55">
        <v>62069</v>
      </c>
      <c r="K1622" s="55">
        <v>248</v>
      </c>
      <c r="L1622" s="55">
        <v>0</v>
      </c>
      <c r="M1622" s="55">
        <v>0</v>
      </c>
      <c r="N1622" s="55">
        <v>0</v>
      </c>
    </row>
    <row r="1623" spans="1:14" ht="10.050000000000001" hidden="1" customHeight="1">
      <c r="A1623" s="52" t="s">
        <v>316</v>
      </c>
      <c r="B1623" s="53">
        <v>2010</v>
      </c>
      <c r="C1623" s="52" t="s">
        <v>114</v>
      </c>
      <c r="D1623" s="54">
        <v>4</v>
      </c>
      <c r="E1623" s="55">
        <v>75.900000000000006</v>
      </c>
      <c r="F1623" s="55">
        <v>0</v>
      </c>
      <c r="G1623" s="55">
        <v>75.900000000000006</v>
      </c>
      <c r="H1623" s="55">
        <v>4128.1000000000004</v>
      </c>
      <c r="I1623" s="55">
        <v>27.6</v>
      </c>
      <c r="J1623" s="55">
        <v>4155.7</v>
      </c>
      <c r="K1623" s="55">
        <v>0</v>
      </c>
      <c r="L1623" s="55">
        <v>0</v>
      </c>
      <c r="M1623" s="55">
        <v>1</v>
      </c>
      <c r="N1623" s="55">
        <v>0</v>
      </c>
    </row>
    <row r="1624" spans="1:14" ht="10.050000000000001" hidden="1" customHeight="1">
      <c r="A1624" s="52" t="s">
        <v>310</v>
      </c>
      <c r="B1624" s="53">
        <v>2010</v>
      </c>
      <c r="C1624" s="52" t="s">
        <v>114</v>
      </c>
      <c r="D1624" s="54">
        <v>4</v>
      </c>
      <c r="E1624" s="55">
        <v>1357.6</v>
      </c>
      <c r="F1624" s="55">
        <v>19.3</v>
      </c>
      <c r="G1624" s="55">
        <v>1376.9</v>
      </c>
      <c r="H1624" s="55">
        <v>34426.400000000001</v>
      </c>
      <c r="I1624" s="55">
        <v>931.2</v>
      </c>
      <c r="J1624" s="55">
        <v>35357.599999999999</v>
      </c>
      <c r="K1624" s="55">
        <v>1859.8</v>
      </c>
      <c r="L1624" s="55">
        <v>11.3</v>
      </c>
      <c r="M1624" s="55">
        <v>306.10000000000002</v>
      </c>
      <c r="N1624" s="55">
        <v>40.700000000000003</v>
      </c>
    </row>
    <row r="1625" spans="1:14" ht="10.050000000000001" hidden="1" customHeight="1">
      <c r="A1625" s="52" t="s">
        <v>308</v>
      </c>
      <c r="B1625" s="53">
        <v>2010</v>
      </c>
      <c r="C1625" s="52" t="s">
        <v>114</v>
      </c>
      <c r="D1625" s="54">
        <v>4</v>
      </c>
      <c r="E1625" s="55">
        <v>2706.2</v>
      </c>
      <c r="F1625" s="55">
        <v>0</v>
      </c>
      <c r="G1625" s="55">
        <v>2706.2</v>
      </c>
      <c r="H1625" s="55">
        <v>40786.300000000003</v>
      </c>
      <c r="I1625" s="55">
        <v>452.8</v>
      </c>
      <c r="J1625" s="55">
        <v>41239.1</v>
      </c>
      <c r="K1625" s="55">
        <v>4455.6000000000004</v>
      </c>
      <c r="L1625" s="55">
        <v>4.0999999999999996</v>
      </c>
      <c r="M1625" s="55">
        <v>2089.1</v>
      </c>
      <c r="N1625" s="55">
        <v>134.6</v>
      </c>
    </row>
    <row r="1626" spans="1:14" ht="10.050000000000001" hidden="1" customHeight="1">
      <c r="A1626" s="52" t="s">
        <v>174</v>
      </c>
      <c r="B1626" s="53">
        <v>2010</v>
      </c>
      <c r="C1626" s="52" t="s">
        <v>114</v>
      </c>
      <c r="D1626" s="54">
        <v>4</v>
      </c>
      <c r="E1626" s="55">
        <v>11349</v>
      </c>
      <c r="F1626" s="55">
        <v>300.7</v>
      </c>
      <c r="G1626" s="55">
        <v>11649.7</v>
      </c>
      <c r="H1626" s="55">
        <v>90588.4</v>
      </c>
      <c r="I1626" s="55">
        <v>9145.5</v>
      </c>
      <c r="J1626" s="55">
        <v>99733.9</v>
      </c>
      <c r="K1626" s="55">
        <v>39842.9</v>
      </c>
      <c r="L1626" s="55">
        <v>1477</v>
      </c>
      <c r="M1626" s="55">
        <v>5943.2</v>
      </c>
      <c r="N1626" s="55">
        <v>4961.7</v>
      </c>
    </row>
    <row r="1627" spans="1:14" ht="10.050000000000001" hidden="1" customHeight="1">
      <c r="A1627" s="52" t="s">
        <v>306</v>
      </c>
      <c r="B1627" s="53">
        <v>2010</v>
      </c>
      <c r="C1627" s="52" t="s">
        <v>114</v>
      </c>
      <c r="D1627" s="54">
        <v>5</v>
      </c>
      <c r="E1627" s="55">
        <v>4319.8999999999996</v>
      </c>
      <c r="F1627" s="55">
        <v>90.4</v>
      </c>
      <c r="G1627" s="55">
        <v>4410.3</v>
      </c>
      <c r="H1627" s="55">
        <v>146508.20000000001</v>
      </c>
      <c r="I1627" s="55">
        <v>5771.2</v>
      </c>
      <c r="J1627" s="55">
        <v>152279.4</v>
      </c>
      <c r="K1627" s="55">
        <v>5631.4</v>
      </c>
      <c r="L1627" s="55">
        <v>188.9</v>
      </c>
      <c r="M1627" s="55">
        <v>1812.4</v>
      </c>
      <c r="N1627" s="55">
        <v>503.3</v>
      </c>
    </row>
    <row r="1628" spans="1:14" ht="10.050000000000001" hidden="1" customHeight="1">
      <c r="A1628" s="52" t="s">
        <v>172</v>
      </c>
      <c r="B1628" s="53">
        <v>2010</v>
      </c>
      <c r="C1628" s="52" t="s">
        <v>114</v>
      </c>
      <c r="D1628" s="54">
        <v>5</v>
      </c>
      <c r="E1628" s="55">
        <v>94266.5</v>
      </c>
      <c r="F1628" s="55">
        <v>46.7</v>
      </c>
      <c r="G1628" s="55">
        <v>94313.2</v>
      </c>
      <c r="H1628" s="55">
        <v>358331.6</v>
      </c>
      <c r="I1628" s="55">
        <v>9159.6</v>
      </c>
      <c r="J1628" s="55">
        <v>367491.2</v>
      </c>
      <c r="K1628" s="55">
        <v>32317.3</v>
      </c>
      <c r="L1628" s="55">
        <v>6702.3</v>
      </c>
      <c r="M1628" s="55">
        <v>29787.9</v>
      </c>
      <c r="N1628" s="55">
        <v>788</v>
      </c>
    </row>
    <row r="1629" spans="1:14" ht="10.050000000000001" hidden="1" customHeight="1">
      <c r="A1629" s="52" t="s">
        <v>171</v>
      </c>
      <c r="B1629" s="53">
        <v>2010</v>
      </c>
      <c r="C1629" s="52" t="s">
        <v>114</v>
      </c>
      <c r="D1629" s="54">
        <v>5</v>
      </c>
      <c r="E1629" s="55">
        <v>1967401.6</v>
      </c>
      <c r="F1629" s="55">
        <v>3716.8</v>
      </c>
      <c r="G1629" s="55">
        <v>1971118.4</v>
      </c>
      <c r="H1629" s="55">
        <v>4180898.2</v>
      </c>
      <c r="I1629" s="55">
        <v>119770.8</v>
      </c>
      <c r="J1629" s="55">
        <v>4300669</v>
      </c>
      <c r="K1629" s="55">
        <v>479094.4</v>
      </c>
      <c r="L1629" s="55">
        <v>198304.5</v>
      </c>
      <c r="M1629" s="55">
        <v>1154949.8</v>
      </c>
      <c r="N1629" s="55">
        <v>27196.5</v>
      </c>
    </row>
    <row r="1630" spans="1:14" ht="10.050000000000001" hidden="1" customHeight="1">
      <c r="A1630" s="52" t="s">
        <v>300</v>
      </c>
      <c r="B1630" s="53">
        <v>2010</v>
      </c>
      <c r="C1630" s="52" t="s">
        <v>114</v>
      </c>
      <c r="D1630" s="54">
        <v>5</v>
      </c>
      <c r="E1630" s="55">
        <v>250.2</v>
      </c>
      <c r="F1630" s="55">
        <v>0</v>
      </c>
      <c r="G1630" s="55">
        <v>250.2</v>
      </c>
      <c r="H1630" s="55">
        <v>1204.5999999999999</v>
      </c>
      <c r="I1630" s="55">
        <v>137.69999999999999</v>
      </c>
      <c r="J1630" s="55">
        <v>1342.3</v>
      </c>
      <c r="K1630" s="55">
        <v>10.4</v>
      </c>
      <c r="L1630" s="55">
        <v>0</v>
      </c>
      <c r="M1630" s="55">
        <v>0</v>
      </c>
      <c r="N1630" s="55">
        <v>0.6</v>
      </c>
    </row>
    <row r="1631" spans="1:14" ht="10.050000000000001" hidden="1" customHeight="1">
      <c r="A1631" s="52" t="s">
        <v>307</v>
      </c>
      <c r="B1631" s="53">
        <v>2010</v>
      </c>
      <c r="C1631" s="52" t="s">
        <v>114</v>
      </c>
      <c r="D1631" s="54">
        <v>5</v>
      </c>
      <c r="E1631" s="55">
        <v>656468.9</v>
      </c>
      <c r="F1631" s="55">
        <v>6.1</v>
      </c>
      <c r="G1631" s="55">
        <v>656475</v>
      </c>
      <c r="H1631" s="55">
        <v>2746197.3</v>
      </c>
      <c r="I1631" s="55">
        <v>68172.800000000003</v>
      </c>
      <c r="J1631" s="55">
        <v>2814370.1</v>
      </c>
      <c r="K1631" s="55">
        <v>907527.1</v>
      </c>
      <c r="L1631" s="55">
        <v>45161.4</v>
      </c>
      <c r="M1631" s="55">
        <v>421928.4</v>
      </c>
      <c r="N1631" s="55">
        <v>51691.5</v>
      </c>
    </row>
    <row r="1632" spans="1:14" ht="10.050000000000001" hidden="1" customHeight="1">
      <c r="A1632" s="52" t="s">
        <v>315</v>
      </c>
      <c r="B1632" s="53">
        <v>2010</v>
      </c>
      <c r="C1632" s="52" t="s">
        <v>114</v>
      </c>
      <c r="D1632" s="54">
        <v>5</v>
      </c>
      <c r="E1632" s="55">
        <v>395.1</v>
      </c>
      <c r="F1632" s="55">
        <v>0</v>
      </c>
      <c r="G1632" s="55">
        <v>395.1</v>
      </c>
      <c r="H1632" s="55">
        <v>15629.5</v>
      </c>
      <c r="I1632" s="55">
        <v>3.9</v>
      </c>
      <c r="J1632" s="55">
        <v>15633.4</v>
      </c>
      <c r="K1632" s="55">
        <v>145.19999999999999</v>
      </c>
      <c r="L1632" s="55">
        <v>0</v>
      </c>
      <c r="M1632" s="55">
        <v>153.9</v>
      </c>
      <c r="N1632" s="55">
        <v>1</v>
      </c>
    </row>
    <row r="1633" spans="1:14" ht="10.050000000000001" hidden="1" customHeight="1">
      <c r="A1633" s="52" t="s">
        <v>173</v>
      </c>
      <c r="B1633" s="53">
        <v>2010</v>
      </c>
      <c r="C1633" s="52" t="s">
        <v>114</v>
      </c>
      <c r="D1633" s="54">
        <v>5</v>
      </c>
      <c r="E1633" s="55">
        <v>244005</v>
      </c>
      <c r="F1633" s="55">
        <v>2287.6</v>
      </c>
      <c r="G1633" s="55">
        <v>246292.6</v>
      </c>
      <c r="H1633" s="55">
        <v>3104165</v>
      </c>
      <c r="I1633" s="55">
        <v>47744.5</v>
      </c>
      <c r="J1633" s="55">
        <v>3151909.5</v>
      </c>
      <c r="K1633" s="55">
        <v>130033.2</v>
      </c>
      <c r="L1633" s="55">
        <v>12322.2</v>
      </c>
      <c r="M1633" s="55">
        <v>124205.8</v>
      </c>
      <c r="N1633" s="55">
        <v>12574.6</v>
      </c>
    </row>
    <row r="1634" spans="1:14" ht="10.050000000000001" customHeight="1">
      <c r="A1634" s="52" t="s">
        <v>309</v>
      </c>
      <c r="B1634" s="53">
        <v>2010</v>
      </c>
      <c r="C1634" s="52" t="s">
        <v>114</v>
      </c>
      <c r="D1634" s="54">
        <v>5</v>
      </c>
      <c r="E1634" s="55">
        <v>15</v>
      </c>
      <c r="F1634" s="55">
        <v>0</v>
      </c>
      <c r="G1634" s="55">
        <v>15</v>
      </c>
      <c r="H1634" s="55">
        <v>51823.199999999997</v>
      </c>
      <c r="I1634" s="55">
        <v>0</v>
      </c>
      <c r="J1634" s="55">
        <v>51823.199999999997</v>
      </c>
      <c r="K1634" s="55">
        <v>248</v>
      </c>
      <c r="L1634" s="55">
        <v>0</v>
      </c>
      <c r="M1634" s="55">
        <v>0</v>
      </c>
      <c r="N1634" s="55">
        <v>0</v>
      </c>
    </row>
    <row r="1635" spans="1:14" ht="10.050000000000001" hidden="1" customHeight="1">
      <c r="A1635" s="52" t="s">
        <v>316</v>
      </c>
      <c r="B1635" s="53">
        <v>2010</v>
      </c>
      <c r="C1635" s="52" t="s">
        <v>114</v>
      </c>
      <c r="D1635" s="54">
        <v>5</v>
      </c>
      <c r="E1635" s="55">
        <v>69.3</v>
      </c>
      <c r="F1635" s="55">
        <v>0</v>
      </c>
      <c r="G1635" s="55">
        <v>69.3</v>
      </c>
      <c r="H1635" s="55">
        <v>3615</v>
      </c>
      <c r="I1635" s="55">
        <v>24.3</v>
      </c>
      <c r="J1635" s="55">
        <v>3639.3</v>
      </c>
      <c r="K1635" s="55">
        <v>0</v>
      </c>
      <c r="L1635" s="55">
        <v>0</v>
      </c>
      <c r="M1635" s="55">
        <v>0</v>
      </c>
      <c r="N1635" s="55">
        <v>0</v>
      </c>
    </row>
    <row r="1636" spans="1:14" ht="10.050000000000001" hidden="1" customHeight="1">
      <c r="A1636" s="52" t="s">
        <v>310</v>
      </c>
      <c r="B1636" s="53">
        <v>2010</v>
      </c>
      <c r="C1636" s="52" t="s">
        <v>114</v>
      </c>
      <c r="D1636" s="54">
        <v>5</v>
      </c>
      <c r="E1636" s="55">
        <v>1579.5</v>
      </c>
      <c r="F1636" s="55">
        <v>30.4</v>
      </c>
      <c r="G1636" s="55">
        <v>1609.9</v>
      </c>
      <c r="H1636" s="55">
        <v>32655.8</v>
      </c>
      <c r="I1636" s="55">
        <v>946.2</v>
      </c>
      <c r="J1636" s="55">
        <v>33602</v>
      </c>
      <c r="K1636" s="55">
        <v>1606.7</v>
      </c>
      <c r="L1636" s="55">
        <v>0.2</v>
      </c>
      <c r="M1636" s="55">
        <v>229</v>
      </c>
      <c r="N1636" s="55">
        <v>24.3</v>
      </c>
    </row>
    <row r="1637" spans="1:14" ht="10.050000000000001" hidden="1" customHeight="1">
      <c r="A1637" s="52" t="s">
        <v>308</v>
      </c>
      <c r="B1637" s="53">
        <v>2010</v>
      </c>
      <c r="C1637" s="52" t="s">
        <v>114</v>
      </c>
      <c r="D1637" s="54">
        <v>5</v>
      </c>
      <c r="E1637" s="55">
        <v>3185.1</v>
      </c>
      <c r="F1637" s="55">
        <v>0</v>
      </c>
      <c r="G1637" s="55">
        <v>3185.1</v>
      </c>
      <c r="H1637" s="55">
        <v>30010.2</v>
      </c>
      <c r="I1637" s="55">
        <v>452.6</v>
      </c>
      <c r="J1637" s="55">
        <v>30462.799999999999</v>
      </c>
      <c r="K1637" s="55">
        <v>2536</v>
      </c>
      <c r="L1637" s="55">
        <v>87.2</v>
      </c>
      <c r="M1637" s="55">
        <v>1718.7</v>
      </c>
      <c r="N1637" s="55">
        <v>288.10000000000002</v>
      </c>
    </row>
    <row r="1638" spans="1:14" ht="10.050000000000001" hidden="1" customHeight="1">
      <c r="A1638" s="52" t="s">
        <v>174</v>
      </c>
      <c r="B1638" s="53">
        <v>2010</v>
      </c>
      <c r="C1638" s="52" t="s">
        <v>114</v>
      </c>
      <c r="D1638" s="54">
        <v>5</v>
      </c>
      <c r="E1638" s="55">
        <v>11054.9</v>
      </c>
      <c r="F1638" s="55">
        <v>53.6</v>
      </c>
      <c r="G1638" s="55">
        <v>11108.5</v>
      </c>
      <c r="H1638" s="55">
        <v>55720.200000000099</v>
      </c>
      <c r="I1638" s="55">
        <v>9049.4</v>
      </c>
      <c r="J1638" s="55">
        <v>64769.6000000001</v>
      </c>
      <c r="K1638" s="55">
        <v>29046.2</v>
      </c>
      <c r="L1638" s="55">
        <v>1086.4000000000001</v>
      </c>
      <c r="M1638" s="55">
        <v>6451.5</v>
      </c>
      <c r="N1638" s="55">
        <v>5460.9</v>
      </c>
    </row>
    <row r="1639" spans="1:14" ht="10.050000000000001" hidden="1" customHeight="1">
      <c r="A1639" s="52" t="s">
        <v>314</v>
      </c>
      <c r="B1639" s="53">
        <v>2010</v>
      </c>
      <c r="C1639" s="52" t="s">
        <v>114</v>
      </c>
      <c r="D1639" s="54">
        <v>6</v>
      </c>
      <c r="E1639" s="55">
        <v>0</v>
      </c>
      <c r="F1639" s="55">
        <v>243.9</v>
      </c>
      <c r="G1639" s="55">
        <v>243.9</v>
      </c>
      <c r="H1639" s="55">
        <v>0</v>
      </c>
      <c r="I1639" s="55">
        <v>0</v>
      </c>
      <c r="J1639" s="55">
        <v>0</v>
      </c>
      <c r="K1639" s="55">
        <v>0</v>
      </c>
      <c r="L1639" s="55">
        <v>0</v>
      </c>
      <c r="M1639" s="55">
        <v>0</v>
      </c>
      <c r="N1639" s="55">
        <v>0</v>
      </c>
    </row>
    <row r="1640" spans="1:14" ht="10.050000000000001" hidden="1" customHeight="1">
      <c r="A1640" s="52" t="s">
        <v>306</v>
      </c>
      <c r="B1640" s="53">
        <v>2010</v>
      </c>
      <c r="C1640" s="52" t="s">
        <v>114</v>
      </c>
      <c r="D1640" s="54">
        <v>6</v>
      </c>
      <c r="E1640" s="55">
        <v>8050.8</v>
      </c>
      <c r="F1640" s="55">
        <v>495.3</v>
      </c>
      <c r="G1640" s="55">
        <v>8546.1</v>
      </c>
      <c r="H1640" s="55">
        <v>119965.2</v>
      </c>
      <c r="I1640" s="55">
        <v>3586.6</v>
      </c>
      <c r="J1640" s="55">
        <v>123551.8</v>
      </c>
      <c r="K1640" s="55">
        <v>1876.5</v>
      </c>
      <c r="L1640" s="55">
        <v>-14.8</v>
      </c>
      <c r="M1640" s="55">
        <v>2209.4</v>
      </c>
      <c r="N1640" s="55">
        <v>1540.9</v>
      </c>
    </row>
    <row r="1641" spans="1:14" ht="10.050000000000001" hidden="1" customHeight="1">
      <c r="A1641" s="52" t="s">
        <v>172</v>
      </c>
      <c r="B1641" s="53">
        <v>2010</v>
      </c>
      <c r="C1641" s="52" t="s">
        <v>114</v>
      </c>
      <c r="D1641" s="54">
        <v>6</v>
      </c>
      <c r="E1641" s="55">
        <v>81888.2</v>
      </c>
      <c r="F1641" s="55">
        <v>24.7</v>
      </c>
      <c r="G1641" s="55">
        <v>81912.899999999994</v>
      </c>
      <c r="H1641" s="55">
        <v>250427.8</v>
      </c>
      <c r="I1641" s="55">
        <v>3985.4</v>
      </c>
      <c r="J1641" s="55">
        <v>254413.2</v>
      </c>
      <c r="K1641" s="55">
        <v>9699.2999999999993</v>
      </c>
      <c r="L1641" s="55">
        <v>-4504.3</v>
      </c>
      <c r="M1641" s="55">
        <v>17748</v>
      </c>
      <c r="N1641" s="55">
        <v>365.7</v>
      </c>
    </row>
    <row r="1642" spans="1:14" ht="10.050000000000001" hidden="1" customHeight="1">
      <c r="A1642" s="52" t="s">
        <v>171</v>
      </c>
      <c r="B1642" s="53">
        <v>2010</v>
      </c>
      <c r="C1642" s="52" t="s">
        <v>114</v>
      </c>
      <c r="D1642" s="54">
        <v>6</v>
      </c>
      <c r="E1642" s="55">
        <v>1187396.8</v>
      </c>
      <c r="F1642" s="55">
        <v>12028.4</v>
      </c>
      <c r="G1642" s="55">
        <v>1199425.2</v>
      </c>
      <c r="H1642" s="55">
        <v>2322492</v>
      </c>
      <c r="I1642" s="55">
        <v>49764.4</v>
      </c>
      <c r="J1642" s="55">
        <v>2372256.4</v>
      </c>
      <c r="K1642" s="55">
        <v>86477.4</v>
      </c>
      <c r="L1642" s="55">
        <v>128906.1</v>
      </c>
      <c r="M1642" s="55">
        <v>446191</v>
      </c>
      <c r="N1642" s="55">
        <v>75121.600000000006</v>
      </c>
    </row>
    <row r="1643" spans="1:14" ht="10.050000000000001" hidden="1" customHeight="1">
      <c r="A1643" s="52" t="s">
        <v>300</v>
      </c>
      <c r="B1643" s="53">
        <v>2010</v>
      </c>
      <c r="C1643" s="52" t="s">
        <v>114</v>
      </c>
      <c r="D1643" s="54">
        <v>6</v>
      </c>
      <c r="E1643" s="55">
        <v>330.2</v>
      </c>
      <c r="F1643" s="55">
        <v>0</v>
      </c>
      <c r="G1643" s="55">
        <v>330.2</v>
      </c>
      <c r="H1643" s="55">
        <v>1378.4</v>
      </c>
      <c r="I1643" s="55">
        <v>124.7</v>
      </c>
      <c r="J1643" s="55">
        <v>1503.1</v>
      </c>
      <c r="K1643" s="55">
        <v>0.3</v>
      </c>
      <c r="L1643" s="55">
        <v>0</v>
      </c>
      <c r="M1643" s="55">
        <v>9.6</v>
      </c>
      <c r="N1643" s="55">
        <v>0.5</v>
      </c>
    </row>
    <row r="1644" spans="1:14" ht="10.050000000000001" hidden="1" customHeight="1">
      <c r="A1644" s="52" t="s">
        <v>307</v>
      </c>
      <c r="B1644" s="53">
        <v>2010</v>
      </c>
      <c r="C1644" s="52" t="s">
        <v>114</v>
      </c>
      <c r="D1644" s="54">
        <v>6</v>
      </c>
      <c r="E1644" s="55">
        <v>830546.00000000105</v>
      </c>
      <c r="F1644" s="55">
        <v>0</v>
      </c>
      <c r="G1644" s="55">
        <v>830546.00000000105</v>
      </c>
      <c r="H1644" s="55">
        <v>2155484.4</v>
      </c>
      <c r="I1644" s="55">
        <v>42405.7</v>
      </c>
      <c r="J1644" s="55">
        <v>2197890.1</v>
      </c>
      <c r="K1644" s="55">
        <v>335756.2</v>
      </c>
      <c r="L1644" s="55">
        <v>19719.2</v>
      </c>
      <c r="M1644" s="55">
        <v>522850.5</v>
      </c>
      <c r="N1644" s="55">
        <v>63334</v>
      </c>
    </row>
    <row r="1645" spans="1:14" ht="10.050000000000001" hidden="1" customHeight="1">
      <c r="A1645" s="52" t="s">
        <v>315</v>
      </c>
      <c r="B1645" s="53">
        <v>2010</v>
      </c>
      <c r="C1645" s="52" t="s">
        <v>114</v>
      </c>
      <c r="D1645" s="54">
        <v>6</v>
      </c>
      <c r="E1645" s="55">
        <v>1056.8</v>
      </c>
      <c r="F1645" s="55">
        <v>0</v>
      </c>
      <c r="G1645" s="55">
        <v>1056.8</v>
      </c>
      <c r="H1645" s="55">
        <v>10702</v>
      </c>
      <c r="I1645" s="55">
        <v>0</v>
      </c>
      <c r="J1645" s="55">
        <v>10702</v>
      </c>
      <c r="K1645" s="55">
        <v>45</v>
      </c>
      <c r="L1645" s="55">
        <v>-11.7</v>
      </c>
      <c r="M1645" s="55">
        <v>85.5</v>
      </c>
      <c r="N1645" s="55">
        <v>3</v>
      </c>
    </row>
    <row r="1646" spans="1:14" ht="10.050000000000001" hidden="1" customHeight="1">
      <c r="A1646" s="52" t="s">
        <v>173</v>
      </c>
      <c r="B1646" s="53">
        <v>2010</v>
      </c>
      <c r="C1646" s="52" t="s">
        <v>114</v>
      </c>
      <c r="D1646" s="54">
        <v>6</v>
      </c>
      <c r="E1646" s="55">
        <v>192859.4</v>
      </c>
      <c r="F1646" s="55">
        <v>6189.4</v>
      </c>
      <c r="G1646" s="55">
        <v>199048.8</v>
      </c>
      <c r="H1646" s="55">
        <v>1910235.8</v>
      </c>
      <c r="I1646" s="55">
        <v>23730.6</v>
      </c>
      <c r="J1646" s="55">
        <v>1933966.4</v>
      </c>
      <c r="K1646" s="55">
        <v>37733.699999999997</v>
      </c>
      <c r="L1646" s="55">
        <v>7618.1</v>
      </c>
      <c r="M1646" s="55">
        <v>71707.899999999994</v>
      </c>
      <c r="N1646" s="55">
        <v>28413.9</v>
      </c>
    </row>
    <row r="1647" spans="1:14" ht="10.050000000000001" customHeight="1">
      <c r="A1647" s="52" t="s">
        <v>309</v>
      </c>
      <c r="B1647" s="53">
        <v>2010</v>
      </c>
      <c r="C1647" s="52" t="s">
        <v>114</v>
      </c>
      <c r="D1647" s="54">
        <v>6</v>
      </c>
      <c r="E1647" s="55">
        <v>45</v>
      </c>
      <c r="F1647" s="55">
        <v>0</v>
      </c>
      <c r="G1647" s="55">
        <v>45</v>
      </c>
      <c r="H1647" s="55">
        <v>38366.699999999997</v>
      </c>
      <c r="I1647" s="55">
        <v>0</v>
      </c>
      <c r="J1647" s="55">
        <v>38366.699999999997</v>
      </c>
      <c r="K1647" s="55">
        <v>248</v>
      </c>
      <c r="L1647" s="55">
        <v>0</v>
      </c>
      <c r="M1647" s="55">
        <v>0</v>
      </c>
      <c r="N1647" s="55">
        <v>0</v>
      </c>
    </row>
    <row r="1648" spans="1:14" ht="10.050000000000001" hidden="1" customHeight="1">
      <c r="A1648" s="52" t="s">
        <v>316</v>
      </c>
      <c r="B1648" s="53">
        <v>2010</v>
      </c>
      <c r="C1648" s="52" t="s">
        <v>114</v>
      </c>
      <c r="D1648" s="54">
        <v>6</v>
      </c>
      <c r="E1648" s="55">
        <v>541.29999999999995</v>
      </c>
      <c r="F1648" s="55">
        <v>0</v>
      </c>
      <c r="G1648" s="55">
        <v>541.29999999999995</v>
      </c>
      <c r="H1648" s="55">
        <v>2083.1999999999998</v>
      </c>
      <c r="I1648" s="55">
        <v>24.3</v>
      </c>
      <c r="J1648" s="55">
        <v>2107.5</v>
      </c>
      <c r="K1648" s="55">
        <v>0</v>
      </c>
      <c r="L1648" s="55">
        <v>0</v>
      </c>
      <c r="M1648" s="55">
        <v>0</v>
      </c>
      <c r="N1648" s="55">
        <v>0</v>
      </c>
    </row>
    <row r="1649" spans="1:14" ht="10.050000000000001" hidden="1" customHeight="1">
      <c r="A1649" s="52" t="s">
        <v>310</v>
      </c>
      <c r="B1649" s="53">
        <v>2010</v>
      </c>
      <c r="C1649" s="52" t="s">
        <v>114</v>
      </c>
      <c r="D1649" s="54">
        <v>6</v>
      </c>
      <c r="E1649" s="55">
        <v>2024.1</v>
      </c>
      <c r="F1649" s="55">
        <v>0</v>
      </c>
      <c r="G1649" s="55">
        <v>2024.1</v>
      </c>
      <c r="H1649" s="55">
        <v>27747.599999999999</v>
      </c>
      <c r="I1649" s="55">
        <v>378.1</v>
      </c>
      <c r="J1649" s="55">
        <v>28125.7</v>
      </c>
      <c r="K1649" s="55">
        <v>257.3</v>
      </c>
      <c r="L1649" s="55">
        <v>-304.8</v>
      </c>
      <c r="M1649" s="55">
        <v>387.1</v>
      </c>
      <c r="N1649" s="55">
        <v>657.5</v>
      </c>
    </row>
    <row r="1650" spans="1:14" ht="10.050000000000001" hidden="1" customHeight="1">
      <c r="A1650" s="52" t="s">
        <v>308</v>
      </c>
      <c r="B1650" s="53">
        <v>2010</v>
      </c>
      <c r="C1650" s="52" t="s">
        <v>114</v>
      </c>
      <c r="D1650" s="54">
        <v>6</v>
      </c>
      <c r="E1650" s="55">
        <v>2974.6</v>
      </c>
      <c r="F1650" s="55">
        <v>0</v>
      </c>
      <c r="G1650" s="55">
        <v>2974.6</v>
      </c>
      <c r="H1650" s="55">
        <v>16128.4</v>
      </c>
      <c r="I1650" s="55">
        <v>167</v>
      </c>
      <c r="J1650" s="55">
        <v>16295.4</v>
      </c>
      <c r="K1650" s="55">
        <v>156.5</v>
      </c>
      <c r="L1650" s="55">
        <v>-50.5</v>
      </c>
      <c r="M1650" s="55">
        <v>2232.5</v>
      </c>
      <c r="N1650" s="55">
        <v>96.5</v>
      </c>
    </row>
    <row r="1651" spans="1:14" ht="10.050000000000001" hidden="1" customHeight="1">
      <c r="A1651" s="52" t="s">
        <v>174</v>
      </c>
      <c r="B1651" s="53">
        <v>2010</v>
      </c>
      <c r="C1651" s="52" t="s">
        <v>114</v>
      </c>
      <c r="D1651" s="54">
        <v>6</v>
      </c>
      <c r="E1651" s="55">
        <v>15156</v>
      </c>
      <c r="F1651" s="55">
        <v>1283</v>
      </c>
      <c r="G1651" s="55">
        <v>16439</v>
      </c>
      <c r="H1651" s="55">
        <v>24010.5</v>
      </c>
      <c r="I1651" s="55">
        <v>4836.6000000000004</v>
      </c>
      <c r="J1651" s="55">
        <v>28847.1</v>
      </c>
      <c r="K1651" s="55">
        <v>11906.8</v>
      </c>
      <c r="L1651" s="55">
        <v>-256.8</v>
      </c>
      <c r="M1651" s="55">
        <v>5819.7</v>
      </c>
      <c r="N1651" s="55">
        <v>11095.1</v>
      </c>
    </row>
    <row r="1652" spans="1:14" ht="10.050000000000001" hidden="1" customHeight="1">
      <c r="A1652" s="52" t="s">
        <v>300</v>
      </c>
      <c r="B1652" s="53">
        <v>2010</v>
      </c>
      <c r="C1652" s="52" t="s">
        <v>115</v>
      </c>
      <c r="D1652" s="54">
        <v>2</v>
      </c>
      <c r="E1652" s="55">
        <v>31.5</v>
      </c>
      <c r="F1652" s="55">
        <v>0</v>
      </c>
      <c r="G1652" s="55">
        <v>31.5</v>
      </c>
      <c r="H1652" s="55">
        <v>0</v>
      </c>
      <c r="I1652" s="55">
        <v>0</v>
      </c>
      <c r="J1652" s="55">
        <v>0</v>
      </c>
      <c r="K1652" s="55">
        <v>0</v>
      </c>
      <c r="L1652" s="55">
        <v>0</v>
      </c>
      <c r="M1652" s="55">
        <v>0</v>
      </c>
      <c r="N1652" s="55">
        <v>0</v>
      </c>
    </row>
    <row r="1653" spans="1:14" ht="10.050000000000001" hidden="1" customHeight="1">
      <c r="A1653" s="52" t="s">
        <v>171</v>
      </c>
      <c r="B1653" s="53">
        <v>2010</v>
      </c>
      <c r="C1653" s="52" t="s">
        <v>115</v>
      </c>
      <c r="D1653" s="54">
        <v>4</v>
      </c>
      <c r="E1653" s="55">
        <v>10.7</v>
      </c>
      <c r="F1653" s="55">
        <v>0</v>
      </c>
      <c r="G1653" s="55">
        <v>10.7</v>
      </c>
      <c r="H1653" s="55">
        <v>0</v>
      </c>
      <c r="I1653" s="55">
        <v>0</v>
      </c>
      <c r="J1653" s="55">
        <v>0</v>
      </c>
      <c r="K1653" s="55">
        <v>0</v>
      </c>
      <c r="L1653" s="55">
        <v>0</v>
      </c>
      <c r="M1653" s="55">
        <v>0</v>
      </c>
      <c r="N1653" s="55">
        <v>0</v>
      </c>
    </row>
    <row r="1654" spans="1:14" ht="10.050000000000001" hidden="1" customHeight="1">
      <c r="A1654" s="52" t="s">
        <v>300</v>
      </c>
      <c r="B1654" s="53">
        <v>2010</v>
      </c>
      <c r="C1654" s="52" t="s">
        <v>115</v>
      </c>
      <c r="D1654" s="54">
        <v>4</v>
      </c>
      <c r="E1654" s="55">
        <v>9.6999999999999993</v>
      </c>
      <c r="F1654" s="55">
        <v>0</v>
      </c>
      <c r="G1654" s="55">
        <v>9.6999999999999993</v>
      </c>
      <c r="H1654" s="55">
        <v>0</v>
      </c>
      <c r="I1654" s="55">
        <v>0</v>
      </c>
      <c r="J1654" s="55">
        <v>0</v>
      </c>
      <c r="K1654" s="55">
        <v>0</v>
      </c>
      <c r="L1654" s="55">
        <v>0</v>
      </c>
      <c r="M1654" s="55">
        <v>0</v>
      </c>
      <c r="N1654" s="55">
        <v>0</v>
      </c>
    </row>
    <row r="1655" spans="1:14" ht="10.050000000000001" hidden="1" customHeight="1">
      <c r="A1655" s="52" t="s">
        <v>310</v>
      </c>
      <c r="B1655" s="53">
        <v>2010</v>
      </c>
      <c r="C1655" s="52" t="s">
        <v>115</v>
      </c>
      <c r="D1655" s="54">
        <v>4</v>
      </c>
      <c r="E1655" s="55">
        <v>9.6999999999999993</v>
      </c>
      <c r="F1655" s="55">
        <v>0</v>
      </c>
      <c r="G1655" s="55">
        <v>9.6999999999999993</v>
      </c>
      <c r="H1655" s="55">
        <v>0</v>
      </c>
      <c r="I1655" s="55">
        <v>0</v>
      </c>
      <c r="J1655" s="55">
        <v>0</v>
      </c>
      <c r="K1655" s="55">
        <v>0</v>
      </c>
      <c r="L1655" s="55">
        <v>0</v>
      </c>
      <c r="M1655" s="55">
        <v>0</v>
      </c>
      <c r="N1655" s="55">
        <v>0</v>
      </c>
    </row>
    <row r="1656" spans="1:14" ht="10.050000000000001" hidden="1" customHeight="1">
      <c r="A1656" s="52" t="s">
        <v>172</v>
      </c>
      <c r="B1656" s="53">
        <v>2010</v>
      </c>
      <c r="C1656" s="52" t="s">
        <v>115</v>
      </c>
      <c r="D1656" s="54">
        <v>5</v>
      </c>
      <c r="E1656" s="55">
        <v>0</v>
      </c>
      <c r="F1656" s="55">
        <v>0</v>
      </c>
      <c r="G1656" s="55">
        <v>0</v>
      </c>
      <c r="H1656" s="55">
        <v>221.2</v>
      </c>
      <c r="I1656" s="55">
        <v>0</v>
      </c>
      <c r="J1656" s="55">
        <v>221.2</v>
      </c>
      <c r="K1656" s="55">
        <v>0</v>
      </c>
      <c r="L1656" s="55">
        <v>0</v>
      </c>
      <c r="M1656" s="55">
        <v>0</v>
      </c>
      <c r="N1656" s="55">
        <v>0</v>
      </c>
    </row>
    <row r="1657" spans="1:14" ht="10.050000000000001" hidden="1" customHeight="1">
      <c r="A1657" s="52" t="s">
        <v>171</v>
      </c>
      <c r="B1657" s="53">
        <v>2010</v>
      </c>
      <c r="C1657" s="52" t="s">
        <v>115</v>
      </c>
      <c r="D1657" s="54">
        <v>5</v>
      </c>
      <c r="E1657" s="55">
        <v>0</v>
      </c>
      <c r="F1657" s="55">
        <v>0</v>
      </c>
      <c r="G1657" s="55">
        <v>0</v>
      </c>
      <c r="H1657" s="55">
        <v>1717.2</v>
      </c>
      <c r="I1657" s="55">
        <v>0</v>
      </c>
      <c r="J1657" s="55">
        <v>1717.2</v>
      </c>
      <c r="K1657" s="55">
        <v>0</v>
      </c>
      <c r="L1657" s="55">
        <v>0</v>
      </c>
      <c r="M1657" s="55">
        <v>0</v>
      </c>
      <c r="N1657" s="55">
        <v>0</v>
      </c>
    </row>
    <row r="1658" spans="1:14" ht="10.050000000000001" hidden="1" customHeight="1">
      <c r="A1658" s="52" t="s">
        <v>300</v>
      </c>
      <c r="B1658" s="53">
        <v>2010</v>
      </c>
      <c r="C1658" s="52" t="s">
        <v>115</v>
      </c>
      <c r="D1658" s="54">
        <v>5</v>
      </c>
      <c r="E1658" s="55">
        <v>22.7</v>
      </c>
      <c r="F1658" s="55">
        <v>0</v>
      </c>
      <c r="G1658" s="55">
        <v>22.7</v>
      </c>
      <c r="H1658" s="55">
        <v>132.80000000000001</v>
      </c>
      <c r="I1658" s="55">
        <v>0</v>
      </c>
      <c r="J1658" s="55">
        <v>132.80000000000001</v>
      </c>
      <c r="K1658" s="55">
        <v>0</v>
      </c>
      <c r="L1658" s="55">
        <v>0</v>
      </c>
      <c r="M1658" s="55">
        <v>0</v>
      </c>
      <c r="N1658" s="55">
        <v>0</v>
      </c>
    </row>
    <row r="1659" spans="1:14" ht="10.050000000000001" hidden="1" customHeight="1">
      <c r="A1659" s="52" t="s">
        <v>306</v>
      </c>
      <c r="B1659" s="53">
        <v>2010</v>
      </c>
      <c r="C1659" s="52" t="s">
        <v>115</v>
      </c>
      <c r="D1659" s="54">
        <v>7</v>
      </c>
      <c r="E1659" s="55">
        <v>89843.9</v>
      </c>
      <c r="F1659" s="55">
        <v>1275.0999999999999</v>
      </c>
      <c r="G1659" s="55">
        <v>91119</v>
      </c>
      <c r="H1659" s="55">
        <v>187133.2</v>
      </c>
      <c r="I1659" s="55">
        <v>4478.7</v>
      </c>
      <c r="J1659" s="55">
        <v>191611.9</v>
      </c>
      <c r="K1659" s="55">
        <v>20582.7</v>
      </c>
      <c r="L1659" s="55">
        <v>20489.900000000001</v>
      </c>
      <c r="M1659" s="55">
        <v>1366.7</v>
      </c>
      <c r="N1659" s="55">
        <v>404.3</v>
      </c>
    </row>
    <row r="1660" spans="1:14" ht="10.050000000000001" hidden="1" customHeight="1">
      <c r="A1660" s="52" t="s">
        <v>172</v>
      </c>
      <c r="B1660" s="53">
        <v>2010</v>
      </c>
      <c r="C1660" s="52" t="s">
        <v>115</v>
      </c>
      <c r="D1660" s="54">
        <v>7</v>
      </c>
      <c r="E1660" s="55">
        <v>1043350.4</v>
      </c>
      <c r="F1660" s="55">
        <v>52926.400000000001</v>
      </c>
      <c r="G1660" s="55">
        <v>1096276.8</v>
      </c>
      <c r="H1660" s="55">
        <v>1155951.6000000001</v>
      </c>
      <c r="I1660" s="55">
        <v>36982.699999999997</v>
      </c>
      <c r="J1660" s="55">
        <v>1192934.3</v>
      </c>
      <c r="K1660" s="55">
        <v>475792.3</v>
      </c>
      <c r="L1660" s="55">
        <v>507586.6</v>
      </c>
      <c r="M1660" s="55">
        <v>40881.199999999997</v>
      </c>
      <c r="N1660" s="55">
        <v>612.4</v>
      </c>
    </row>
    <row r="1661" spans="1:14" ht="10.050000000000001" hidden="1" customHeight="1">
      <c r="A1661" s="52" t="s">
        <v>171</v>
      </c>
      <c r="B1661" s="53">
        <v>2010</v>
      </c>
      <c r="C1661" s="52" t="s">
        <v>115</v>
      </c>
      <c r="D1661" s="54">
        <v>7</v>
      </c>
      <c r="E1661" s="55">
        <v>10911557.199999999</v>
      </c>
      <c r="F1661" s="55">
        <v>113224</v>
      </c>
      <c r="G1661" s="55">
        <v>11024781.199999999</v>
      </c>
      <c r="H1661" s="55">
        <v>10732145.699999999</v>
      </c>
      <c r="I1661" s="55">
        <v>141430.6</v>
      </c>
      <c r="J1661" s="55">
        <v>10873576.300000001</v>
      </c>
      <c r="K1661" s="55">
        <v>3631536.6</v>
      </c>
      <c r="L1661" s="55">
        <v>3911098.6</v>
      </c>
      <c r="M1661" s="55">
        <v>332656.40000000002</v>
      </c>
      <c r="N1661" s="55">
        <v>33579.1</v>
      </c>
    </row>
    <row r="1662" spans="1:14" ht="10.050000000000001" hidden="1" customHeight="1">
      <c r="A1662" s="52" t="s">
        <v>300</v>
      </c>
      <c r="B1662" s="53">
        <v>2010</v>
      </c>
      <c r="C1662" s="52" t="s">
        <v>115</v>
      </c>
      <c r="D1662" s="54">
        <v>7</v>
      </c>
      <c r="E1662" s="55">
        <v>1401.6</v>
      </c>
      <c r="F1662" s="55">
        <v>21.8</v>
      </c>
      <c r="G1662" s="55">
        <v>1423.4</v>
      </c>
      <c r="H1662" s="55">
        <v>2460.1999999999998</v>
      </c>
      <c r="I1662" s="55">
        <v>130.80000000000001</v>
      </c>
      <c r="J1662" s="55">
        <v>2591</v>
      </c>
      <c r="K1662" s="55">
        <v>92.9</v>
      </c>
      <c r="L1662" s="55">
        <v>92.8</v>
      </c>
      <c r="M1662" s="55">
        <v>0</v>
      </c>
      <c r="N1662" s="55">
        <v>0.2</v>
      </c>
    </row>
    <row r="1663" spans="1:14" ht="10.050000000000001" hidden="1" customHeight="1">
      <c r="A1663" s="52" t="s">
        <v>307</v>
      </c>
      <c r="B1663" s="53">
        <v>2010</v>
      </c>
      <c r="C1663" s="52" t="s">
        <v>115</v>
      </c>
      <c r="D1663" s="54">
        <v>7</v>
      </c>
      <c r="E1663" s="55">
        <v>248177.3</v>
      </c>
      <c r="F1663" s="55">
        <v>10.6</v>
      </c>
      <c r="G1663" s="55">
        <v>248187.9</v>
      </c>
      <c r="H1663" s="55">
        <v>1414097.9</v>
      </c>
      <c r="I1663" s="55">
        <v>42568.9</v>
      </c>
      <c r="J1663" s="55">
        <v>1456666.8</v>
      </c>
      <c r="K1663" s="55">
        <v>251474.5</v>
      </c>
      <c r="L1663" s="55">
        <v>45384.7</v>
      </c>
      <c r="M1663" s="55">
        <v>98507.8</v>
      </c>
      <c r="N1663" s="55">
        <v>30079.9</v>
      </c>
    </row>
    <row r="1664" spans="1:14" ht="10.050000000000001" hidden="1" customHeight="1">
      <c r="A1664" s="52" t="s">
        <v>315</v>
      </c>
      <c r="B1664" s="53">
        <v>2010</v>
      </c>
      <c r="C1664" s="52" t="s">
        <v>115</v>
      </c>
      <c r="D1664" s="54">
        <v>7</v>
      </c>
      <c r="E1664" s="55">
        <v>190.7</v>
      </c>
      <c r="F1664" s="55">
        <v>0</v>
      </c>
      <c r="G1664" s="55">
        <v>190.7</v>
      </c>
      <c r="H1664" s="55">
        <v>7879.4</v>
      </c>
      <c r="I1664" s="55">
        <v>0</v>
      </c>
      <c r="J1664" s="55">
        <v>7879.4</v>
      </c>
      <c r="K1664" s="55">
        <v>45</v>
      </c>
      <c r="L1664" s="55">
        <v>0</v>
      </c>
      <c r="M1664" s="55">
        <v>0</v>
      </c>
      <c r="N1664" s="55">
        <v>0</v>
      </c>
    </row>
    <row r="1665" spans="1:14" ht="10.050000000000001" hidden="1" customHeight="1">
      <c r="A1665" s="52" t="s">
        <v>173</v>
      </c>
      <c r="B1665" s="53">
        <v>2010</v>
      </c>
      <c r="C1665" s="52" t="s">
        <v>115</v>
      </c>
      <c r="D1665" s="54">
        <v>7</v>
      </c>
      <c r="E1665" s="55">
        <v>4969551.8</v>
      </c>
      <c r="F1665" s="55">
        <v>97744.100000000093</v>
      </c>
      <c r="G1665" s="55">
        <v>5067295.9000000004</v>
      </c>
      <c r="H1665" s="55">
        <v>5819882</v>
      </c>
      <c r="I1665" s="55">
        <v>82812</v>
      </c>
      <c r="J1665" s="55">
        <v>5902694</v>
      </c>
      <c r="K1665" s="55">
        <v>1208059.8999999999</v>
      </c>
      <c r="L1665" s="55">
        <v>1460120.9</v>
      </c>
      <c r="M1665" s="55">
        <v>279099.7</v>
      </c>
      <c r="N1665" s="55">
        <v>10563.6</v>
      </c>
    </row>
    <row r="1666" spans="1:14" ht="10.050000000000001" customHeight="1">
      <c r="A1666" s="52" t="s">
        <v>309</v>
      </c>
      <c r="B1666" s="53">
        <v>2010</v>
      </c>
      <c r="C1666" s="52" t="s">
        <v>115</v>
      </c>
      <c r="D1666" s="54">
        <v>7</v>
      </c>
      <c r="E1666" s="55">
        <v>183.6</v>
      </c>
      <c r="F1666" s="55">
        <v>0</v>
      </c>
      <c r="G1666" s="55">
        <v>183.6</v>
      </c>
      <c r="H1666" s="55">
        <v>26132.5</v>
      </c>
      <c r="I1666" s="55">
        <v>0</v>
      </c>
      <c r="J1666" s="55">
        <v>26132.5</v>
      </c>
      <c r="K1666" s="55">
        <v>248</v>
      </c>
      <c r="L1666" s="55">
        <v>0</v>
      </c>
      <c r="M1666" s="55">
        <v>0</v>
      </c>
      <c r="N1666" s="55">
        <v>0</v>
      </c>
    </row>
    <row r="1667" spans="1:14" ht="10.050000000000001" hidden="1" customHeight="1">
      <c r="A1667" s="52" t="s">
        <v>316</v>
      </c>
      <c r="B1667" s="53">
        <v>2010</v>
      </c>
      <c r="C1667" s="52" t="s">
        <v>115</v>
      </c>
      <c r="D1667" s="54">
        <v>7</v>
      </c>
      <c r="E1667" s="55">
        <v>25.4</v>
      </c>
      <c r="F1667" s="55">
        <v>0</v>
      </c>
      <c r="G1667" s="55">
        <v>25.4</v>
      </c>
      <c r="H1667" s="55">
        <v>1289.7</v>
      </c>
      <c r="I1667" s="55">
        <v>24.1</v>
      </c>
      <c r="J1667" s="55">
        <v>1313.8</v>
      </c>
      <c r="K1667" s="55">
        <v>0</v>
      </c>
      <c r="L1667" s="55">
        <v>0</v>
      </c>
      <c r="M1667" s="55">
        <v>0</v>
      </c>
      <c r="N1667" s="55">
        <v>0</v>
      </c>
    </row>
    <row r="1668" spans="1:14" ht="10.050000000000001" hidden="1" customHeight="1">
      <c r="A1668" s="52" t="s">
        <v>310</v>
      </c>
      <c r="B1668" s="53">
        <v>2010</v>
      </c>
      <c r="C1668" s="52" t="s">
        <v>115</v>
      </c>
      <c r="D1668" s="54">
        <v>7</v>
      </c>
      <c r="E1668" s="55">
        <v>25185.200000000001</v>
      </c>
      <c r="F1668" s="55">
        <v>644.29999999999995</v>
      </c>
      <c r="G1668" s="55">
        <v>25829.5</v>
      </c>
      <c r="H1668" s="55">
        <v>47358.5</v>
      </c>
      <c r="I1668" s="55">
        <v>606.29999999999995</v>
      </c>
      <c r="J1668" s="55">
        <v>47964.800000000003</v>
      </c>
      <c r="K1668" s="55">
        <v>14708.5</v>
      </c>
      <c r="L1668" s="55">
        <v>14696.5</v>
      </c>
      <c r="M1668" s="55">
        <v>242.4</v>
      </c>
      <c r="N1668" s="55">
        <v>2.9</v>
      </c>
    </row>
    <row r="1669" spans="1:14" ht="10.050000000000001" hidden="1" customHeight="1">
      <c r="A1669" s="52" t="s">
        <v>308</v>
      </c>
      <c r="B1669" s="53">
        <v>2010</v>
      </c>
      <c r="C1669" s="52" t="s">
        <v>115</v>
      </c>
      <c r="D1669" s="54">
        <v>7</v>
      </c>
      <c r="E1669" s="55">
        <v>690.4</v>
      </c>
      <c r="F1669" s="55">
        <v>0</v>
      </c>
      <c r="G1669" s="55">
        <v>690.4</v>
      </c>
      <c r="H1669" s="55">
        <v>9622.6000000000095</v>
      </c>
      <c r="I1669" s="55">
        <v>167</v>
      </c>
      <c r="J1669" s="55">
        <v>9789.6</v>
      </c>
      <c r="K1669" s="55">
        <v>57.1</v>
      </c>
      <c r="L1669" s="55">
        <v>4.4000000000000004</v>
      </c>
      <c r="M1669" s="55">
        <v>84.9</v>
      </c>
      <c r="N1669" s="55">
        <v>18.899999999999999</v>
      </c>
    </row>
    <row r="1670" spans="1:14" ht="10.050000000000001" hidden="1" customHeight="1">
      <c r="A1670" s="52" t="s">
        <v>174</v>
      </c>
      <c r="B1670" s="53">
        <v>2010</v>
      </c>
      <c r="C1670" s="52" t="s">
        <v>115</v>
      </c>
      <c r="D1670" s="54">
        <v>7</v>
      </c>
      <c r="E1670" s="55">
        <v>315207.59999999998</v>
      </c>
      <c r="F1670" s="55">
        <v>10486.9</v>
      </c>
      <c r="G1670" s="55">
        <v>325694.5</v>
      </c>
      <c r="H1670" s="55">
        <v>285128.8</v>
      </c>
      <c r="I1670" s="55">
        <v>14903.7</v>
      </c>
      <c r="J1670" s="55">
        <v>300032.5</v>
      </c>
      <c r="K1670" s="55">
        <v>93846.8</v>
      </c>
      <c r="L1670" s="55">
        <v>98885.7</v>
      </c>
      <c r="M1670" s="55">
        <v>12387.3</v>
      </c>
      <c r="N1670" s="55">
        <v>4526.2</v>
      </c>
    </row>
    <row r="1671" spans="1:14" ht="10.050000000000001" hidden="1" customHeight="1">
      <c r="A1671" s="52" t="s">
        <v>314</v>
      </c>
      <c r="B1671" s="53">
        <v>2010</v>
      </c>
      <c r="C1671" s="52" t="s">
        <v>115</v>
      </c>
      <c r="D1671" s="54">
        <v>8</v>
      </c>
      <c r="E1671" s="55">
        <v>33.4</v>
      </c>
      <c r="F1671" s="55">
        <v>0</v>
      </c>
      <c r="G1671" s="55">
        <v>33.4</v>
      </c>
      <c r="H1671" s="55">
        <v>33.4</v>
      </c>
      <c r="I1671" s="55">
        <v>0</v>
      </c>
      <c r="J1671" s="55">
        <v>33.4</v>
      </c>
      <c r="K1671" s="55">
        <v>0</v>
      </c>
      <c r="L1671" s="55">
        <v>0</v>
      </c>
      <c r="M1671" s="55">
        <v>0</v>
      </c>
      <c r="N1671" s="55">
        <v>0</v>
      </c>
    </row>
    <row r="1672" spans="1:14" ht="10.050000000000001" hidden="1" customHeight="1">
      <c r="A1672" s="52" t="s">
        <v>306</v>
      </c>
      <c r="B1672" s="53">
        <v>2010</v>
      </c>
      <c r="C1672" s="52" t="s">
        <v>115</v>
      </c>
      <c r="D1672" s="54">
        <v>8</v>
      </c>
      <c r="E1672" s="55">
        <v>45132.6</v>
      </c>
      <c r="F1672" s="55">
        <v>1692.6</v>
      </c>
      <c r="G1672" s="55">
        <v>46825.2</v>
      </c>
      <c r="H1672" s="55">
        <v>211445.9</v>
      </c>
      <c r="I1672" s="55">
        <v>4974.7</v>
      </c>
      <c r="J1672" s="55">
        <v>216420.6</v>
      </c>
      <c r="K1672" s="55">
        <v>22414.1</v>
      </c>
      <c r="L1672" s="55">
        <v>7029.4</v>
      </c>
      <c r="M1672" s="55">
        <v>4865.2</v>
      </c>
      <c r="N1672" s="55">
        <v>332.8</v>
      </c>
    </row>
    <row r="1673" spans="1:14" ht="10.050000000000001" hidden="1" customHeight="1">
      <c r="A1673" s="52" t="s">
        <v>172</v>
      </c>
      <c r="B1673" s="53">
        <v>2010</v>
      </c>
      <c r="C1673" s="52" t="s">
        <v>115</v>
      </c>
      <c r="D1673" s="54">
        <v>8</v>
      </c>
      <c r="E1673" s="55">
        <v>95125.7</v>
      </c>
      <c r="F1673" s="55">
        <v>5318.5</v>
      </c>
      <c r="G1673" s="55">
        <v>100444.2</v>
      </c>
      <c r="H1673" s="55">
        <v>1118490</v>
      </c>
      <c r="I1673" s="55">
        <v>35760</v>
      </c>
      <c r="J1673" s="55">
        <v>1154250</v>
      </c>
      <c r="K1673" s="55">
        <v>469991.6</v>
      </c>
      <c r="L1673" s="55">
        <v>42824.5</v>
      </c>
      <c r="M1673" s="55">
        <v>47471.4</v>
      </c>
      <c r="N1673" s="55">
        <v>1153.8</v>
      </c>
    </row>
    <row r="1674" spans="1:14" ht="10.050000000000001" hidden="1" customHeight="1">
      <c r="A1674" s="52" t="s">
        <v>171</v>
      </c>
      <c r="B1674" s="53">
        <v>2010</v>
      </c>
      <c r="C1674" s="52" t="s">
        <v>115</v>
      </c>
      <c r="D1674" s="54">
        <v>8</v>
      </c>
      <c r="E1674" s="55">
        <v>6280155.2000000002</v>
      </c>
      <c r="F1674" s="55">
        <v>169032.4</v>
      </c>
      <c r="G1674" s="55">
        <v>6449187.5999999996</v>
      </c>
      <c r="H1674" s="55">
        <v>14024459.1</v>
      </c>
      <c r="I1674" s="55">
        <v>192098.6</v>
      </c>
      <c r="J1674" s="55">
        <v>14216557.699999999</v>
      </c>
      <c r="K1674" s="55">
        <v>4963397.4000000004</v>
      </c>
      <c r="L1674" s="55">
        <v>2629753.6</v>
      </c>
      <c r="M1674" s="55">
        <v>1271260.8999999999</v>
      </c>
      <c r="N1674" s="55">
        <v>26681.3</v>
      </c>
    </row>
    <row r="1675" spans="1:14" ht="10.050000000000001" hidden="1" customHeight="1">
      <c r="A1675" s="52" t="s">
        <v>300</v>
      </c>
      <c r="B1675" s="53">
        <v>2010</v>
      </c>
      <c r="C1675" s="52" t="s">
        <v>115</v>
      </c>
      <c r="D1675" s="54">
        <v>8</v>
      </c>
      <c r="E1675" s="55">
        <v>724</v>
      </c>
      <c r="F1675" s="55">
        <v>74.8</v>
      </c>
      <c r="G1675" s="55">
        <v>798.8</v>
      </c>
      <c r="H1675" s="55">
        <v>2853.5</v>
      </c>
      <c r="I1675" s="55">
        <v>189.4</v>
      </c>
      <c r="J1675" s="55">
        <v>3042.9</v>
      </c>
      <c r="K1675" s="55">
        <v>92.9</v>
      </c>
      <c r="L1675" s="55">
        <v>0</v>
      </c>
      <c r="M1675" s="55">
        <v>30.2</v>
      </c>
      <c r="N1675" s="55">
        <v>0</v>
      </c>
    </row>
    <row r="1676" spans="1:14" ht="10.050000000000001" hidden="1" customHeight="1">
      <c r="A1676" s="52" t="s">
        <v>307</v>
      </c>
      <c r="B1676" s="53">
        <v>2010</v>
      </c>
      <c r="C1676" s="52" t="s">
        <v>115</v>
      </c>
      <c r="D1676" s="54">
        <v>8</v>
      </c>
      <c r="E1676" s="55">
        <v>210718.9</v>
      </c>
      <c r="F1676" s="55">
        <v>28.9</v>
      </c>
      <c r="G1676" s="55">
        <v>210747.8</v>
      </c>
      <c r="H1676" s="55">
        <v>693966.7</v>
      </c>
      <c r="I1676" s="55">
        <v>42463.7</v>
      </c>
      <c r="J1676" s="55">
        <v>736430.4</v>
      </c>
      <c r="K1676" s="55">
        <v>140196.79999999999</v>
      </c>
      <c r="L1676" s="55">
        <v>10089</v>
      </c>
      <c r="M1676" s="55">
        <v>97823.5</v>
      </c>
      <c r="N1676" s="55">
        <v>23491.8</v>
      </c>
    </row>
    <row r="1677" spans="1:14" ht="10.050000000000001" hidden="1" customHeight="1">
      <c r="A1677" s="52" t="s">
        <v>315</v>
      </c>
      <c r="B1677" s="53">
        <v>2010</v>
      </c>
      <c r="C1677" s="52" t="s">
        <v>115</v>
      </c>
      <c r="D1677" s="54">
        <v>8</v>
      </c>
      <c r="E1677" s="55">
        <v>898.8</v>
      </c>
      <c r="F1677" s="55">
        <v>0</v>
      </c>
      <c r="G1677" s="55">
        <v>898.8</v>
      </c>
      <c r="H1677" s="55">
        <v>6099.5</v>
      </c>
      <c r="I1677" s="55">
        <v>0</v>
      </c>
      <c r="J1677" s="55">
        <v>6099.5</v>
      </c>
      <c r="K1677" s="55">
        <v>230.3</v>
      </c>
      <c r="L1677" s="55">
        <v>185.3</v>
      </c>
      <c r="M1677" s="55">
        <v>0</v>
      </c>
      <c r="N1677" s="55">
        <v>0</v>
      </c>
    </row>
    <row r="1678" spans="1:14" ht="10.050000000000001" hidden="1" customHeight="1">
      <c r="A1678" s="52" t="s">
        <v>173</v>
      </c>
      <c r="B1678" s="53">
        <v>2010</v>
      </c>
      <c r="C1678" s="52" t="s">
        <v>115</v>
      </c>
      <c r="D1678" s="54">
        <v>8</v>
      </c>
      <c r="E1678" s="55">
        <v>878600.3</v>
      </c>
      <c r="F1678" s="55">
        <v>9299.2999999999993</v>
      </c>
      <c r="G1678" s="55">
        <v>887899.6</v>
      </c>
      <c r="H1678" s="55">
        <v>5926877.0999999996</v>
      </c>
      <c r="I1678" s="55">
        <v>70259.899999999994</v>
      </c>
      <c r="J1678" s="55">
        <v>5997137</v>
      </c>
      <c r="K1678" s="55">
        <v>883278.4</v>
      </c>
      <c r="L1678" s="55">
        <v>117470.39999999999</v>
      </c>
      <c r="M1678" s="55">
        <v>427364.5</v>
      </c>
      <c r="N1678" s="55">
        <v>14887.4</v>
      </c>
    </row>
    <row r="1679" spans="1:14" ht="10.050000000000001" customHeight="1">
      <c r="A1679" s="52" t="s">
        <v>309</v>
      </c>
      <c r="B1679" s="53">
        <v>2010</v>
      </c>
      <c r="C1679" s="52" t="s">
        <v>115</v>
      </c>
      <c r="D1679" s="54">
        <v>8</v>
      </c>
      <c r="E1679" s="55">
        <v>122.1</v>
      </c>
      <c r="F1679" s="55">
        <v>0</v>
      </c>
      <c r="G1679" s="55">
        <v>122.1</v>
      </c>
      <c r="H1679" s="55">
        <v>17119.400000000001</v>
      </c>
      <c r="I1679" s="55">
        <v>0</v>
      </c>
      <c r="J1679" s="55">
        <v>17119.400000000001</v>
      </c>
      <c r="K1679" s="55">
        <v>248</v>
      </c>
      <c r="L1679" s="55">
        <v>0</v>
      </c>
      <c r="M1679" s="55">
        <v>0</v>
      </c>
      <c r="N1679" s="55">
        <v>0</v>
      </c>
    </row>
    <row r="1680" spans="1:14" ht="10.050000000000001" hidden="1" customHeight="1">
      <c r="A1680" s="52" t="s">
        <v>316</v>
      </c>
      <c r="B1680" s="53">
        <v>2010</v>
      </c>
      <c r="C1680" s="52" t="s">
        <v>115</v>
      </c>
      <c r="D1680" s="54">
        <v>8</v>
      </c>
      <c r="E1680" s="55">
        <v>2.9</v>
      </c>
      <c r="F1680" s="55">
        <v>0</v>
      </c>
      <c r="G1680" s="55">
        <v>2.9</v>
      </c>
      <c r="H1680" s="55">
        <v>836.7</v>
      </c>
      <c r="I1680" s="55">
        <v>24.1</v>
      </c>
      <c r="J1680" s="55">
        <v>860.8</v>
      </c>
      <c r="K1680" s="55">
        <v>0</v>
      </c>
      <c r="L1680" s="55">
        <v>0</v>
      </c>
      <c r="M1680" s="55">
        <v>0</v>
      </c>
      <c r="N1680" s="55">
        <v>0</v>
      </c>
    </row>
    <row r="1681" spans="1:14" ht="10.050000000000001" hidden="1" customHeight="1">
      <c r="A1681" s="52" t="s">
        <v>310</v>
      </c>
      <c r="B1681" s="53">
        <v>2010</v>
      </c>
      <c r="C1681" s="52" t="s">
        <v>115</v>
      </c>
      <c r="D1681" s="54">
        <v>8</v>
      </c>
      <c r="E1681" s="55">
        <v>26233.9</v>
      </c>
      <c r="F1681" s="55">
        <v>909.6</v>
      </c>
      <c r="G1681" s="55">
        <v>27143.5</v>
      </c>
      <c r="H1681" s="55">
        <v>68426.7</v>
      </c>
      <c r="I1681" s="55">
        <v>1047</v>
      </c>
      <c r="J1681" s="55">
        <v>69473.7</v>
      </c>
      <c r="K1681" s="55">
        <v>16637.8</v>
      </c>
      <c r="L1681" s="55">
        <v>6472.6</v>
      </c>
      <c r="M1681" s="55">
        <v>4514</v>
      </c>
      <c r="N1681" s="55">
        <v>29.3</v>
      </c>
    </row>
    <row r="1682" spans="1:14" ht="10.050000000000001" hidden="1" customHeight="1">
      <c r="A1682" s="52" t="s">
        <v>308</v>
      </c>
      <c r="B1682" s="53">
        <v>2010</v>
      </c>
      <c r="C1682" s="52" t="s">
        <v>115</v>
      </c>
      <c r="D1682" s="54">
        <v>8</v>
      </c>
      <c r="E1682" s="55">
        <v>296.3</v>
      </c>
      <c r="F1682" s="55">
        <v>0</v>
      </c>
      <c r="G1682" s="55">
        <v>296.3</v>
      </c>
      <c r="H1682" s="55">
        <v>5685.5</v>
      </c>
      <c r="I1682" s="55">
        <v>167</v>
      </c>
      <c r="J1682" s="55">
        <v>5852.5</v>
      </c>
      <c r="K1682" s="55">
        <v>26.3</v>
      </c>
      <c r="L1682" s="55">
        <v>0</v>
      </c>
      <c r="M1682" s="55">
        <v>30.8</v>
      </c>
      <c r="N1682" s="55">
        <v>0</v>
      </c>
    </row>
    <row r="1683" spans="1:14" ht="10.050000000000001" hidden="1" customHeight="1">
      <c r="A1683" s="52" t="s">
        <v>174</v>
      </c>
      <c r="B1683" s="53">
        <v>2010</v>
      </c>
      <c r="C1683" s="52" t="s">
        <v>115</v>
      </c>
      <c r="D1683" s="54">
        <v>8</v>
      </c>
      <c r="E1683" s="55">
        <v>216400.4</v>
      </c>
      <c r="F1683" s="55">
        <v>14113</v>
      </c>
      <c r="G1683" s="55">
        <v>230513.4</v>
      </c>
      <c r="H1683" s="55">
        <v>416957.8</v>
      </c>
      <c r="I1683" s="55">
        <v>21690.400000000001</v>
      </c>
      <c r="J1683" s="55">
        <v>438648.2</v>
      </c>
      <c r="K1683" s="55">
        <v>125513.9</v>
      </c>
      <c r="L1683" s="55">
        <v>55534.7</v>
      </c>
      <c r="M1683" s="55">
        <v>17377.7</v>
      </c>
      <c r="N1683" s="55">
        <v>6489.9</v>
      </c>
    </row>
    <row r="1684" spans="1:14" ht="10.050000000000001" hidden="1" customHeight="1">
      <c r="A1684" s="52" t="s">
        <v>314</v>
      </c>
      <c r="B1684" s="53">
        <v>2010</v>
      </c>
      <c r="C1684" s="52" t="s">
        <v>115</v>
      </c>
      <c r="D1684" s="54">
        <v>9</v>
      </c>
      <c r="E1684" s="55">
        <v>15.2</v>
      </c>
      <c r="F1684" s="55">
        <v>0</v>
      </c>
      <c r="G1684" s="55">
        <v>15.2</v>
      </c>
      <c r="H1684" s="55">
        <v>5.2</v>
      </c>
      <c r="I1684" s="55">
        <v>0</v>
      </c>
      <c r="J1684" s="55">
        <v>5.2</v>
      </c>
      <c r="K1684" s="55">
        <v>0</v>
      </c>
      <c r="L1684" s="55">
        <v>0</v>
      </c>
      <c r="M1684" s="55">
        <v>0</v>
      </c>
      <c r="N1684" s="55">
        <v>0</v>
      </c>
    </row>
    <row r="1685" spans="1:14" ht="10.050000000000001" hidden="1" customHeight="1">
      <c r="A1685" s="52" t="s">
        <v>306</v>
      </c>
      <c r="B1685" s="53">
        <v>2010</v>
      </c>
      <c r="C1685" s="52" t="s">
        <v>115</v>
      </c>
      <c r="D1685" s="54">
        <v>9</v>
      </c>
      <c r="E1685" s="55">
        <v>11895.8</v>
      </c>
      <c r="F1685" s="55">
        <v>778.9</v>
      </c>
      <c r="G1685" s="55">
        <v>12674.7</v>
      </c>
      <c r="H1685" s="55">
        <v>193461.3</v>
      </c>
      <c r="I1685" s="55">
        <v>4785</v>
      </c>
      <c r="J1685" s="55">
        <v>198246.3</v>
      </c>
      <c r="K1685" s="55">
        <v>18343.8</v>
      </c>
      <c r="L1685" s="55">
        <v>1876.6</v>
      </c>
      <c r="M1685" s="55">
        <v>5138</v>
      </c>
      <c r="N1685" s="55">
        <v>771.6</v>
      </c>
    </row>
    <row r="1686" spans="1:14" ht="10.050000000000001" hidden="1" customHeight="1">
      <c r="A1686" s="52" t="s">
        <v>172</v>
      </c>
      <c r="B1686" s="53">
        <v>2010</v>
      </c>
      <c r="C1686" s="52" t="s">
        <v>115</v>
      </c>
      <c r="D1686" s="54">
        <v>9</v>
      </c>
      <c r="E1686" s="55">
        <v>93616.8</v>
      </c>
      <c r="F1686" s="55">
        <v>7965.1</v>
      </c>
      <c r="G1686" s="55">
        <v>101581.9</v>
      </c>
      <c r="H1686" s="55">
        <v>1030979.1</v>
      </c>
      <c r="I1686" s="55">
        <v>28772.6</v>
      </c>
      <c r="J1686" s="55">
        <v>1059751.7</v>
      </c>
      <c r="K1686" s="55">
        <v>424616</v>
      </c>
      <c r="L1686" s="55">
        <v>14499.3</v>
      </c>
      <c r="M1686" s="55">
        <v>58693.599999999999</v>
      </c>
      <c r="N1686" s="55">
        <v>1181.3</v>
      </c>
    </row>
    <row r="1687" spans="1:14" ht="10.050000000000001" hidden="1" customHeight="1">
      <c r="A1687" s="52" t="s">
        <v>171</v>
      </c>
      <c r="B1687" s="53">
        <v>2010</v>
      </c>
      <c r="C1687" s="52" t="s">
        <v>115</v>
      </c>
      <c r="D1687" s="54">
        <v>9</v>
      </c>
      <c r="E1687" s="55">
        <v>2771655.2</v>
      </c>
      <c r="F1687" s="55">
        <v>139011.79999999999</v>
      </c>
      <c r="G1687" s="55">
        <v>2910667</v>
      </c>
      <c r="H1687" s="55">
        <v>13435601</v>
      </c>
      <c r="I1687" s="55">
        <v>185090</v>
      </c>
      <c r="J1687" s="55">
        <v>13620691</v>
      </c>
      <c r="K1687" s="55">
        <v>3565926.6</v>
      </c>
      <c r="L1687" s="55">
        <v>445418.8</v>
      </c>
      <c r="M1687" s="55">
        <v>1791393.9</v>
      </c>
      <c r="N1687" s="55">
        <v>46491.9</v>
      </c>
    </row>
    <row r="1688" spans="1:14" ht="10.050000000000001" hidden="1" customHeight="1">
      <c r="A1688" s="52" t="s">
        <v>300</v>
      </c>
      <c r="B1688" s="53">
        <v>2010</v>
      </c>
      <c r="C1688" s="52" t="s">
        <v>115</v>
      </c>
      <c r="D1688" s="54">
        <v>9</v>
      </c>
      <c r="E1688" s="55">
        <v>319.2</v>
      </c>
      <c r="F1688" s="55">
        <v>5.9</v>
      </c>
      <c r="G1688" s="55">
        <v>325.10000000000002</v>
      </c>
      <c r="H1688" s="55">
        <v>2678.2</v>
      </c>
      <c r="I1688" s="55">
        <v>168.1</v>
      </c>
      <c r="J1688" s="55">
        <v>2846.3</v>
      </c>
      <c r="K1688" s="55">
        <v>38.5</v>
      </c>
      <c r="L1688" s="55">
        <v>0</v>
      </c>
      <c r="M1688" s="55">
        <v>0</v>
      </c>
      <c r="N1688" s="55">
        <v>54.4</v>
      </c>
    </row>
    <row r="1689" spans="1:14" ht="10.050000000000001" hidden="1" customHeight="1">
      <c r="A1689" s="52" t="s">
        <v>307</v>
      </c>
      <c r="B1689" s="53">
        <v>2010</v>
      </c>
      <c r="C1689" s="52" t="s">
        <v>115</v>
      </c>
      <c r="D1689" s="54">
        <v>9</v>
      </c>
      <c r="E1689" s="55">
        <v>457233.1</v>
      </c>
      <c r="F1689" s="55">
        <v>27396.9</v>
      </c>
      <c r="G1689" s="55">
        <v>484630</v>
      </c>
      <c r="H1689" s="55">
        <v>460733.7</v>
      </c>
      <c r="I1689" s="55">
        <v>59913.5</v>
      </c>
      <c r="J1689" s="55">
        <v>520647.2</v>
      </c>
      <c r="K1689" s="55">
        <v>220238.1</v>
      </c>
      <c r="L1689" s="55">
        <v>146340.70000000001</v>
      </c>
      <c r="M1689" s="55">
        <v>40562.199999999997</v>
      </c>
      <c r="N1689" s="55">
        <v>25728.7</v>
      </c>
    </row>
    <row r="1690" spans="1:14" ht="10.050000000000001" hidden="1" customHeight="1">
      <c r="A1690" s="52" t="s">
        <v>315</v>
      </c>
      <c r="B1690" s="53">
        <v>2010</v>
      </c>
      <c r="C1690" s="52" t="s">
        <v>115</v>
      </c>
      <c r="D1690" s="54">
        <v>9</v>
      </c>
      <c r="E1690" s="55">
        <v>11374.3</v>
      </c>
      <c r="F1690" s="55">
        <v>36</v>
      </c>
      <c r="G1690" s="55">
        <v>11410.3</v>
      </c>
      <c r="H1690" s="55">
        <v>14733</v>
      </c>
      <c r="I1690" s="55">
        <v>26.3</v>
      </c>
      <c r="J1690" s="55">
        <v>14759.3</v>
      </c>
      <c r="K1690" s="55">
        <v>3363.5</v>
      </c>
      <c r="L1690" s="55">
        <v>3521.8</v>
      </c>
      <c r="M1690" s="55">
        <v>347.1</v>
      </c>
      <c r="N1690" s="55">
        <v>41.5</v>
      </c>
    </row>
    <row r="1691" spans="1:14" ht="10.050000000000001" hidden="1" customHeight="1">
      <c r="A1691" s="52" t="s">
        <v>173</v>
      </c>
      <c r="B1691" s="53">
        <v>2010</v>
      </c>
      <c r="C1691" s="52" t="s">
        <v>115</v>
      </c>
      <c r="D1691" s="54">
        <v>9</v>
      </c>
      <c r="E1691" s="55">
        <v>370807.1</v>
      </c>
      <c r="F1691" s="55">
        <v>15487.8</v>
      </c>
      <c r="G1691" s="55">
        <v>386294.9</v>
      </c>
      <c r="H1691" s="55">
        <v>5556371.4000000004</v>
      </c>
      <c r="I1691" s="55">
        <v>60279.3</v>
      </c>
      <c r="J1691" s="55">
        <v>5616650.7000000002</v>
      </c>
      <c r="K1691" s="55">
        <v>669911.1</v>
      </c>
      <c r="L1691" s="55">
        <v>33536.6</v>
      </c>
      <c r="M1691" s="55">
        <v>231519</v>
      </c>
      <c r="N1691" s="55">
        <v>15111.4</v>
      </c>
    </row>
    <row r="1692" spans="1:14" ht="10.050000000000001" customHeight="1">
      <c r="A1692" s="52" t="s">
        <v>309</v>
      </c>
      <c r="B1692" s="53">
        <v>2010</v>
      </c>
      <c r="C1692" s="52" t="s">
        <v>115</v>
      </c>
      <c r="D1692" s="54">
        <v>9</v>
      </c>
      <c r="E1692" s="55">
        <v>10630</v>
      </c>
      <c r="F1692" s="55">
        <v>448.8</v>
      </c>
      <c r="G1692" s="55">
        <v>11078.8</v>
      </c>
      <c r="H1692" s="55">
        <v>20463.5</v>
      </c>
      <c r="I1692" s="55">
        <v>0</v>
      </c>
      <c r="J1692" s="55">
        <v>20463.5</v>
      </c>
      <c r="K1692" s="55">
        <v>2060.6</v>
      </c>
      <c r="L1692" s="55">
        <v>2060.6</v>
      </c>
      <c r="M1692" s="55">
        <v>0</v>
      </c>
      <c r="N1692" s="55">
        <v>248</v>
      </c>
    </row>
    <row r="1693" spans="1:14" ht="10.050000000000001" hidden="1" customHeight="1">
      <c r="A1693" s="52" t="s">
        <v>316</v>
      </c>
      <c r="B1693" s="53">
        <v>2010</v>
      </c>
      <c r="C1693" s="52" t="s">
        <v>115</v>
      </c>
      <c r="D1693" s="54">
        <v>9</v>
      </c>
      <c r="E1693" s="55">
        <v>689.5</v>
      </c>
      <c r="F1693" s="55">
        <v>21.1</v>
      </c>
      <c r="G1693" s="55">
        <v>710.6</v>
      </c>
      <c r="H1693" s="55">
        <v>1023.5</v>
      </c>
      <c r="I1693" s="55">
        <v>45.2</v>
      </c>
      <c r="J1693" s="55">
        <v>1068.7</v>
      </c>
      <c r="K1693" s="55">
        <v>8.4</v>
      </c>
      <c r="L1693" s="55">
        <v>10.199999999999999</v>
      </c>
      <c r="M1693" s="55">
        <v>0</v>
      </c>
      <c r="N1693" s="55">
        <v>1.8</v>
      </c>
    </row>
    <row r="1694" spans="1:14" ht="10.050000000000001" hidden="1" customHeight="1">
      <c r="A1694" s="52" t="s">
        <v>310</v>
      </c>
      <c r="B1694" s="53">
        <v>2010</v>
      </c>
      <c r="C1694" s="52" t="s">
        <v>115</v>
      </c>
      <c r="D1694" s="54">
        <v>9</v>
      </c>
      <c r="E1694" s="55">
        <v>5989.8</v>
      </c>
      <c r="F1694" s="55">
        <v>276.60000000000002</v>
      </c>
      <c r="G1694" s="55">
        <v>6266.4</v>
      </c>
      <c r="H1694" s="55">
        <v>67938.3</v>
      </c>
      <c r="I1694" s="55">
        <v>821.3</v>
      </c>
      <c r="J1694" s="55">
        <v>68759.600000000006</v>
      </c>
      <c r="K1694" s="55">
        <v>14250.9</v>
      </c>
      <c r="L1694" s="55">
        <v>749.7</v>
      </c>
      <c r="M1694" s="55">
        <v>3005.4</v>
      </c>
      <c r="N1694" s="55">
        <v>131.19999999999999</v>
      </c>
    </row>
    <row r="1695" spans="1:14" ht="10.050000000000001" hidden="1" customHeight="1">
      <c r="A1695" s="52" t="s">
        <v>308</v>
      </c>
      <c r="B1695" s="53">
        <v>2010</v>
      </c>
      <c r="C1695" s="52" t="s">
        <v>115</v>
      </c>
      <c r="D1695" s="54">
        <v>9</v>
      </c>
      <c r="E1695" s="55">
        <v>14031.8</v>
      </c>
      <c r="F1695" s="55">
        <v>106.1</v>
      </c>
      <c r="G1695" s="55">
        <v>14137.9</v>
      </c>
      <c r="H1695" s="55">
        <v>14324.3</v>
      </c>
      <c r="I1695" s="55">
        <v>525.9</v>
      </c>
      <c r="J1695" s="55">
        <v>14850.2</v>
      </c>
      <c r="K1695" s="55">
        <v>2057.9</v>
      </c>
      <c r="L1695" s="55">
        <v>2124</v>
      </c>
      <c r="M1695" s="55">
        <v>83.4</v>
      </c>
      <c r="N1695" s="55">
        <v>9</v>
      </c>
    </row>
    <row r="1696" spans="1:14" ht="10.050000000000001" hidden="1" customHeight="1">
      <c r="A1696" s="52" t="s">
        <v>174</v>
      </c>
      <c r="B1696" s="53">
        <v>2010</v>
      </c>
      <c r="C1696" s="52" t="s">
        <v>115</v>
      </c>
      <c r="D1696" s="54">
        <v>9</v>
      </c>
      <c r="E1696" s="55">
        <v>44872.7</v>
      </c>
      <c r="F1696" s="55">
        <v>12142.2</v>
      </c>
      <c r="G1696" s="55">
        <v>57014.9</v>
      </c>
      <c r="H1696" s="55">
        <v>385586.4</v>
      </c>
      <c r="I1696" s="55">
        <v>19688.099999999999</v>
      </c>
      <c r="J1696" s="55">
        <v>405274.5</v>
      </c>
      <c r="K1696" s="55">
        <v>107020.9</v>
      </c>
      <c r="L1696" s="55">
        <v>7864.3</v>
      </c>
      <c r="M1696" s="55">
        <v>19823.3</v>
      </c>
      <c r="N1696" s="55">
        <v>6534</v>
      </c>
    </row>
    <row r="1697" spans="1:14" ht="10.050000000000001" hidden="1" customHeight="1">
      <c r="A1697" s="52" t="s">
        <v>314</v>
      </c>
      <c r="B1697" s="53">
        <v>2010</v>
      </c>
      <c r="C1697" s="52" t="s">
        <v>115</v>
      </c>
      <c r="D1697" s="54">
        <v>10</v>
      </c>
      <c r="E1697" s="55">
        <v>0</v>
      </c>
      <c r="F1697" s="55">
        <v>0</v>
      </c>
      <c r="G1697" s="55">
        <v>0</v>
      </c>
      <c r="H1697" s="55">
        <v>5.2</v>
      </c>
      <c r="I1697" s="55">
        <v>0</v>
      </c>
      <c r="J1697" s="55">
        <v>5.2</v>
      </c>
      <c r="K1697" s="55">
        <v>0</v>
      </c>
      <c r="L1697" s="55">
        <v>0</v>
      </c>
      <c r="M1697" s="55">
        <v>0</v>
      </c>
      <c r="N1697" s="55">
        <v>0</v>
      </c>
    </row>
    <row r="1698" spans="1:14" ht="10.050000000000001" hidden="1" customHeight="1">
      <c r="A1698" s="52" t="s">
        <v>306</v>
      </c>
      <c r="B1698" s="53">
        <v>2010</v>
      </c>
      <c r="C1698" s="52" t="s">
        <v>115</v>
      </c>
      <c r="D1698" s="54">
        <v>10</v>
      </c>
      <c r="E1698" s="55">
        <v>7378.9</v>
      </c>
      <c r="F1698" s="55">
        <v>1442.8</v>
      </c>
      <c r="G1698" s="55">
        <v>8821.7000000000007</v>
      </c>
      <c r="H1698" s="55">
        <v>172960.3</v>
      </c>
      <c r="I1698" s="55">
        <v>5014.7</v>
      </c>
      <c r="J1698" s="55">
        <v>177975</v>
      </c>
      <c r="K1698" s="55">
        <v>15310.1</v>
      </c>
      <c r="L1698" s="55">
        <v>1102.9000000000001</v>
      </c>
      <c r="M1698" s="55">
        <v>3833.5</v>
      </c>
      <c r="N1698" s="55">
        <v>336.6</v>
      </c>
    </row>
    <row r="1699" spans="1:14" ht="10.050000000000001" hidden="1" customHeight="1">
      <c r="A1699" s="52" t="s">
        <v>172</v>
      </c>
      <c r="B1699" s="53">
        <v>2010</v>
      </c>
      <c r="C1699" s="52" t="s">
        <v>115</v>
      </c>
      <c r="D1699" s="54">
        <v>10</v>
      </c>
      <c r="E1699" s="55">
        <v>79335.199999999997</v>
      </c>
      <c r="F1699" s="55">
        <v>7086.4</v>
      </c>
      <c r="G1699" s="55">
        <v>86421.6</v>
      </c>
      <c r="H1699" s="55">
        <v>968520.1</v>
      </c>
      <c r="I1699" s="55">
        <v>24437.200000000001</v>
      </c>
      <c r="J1699" s="55">
        <v>992957.3</v>
      </c>
      <c r="K1699" s="55">
        <v>384806.5</v>
      </c>
      <c r="L1699" s="55">
        <v>7159.6</v>
      </c>
      <c r="M1699" s="55">
        <v>48934.1</v>
      </c>
      <c r="N1699" s="55">
        <v>1934</v>
      </c>
    </row>
    <row r="1700" spans="1:14" ht="10.050000000000001" hidden="1" customHeight="1">
      <c r="A1700" s="52" t="s">
        <v>171</v>
      </c>
      <c r="B1700" s="53">
        <v>2010</v>
      </c>
      <c r="C1700" s="52" t="s">
        <v>115</v>
      </c>
      <c r="D1700" s="54">
        <v>10</v>
      </c>
      <c r="E1700" s="55">
        <v>1349161.9</v>
      </c>
      <c r="F1700" s="55">
        <v>49468.1</v>
      </c>
      <c r="G1700" s="55">
        <v>1398630</v>
      </c>
      <c r="H1700" s="55">
        <v>11772374</v>
      </c>
      <c r="I1700" s="55">
        <v>146477.1</v>
      </c>
      <c r="J1700" s="55">
        <v>11918851.1</v>
      </c>
      <c r="K1700" s="55">
        <v>3087770.8</v>
      </c>
      <c r="L1700" s="55">
        <v>257398.9</v>
      </c>
      <c r="M1700" s="55">
        <v>694388.6</v>
      </c>
      <c r="N1700" s="55">
        <v>17829.5</v>
      </c>
    </row>
    <row r="1701" spans="1:14" ht="10.050000000000001" hidden="1" customHeight="1">
      <c r="A1701" s="52" t="s">
        <v>300</v>
      </c>
      <c r="B1701" s="53">
        <v>2010</v>
      </c>
      <c r="C1701" s="52" t="s">
        <v>115</v>
      </c>
      <c r="D1701" s="54">
        <v>10</v>
      </c>
      <c r="E1701" s="55">
        <v>406</v>
      </c>
      <c r="F1701" s="55">
        <v>0</v>
      </c>
      <c r="G1701" s="55">
        <v>406</v>
      </c>
      <c r="H1701" s="55">
        <v>2721.1</v>
      </c>
      <c r="I1701" s="55">
        <v>120.8</v>
      </c>
      <c r="J1701" s="55">
        <v>2841.9</v>
      </c>
      <c r="K1701" s="55">
        <v>30.2</v>
      </c>
      <c r="L1701" s="55">
        <v>0</v>
      </c>
      <c r="M1701" s="55">
        <v>0</v>
      </c>
      <c r="N1701" s="55">
        <v>8.3000000000000007</v>
      </c>
    </row>
    <row r="1702" spans="1:14" ht="10.050000000000001" hidden="1" customHeight="1">
      <c r="A1702" s="52" t="s">
        <v>307</v>
      </c>
      <c r="B1702" s="53">
        <v>2010</v>
      </c>
      <c r="C1702" s="52" t="s">
        <v>115</v>
      </c>
      <c r="D1702" s="54">
        <v>10</v>
      </c>
      <c r="E1702" s="55">
        <v>4682514.2</v>
      </c>
      <c r="F1702" s="55">
        <v>57825.9</v>
      </c>
      <c r="G1702" s="55">
        <v>4740340.0999999996</v>
      </c>
      <c r="H1702" s="55">
        <v>4067470.8</v>
      </c>
      <c r="I1702" s="55">
        <v>102652.6</v>
      </c>
      <c r="J1702" s="55">
        <v>4170123.4</v>
      </c>
      <c r="K1702" s="55">
        <v>2477422.7000000002</v>
      </c>
      <c r="L1702" s="55">
        <v>2459974.7000000002</v>
      </c>
      <c r="M1702" s="55">
        <v>134019.70000000001</v>
      </c>
      <c r="N1702" s="55">
        <v>71313.7</v>
      </c>
    </row>
    <row r="1703" spans="1:14" ht="10.050000000000001" hidden="1" customHeight="1">
      <c r="A1703" s="52" t="s">
        <v>315</v>
      </c>
      <c r="B1703" s="53">
        <v>2010</v>
      </c>
      <c r="C1703" s="52" t="s">
        <v>115</v>
      </c>
      <c r="D1703" s="54">
        <v>10</v>
      </c>
      <c r="E1703" s="55">
        <v>9846.7999999999993</v>
      </c>
      <c r="F1703" s="55">
        <v>0</v>
      </c>
      <c r="G1703" s="55">
        <v>9846.7999999999993</v>
      </c>
      <c r="H1703" s="55">
        <v>20105</v>
      </c>
      <c r="I1703" s="55">
        <v>26.3</v>
      </c>
      <c r="J1703" s="55">
        <v>20131.3</v>
      </c>
      <c r="K1703" s="55">
        <v>3456</v>
      </c>
      <c r="L1703" s="55">
        <v>957.5</v>
      </c>
      <c r="M1703" s="55">
        <v>828.9</v>
      </c>
      <c r="N1703" s="55">
        <v>36.1</v>
      </c>
    </row>
    <row r="1704" spans="1:14" ht="10.050000000000001" hidden="1" customHeight="1">
      <c r="A1704" s="52" t="s">
        <v>173</v>
      </c>
      <c r="B1704" s="53">
        <v>2010</v>
      </c>
      <c r="C1704" s="52" t="s">
        <v>115</v>
      </c>
      <c r="D1704" s="54">
        <v>10</v>
      </c>
      <c r="E1704" s="55">
        <v>218619.1</v>
      </c>
      <c r="F1704" s="55">
        <v>14360.7</v>
      </c>
      <c r="G1704" s="55">
        <v>232979.8</v>
      </c>
      <c r="H1704" s="55">
        <v>5188517.2</v>
      </c>
      <c r="I1704" s="55">
        <v>55852.3</v>
      </c>
      <c r="J1704" s="55">
        <v>5244369.4999999898</v>
      </c>
      <c r="K1704" s="55">
        <v>554947</v>
      </c>
      <c r="L1704" s="55">
        <v>17601.8</v>
      </c>
      <c r="M1704" s="55">
        <v>113847.4</v>
      </c>
      <c r="N1704" s="55">
        <v>15549.1</v>
      </c>
    </row>
    <row r="1705" spans="1:14" ht="10.050000000000001" customHeight="1">
      <c r="A1705" s="52" t="s">
        <v>309</v>
      </c>
      <c r="B1705" s="53">
        <v>2010</v>
      </c>
      <c r="C1705" s="52" t="s">
        <v>115</v>
      </c>
      <c r="D1705" s="54">
        <v>10</v>
      </c>
      <c r="E1705" s="55">
        <v>66072.899999999994</v>
      </c>
      <c r="F1705" s="55">
        <v>951.7</v>
      </c>
      <c r="G1705" s="55">
        <v>67024.600000000006</v>
      </c>
      <c r="H1705" s="55">
        <v>76031.3</v>
      </c>
      <c r="I1705" s="55">
        <v>0</v>
      </c>
      <c r="J1705" s="55">
        <v>76031.3</v>
      </c>
      <c r="K1705" s="55">
        <v>20830.8</v>
      </c>
      <c r="L1705" s="55">
        <v>18770.2</v>
      </c>
      <c r="M1705" s="55">
        <v>0</v>
      </c>
      <c r="N1705" s="55">
        <v>0</v>
      </c>
    </row>
    <row r="1706" spans="1:14" ht="10.050000000000001" hidden="1" customHeight="1">
      <c r="A1706" s="52" t="s">
        <v>316</v>
      </c>
      <c r="B1706" s="53">
        <v>2010</v>
      </c>
      <c r="C1706" s="52" t="s">
        <v>115</v>
      </c>
      <c r="D1706" s="54">
        <v>10</v>
      </c>
      <c r="E1706" s="55">
        <v>4029.7</v>
      </c>
      <c r="F1706" s="55">
        <v>62.9</v>
      </c>
      <c r="G1706" s="55">
        <v>4092.6</v>
      </c>
      <c r="H1706" s="55">
        <v>5369.3</v>
      </c>
      <c r="I1706" s="55">
        <v>108.1</v>
      </c>
      <c r="J1706" s="55">
        <v>5477.4</v>
      </c>
      <c r="K1706" s="55">
        <v>130.4</v>
      </c>
      <c r="L1706" s="55">
        <v>124</v>
      </c>
      <c r="M1706" s="55">
        <v>0</v>
      </c>
      <c r="N1706" s="55">
        <v>2</v>
      </c>
    </row>
    <row r="1707" spans="1:14" ht="10.050000000000001" hidden="1" customHeight="1">
      <c r="A1707" s="52" t="s">
        <v>310</v>
      </c>
      <c r="B1707" s="53">
        <v>2010</v>
      </c>
      <c r="C1707" s="52" t="s">
        <v>115</v>
      </c>
      <c r="D1707" s="54">
        <v>10</v>
      </c>
      <c r="E1707" s="55">
        <v>4056.4</v>
      </c>
      <c r="F1707" s="55">
        <v>147</v>
      </c>
      <c r="G1707" s="55">
        <v>4203.3999999999996</v>
      </c>
      <c r="H1707" s="55">
        <v>65357.6000000001</v>
      </c>
      <c r="I1707" s="55">
        <v>641.5</v>
      </c>
      <c r="J1707" s="55">
        <v>65999.100000000006</v>
      </c>
      <c r="K1707" s="55">
        <v>11238.4</v>
      </c>
      <c r="L1707" s="55">
        <v>191.2</v>
      </c>
      <c r="M1707" s="55">
        <v>3113.7</v>
      </c>
      <c r="N1707" s="55">
        <v>90</v>
      </c>
    </row>
    <row r="1708" spans="1:14" ht="10.050000000000001" hidden="1" customHeight="1">
      <c r="A1708" s="52" t="s">
        <v>308</v>
      </c>
      <c r="B1708" s="53">
        <v>2010</v>
      </c>
      <c r="C1708" s="52" t="s">
        <v>115</v>
      </c>
      <c r="D1708" s="54">
        <v>10</v>
      </c>
      <c r="E1708" s="55">
        <v>89532.5</v>
      </c>
      <c r="F1708" s="55">
        <v>711.7</v>
      </c>
      <c r="G1708" s="55">
        <v>90244.2</v>
      </c>
      <c r="H1708" s="55">
        <v>92304.4</v>
      </c>
      <c r="I1708" s="55">
        <v>710.6</v>
      </c>
      <c r="J1708" s="55">
        <v>93015</v>
      </c>
      <c r="K1708" s="55">
        <v>13823.7</v>
      </c>
      <c r="L1708" s="55">
        <v>13324.5</v>
      </c>
      <c r="M1708" s="55">
        <v>1298.8</v>
      </c>
      <c r="N1708" s="55">
        <v>259.89999999999998</v>
      </c>
    </row>
    <row r="1709" spans="1:14" ht="10.050000000000001" hidden="1" customHeight="1">
      <c r="A1709" s="52" t="s">
        <v>174</v>
      </c>
      <c r="B1709" s="53">
        <v>2010</v>
      </c>
      <c r="C1709" s="52" t="s">
        <v>115</v>
      </c>
      <c r="D1709" s="54">
        <v>10</v>
      </c>
      <c r="E1709" s="55">
        <v>19524.5</v>
      </c>
      <c r="F1709" s="55">
        <v>3949.3</v>
      </c>
      <c r="G1709" s="55">
        <v>23473.8</v>
      </c>
      <c r="H1709" s="55">
        <v>348320.6</v>
      </c>
      <c r="I1709" s="55">
        <v>15896.6</v>
      </c>
      <c r="J1709" s="55">
        <v>364217.2</v>
      </c>
      <c r="K1709" s="55">
        <v>95096.7</v>
      </c>
      <c r="L1709" s="55">
        <v>3742.3</v>
      </c>
      <c r="M1709" s="55">
        <v>9262.7000000000007</v>
      </c>
      <c r="N1709" s="55">
        <v>6493.1</v>
      </c>
    </row>
    <row r="1710" spans="1:14" ht="10.050000000000001" hidden="1" customHeight="1">
      <c r="A1710" s="52" t="s">
        <v>314</v>
      </c>
      <c r="B1710" s="53">
        <v>2010</v>
      </c>
      <c r="C1710" s="52" t="s">
        <v>115</v>
      </c>
      <c r="D1710" s="54">
        <v>11</v>
      </c>
      <c r="E1710" s="55">
        <v>0</v>
      </c>
      <c r="F1710" s="55">
        <v>0</v>
      </c>
      <c r="G1710" s="55">
        <v>0</v>
      </c>
      <c r="H1710" s="55">
        <v>5.2</v>
      </c>
      <c r="I1710" s="55">
        <v>0</v>
      </c>
      <c r="J1710" s="55">
        <v>5.2</v>
      </c>
      <c r="K1710" s="55">
        <v>0</v>
      </c>
      <c r="L1710" s="55">
        <v>0</v>
      </c>
      <c r="M1710" s="55">
        <v>0</v>
      </c>
      <c r="N1710" s="55">
        <v>0</v>
      </c>
    </row>
    <row r="1711" spans="1:14" ht="10.050000000000001" hidden="1" customHeight="1">
      <c r="A1711" s="52" t="s">
        <v>306</v>
      </c>
      <c r="B1711" s="53">
        <v>2010</v>
      </c>
      <c r="C1711" s="52" t="s">
        <v>115</v>
      </c>
      <c r="D1711" s="54">
        <v>11</v>
      </c>
      <c r="E1711" s="55">
        <v>8235.7999999999993</v>
      </c>
      <c r="F1711" s="55">
        <v>1456.3</v>
      </c>
      <c r="G1711" s="55">
        <v>9692.1</v>
      </c>
      <c r="H1711" s="55">
        <v>155385.20000000001</v>
      </c>
      <c r="I1711" s="55">
        <v>5842</v>
      </c>
      <c r="J1711" s="55">
        <v>161227.20000000001</v>
      </c>
      <c r="K1711" s="55">
        <v>12163.8</v>
      </c>
      <c r="L1711" s="55">
        <v>1220.0999999999999</v>
      </c>
      <c r="M1711" s="55">
        <v>3780.6</v>
      </c>
      <c r="N1711" s="55">
        <v>396.5</v>
      </c>
    </row>
    <row r="1712" spans="1:14" ht="10.050000000000001" hidden="1" customHeight="1">
      <c r="A1712" s="52" t="s">
        <v>172</v>
      </c>
      <c r="B1712" s="53">
        <v>2010</v>
      </c>
      <c r="C1712" s="52" t="s">
        <v>115</v>
      </c>
      <c r="D1712" s="54">
        <v>11</v>
      </c>
      <c r="E1712" s="55">
        <v>127837.4</v>
      </c>
      <c r="F1712" s="55">
        <v>2992.6</v>
      </c>
      <c r="G1712" s="55">
        <v>130830</v>
      </c>
      <c r="H1712" s="55">
        <v>937635.4</v>
      </c>
      <c r="I1712" s="55">
        <v>23140.1</v>
      </c>
      <c r="J1712" s="55">
        <v>960775.5</v>
      </c>
      <c r="K1712" s="55">
        <v>321499</v>
      </c>
      <c r="L1712" s="55">
        <v>14780.9</v>
      </c>
      <c r="M1712" s="55">
        <v>76122.5</v>
      </c>
      <c r="N1712" s="55">
        <v>1965.9</v>
      </c>
    </row>
    <row r="1713" spans="1:14" ht="10.050000000000001" hidden="1" customHeight="1">
      <c r="A1713" s="52" t="s">
        <v>171</v>
      </c>
      <c r="B1713" s="53">
        <v>2010</v>
      </c>
      <c r="C1713" s="52" t="s">
        <v>115</v>
      </c>
      <c r="D1713" s="54">
        <v>11</v>
      </c>
      <c r="E1713" s="55">
        <v>2328501</v>
      </c>
      <c r="F1713" s="55">
        <v>34492.5</v>
      </c>
      <c r="G1713" s="55">
        <v>2362993.5</v>
      </c>
      <c r="H1713" s="55">
        <v>11082450.4</v>
      </c>
      <c r="I1713" s="55">
        <v>138000.20000000001</v>
      </c>
      <c r="J1713" s="55">
        <v>11220450.6</v>
      </c>
      <c r="K1713" s="55">
        <v>2232482.1</v>
      </c>
      <c r="L1713" s="55">
        <v>446207.6</v>
      </c>
      <c r="M1713" s="55">
        <v>1243003.6000000001</v>
      </c>
      <c r="N1713" s="55">
        <v>50074.8</v>
      </c>
    </row>
    <row r="1714" spans="1:14" ht="10.050000000000001" hidden="1" customHeight="1">
      <c r="A1714" s="52" t="s">
        <v>300</v>
      </c>
      <c r="B1714" s="53">
        <v>2010</v>
      </c>
      <c r="C1714" s="52" t="s">
        <v>115</v>
      </c>
      <c r="D1714" s="54">
        <v>11</v>
      </c>
      <c r="E1714" s="55">
        <v>168.7</v>
      </c>
      <c r="F1714" s="55">
        <v>0</v>
      </c>
      <c r="G1714" s="55">
        <v>168.7</v>
      </c>
      <c r="H1714" s="55">
        <v>2651.7</v>
      </c>
      <c r="I1714" s="55">
        <v>80</v>
      </c>
      <c r="J1714" s="55">
        <v>2731.7</v>
      </c>
      <c r="K1714" s="55">
        <v>30.2</v>
      </c>
      <c r="L1714" s="55">
        <v>0</v>
      </c>
      <c r="M1714" s="55">
        <v>0</v>
      </c>
      <c r="N1714" s="55">
        <v>0</v>
      </c>
    </row>
    <row r="1715" spans="1:14" ht="10.050000000000001" hidden="1" customHeight="1">
      <c r="A1715" s="52" t="s">
        <v>307</v>
      </c>
      <c r="B1715" s="53">
        <v>2010</v>
      </c>
      <c r="C1715" s="52" t="s">
        <v>115</v>
      </c>
      <c r="D1715" s="54">
        <v>11</v>
      </c>
      <c r="E1715" s="55">
        <v>2795722.7</v>
      </c>
      <c r="F1715" s="55">
        <v>54324.3</v>
      </c>
      <c r="G1715" s="55">
        <v>2850047</v>
      </c>
      <c r="H1715" s="55">
        <v>5707821.4000000004</v>
      </c>
      <c r="I1715" s="55">
        <v>143687.79999999999</v>
      </c>
      <c r="J1715" s="55">
        <v>5851509.2000000002</v>
      </c>
      <c r="K1715" s="55">
        <v>2642962.2000000002</v>
      </c>
      <c r="L1715" s="55">
        <v>1047663.7</v>
      </c>
      <c r="M1715" s="55">
        <v>788506.5</v>
      </c>
      <c r="N1715" s="55">
        <v>99392.3</v>
      </c>
    </row>
    <row r="1716" spans="1:14" ht="10.050000000000001" hidden="1" customHeight="1">
      <c r="A1716" s="52" t="s">
        <v>315</v>
      </c>
      <c r="B1716" s="53">
        <v>2010</v>
      </c>
      <c r="C1716" s="52" t="s">
        <v>115</v>
      </c>
      <c r="D1716" s="54">
        <v>11</v>
      </c>
      <c r="E1716" s="55">
        <v>3737.7</v>
      </c>
      <c r="F1716" s="55">
        <v>0</v>
      </c>
      <c r="G1716" s="55">
        <v>3737.7</v>
      </c>
      <c r="H1716" s="55">
        <v>20972.1</v>
      </c>
      <c r="I1716" s="55">
        <v>26.3</v>
      </c>
      <c r="J1716" s="55">
        <v>20998.400000000001</v>
      </c>
      <c r="K1716" s="55">
        <v>1607.2</v>
      </c>
      <c r="L1716" s="55">
        <v>67.5</v>
      </c>
      <c r="M1716" s="55">
        <v>1915.8</v>
      </c>
      <c r="N1716" s="55">
        <v>0.5</v>
      </c>
    </row>
    <row r="1717" spans="1:14" ht="10.050000000000001" hidden="1" customHeight="1">
      <c r="A1717" s="52" t="s">
        <v>173</v>
      </c>
      <c r="B1717" s="53">
        <v>2010</v>
      </c>
      <c r="C1717" s="52" t="s">
        <v>115</v>
      </c>
      <c r="D1717" s="54">
        <v>11</v>
      </c>
      <c r="E1717" s="55">
        <v>320052.5</v>
      </c>
      <c r="F1717" s="55">
        <v>26785.9</v>
      </c>
      <c r="G1717" s="55">
        <v>346838.4</v>
      </c>
      <c r="H1717" s="55">
        <v>4774917.8</v>
      </c>
      <c r="I1717" s="55">
        <v>64037.3</v>
      </c>
      <c r="J1717" s="55">
        <v>4838955.0999999996</v>
      </c>
      <c r="K1717" s="55">
        <v>441111.5</v>
      </c>
      <c r="L1717" s="55">
        <v>39526</v>
      </c>
      <c r="M1717" s="55">
        <v>136819</v>
      </c>
      <c r="N1717" s="55">
        <v>14674.9</v>
      </c>
    </row>
    <row r="1718" spans="1:14" ht="10.050000000000001" customHeight="1">
      <c r="A1718" s="52" t="s">
        <v>309</v>
      </c>
      <c r="B1718" s="53">
        <v>2010</v>
      </c>
      <c r="C1718" s="52" t="s">
        <v>115</v>
      </c>
      <c r="D1718" s="54">
        <v>11</v>
      </c>
      <c r="E1718" s="55">
        <v>12378.6</v>
      </c>
      <c r="F1718" s="55">
        <v>0</v>
      </c>
      <c r="G1718" s="55">
        <v>12378.6</v>
      </c>
      <c r="H1718" s="55">
        <v>80335.7</v>
      </c>
      <c r="I1718" s="55">
        <v>0</v>
      </c>
      <c r="J1718" s="55">
        <v>80335.7</v>
      </c>
      <c r="K1718" s="55">
        <v>13358</v>
      </c>
      <c r="L1718" s="55">
        <v>341.6</v>
      </c>
      <c r="M1718" s="55">
        <v>7814.4</v>
      </c>
      <c r="N1718" s="55">
        <v>0</v>
      </c>
    </row>
    <row r="1719" spans="1:14" ht="10.050000000000001" hidden="1" customHeight="1">
      <c r="A1719" s="52" t="s">
        <v>316</v>
      </c>
      <c r="B1719" s="53">
        <v>2010</v>
      </c>
      <c r="C1719" s="52" t="s">
        <v>115</v>
      </c>
      <c r="D1719" s="54">
        <v>11</v>
      </c>
      <c r="E1719" s="55">
        <v>1502.4</v>
      </c>
      <c r="F1719" s="55">
        <v>1.4</v>
      </c>
      <c r="G1719" s="55">
        <v>1503.8</v>
      </c>
      <c r="H1719" s="55">
        <v>6265.8</v>
      </c>
      <c r="I1719" s="55">
        <v>109.5</v>
      </c>
      <c r="J1719" s="55">
        <v>6375.3</v>
      </c>
      <c r="K1719" s="55">
        <v>43.9</v>
      </c>
      <c r="L1719" s="55">
        <v>14.6</v>
      </c>
      <c r="M1719" s="55">
        <v>101.1</v>
      </c>
      <c r="N1719" s="55">
        <v>0</v>
      </c>
    </row>
    <row r="1720" spans="1:14" ht="10.050000000000001" hidden="1" customHeight="1">
      <c r="A1720" s="52" t="s">
        <v>310</v>
      </c>
      <c r="B1720" s="53">
        <v>2010</v>
      </c>
      <c r="C1720" s="52" t="s">
        <v>115</v>
      </c>
      <c r="D1720" s="54">
        <v>11</v>
      </c>
      <c r="E1720" s="55">
        <v>5861.7</v>
      </c>
      <c r="F1720" s="55">
        <v>78.3</v>
      </c>
      <c r="G1720" s="55">
        <v>5940</v>
      </c>
      <c r="H1720" s="55">
        <v>63741.8</v>
      </c>
      <c r="I1720" s="55">
        <v>593.6</v>
      </c>
      <c r="J1720" s="55">
        <v>64335.400000000103</v>
      </c>
      <c r="K1720" s="55">
        <v>7875.8</v>
      </c>
      <c r="L1720" s="55">
        <v>476.3</v>
      </c>
      <c r="M1720" s="55">
        <v>3649.8</v>
      </c>
      <c r="N1720" s="55">
        <v>189.1</v>
      </c>
    </row>
    <row r="1721" spans="1:14" ht="10.050000000000001" hidden="1" customHeight="1">
      <c r="A1721" s="52" t="s">
        <v>308</v>
      </c>
      <c r="B1721" s="53">
        <v>2010</v>
      </c>
      <c r="C1721" s="52" t="s">
        <v>115</v>
      </c>
      <c r="D1721" s="54">
        <v>11</v>
      </c>
      <c r="E1721" s="55">
        <v>21258.5</v>
      </c>
      <c r="F1721" s="55">
        <v>0</v>
      </c>
      <c r="G1721" s="55">
        <v>21258.5</v>
      </c>
      <c r="H1721" s="55">
        <v>94943.4</v>
      </c>
      <c r="I1721" s="55">
        <v>475.7</v>
      </c>
      <c r="J1721" s="55">
        <v>95419.1</v>
      </c>
      <c r="K1721" s="55">
        <v>13230.6</v>
      </c>
      <c r="L1721" s="55">
        <v>3966.8</v>
      </c>
      <c r="M1721" s="55">
        <v>3957.2</v>
      </c>
      <c r="N1721" s="55">
        <v>602.70000000000005</v>
      </c>
    </row>
    <row r="1722" spans="1:14" ht="10.050000000000001" hidden="1" customHeight="1">
      <c r="A1722" s="52" t="s">
        <v>174</v>
      </c>
      <c r="B1722" s="53">
        <v>2010</v>
      </c>
      <c r="C1722" s="52" t="s">
        <v>115</v>
      </c>
      <c r="D1722" s="54">
        <v>11</v>
      </c>
      <c r="E1722" s="55">
        <v>20453</v>
      </c>
      <c r="F1722" s="55">
        <v>1483.8</v>
      </c>
      <c r="G1722" s="55">
        <v>21936.799999999999</v>
      </c>
      <c r="H1722" s="55">
        <v>311870.90000000002</v>
      </c>
      <c r="I1722" s="55">
        <v>13848.8</v>
      </c>
      <c r="J1722" s="55">
        <v>325719.7</v>
      </c>
      <c r="K1722" s="55">
        <v>81107.600000000006</v>
      </c>
      <c r="L1722" s="55">
        <v>3677.2</v>
      </c>
      <c r="M1722" s="55">
        <v>10263.200000000001</v>
      </c>
      <c r="N1722" s="55">
        <v>7403.1</v>
      </c>
    </row>
    <row r="1723" spans="1:14" ht="10.050000000000001" hidden="1" customHeight="1">
      <c r="A1723" s="52" t="s">
        <v>314</v>
      </c>
      <c r="B1723" s="53">
        <v>2010</v>
      </c>
      <c r="C1723" s="52" t="s">
        <v>115</v>
      </c>
      <c r="D1723" s="54">
        <v>12</v>
      </c>
      <c r="E1723" s="55">
        <v>0</v>
      </c>
      <c r="F1723" s="55">
        <v>0</v>
      </c>
      <c r="G1723" s="55">
        <v>0</v>
      </c>
      <c r="H1723" s="55">
        <v>5.2</v>
      </c>
      <c r="I1723" s="55">
        <v>0</v>
      </c>
      <c r="J1723" s="55">
        <v>5.2</v>
      </c>
      <c r="K1723" s="55">
        <v>0</v>
      </c>
      <c r="L1723" s="55">
        <v>0</v>
      </c>
      <c r="M1723" s="55">
        <v>0</v>
      </c>
      <c r="N1723" s="55">
        <v>0</v>
      </c>
    </row>
    <row r="1724" spans="1:14" ht="10.050000000000001" hidden="1" customHeight="1">
      <c r="A1724" s="52" t="s">
        <v>306</v>
      </c>
      <c r="B1724" s="53">
        <v>2010</v>
      </c>
      <c r="C1724" s="52" t="s">
        <v>115</v>
      </c>
      <c r="D1724" s="54">
        <v>12</v>
      </c>
      <c r="E1724" s="55">
        <v>5546.5</v>
      </c>
      <c r="F1724" s="55">
        <v>909.4</v>
      </c>
      <c r="G1724" s="55">
        <v>6455.9</v>
      </c>
      <c r="H1724" s="55">
        <v>134434.29999999999</v>
      </c>
      <c r="I1724" s="55">
        <v>6035.4</v>
      </c>
      <c r="J1724" s="55">
        <v>140469.70000000001</v>
      </c>
      <c r="K1724" s="55">
        <v>11042.1</v>
      </c>
      <c r="L1724" s="55">
        <v>1181.5999999999999</v>
      </c>
      <c r="M1724" s="55">
        <v>1977.2</v>
      </c>
      <c r="N1724" s="55">
        <v>446.7</v>
      </c>
    </row>
    <row r="1725" spans="1:14" ht="10.050000000000001" hidden="1" customHeight="1">
      <c r="A1725" s="52" t="s">
        <v>172</v>
      </c>
      <c r="B1725" s="53">
        <v>2010</v>
      </c>
      <c r="C1725" s="52" t="s">
        <v>115</v>
      </c>
      <c r="D1725" s="54">
        <v>12</v>
      </c>
      <c r="E1725" s="55">
        <v>108536</v>
      </c>
      <c r="F1725" s="55">
        <v>389.8</v>
      </c>
      <c r="G1725" s="55">
        <v>108925.8</v>
      </c>
      <c r="H1725" s="55">
        <v>905115.5</v>
      </c>
      <c r="I1725" s="55">
        <v>21611</v>
      </c>
      <c r="J1725" s="55">
        <v>926726.5</v>
      </c>
      <c r="K1725" s="55">
        <v>282886.8</v>
      </c>
      <c r="L1725" s="55">
        <v>14586.4</v>
      </c>
      <c r="M1725" s="55">
        <v>52019.5</v>
      </c>
      <c r="N1725" s="55">
        <v>1179.0999999999999</v>
      </c>
    </row>
    <row r="1726" spans="1:14" ht="10.050000000000001" hidden="1" customHeight="1">
      <c r="A1726" s="52" t="s">
        <v>171</v>
      </c>
      <c r="B1726" s="53">
        <v>2010</v>
      </c>
      <c r="C1726" s="52" t="s">
        <v>115</v>
      </c>
      <c r="D1726" s="54">
        <v>12</v>
      </c>
      <c r="E1726" s="55">
        <v>1464489.9</v>
      </c>
      <c r="F1726" s="55">
        <v>10508</v>
      </c>
      <c r="G1726" s="55">
        <v>1474997.9</v>
      </c>
      <c r="H1726" s="55">
        <v>9972417.4000000004</v>
      </c>
      <c r="I1726" s="55">
        <v>131992.9</v>
      </c>
      <c r="J1726" s="55">
        <v>10104410.300000001</v>
      </c>
      <c r="K1726" s="55">
        <v>1955068.6</v>
      </c>
      <c r="L1726" s="55">
        <v>333758.5</v>
      </c>
      <c r="M1726" s="55">
        <v>620780.6</v>
      </c>
      <c r="N1726" s="55">
        <v>27442.799999999999</v>
      </c>
    </row>
    <row r="1727" spans="1:14" ht="10.050000000000001" hidden="1" customHeight="1">
      <c r="A1727" s="52" t="s">
        <v>300</v>
      </c>
      <c r="B1727" s="53">
        <v>2010</v>
      </c>
      <c r="C1727" s="52" t="s">
        <v>115</v>
      </c>
      <c r="D1727" s="54">
        <v>12</v>
      </c>
      <c r="E1727" s="55">
        <v>259.5</v>
      </c>
      <c r="F1727" s="55">
        <v>19.3</v>
      </c>
      <c r="G1727" s="55">
        <v>278.8</v>
      </c>
      <c r="H1727" s="55">
        <v>2592.4</v>
      </c>
      <c r="I1727" s="55">
        <v>99.3</v>
      </c>
      <c r="J1727" s="55">
        <v>2691.7</v>
      </c>
      <c r="K1727" s="55">
        <v>26</v>
      </c>
      <c r="L1727" s="55">
        <v>0</v>
      </c>
      <c r="M1727" s="55">
        <v>4.2</v>
      </c>
      <c r="N1727" s="55">
        <v>0</v>
      </c>
    </row>
    <row r="1728" spans="1:14" ht="10.050000000000001" hidden="1" customHeight="1">
      <c r="A1728" s="52" t="s">
        <v>307</v>
      </c>
      <c r="B1728" s="53">
        <v>2010</v>
      </c>
      <c r="C1728" s="52" t="s">
        <v>115</v>
      </c>
      <c r="D1728" s="54">
        <v>12</v>
      </c>
      <c r="E1728" s="55">
        <v>761136.3</v>
      </c>
      <c r="F1728" s="55">
        <v>15629.9</v>
      </c>
      <c r="G1728" s="55">
        <v>776766.200000001</v>
      </c>
      <c r="H1728" s="55">
        <v>5593989.2000000002</v>
      </c>
      <c r="I1728" s="55">
        <v>116766.2</v>
      </c>
      <c r="J1728" s="55">
        <v>5710755.4000000004</v>
      </c>
      <c r="K1728" s="55">
        <v>2273572</v>
      </c>
      <c r="L1728" s="55">
        <v>149702.5</v>
      </c>
      <c r="M1728" s="55">
        <v>423919.8</v>
      </c>
      <c r="N1728" s="55">
        <v>88440.4</v>
      </c>
    </row>
    <row r="1729" spans="1:14" ht="10.050000000000001" hidden="1" customHeight="1">
      <c r="A1729" s="52" t="s">
        <v>315</v>
      </c>
      <c r="B1729" s="53">
        <v>2010</v>
      </c>
      <c r="C1729" s="52" t="s">
        <v>115</v>
      </c>
      <c r="D1729" s="54">
        <v>12</v>
      </c>
      <c r="E1729" s="55">
        <v>994</v>
      </c>
      <c r="F1729" s="55">
        <v>0</v>
      </c>
      <c r="G1729" s="55">
        <v>994</v>
      </c>
      <c r="H1729" s="55">
        <v>18723.5</v>
      </c>
      <c r="I1729" s="55">
        <v>26.3</v>
      </c>
      <c r="J1729" s="55">
        <v>18749.8</v>
      </c>
      <c r="K1729" s="55">
        <v>1247.8</v>
      </c>
      <c r="L1729" s="55">
        <v>109.5</v>
      </c>
      <c r="M1729" s="55">
        <v>468.9</v>
      </c>
      <c r="N1729" s="55">
        <v>0</v>
      </c>
    </row>
    <row r="1730" spans="1:14" ht="10.050000000000001" hidden="1" customHeight="1">
      <c r="A1730" s="52" t="s">
        <v>173</v>
      </c>
      <c r="B1730" s="53">
        <v>2010</v>
      </c>
      <c r="C1730" s="52" t="s">
        <v>115</v>
      </c>
      <c r="D1730" s="54">
        <v>12</v>
      </c>
      <c r="E1730" s="55">
        <v>209531.7</v>
      </c>
      <c r="F1730" s="55">
        <v>6926.3</v>
      </c>
      <c r="G1730" s="55">
        <v>216458</v>
      </c>
      <c r="H1730" s="55">
        <v>4268702.5999999996</v>
      </c>
      <c r="I1730" s="55">
        <v>60608.9</v>
      </c>
      <c r="J1730" s="55">
        <v>4329311.5</v>
      </c>
      <c r="K1730" s="55">
        <v>397970.8</v>
      </c>
      <c r="L1730" s="55">
        <v>39355.1</v>
      </c>
      <c r="M1730" s="55">
        <v>75327.8</v>
      </c>
      <c r="N1730" s="55">
        <v>12260</v>
      </c>
    </row>
    <row r="1731" spans="1:14" ht="10.050000000000001" customHeight="1">
      <c r="A1731" s="52" t="s">
        <v>309</v>
      </c>
      <c r="B1731" s="53">
        <v>2010</v>
      </c>
      <c r="C1731" s="52" t="s">
        <v>115</v>
      </c>
      <c r="D1731" s="54">
        <v>12</v>
      </c>
      <c r="E1731" s="55">
        <v>2827.7</v>
      </c>
      <c r="F1731" s="55">
        <v>27.5</v>
      </c>
      <c r="G1731" s="55">
        <v>2855.2</v>
      </c>
      <c r="H1731" s="55">
        <v>72895.3</v>
      </c>
      <c r="I1731" s="55">
        <v>0</v>
      </c>
      <c r="J1731" s="55">
        <v>72895.3</v>
      </c>
      <c r="K1731" s="55">
        <v>10593.8</v>
      </c>
      <c r="L1731" s="55">
        <v>0</v>
      </c>
      <c r="M1731" s="55">
        <v>2764</v>
      </c>
      <c r="N1731" s="55">
        <v>0.2</v>
      </c>
    </row>
    <row r="1732" spans="1:14" ht="10.050000000000001" hidden="1" customHeight="1">
      <c r="A1732" s="52" t="s">
        <v>316</v>
      </c>
      <c r="B1732" s="53">
        <v>2010</v>
      </c>
      <c r="C1732" s="52" t="s">
        <v>115</v>
      </c>
      <c r="D1732" s="54">
        <v>12</v>
      </c>
      <c r="E1732" s="55">
        <v>443.1</v>
      </c>
      <c r="F1732" s="55">
        <v>0</v>
      </c>
      <c r="G1732" s="55">
        <v>443.1</v>
      </c>
      <c r="H1732" s="55">
        <v>6034.3</v>
      </c>
      <c r="I1732" s="55">
        <v>109.5</v>
      </c>
      <c r="J1732" s="55">
        <v>6143.8</v>
      </c>
      <c r="K1732" s="55">
        <v>16.399999999999999</v>
      </c>
      <c r="L1732" s="55">
        <v>40.4</v>
      </c>
      <c r="M1732" s="55">
        <v>67.900000000000006</v>
      </c>
      <c r="N1732" s="55">
        <v>0</v>
      </c>
    </row>
    <row r="1733" spans="1:14" ht="10.050000000000001" hidden="1" customHeight="1">
      <c r="A1733" s="52" t="s">
        <v>310</v>
      </c>
      <c r="B1733" s="53">
        <v>2010</v>
      </c>
      <c r="C1733" s="52" t="s">
        <v>115</v>
      </c>
      <c r="D1733" s="54">
        <v>12</v>
      </c>
      <c r="E1733" s="55">
        <v>5617.2</v>
      </c>
      <c r="F1733" s="55">
        <v>229.3</v>
      </c>
      <c r="G1733" s="55">
        <v>5846.5</v>
      </c>
      <c r="H1733" s="55">
        <v>62389.2</v>
      </c>
      <c r="I1733" s="55">
        <v>604.5</v>
      </c>
      <c r="J1733" s="55">
        <v>62993.7</v>
      </c>
      <c r="K1733" s="55">
        <v>4358.8999999999996</v>
      </c>
      <c r="L1733" s="55">
        <v>834.4</v>
      </c>
      <c r="M1733" s="55">
        <v>4116.5</v>
      </c>
      <c r="N1733" s="55">
        <v>234.8</v>
      </c>
    </row>
    <row r="1734" spans="1:14" ht="10.050000000000001" hidden="1" customHeight="1">
      <c r="A1734" s="52" t="s">
        <v>308</v>
      </c>
      <c r="B1734" s="53">
        <v>2010</v>
      </c>
      <c r="C1734" s="52" t="s">
        <v>115</v>
      </c>
      <c r="D1734" s="54">
        <v>12</v>
      </c>
      <c r="E1734" s="55">
        <v>10523.5</v>
      </c>
      <c r="F1734" s="55">
        <v>0</v>
      </c>
      <c r="G1734" s="55">
        <v>10523.5</v>
      </c>
      <c r="H1734" s="55">
        <v>89435.199999999997</v>
      </c>
      <c r="I1734" s="55">
        <v>444.7</v>
      </c>
      <c r="J1734" s="55">
        <v>89879.9</v>
      </c>
      <c r="K1734" s="55">
        <v>10381.799999999999</v>
      </c>
      <c r="L1734" s="55">
        <v>2259.8000000000002</v>
      </c>
      <c r="M1734" s="55">
        <v>4467.8999999999996</v>
      </c>
      <c r="N1734" s="55">
        <v>640.70000000000005</v>
      </c>
    </row>
    <row r="1735" spans="1:14" ht="10.050000000000001" hidden="1" customHeight="1">
      <c r="A1735" s="52" t="s">
        <v>174</v>
      </c>
      <c r="B1735" s="53">
        <v>2010</v>
      </c>
      <c r="C1735" s="52" t="s">
        <v>115</v>
      </c>
      <c r="D1735" s="54">
        <v>12</v>
      </c>
      <c r="E1735" s="55">
        <v>14144.1</v>
      </c>
      <c r="F1735" s="55">
        <v>346.3</v>
      </c>
      <c r="G1735" s="55">
        <v>14490.4</v>
      </c>
      <c r="H1735" s="55">
        <v>273772.90000000002</v>
      </c>
      <c r="I1735" s="55">
        <v>12593.8</v>
      </c>
      <c r="J1735" s="55">
        <v>286366.7</v>
      </c>
      <c r="K1735" s="55">
        <v>70050.7</v>
      </c>
      <c r="L1735" s="55">
        <v>2847.4</v>
      </c>
      <c r="M1735" s="55">
        <v>7063</v>
      </c>
      <c r="N1735" s="55">
        <v>6843.9</v>
      </c>
    </row>
    <row r="1736" spans="1:14" ht="10.050000000000001" hidden="1" customHeight="1">
      <c r="A1736" s="52" t="s">
        <v>314</v>
      </c>
      <c r="B1736" s="53">
        <v>2011</v>
      </c>
      <c r="C1736" s="52" t="s">
        <v>115</v>
      </c>
      <c r="D1736" s="54">
        <v>1</v>
      </c>
      <c r="E1736" s="55">
        <v>22.7</v>
      </c>
      <c r="F1736" s="55">
        <v>0</v>
      </c>
      <c r="G1736" s="55">
        <v>22.7</v>
      </c>
      <c r="H1736" s="55">
        <v>5.2</v>
      </c>
      <c r="I1736" s="55">
        <v>0</v>
      </c>
      <c r="J1736" s="55">
        <v>5.2</v>
      </c>
      <c r="K1736" s="55">
        <v>0</v>
      </c>
      <c r="L1736" s="55">
        <v>0</v>
      </c>
      <c r="M1736" s="55">
        <v>0</v>
      </c>
      <c r="N1736" s="55">
        <v>0</v>
      </c>
    </row>
    <row r="1737" spans="1:14" ht="10.050000000000001" hidden="1" customHeight="1">
      <c r="A1737" s="52" t="s">
        <v>306</v>
      </c>
      <c r="B1737" s="53">
        <v>2011</v>
      </c>
      <c r="C1737" s="52" t="s">
        <v>115</v>
      </c>
      <c r="D1737" s="54">
        <v>1</v>
      </c>
      <c r="E1737" s="55">
        <v>9162.5</v>
      </c>
      <c r="F1737" s="55">
        <v>653.20000000000005</v>
      </c>
      <c r="G1737" s="55">
        <v>9815.7000000000007</v>
      </c>
      <c r="H1737" s="55">
        <v>113198.5</v>
      </c>
      <c r="I1737" s="55">
        <v>5787.8</v>
      </c>
      <c r="J1737" s="55">
        <v>118986.3</v>
      </c>
      <c r="K1737" s="55">
        <v>9027.1</v>
      </c>
      <c r="L1737" s="55">
        <v>1752.5</v>
      </c>
      <c r="M1737" s="55">
        <v>3323.4</v>
      </c>
      <c r="N1737" s="55">
        <v>445.9</v>
      </c>
    </row>
    <row r="1738" spans="1:14" ht="10.050000000000001" hidden="1" customHeight="1">
      <c r="A1738" s="52" t="s">
        <v>172</v>
      </c>
      <c r="B1738" s="53">
        <v>2011</v>
      </c>
      <c r="C1738" s="52" t="s">
        <v>115</v>
      </c>
      <c r="D1738" s="54">
        <v>1</v>
      </c>
      <c r="E1738" s="55">
        <v>222920.3</v>
      </c>
      <c r="F1738" s="55">
        <v>1831.7</v>
      </c>
      <c r="G1738" s="55">
        <v>224752</v>
      </c>
      <c r="H1738" s="55">
        <v>871976</v>
      </c>
      <c r="I1738" s="55">
        <v>22109.8</v>
      </c>
      <c r="J1738" s="55">
        <v>894085.8</v>
      </c>
      <c r="K1738" s="55">
        <v>181550.8</v>
      </c>
      <c r="L1738" s="55">
        <v>20645.3</v>
      </c>
      <c r="M1738" s="55">
        <v>118884.4</v>
      </c>
      <c r="N1738" s="55">
        <v>1462.5</v>
      </c>
    </row>
    <row r="1739" spans="1:14" ht="10.050000000000001" hidden="1" customHeight="1">
      <c r="A1739" s="52" t="s">
        <v>171</v>
      </c>
      <c r="B1739" s="53">
        <v>2011</v>
      </c>
      <c r="C1739" s="52" t="s">
        <v>115</v>
      </c>
      <c r="D1739" s="54">
        <v>1</v>
      </c>
      <c r="E1739" s="55">
        <v>2250473.7999999998</v>
      </c>
      <c r="F1739" s="55">
        <v>11801</v>
      </c>
      <c r="G1739" s="55">
        <v>2262274.7999999998</v>
      </c>
      <c r="H1739" s="55">
        <v>9591784.4000000004</v>
      </c>
      <c r="I1739" s="55">
        <v>124749.3</v>
      </c>
      <c r="J1739" s="55">
        <v>9716533.7000000104</v>
      </c>
      <c r="K1739" s="55">
        <v>1650899.4</v>
      </c>
      <c r="L1739" s="55">
        <v>420437.5</v>
      </c>
      <c r="M1739" s="55">
        <v>705399.60000000102</v>
      </c>
      <c r="N1739" s="55">
        <v>16767.8</v>
      </c>
    </row>
    <row r="1740" spans="1:14" ht="10.050000000000001" hidden="1" customHeight="1">
      <c r="A1740" s="52" t="s">
        <v>300</v>
      </c>
      <c r="B1740" s="53">
        <v>2011</v>
      </c>
      <c r="C1740" s="52" t="s">
        <v>115</v>
      </c>
      <c r="D1740" s="54">
        <v>1</v>
      </c>
      <c r="E1740" s="55">
        <v>177.3</v>
      </c>
      <c r="F1740" s="55">
        <v>0.7</v>
      </c>
      <c r="G1740" s="55">
        <v>178</v>
      </c>
      <c r="H1740" s="55">
        <v>3393</v>
      </c>
      <c r="I1740" s="55">
        <v>98.6</v>
      </c>
      <c r="J1740" s="55">
        <v>3491.6</v>
      </c>
      <c r="K1740" s="55">
        <v>0</v>
      </c>
      <c r="L1740" s="55">
        <v>3</v>
      </c>
      <c r="M1740" s="55">
        <v>26</v>
      </c>
      <c r="N1740" s="55">
        <v>3</v>
      </c>
    </row>
    <row r="1741" spans="1:14" ht="10.050000000000001" hidden="1" customHeight="1">
      <c r="A1741" s="52" t="s">
        <v>307</v>
      </c>
      <c r="B1741" s="53">
        <v>2011</v>
      </c>
      <c r="C1741" s="52" t="s">
        <v>115</v>
      </c>
      <c r="D1741" s="54">
        <v>1</v>
      </c>
      <c r="E1741" s="55">
        <v>924829.6</v>
      </c>
      <c r="F1741" s="55">
        <v>11223.8</v>
      </c>
      <c r="G1741" s="55">
        <v>936053.4</v>
      </c>
      <c r="H1741" s="55">
        <v>5565584.2999999998</v>
      </c>
      <c r="I1741" s="55">
        <v>111405.6</v>
      </c>
      <c r="J1741" s="55">
        <v>5676989.9000000004</v>
      </c>
      <c r="K1741" s="55">
        <v>1593006.3</v>
      </c>
      <c r="L1741" s="55">
        <v>56988.2</v>
      </c>
      <c r="M1741" s="55">
        <v>680092.1</v>
      </c>
      <c r="N1741" s="55">
        <v>53362.5</v>
      </c>
    </row>
    <row r="1742" spans="1:14" ht="10.050000000000001" hidden="1" customHeight="1">
      <c r="A1742" s="52" t="s">
        <v>315</v>
      </c>
      <c r="B1742" s="53">
        <v>2011</v>
      </c>
      <c r="C1742" s="52" t="s">
        <v>115</v>
      </c>
      <c r="D1742" s="54">
        <v>1</v>
      </c>
      <c r="E1742" s="55">
        <v>1582.9</v>
      </c>
      <c r="F1742" s="55">
        <v>0</v>
      </c>
      <c r="G1742" s="55">
        <v>1582.9</v>
      </c>
      <c r="H1742" s="55">
        <v>15973.7</v>
      </c>
      <c r="I1742" s="55">
        <v>26.4</v>
      </c>
      <c r="J1742" s="55">
        <v>16000.1</v>
      </c>
      <c r="K1742" s="55">
        <v>922.5</v>
      </c>
      <c r="L1742" s="55">
        <v>150.5</v>
      </c>
      <c r="M1742" s="55">
        <v>475.8</v>
      </c>
      <c r="N1742" s="55">
        <v>0</v>
      </c>
    </row>
    <row r="1743" spans="1:14" ht="10.050000000000001" hidden="1" customHeight="1">
      <c r="A1743" s="52" t="s">
        <v>173</v>
      </c>
      <c r="B1743" s="53">
        <v>2011</v>
      </c>
      <c r="C1743" s="52" t="s">
        <v>115</v>
      </c>
      <c r="D1743" s="54">
        <v>1</v>
      </c>
      <c r="E1743" s="55">
        <v>340608</v>
      </c>
      <c r="F1743" s="55">
        <v>13700</v>
      </c>
      <c r="G1743" s="55">
        <v>354308</v>
      </c>
      <c r="H1743" s="55">
        <v>3881974.1</v>
      </c>
      <c r="I1743" s="55">
        <v>54509.9</v>
      </c>
      <c r="J1743" s="55">
        <v>3936484</v>
      </c>
      <c r="K1743" s="55">
        <v>318660.3</v>
      </c>
      <c r="L1743" s="55">
        <v>54917.7</v>
      </c>
      <c r="M1743" s="55">
        <v>121375.7</v>
      </c>
      <c r="N1743" s="55">
        <v>12695</v>
      </c>
    </row>
    <row r="1744" spans="1:14" ht="10.050000000000001" customHeight="1">
      <c r="A1744" s="52" t="s">
        <v>309</v>
      </c>
      <c r="B1744" s="53">
        <v>2011</v>
      </c>
      <c r="C1744" s="52" t="s">
        <v>115</v>
      </c>
      <c r="D1744" s="54">
        <v>1</v>
      </c>
      <c r="E1744" s="55">
        <v>2133.6999999999998</v>
      </c>
      <c r="F1744" s="55">
        <v>0</v>
      </c>
      <c r="G1744" s="55">
        <v>2133.6999999999998</v>
      </c>
      <c r="H1744" s="55">
        <v>64265.7</v>
      </c>
      <c r="I1744" s="55">
        <v>0</v>
      </c>
      <c r="J1744" s="55">
        <v>64265.7</v>
      </c>
      <c r="K1744" s="55">
        <v>8461.5</v>
      </c>
      <c r="L1744" s="55">
        <v>0</v>
      </c>
      <c r="M1744" s="55">
        <v>2075.8000000000002</v>
      </c>
      <c r="N1744" s="55">
        <v>56.5</v>
      </c>
    </row>
    <row r="1745" spans="1:14" ht="10.050000000000001" hidden="1" customHeight="1">
      <c r="A1745" s="52" t="s">
        <v>316</v>
      </c>
      <c r="B1745" s="53">
        <v>2011</v>
      </c>
      <c r="C1745" s="52" t="s">
        <v>115</v>
      </c>
      <c r="D1745" s="54">
        <v>1</v>
      </c>
      <c r="E1745" s="55">
        <v>357</v>
      </c>
      <c r="F1745" s="55">
        <v>13.2</v>
      </c>
      <c r="G1745" s="55">
        <v>370.2</v>
      </c>
      <c r="H1745" s="55">
        <v>5744.5</v>
      </c>
      <c r="I1745" s="55">
        <v>119</v>
      </c>
      <c r="J1745" s="55">
        <v>5863.5</v>
      </c>
      <c r="K1745" s="55">
        <v>8.4</v>
      </c>
      <c r="L1745" s="55">
        <v>146.1</v>
      </c>
      <c r="M1745" s="55">
        <v>154.1</v>
      </c>
      <c r="N1745" s="55">
        <v>0</v>
      </c>
    </row>
    <row r="1746" spans="1:14" ht="10.050000000000001" hidden="1" customHeight="1">
      <c r="A1746" s="52" t="s">
        <v>310</v>
      </c>
      <c r="B1746" s="53">
        <v>2011</v>
      </c>
      <c r="C1746" s="52" t="s">
        <v>115</v>
      </c>
      <c r="D1746" s="54">
        <v>1</v>
      </c>
      <c r="E1746" s="55">
        <v>3925.8</v>
      </c>
      <c r="F1746" s="55">
        <v>77</v>
      </c>
      <c r="G1746" s="55">
        <v>4002.8</v>
      </c>
      <c r="H1746" s="55">
        <v>56114.7</v>
      </c>
      <c r="I1746" s="55">
        <v>529.20000000000005</v>
      </c>
      <c r="J1746" s="55">
        <v>56643.900000000103</v>
      </c>
      <c r="K1746" s="55">
        <v>3665.2</v>
      </c>
      <c r="L1746" s="55">
        <v>453.5</v>
      </c>
      <c r="M1746" s="55">
        <v>989.5</v>
      </c>
      <c r="N1746" s="55">
        <v>157.69999999999999</v>
      </c>
    </row>
    <row r="1747" spans="1:14" ht="10.050000000000001" hidden="1" customHeight="1">
      <c r="A1747" s="52" t="s">
        <v>308</v>
      </c>
      <c r="B1747" s="53">
        <v>2011</v>
      </c>
      <c r="C1747" s="52" t="s">
        <v>115</v>
      </c>
      <c r="D1747" s="54">
        <v>1</v>
      </c>
      <c r="E1747" s="55">
        <v>4719.2</v>
      </c>
      <c r="F1747" s="55">
        <v>0</v>
      </c>
      <c r="G1747" s="55">
        <v>4719.2</v>
      </c>
      <c r="H1747" s="55">
        <v>76553.600000000006</v>
      </c>
      <c r="I1747" s="55">
        <v>444.7</v>
      </c>
      <c r="J1747" s="55">
        <v>76998.3</v>
      </c>
      <c r="K1747" s="55">
        <v>7436.2</v>
      </c>
      <c r="L1747" s="55">
        <v>208.8</v>
      </c>
      <c r="M1747" s="55">
        <v>2661.5</v>
      </c>
      <c r="N1747" s="55">
        <v>276.10000000000002</v>
      </c>
    </row>
    <row r="1748" spans="1:14" ht="10.050000000000001" hidden="1" customHeight="1">
      <c r="A1748" s="52" t="s">
        <v>174</v>
      </c>
      <c r="B1748" s="53">
        <v>2011</v>
      </c>
      <c r="C1748" s="52" t="s">
        <v>115</v>
      </c>
      <c r="D1748" s="54">
        <v>1</v>
      </c>
      <c r="E1748" s="55">
        <v>13102.9</v>
      </c>
      <c r="F1748" s="55">
        <v>899.4</v>
      </c>
      <c r="G1748" s="55">
        <v>14002.3</v>
      </c>
      <c r="H1748" s="55">
        <v>242088</v>
      </c>
      <c r="I1748" s="55">
        <v>11874.6</v>
      </c>
      <c r="J1748" s="55">
        <v>253962.6</v>
      </c>
      <c r="K1748" s="55">
        <v>59435.4</v>
      </c>
      <c r="L1748" s="55">
        <v>2253.9</v>
      </c>
      <c r="M1748" s="55">
        <v>6114.9</v>
      </c>
      <c r="N1748" s="55">
        <v>6751.7</v>
      </c>
    </row>
    <row r="1749" spans="1:14" ht="10.050000000000001" hidden="1" customHeight="1">
      <c r="A1749" s="52" t="s">
        <v>306</v>
      </c>
      <c r="B1749" s="53">
        <v>2011</v>
      </c>
      <c r="C1749" s="52" t="s">
        <v>115</v>
      </c>
      <c r="D1749" s="54">
        <v>2</v>
      </c>
      <c r="E1749" s="55">
        <v>7540.7</v>
      </c>
      <c r="F1749" s="55">
        <v>412</v>
      </c>
      <c r="G1749" s="55">
        <v>7952.7</v>
      </c>
      <c r="H1749" s="55">
        <v>94525.500000000102</v>
      </c>
      <c r="I1749" s="55">
        <v>5163.3999999999996</v>
      </c>
      <c r="J1749" s="55">
        <v>99688.9</v>
      </c>
      <c r="K1749" s="55">
        <v>7262.8</v>
      </c>
      <c r="L1749" s="55">
        <v>1261.0999999999999</v>
      </c>
      <c r="M1749" s="55">
        <v>2480.9</v>
      </c>
      <c r="N1749" s="55">
        <v>533.29999999999995</v>
      </c>
    </row>
    <row r="1750" spans="1:14" ht="10.050000000000001" hidden="1" customHeight="1">
      <c r="A1750" s="52" t="s">
        <v>172</v>
      </c>
      <c r="B1750" s="53">
        <v>2011</v>
      </c>
      <c r="C1750" s="52" t="s">
        <v>115</v>
      </c>
      <c r="D1750" s="54">
        <v>2</v>
      </c>
      <c r="E1750" s="55">
        <v>185167.7</v>
      </c>
      <c r="F1750" s="55">
        <v>903.4</v>
      </c>
      <c r="G1750" s="55">
        <v>186071.1</v>
      </c>
      <c r="H1750" s="55">
        <v>761121.8</v>
      </c>
      <c r="I1750" s="55">
        <v>16339.6</v>
      </c>
      <c r="J1750" s="55">
        <v>777461.4</v>
      </c>
      <c r="K1750" s="55">
        <v>152667.5</v>
      </c>
      <c r="L1750" s="55">
        <v>33330.9</v>
      </c>
      <c r="M1750" s="55">
        <v>56471.199999999997</v>
      </c>
      <c r="N1750" s="55">
        <v>5743</v>
      </c>
    </row>
    <row r="1751" spans="1:14" ht="10.050000000000001" hidden="1" customHeight="1">
      <c r="A1751" s="52" t="s">
        <v>171</v>
      </c>
      <c r="B1751" s="53">
        <v>2011</v>
      </c>
      <c r="C1751" s="52" t="s">
        <v>115</v>
      </c>
      <c r="D1751" s="54">
        <v>2</v>
      </c>
      <c r="E1751" s="55">
        <v>1427785.3</v>
      </c>
      <c r="F1751" s="55">
        <v>7718.9</v>
      </c>
      <c r="G1751" s="55">
        <v>1435504.2</v>
      </c>
      <c r="H1751" s="55">
        <v>8560552.3000000101</v>
      </c>
      <c r="I1751" s="55">
        <v>119333.4</v>
      </c>
      <c r="J1751" s="55">
        <v>8679885.6999999993</v>
      </c>
      <c r="K1751" s="55">
        <v>1454163.2</v>
      </c>
      <c r="L1751" s="55">
        <v>302496.2</v>
      </c>
      <c r="M1751" s="55">
        <v>477812.9</v>
      </c>
      <c r="N1751" s="55">
        <v>19612.7</v>
      </c>
    </row>
    <row r="1752" spans="1:14" ht="10.050000000000001" hidden="1" customHeight="1">
      <c r="A1752" s="52" t="s">
        <v>300</v>
      </c>
      <c r="B1752" s="53">
        <v>2011</v>
      </c>
      <c r="C1752" s="52" t="s">
        <v>115</v>
      </c>
      <c r="D1752" s="54">
        <v>2</v>
      </c>
      <c r="E1752" s="55">
        <v>182</v>
      </c>
      <c r="F1752" s="55">
        <v>0</v>
      </c>
      <c r="G1752" s="55">
        <v>182</v>
      </c>
      <c r="H1752" s="55">
        <v>2302.4</v>
      </c>
      <c r="I1752" s="55">
        <v>98.6</v>
      </c>
      <c r="J1752" s="55">
        <v>2401</v>
      </c>
      <c r="K1752" s="55">
        <v>0</v>
      </c>
      <c r="L1752" s="55">
        <v>0</v>
      </c>
      <c r="M1752" s="55">
        <v>0</v>
      </c>
      <c r="N1752" s="55">
        <v>0</v>
      </c>
    </row>
    <row r="1753" spans="1:14" ht="10.050000000000001" hidden="1" customHeight="1">
      <c r="A1753" s="52" t="s">
        <v>307</v>
      </c>
      <c r="B1753" s="53">
        <v>2011</v>
      </c>
      <c r="C1753" s="52" t="s">
        <v>115</v>
      </c>
      <c r="D1753" s="54">
        <v>2</v>
      </c>
      <c r="E1753" s="55">
        <v>423206.8</v>
      </c>
      <c r="F1753" s="55">
        <v>901.2</v>
      </c>
      <c r="G1753" s="55">
        <v>424108</v>
      </c>
      <c r="H1753" s="55">
        <v>5038981.7</v>
      </c>
      <c r="I1753" s="55">
        <v>94842.4</v>
      </c>
      <c r="J1753" s="55">
        <v>5133824.0999999996</v>
      </c>
      <c r="K1753" s="55">
        <v>1317220.8999999999</v>
      </c>
      <c r="L1753" s="55">
        <v>40432.800000000003</v>
      </c>
      <c r="M1753" s="55">
        <v>272581</v>
      </c>
      <c r="N1753" s="55">
        <v>43091.7</v>
      </c>
    </row>
    <row r="1754" spans="1:14" ht="10.050000000000001" hidden="1" customHeight="1">
      <c r="A1754" s="52" t="s">
        <v>315</v>
      </c>
      <c r="B1754" s="53">
        <v>2011</v>
      </c>
      <c r="C1754" s="52" t="s">
        <v>115</v>
      </c>
      <c r="D1754" s="54">
        <v>2</v>
      </c>
      <c r="E1754" s="55">
        <v>824.1</v>
      </c>
      <c r="F1754" s="55">
        <v>0</v>
      </c>
      <c r="G1754" s="55">
        <v>824.1</v>
      </c>
      <c r="H1754" s="55">
        <v>13178.9</v>
      </c>
      <c r="I1754" s="55">
        <v>26.4</v>
      </c>
      <c r="J1754" s="55">
        <v>13205.3</v>
      </c>
      <c r="K1754" s="55">
        <v>635</v>
      </c>
      <c r="L1754" s="55">
        <v>222.2</v>
      </c>
      <c r="M1754" s="55">
        <v>503</v>
      </c>
      <c r="N1754" s="55">
        <v>6.7</v>
      </c>
    </row>
    <row r="1755" spans="1:14" ht="10.050000000000001" hidden="1" customHeight="1">
      <c r="A1755" s="52" t="s">
        <v>173</v>
      </c>
      <c r="B1755" s="53">
        <v>2011</v>
      </c>
      <c r="C1755" s="52" t="s">
        <v>115</v>
      </c>
      <c r="D1755" s="54">
        <v>2</v>
      </c>
      <c r="E1755" s="55">
        <v>235355.3</v>
      </c>
      <c r="F1755" s="55">
        <v>8711.2999999999993</v>
      </c>
      <c r="G1755" s="55">
        <v>244066.6</v>
      </c>
      <c r="H1755" s="55">
        <v>3361895.6</v>
      </c>
      <c r="I1755" s="55">
        <v>49566.400000000001</v>
      </c>
      <c r="J1755" s="55">
        <v>3411462</v>
      </c>
      <c r="K1755" s="55">
        <v>267033.5</v>
      </c>
      <c r="L1755" s="55">
        <v>37009.300000000003</v>
      </c>
      <c r="M1755" s="55">
        <v>76501.5</v>
      </c>
      <c r="N1755" s="55">
        <v>12120.3</v>
      </c>
    </row>
    <row r="1756" spans="1:14" ht="10.050000000000001" customHeight="1">
      <c r="A1756" s="52" t="s">
        <v>309</v>
      </c>
      <c r="B1756" s="53">
        <v>2011</v>
      </c>
      <c r="C1756" s="52" t="s">
        <v>115</v>
      </c>
      <c r="D1756" s="54">
        <v>2</v>
      </c>
      <c r="E1756" s="55">
        <v>7709.4</v>
      </c>
      <c r="F1756" s="55">
        <v>0</v>
      </c>
      <c r="G1756" s="55">
        <v>7709.4</v>
      </c>
      <c r="H1756" s="55">
        <v>61399.7</v>
      </c>
      <c r="I1756" s="55">
        <v>0</v>
      </c>
      <c r="J1756" s="55">
        <v>61399.7</v>
      </c>
      <c r="K1756" s="55">
        <v>1640.9</v>
      </c>
      <c r="L1756" s="55">
        <v>0</v>
      </c>
      <c r="M1756" s="55">
        <v>6820.6</v>
      </c>
      <c r="N1756" s="55">
        <v>0</v>
      </c>
    </row>
    <row r="1757" spans="1:14" ht="10.050000000000001" hidden="1" customHeight="1">
      <c r="A1757" s="52" t="s">
        <v>316</v>
      </c>
      <c r="B1757" s="53">
        <v>2011</v>
      </c>
      <c r="C1757" s="52" t="s">
        <v>115</v>
      </c>
      <c r="D1757" s="54">
        <v>2</v>
      </c>
      <c r="E1757" s="55">
        <v>129</v>
      </c>
      <c r="F1757" s="55">
        <v>0</v>
      </c>
      <c r="G1757" s="55">
        <v>129</v>
      </c>
      <c r="H1757" s="55">
        <v>4909.3999999999996</v>
      </c>
      <c r="I1757" s="55">
        <v>110.6</v>
      </c>
      <c r="J1757" s="55">
        <v>5020</v>
      </c>
      <c r="K1757" s="55">
        <v>8.1999999999999993</v>
      </c>
      <c r="L1757" s="55">
        <v>0</v>
      </c>
      <c r="M1757" s="55">
        <v>0</v>
      </c>
      <c r="N1757" s="55">
        <v>0.2</v>
      </c>
    </row>
    <row r="1758" spans="1:14" ht="10.050000000000001" hidden="1" customHeight="1">
      <c r="A1758" s="52" t="s">
        <v>310</v>
      </c>
      <c r="B1758" s="53">
        <v>2011</v>
      </c>
      <c r="C1758" s="52" t="s">
        <v>115</v>
      </c>
      <c r="D1758" s="54">
        <v>2</v>
      </c>
      <c r="E1758" s="55">
        <v>2394.5</v>
      </c>
      <c r="F1758" s="55">
        <v>229.9</v>
      </c>
      <c r="G1758" s="55">
        <v>2624.4</v>
      </c>
      <c r="H1758" s="55">
        <v>48038.9</v>
      </c>
      <c r="I1758" s="55">
        <v>665.2</v>
      </c>
      <c r="J1758" s="55">
        <v>48704.1</v>
      </c>
      <c r="K1758" s="55">
        <v>3106.6</v>
      </c>
      <c r="L1758" s="55">
        <v>33.6</v>
      </c>
      <c r="M1758" s="55">
        <v>440.1</v>
      </c>
      <c r="N1758" s="55">
        <v>152.1</v>
      </c>
    </row>
    <row r="1759" spans="1:14" ht="10.050000000000001" hidden="1" customHeight="1">
      <c r="A1759" s="52" t="s">
        <v>308</v>
      </c>
      <c r="B1759" s="53">
        <v>2011</v>
      </c>
      <c r="C1759" s="52" t="s">
        <v>115</v>
      </c>
      <c r="D1759" s="54">
        <v>2</v>
      </c>
      <c r="E1759" s="55">
        <v>2691.8</v>
      </c>
      <c r="F1759" s="55">
        <v>9.3000000000000007</v>
      </c>
      <c r="G1759" s="55">
        <v>2701.1</v>
      </c>
      <c r="H1759" s="55">
        <v>63302.400000000001</v>
      </c>
      <c r="I1759" s="55">
        <v>366.9</v>
      </c>
      <c r="J1759" s="55">
        <v>63669.3</v>
      </c>
      <c r="K1759" s="55">
        <v>5556.4</v>
      </c>
      <c r="L1759" s="55">
        <v>17.3</v>
      </c>
      <c r="M1759" s="55">
        <v>1723.4</v>
      </c>
      <c r="N1759" s="55">
        <v>173.7</v>
      </c>
    </row>
    <row r="1760" spans="1:14" ht="10.050000000000001" hidden="1" customHeight="1">
      <c r="A1760" s="52" t="s">
        <v>174</v>
      </c>
      <c r="B1760" s="53">
        <v>2011</v>
      </c>
      <c r="C1760" s="52" t="s">
        <v>115</v>
      </c>
      <c r="D1760" s="54">
        <v>2</v>
      </c>
      <c r="E1760" s="55">
        <v>12668.2</v>
      </c>
      <c r="F1760" s="55">
        <v>100.8</v>
      </c>
      <c r="G1760" s="55">
        <v>12769</v>
      </c>
      <c r="H1760" s="55">
        <v>210034.3</v>
      </c>
      <c r="I1760" s="55">
        <v>11769.8</v>
      </c>
      <c r="J1760" s="55">
        <v>221804.1</v>
      </c>
      <c r="K1760" s="55">
        <v>49430</v>
      </c>
      <c r="L1760" s="55">
        <v>2210.6</v>
      </c>
      <c r="M1760" s="55">
        <v>6013.9</v>
      </c>
      <c r="N1760" s="55">
        <v>6202.1</v>
      </c>
    </row>
    <row r="1761" spans="1:14" ht="10.050000000000001" hidden="1" customHeight="1">
      <c r="A1761" s="52" t="s">
        <v>314</v>
      </c>
      <c r="B1761" s="53">
        <v>2011</v>
      </c>
      <c r="C1761" s="52" t="s">
        <v>115</v>
      </c>
      <c r="D1761" s="54">
        <v>3</v>
      </c>
      <c r="E1761" s="55">
        <v>0</v>
      </c>
      <c r="F1761" s="55">
        <v>40</v>
      </c>
      <c r="G1761" s="55">
        <v>40</v>
      </c>
      <c r="H1761" s="55">
        <v>0</v>
      </c>
      <c r="I1761" s="55">
        <v>40</v>
      </c>
      <c r="J1761" s="55">
        <v>40</v>
      </c>
      <c r="K1761" s="55">
        <v>0</v>
      </c>
      <c r="L1761" s="55">
        <v>0</v>
      </c>
      <c r="M1761" s="55">
        <v>0</v>
      </c>
      <c r="N1761" s="55">
        <v>0</v>
      </c>
    </row>
    <row r="1762" spans="1:14" ht="10.050000000000001" hidden="1" customHeight="1">
      <c r="A1762" s="52" t="s">
        <v>306</v>
      </c>
      <c r="B1762" s="53">
        <v>2011</v>
      </c>
      <c r="C1762" s="52" t="s">
        <v>115</v>
      </c>
      <c r="D1762" s="54">
        <v>3</v>
      </c>
      <c r="E1762" s="55">
        <v>7487.2</v>
      </c>
      <c r="F1762" s="55">
        <v>292</v>
      </c>
      <c r="G1762" s="55">
        <v>7779.2</v>
      </c>
      <c r="H1762" s="55">
        <v>79223.399999999994</v>
      </c>
      <c r="I1762" s="55">
        <v>4604.3999999999996</v>
      </c>
      <c r="J1762" s="55">
        <v>83827.8</v>
      </c>
      <c r="K1762" s="55">
        <v>5104.3999999999996</v>
      </c>
      <c r="L1762" s="55">
        <v>1459.4</v>
      </c>
      <c r="M1762" s="55">
        <v>3140.2</v>
      </c>
      <c r="N1762" s="55">
        <v>481.4</v>
      </c>
    </row>
    <row r="1763" spans="1:14" ht="10.050000000000001" hidden="1" customHeight="1">
      <c r="A1763" s="52" t="s">
        <v>172</v>
      </c>
      <c r="B1763" s="53">
        <v>2011</v>
      </c>
      <c r="C1763" s="52" t="s">
        <v>115</v>
      </c>
      <c r="D1763" s="54">
        <v>3</v>
      </c>
      <c r="E1763" s="55">
        <v>180814.4</v>
      </c>
      <c r="F1763" s="55">
        <v>195</v>
      </c>
      <c r="G1763" s="55">
        <v>181009.4</v>
      </c>
      <c r="H1763" s="55">
        <v>612974</v>
      </c>
      <c r="I1763" s="55">
        <v>12231.2</v>
      </c>
      <c r="J1763" s="55">
        <v>625205.19999999995</v>
      </c>
      <c r="K1763" s="55">
        <v>100329.5</v>
      </c>
      <c r="L1763" s="55">
        <v>17258.8</v>
      </c>
      <c r="M1763" s="55">
        <v>68870.100000000006</v>
      </c>
      <c r="N1763" s="55">
        <v>726.7</v>
      </c>
    </row>
    <row r="1764" spans="1:14" ht="10.050000000000001" hidden="1" customHeight="1">
      <c r="A1764" s="52" t="s">
        <v>171</v>
      </c>
      <c r="B1764" s="53">
        <v>2011</v>
      </c>
      <c r="C1764" s="52" t="s">
        <v>115</v>
      </c>
      <c r="D1764" s="54">
        <v>3</v>
      </c>
      <c r="E1764" s="55">
        <v>1576963.8</v>
      </c>
      <c r="F1764" s="55">
        <v>7854.1</v>
      </c>
      <c r="G1764" s="55">
        <v>1584817.9</v>
      </c>
      <c r="H1764" s="55">
        <v>7176095.4000000004</v>
      </c>
      <c r="I1764" s="55">
        <v>111396.1</v>
      </c>
      <c r="J1764" s="55">
        <v>7287491.5</v>
      </c>
      <c r="K1764" s="55">
        <v>900789.50000000105</v>
      </c>
      <c r="L1764" s="55">
        <v>202649</v>
      </c>
      <c r="M1764" s="55">
        <v>744563.4</v>
      </c>
      <c r="N1764" s="55">
        <v>16565.5</v>
      </c>
    </row>
    <row r="1765" spans="1:14" ht="10.050000000000001" hidden="1" customHeight="1">
      <c r="A1765" s="52" t="s">
        <v>300</v>
      </c>
      <c r="B1765" s="53">
        <v>2011</v>
      </c>
      <c r="C1765" s="52" t="s">
        <v>115</v>
      </c>
      <c r="D1765" s="54">
        <v>3</v>
      </c>
      <c r="E1765" s="55">
        <v>273.89999999999998</v>
      </c>
      <c r="F1765" s="55">
        <v>0</v>
      </c>
      <c r="G1765" s="55">
        <v>273.89999999999998</v>
      </c>
      <c r="H1765" s="55">
        <v>2260.4</v>
      </c>
      <c r="I1765" s="55">
        <v>98.6</v>
      </c>
      <c r="J1765" s="55">
        <v>2359</v>
      </c>
      <c r="K1765" s="55">
        <v>0</v>
      </c>
      <c r="L1765" s="55">
        <v>0</v>
      </c>
      <c r="M1765" s="55">
        <v>0</v>
      </c>
      <c r="N1765" s="55">
        <v>0</v>
      </c>
    </row>
    <row r="1766" spans="1:14" ht="10.050000000000001" hidden="1" customHeight="1">
      <c r="A1766" s="52" t="s">
        <v>307</v>
      </c>
      <c r="B1766" s="53">
        <v>2011</v>
      </c>
      <c r="C1766" s="52" t="s">
        <v>115</v>
      </c>
      <c r="D1766" s="54">
        <v>3</v>
      </c>
      <c r="E1766" s="55">
        <v>552038.5</v>
      </c>
      <c r="F1766" s="55">
        <v>14.4</v>
      </c>
      <c r="G1766" s="55">
        <v>552052.9</v>
      </c>
      <c r="H1766" s="55">
        <v>4394653.7</v>
      </c>
      <c r="I1766" s="55">
        <v>87787.6</v>
      </c>
      <c r="J1766" s="55">
        <v>4482441.3</v>
      </c>
      <c r="K1766" s="55">
        <v>939754.6</v>
      </c>
      <c r="L1766" s="55">
        <v>29362</v>
      </c>
      <c r="M1766" s="55">
        <v>358429.1</v>
      </c>
      <c r="N1766" s="55">
        <v>48590.9</v>
      </c>
    </row>
    <row r="1767" spans="1:14" ht="10.050000000000001" hidden="1" customHeight="1">
      <c r="A1767" s="52" t="s">
        <v>315</v>
      </c>
      <c r="B1767" s="53">
        <v>2011</v>
      </c>
      <c r="C1767" s="52" t="s">
        <v>115</v>
      </c>
      <c r="D1767" s="54">
        <v>3</v>
      </c>
      <c r="E1767" s="55">
        <v>604.20000000000005</v>
      </c>
      <c r="F1767" s="55">
        <v>0</v>
      </c>
      <c r="G1767" s="55">
        <v>604.20000000000005</v>
      </c>
      <c r="H1767" s="55">
        <v>10346.299999999999</v>
      </c>
      <c r="I1767" s="55">
        <v>7.8</v>
      </c>
      <c r="J1767" s="55">
        <v>10354.1</v>
      </c>
      <c r="K1767" s="55">
        <v>363.6</v>
      </c>
      <c r="L1767" s="55">
        <v>0.7</v>
      </c>
      <c r="M1767" s="55">
        <v>272.10000000000002</v>
      </c>
      <c r="N1767" s="55">
        <v>0</v>
      </c>
    </row>
    <row r="1768" spans="1:14" ht="10.050000000000001" hidden="1" customHeight="1">
      <c r="A1768" s="52" t="s">
        <v>173</v>
      </c>
      <c r="B1768" s="53">
        <v>2011</v>
      </c>
      <c r="C1768" s="52" t="s">
        <v>115</v>
      </c>
      <c r="D1768" s="54">
        <v>3</v>
      </c>
      <c r="E1768" s="55">
        <v>240729</v>
      </c>
      <c r="F1768" s="55">
        <v>5604.3</v>
      </c>
      <c r="G1768" s="55">
        <v>246333.3</v>
      </c>
      <c r="H1768" s="55">
        <v>2819690.7</v>
      </c>
      <c r="I1768" s="55">
        <v>42871.8</v>
      </c>
      <c r="J1768" s="55">
        <v>2862562.5</v>
      </c>
      <c r="K1768" s="55">
        <v>182457.8</v>
      </c>
      <c r="L1768" s="55">
        <v>19179.599999999999</v>
      </c>
      <c r="M1768" s="55">
        <v>92323.6</v>
      </c>
      <c r="N1768" s="55">
        <v>11622.3</v>
      </c>
    </row>
    <row r="1769" spans="1:14" ht="10.050000000000001" customHeight="1">
      <c r="A1769" s="52" t="s">
        <v>309</v>
      </c>
      <c r="B1769" s="53">
        <v>2011</v>
      </c>
      <c r="C1769" s="52" t="s">
        <v>115</v>
      </c>
      <c r="D1769" s="54">
        <v>3</v>
      </c>
      <c r="E1769" s="55">
        <v>858.4</v>
      </c>
      <c r="F1769" s="55">
        <v>0</v>
      </c>
      <c r="G1769" s="55">
        <v>858.4</v>
      </c>
      <c r="H1769" s="55">
        <v>52796.4</v>
      </c>
      <c r="I1769" s="55">
        <v>0</v>
      </c>
      <c r="J1769" s="55">
        <v>52796.4</v>
      </c>
      <c r="K1769" s="55">
        <v>1391.5</v>
      </c>
      <c r="L1769" s="55">
        <v>0</v>
      </c>
      <c r="M1769" s="55">
        <v>249.4</v>
      </c>
      <c r="N1769" s="55">
        <v>0</v>
      </c>
    </row>
    <row r="1770" spans="1:14" ht="10.050000000000001" hidden="1" customHeight="1">
      <c r="A1770" s="52" t="s">
        <v>316</v>
      </c>
      <c r="B1770" s="53">
        <v>2011</v>
      </c>
      <c r="C1770" s="52" t="s">
        <v>115</v>
      </c>
      <c r="D1770" s="54">
        <v>3</v>
      </c>
      <c r="E1770" s="55">
        <v>127.9</v>
      </c>
      <c r="F1770" s="55">
        <v>0</v>
      </c>
      <c r="G1770" s="55">
        <v>127.9</v>
      </c>
      <c r="H1770" s="55">
        <v>4136</v>
      </c>
      <c r="I1770" s="55">
        <v>83.6</v>
      </c>
      <c r="J1770" s="55">
        <v>4219.6000000000004</v>
      </c>
      <c r="K1770" s="55">
        <v>2.1</v>
      </c>
      <c r="L1770" s="55">
        <v>11.3</v>
      </c>
      <c r="M1770" s="55">
        <v>14</v>
      </c>
      <c r="N1770" s="55">
        <v>3.4</v>
      </c>
    </row>
    <row r="1771" spans="1:14" ht="10.050000000000001" hidden="1" customHeight="1">
      <c r="A1771" s="52" t="s">
        <v>310</v>
      </c>
      <c r="B1771" s="53">
        <v>2011</v>
      </c>
      <c r="C1771" s="52" t="s">
        <v>115</v>
      </c>
      <c r="D1771" s="54">
        <v>3</v>
      </c>
      <c r="E1771" s="55">
        <v>3303.6</v>
      </c>
      <c r="F1771" s="55">
        <v>0</v>
      </c>
      <c r="G1771" s="55">
        <v>3303.6</v>
      </c>
      <c r="H1771" s="55">
        <v>38798.1</v>
      </c>
      <c r="I1771" s="55">
        <v>450.1</v>
      </c>
      <c r="J1771" s="55">
        <v>39248.199999999997</v>
      </c>
      <c r="K1771" s="55">
        <v>1462.5</v>
      </c>
      <c r="L1771" s="55">
        <v>98.8</v>
      </c>
      <c r="M1771" s="55">
        <v>1499.7</v>
      </c>
      <c r="N1771" s="55">
        <v>243.2</v>
      </c>
    </row>
    <row r="1772" spans="1:14" ht="10.050000000000001" hidden="1" customHeight="1">
      <c r="A1772" s="52" t="s">
        <v>308</v>
      </c>
      <c r="B1772" s="53">
        <v>2011</v>
      </c>
      <c r="C1772" s="52" t="s">
        <v>115</v>
      </c>
      <c r="D1772" s="54">
        <v>3</v>
      </c>
      <c r="E1772" s="55">
        <v>3037.9</v>
      </c>
      <c r="F1772" s="55">
        <v>77.900000000000006</v>
      </c>
      <c r="G1772" s="55">
        <v>3115.8</v>
      </c>
      <c r="H1772" s="55">
        <v>50136.6</v>
      </c>
      <c r="I1772" s="55">
        <v>365.8</v>
      </c>
      <c r="J1772" s="55">
        <v>50502.400000000001</v>
      </c>
      <c r="K1772" s="55">
        <v>4021.9</v>
      </c>
      <c r="L1772" s="55">
        <v>323.60000000000002</v>
      </c>
      <c r="M1772" s="55">
        <v>1742.8</v>
      </c>
      <c r="N1772" s="55">
        <v>115.3</v>
      </c>
    </row>
    <row r="1773" spans="1:14" ht="10.050000000000001" hidden="1" customHeight="1">
      <c r="A1773" s="52" t="s">
        <v>174</v>
      </c>
      <c r="B1773" s="53">
        <v>2011</v>
      </c>
      <c r="C1773" s="52" t="s">
        <v>115</v>
      </c>
      <c r="D1773" s="54">
        <v>3</v>
      </c>
      <c r="E1773" s="55">
        <v>10636.2</v>
      </c>
      <c r="F1773" s="55">
        <v>336</v>
      </c>
      <c r="G1773" s="55">
        <v>10972.2</v>
      </c>
      <c r="H1773" s="55">
        <v>171311.9</v>
      </c>
      <c r="I1773" s="55">
        <v>10875.3</v>
      </c>
      <c r="J1773" s="55">
        <v>182187.2</v>
      </c>
      <c r="K1773" s="55">
        <v>39989.800000000003</v>
      </c>
      <c r="L1773" s="55">
        <v>1809</v>
      </c>
      <c r="M1773" s="55">
        <v>4965</v>
      </c>
      <c r="N1773" s="55">
        <v>6348.2</v>
      </c>
    </row>
    <row r="1774" spans="1:14" ht="10.050000000000001" hidden="1" customHeight="1">
      <c r="A1774" s="52" t="s">
        <v>314</v>
      </c>
      <c r="B1774" s="53">
        <v>2011</v>
      </c>
      <c r="C1774" s="52" t="s">
        <v>115</v>
      </c>
      <c r="D1774" s="54">
        <v>4</v>
      </c>
      <c r="E1774" s="55">
        <v>0</v>
      </c>
      <c r="F1774" s="55">
        <v>200</v>
      </c>
      <c r="G1774" s="55">
        <v>200</v>
      </c>
      <c r="H1774" s="55">
        <v>0</v>
      </c>
      <c r="I1774" s="55">
        <v>240</v>
      </c>
      <c r="J1774" s="55">
        <v>240</v>
      </c>
      <c r="K1774" s="55">
        <v>0</v>
      </c>
      <c r="L1774" s="55">
        <v>0</v>
      </c>
      <c r="M1774" s="55">
        <v>0</v>
      </c>
      <c r="N1774" s="55">
        <v>0</v>
      </c>
    </row>
    <row r="1775" spans="1:14" ht="10.050000000000001" hidden="1" customHeight="1">
      <c r="A1775" s="52" t="s">
        <v>306</v>
      </c>
      <c r="B1775" s="53">
        <v>2011</v>
      </c>
      <c r="C1775" s="52" t="s">
        <v>115</v>
      </c>
      <c r="D1775" s="54">
        <v>4</v>
      </c>
      <c r="E1775" s="55">
        <v>5694.1</v>
      </c>
      <c r="F1775" s="55">
        <v>119.1</v>
      </c>
      <c r="G1775" s="55">
        <v>5813.2</v>
      </c>
      <c r="H1775" s="55">
        <v>67308.3</v>
      </c>
      <c r="I1775" s="55">
        <v>4086</v>
      </c>
      <c r="J1775" s="55">
        <v>71394.3</v>
      </c>
      <c r="K1775" s="55">
        <v>3696.5</v>
      </c>
      <c r="L1775" s="55">
        <v>762.2</v>
      </c>
      <c r="M1775" s="55">
        <v>1897.3</v>
      </c>
      <c r="N1775" s="55">
        <v>255.6</v>
      </c>
    </row>
    <row r="1776" spans="1:14" ht="10.050000000000001" hidden="1" customHeight="1">
      <c r="A1776" s="52" t="s">
        <v>172</v>
      </c>
      <c r="B1776" s="53">
        <v>2011</v>
      </c>
      <c r="C1776" s="52" t="s">
        <v>115</v>
      </c>
      <c r="D1776" s="54">
        <v>4</v>
      </c>
      <c r="E1776" s="55">
        <v>124408.6</v>
      </c>
      <c r="F1776" s="55">
        <v>160.1</v>
      </c>
      <c r="G1776" s="55">
        <v>124568.7</v>
      </c>
      <c r="H1776" s="55">
        <v>474851.1</v>
      </c>
      <c r="I1776" s="55">
        <v>11085.3</v>
      </c>
      <c r="J1776" s="55">
        <v>485936.4</v>
      </c>
      <c r="K1776" s="55">
        <v>65979.899999999994</v>
      </c>
      <c r="L1776" s="55">
        <v>9718.6</v>
      </c>
      <c r="M1776" s="55">
        <v>43196.5</v>
      </c>
      <c r="N1776" s="55">
        <v>871.7</v>
      </c>
    </row>
    <row r="1777" spans="1:14" ht="10.050000000000001" hidden="1" customHeight="1">
      <c r="A1777" s="52" t="s">
        <v>171</v>
      </c>
      <c r="B1777" s="53">
        <v>2011</v>
      </c>
      <c r="C1777" s="52" t="s">
        <v>115</v>
      </c>
      <c r="D1777" s="54">
        <v>4</v>
      </c>
      <c r="E1777" s="55">
        <v>887458.5</v>
      </c>
      <c r="F1777" s="55">
        <v>2376.8000000000002</v>
      </c>
      <c r="G1777" s="55">
        <v>889835.3</v>
      </c>
      <c r="H1777" s="55">
        <v>5639827.5</v>
      </c>
      <c r="I1777" s="55">
        <v>86631.9</v>
      </c>
      <c r="J1777" s="55">
        <v>5726459.4000000004</v>
      </c>
      <c r="K1777" s="55">
        <v>571583</v>
      </c>
      <c r="L1777" s="55">
        <v>102689.7</v>
      </c>
      <c r="M1777" s="55">
        <v>406531</v>
      </c>
      <c r="N1777" s="55">
        <v>21367.9</v>
      </c>
    </row>
    <row r="1778" spans="1:14" ht="10.050000000000001" hidden="1" customHeight="1">
      <c r="A1778" s="52" t="s">
        <v>300</v>
      </c>
      <c r="B1778" s="53">
        <v>2011</v>
      </c>
      <c r="C1778" s="52" t="s">
        <v>115</v>
      </c>
      <c r="D1778" s="54">
        <v>4</v>
      </c>
      <c r="E1778" s="55">
        <v>292.10000000000002</v>
      </c>
      <c r="F1778" s="55">
        <v>0</v>
      </c>
      <c r="G1778" s="55">
        <v>292.10000000000002</v>
      </c>
      <c r="H1778" s="55">
        <v>2091.4</v>
      </c>
      <c r="I1778" s="55">
        <v>98.6</v>
      </c>
      <c r="J1778" s="55">
        <v>2190</v>
      </c>
      <c r="K1778" s="55">
        <v>0</v>
      </c>
      <c r="L1778" s="55">
        <v>0</v>
      </c>
      <c r="M1778" s="55">
        <v>0</v>
      </c>
      <c r="N1778" s="55">
        <v>0</v>
      </c>
    </row>
    <row r="1779" spans="1:14" ht="10.050000000000001" hidden="1" customHeight="1">
      <c r="A1779" s="52" t="s">
        <v>307</v>
      </c>
      <c r="B1779" s="53">
        <v>2011</v>
      </c>
      <c r="C1779" s="52" t="s">
        <v>115</v>
      </c>
      <c r="D1779" s="54">
        <v>4</v>
      </c>
      <c r="E1779" s="55">
        <v>321211.3</v>
      </c>
      <c r="F1779" s="55">
        <v>84.5</v>
      </c>
      <c r="G1779" s="55">
        <v>321295.8</v>
      </c>
      <c r="H1779" s="55">
        <v>3621652.3</v>
      </c>
      <c r="I1779" s="55">
        <v>86149.6</v>
      </c>
      <c r="J1779" s="55">
        <v>3707801.9</v>
      </c>
      <c r="K1779" s="55">
        <v>766081.1</v>
      </c>
      <c r="L1779" s="55">
        <v>39996.9</v>
      </c>
      <c r="M1779" s="55">
        <v>172633.3</v>
      </c>
      <c r="N1779" s="55">
        <v>41047.800000000003</v>
      </c>
    </row>
    <row r="1780" spans="1:14" ht="10.050000000000001" hidden="1" customHeight="1">
      <c r="A1780" s="52" t="s">
        <v>315</v>
      </c>
      <c r="B1780" s="53">
        <v>2011</v>
      </c>
      <c r="C1780" s="52" t="s">
        <v>115</v>
      </c>
      <c r="D1780" s="54">
        <v>4</v>
      </c>
      <c r="E1780" s="55">
        <v>322.7</v>
      </c>
      <c r="F1780" s="55">
        <v>0</v>
      </c>
      <c r="G1780" s="55">
        <v>322.7</v>
      </c>
      <c r="H1780" s="55">
        <v>8089.4</v>
      </c>
      <c r="I1780" s="55">
        <v>0.1</v>
      </c>
      <c r="J1780" s="55">
        <v>8089.5</v>
      </c>
      <c r="K1780" s="55">
        <v>309.8</v>
      </c>
      <c r="L1780" s="55">
        <v>453.4</v>
      </c>
      <c r="M1780" s="55">
        <v>507.2</v>
      </c>
      <c r="N1780" s="55">
        <v>0</v>
      </c>
    </row>
    <row r="1781" spans="1:14" ht="10.050000000000001" hidden="1" customHeight="1">
      <c r="A1781" s="52" t="s">
        <v>173</v>
      </c>
      <c r="B1781" s="53">
        <v>2011</v>
      </c>
      <c r="C1781" s="52" t="s">
        <v>115</v>
      </c>
      <c r="D1781" s="54">
        <v>4</v>
      </c>
      <c r="E1781" s="55">
        <v>167057.9</v>
      </c>
      <c r="F1781" s="55">
        <v>1182.4000000000001</v>
      </c>
      <c r="G1781" s="55">
        <v>168240.3</v>
      </c>
      <c r="H1781" s="55">
        <v>2290293.2999999998</v>
      </c>
      <c r="I1781" s="55">
        <v>37614.300000000003</v>
      </c>
      <c r="J1781" s="55">
        <v>2327907.6</v>
      </c>
      <c r="K1781" s="55">
        <v>117906</v>
      </c>
      <c r="L1781" s="55">
        <v>10068.6</v>
      </c>
      <c r="M1781" s="55">
        <v>62959.3</v>
      </c>
      <c r="N1781" s="55">
        <v>11498.8</v>
      </c>
    </row>
    <row r="1782" spans="1:14" ht="10.050000000000001" customHeight="1">
      <c r="A1782" s="52" t="s">
        <v>309</v>
      </c>
      <c r="B1782" s="53">
        <v>2011</v>
      </c>
      <c r="C1782" s="52" t="s">
        <v>115</v>
      </c>
      <c r="D1782" s="54">
        <v>4</v>
      </c>
      <c r="E1782" s="55">
        <v>552.6</v>
      </c>
      <c r="F1782" s="55">
        <v>0</v>
      </c>
      <c r="G1782" s="55">
        <v>552.6</v>
      </c>
      <c r="H1782" s="55">
        <v>44721.2</v>
      </c>
      <c r="I1782" s="55">
        <v>0</v>
      </c>
      <c r="J1782" s="55">
        <v>44721.2</v>
      </c>
      <c r="K1782" s="55">
        <v>1391.5</v>
      </c>
      <c r="L1782" s="55">
        <v>0</v>
      </c>
      <c r="M1782" s="55">
        <v>0</v>
      </c>
      <c r="N1782" s="55">
        <v>0</v>
      </c>
    </row>
    <row r="1783" spans="1:14" ht="10.050000000000001" hidden="1" customHeight="1">
      <c r="A1783" s="52" t="s">
        <v>316</v>
      </c>
      <c r="B1783" s="53">
        <v>2011</v>
      </c>
      <c r="C1783" s="52" t="s">
        <v>115</v>
      </c>
      <c r="D1783" s="54">
        <v>4</v>
      </c>
      <c r="E1783" s="55">
        <v>95.5</v>
      </c>
      <c r="F1783" s="55">
        <v>0</v>
      </c>
      <c r="G1783" s="55">
        <v>95.5</v>
      </c>
      <c r="H1783" s="55">
        <v>3319.3</v>
      </c>
      <c r="I1783" s="55">
        <v>65.599999999999994</v>
      </c>
      <c r="J1783" s="55">
        <v>3384.9</v>
      </c>
      <c r="K1783" s="55">
        <v>2.1</v>
      </c>
      <c r="L1783" s="55">
        <v>8.4</v>
      </c>
      <c r="M1783" s="55">
        <v>8.4</v>
      </c>
      <c r="N1783" s="55">
        <v>0</v>
      </c>
    </row>
    <row r="1784" spans="1:14" ht="10.050000000000001" hidden="1" customHeight="1">
      <c r="A1784" s="52" t="s">
        <v>310</v>
      </c>
      <c r="B1784" s="53">
        <v>2011</v>
      </c>
      <c r="C1784" s="52" t="s">
        <v>115</v>
      </c>
      <c r="D1784" s="54">
        <v>4</v>
      </c>
      <c r="E1784" s="55">
        <v>1433</v>
      </c>
      <c r="F1784" s="55">
        <v>0</v>
      </c>
      <c r="G1784" s="55">
        <v>1433</v>
      </c>
      <c r="H1784" s="55">
        <v>29646.3</v>
      </c>
      <c r="I1784" s="55">
        <v>450</v>
      </c>
      <c r="J1784" s="55">
        <v>30096.3</v>
      </c>
      <c r="K1784" s="55">
        <v>945.2</v>
      </c>
      <c r="L1784" s="55">
        <v>-9.6</v>
      </c>
      <c r="M1784" s="55">
        <v>423.2</v>
      </c>
      <c r="N1784" s="55">
        <v>84.5</v>
      </c>
    </row>
    <row r="1785" spans="1:14" ht="10.050000000000001" hidden="1" customHeight="1">
      <c r="A1785" s="52" t="s">
        <v>308</v>
      </c>
      <c r="B1785" s="53">
        <v>2011</v>
      </c>
      <c r="C1785" s="52" t="s">
        <v>115</v>
      </c>
      <c r="D1785" s="54">
        <v>4</v>
      </c>
      <c r="E1785" s="55">
        <v>2315.3000000000002</v>
      </c>
      <c r="F1785" s="55">
        <v>0</v>
      </c>
      <c r="G1785" s="55">
        <v>2315.3000000000002</v>
      </c>
      <c r="H1785" s="55">
        <v>40462.6</v>
      </c>
      <c r="I1785" s="55">
        <v>362.1</v>
      </c>
      <c r="J1785" s="55">
        <v>40824.699999999997</v>
      </c>
      <c r="K1785" s="55">
        <v>2448.5</v>
      </c>
      <c r="L1785" s="55">
        <v>66.400000000000006</v>
      </c>
      <c r="M1785" s="55">
        <v>1356.1</v>
      </c>
      <c r="N1785" s="55">
        <v>283.7</v>
      </c>
    </row>
    <row r="1786" spans="1:14" ht="10.050000000000001" hidden="1" customHeight="1">
      <c r="A1786" s="52" t="s">
        <v>174</v>
      </c>
      <c r="B1786" s="53">
        <v>2011</v>
      </c>
      <c r="C1786" s="52" t="s">
        <v>115</v>
      </c>
      <c r="D1786" s="54">
        <v>4</v>
      </c>
      <c r="E1786" s="55">
        <v>9134.2000000000007</v>
      </c>
      <c r="F1786" s="55">
        <v>126.1</v>
      </c>
      <c r="G1786" s="55">
        <v>9260.2999999999993</v>
      </c>
      <c r="H1786" s="55">
        <v>139517.9</v>
      </c>
      <c r="I1786" s="55">
        <v>9979.6</v>
      </c>
      <c r="J1786" s="55">
        <v>149497.5</v>
      </c>
      <c r="K1786" s="55">
        <v>31945.9</v>
      </c>
      <c r="L1786" s="55">
        <v>1838.5</v>
      </c>
      <c r="M1786" s="55">
        <v>3640.3</v>
      </c>
      <c r="N1786" s="55">
        <v>6242.1</v>
      </c>
    </row>
    <row r="1787" spans="1:14" ht="10.050000000000001" hidden="1" customHeight="1">
      <c r="A1787" s="52" t="s">
        <v>314</v>
      </c>
      <c r="B1787" s="53">
        <v>2011</v>
      </c>
      <c r="C1787" s="52" t="s">
        <v>115</v>
      </c>
      <c r="D1787" s="54">
        <v>5</v>
      </c>
      <c r="E1787" s="55">
        <v>56.2</v>
      </c>
      <c r="F1787" s="55">
        <v>100</v>
      </c>
      <c r="G1787" s="55">
        <v>156.19999999999999</v>
      </c>
      <c r="H1787" s="55">
        <v>0</v>
      </c>
      <c r="I1787" s="55">
        <v>340</v>
      </c>
      <c r="J1787" s="55">
        <v>340</v>
      </c>
      <c r="K1787" s="55">
        <v>0</v>
      </c>
      <c r="L1787" s="55">
        <v>0</v>
      </c>
      <c r="M1787" s="55">
        <v>0</v>
      </c>
      <c r="N1787" s="55">
        <v>0</v>
      </c>
    </row>
    <row r="1788" spans="1:14" ht="10.050000000000001" hidden="1" customHeight="1">
      <c r="A1788" s="52" t="s">
        <v>306</v>
      </c>
      <c r="B1788" s="53">
        <v>2011</v>
      </c>
      <c r="C1788" s="52" t="s">
        <v>115</v>
      </c>
      <c r="D1788" s="54">
        <v>5</v>
      </c>
      <c r="E1788" s="55">
        <v>4210.3</v>
      </c>
      <c r="F1788" s="55">
        <v>0</v>
      </c>
      <c r="G1788" s="55">
        <v>4210.3</v>
      </c>
      <c r="H1788" s="55">
        <v>51332.9</v>
      </c>
      <c r="I1788" s="55">
        <v>3662.9</v>
      </c>
      <c r="J1788" s="55">
        <v>54995.8</v>
      </c>
      <c r="K1788" s="55">
        <v>2271.4</v>
      </c>
      <c r="L1788" s="55">
        <v>292.60000000000002</v>
      </c>
      <c r="M1788" s="55">
        <v>1332.3</v>
      </c>
      <c r="N1788" s="55">
        <v>380.3</v>
      </c>
    </row>
    <row r="1789" spans="1:14" ht="10.050000000000001" hidden="1" customHeight="1">
      <c r="A1789" s="52" t="s">
        <v>172</v>
      </c>
      <c r="B1789" s="53">
        <v>2011</v>
      </c>
      <c r="C1789" s="52" t="s">
        <v>115</v>
      </c>
      <c r="D1789" s="54">
        <v>5</v>
      </c>
      <c r="E1789" s="55">
        <v>118658.5</v>
      </c>
      <c r="F1789" s="55">
        <v>114.3</v>
      </c>
      <c r="G1789" s="55">
        <v>118772.8</v>
      </c>
      <c r="H1789" s="55">
        <v>312165.7</v>
      </c>
      <c r="I1789" s="55">
        <v>9668.2000000000007</v>
      </c>
      <c r="J1789" s="55">
        <v>321833.90000000002</v>
      </c>
      <c r="K1789" s="55">
        <v>35819</v>
      </c>
      <c r="L1789" s="55">
        <v>8900.1</v>
      </c>
      <c r="M1789" s="55">
        <v>38371.1</v>
      </c>
      <c r="N1789" s="55">
        <v>1161.2</v>
      </c>
    </row>
    <row r="1790" spans="1:14" ht="10.050000000000001" hidden="1" customHeight="1">
      <c r="A1790" s="52" t="s">
        <v>171</v>
      </c>
      <c r="B1790" s="53">
        <v>2011</v>
      </c>
      <c r="C1790" s="52" t="s">
        <v>115</v>
      </c>
      <c r="D1790" s="54">
        <v>5</v>
      </c>
      <c r="E1790" s="55">
        <v>832017.2</v>
      </c>
      <c r="F1790" s="55">
        <v>575.4</v>
      </c>
      <c r="G1790" s="55">
        <v>832592.6</v>
      </c>
      <c r="H1790" s="55">
        <v>3781701.6</v>
      </c>
      <c r="I1790" s="55">
        <v>81459.899999999994</v>
      </c>
      <c r="J1790" s="55">
        <v>3863161.5</v>
      </c>
      <c r="K1790" s="55">
        <v>218248.7</v>
      </c>
      <c r="L1790" s="55">
        <v>94970.4</v>
      </c>
      <c r="M1790" s="55">
        <v>432149.8</v>
      </c>
      <c r="N1790" s="55">
        <v>16154.9</v>
      </c>
    </row>
    <row r="1791" spans="1:14" ht="10.050000000000001" hidden="1" customHeight="1">
      <c r="A1791" s="52" t="s">
        <v>300</v>
      </c>
      <c r="B1791" s="53">
        <v>2011</v>
      </c>
      <c r="C1791" s="52" t="s">
        <v>115</v>
      </c>
      <c r="D1791" s="54">
        <v>5</v>
      </c>
      <c r="E1791" s="55">
        <v>207.7</v>
      </c>
      <c r="F1791" s="55">
        <v>0</v>
      </c>
      <c r="G1791" s="55">
        <v>207.7</v>
      </c>
      <c r="H1791" s="55">
        <v>2119.8000000000002</v>
      </c>
      <c r="I1791" s="55">
        <v>98.5</v>
      </c>
      <c r="J1791" s="55">
        <v>2218.3000000000002</v>
      </c>
      <c r="K1791" s="55">
        <v>0</v>
      </c>
      <c r="L1791" s="55">
        <v>0</v>
      </c>
      <c r="M1791" s="55">
        <v>0</v>
      </c>
      <c r="N1791" s="55">
        <v>0</v>
      </c>
    </row>
    <row r="1792" spans="1:14" ht="10.050000000000001" hidden="1" customHeight="1">
      <c r="A1792" s="52" t="s">
        <v>307</v>
      </c>
      <c r="B1792" s="53">
        <v>2011</v>
      </c>
      <c r="C1792" s="52" t="s">
        <v>115</v>
      </c>
      <c r="D1792" s="54">
        <v>5</v>
      </c>
      <c r="E1792" s="55">
        <v>341759.6</v>
      </c>
      <c r="F1792" s="55">
        <v>45</v>
      </c>
      <c r="G1792" s="55">
        <v>341804.6</v>
      </c>
      <c r="H1792" s="55">
        <v>2766001.5</v>
      </c>
      <c r="I1792" s="55">
        <v>69484.5</v>
      </c>
      <c r="J1792" s="55">
        <v>2835486</v>
      </c>
      <c r="K1792" s="55">
        <v>571814.19999999995</v>
      </c>
      <c r="L1792" s="55">
        <v>33222.6</v>
      </c>
      <c r="M1792" s="55">
        <v>183024.2</v>
      </c>
      <c r="N1792" s="55">
        <v>42327.199999999997</v>
      </c>
    </row>
    <row r="1793" spans="1:14" ht="10.050000000000001" hidden="1" customHeight="1">
      <c r="A1793" s="52" t="s">
        <v>315</v>
      </c>
      <c r="B1793" s="53">
        <v>2011</v>
      </c>
      <c r="C1793" s="52" t="s">
        <v>115</v>
      </c>
      <c r="D1793" s="54">
        <v>5</v>
      </c>
      <c r="E1793" s="55">
        <v>889</v>
      </c>
      <c r="F1793" s="55">
        <v>0</v>
      </c>
      <c r="G1793" s="55">
        <v>889</v>
      </c>
      <c r="H1793" s="55">
        <v>5755.6</v>
      </c>
      <c r="I1793" s="55">
        <v>0</v>
      </c>
      <c r="J1793" s="55">
        <v>5755.6</v>
      </c>
      <c r="K1793" s="55">
        <v>154.4</v>
      </c>
      <c r="L1793" s="55">
        <v>22.6</v>
      </c>
      <c r="M1793" s="55">
        <v>178</v>
      </c>
      <c r="N1793" s="55">
        <v>0</v>
      </c>
    </row>
    <row r="1794" spans="1:14" ht="10.050000000000001" hidden="1" customHeight="1">
      <c r="A1794" s="52" t="s">
        <v>173</v>
      </c>
      <c r="B1794" s="53">
        <v>2011</v>
      </c>
      <c r="C1794" s="52" t="s">
        <v>115</v>
      </c>
      <c r="D1794" s="54">
        <v>5</v>
      </c>
      <c r="E1794" s="55">
        <v>128322.2</v>
      </c>
      <c r="F1794" s="55">
        <v>526.9</v>
      </c>
      <c r="G1794" s="55">
        <v>128849.1</v>
      </c>
      <c r="H1794" s="55">
        <v>1696389.7</v>
      </c>
      <c r="I1794" s="55">
        <v>34799.4</v>
      </c>
      <c r="J1794" s="55">
        <v>1731189.1</v>
      </c>
      <c r="K1794" s="55">
        <v>58885.8</v>
      </c>
      <c r="L1794" s="55">
        <v>10178</v>
      </c>
      <c r="M1794" s="55">
        <v>59059.3</v>
      </c>
      <c r="N1794" s="55">
        <v>10178.1</v>
      </c>
    </row>
    <row r="1795" spans="1:14" ht="10.050000000000001" customHeight="1">
      <c r="A1795" s="52" t="s">
        <v>309</v>
      </c>
      <c r="B1795" s="53">
        <v>2011</v>
      </c>
      <c r="C1795" s="52" t="s">
        <v>115</v>
      </c>
      <c r="D1795" s="54">
        <v>5</v>
      </c>
      <c r="E1795" s="55">
        <v>862.8</v>
      </c>
      <c r="F1795" s="55">
        <v>0</v>
      </c>
      <c r="G1795" s="55">
        <v>862.8</v>
      </c>
      <c r="H1795" s="55">
        <v>31075</v>
      </c>
      <c r="I1795" s="55">
        <v>0</v>
      </c>
      <c r="J1795" s="55">
        <v>31075</v>
      </c>
      <c r="K1795" s="55">
        <v>790.4</v>
      </c>
      <c r="L1795" s="55">
        <v>0</v>
      </c>
      <c r="M1795" s="55">
        <v>525.70000000000005</v>
      </c>
      <c r="N1795" s="55">
        <v>75.400000000000006</v>
      </c>
    </row>
    <row r="1796" spans="1:14" ht="10.050000000000001" hidden="1" customHeight="1">
      <c r="A1796" s="52" t="s">
        <v>316</v>
      </c>
      <c r="B1796" s="53">
        <v>2011</v>
      </c>
      <c r="C1796" s="52" t="s">
        <v>115</v>
      </c>
      <c r="D1796" s="54">
        <v>5</v>
      </c>
      <c r="E1796" s="55">
        <v>60.1</v>
      </c>
      <c r="F1796" s="55">
        <v>0</v>
      </c>
      <c r="G1796" s="55">
        <v>60.1</v>
      </c>
      <c r="H1796" s="55">
        <v>2502.1999999999998</v>
      </c>
      <c r="I1796" s="55">
        <v>51.8</v>
      </c>
      <c r="J1796" s="55">
        <v>2554</v>
      </c>
      <c r="K1796" s="55">
        <v>0.1</v>
      </c>
      <c r="L1796" s="55">
        <v>0</v>
      </c>
      <c r="M1796" s="55">
        <v>2</v>
      </c>
      <c r="N1796" s="55">
        <v>0</v>
      </c>
    </row>
    <row r="1797" spans="1:14" ht="10.050000000000001" hidden="1" customHeight="1">
      <c r="A1797" s="52" t="s">
        <v>310</v>
      </c>
      <c r="B1797" s="53">
        <v>2011</v>
      </c>
      <c r="C1797" s="52" t="s">
        <v>115</v>
      </c>
      <c r="D1797" s="54">
        <v>5</v>
      </c>
      <c r="E1797" s="55">
        <v>2111.9</v>
      </c>
      <c r="F1797" s="55">
        <v>0</v>
      </c>
      <c r="G1797" s="55">
        <v>2111.9</v>
      </c>
      <c r="H1797" s="55">
        <v>24926.5</v>
      </c>
      <c r="I1797" s="55">
        <v>464.2</v>
      </c>
      <c r="J1797" s="55">
        <v>25390.7</v>
      </c>
      <c r="K1797" s="55">
        <v>706.8</v>
      </c>
      <c r="L1797" s="55">
        <v>93.5</v>
      </c>
      <c r="M1797" s="55">
        <v>224.4</v>
      </c>
      <c r="N1797" s="55">
        <v>107.7</v>
      </c>
    </row>
    <row r="1798" spans="1:14" ht="10.050000000000001" hidden="1" customHeight="1">
      <c r="A1798" s="52" t="s">
        <v>308</v>
      </c>
      <c r="B1798" s="53">
        <v>2011</v>
      </c>
      <c r="C1798" s="52" t="s">
        <v>115</v>
      </c>
      <c r="D1798" s="54">
        <v>5</v>
      </c>
      <c r="E1798" s="55">
        <v>2328.8000000000002</v>
      </c>
      <c r="F1798" s="55">
        <v>6.4</v>
      </c>
      <c r="G1798" s="55">
        <v>2335.1999999999998</v>
      </c>
      <c r="H1798" s="55">
        <v>31212.5</v>
      </c>
      <c r="I1798" s="55">
        <v>362.1</v>
      </c>
      <c r="J1798" s="55">
        <v>31574.6</v>
      </c>
      <c r="K1798" s="55">
        <v>1293</v>
      </c>
      <c r="L1798" s="55">
        <v>2.6</v>
      </c>
      <c r="M1798" s="55">
        <v>836.9</v>
      </c>
      <c r="N1798" s="55">
        <v>321.2</v>
      </c>
    </row>
    <row r="1799" spans="1:14" ht="10.050000000000001" hidden="1" customHeight="1">
      <c r="A1799" s="52" t="s">
        <v>174</v>
      </c>
      <c r="B1799" s="53">
        <v>2011</v>
      </c>
      <c r="C1799" s="52" t="s">
        <v>115</v>
      </c>
      <c r="D1799" s="54">
        <v>5</v>
      </c>
      <c r="E1799" s="55">
        <v>8048.5</v>
      </c>
      <c r="F1799" s="55">
        <v>42.9</v>
      </c>
      <c r="G1799" s="55">
        <v>8091.4</v>
      </c>
      <c r="H1799" s="55">
        <v>97439.9</v>
      </c>
      <c r="I1799" s="55">
        <v>9732.1</v>
      </c>
      <c r="J1799" s="55">
        <v>107172</v>
      </c>
      <c r="K1799" s="55">
        <v>23263.3</v>
      </c>
      <c r="L1799" s="55">
        <v>1579.5</v>
      </c>
      <c r="M1799" s="55">
        <v>4855.5</v>
      </c>
      <c r="N1799" s="55">
        <v>5406.6</v>
      </c>
    </row>
    <row r="1800" spans="1:14" ht="10.050000000000001" hidden="1" customHeight="1">
      <c r="A1800" s="52" t="s">
        <v>314</v>
      </c>
      <c r="B1800" s="53">
        <v>2011</v>
      </c>
      <c r="C1800" s="52" t="s">
        <v>115</v>
      </c>
      <c r="D1800" s="54">
        <v>6</v>
      </c>
      <c r="E1800" s="55">
        <v>40.4</v>
      </c>
      <c r="F1800" s="55">
        <v>0</v>
      </c>
      <c r="G1800" s="55">
        <v>40.4</v>
      </c>
      <c r="H1800" s="55">
        <v>3.3</v>
      </c>
      <c r="I1800" s="55">
        <v>0</v>
      </c>
      <c r="J1800" s="55">
        <v>3.3</v>
      </c>
      <c r="K1800" s="55">
        <v>0</v>
      </c>
      <c r="L1800" s="55">
        <v>0</v>
      </c>
      <c r="M1800" s="55">
        <v>0</v>
      </c>
      <c r="N1800" s="55">
        <v>0</v>
      </c>
    </row>
    <row r="1801" spans="1:14" ht="10.050000000000001" hidden="1" customHeight="1">
      <c r="A1801" s="52" t="s">
        <v>306</v>
      </c>
      <c r="B1801" s="53">
        <v>2011</v>
      </c>
      <c r="C1801" s="52" t="s">
        <v>115</v>
      </c>
      <c r="D1801" s="54">
        <v>6</v>
      </c>
      <c r="E1801" s="55">
        <v>4029.1</v>
      </c>
      <c r="F1801" s="55">
        <v>461.2</v>
      </c>
      <c r="G1801" s="55">
        <v>4490.3</v>
      </c>
      <c r="H1801" s="55">
        <v>30342.5</v>
      </c>
      <c r="I1801" s="55">
        <v>2643.7</v>
      </c>
      <c r="J1801" s="55">
        <v>32986.199999999997</v>
      </c>
      <c r="K1801" s="55">
        <v>1331.4</v>
      </c>
      <c r="L1801" s="55">
        <v>384</v>
      </c>
      <c r="M1801" s="55">
        <v>912.50000000000102</v>
      </c>
      <c r="N1801" s="55">
        <v>414</v>
      </c>
    </row>
    <row r="1802" spans="1:14" ht="10.050000000000001" hidden="1" customHeight="1">
      <c r="A1802" s="52" t="s">
        <v>172</v>
      </c>
      <c r="B1802" s="53">
        <v>2011</v>
      </c>
      <c r="C1802" s="52" t="s">
        <v>115</v>
      </c>
      <c r="D1802" s="54">
        <v>6</v>
      </c>
      <c r="E1802" s="55">
        <v>70305.399999999994</v>
      </c>
      <c r="F1802" s="55">
        <v>0.2</v>
      </c>
      <c r="G1802" s="55">
        <v>70305.600000000006</v>
      </c>
      <c r="H1802" s="55">
        <v>227518.9</v>
      </c>
      <c r="I1802" s="55">
        <v>5769.5</v>
      </c>
      <c r="J1802" s="55">
        <v>233288.4</v>
      </c>
      <c r="K1802" s="55">
        <v>19101.3</v>
      </c>
      <c r="L1802" s="55">
        <v>6663.2</v>
      </c>
      <c r="M1802" s="55">
        <v>22428.3</v>
      </c>
      <c r="N1802" s="55">
        <v>1039.5999999999999</v>
      </c>
    </row>
    <row r="1803" spans="1:14" ht="10.050000000000001" hidden="1" customHeight="1">
      <c r="A1803" s="52" t="s">
        <v>171</v>
      </c>
      <c r="B1803" s="53">
        <v>2011</v>
      </c>
      <c r="C1803" s="52" t="s">
        <v>115</v>
      </c>
      <c r="D1803" s="54">
        <v>6</v>
      </c>
      <c r="E1803" s="55">
        <v>393667.8</v>
      </c>
      <c r="F1803" s="55">
        <v>10072.200000000001</v>
      </c>
      <c r="G1803" s="55">
        <v>403740</v>
      </c>
      <c r="H1803" s="55">
        <v>1998537.7</v>
      </c>
      <c r="I1803" s="55">
        <v>39847.599999999999</v>
      </c>
      <c r="J1803" s="55">
        <v>2038385.3</v>
      </c>
      <c r="K1803" s="55">
        <v>79630.100000000006</v>
      </c>
      <c r="L1803" s="55">
        <v>50319.4</v>
      </c>
      <c r="M1803" s="55">
        <v>166145.20000000001</v>
      </c>
      <c r="N1803" s="55">
        <v>22811.8</v>
      </c>
    </row>
    <row r="1804" spans="1:14" ht="10.050000000000001" hidden="1" customHeight="1">
      <c r="A1804" s="52" t="s">
        <v>300</v>
      </c>
      <c r="B1804" s="53">
        <v>2011</v>
      </c>
      <c r="C1804" s="52" t="s">
        <v>115</v>
      </c>
      <c r="D1804" s="54">
        <v>6</v>
      </c>
      <c r="E1804" s="55">
        <v>399.6</v>
      </c>
      <c r="F1804" s="55">
        <v>251.1</v>
      </c>
      <c r="G1804" s="55">
        <v>650.70000000000005</v>
      </c>
      <c r="H1804" s="55">
        <v>1375.2</v>
      </c>
      <c r="I1804" s="55">
        <v>47</v>
      </c>
      <c r="J1804" s="55">
        <v>1422.2</v>
      </c>
      <c r="K1804" s="55">
        <v>0</v>
      </c>
      <c r="L1804" s="55">
        <v>0</v>
      </c>
      <c r="M1804" s="55">
        <v>0</v>
      </c>
      <c r="N1804" s="55">
        <v>0</v>
      </c>
    </row>
    <row r="1805" spans="1:14" ht="10.050000000000001" hidden="1" customHeight="1">
      <c r="A1805" s="52" t="s">
        <v>307</v>
      </c>
      <c r="B1805" s="53">
        <v>2011</v>
      </c>
      <c r="C1805" s="52" t="s">
        <v>115</v>
      </c>
      <c r="D1805" s="54">
        <v>6</v>
      </c>
      <c r="E1805" s="55">
        <v>509478.2</v>
      </c>
      <c r="F1805" s="55">
        <v>1170.8</v>
      </c>
      <c r="G1805" s="55">
        <v>510649</v>
      </c>
      <c r="H1805" s="55">
        <v>2046524.5</v>
      </c>
      <c r="I1805" s="55">
        <v>31485.8</v>
      </c>
      <c r="J1805" s="55">
        <v>2078010.3</v>
      </c>
      <c r="K1805" s="55">
        <v>230269.1</v>
      </c>
      <c r="L1805" s="55">
        <v>21435.1</v>
      </c>
      <c r="M1805" s="55">
        <v>322489</v>
      </c>
      <c r="N1805" s="55">
        <v>40553.199999999997</v>
      </c>
    </row>
    <row r="1806" spans="1:14" ht="10.050000000000001" hidden="1" customHeight="1">
      <c r="A1806" s="52" t="s">
        <v>315</v>
      </c>
      <c r="B1806" s="53">
        <v>2011</v>
      </c>
      <c r="C1806" s="52" t="s">
        <v>115</v>
      </c>
      <c r="D1806" s="54">
        <v>6</v>
      </c>
      <c r="E1806" s="55">
        <v>608</v>
      </c>
      <c r="F1806" s="55">
        <v>0</v>
      </c>
      <c r="G1806" s="55">
        <v>608</v>
      </c>
      <c r="H1806" s="55">
        <v>2765.6</v>
      </c>
      <c r="I1806" s="55">
        <v>1.5</v>
      </c>
      <c r="J1806" s="55">
        <v>2767.1</v>
      </c>
      <c r="K1806" s="55">
        <v>10.3</v>
      </c>
      <c r="L1806" s="55">
        <v>0</v>
      </c>
      <c r="M1806" s="55">
        <v>144.1</v>
      </c>
      <c r="N1806" s="55">
        <v>0</v>
      </c>
    </row>
    <row r="1807" spans="1:14" ht="10.050000000000001" hidden="1" customHeight="1">
      <c r="A1807" s="52" t="s">
        <v>173</v>
      </c>
      <c r="B1807" s="53">
        <v>2011</v>
      </c>
      <c r="C1807" s="52" t="s">
        <v>115</v>
      </c>
      <c r="D1807" s="54">
        <v>6</v>
      </c>
      <c r="E1807" s="55">
        <v>72110.600000000006</v>
      </c>
      <c r="F1807" s="55">
        <v>5380.1</v>
      </c>
      <c r="G1807" s="55">
        <v>77490.7</v>
      </c>
      <c r="H1807" s="55">
        <v>960287.1</v>
      </c>
      <c r="I1807" s="55">
        <v>20755.5</v>
      </c>
      <c r="J1807" s="55">
        <v>981042.60000000102</v>
      </c>
      <c r="K1807" s="55">
        <v>82976.3</v>
      </c>
      <c r="L1807" s="55">
        <v>64671.7</v>
      </c>
      <c r="M1807" s="55">
        <v>26550.6</v>
      </c>
      <c r="N1807" s="55">
        <v>14111.3</v>
      </c>
    </row>
    <row r="1808" spans="1:14" ht="10.050000000000001" customHeight="1">
      <c r="A1808" s="52" t="s">
        <v>309</v>
      </c>
      <c r="B1808" s="53">
        <v>2011</v>
      </c>
      <c r="C1808" s="52" t="s">
        <v>115</v>
      </c>
      <c r="D1808" s="54">
        <v>6</v>
      </c>
      <c r="E1808" s="55">
        <v>154.9</v>
      </c>
      <c r="F1808" s="55">
        <v>0</v>
      </c>
      <c r="G1808" s="55">
        <v>154.9</v>
      </c>
      <c r="H1808" s="55">
        <v>24025.4</v>
      </c>
      <c r="I1808" s="55">
        <v>0</v>
      </c>
      <c r="J1808" s="55">
        <v>24025.4</v>
      </c>
      <c r="K1808" s="55">
        <v>790.4</v>
      </c>
      <c r="L1808" s="55">
        <v>0</v>
      </c>
      <c r="M1808" s="55">
        <v>0</v>
      </c>
      <c r="N1808" s="55">
        <v>0</v>
      </c>
    </row>
    <row r="1809" spans="1:14" ht="10.050000000000001" hidden="1" customHeight="1">
      <c r="A1809" s="52" t="s">
        <v>316</v>
      </c>
      <c r="B1809" s="53">
        <v>2011</v>
      </c>
      <c r="C1809" s="52" t="s">
        <v>115</v>
      </c>
      <c r="D1809" s="54">
        <v>6</v>
      </c>
      <c r="E1809" s="55">
        <v>725.2</v>
      </c>
      <c r="F1809" s="55">
        <v>0</v>
      </c>
      <c r="G1809" s="55">
        <v>725.2</v>
      </c>
      <c r="H1809" s="55">
        <v>1682.5</v>
      </c>
      <c r="I1809" s="55">
        <v>0</v>
      </c>
      <c r="J1809" s="55">
        <v>1682.5</v>
      </c>
      <c r="K1809" s="55">
        <v>1.8</v>
      </c>
      <c r="L1809" s="55">
        <v>8.1</v>
      </c>
      <c r="M1809" s="55">
        <v>0.1</v>
      </c>
      <c r="N1809" s="55">
        <v>6.3</v>
      </c>
    </row>
    <row r="1810" spans="1:14" ht="10.050000000000001" hidden="1" customHeight="1">
      <c r="A1810" s="52" t="s">
        <v>310</v>
      </c>
      <c r="B1810" s="53">
        <v>2011</v>
      </c>
      <c r="C1810" s="52" t="s">
        <v>115</v>
      </c>
      <c r="D1810" s="54">
        <v>6</v>
      </c>
      <c r="E1810" s="55">
        <v>989.7</v>
      </c>
      <c r="F1810" s="55">
        <v>0</v>
      </c>
      <c r="G1810" s="55">
        <v>989.7</v>
      </c>
      <c r="H1810" s="55">
        <v>17900.099999999999</v>
      </c>
      <c r="I1810" s="55">
        <v>275.39999999999998</v>
      </c>
      <c r="J1810" s="55">
        <v>18175.5</v>
      </c>
      <c r="K1810" s="55">
        <v>356.4</v>
      </c>
      <c r="L1810" s="55">
        <v>30.9</v>
      </c>
      <c r="M1810" s="55">
        <v>175.9</v>
      </c>
      <c r="N1810" s="55">
        <v>205.4</v>
      </c>
    </row>
    <row r="1811" spans="1:14" ht="10.050000000000001" hidden="1" customHeight="1">
      <c r="A1811" s="52" t="s">
        <v>308</v>
      </c>
      <c r="B1811" s="53">
        <v>2011</v>
      </c>
      <c r="C1811" s="52" t="s">
        <v>115</v>
      </c>
      <c r="D1811" s="54">
        <v>6</v>
      </c>
      <c r="E1811" s="55">
        <v>1010.5</v>
      </c>
      <c r="F1811" s="55">
        <v>0</v>
      </c>
      <c r="G1811" s="55">
        <v>1010.5</v>
      </c>
      <c r="H1811" s="55">
        <v>21253.200000000001</v>
      </c>
      <c r="I1811" s="55">
        <v>121.5</v>
      </c>
      <c r="J1811" s="55">
        <v>21374.7</v>
      </c>
      <c r="K1811" s="55">
        <v>897</v>
      </c>
      <c r="L1811" s="55">
        <v>-15.1</v>
      </c>
      <c r="M1811" s="55">
        <v>277.2</v>
      </c>
      <c r="N1811" s="55">
        <v>103.7</v>
      </c>
    </row>
    <row r="1812" spans="1:14" ht="10.050000000000001" hidden="1" customHeight="1">
      <c r="A1812" s="52" t="s">
        <v>174</v>
      </c>
      <c r="B1812" s="53">
        <v>2011</v>
      </c>
      <c r="C1812" s="52" t="s">
        <v>115</v>
      </c>
      <c r="D1812" s="54">
        <v>6</v>
      </c>
      <c r="E1812" s="55">
        <v>11089.3</v>
      </c>
      <c r="F1812" s="55">
        <v>1116.9000000000001</v>
      </c>
      <c r="G1812" s="55">
        <v>12206.2</v>
      </c>
      <c r="H1812" s="55">
        <v>48815.4</v>
      </c>
      <c r="I1812" s="55">
        <v>4383.6000000000004</v>
      </c>
      <c r="J1812" s="55">
        <v>53199</v>
      </c>
      <c r="K1812" s="55">
        <v>11423.6</v>
      </c>
      <c r="L1812" s="55">
        <v>1032.2</v>
      </c>
      <c r="M1812" s="55">
        <v>3890.7</v>
      </c>
      <c r="N1812" s="55">
        <v>8981.2000000000007</v>
      </c>
    </row>
    <row r="1813" spans="1:14" ht="10.050000000000001" hidden="1" customHeight="1">
      <c r="A1813" s="52" t="s">
        <v>171</v>
      </c>
      <c r="B1813" s="53">
        <v>2011</v>
      </c>
      <c r="C1813" s="52" t="s">
        <v>116</v>
      </c>
      <c r="D1813" s="54">
        <v>1</v>
      </c>
      <c r="E1813" s="55">
        <v>4.2</v>
      </c>
      <c r="F1813" s="55">
        <v>0</v>
      </c>
      <c r="G1813" s="55">
        <v>4.2</v>
      </c>
      <c r="H1813" s="55">
        <v>33.299999999999997</v>
      </c>
      <c r="I1813" s="55">
        <v>0</v>
      </c>
      <c r="J1813" s="55">
        <v>33.299999999999997</v>
      </c>
      <c r="K1813" s="55">
        <v>0</v>
      </c>
      <c r="L1813" s="55">
        <v>0</v>
      </c>
      <c r="M1813" s="55">
        <v>0</v>
      </c>
      <c r="N1813" s="55">
        <v>0</v>
      </c>
    </row>
    <row r="1814" spans="1:14" ht="10.050000000000001" hidden="1" customHeight="1">
      <c r="A1814" s="52" t="s">
        <v>306</v>
      </c>
      <c r="B1814" s="53">
        <v>2011</v>
      </c>
      <c r="C1814" s="52" t="s">
        <v>116</v>
      </c>
      <c r="D1814" s="54">
        <v>4</v>
      </c>
      <c r="E1814" s="55">
        <v>0</v>
      </c>
      <c r="F1814" s="55">
        <v>0</v>
      </c>
      <c r="G1814" s="55">
        <v>0</v>
      </c>
      <c r="H1814" s="55">
        <v>3.3</v>
      </c>
      <c r="I1814" s="55">
        <v>0</v>
      </c>
      <c r="J1814" s="55">
        <v>3.3</v>
      </c>
      <c r="K1814" s="55">
        <v>0</v>
      </c>
      <c r="L1814" s="55">
        <v>0</v>
      </c>
      <c r="M1814" s="55">
        <v>0</v>
      </c>
      <c r="N1814" s="55">
        <v>0</v>
      </c>
    </row>
    <row r="1815" spans="1:14" ht="10.050000000000001" hidden="1" customHeight="1">
      <c r="A1815" s="52" t="s">
        <v>172</v>
      </c>
      <c r="B1815" s="53">
        <v>2011</v>
      </c>
      <c r="C1815" s="52" t="s">
        <v>116</v>
      </c>
      <c r="D1815" s="54">
        <v>4</v>
      </c>
      <c r="E1815" s="55">
        <v>590</v>
      </c>
      <c r="F1815" s="55">
        <v>0</v>
      </c>
      <c r="G1815" s="55">
        <v>590</v>
      </c>
      <c r="H1815" s="55">
        <v>590</v>
      </c>
      <c r="I1815" s="55">
        <v>0</v>
      </c>
      <c r="J1815" s="55">
        <v>590</v>
      </c>
      <c r="K1815" s="55">
        <v>0</v>
      </c>
      <c r="L1815" s="55">
        <v>0</v>
      </c>
      <c r="M1815" s="55">
        <v>0</v>
      </c>
      <c r="N1815" s="55">
        <v>0</v>
      </c>
    </row>
    <row r="1816" spans="1:14" ht="10.050000000000001" hidden="1" customHeight="1">
      <c r="A1816" s="52" t="s">
        <v>171</v>
      </c>
      <c r="B1816" s="53">
        <v>2011</v>
      </c>
      <c r="C1816" s="52" t="s">
        <v>116</v>
      </c>
      <c r="D1816" s="54">
        <v>4</v>
      </c>
      <c r="E1816" s="55">
        <v>1306</v>
      </c>
      <c r="F1816" s="55">
        <v>0</v>
      </c>
      <c r="G1816" s="55">
        <v>1306</v>
      </c>
      <c r="H1816" s="55">
        <v>0</v>
      </c>
      <c r="I1816" s="55">
        <v>0</v>
      </c>
      <c r="J1816" s="55">
        <v>0</v>
      </c>
      <c r="K1816" s="55">
        <v>0</v>
      </c>
      <c r="L1816" s="55">
        <v>0</v>
      </c>
      <c r="M1816" s="55">
        <v>0</v>
      </c>
      <c r="N1816" s="55">
        <v>0</v>
      </c>
    </row>
    <row r="1817" spans="1:14" ht="10.050000000000001" hidden="1" customHeight="1">
      <c r="A1817" s="52" t="s">
        <v>307</v>
      </c>
      <c r="B1817" s="53">
        <v>2011</v>
      </c>
      <c r="C1817" s="52" t="s">
        <v>116</v>
      </c>
      <c r="D1817" s="54">
        <v>4</v>
      </c>
      <c r="E1817" s="55">
        <v>411.2</v>
      </c>
      <c r="F1817" s="55">
        <v>0</v>
      </c>
      <c r="G1817" s="55">
        <v>411.2</v>
      </c>
      <c r="H1817" s="55">
        <v>78.099999999999994</v>
      </c>
      <c r="I1817" s="55">
        <v>0</v>
      </c>
      <c r="J1817" s="55">
        <v>78.099999999999994</v>
      </c>
      <c r="K1817" s="55">
        <v>0</v>
      </c>
      <c r="L1817" s="55">
        <v>0</v>
      </c>
      <c r="M1817" s="55">
        <v>0</v>
      </c>
      <c r="N1817" s="55">
        <v>0</v>
      </c>
    </row>
    <row r="1818" spans="1:14" ht="10.050000000000001" hidden="1" customHeight="1">
      <c r="A1818" s="52" t="s">
        <v>173</v>
      </c>
      <c r="B1818" s="53">
        <v>2011</v>
      </c>
      <c r="C1818" s="52" t="s">
        <v>116</v>
      </c>
      <c r="D1818" s="54">
        <v>4</v>
      </c>
      <c r="E1818" s="55">
        <v>51.5</v>
      </c>
      <c r="F1818" s="55">
        <v>0</v>
      </c>
      <c r="G1818" s="55">
        <v>51.5</v>
      </c>
      <c r="H1818" s="55">
        <v>0</v>
      </c>
      <c r="I1818" s="55">
        <v>0</v>
      </c>
      <c r="J1818" s="55">
        <v>0</v>
      </c>
      <c r="K1818" s="55">
        <v>0</v>
      </c>
      <c r="L1818" s="55">
        <v>0</v>
      </c>
      <c r="M1818" s="55">
        <v>0</v>
      </c>
      <c r="N1818" s="55">
        <v>0</v>
      </c>
    </row>
    <row r="1819" spans="1:14" ht="10.050000000000001" hidden="1" customHeight="1">
      <c r="A1819" s="52" t="s">
        <v>308</v>
      </c>
      <c r="B1819" s="53">
        <v>2011</v>
      </c>
      <c r="C1819" s="52" t="s">
        <v>116</v>
      </c>
      <c r="D1819" s="54">
        <v>4</v>
      </c>
      <c r="E1819" s="55">
        <v>0</v>
      </c>
      <c r="F1819" s="55">
        <v>0</v>
      </c>
      <c r="G1819" s="55">
        <v>0</v>
      </c>
      <c r="H1819" s="55">
        <v>8.5</v>
      </c>
      <c r="I1819" s="55">
        <v>0</v>
      </c>
      <c r="J1819" s="55">
        <v>8.5</v>
      </c>
      <c r="K1819" s="55">
        <v>0</v>
      </c>
      <c r="L1819" s="55">
        <v>0</v>
      </c>
      <c r="M1819" s="55">
        <v>0</v>
      </c>
      <c r="N1819" s="55">
        <v>0</v>
      </c>
    </row>
    <row r="1820" spans="1:14" ht="10.050000000000001" hidden="1" customHeight="1">
      <c r="A1820" s="52" t="s">
        <v>174</v>
      </c>
      <c r="B1820" s="53">
        <v>2011</v>
      </c>
      <c r="C1820" s="52" t="s">
        <v>116</v>
      </c>
      <c r="D1820" s="54">
        <v>4</v>
      </c>
      <c r="E1820" s="55">
        <v>93.2</v>
      </c>
      <c r="F1820" s="55">
        <v>0</v>
      </c>
      <c r="G1820" s="55">
        <v>93.2</v>
      </c>
      <c r="H1820" s="55">
        <v>22.4</v>
      </c>
      <c r="I1820" s="55">
        <v>0</v>
      </c>
      <c r="J1820" s="55">
        <v>22.4</v>
      </c>
      <c r="K1820" s="55">
        <v>0</v>
      </c>
      <c r="L1820" s="55">
        <v>0</v>
      </c>
      <c r="M1820" s="55">
        <v>0</v>
      </c>
      <c r="N1820" s="55">
        <v>0</v>
      </c>
    </row>
    <row r="1821" spans="1:14" ht="10.050000000000001" hidden="1" customHeight="1">
      <c r="A1821" s="52" t="s">
        <v>172</v>
      </c>
      <c r="B1821" s="53">
        <v>2011</v>
      </c>
      <c r="C1821" s="52" t="s">
        <v>116</v>
      </c>
      <c r="D1821" s="54">
        <v>5</v>
      </c>
      <c r="E1821" s="55">
        <v>197.8</v>
      </c>
      <c r="F1821" s="55">
        <v>0</v>
      </c>
      <c r="G1821" s="55">
        <v>197.8</v>
      </c>
      <c r="H1821" s="55">
        <v>0</v>
      </c>
      <c r="I1821" s="55">
        <v>0</v>
      </c>
      <c r="J1821" s="55">
        <v>0</v>
      </c>
      <c r="K1821" s="55">
        <v>0</v>
      </c>
      <c r="L1821" s="55">
        <v>0</v>
      </c>
      <c r="M1821" s="55">
        <v>0</v>
      </c>
      <c r="N1821" s="55">
        <v>0</v>
      </c>
    </row>
    <row r="1822" spans="1:14" ht="10.050000000000001" hidden="1" customHeight="1">
      <c r="A1822" s="52" t="s">
        <v>171</v>
      </c>
      <c r="B1822" s="53">
        <v>2011</v>
      </c>
      <c r="C1822" s="52" t="s">
        <v>116</v>
      </c>
      <c r="D1822" s="54">
        <v>5</v>
      </c>
      <c r="E1822" s="55">
        <v>193.3</v>
      </c>
      <c r="F1822" s="55">
        <v>0</v>
      </c>
      <c r="G1822" s="55">
        <v>193.3</v>
      </c>
      <c r="H1822" s="55">
        <v>0</v>
      </c>
      <c r="I1822" s="55">
        <v>0</v>
      </c>
      <c r="J1822" s="55">
        <v>0</v>
      </c>
      <c r="K1822" s="55">
        <v>0</v>
      </c>
      <c r="L1822" s="55">
        <v>0</v>
      </c>
      <c r="M1822" s="55">
        <v>0</v>
      </c>
      <c r="N1822" s="55">
        <v>0</v>
      </c>
    </row>
    <row r="1823" spans="1:14" ht="10.050000000000001" hidden="1" customHeight="1">
      <c r="A1823" s="52" t="s">
        <v>173</v>
      </c>
      <c r="B1823" s="53">
        <v>2011</v>
      </c>
      <c r="C1823" s="52" t="s">
        <v>116</v>
      </c>
      <c r="D1823" s="54">
        <v>5</v>
      </c>
      <c r="E1823" s="55">
        <v>3.1</v>
      </c>
      <c r="F1823" s="55">
        <v>0</v>
      </c>
      <c r="G1823" s="55">
        <v>3.1</v>
      </c>
      <c r="H1823" s="55">
        <v>0</v>
      </c>
      <c r="I1823" s="55">
        <v>0</v>
      </c>
      <c r="J1823" s="55">
        <v>0</v>
      </c>
      <c r="K1823" s="55">
        <v>0</v>
      </c>
      <c r="L1823" s="55">
        <v>0</v>
      </c>
      <c r="M1823" s="55">
        <v>0</v>
      </c>
      <c r="N1823" s="55">
        <v>0</v>
      </c>
    </row>
    <row r="1824" spans="1:14" ht="10.050000000000001" hidden="1" customHeight="1">
      <c r="A1824" s="52" t="s">
        <v>314</v>
      </c>
      <c r="B1824" s="53">
        <v>2011</v>
      </c>
      <c r="C1824" s="52" t="s">
        <v>116</v>
      </c>
      <c r="D1824" s="54">
        <v>7</v>
      </c>
      <c r="E1824" s="55">
        <v>24.9</v>
      </c>
      <c r="F1824" s="55">
        <v>0</v>
      </c>
      <c r="G1824" s="55">
        <v>24.9</v>
      </c>
      <c r="H1824" s="55">
        <v>3.3</v>
      </c>
      <c r="I1824" s="55">
        <v>0</v>
      </c>
      <c r="J1824" s="55">
        <v>3.3</v>
      </c>
      <c r="K1824" s="55">
        <v>13.6</v>
      </c>
      <c r="L1824" s="55">
        <v>13.6</v>
      </c>
      <c r="M1824" s="55">
        <v>0</v>
      </c>
      <c r="N1824" s="55">
        <v>0</v>
      </c>
    </row>
    <row r="1825" spans="1:14" ht="10.050000000000001" hidden="1" customHeight="1">
      <c r="A1825" s="52" t="s">
        <v>306</v>
      </c>
      <c r="B1825" s="53">
        <v>2011</v>
      </c>
      <c r="C1825" s="52" t="s">
        <v>116</v>
      </c>
      <c r="D1825" s="54">
        <v>7</v>
      </c>
      <c r="E1825" s="55">
        <v>57182.1</v>
      </c>
      <c r="F1825" s="55">
        <v>1753.5</v>
      </c>
      <c r="G1825" s="55">
        <v>58935.6</v>
      </c>
      <c r="H1825" s="55">
        <v>72516.800000000003</v>
      </c>
      <c r="I1825" s="55">
        <v>3596.2</v>
      </c>
      <c r="J1825" s="55">
        <v>76113</v>
      </c>
      <c r="K1825" s="55">
        <v>15147.1</v>
      </c>
      <c r="L1825" s="55">
        <v>16740.099999999999</v>
      </c>
      <c r="M1825" s="55">
        <v>2613.6</v>
      </c>
      <c r="N1825" s="55">
        <v>308.60000000000002</v>
      </c>
    </row>
    <row r="1826" spans="1:14" ht="10.050000000000001" hidden="1" customHeight="1">
      <c r="A1826" s="52" t="s">
        <v>172</v>
      </c>
      <c r="B1826" s="53">
        <v>2011</v>
      </c>
      <c r="C1826" s="52" t="s">
        <v>116</v>
      </c>
      <c r="D1826" s="54">
        <v>7</v>
      </c>
      <c r="E1826" s="55">
        <v>837906.5</v>
      </c>
      <c r="F1826" s="55">
        <v>44403.7</v>
      </c>
      <c r="G1826" s="55">
        <v>882310.2</v>
      </c>
      <c r="H1826" s="55">
        <v>971032.7</v>
      </c>
      <c r="I1826" s="55">
        <v>36629.599999999999</v>
      </c>
      <c r="J1826" s="55">
        <v>1007662.3</v>
      </c>
      <c r="K1826" s="55">
        <v>386540</v>
      </c>
      <c r="L1826" s="55">
        <v>418944.4</v>
      </c>
      <c r="M1826" s="55">
        <v>48505.1</v>
      </c>
      <c r="N1826" s="55">
        <v>2212.4</v>
      </c>
    </row>
    <row r="1827" spans="1:14" ht="10.050000000000001" hidden="1" customHeight="1">
      <c r="A1827" s="52" t="s">
        <v>171</v>
      </c>
      <c r="B1827" s="53">
        <v>2011</v>
      </c>
      <c r="C1827" s="52" t="s">
        <v>116</v>
      </c>
      <c r="D1827" s="54">
        <v>7</v>
      </c>
      <c r="E1827" s="55">
        <v>9483539.1999999993</v>
      </c>
      <c r="F1827" s="55">
        <v>118182.3</v>
      </c>
      <c r="G1827" s="55">
        <v>9601721.5</v>
      </c>
      <c r="H1827" s="55">
        <v>8964632.8000000007</v>
      </c>
      <c r="I1827" s="55">
        <v>122101.3</v>
      </c>
      <c r="J1827" s="55">
        <v>9086734.0999999996</v>
      </c>
      <c r="K1827" s="55">
        <v>4026288.8</v>
      </c>
      <c r="L1827" s="55">
        <v>4310834.9000000004</v>
      </c>
      <c r="M1827" s="55">
        <v>318361.90000000002</v>
      </c>
      <c r="N1827" s="55">
        <v>45890.8</v>
      </c>
    </row>
    <row r="1828" spans="1:14" ht="10.050000000000001" hidden="1" customHeight="1">
      <c r="A1828" s="52" t="s">
        <v>300</v>
      </c>
      <c r="B1828" s="53">
        <v>2011</v>
      </c>
      <c r="C1828" s="52" t="s">
        <v>116</v>
      </c>
      <c r="D1828" s="54">
        <v>7</v>
      </c>
      <c r="E1828" s="55">
        <v>727.5</v>
      </c>
      <c r="F1828" s="55">
        <v>63.6</v>
      </c>
      <c r="G1828" s="55">
        <v>791.1</v>
      </c>
      <c r="H1828" s="55">
        <v>1661.7</v>
      </c>
      <c r="I1828" s="55">
        <v>110.6</v>
      </c>
      <c r="J1828" s="55">
        <v>1772.3</v>
      </c>
      <c r="K1828" s="55">
        <v>0</v>
      </c>
      <c r="L1828" s="55">
        <v>0</v>
      </c>
      <c r="M1828" s="55">
        <v>0</v>
      </c>
      <c r="N1828" s="55">
        <v>0</v>
      </c>
    </row>
    <row r="1829" spans="1:14" ht="10.050000000000001" hidden="1" customHeight="1">
      <c r="A1829" s="52" t="s">
        <v>307</v>
      </c>
      <c r="B1829" s="53">
        <v>2011</v>
      </c>
      <c r="C1829" s="52" t="s">
        <v>116</v>
      </c>
      <c r="D1829" s="54">
        <v>7</v>
      </c>
      <c r="E1829" s="55">
        <v>113846</v>
      </c>
      <c r="F1829" s="55">
        <v>0</v>
      </c>
      <c r="G1829" s="55">
        <v>113846</v>
      </c>
      <c r="H1829" s="55">
        <v>1302765</v>
      </c>
      <c r="I1829" s="55">
        <v>30648.3</v>
      </c>
      <c r="J1829" s="55">
        <v>1333413.3</v>
      </c>
      <c r="K1829" s="55">
        <v>190623.1</v>
      </c>
      <c r="L1829" s="55">
        <v>25282.9</v>
      </c>
      <c r="M1829" s="55">
        <v>42574</v>
      </c>
      <c r="N1829" s="55">
        <v>22114.400000000001</v>
      </c>
    </row>
    <row r="1830" spans="1:14" ht="10.050000000000001" hidden="1" customHeight="1">
      <c r="A1830" s="52" t="s">
        <v>315</v>
      </c>
      <c r="B1830" s="53">
        <v>2011</v>
      </c>
      <c r="C1830" s="52" t="s">
        <v>116</v>
      </c>
      <c r="D1830" s="54">
        <v>7</v>
      </c>
      <c r="E1830" s="55">
        <v>25.3</v>
      </c>
      <c r="F1830" s="55">
        <v>0</v>
      </c>
      <c r="G1830" s="55">
        <v>25.3</v>
      </c>
      <c r="H1830" s="55">
        <v>1728</v>
      </c>
      <c r="I1830" s="55">
        <v>1.5</v>
      </c>
      <c r="J1830" s="55">
        <v>1729.5</v>
      </c>
      <c r="K1830" s="55">
        <v>10.3</v>
      </c>
      <c r="L1830" s="55">
        <v>0</v>
      </c>
      <c r="M1830" s="55">
        <v>0</v>
      </c>
      <c r="N1830" s="55">
        <v>0</v>
      </c>
    </row>
    <row r="1831" spans="1:14" ht="10.050000000000001" hidden="1" customHeight="1">
      <c r="A1831" s="52" t="s">
        <v>173</v>
      </c>
      <c r="B1831" s="53">
        <v>2011</v>
      </c>
      <c r="C1831" s="52" t="s">
        <v>116</v>
      </c>
      <c r="D1831" s="54">
        <v>7</v>
      </c>
      <c r="E1831" s="55">
        <v>3780952.7</v>
      </c>
      <c r="F1831" s="55">
        <v>92338.8</v>
      </c>
      <c r="G1831" s="55">
        <v>3873291.5</v>
      </c>
      <c r="H1831" s="55">
        <v>4102586.3</v>
      </c>
      <c r="I1831" s="55">
        <v>73697.2</v>
      </c>
      <c r="J1831" s="55">
        <v>4176283.5</v>
      </c>
      <c r="K1831" s="55">
        <v>1291385.7</v>
      </c>
      <c r="L1831" s="55">
        <v>1729717</v>
      </c>
      <c r="M1831" s="55">
        <v>501949.8</v>
      </c>
      <c r="N1831" s="55">
        <v>19205.2</v>
      </c>
    </row>
    <row r="1832" spans="1:14" ht="10.050000000000001" customHeight="1">
      <c r="A1832" s="52" t="s">
        <v>309</v>
      </c>
      <c r="B1832" s="53">
        <v>2011</v>
      </c>
      <c r="C1832" s="52" t="s">
        <v>116</v>
      </c>
      <c r="D1832" s="54">
        <v>7</v>
      </c>
      <c r="E1832" s="55">
        <v>181.7</v>
      </c>
      <c r="F1832" s="55">
        <v>0</v>
      </c>
      <c r="G1832" s="55">
        <v>181.7</v>
      </c>
      <c r="H1832" s="55">
        <v>16951.5</v>
      </c>
      <c r="I1832" s="55">
        <v>0</v>
      </c>
      <c r="J1832" s="55">
        <v>16951.5</v>
      </c>
      <c r="K1832" s="55">
        <v>790.4</v>
      </c>
      <c r="L1832" s="55">
        <v>0</v>
      </c>
      <c r="M1832" s="55">
        <v>0</v>
      </c>
      <c r="N1832" s="55">
        <v>0</v>
      </c>
    </row>
    <row r="1833" spans="1:14" ht="10.050000000000001" hidden="1" customHeight="1">
      <c r="A1833" s="52" t="s">
        <v>316</v>
      </c>
      <c r="B1833" s="53">
        <v>2011</v>
      </c>
      <c r="C1833" s="52" t="s">
        <v>116</v>
      </c>
      <c r="D1833" s="54">
        <v>7</v>
      </c>
      <c r="E1833" s="55">
        <v>30.9</v>
      </c>
      <c r="F1833" s="55">
        <v>0</v>
      </c>
      <c r="G1833" s="55">
        <v>30.9</v>
      </c>
      <c r="H1833" s="55">
        <v>508.8</v>
      </c>
      <c r="I1833" s="55">
        <v>0</v>
      </c>
      <c r="J1833" s="55">
        <v>508.8</v>
      </c>
      <c r="K1833" s="55">
        <v>7.7</v>
      </c>
      <c r="L1833" s="55">
        <v>5.9</v>
      </c>
      <c r="M1833" s="55">
        <v>0</v>
      </c>
      <c r="N1833" s="55">
        <v>0</v>
      </c>
    </row>
    <row r="1834" spans="1:14" ht="10.050000000000001" hidden="1" customHeight="1">
      <c r="A1834" s="52" t="s">
        <v>310</v>
      </c>
      <c r="B1834" s="53">
        <v>2011</v>
      </c>
      <c r="C1834" s="52" t="s">
        <v>116</v>
      </c>
      <c r="D1834" s="54">
        <v>7</v>
      </c>
      <c r="E1834" s="55">
        <v>14737.2</v>
      </c>
      <c r="F1834" s="55">
        <v>492.1</v>
      </c>
      <c r="G1834" s="55">
        <v>15229.3</v>
      </c>
      <c r="H1834" s="55">
        <v>26822.400000000001</v>
      </c>
      <c r="I1834" s="55">
        <v>662.7</v>
      </c>
      <c r="J1834" s="55">
        <v>27485.1</v>
      </c>
      <c r="K1834" s="55">
        <v>9523.5</v>
      </c>
      <c r="L1834" s="55">
        <v>9463.5</v>
      </c>
      <c r="M1834" s="55">
        <v>266.7</v>
      </c>
      <c r="N1834" s="55">
        <v>29.6</v>
      </c>
    </row>
    <row r="1835" spans="1:14" ht="10.050000000000001" hidden="1" customHeight="1">
      <c r="A1835" s="52" t="s">
        <v>308</v>
      </c>
      <c r="B1835" s="53">
        <v>2011</v>
      </c>
      <c r="C1835" s="52" t="s">
        <v>116</v>
      </c>
      <c r="D1835" s="54">
        <v>7</v>
      </c>
      <c r="E1835" s="55">
        <v>222.1</v>
      </c>
      <c r="F1835" s="55">
        <v>0</v>
      </c>
      <c r="G1835" s="55">
        <v>222.1</v>
      </c>
      <c r="H1835" s="55">
        <v>16239.3</v>
      </c>
      <c r="I1835" s="55">
        <v>120.9</v>
      </c>
      <c r="J1835" s="55">
        <v>16360.2</v>
      </c>
      <c r="K1835" s="55">
        <v>839.7</v>
      </c>
      <c r="L1835" s="55">
        <v>15.1</v>
      </c>
      <c r="M1835" s="55">
        <v>23.4</v>
      </c>
      <c r="N1835" s="55">
        <v>49</v>
      </c>
    </row>
    <row r="1836" spans="1:14" ht="10.050000000000001" hidden="1" customHeight="1">
      <c r="A1836" s="52" t="s">
        <v>174</v>
      </c>
      <c r="B1836" s="53">
        <v>2011</v>
      </c>
      <c r="C1836" s="52" t="s">
        <v>116</v>
      </c>
      <c r="D1836" s="54">
        <v>7</v>
      </c>
      <c r="E1836" s="55">
        <v>248365</v>
      </c>
      <c r="F1836" s="55">
        <v>8849.7000000000007</v>
      </c>
      <c r="G1836" s="55">
        <v>257214.7</v>
      </c>
      <c r="H1836" s="55">
        <v>246605.8</v>
      </c>
      <c r="I1836" s="55">
        <v>12974.7</v>
      </c>
      <c r="J1836" s="55">
        <v>259580.5</v>
      </c>
      <c r="K1836" s="55">
        <v>111880.3</v>
      </c>
      <c r="L1836" s="55">
        <v>119239</v>
      </c>
      <c r="M1836" s="55">
        <v>5186.8</v>
      </c>
      <c r="N1836" s="55">
        <v>13604.1</v>
      </c>
    </row>
    <row r="1837" spans="1:14" ht="10.050000000000001" hidden="1" customHeight="1">
      <c r="A1837" s="52" t="s">
        <v>314</v>
      </c>
      <c r="B1837" s="53">
        <v>2011</v>
      </c>
      <c r="C1837" s="52" t="s">
        <v>116</v>
      </c>
      <c r="D1837" s="54">
        <v>8</v>
      </c>
      <c r="E1837" s="55">
        <v>0</v>
      </c>
      <c r="F1837" s="55">
        <v>0</v>
      </c>
      <c r="G1837" s="55">
        <v>0</v>
      </c>
      <c r="H1837" s="55">
        <v>3.3</v>
      </c>
      <c r="I1837" s="55">
        <v>0</v>
      </c>
      <c r="J1837" s="55">
        <v>3.3</v>
      </c>
      <c r="K1837" s="55">
        <v>13.6</v>
      </c>
      <c r="L1837" s="55">
        <v>0</v>
      </c>
      <c r="M1837" s="55">
        <v>0</v>
      </c>
      <c r="N1837" s="55">
        <v>0</v>
      </c>
    </row>
    <row r="1838" spans="1:14" ht="10.050000000000001" hidden="1" customHeight="1">
      <c r="A1838" s="52" t="s">
        <v>306</v>
      </c>
      <c r="B1838" s="53">
        <v>2011</v>
      </c>
      <c r="C1838" s="52" t="s">
        <v>116</v>
      </c>
      <c r="D1838" s="54">
        <v>8</v>
      </c>
      <c r="E1838" s="55">
        <v>37910.6</v>
      </c>
      <c r="F1838" s="55">
        <v>889.7</v>
      </c>
      <c r="G1838" s="55">
        <v>38800.300000000003</v>
      </c>
      <c r="H1838" s="55">
        <v>95126.5</v>
      </c>
      <c r="I1838" s="55">
        <v>3745.7</v>
      </c>
      <c r="J1838" s="55">
        <v>98872.2</v>
      </c>
      <c r="K1838" s="55">
        <v>14773</v>
      </c>
      <c r="L1838" s="55">
        <v>7314.8</v>
      </c>
      <c r="M1838" s="55">
        <v>7339</v>
      </c>
      <c r="N1838" s="55">
        <v>349.7</v>
      </c>
    </row>
    <row r="1839" spans="1:14" ht="10.050000000000001" hidden="1" customHeight="1">
      <c r="A1839" s="52" t="s">
        <v>172</v>
      </c>
      <c r="B1839" s="53">
        <v>2011</v>
      </c>
      <c r="C1839" s="52" t="s">
        <v>116</v>
      </c>
      <c r="D1839" s="54">
        <v>8</v>
      </c>
      <c r="E1839" s="55">
        <v>78458.600000000006</v>
      </c>
      <c r="F1839" s="55">
        <v>3531.3</v>
      </c>
      <c r="G1839" s="55">
        <v>81989.899999999994</v>
      </c>
      <c r="H1839" s="55">
        <v>941093.1</v>
      </c>
      <c r="I1839" s="55">
        <v>36434.5</v>
      </c>
      <c r="J1839" s="55">
        <v>977527.6</v>
      </c>
      <c r="K1839" s="55">
        <v>360797.6</v>
      </c>
      <c r="L1839" s="55">
        <v>13688.3</v>
      </c>
      <c r="M1839" s="55">
        <v>38351.5</v>
      </c>
      <c r="N1839" s="55">
        <v>1071.0999999999999</v>
      </c>
    </row>
    <row r="1840" spans="1:14" ht="10.050000000000001" hidden="1" customHeight="1">
      <c r="A1840" s="52" t="s">
        <v>171</v>
      </c>
      <c r="B1840" s="53">
        <v>2011</v>
      </c>
      <c r="C1840" s="52" t="s">
        <v>116</v>
      </c>
      <c r="D1840" s="54">
        <v>8</v>
      </c>
      <c r="E1840" s="55">
        <v>5790686.0999999996</v>
      </c>
      <c r="F1840" s="55">
        <v>161271.5</v>
      </c>
      <c r="G1840" s="55">
        <v>5951957.5999999996</v>
      </c>
      <c r="H1840" s="55">
        <v>11422580</v>
      </c>
      <c r="I1840" s="55">
        <v>167789.5</v>
      </c>
      <c r="J1840" s="55">
        <v>11590369.5</v>
      </c>
      <c r="K1840" s="55">
        <v>6198802</v>
      </c>
      <c r="L1840" s="55">
        <v>3613640.6</v>
      </c>
      <c r="M1840" s="55">
        <v>1396692.7</v>
      </c>
      <c r="N1840" s="55">
        <v>43804.3</v>
      </c>
    </row>
    <row r="1841" spans="1:14" ht="10.050000000000001" hidden="1" customHeight="1">
      <c r="A1841" s="52" t="s">
        <v>300</v>
      </c>
      <c r="B1841" s="53">
        <v>2011</v>
      </c>
      <c r="C1841" s="52" t="s">
        <v>116</v>
      </c>
      <c r="D1841" s="54">
        <v>8</v>
      </c>
      <c r="E1841" s="55">
        <v>897.8</v>
      </c>
      <c r="F1841" s="55">
        <v>12.2</v>
      </c>
      <c r="G1841" s="55">
        <v>910</v>
      </c>
      <c r="H1841" s="55">
        <v>2315.6999999999998</v>
      </c>
      <c r="I1841" s="55">
        <v>122.8</v>
      </c>
      <c r="J1841" s="55">
        <v>2438.5</v>
      </c>
      <c r="K1841" s="55">
        <v>6</v>
      </c>
      <c r="L1841" s="55">
        <v>6</v>
      </c>
      <c r="M1841" s="55">
        <v>0</v>
      </c>
      <c r="N1841" s="55">
        <v>0</v>
      </c>
    </row>
    <row r="1842" spans="1:14" ht="10.050000000000001" hidden="1" customHeight="1">
      <c r="A1842" s="52" t="s">
        <v>307</v>
      </c>
      <c r="B1842" s="53">
        <v>2011</v>
      </c>
      <c r="C1842" s="52" t="s">
        <v>116</v>
      </c>
      <c r="D1842" s="54">
        <v>8</v>
      </c>
      <c r="E1842" s="55">
        <v>174015.8</v>
      </c>
      <c r="F1842" s="55">
        <v>1639.9</v>
      </c>
      <c r="G1842" s="55">
        <v>175655.7</v>
      </c>
      <c r="H1842" s="55">
        <v>621356.30000000005</v>
      </c>
      <c r="I1842" s="55">
        <v>30450.6</v>
      </c>
      <c r="J1842" s="55">
        <v>651806.9</v>
      </c>
      <c r="K1842" s="55">
        <v>93466.3</v>
      </c>
      <c r="L1842" s="55">
        <v>10506.3</v>
      </c>
      <c r="M1842" s="55">
        <v>87370.1</v>
      </c>
      <c r="N1842" s="55">
        <v>20400.900000000001</v>
      </c>
    </row>
    <row r="1843" spans="1:14" ht="10.050000000000001" hidden="1" customHeight="1">
      <c r="A1843" s="52" t="s">
        <v>315</v>
      </c>
      <c r="B1843" s="53">
        <v>2011</v>
      </c>
      <c r="C1843" s="52" t="s">
        <v>116</v>
      </c>
      <c r="D1843" s="54">
        <v>8</v>
      </c>
      <c r="E1843" s="55">
        <v>1241.3</v>
      </c>
      <c r="F1843" s="55">
        <v>80.599999999999994</v>
      </c>
      <c r="G1843" s="55">
        <v>1321.9</v>
      </c>
      <c r="H1843" s="55">
        <v>2217.1999999999998</v>
      </c>
      <c r="I1843" s="55">
        <v>22.3</v>
      </c>
      <c r="J1843" s="55">
        <v>2239.5</v>
      </c>
      <c r="K1843" s="55">
        <v>98.3</v>
      </c>
      <c r="L1843" s="55">
        <v>88</v>
      </c>
      <c r="M1843" s="55">
        <v>0</v>
      </c>
      <c r="N1843" s="55">
        <v>0</v>
      </c>
    </row>
    <row r="1844" spans="1:14" ht="10.050000000000001" hidden="1" customHeight="1">
      <c r="A1844" s="52" t="s">
        <v>173</v>
      </c>
      <c r="B1844" s="53">
        <v>2011</v>
      </c>
      <c r="C1844" s="52" t="s">
        <v>116</v>
      </c>
      <c r="D1844" s="54">
        <v>8</v>
      </c>
      <c r="E1844" s="55">
        <v>913699.9</v>
      </c>
      <c r="F1844" s="55">
        <v>9654.9</v>
      </c>
      <c r="G1844" s="55">
        <v>923354.8</v>
      </c>
      <c r="H1844" s="55">
        <v>4435128.9000000004</v>
      </c>
      <c r="I1844" s="55">
        <v>60149.2</v>
      </c>
      <c r="J1844" s="55">
        <v>4495278.0999999996</v>
      </c>
      <c r="K1844" s="55">
        <v>1020093.3</v>
      </c>
      <c r="L1844" s="55">
        <v>114771</v>
      </c>
      <c r="M1844" s="55">
        <v>375070</v>
      </c>
      <c r="N1844" s="55">
        <v>10456.9</v>
      </c>
    </row>
    <row r="1845" spans="1:14" ht="10.050000000000001" customHeight="1">
      <c r="A1845" s="52" t="s">
        <v>309</v>
      </c>
      <c r="B1845" s="53">
        <v>2011</v>
      </c>
      <c r="C1845" s="52" t="s">
        <v>116</v>
      </c>
      <c r="D1845" s="54">
        <v>8</v>
      </c>
      <c r="E1845" s="55">
        <v>388.4</v>
      </c>
      <c r="F1845" s="55">
        <v>0</v>
      </c>
      <c r="G1845" s="55">
        <v>388.4</v>
      </c>
      <c r="H1845" s="55">
        <v>9107.5</v>
      </c>
      <c r="I1845" s="55">
        <v>0</v>
      </c>
      <c r="J1845" s="55">
        <v>9107.5</v>
      </c>
      <c r="K1845" s="55">
        <v>524.1</v>
      </c>
      <c r="L1845" s="55">
        <v>0</v>
      </c>
      <c r="M1845" s="55">
        <v>266.3</v>
      </c>
      <c r="N1845" s="55">
        <v>0</v>
      </c>
    </row>
    <row r="1846" spans="1:14" ht="10.050000000000001" hidden="1" customHeight="1">
      <c r="A1846" s="52" t="s">
        <v>316</v>
      </c>
      <c r="B1846" s="53">
        <v>2011</v>
      </c>
      <c r="C1846" s="52" t="s">
        <v>116</v>
      </c>
      <c r="D1846" s="54">
        <v>8</v>
      </c>
      <c r="E1846" s="55">
        <v>24.5</v>
      </c>
      <c r="F1846" s="55">
        <v>0</v>
      </c>
      <c r="G1846" s="55">
        <v>24.5</v>
      </c>
      <c r="H1846" s="55">
        <v>449.9</v>
      </c>
      <c r="I1846" s="55">
        <v>0</v>
      </c>
      <c r="J1846" s="55">
        <v>449.9</v>
      </c>
      <c r="K1846" s="55">
        <v>7.7</v>
      </c>
      <c r="L1846" s="55">
        <v>0</v>
      </c>
      <c r="M1846" s="55">
        <v>0</v>
      </c>
      <c r="N1846" s="55">
        <v>0</v>
      </c>
    </row>
    <row r="1847" spans="1:14" ht="10.050000000000001" hidden="1" customHeight="1">
      <c r="A1847" s="52" t="s">
        <v>310</v>
      </c>
      <c r="B1847" s="53">
        <v>2011</v>
      </c>
      <c r="C1847" s="52" t="s">
        <v>116</v>
      </c>
      <c r="D1847" s="54">
        <v>8</v>
      </c>
      <c r="E1847" s="55">
        <v>22882.7</v>
      </c>
      <c r="F1847" s="55">
        <v>527</v>
      </c>
      <c r="G1847" s="55">
        <v>23409.7</v>
      </c>
      <c r="H1847" s="55">
        <v>42179.4</v>
      </c>
      <c r="I1847" s="55">
        <v>1034.7</v>
      </c>
      <c r="J1847" s="55">
        <v>43214.1</v>
      </c>
      <c r="K1847" s="55">
        <v>14550.4</v>
      </c>
      <c r="L1847" s="55">
        <v>8244.2999999999993</v>
      </c>
      <c r="M1847" s="55">
        <v>3197.2</v>
      </c>
      <c r="N1847" s="55">
        <v>20.2</v>
      </c>
    </row>
    <row r="1848" spans="1:14" ht="10.050000000000001" hidden="1" customHeight="1">
      <c r="A1848" s="52" t="s">
        <v>308</v>
      </c>
      <c r="B1848" s="53">
        <v>2011</v>
      </c>
      <c r="C1848" s="52" t="s">
        <v>116</v>
      </c>
      <c r="D1848" s="54">
        <v>8</v>
      </c>
      <c r="E1848" s="55">
        <v>0</v>
      </c>
      <c r="F1848" s="55">
        <v>45.3</v>
      </c>
      <c r="G1848" s="55">
        <v>45.3</v>
      </c>
      <c r="H1848" s="55">
        <v>9906.5</v>
      </c>
      <c r="I1848" s="55">
        <v>178.9</v>
      </c>
      <c r="J1848" s="55">
        <v>10085.4</v>
      </c>
      <c r="K1848" s="55">
        <v>831.9</v>
      </c>
      <c r="L1848" s="55">
        <v>0</v>
      </c>
      <c r="M1848" s="55">
        <v>0</v>
      </c>
      <c r="N1848" s="55">
        <v>7.8</v>
      </c>
    </row>
    <row r="1849" spans="1:14" ht="10.050000000000001" hidden="1" customHeight="1">
      <c r="A1849" s="52" t="s">
        <v>174</v>
      </c>
      <c r="B1849" s="53">
        <v>2011</v>
      </c>
      <c r="C1849" s="52" t="s">
        <v>116</v>
      </c>
      <c r="D1849" s="54">
        <v>8</v>
      </c>
      <c r="E1849" s="55">
        <v>272714.09999999998</v>
      </c>
      <c r="F1849" s="55">
        <v>16125.9</v>
      </c>
      <c r="G1849" s="55">
        <v>288840</v>
      </c>
      <c r="H1849" s="55">
        <v>434634.2</v>
      </c>
      <c r="I1849" s="55">
        <v>19428.400000000001</v>
      </c>
      <c r="J1849" s="55">
        <v>454062.6</v>
      </c>
      <c r="K1849" s="55">
        <v>139426.20000000001</v>
      </c>
      <c r="L1849" s="55">
        <v>62012.7</v>
      </c>
      <c r="M1849" s="55">
        <v>27783.8</v>
      </c>
      <c r="N1849" s="55">
        <v>6667.2</v>
      </c>
    </row>
    <row r="1850" spans="1:14" ht="10.050000000000001" hidden="1" customHeight="1">
      <c r="A1850" s="52" t="s">
        <v>314</v>
      </c>
      <c r="B1850" s="53">
        <v>2011</v>
      </c>
      <c r="C1850" s="52" t="s">
        <v>116</v>
      </c>
      <c r="D1850" s="54">
        <v>9</v>
      </c>
      <c r="E1850" s="55">
        <v>11.3</v>
      </c>
      <c r="F1850" s="55">
        <v>0</v>
      </c>
      <c r="G1850" s="55">
        <v>11.3</v>
      </c>
      <c r="H1850" s="55">
        <v>3.3</v>
      </c>
      <c r="I1850" s="55">
        <v>0</v>
      </c>
      <c r="J1850" s="55">
        <v>3.3</v>
      </c>
      <c r="K1850" s="55">
        <v>0</v>
      </c>
      <c r="L1850" s="55">
        <v>0</v>
      </c>
      <c r="M1850" s="55">
        <v>11.3</v>
      </c>
      <c r="N1850" s="55">
        <v>2.2999999999999998</v>
      </c>
    </row>
    <row r="1851" spans="1:14" ht="10.050000000000001" hidden="1" customHeight="1">
      <c r="A1851" s="52" t="s">
        <v>306</v>
      </c>
      <c r="B1851" s="53">
        <v>2011</v>
      </c>
      <c r="C1851" s="52" t="s">
        <v>116</v>
      </c>
      <c r="D1851" s="54">
        <v>9</v>
      </c>
      <c r="E1851" s="55">
        <v>9231.6</v>
      </c>
      <c r="F1851" s="55">
        <v>1420.9</v>
      </c>
      <c r="G1851" s="55">
        <v>10652.5</v>
      </c>
      <c r="H1851" s="55">
        <v>88096</v>
      </c>
      <c r="I1851" s="55">
        <v>3564.1</v>
      </c>
      <c r="J1851" s="55">
        <v>91660.1</v>
      </c>
      <c r="K1851" s="55">
        <v>11658.3</v>
      </c>
      <c r="L1851" s="55">
        <v>1475</v>
      </c>
      <c r="M1851" s="55">
        <v>4094.5</v>
      </c>
      <c r="N1851" s="55">
        <v>508.4</v>
      </c>
    </row>
    <row r="1852" spans="1:14" ht="10.050000000000001" hidden="1" customHeight="1">
      <c r="A1852" s="52" t="s">
        <v>172</v>
      </c>
      <c r="B1852" s="53">
        <v>2011</v>
      </c>
      <c r="C1852" s="52" t="s">
        <v>116</v>
      </c>
      <c r="D1852" s="54">
        <v>9</v>
      </c>
      <c r="E1852" s="55">
        <v>95467.5</v>
      </c>
      <c r="F1852" s="55">
        <v>9097.7000000000007</v>
      </c>
      <c r="G1852" s="55">
        <v>104565.2</v>
      </c>
      <c r="H1852" s="55">
        <v>855962.8</v>
      </c>
      <c r="I1852" s="55">
        <v>26329</v>
      </c>
      <c r="J1852" s="55">
        <v>882291.8</v>
      </c>
      <c r="K1852" s="55">
        <v>320207.8</v>
      </c>
      <c r="L1852" s="55">
        <v>12277.9</v>
      </c>
      <c r="M1852" s="55">
        <v>51002.6</v>
      </c>
      <c r="N1852" s="55">
        <v>1865.2</v>
      </c>
    </row>
    <row r="1853" spans="1:14" ht="10.050000000000001" hidden="1" customHeight="1">
      <c r="A1853" s="52" t="s">
        <v>171</v>
      </c>
      <c r="B1853" s="53">
        <v>2011</v>
      </c>
      <c r="C1853" s="52" t="s">
        <v>116</v>
      </c>
      <c r="D1853" s="54">
        <v>9</v>
      </c>
      <c r="E1853" s="55">
        <v>2140119.2999999998</v>
      </c>
      <c r="F1853" s="55">
        <v>136507.6</v>
      </c>
      <c r="G1853" s="55">
        <v>2276626.9</v>
      </c>
      <c r="H1853" s="55">
        <v>10684065.9</v>
      </c>
      <c r="I1853" s="55">
        <v>158557.9</v>
      </c>
      <c r="J1853" s="55">
        <v>10842623.800000001</v>
      </c>
      <c r="K1853" s="55">
        <v>4998861.8</v>
      </c>
      <c r="L1853" s="55">
        <v>321932.3</v>
      </c>
      <c r="M1853" s="55">
        <v>1490878.9</v>
      </c>
      <c r="N1853" s="55">
        <v>32236.1</v>
      </c>
    </row>
    <row r="1854" spans="1:14" ht="10.050000000000001" hidden="1" customHeight="1">
      <c r="A1854" s="52" t="s">
        <v>300</v>
      </c>
      <c r="B1854" s="53">
        <v>2011</v>
      </c>
      <c r="C1854" s="52" t="s">
        <v>116</v>
      </c>
      <c r="D1854" s="54">
        <v>9</v>
      </c>
      <c r="E1854" s="55">
        <v>352.8</v>
      </c>
      <c r="F1854" s="55">
        <v>54.4</v>
      </c>
      <c r="G1854" s="55">
        <v>407.2</v>
      </c>
      <c r="H1854" s="55">
        <v>2460.6</v>
      </c>
      <c r="I1854" s="55">
        <v>162.30000000000001</v>
      </c>
      <c r="J1854" s="55">
        <v>2622.9</v>
      </c>
      <c r="K1854" s="55">
        <v>19.3</v>
      </c>
      <c r="L1854" s="55">
        <v>13.3</v>
      </c>
      <c r="M1854" s="55">
        <v>0</v>
      </c>
      <c r="N1854" s="55">
        <v>0</v>
      </c>
    </row>
    <row r="1855" spans="1:14" ht="10.050000000000001" hidden="1" customHeight="1">
      <c r="A1855" s="52" t="s">
        <v>307</v>
      </c>
      <c r="B1855" s="53">
        <v>2011</v>
      </c>
      <c r="C1855" s="52" t="s">
        <v>116</v>
      </c>
      <c r="D1855" s="54">
        <v>9</v>
      </c>
      <c r="E1855" s="55">
        <v>1737143.1</v>
      </c>
      <c r="F1855" s="55">
        <v>32953</v>
      </c>
      <c r="G1855" s="55">
        <v>1770096.1</v>
      </c>
      <c r="H1855" s="55">
        <v>1514465.7</v>
      </c>
      <c r="I1855" s="55">
        <v>49582.3</v>
      </c>
      <c r="J1855" s="55">
        <v>1564048</v>
      </c>
      <c r="K1855" s="55">
        <v>832922.9</v>
      </c>
      <c r="L1855" s="55">
        <v>809132</v>
      </c>
      <c r="M1855" s="55">
        <v>40738</v>
      </c>
      <c r="N1855" s="55">
        <v>28974.799999999999</v>
      </c>
    </row>
    <row r="1856" spans="1:14" ht="10.050000000000001" hidden="1" customHeight="1">
      <c r="A1856" s="52" t="s">
        <v>315</v>
      </c>
      <c r="B1856" s="53">
        <v>2011</v>
      </c>
      <c r="C1856" s="52" t="s">
        <v>116</v>
      </c>
      <c r="D1856" s="54">
        <v>9</v>
      </c>
      <c r="E1856" s="55">
        <v>9632.3000000000102</v>
      </c>
      <c r="F1856" s="55">
        <v>0</v>
      </c>
      <c r="G1856" s="55">
        <v>9632.3000000000102</v>
      </c>
      <c r="H1856" s="55">
        <v>9904.7000000000007</v>
      </c>
      <c r="I1856" s="55">
        <v>22.3</v>
      </c>
      <c r="J1856" s="55">
        <v>9927</v>
      </c>
      <c r="K1856" s="55">
        <v>4287.1000000000004</v>
      </c>
      <c r="L1856" s="55">
        <v>5222</v>
      </c>
      <c r="M1856" s="55">
        <v>1030.3</v>
      </c>
      <c r="N1856" s="55">
        <v>3.1</v>
      </c>
    </row>
    <row r="1857" spans="1:14" ht="10.050000000000001" hidden="1" customHeight="1">
      <c r="A1857" s="52" t="s">
        <v>311</v>
      </c>
      <c r="B1857" s="53">
        <v>2011</v>
      </c>
      <c r="C1857" s="52" t="s">
        <v>116</v>
      </c>
      <c r="D1857" s="54">
        <v>9</v>
      </c>
      <c r="E1857" s="55">
        <v>21.9</v>
      </c>
      <c r="F1857" s="55">
        <v>0</v>
      </c>
      <c r="G1857" s="55">
        <v>21.9</v>
      </c>
      <c r="H1857" s="55">
        <v>16.7</v>
      </c>
      <c r="I1857" s="55">
        <v>0</v>
      </c>
      <c r="J1857" s="55">
        <v>16.7</v>
      </c>
      <c r="K1857" s="55">
        <v>1.7</v>
      </c>
      <c r="L1857" s="55">
        <v>1.7</v>
      </c>
      <c r="M1857" s="55">
        <v>0</v>
      </c>
      <c r="N1857" s="55">
        <v>0</v>
      </c>
    </row>
    <row r="1858" spans="1:14" ht="10.050000000000001" hidden="1" customHeight="1">
      <c r="A1858" s="52" t="s">
        <v>173</v>
      </c>
      <c r="B1858" s="53">
        <v>2011</v>
      </c>
      <c r="C1858" s="52" t="s">
        <v>116</v>
      </c>
      <c r="D1858" s="54">
        <v>9</v>
      </c>
      <c r="E1858" s="55">
        <v>342533.2</v>
      </c>
      <c r="F1858" s="55">
        <v>9372.7999999999993</v>
      </c>
      <c r="G1858" s="55">
        <v>351906</v>
      </c>
      <c r="H1858" s="55">
        <v>4146088.6</v>
      </c>
      <c r="I1858" s="55">
        <v>45148.4</v>
      </c>
      <c r="J1858" s="55">
        <v>4191237</v>
      </c>
      <c r="K1858" s="55">
        <v>801402.7</v>
      </c>
      <c r="L1858" s="55">
        <v>25909.4</v>
      </c>
      <c r="M1858" s="55">
        <v>230251.3</v>
      </c>
      <c r="N1858" s="55">
        <v>14835.9</v>
      </c>
    </row>
    <row r="1859" spans="1:14" ht="10.050000000000001" customHeight="1">
      <c r="A1859" s="52" t="s">
        <v>309</v>
      </c>
      <c r="B1859" s="53">
        <v>2011</v>
      </c>
      <c r="C1859" s="52" t="s">
        <v>116</v>
      </c>
      <c r="D1859" s="54">
        <v>9</v>
      </c>
      <c r="E1859" s="55">
        <v>26002.6</v>
      </c>
      <c r="F1859" s="55">
        <v>470.1</v>
      </c>
      <c r="G1859" s="55">
        <v>26472.7</v>
      </c>
      <c r="H1859" s="55">
        <v>30244.6</v>
      </c>
      <c r="I1859" s="55">
        <v>0</v>
      </c>
      <c r="J1859" s="55">
        <v>30244.6</v>
      </c>
      <c r="K1859" s="55">
        <v>10070.9</v>
      </c>
      <c r="L1859" s="55">
        <v>9829</v>
      </c>
      <c r="M1859" s="55">
        <v>282.2</v>
      </c>
      <c r="N1859" s="55">
        <v>0</v>
      </c>
    </row>
    <row r="1860" spans="1:14" ht="10.050000000000001" hidden="1" customHeight="1">
      <c r="A1860" s="52" t="s">
        <v>316</v>
      </c>
      <c r="B1860" s="53">
        <v>2011</v>
      </c>
      <c r="C1860" s="52" t="s">
        <v>116</v>
      </c>
      <c r="D1860" s="54">
        <v>9</v>
      </c>
      <c r="E1860" s="55">
        <v>1328.1</v>
      </c>
      <c r="F1860" s="55">
        <v>5</v>
      </c>
      <c r="G1860" s="55">
        <v>1333.1</v>
      </c>
      <c r="H1860" s="55">
        <v>1061.5999999999999</v>
      </c>
      <c r="I1860" s="55">
        <v>5</v>
      </c>
      <c r="J1860" s="55">
        <v>1066.5999999999999</v>
      </c>
      <c r="K1860" s="55">
        <v>34.5</v>
      </c>
      <c r="L1860" s="55">
        <v>51</v>
      </c>
      <c r="M1860" s="55">
        <v>24.1</v>
      </c>
      <c r="N1860" s="55">
        <v>0</v>
      </c>
    </row>
    <row r="1861" spans="1:14" ht="10.050000000000001" hidden="1" customHeight="1">
      <c r="A1861" s="52" t="s">
        <v>310</v>
      </c>
      <c r="B1861" s="53">
        <v>2011</v>
      </c>
      <c r="C1861" s="52" t="s">
        <v>116</v>
      </c>
      <c r="D1861" s="54">
        <v>9</v>
      </c>
      <c r="E1861" s="55">
        <v>3614.8</v>
      </c>
      <c r="F1861" s="55">
        <v>683</v>
      </c>
      <c r="G1861" s="55">
        <v>4297.8</v>
      </c>
      <c r="H1861" s="55">
        <v>40056.699999999997</v>
      </c>
      <c r="I1861" s="55">
        <v>1428.8</v>
      </c>
      <c r="J1861" s="55">
        <v>41485.5</v>
      </c>
      <c r="K1861" s="55">
        <v>12548.1</v>
      </c>
      <c r="L1861" s="55">
        <v>122.1</v>
      </c>
      <c r="M1861" s="55">
        <v>2069.6</v>
      </c>
      <c r="N1861" s="55">
        <v>55</v>
      </c>
    </row>
    <row r="1862" spans="1:14" ht="10.050000000000001" hidden="1" customHeight="1">
      <c r="A1862" s="52" t="s">
        <v>308</v>
      </c>
      <c r="B1862" s="53">
        <v>2011</v>
      </c>
      <c r="C1862" s="52" t="s">
        <v>116</v>
      </c>
      <c r="D1862" s="54">
        <v>9</v>
      </c>
      <c r="E1862" s="55">
        <v>25395.7</v>
      </c>
      <c r="F1862" s="55">
        <v>418.6</v>
      </c>
      <c r="G1862" s="55">
        <v>25814.3</v>
      </c>
      <c r="H1862" s="55">
        <v>31737.3</v>
      </c>
      <c r="I1862" s="55">
        <v>558.4</v>
      </c>
      <c r="J1862" s="55">
        <v>32295.7</v>
      </c>
      <c r="K1862" s="55">
        <v>6682.8</v>
      </c>
      <c r="L1862" s="55">
        <v>6578.1</v>
      </c>
      <c r="M1862" s="55">
        <v>626.4</v>
      </c>
      <c r="N1862" s="55">
        <v>100.8</v>
      </c>
    </row>
    <row r="1863" spans="1:14" ht="10.050000000000001" hidden="1" customHeight="1">
      <c r="A1863" s="52" t="s">
        <v>174</v>
      </c>
      <c r="B1863" s="53">
        <v>2011</v>
      </c>
      <c r="C1863" s="52" t="s">
        <v>116</v>
      </c>
      <c r="D1863" s="54">
        <v>9</v>
      </c>
      <c r="E1863" s="55">
        <v>32962.5</v>
      </c>
      <c r="F1863" s="55">
        <v>10500.9</v>
      </c>
      <c r="G1863" s="55">
        <v>43463.4</v>
      </c>
      <c r="H1863" s="55">
        <v>386149.4</v>
      </c>
      <c r="I1863" s="55">
        <v>16493.599999999999</v>
      </c>
      <c r="J1863" s="55">
        <v>402643</v>
      </c>
      <c r="K1863" s="55">
        <v>125572.7</v>
      </c>
      <c r="L1863" s="55">
        <v>6476</v>
      </c>
      <c r="M1863" s="55">
        <v>13604.5</v>
      </c>
      <c r="N1863" s="55">
        <v>6788.5</v>
      </c>
    </row>
    <row r="1864" spans="1:14" ht="10.050000000000001" hidden="1" customHeight="1">
      <c r="A1864" s="52" t="s">
        <v>314</v>
      </c>
      <c r="B1864" s="53">
        <v>2011</v>
      </c>
      <c r="C1864" s="52" t="s">
        <v>116</v>
      </c>
      <c r="D1864" s="54">
        <v>10</v>
      </c>
      <c r="E1864" s="55">
        <v>0</v>
      </c>
      <c r="F1864" s="55">
        <v>0</v>
      </c>
      <c r="G1864" s="55">
        <v>0</v>
      </c>
      <c r="H1864" s="55">
        <v>3.3</v>
      </c>
      <c r="I1864" s="55">
        <v>0</v>
      </c>
      <c r="J1864" s="55">
        <v>3.3</v>
      </c>
      <c r="K1864" s="55">
        <v>0</v>
      </c>
      <c r="L1864" s="55">
        <v>0</v>
      </c>
      <c r="M1864" s="55">
        <v>0</v>
      </c>
      <c r="N1864" s="55">
        <v>0</v>
      </c>
    </row>
    <row r="1865" spans="1:14" ht="10.050000000000001" hidden="1" customHeight="1">
      <c r="A1865" s="52" t="s">
        <v>306</v>
      </c>
      <c r="B1865" s="53">
        <v>2011</v>
      </c>
      <c r="C1865" s="52" t="s">
        <v>116</v>
      </c>
      <c r="D1865" s="54">
        <v>10</v>
      </c>
      <c r="E1865" s="55">
        <v>3502.8</v>
      </c>
      <c r="F1865" s="55">
        <v>1611.3</v>
      </c>
      <c r="G1865" s="55">
        <v>5114.1000000000004</v>
      </c>
      <c r="H1865" s="55">
        <v>78992.5</v>
      </c>
      <c r="I1865" s="55">
        <v>4162</v>
      </c>
      <c r="J1865" s="55">
        <v>83154.5</v>
      </c>
      <c r="K1865" s="55">
        <v>10257.799999999999</v>
      </c>
      <c r="L1865" s="55">
        <v>495.4</v>
      </c>
      <c r="M1865" s="55">
        <v>1586.7</v>
      </c>
      <c r="N1865" s="55">
        <v>298.3</v>
      </c>
    </row>
    <row r="1866" spans="1:14" ht="10.050000000000001" hidden="1" customHeight="1">
      <c r="A1866" s="52" t="s">
        <v>172</v>
      </c>
      <c r="B1866" s="53">
        <v>2011</v>
      </c>
      <c r="C1866" s="52" t="s">
        <v>116</v>
      </c>
      <c r="D1866" s="54">
        <v>10</v>
      </c>
      <c r="E1866" s="55">
        <v>80089.899999999994</v>
      </c>
      <c r="F1866" s="55">
        <v>5194.3</v>
      </c>
      <c r="G1866" s="55">
        <v>85284.2</v>
      </c>
      <c r="H1866" s="55">
        <v>665793.6</v>
      </c>
      <c r="I1866" s="55">
        <v>17143.900000000001</v>
      </c>
      <c r="J1866" s="55">
        <v>682937.5</v>
      </c>
      <c r="K1866" s="55">
        <v>282671.5</v>
      </c>
      <c r="L1866" s="55">
        <v>11258.5</v>
      </c>
      <c r="M1866" s="55">
        <v>47971.8</v>
      </c>
      <c r="N1866" s="55">
        <v>820</v>
      </c>
    </row>
    <row r="1867" spans="1:14" ht="10.050000000000001" hidden="1" customHeight="1">
      <c r="A1867" s="52" t="s">
        <v>171</v>
      </c>
      <c r="B1867" s="53">
        <v>2011</v>
      </c>
      <c r="C1867" s="52" t="s">
        <v>116</v>
      </c>
      <c r="D1867" s="54">
        <v>10</v>
      </c>
      <c r="E1867" s="55">
        <v>1050388.5</v>
      </c>
      <c r="F1867" s="55">
        <v>30108.7</v>
      </c>
      <c r="G1867" s="55">
        <v>1080497.2</v>
      </c>
      <c r="H1867" s="55">
        <v>9204853.6999999993</v>
      </c>
      <c r="I1867" s="55">
        <v>138672.1</v>
      </c>
      <c r="J1867" s="55">
        <v>9343525.8000000007</v>
      </c>
      <c r="K1867" s="55">
        <v>4590975.7</v>
      </c>
      <c r="L1867" s="55">
        <v>212019.9</v>
      </c>
      <c r="M1867" s="55">
        <v>600243.1</v>
      </c>
      <c r="N1867" s="55">
        <v>25167</v>
      </c>
    </row>
    <row r="1868" spans="1:14" ht="10.050000000000001" hidden="1" customHeight="1">
      <c r="A1868" s="52" t="s">
        <v>300</v>
      </c>
      <c r="B1868" s="53">
        <v>2011</v>
      </c>
      <c r="C1868" s="52" t="s">
        <v>116</v>
      </c>
      <c r="D1868" s="54">
        <v>10</v>
      </c>
      <c r="E1868" s="55">
        <v>245.8</v>
      </c>
      <c r="F1868" s="55">
        <v>5.0999999999999996</v>
      </c>
      <c r="G1868" s="55">
        <v>250.9</v>
      </c>
      <c r="H1868" s="55">
        <v>2228.4</v>
      </c>
      <c r="I1868" s="55">
        <v>109.3</v>
      </c>
      <c r="J1868" s="55">
        <v>2337.6999999999998</v>
      </c>
      <c r="K1868" s="55">
        <v>36</v>
      </c>
      <c r="L1868" s="55">
        <v>0.6</v>
      </c>
      <c r="M1868" s="55">
        <v>0</v>
      </c>
      <c r="N1868" s="55">
        <v>1.6</v>
      </c>
    </row>
    <row r="1869" spans="1:14" ht="10.050000000000001" hidden="1" customHeight="1">
      <c r="A1869" s="52" t="s">
        <v>307</v>
      </c>
      <c r="B1869" s="53">
        <v>2011</v>
      </c>
      <c r="C1869" s="52" t="s">
        <v>116</v>
      </c>
      <c r="D1869" s="54">
        <v>10</v>
      </c>
      <c r="E1869" s="55">
        <v>5682630.4000000004</v>
      </c>
      <c r="F1869" s="55">
        <v>62571.7</v>
      </c>
      <c r="G1869" s="55">
        <v>5745202.0999999996</v>
      </c>
      <c r="H1869" s="55">
        <v>5625436.2999999998</v>
      </c>
      <c r="I1869" s="55">
        <v>96857.9</v>
      </c>
      <c r="J1869" s="55">
        <v>5722294.2000000002</v>
      </c>
      <c r="K1869" s="55">
        <v>3638622.3</v>
      </c>
      <c r="L1869" s="55">
        <v>3139794.8</v>
      </c>
      <c r="M1869" s="55">
        <v>229283.9</v>
      </c>
      <c r="N1869" s="55">
        <v>108642</v>
      </c>
    </row>
    <row r="1870" spans="1:14" ht="10.050000000000001" hidden="1" customHeight="1">
      <c r="A1870" s="52" t="s">
        <v>315</v>
      </c>
      <c r="B1870" s="53">
        <v>2011</v>
      </c>
      <c r="C1870" s="52" t="s">
        <v>116</v>
      </c>
      <c r="D1870" s="54">
        <v>10</v>
      </c>
      <c r="E1870" s="55">
        <v>17498.400000000001</v>
      </c>
      <c r="F1870" s="55">
        <v>0</v>
      </c>
      <c r="G1870" s="55">
        <v>17498.400000000001</v>
      </c>
      <c r="H1870" s="55">
        <v>24754</v>
      </c>
      <c r="I1870" s="55">
        <v>22.3</v>
      </c>
      <c r="J1870" s="55">
        <v>24776.3</v>
      </c>
      <c r="K1870" s="55">
        <v>6216.3</v>
      </c>
      <c r="L1870" s="55">
        <v>7261</v>
      </c>
      <c r="M1870" s="55">
        <v>5318.8</v>
      </c>
      <c r="N1870" s="55">
        <v>12.9</v>
      </c>
    </row>
    <row r="1871" spans="1:14" ht="10.050000000000001" hidden="1" customHeight="1">
      <c r="A1871" s="52" t="s">
        <v>311</v>
      </c>
      <c r="B1871" s="53">
        <v>2011</v>
      </c>
      <c r="C1871" s="52" t="s">
        <v>116</v>
      </c>
      <c r="D1871" s="54">
        <v>10</v>
      </c>
      <c r="E1871" s="55">
        <v>0</v>
      </c>
      <c r="F1871" s="55">
        <v>0</v>
      </c>
      <c r="G1871" s="55">
        <v>0</v>
      </c>
      <c r="H1871" s="55">
        <v>1.6</v>
      </c>
      <c r="I1871" s="55">
        <v>0</v>
      </c>
      <c r="J1871" s="55">
        <v>1.6</v>
      </c>
      <c r="K1871" s="55">
        <v>1.7</v>
      </c>
      <c r="L1871" s="55">
        <v>0</v>
      </c>
      <c r="M1871" s="55">
        <v>0</v>
      </c>
      <c r="N1871" s="55">
        <v>0</v>
      </c>
    </row>
    <row r="1872" spans="1:14" ht="10.050000000000001" hidden="1" customHeight="1">
      <c r="A1872" s="52" t="s">
        <v>173</v>
      </c>
      <c r="B1872" s="53">
        <v>2011</v>
      </c>
      <c r="C1872" s="52" t="s">
        <v>116</v>
      </c>
      <c r="D1872" s="54">
        <v>10</v>
      </c>
      <c r="E1872" s="55">
        <v>202132.8</v>
      </c>
      <c r="F1872" s="55">
        <v>16153.5</v>
      </c>
      <c r="G1872" s="55">
        <v>218286.3</v>
      </c>
      <c r="H1872" s="55">
        <v>3752706.7</v>
      </c>
      <c r="I1872" s="55">
        <v>46103.199999999997</v>
      </c>
      <c r="J1872" s="55">
        <v>3798809.9</v>
      </c>
      <c r="K1872" s="55">
        <v>693584.6</v>
      </c>
      <c r="L1872" s="55">
        <v>21668.2</v>
      </c>
      <c r="M1872" s="55">
        <v>119095.8</v>
      </c>
      <c r="N1872" s="55">
        <v>10690.1</v>
      </c>
    </row>
    <row r="1873" spans="1:14" ht="10.050000000000001" customHeight="1">
      <c r="A1873" s="52" t="s">
        <v>309</v>
      </c>
      <c r="B1873" s="53">
        <v>2011</v>
      </c>
      <c r="C1873" s="52" t="s">
        <v>116</v>
      </c>
      <c r="D1873" s="54">
        <v>10</v>
      </c>
      <c r="E1873" s="55">
        <v>58974.8</v>
      </c>
      <c r="F1873" s="55">
        <v>1954.1</v>
      </c>
      <c r="G1873" s="55">
        <v>60928.9</v>
      </c>
      <c r="H1873" s="55">
        <v>79699.7</v>
      </c>
      <c r="I1873" s="55">
        <v>0</v>
      </c>
      <c r="J1873" s="55">
        <v>79699.7</v>
      </c>
      <c r="K1873" s="55">
        <v>32134.799999999999</v>
      </c>
      <c r="L1873" s="55">
        <v>23719.5</v>
      </c>
      <c r="M1873" s="55">
        <v>1478.2</v>
      </c>
      <c r="N1873" s="55">
        <v>177.4</v>
      </c>
    </row>
    <row r="1874" spans="1:14" ht="10.050000000000001" hidden="1" customHeight="1">
      <c r="A1874" s="52" t="s">
        <v>316</v>
      </c>
      <c r="B1874" s="53">
        <v>2011</v>
      </c>
      <c r="C1874" s="52" t="s">
        <v>116</v>
      </c>
      <c r="D1874" s="54">
        <v>10</v>
      </c>
      <c r="E1874" s="55">
        <v>8316.7000000000007</v>
      </c>
      <c r="F1874" s="55">
        <v>143</v>
      </c>
      <c r="G1874" s="55">
        <v>8459.7000000000007</v>
      </c>
      <c r="H1874" s="55">
        <v>5302.1</v>
      </c>
      <c r="I1874" s="55">
        <v>147</v>
      </c>
      <c r="J1874" s="55">
        <v>5449.1</v>
      </c>
      <c r="K1874" s="55">
        <v>485.2</v>
      </c>
      <c r="L1874" s="55">
        <v>723.4</v>
      </c>
      <c r="M1874" s="55">
        <v>271.89999999999998</v>
      </c>
      <c r="N1874" s="55">
        <v>0.8</v>
      </c>
    </row>
    <row r="1875" spans="1:14" ht="10.050000000000001" hidden="1" customHeight="1">
      <c r="A1875" s="52" t="s">
        <v>310</v>
      </c>
      <c r="B1875" s="53">
        <v>2011</v>
      </c>
      <c r="C1875" s="52" t="s">
        <v>116</v>
      </c>
      <c r="D1875" s="54">
        <v>10</v>
      </c>
      <c r="E1875" s="55">
        <v>2986.6</v>
      </c>
      <c r="F1875" s="55">
        <v>0</v>
      </c>
      <c r="G1875" s="55">
        <v>2986.6</v>
      </c>
      <c r="H1875" s="55">
        <v>37665</v>
      </c>
      <c r="I1875" s="55">
        <v>1344.9</v>
      </c>
      <c r="J1875" s="55">
        <v>39009.9</v>
      </c>
      <c r="K1875" s="55">
        <v>10789.3</v>
      </c>
      <c r="L1875" s="55">
        <v>24</v>
      </c>
      <c r="M1875" s="55">
        <v>1764.3</v>
      </c>
      <c r="N1875" s="55">
        <v>18.100000000000001</v>
      </c>
    </row>
    <row r="1876" spans="1:14" ht="10.050000000000001" hidden="1" customHeight="1">
      <c r="A1876" s="52" t="s">
        <v>308</v>
      </c>
      <c r="B1876" s="53">
        <v>2011</v>
      </c>
      <c r="C1876" s="52" t="s">
        <v>116</v>
      </c>
      <c r="D1876" s="54">
        <v>10</v>
      </c>
      <c r="E1876" s="55">
        <v>67184.399999999994</v>
      </c>
      <c r="F1876" s="55">
        <v>147.4</v>
      </c>
      <c r="G1876" s="55">
        <v>67331.8</v>
      </c>
      <c r="H1876" s="55">
        <v>89435.9</v>
      </c>
      <c r="I1876" s="55">
        <v>581.1</v>
      </c>
      <c r="J1876" s="55">
        <v>90017</v>
      </c>
      <c r="K1876" s="55">
        <v>18317.099999999999</v>
      </c>
      <c r="L1876" s="55">
        <v>12886.5</v>
      </c>
      <c r="M1876" s="55">
        <v>1221.3</v>
      </c>
      <c r="N1876" s="55">
        <v>31.3</v>
      </c>
    </row>
    <row r="1877" spans="1:14" ht="10.050000000000001" hidden="1" customHeight="1">
      <c r="A1877" s="52" t="s">
        <v>174</v>
      </c>
      <c r="B1877" s="53">
        <v>2011</v>
      </c>
      <c r="C1877" s="52" t="s">
        <v>116</v>
      </c>
      <c r="D1877" s="54">
        <v>10</v>
      </c>
      <c r="E1877" s="55">
        <v>16753.900000000001</v>
      </c>
      <c r="F1877" s="55">
        <v>1652.6</v>
      </c>
      <c r="G1877" s="55">
        <v>18406.5</v>
      </c>
      <c r="H1877" s="55">
        <v>333999.90000000002</v>
      </c>
      <c r="I1877" s="55">
        <v>12907.1</v>
      </c>
      <c r="J1877" s="55">
        <v>346907</v>
      </c>
      <c r="K1877" s="55">
        <v>114033.8</v>
      </c>
      <c r="L1877" s="55">
        <v>2648.5</v>
      </c>
      <c r="M1877" s="55">
        <v>7265.5</v>
      </c>
      <c r="N1877" s="55">
        <v>7006.8</v>
      </c>
    </row>
    <row r="1878" spans="1:14" ht="10.050000000000001" hidden="1" customHeight="1">
      <c r="A1878" s="52" t="s">
        <v>314</v>
      </c>
      <c r="B1878" s="53">
        <v>2011</v>
      </c>
      <c r="C1878" s="52" t="s">
        <v>116</v>
      </c>
      <c r="D1878" s="54">
        <v>11</v>
      </c>
      <c r="E1878" s="55">
        <v>0</v>
      </c>
      <c r="F1878" s="55">
        <v>0</v>
      </c>
      <c r="G1878" s="55">
        <v>0</v>
      </c>
      <c r="H1878" s="55">
        <v>3.3</v>
      </c>
      <c r="I1878" s="55">
        <v>0</v>
      </c>
      <c r="J1878" s="55">
        <v>3.3</v>
      </c>
      <c r="K1878" s="55">
        <v>0</v>
      </c>
      <c r="L1878" s="55">
        <v>0</v>
      </c>
      <c r="M1878" s="55">
        <v>0</v>
      </c>
      <c r="N1878" s="55">
        <v>0</v>
      </c>
    </row>
    <row r="1879" spans="1:14" ht="10.050000000000001" hidden="1" customHeight="1">
      <c r="A1879" s="52" t="s">
        <v>306</v>
      </c>
      <c r="B1879" s="53">
        <v>2011</v>
      </c>
      <c r="C1879" s="52" t="s">
        <v>116</v>
      </c>
      <c r="D1879" s="54">
        <v>11</v>
      </c>
      <c r="E1879" s="55">
        <v>4291.3999999999996</v>
      </c>
      <c r="F1879" s="55">
        <v>788.8</v>
      </c>
      <c r="G1879" s="55">
        <v>5080.2</v>
      </c>
      <c r="H1879" s="55">
        <v>70320.7</v>
      </c>
      <c r="I1879" s="55">
        <v>4184</v>
      </c>
      <c r="J1879" s="55">
        <v>74504.7</v>
      </c>
      <c r="K1879" s="55">
        <v>9361.7999999999993</v>
      </c>
      <c r="L1879" s="55">
        <v>1799.7</v>
      </c>
      <c r="M1879" s="55">
        <v>1490.9</v>
      </c>
      <c r="N1879" s="55">
        <v>1204.9000000000001</v>
      </c>
    </row>
    <row r="1880" spans="1:14" ht="10.050000000000001" hidden="1" customHeight="1">
      <c r="A1880" s="52" t="s">
        <v>172</v>
      </c>
      <c r="B1880" s="53">
        <v>2011</v>
      </c>
      <c r="C1880" s="52" t="s">
        <v>116</v>
      </c>
      <c r="D1880" s="54">
        <v>11</v>
      </c>
      <c r="E1880" s="55">
        <v>109907.1</v>
      </c>
      <c r="F1880" s="55">
        <v>1077.8</v>
      </c>
      <c r="G1880" s="55">
        <v>110984.9</v>
      </c>
      <c r="H1880" s="55">
        <v>546501.9</v>
      </c>
      <c r="I1880" s="55">
        <v>14744.6</v>
      </c>
      <c r="J1880" s="55">
        <v>561246.5</v>
      </c>
      <c r="K1880" s="55">
        <v>246034</v>
      </c>
      <c r="L1880" s="55">
        <v>22559.1</v>
      </c>
      <c r="M1880" s="55">
        <v>58194</v>
      </c>
      <c r="N1880" s="55">
        <v>1002.6</v>
      </c>
    </row>
    <row r="1881" spans="1:14" ht="10.050000000000001" hidden="1" customHeight="1">
      <c r="A1881" s="52" t="s">
        <v>171</v>
      </c>
      <c r="B1881" s="53">
        <v>2011</v>
      </c>
      <c r="C1881" s="52" t="s">
        <v>116</v>
      </c>
      <c r="D1881" s="54">
        <v>11</v>
      </c>
      <c r="E1881" s="55">
        <v>2185307.2000000002</v>
      </c>
      <c r="F1881" s="55">
        <v>27041.5</v>
      </c>
      <c r="G1881" s="55">
        <v>2212348.7000000002</v>
      </c>
      <c r="H1881" s="55">
        <v>8406828.8000000007</v>
      </c>
      <c r="I1881" s="55">
        <v>130539.5</v>
      </c>
      <c r="J1881" s="55">
        <v>8537368.3000000007</v>
      </c>
      <c r="K1881" s="55">
        <v>3771966.3</v>
      </c>
      <c r="L1881" s="55">
        <v>489575</v>
      </c>
      <c r="M1881" s="55">
        <v>1261870.1000000001</v>
      </c>
      <c r="N1881" s="55">
        <v>45939.8</v>
      </c>
    </row>
    <row r="1882" spans="1:14" ht="10.050000000000001" hidden="1" customHeight="1">
      <c r="A1882" s="52" t="s">
        <v>300</v>
      </c>
      <c r="B1882" s="53">
        <v>2011</v>
      </c>
      <c r="C1882" s="52" t="s">
        <v>116</v>
      </c>
      <c r="D1882" s="54">
        <v>11</v>
      </c>
      <c r="E1882" s="55">
        <v>233.1</v>
      </c>
      <c r="F1882" s="55">
        <v>40.6</v>
      </c>
      <c r="G1882" s="55">
        <v>273.7</v>
      </c>
      <c r="H1882" s="55">
        <v>2089.1</v>
      </c>
      <c r="I1882" s="55">
        <v>109.7</v>
      </c>
      <c r="J1882" s="55">
        <v>2198.8000000000002</v>
      </c>
      <c r="K1882" s="55">
        <v>6.7</v>
      </c>
      <c r="L1882" s="55">
        <v>-6.9</v>
      </c>
      <c r="M1882" s="55">
        <v>0</v>
      </c>
      <c r="N1882" s="55">
        <v>0</v>
      </c>
    </row>
    <row r="1883" spans="1:14" ht="10.050000000000001" hidden="1" customHeight="1">
      <c r="A1883" s="52" t="s">
        <v>307</v>
      </c>
      <c r="B1883" s="53">
        <v>2011</v>
      </c>
      <c r="C1883" s="52" t="s">
        <v>116</v>
      </c>
      <c r="D1883" s="54">
        <v>11</v>
      </c>
      <c r="E1883" s="55">
        <v>1869378.2</v>
      </c>
      <c r="F1883" s="55">
        <v>62654.1</v>
      </c>
      <c r="G1883" s="55">
        <v>1932032.3</v>
      </c>
      <c r="H1883" s="55">
        <v>6225536.2000000002</v>
      </c>
      <c r="I1883" s="55">
        <v>141469.79999999999</v>
      </c>
      <c r="J1883" s="55">
        <v>6367006</v>
      </c>
      <c r="K1883" s="55">
        <v>3333999.5</v>
      </c>
      <c r="L1883" s="55">
        <v>577815.30000000005</v>
      </c>
      <c r="M1883" s="55">
        <v>774449.3</v>
      </c>
      <c r="N1883" s="55">
        <v>109765.4</v>
      </c>
    </row>
    <row r="1884" spans="1:14" ht="10.050000000000001" hidden="1" customHeight="1">
      <c r="A1884" s="52" t="s">
        <v>315</v>
      </c>
      <c r="B1884" s="53">
        <v>2011</v>
      </c>
      <c r="C1884" s="52" t="s">
        <v>116</v>
      </c>
      <c r="D1884" s="54">
        <v>11</v>
      </c>
      <c r="E1884" s="55">
        <v>4413.7</v>
      </c>
      <c r="F1884" s="55">
        <v>0</v>
      </c>
      <c r="G1884" s="55">
        <v>4413.7</v>
      </c>
      <c r="H1884" s="55">
        <v>25965.200000000001</v>
      </c>
      <c r="I1884" s="55">
        <v>2</v>
      </c>
      <c r="J1884" s="55">
        <v>25967.200000000001</v>
      </c>
      <c r="K1884" s="55">
        <v>3420.4</v>
      </c>
      <c r="L1884" s="55">
        <v>344.6</v>
      </c>
      <c r="M1884" s="55">
        <v>3114.9</v>
      </c>
      <c r="N1884" s="55">
        <v>25.9</v>
      </c>
    </row>
    <row r="1885" spans="1:14" ht="10.050000000000001" hidden="1" customHeight="1">
      <c r="A1885" s="52" t="s">
        <v>311</v>
      </c>
      <c r="B1885" s="53">
        <v>2011</v>
      </c>
      <c r="C1885" s="52" t="s">
        <v>116</v>
      </c>
      <c r="D1885" s="54">
        <v>11</v>
      </c>
      <c r="E1885" s="55">
        <v>0</v>
      </c>
      <c r="F1885" s="55">
        <v>0</v>
      </c>
      <c r="G1885" s="55">
        <v>0</v>
      </c>
      <c r="H1885" s="55">
        <v>1</v>
      </c>
      <c r="I1885" s="55">
        <v>0</v>
      </c>
      <c r="J1885" s="55">
        <v>1</v>
      </c>
      <c r="K1885" s="55">
        <v>1.7</v>
      </c>
      <c r="L1885" s="55">
        <v>0</v>
      </c>
      <c r="M1885" s="55">
        <v>0</v>
      </c>
      <c r="N1885" s="55">
        <v>0</v>
      </c>
    </row>
    <row r="1886" spans="1:14" ht="10.050000000000001" hidden="1" customHeight="1">
      <c r="A1886" s="52" t="s">
        <v>173</v>
      </c>
      <c r="B1886" s="53">
        <v>2011</v>
      </c>
      <c r="C1886" s="52" t="s">
        <v>116</v>
      </c>
      <c r="D1886" s="54">
        <v>11</v>
      </c>
      <c r="E1886" s="55">
        <v>313093.7</v>
      </c>
      <c r="F1886" s="55">
        <v>21504.6</v>
      </c>
      <c r="G1886" s="55">
        <v>334598.3</v>
      </c>
      <c r="H1886" s="55">
        <v>3512557.1</v>
      </c>
      <c r="I1886" s="55">
        <v>55468.1</v>
      </c>
      <c r="J1886" s="55">
        <v>3568025.2</v>
      </c>
      <c r="K1886" s="55">
        <v>555565</v>
      </c>
      <c r="L1886" s="55">
        <v>43036.3</v>
      </c>
      <c r="M1886" s="55">
        <v>166217.29999999999</v>
      </c>
      <c r="N1886" s="55">
        <v>14559.9</v>
      </c>
    </row>
    <row r="1887" spans="1:14" ht="10.050000000000001" customHeight="1">
      <c r="A1887" s="52" t="s">
        <v>309</v>
      </c>
      <c r="B1887" s="53">
        <v>2011</v>
      </c>
      <c r="C1887" s="52" t="s">
        <v>116</v>
      </c>
      <c r="D1887" s="54">
        <v>11</v>
      </c>
      <c r="E1887" s="55">
        <v>7768.7</v>
      </c>
      <c r="F1887" s="55">
        <v>184.5</v>
      </c>
      <c r="G1887" s="55">
        <v>7953.2</v>
      </c>
      <c r="H1887" s="55">
        <v>82987.5</v>
      </c>
      <c r="I1887" s="55">
        <v>0</v>
      </c>
      <c r="J1887" s="55">
        <v>82987.5</v>
      </c>
      <c r="K1887" s="55">
        <v>25377.8</v>
      </c>
      <c r="L1887" s="55">
        <v>93.6</v>
      </c>
      <c r="M1887" s="55">
        <v>6850.5</v>
      </c>
      <c r="N1887" s="55">
        <v>0.1</v>
      </c>
    </row>
    <row r="1888" spans="1:14" ht="10.050000000000001" hidden="1" customHeight="1">
      <c r="A1888" s="52" t="s">
        <v>316</v>
      </c>
      <c r="B1888" s="53">
        <v>2011</v>
      </c>
      <c r="C1888" s="52" t="s">
        <v>116</v>
      </c>
      <c r="D1888" s="54">
        <v>11</v>
      </c>
      <c r="E1888" s="55">
        <v>3149.4</v>
      </c>
      <c r="F1888" s="55">
        <v>0</v>
      </c>
      <c r="G1888" s="55">
        <v>3149.4</v>
      </c>
      <c r="H1888" s="55">
        <v>7343.3</v>
      </c>
      <c r="I1888" s="55">
        <v>147</v>
      </c>
      <c r="J1888" s="55">
        <v>7490.3</v>
      </c>
      <c r="K1888" s="55">
        <v>466.2</v>
      </c>
      <c r="L1888" s="55">
        <v>314</v>
      </c>
      <c r="M1888" s="55">
        <v>314</v>
      </c>
      <c r="N1888" s="55">
        <v>18.899999999999999</v>
      </c>
    </row>
    <row r="1889" spans="1:14" ht="10.050000000000001" hidden="1" customHeight="1">
      <c r="A1889" s="52" t="s">
        <v>310</v>
      </c>
      <c r="B1889" s="53">
        <v>2011</v>
      </c>
      <c r="C1889" s="52" t="s">
        <v>116</v>
      </c>
      <c r="D1889" s="54">
        <v>11</v>
      </c>
      <c r="E1889" s="55">
        <v>4574.1000000000004</v>
      </c>
      <c r="F1889" s="55">
        <v>319.39999999999998</v>
      </c>
      <c r="G1889" s="55">
        <v>4893.5</v>
      </c>
      <c r="H1889" s="55">
        <v>34856</v>
      </c>
      <c r="I1889" s="55">
        <v>1509.4</v>
      </c>
      <c r="J1889" s="55">
        <v>36365.4</v>
      </c>
      <c r="K1889" s="55">
        <v>7612.5</v>
      </c>
      <c r="L1889" s="55">
        <v>133.19999999999999</v>
      </c>
      <c r="M1889" s="55">
        <v>3295.6</v>
      </c>
      <c r="N1889" s="55">
        <v>14.5</v>
      </c>
    </row>
    <row r="1890" spans="1:14" ht="10.050000000000001" hidden="1" customHeight="1">
      <c r="A1890" s="52" t="s">
        <v>308</v>
      </c>
      <c r="B1890" s="53">
        <v>2011</v>
      </c>
      <c r="C1890" s="52" t="s">
        <v>116</v>
      </c>
      <c r="D1890" s="54">
        <v>11</v>
      </c>
      <c r="E1890" s="55">
        <v>20887.099999999999</v>
      </c>
      <c r="F1890" s="55">
        <v>8.1</v>
      </c>
      <c r="G1890" s="55">
        <v>20895.2</v>
      </c>
      <c r="H1890" s="55">
        <v>92464.6</v>
      </c>
      <c r="I1890" s="55">
        <v>420.1</v>
      </c>
      <c r="J1890" s="55">
        <v>92884.7</v>
      </c>
      <c r="K1890" s="55">
        <v>17190.8</v>
      </c>
      <c r="L1890" s="55">
        <v>3860.2</v>
      </c>
      <c r="M1890" s="55">
        <v>4829.8</v>
      </c>
      <c r="N1890" s="55">
        <v>156.4</v>
      </c>
    </row>
    <row r="1891" spans="1:14" ht="10.050000000000001" hidden="1" customHeight="1">
      <c r="A1891" s="52" t="s">
        <v>174</v>
      </c>
      <c r="B1891" s="53">
        <v>2011</v>
      </c>
      <c r="C1891" s="52" t="s">
        <v>116</v>
      </c>
      <c r="D1891" s="54">
        <v>11</v>
      </c>
      <c r="E1891" s="55">
        <v>17552.5</v>
      </c>
      <c r="F1891" s="55">
        <v>502.2</v>
      </c>
      <c r="G1891" s="55">
        <v>18054.7</v>
      </c>
      <c r="H1891" s="55">
        <v>296277.09999999998</v>
      </c>
      <c r="I1891" s="55">
        <v>10460.1</v>
      </c>
      <c r="J1891" s="55">
        <v>306737.2</v>
      </c>
      <c r="K1891" s="55">
        <v>102528.1</v>
      </c>
      <c r="L1891" s="55">
        <v>4950.3999999999996</v>
      </c>
      <c r="M1891" s="55">
        <v>8490</v>
      </c>
      <c r="N1891" s="55">
        <v>7816.4</v>
      </c>
    </row>
    <row r="1892" spans="1:14" ht="10.050000000000001" hidden="1" customHeight="1">
      <c r="A1892" s="52" t="s">
        <v>314</v>
      </c>
      <c r="B1892" s="53">
        <v>2011</v>
      </c>
      <c r="C1892" s="52" t="s">
        <v>116</v>
      </c>
      <c r="D1892" s="54">
        <v>12</v>
      </c>
      <c r="E1892" s="55">
        <v>0</v>
      </c>
      <c r="F1892" s="55">
        <v>0</v>
      </c>
      <c r="G1892" s="55">
        <v>0</v>
      </c>
      <c r="H1892" s="55">
        <v>3.3</v>
      </c>
      <c r="I1892" s="55">
        <v>0</v>
      </c>
      <c r="J1892" s="55">
        <v>3.3</v>
      </c>
      <c r="K1892" s="55">
        <v>0</v>
      </c>
      <c r="L1892" s="55">
        <v>0</v>
      </c>
      <c r="M1892" s="55">
        <v>0</v>
      </c>
      <c r="N1892" s="55">
        <v>0</v>
      </c>
    </row>
    <row r="1893" spans="1:14" ht="10.050000000000001" hidden="1" customHeight="1">
      <c r="A1893" s="52" t="s">
        <v>306</v>
      </c>
      <c r="B1893" s="53">
        <v>2011</v>
      </c>
      <c r="C1893" s="52" t="s">
        <v>116</v>
      </c>
      <c r="D1893" s="54">
        <v>12</v>
      </c>
      <c r="E1893" s="55">
        <v>2860.5</v>
      </c>
      <c r="F1893" s="55">
        <v>699.9</v>
      </c>
      <c r="G1893" s="55">
        <v>3560.4</v>
      </c>
      <c r="H1893" s="55">
        <v>64881.2</v>
      </c>
      <c r="I1893" s="55">
        <v>4522.5</v>
      </c>
      <c r="J1893" s="55">
        <v>69403.7</v>
      </c>
      <c r="K1893" s="55">
        <v>8360.1</v>
      </c>
      <c r="L1893" s="55">
        <v>425.1</v>
      </c>
      <c r="M1893" s="55">
        <v>1038.8</v>
      </c>
      <c r="N1893" s="55">
        <v>387.7</v>
      </c>
    </row>
    <row r="1894" spans="1:14" ht="10.050000000000001" hidden="1" customHeight="1">
      <c r="A1894" s="52" t="s">
        <v>172</v>
      </c>
      <c r="B1894" s="53">
        <v>2011</v>
      </c>
      <c r="C1894" s="52" t="s">
        <v>116</v>
      </c>
      <c r="D1894" s="54">
        <v>12</v>
      </c>
      <c r="E1894" s="55">
        <v>58367</v>
      </c>
      <c r="F1894" s="55">
        <v>439.7</v>
      </c>
      <c r="G1894" s="55">
        <v>58806.7</v>
      </c>
      <c r="H1894" s="55">
        <v>484697.7</v>
      </c>
      <c r="I1894" s="55">
        <v>14707</v>
      </c>
      <c r="J1894" s="55">
        <v>499404.7</v>
      </c>
      <c r="K1894" s="55">
        <v>242296.2</v>
      </c>
      <c r="L1894" s="55">
        <v>18261.8</v>
      </c>
      <c r="M1894" s="55">
        <v>21906</v>
      </c>
      <c r="N1894" s="55">
        <v>93.3</v>
      </c>
    </row>
    <row r="1895" spans="1:14" ht="10.050000000000001" hidden="1" customHeight="1">
      <c r="A1895" s="52" t="s">
        <v>171</v>
      </c>
      <c r="B1895" s="53">
        <v>2011</v>
      </c>
      <c r="C1895" s="52" t="s">
        <v>116</v>
      </c>
      <c r="D1895" s="54">
        <v>12</v>
      </c>
      <c r="E1895" s="55">
        <v>1345717.9</v>
      </c>
      <c r="F1895" s="55">
        <v>10330.700000000001</v>
      </c>
      <c r="G1895" s="55">
        <v>1356048.6</v>
      </c>
      <c r="H1895" s="55">
        <v>7208890.5</v>
      </c>
      <c r="I1895" s="55">
        <v>117774</v>
      </c>
      <c r="J1895" s="55">
        <v>7326664.5</v>
      </c>
      <c r="K1895" s="55">
        <v>3461008.1</v>
      </c>
      <c r="L1895" s="55">
        <v>344964.9</v>
      </c>
      <c r="M1895" s="55">
        <v>630398.19999999995</v>
      </c>
      <c r="N1895" s="55">
        <v>25421.7</v>
      </c>
    </row>
    <row r="1896" spans="1:14" ht="10.050000000000001" hidden="1" customHeight="1">
      <c r="A1896" s="52" t="s">
        <v>300</v>
      </c>
      <c r="B1896" s="53">
        <v>2011</v>
      </c>
      <c r="C1896" s="52" t="s">
        <v>116</v>
      </c>
      <c r="D1896" s="54">
        <v>12</v>
      </c>
      <c r="E1896" s="55">
        <v>155.69999999999999</v>
      </c>
      <c r="F1896" s="55">
        <v>0</v>
      </c>
      <c r="G1896" s="55">
        <v>155.69999999999999</v>
      </c>
      <c r="H1896" s="55">
        <v>2039.9</v>
      </c>
      <c r="I1896" s="55">
        <v>107.4</v>
      </c>
      <c r="J1896" s="55">
        <v>2147.3000000000002</v>
      </c>
      <c r="K1896" s="55">
        <v>19.899999999999999</v>
      </c>
      <c r="L1896" s="55">
        <v>6.9</v>
      </c>
      <c r="M1896" s="55">
        <v>0</v>
      </c>
      <c r="N1896" s="55">
        <v>0</v>
      </c>
    </row>
    <row r="1897" spans="1:14" ht="10.050000000000001" hidden="1" customHeight="1">
      <c r="A1897" s="52" t="s">
        <v>307</v>
      </c>
      <c r="B1897" s="53">
        <v>2011</v>
      </c>
      <c r="C1897" s="52" t="s">
        <v>116</v>
      </c>
      <c r="D1897" s="54">
        <v>12</v>
      </c>
      <c r="E1897" s="55">
        <v>485009.3</v>
      </c>
      <c r="F1897" s="55">
        <v>64.599999999999994</v>
      </c>
      <c r="G1897" s="55">
        <v>485073.9</v>
      </c>
      <c r="H1897" s="55">
        <v>5676112.4000000004</v>
      </c>
      <c r="I1897" s="55">
        <v>96575.1</v>
      </c>
      <c r="J1897" s="55">
        <v>5772687.5</v>
      </c>
      <c r="K1897" s="55">
        <v>3008136.9</v>
      </c>
      <c r="L1897" s="55">
        <v>45042.2</v>
      </c>
      <c r="M1897" s="55">
        <v>303779.20000000001</v>
      </c>
      <c r="N1897" s="55">
        <v>63222.400000000001</v>
      </c>
    </row>
    <row r="1898" spans="1:14" ht="10.050000000000001" hidden="1" customHeight="1">
      <c r="A1898" s="52" t="s">
        <v>315</v>
      </c>
      <c r="B1898" s="53">
        <v>2011</v>
      </c>
      <c r="C1898" s="52" t="s">
        <v>116</v>
      </c>
      <c r="D1898" s="54">
        <v>12</v>
      </c>
      <c r="E1898" s="55">
        <v>1178</v>
      </c>
      <c r="F1898" s="55">
        <v>0</v>
      </c>
      <c r="G1898" s="55">
        <v>1178</v>
      </c>
      <c r="H1898" s="55">
        <v>24469.7</v>
      </c>
      <c r="I1898" s="55">
        <v>2</v>
      </c>
      <c r="J1898" s="55">
        <v>24471.7</v>
      </c>
      <c r="K1898" s="55">
        <v>2593.6999999999998</v>
      </c>
      <c r="L1898" s="55">
        <v>2.2000000000000002</v>
      </c>
      <c r="M1898" s="55">
        <v>804.5</v>
      </c>
      <c r="N1898" s="55">
        <v>24.9</v>
      </c>
    </row>
    <row r="1899" spans="1:14" ht="10.050000000000001" hidden="1" customHeight="1">
      <c r="A1899" s="52" t="s">
        <v>311</v>
      </c>
      <c r="B1899" s="53">
        <v>2011</v>
      </c>
      <c r="C1899" s="52" t="s">
        <v>116</v>
      </c>
      <c r="D1899" s="54">
        <v>12</v>
      </c>
      <c r="E1899" s="55">
        <v>0</v>
      </c>
      <c r="F1899" s="55">
        <v>0</v>
      </c>
      <c r="G1899" s="55">
        <v>0</v>
      </c>
      <c r="H1899" s="55">
        <v>0.8</v>
      </c>
      <c r="I1899" s="55">
        <v>0</v>
      </c>
      <c r="J1899" s="55">
        <v>0.8</v>
      </c>
      <c r="K1899" s="55">
        <v>1.7</v>
      </c>
      <c r="L1899" s="55">
        <v>0</v>
      </c>
      <c r="M1899" s="55">
        <v>0</v>
      </c>
      <c r="N1899" s="55">
        <v>0</v>
      </c>
    </row>
    <row r="1900" spans="1:14" ht="10.050000000000001" hidden="1" customHeight="1">
      <c r="A1900" s="52" t="s">
        <v>173</v>
      </c>
      <c r="B1900" s="53">
        <v>2011</v>
      </c>
      <c r="C1900" s="52" t="s">
        <v>116</v>
      </c>
      <c r="D1900" s="54">
        <v>12</v>
      </c>
      <c r="E1900" s="55">
        <v>202419.6</v>
      </c>
      <c r="F1900" s="55">
        <v>9296</v>
      </c>
      <c r="G1900" s="55">
        <v>211715.6</v>
      </c>
      <c r="H1900" s="55">
        <v>3236226.5</v>
      </c>
      <c r="I1900" s="55">
        <v>51433.4</v>
      </c>
      <c r="J1900" s="55">
        <v>3287659.9</v>
      </c>
      <c r="K1900" s="55">
        <v>511894.1</v>
      </c>
      <c r="L1900" s="55">
        <v>46787.3</v>
      </c>
      <c r="M1900" s="55">
        <v>79367.8</v>
      </c>
      <c r="N1900" s="55">
        <v>11000.5</v>
      </c>
    </row>
    <row r="1901" spans="1:14" ht="10.050000000000001" customHeight="1">
      <c r="A1901" s="52" t="s">
        <v>309</v>
      </c>
      <c r="B1901" s="53">
        <v>2011</v>
      </c>
      <c r="C1901" s="52" t="s">
        <v>116</v>
      </c>
      <c r="D1901" s="54">
        <v>12</v>
      </c>
      <c r="E1901" s="55">
        <v>4479.8999999999996</v>
      </c>
      <c r="F1901" s="55">
        <v>0</v>
      </c>
      <c r="G1901" s="55">
        <v>4479.8999999999996</v>
      </c>
      <c r="H1901" s="55">
        <v>79257.8</v>
      </c>
      <c r="I1901" s="55">
        <v>0</v>
      </c>
      <c r="J1901" s="55">
        <v>79257.8</v>
      </c>
      <c r="K1901" s="55">
        <v>21269.7</v>
      </c>
      <c r="L1901" s="55">
        <v>91.6</v>
      </c>
      <c r="M1901" s="55">
        <v>4199.7</v>
      </c>
      <c r="N1901" s="55">
        <v>0</v>
      </c>
    </row>
    <row r="1902" spans="1:14" ht="10.050000000000001" hidden="1" customHeight="1">
      <c r="A1902" s="52" t="s">
        <v>316</v>
      </c>
      <c r="B1902" s="53">
        <v>2011</v>
      </c>
      <c r="C1902" s="52" t="s">
        <v>116</v>
      </c>
      <c r="D1902" s="54">
        <v>12</v>
      </c>
      <c r="E1902" s="55">
        <v>649.6</v>
      </c>
      <c r="F1902" s="55">
        <v>0</v>
      </c>
      <c r="G1902" s="55">
        <v>649.6</v>
      </c>
      <c r="H1902" s="55">
        <v>7090.6</v>
      </c>
      <c r="I1902" s="55">
        <v>147</v>
      </c>
      <c r="J1902" s="55">
        <v>7237.6</v>
      </c>
      <c r="K1902" s="55">
        <v>393.8</v>
      </c>
      <c r="L1902" s="55">
        <v>39.1</v>
      </c>
      <c r="M1902" s="55">
        <v>110.5</v>
      </c>
      <c r="N1902" s="55">
        <v>1</v>
      </c>
    </row>
    <row r="1903" spans="1:14" ht="10.050000000000001" hidden="1" customHeight="1">
      <c r="A1903" s="52" t="s">
        <v>310</v>
      </c>
      <c r="B1903" s="53">
        <v>2011</v>
      </c>
      <c r="C1903" s="52" t="s">
        <v>116</v>
      </c>
      <c r="D1903" s="54">
        <v>12</v>
      </c>
      <c r="E1903" s="55">
        <v>2873.8</v>
      </c>
      <c r="F1903" s="55">
        <v>0</v>
      </c>
      <c r="G1903" s="55">
        <v>2873.8</v>
      </c>
      <c r="H1903" s="55">
        <v>31398.6</v>
      </c>
      <c r="I1903" s="55">
        <v>1401.3</v>
      </c>
      <c r="J1903" s="55">
        <v>32799.9</v>
      </c>
      <c r="K1903" s="55">
        <v>6464.1</v>
      </c>
      <c r="L1903" s="55">
        <v>124.9</v>
      </c>
      <c r="M1903" s="55">
        <v>1238</v>
      </c>
      <c r="N1903" s="55">
        <v>35.4</v>
      </c>
    </row>
    <row r="1904" spans="1:14" ht="10.050000000000001" hidden="1" customHeight="1">
      <c r="A1904" s="52" t="s">
        <v>308</v>
      </c>
      <c r="B1904" s="53">
        <v>2011</v>
      </c>
      <c r="C1904" s="52" t="s">
        <v>116</v>
      </c>
      <c r="D1904" s="54">
        <v>12</v>
      </c>
      <c r="E1904" s="55">
        <v>4259.3</v>
      </c>
      <c r="F1904" s="55">
        <v>0</v>
      </c>
      <c r="G1904" s="55">
        <v>4259.3</v>
      </c>
      <c r="H1904" s="55">
        <v>83628</v>
      </c>
      <c r="I1904" s="55">
        <v>392.1</v>
      </c>
      <c r="J1904" s="55">
        <v>84020.1</v>
      </c>
      <c r="K1904" s="55">
        <v>14171.1</v>
      </c>
      <c r="L1904" s="55">
        <v>172.8</v>
      </c>
      <c r="M1904" s="55">
        <v>2931.2</v>
      </c>
      <c r="N1904" s="55">
        <v>261.10000000000002</v>
      </c>
    </row>
    <row r="1905" spans="1:14" ht="10.050000000000001" hidden="1" customHeight="1">
      <c r="A1905" s="52" t="s">
        <v>174</v>
      </c>
      <c r="B1905" s="53">
        <v>2011</v>
      </c>
      <c r="C1905" s="52" t="s">
        <v>116</v>
      </c>
      <c r="D1905" s="54">
        <v>12</v>
      </c>
      <c r="E1905" s="55">
        <v>13058.2</v>
      </c>
      <c r="F1905" s="55">
        <v>104.2</v>
      </c>
      <c r="G1905" s="55">
        <v>13162.4</v>
      </c>
      <c r="H1905" s="55">
        <v>258489.4</v>
      </c>
      <c r="I1905" s="55">
        <v>9225.9</v>
      </c>
      <c r="J1905" s="55">
        <v>267715.3</v>
      </c>
      <c r="K1905" s="55">
        <v>92034.5</v>
      </c>
      <c r="L1905" s="55">
        <v>2688.9</v>
      </c>
      <c r="M1905" s="55">
        <v>5841.7</v>
      </c>
      <c r="N1905" s="55">
        <v>7311.7</v>
      </c>
    </row>
    <row r="1906" spans="1:14" ht="10.050000000000001" hidden="1" customHeight="1">
      <c r="A1906" s="52" t="s">
        <v>314</v>
      </c>
      <c r="B1906" s="53">
        <v>2012</v>
      </c>
      <c r="C1906" s="52" t="s">
        <v>116</v>
      </c>
      <c r="D1906" s="54">
        <v>1</v>
      </c>
      <c r="E1906" s="55">
        <v>0</v>
      </c>
      <c r="F1906" s="55">
        <v>0</v>
      </c>
      <c r="G1906" s="55">
        <v>0</v>
      </c>
      <c r="H1906" s="55">
        <v>3.3</v>
      </c>
      <c r="I1906" s="55">
        <v>0</v>
      </c>
      <c r="J1906" s="55">
        <v>3.3</v>
      </c>
      <c r="K1906" s="55">
        <v>0</v>
      </c>
      <c r="L1906" s="55">
        <v>0</v>
      </c>
      <c r="M1906" s="55">
        <v>0</v>
      </c>
      <c r="N1906" s="55">
        <v>0</v>
      </c>
    </row>
    <row r="1907" spans="1:14" ht="10.050000000000001" hidden="1" customHeight="1">
      <c r="A1907" s="52" t="s">
        <v>306</v>
      </c>
      <c r="B1907" s="53">
        <v>2012</v>
      </c>
      <c r="C1907" s="52" t="s">
        <v>116</v>
      </c>
      <c r="D1907" s="54">
        <v>1</v>
      </c>
      <c r="E1907" s="55">
        <v>4635.5</v>
      </c>
      <c r="F1907" s="55">
        <v>215.6</v>
      </c>
      <c r="G1907" s="55">
        <v>4851.1000000000004</v>
      </c>
      <c r="H1907" s="55">
        <v>57327.199999999997</v>
      </c>
      <c r="I1907" s="55">
        <v>4083.7</v>
      </c>
      <c r="J1907" s="55">
        <v>61410.9</v>
      </c>
      <c r="K1907" s="55">
        <v>6130.1</v>
      </c>
      <c r="L1907" s="55">
        <v>569.9</v>
      </c>
      <c r="M1907" s="55">
        <v>2467.9</v>
      </c>
      <c r="N1907" s="55">
        <v>363.1</v>
      </c>
    </row>
    <row r="1908" spans="1:14" ht="10.050000000000001" hidden="1" customHeight="1">
      <c r="A1908" s="52" t="s">
        <v>172</v>
      </c>
      <c r="B1908" s="53">
        <v>2012</v>
      </c>
      <c r="C1908" s="52" t="s">
        <v>116</v>
      </c>
      <c r="D1908" s="54">
        <v>1</v>
      </c>
      <c r="E1908" s="55">
        <v>106190.3</v>
      </c>
      <c r="F1908" s="55">
        <v>870.8</v>
      </c>
      <c r="G1908" s="55">
        <v>107061.1</v>
      </c>
      <c r="H1908" s="55">
        <v>412059.1</v>
      </c>
      <c r="I1908" s="55">
        <v>12234.5</v>
      </c>
      <c r="J1908" s="55">
        <v>424293.6</v>
      </c>
      <c r="K1908" s="55">
        <v>203708.5</v>
      </c>
      <c r="L1908" s="55">
        <v>14079.8</v>
      </c>
      <c r="M1908" s="55">
        <v>49703.8</v>
      </c>
      <c r="N1908" s="55">
        <v>2963.8</v>
      </c>
    </row>
    <row r="1909" spans="1:14" ht="10.050000000000001" hidden="1" customHeight="1">
      <c r="A1909" s="52" t="s">
        <v>171</v>
      </c>
      <c r="B1909" s="53">
        <v>2012</v>
      </c>
      <c r="C1909" s="52" t="s">
        <v>116</v>
      </c>
      <c r="D1909" s="54">
        <v>1</v>
      </c>
      <c r="E1909" s="55">
        <v>2592973.4</v>
      </c>
      <c r="F1909" s="55">
        <v>8435.7999999999993</v>
      </c>
      <c r="G1909" s="55">
        <v>2601409.2000000002</v>
      </c>
      <c r="H1909" s="55">
        <v>7164902.4000000097</v>
      </c>
      <c r="I1909" s="55">
        <v>105608.6</v>
      </c>
      <c r="J1909" s="55">
        <v>7270511.0000000102</v>
      </c>
      <c r="K1909" s="55">
        <v>2652079.2999999998</v>
      </c>
      <c r="L1909" s="55">
        <v>448136.4</v>
      </c>
      <c r="M1909" s="55">
        <v>1204121.8</v>
      </c>
      <c r="N1909" s="55">
        <v>53109</v>
      </c>
    </row>
    <row r="1910" spans="1:14" ht="10.050000000000001" hidden="1" customHeight="1">
      <c r="A1910" s="52" t="s">
        <v>300</v>
      </c>
      <c r="B1910" s="53">
        <v>2012</v>
      </c>
      <c r="C1910" s="52" t="s">
        <v>116</v>
      </c>
      <c r="D1910" s="54">
        <v>1</v>
      </c>
      <c r="E1910" s="55">
        <v>164.2</v>
      </c>
      <c r="F1910" s="55">
        <v>192.1</v>
      </c>
      <c r="G1910" s="55">
        <v>356.3</v>
      </c>
      <c r="H1910" s="55">
        <v>2179.5</v>
      </c>
      <c r="I1910" s="55">
        <v>107.4</v>
      </c>
      <c r="J1910" s="55">
        <v>2286.9</v>
      </c>
      <c r="K1910" s="55">
        <v>7.6</v>
      </c>
      <c r="L1910" s="55">
        <v>0</v>
      </c>
      <c r="M1910" s="55">
        <v>12.3</v>
      </c>
      <c r="N1910" s="55">
        <v>6</v>
      </c>
    </row>
    <row r="1911" spans="1:14" ht="10.050000000000001" hidden="1" customHeight="1">
      <c r="A1911" s="52" t="s">
        <v>307</v>
      </c>
      <c r="B1911" s="53">
        <v>2012</v>
      </c>
      <c r="C1911" s="52" t="s">
        <v>116</v>
      </c>
      <c r="D1911" s="54">
        <v>1</v>
      </c>
      <c r="E1911" s="55">
        <v>838029.3</v>
      </c>
      <c r="F1911" s="55">
        <v>14795.3</v>
      </c>
      <c r="G1911" s="55">
        <v>852824.6</v>
      </c>
      <c r="H1911" s="55">
        <v>5363276.2</v>
      </c>
      <c r="I1911" s="55">
        <v>86558.7</v>
      </c>
      <c r="J1911" s="55">
        <v>5449834.9000000004</v>
      </c>
      <c r="K1911" s="55">
        <v>2273752.2000000002</v>
      </c>
      <c r="L1911" s="55">
        <v>36240</v>
      </c>
      <c r="M1911" s="55">
        <v>642339.9</v>
      </c>
      <c r="N1911" s="55">
        <v>127702.9</v>
      </c>
    </row>
    <row r="1912" spans="1:14" ht="10.050000000000001" hidden="1" customHeight="1">
      <c r="A1912" s="52" t="s">
        <v>315</v>
      </c>
      <c r="B1912" s="53">
        <v>2012</v>
      </c>
      <c r="C1912" s="52" t="s">
        <v>116</v>
      </c>
      <c r="D1912" s="54">
        <v>1</v>
      </c>
      <c r="E1912" s="55">
        <v>1197.9000000000001</v>
      </c>
      <c r="F1912" s="55">
        <v>0</v>
      </c>
      <c r="G1912" s="55">
        <v>1197.9000000000001</v>
      </c>
      <c r="H1912" s="55">
        <v>22878</v>
      </c>
      <c r="I1912" s="55">
        <v>2</v>
      </c>
      <c r="J1912" s="55">
        <v>22880</v>
      </c>
      <c r="K1912" s="55">
        <v>1644.5</v>
      </c>
      <c r="L1912" s="55">
        <v>12.5</v>
      </c>
      <c r="M1912" s="55">
        <v>961.2</v>
      </c>
      <c r="N1912" s="55">
        <v>0.5</v>
      </c>
    </row>
    <row r="1913" spans="1:14" ht="10.050000000000001" hidden="1" customHeight="1">
      <c r="A1913" s="52" t="s">
        <v>311</v>
      </c>
      <c r="B1913" s="53">
        <v>2012</v>
      </c>
      <c r="C1913" s="52" t="s">
        <v>116</v>
      </c>
      <c r="D1913" s="54">
        <v>1</v>
      </c>
      <c r="E1913" s="55">
        <v>0</v>
      </c>
      <c r="F1913" s="55">
        <v>0</v>
      </c>
      <c r="G1913" s="55">
        <v>0</v>
      </c>
      <c r="H1913" s="55">
        <v>0.8</v>
      </c>
      <c r="I1913" s="55">
        <v>0</v>
      </c>
      <c r="J1913" s="55">
        <v>0.8</v>
      </c>
      <c r="K1913" s="55">
        <v>1.7</v>
      </c>
      <c r="L1913" s="55">
        <v>0</v>
      </c>
      <c r="M1913" s="55">
        <v>0</v>
      </c>
      <c r="N1913" s="55">
        <v>0</v>
      </c>
    </row>
    <row r="1914" spans="1:14" ht="10.050000000000001" hidden="1" customHeight="1">
      <c r="A1914" s="52" t="s">
        <v>173</v>
      </c>
      <c r="B1914" s="53">
        <v>2012</v>
      </c>
      <c r="C1914" s="52" t="s">
        <v>116</v>
      </c>
      <c r="D1914" s="54">
        <v>1</v>
      </c>
      <c r="E1914" s="55">
        <v>358881.9</v>
      </c>
      <c r="F1914" s="55">
        <v>9539</v>
      </c>
      <c r="G1914" s="55">
        <v>368420.9</v>
      </c>
      <c r="H1914" s="55">
        <v>2980732.9</v>
      </c>
      <c r="I1914" s="55">
        <v>39209.300000000003</v>
      </c>
      <c r="J1914" s="55">
        <v>3019942.2</v>
      </c>
      <c r="K1914" s="55">
        <v>385814.4</v>
      </c>
      <c r="L1914" s="55">
        <v>51516.5</v>
      </c>
      <c r="M1914" s="55">
        <v>161931.5</v>
      </c>
      <c r="N1914" s="55">
        <v>15665</v>
      </c>
    </row>
    <row r="1915" spans="1:14" ht="10.050000000000001" customHeight="1">
      <c r="A1915" s="52" t="s">
        <v>309</v>
      </c>
      <c r="B1915" s="53">
        <v>2012</v>
      </c>
      <c r="C1915" s="52" t="s">
        <v>116</v>
      </c>
      <c r="D1915" s="54">
        <v>1</v>
      </c>
      <c r="E1915" s="55">
        <v>2807.6</v>
      </c>
      <c r="F1915" s="55">
        <v>0</v>
      </c>
      <c r="G1915" s="55">
        <v>2807.6</v>
      </c>
      <c r="H1915" s="55">
        <v>76972.399999999994</v>
      </c>
      <c r="I1915" s="55">
        <v>0</v>
      </c>
      <c r="J1915" s="55">
        <v>76972.399999999994</v>
      </c>
      <c r="K1915" s="55">
        <v>18662.8</v>
      </c>
      <c r="L1915" s="55">
        <v>0</v>
      </c>
      <c r="M1915" s="55">
        <v>2606.9</v>
      </c>
      <c r="N1915" s="55">
        <v>0</v>
      </c>
    </row>
    <row r="1916" spans="1:14" ht="10.050000000000001" hidden="1" customHeight="1">
      <c r="A1916" s="52" t="s">
        <v>316</v>
      </c>
      <c r="B1916" s="53">
        <v>2012</v>
      </c>
      <c r="C1916" s="52" t="s">
        <v>116</v>
      </c>
      <c r="D1916" s="54">
        <v>1</v>
      </c>
      <c r="E1916" s="55">
        <v>568.29999999999995</v>
      </c>
      <c r="F1916" s="55">
        <v>12.9</v>
      </c>
      <c r="G1916" s="55">
        <v>581.20000000000005</v>
      </c>
      <c r="H1916" s="55">
        <v>7105.6</v>
      </c>
      <c r="I1916" s="55">
        <v>159.9</v>
      </c>
      <c r="J1916" s="55">
        <v>7265.5</v>
      </c>
      <c r="K1916" s="55">
        <v>289.8</v>
      </c>
      <c r="L1916" s="55">
        <v>0.4</v>
      </c>
      <c r="M1916" s="55">
        <v>104.4</v>
      </c>
      <c r="N1916" s="55">
        <v>0</v>
      </c>
    </row>
    <row r="1917" spans="1:14" ht="10.050000000000001" hidden="1" customHeight="1">
      <c r="A1917" s="52" t="s">
        <v>310</v>
      </c>
      <c r="B1917" s="53">
        <v>2012</v>
      </c>
      <c r="C1917" s="52" t="s">
        <v>116</v>
      </c>
      <c r="D1917" s="54">
        <v>1</v>
      </c>
      <c r="E1917" s="55">
        <v>3762.4</v>
      </c>
      <c r="F1917" s="55">
        <v>0</v>
      </c>
      <c r="G1917" s="55">
        <v>3762.4</v>
      </c>
      <c r="H1917" s="55">
        <v>29093.599999999999</v>
      </c>
      <c r="I1917" s="55">
        <v>1391.8</v>
      </c>
      <c r="J1917" s="55">
        <v>30485.4</v>
      </c>
      <c r="K1917" s="55">
        <v>4335</v>
      </c>
      <c r="L1917" s="55">
        <v>59</v>
      </c>
      <c r="M1917" s="55">
        <v>2054.5</v>
      </c>
      <c r="N1917" s="55">
        <v>133.69999999999999</v>
      </c>
    </row>
    <row r="1918" spans="1:14" ht="10.050000000000001" hidden="1" customHeight="1">
      <c r="A1918" s="52" t="s">
        <v>308</v>
      </c>
      <c r="B1918" s="53">
        <v>2012</v>
      </c>
      <c r="C1918" s="52" t="s">
        <v>116</v>
      </c>
      <c r="D1918" s="54">
        <v>1</v>
      </c>
      <c r="E1918" s="55">
        <v>5944.6</v>
      </c>
      <c r="F1918" s="55">
        <v>141.4</v>
      </c>
      <c r="G1918" s="55">
        <v>6086</v>
      </c>
      <c r="H1918" s="55">
        <v>71489.100000000006</v>
      </c>
      <c r="I1918" s="55">
        <v>389.9</v>
      </c>
      <c r="J1918" s="55">
        <v>71879</v>
      </c>
      <c r="K1918" s="55">
        <v>9326.9</v>
      </c>
      <c r="L1918" s="55">
        <v>47.8</v>
      </c>
      <c r="M1918" s="55">
        <v>4761.3999999999996</v>
      </c>
      <c r="N1918" s="55">
        <v>130.69999999999999</v>
      </c>
    </row>
    <row r="1919" spans="1:14" ht="10.050000000000001" hidden="1" customHeight="1">
      <c r="A1919" s="52" t="s">
        <v>174</v>
      </c>
      <c r="B1919" s="53">
        <v>2012</v>
      </c>
      <c r="C1919" s="52" t="s">
        <v>116</v>
      </c>
      <c r="D1919" s="54">
        <v>1</v>
      </c>
      <c r="E1919" s="55">
        <v>21582.1</v>
      </c>
      <c r="F1919" s="55">
        <v>163.80000000000001</v>
      </c>
      <c r="G1919" s="55">
        <v>21745.9</v>
      </c>
      <c r="H1919" s="55">
        <v>223052.6</v>
      </c>
      <c r="I1919" s="55">
        <v>8749.1</v>
      </c>
      <c r="J1919" s="55">
        <v>231801.7</v>
      </c>
      <c r="K1919" s="55">
        <v>74073.899999999994</v>
      </c>
      <c r="L1919" s="55">
        <v>2156.4</v>
      </c>
      <c r="M1919" s="55">
        <v>12421.2</v>
      </c>
      <c r="N1919" s="55">
        <v>7695.8</v>
      </c>
    </row>
    <row r="1920" spans="1:14" ht="10.050000000000001" hidden="1" customHeight="1">
      <c r="A1920" s="52" t="s">
        <v>314</v>
      </c>
      <c r="B1920" s="53">
        <v>2012</v>
      </c>
      <c r="C1920" s="52" t="s">
        <v>116</v>
      </c>
      <c r="D1920" s="54">
        <v>2</v>
      </c>
      <c r="E1920" s="55">
        <v>0</v>
      </c>
      <c r="F1920" s="55">
        <v>0</v>
      </c>
      <c r="G1920" s="55">
        <v>0</v>
      </c>
      <c r="H1920" s="55">
        <v>3.3</v>
      </c>
      <c r="I1920" s="55">
        <v>0</v>
      </c>
      <c r="J1920" s="55">
        <v>3.3</v>
      </c>
      <c r="K1920" s="55">
        <v>0</v>
      </c>
      <c r="L1920" s="55">
        <v>0</v>
      </c>
      <c r="M1920" s="55">
        <v>0</v>
      </c>
      <c r="N1920" s="55">
        <v>0</v>
      </c>
    </row>
    <row r="1921" spans="1:14" ht="10.050000000000001" hidden="1" customHeight="1">
      <c r="A1921" s="52" t="s">
        <v>306</v>
      </c>
      <c r="B1921" s="53">
        <v>2012</v>
      </c>
      <c r="C1921" s="52" t="s">
        <v>116</v>
      </c>
      <c r="D1921" s="54">
        <v>2</v>
      </c>
      <c r="E1921" s="55">
        <v>2716.9</v>
      </c>
      <c r="F1921" s="55">
        <v>78.900000000000006</v>
      </c>
      <c r="G1921" s="55">
        <v>2795.8</v>
      </c>
      <c r="H1921" s="55">
        <v>48937.9</v>
      </c>
      <c r="I1921" s="55">
        <v>3376.7</v>
      </c>
      <c r="J1921" s="55">
        <v>52314.6</v>
      </c>
      <c r="K1921" s="55">
        <v>4919.2</v>
      </c>
      <c r="L1921" s="55">
        <v>254.7</v>
      </c>
      <c r="M1921" s="55">
        <v>1124.9000000000001</v>
      </c>
      <c r="N1921" s="55">
        <v>309.8</v>
      </c>
    </row>
    <row r="1922" spans="1:14" ht="10.050000000000001" hidden="1" customHeight="1">
      <c r="A1922" s="52" t="s">
        <v>172</v>
      </c>
      <c r="B1922" s="53">
        <v>2012</v>
      </c>
      <c r="C1922" s="52" t="s">
        <v>116</v>
      </c>
      <c r="D1922" s="54">
        <v>2</v>
      </c>
      <c r="E1922" s="55">
        <v>55619.4</v>
      </c>
      <c r="F1922" s="55">
        <v>850.8</v>
      </c>
      <c r="G1922" s="55">
        <v>56470.2</v>
      </c>
      <c r="H1922" s="55">
        <v>308514</v>
      </c>
      <c r="I1922" s="55">
        <v>11706.7</v>
      </c>
      <c r="J1922" s="55">
        <v>320220.7</v>
      </c>
      <c r="K1922" s="55">
        <v>179493.1</v>
      </c>
      <c r="L1922" s="55">
        <v>6394.2</v>
      </c>
      <c r="M1922" s="55">
        <v>27883</v>
      </c>
      <c r="N1922" s="55">
        <v>2726.5</v>
      </c>
    </row>
    <row r="1923" spans="1:14" ht="10.050000000000001" hidden="1" customHeight="1">
      <c r="A1923" s="52" t="s">
        <v>171</v>
      </c>
      <c r="B1923" s="53">
        <v>2012</v>
      </c>
      <c r="C1923" s="52" t="s">
        <v>116</v>
      </c>
      <c r="D1923" s="54">
        <v>2</v>
      </c>
      <c r="E1923" s="55">
        <v>1540741.4</v>
      </c>
      <c r="F1923" s="55">
        <v>3939.1</v>
      </c>
      <c r="G1923" s="55">
        <v>1544680.5</v>
      </c>
      <c r="H1923" s="55">
        <v>6410700.4000000004</v>
      </c>
      <c r="I1923" s="55">
        <v>96140.6</v>
      </c>
      <c r="J1923" s="55">
        <v>6506841</v>
      </c>
      <c r="K1923" s="55">
        <v>2079987</v>
      </c>
      <c r="L1923" s="55">
        <v>231872.6</v>
      </c>
      <c r="M1923" s="55">
        <v>782060.8</v>
      </c>
      <c r="N1923" s="55">
        <v>21883.4</v>
      </c>
    </row>
    <row r="1924" spans="1:14" ht="10.050000000000001" hidden="1" customHeight="1">
      <c r="A1924" s="52" t="s">
        <v>300</v>
      </c>
      <c r="B1924" s="53">
        <v>2012</v>
      </c>
      <c r="C1924" s="52" t="s">
        <v>116</v>
      </c>
      <c r="D1924" s="54">
        <v>2</v>
      </c>
      <c r="E1924" s="55">
        <v>213.7</v>
      </c>
      <c r="F1924" s="55">
        <v>0</v>
      </c>
      <c r="G1924" s="55">
        <v>213.7</v>
      </c>
      <c r="H1924" s="55">
        <v>1697.1</v>
      </c>
      <c r="I1924" s="55">
        <v>107.4</v>
      </c>
      <c r="J1924" s="55">
        <v>1804.5</v>
      </c>
      <c r="K1924" s="55">
        <v>0</v>
      </c>
      <c r="L1924" s="55">
        <v>0</v>
      </c>
      <c r="M1924" s="55">
        <v>7.6</v>
      </c>
      <c r="N1924" s="55">
        <v>0</v>
      </c>
    </row>
    <row r="1925" spans="1:14" ht="10.050000000000001" hidden="1" customHeight="1">
      <c r="A1925" s="52" t="s">
        <v>307</v>
      </c>
      <c r="B1925" s="53">
        <v>2012</v>
      </c>
      <c r="C1925" s="52" t="s">
        <v>116</v>
      </c>
      <c r="D1925" s="54">
        <v>2</v>
      </c>
      <c r="E1925" s="55">
        <v>521765.4</v>
      </c>
      <c r="F1925" s="55">
        <v>585.4</v>
      </c>
      <c r="G1925" s="55">
        <v>522350.8</v>
      </c>
      <c r="H1925" s="55">
        <v>4777541</v>
      </c>
      <c r="I1925" s="55">
        <v>71698.2</v>
      </c>
      <c r="J1925" s="55">
        <v>4849239.2</v>
      </c>
      <c r="K1925" s="55">
        <v>1924773.4</v>
      </c>
      <c r="L1925" s="55">
        <v>35559.5</v>
      </c>
      <c r="M1925" s="55">
        <v>328940.40000000002</v>
      </c>
      <c r="N1925" s="55">
        <v>55597.9</v>
      </c>
    </row>
    <row r="1926" spans="1:14" ht="10.050000000000001" hidden="1" customHeight="1">
      <c r="A1926" s="52" t="s">
        <v>315</v>
      </c>
      <c r="B1926" s="53">
        <v>2012</v>
      </c>
      <c r="C1926" s="52" t="s">
        <v>116</v>
      </c>
      <c r="D1926" s="54">
        <v>2</v>
      </c>
      <c r="E1926" s="55">
        <v>468.3</v>
      </c>
      <c r="F1926" s="55">
        <v>0</v>
      </c>
      <c r="G1926" s="55">
        <v>468.3</v>
      </c>
      <c r="H1926" s="55">
        <v>20496.7</v>
      </c>
      <c r="I1926" s="55">
        <v>0</v>
      </c>
      <c r="J1926" s="55">
        <v>20496.7</v>
      </c>
      <c r="K1926" s="55">
        <v>1378</v>
      </c>
      <c r="L1926" s="55">
        <v>32</v>
      </c>
      <c r="M1926" s="55">
        <v>298.39999999999998</v>
      </c>
      <c r="N1926" s="55">
        <v>0</v>
      </c>
    </row>
    <row r="1927" spans="1:14" ht="10.050000000000001" hidden="1" customHeight="1">
      <c r="A1927" s="52" t="s">
        <v>311</v>
      </c>
      <c r="B1927" s="53">
        <v>2012</v>
      </c>
      <c r="C1927" s="52" t="s">
        <v>116</v>
      </c>
      <c r="D1927" s="54">
        <v>2</v>
      </c>
      <c r="E1927" s="55">
        <v>0</v>
      </c>
      <c r="F1927" s="55">
        <v>0</v>
      </c>
      <c r="G1927" s="55">
        <v>0</v>
      </c>
      <c r="H1927" s="55">
        <v>0.8</v>
      </c>
      <c r="I1927" s="55">
        <v>0</v>
      </c>
      <c r="J1927" s="55">
        <v>0.8</v>
      </c>
      <c r="K1927" s="55">
        <v>1.7</v>
      </c>
      <c r="L1927" s="55">
        <v>0</v>
      </c>
      <c r="M1927" s="55">
        <v>0</v>
      </c>
      <c r="N1927" s="55">
        <v>0</v>
      </c>
    </row>
    <row r="1928" spans="1:14" ht="10.050000000000001" hidden="1" customHeight="1">
      <c r="A1928" s="52" t="s">
        <v>173</v>
      </c>
      <c r="B1928" s="53">
        <v>2012</v>
      </c>
      <c r="C1928" s="52" t="s">
        <v>116</v>
      </c>
      <c r="D1928" s="54">
        <v>2</v>
      </c>
      <c r="E1928" s="55">
        <v>225555.9</v>
      </c>
      <c r="F1928" s="55">
        <v>3551.2</v>
      </c>
      <c r="G1928" s="55">
        <v>229107.1</v>
      </c>
      <c r="H1928" s="55">
        <v>2699995.2</v>
      </c>
      <c r="I1928" s="55">
        <v>34236.199999999997</v>
      </c>
      <c r="J1928" s="55">
        <v>2734231.4</v>
      </c>
      <c r="K1928" s="55">
        <v>276035.5</v>
      </c>
      <c r="L1928" s="55">
        <v>24138.5</v>
      </c>
      <c r="M1928" s="55">
        <v>115974.9</v>
      </c>
      <c r="N1928" s="55">
        <v>17929.099999999999</v>
      </c>
    </row>
    <row r="1929" spans="1:14" ht="10.050000000000001" customHeight="1">
      <c r="A1929" s="52" t="s">
        <v>309</v>
      </c>
      <c r="B1929" s="53">
        <v>2012</v>
      </c>
      <c r="C1929" s="52" t="s">
        <v>116</v>
      </c>
      <c r="D1929" s="54">
        <v>2</v>
      </c>
      <c r="E1929" s="55">
        <v>3717.1</v>
      </c>
      <c r="F1929" s="55">
        <v>0</v>
      </c>
      <c r="G1929" s="55">
        <v>3717.1</v>
      </c>
      <c r="H1929" s="55">
        <v>76214.3</v>
      </c>
      <c r="I1929" s="55">
        <v>0</v>
      </c>
      <c r="J1929" s="55">
        <v>76214.3</v>
      </c>
      <c r="K1929" s="55">
        <v>14945.7</v>
      </c>
      <c r="L1929" s="55">
        <v>0</v>
      </c>
      <c r="M1929" s="55">
        <v>3717.1</v>
      </c>
      <c r="N1929" s="55">
        <v>0</v>
      </c>
    </row>
    <row r="1930" spans="1:14" ht="10.050000000000001" hidden="1" customHeight="1">
      <c r="A1930" s="52" t="s">
        <v>316</v>
      </c>
      <c r="B1930" s="53">
        <v>2012</v>
      </c>
      <c r="C1930" s="52" t="s">
        <v>116</v>
      </c>
      <c r="D1930" s="54">
        <v>2</v>
      </c>
      <c r="E1930" s="55">
        <v>304.10000000000002</v>
      </c>
      <c r="F1930" s="55">
        <v>40.5</v>
      </c>
      <c r="G1930" s="55">
        <v>344.6</v>
      </c>
      <c r="H1930" s="55">
        <v>7198.6</v>
      </c>
      <c r="I1930" s="55">
        <v>90.9</v>
      </c>
      <c r="J1930" s="55">
        <v>7289.5</v>
      </c>
      <c r="K1930" s="55">
        <v>193.1</v>
      </c>
      <c r="L1930" s="55">
        <v>0.1</v>
      </c>
      <c r="M1930" s="55">
        <v>96.700000000000102</v>
      </c>
      <c r="N1930" s="55">
        <v>0.1</v>
      </c>
    </row>
    <row r="1931" spans="1:14" ht="10.050000000000001" hidden="1" customHeight="1">
      <c r="A1931" s="52" t="s">
        <v>310</v>
      </c>
      <c r="B1931" s="53">
        <v>2012</v>
      </c>
      <c r="C1931" s="52" t="s">
        <v>116</v>
      </c>
      <c r="D1931" s="54">
        <v>2</v>
      </c>
      <c r="E1931" s="55">
        <v>2210.3000000000002</v>
      </c>
      <c r="F1931" s="55">
        <v>0</v>
      </c>
      <c r="G1931" s="55">
        <v>2210.3000000000002</v>
      </c>
      <c r="H1931" s="55">
        <v>25776.9</v>
      </c>
      <c r="I1931" s="55">
        <v>1390.8</v>
      </c>
      <c r="J1931" s="55">
        <v>27167.7</v>
      </c>
      <c r="K1931" s="55">
        <v>3400.2</v>
      </c>
      <c r="L1931" s="55">
        <v>201.6</v>
      </c>
      <c r="M1931" s="55">
        <v>1079.2</v>
      </c>
      <c r="N1931" s="55">
        <v>57.2</v>
      </c>
    </row>
    <row r="1932" spans="1:14" ht="10.050000000000001" hidden="1" customHeight="1">
      <c r="A1932" s="52" t="s">
        <v>308</v>
      </c>
      <c r="B1932" s="53">
        <v>2012</v>
      </c>
      <c r="C1932" s="52" t="s">
        <v>116</v>
      </c>
      <c r="D1932" s="54">
        <v>2</v>
      </c>
      <c r="E1932" s="55">
        <v>3195.1</v>
      </c>
      <c r="F1932" s="55">
        <v>16.100000000000001</v>
      </c>
      <c r="G1932" s="55">
        <v>3211.2</v>
      </c>
      <c r="H1932" s="55">
        <v>57892.3</v>
      </c>
      <c r="I1932" s="55">
        <v>348.5</v>
      </c>
      <c r="J1932" s="55">
        <v>58240.800000000003</v>
      </c>
      <c r="K1932" s="55">
        <v>6669.7</v>
      </c>
      <c r="L1932" s="55">
        <v>10.199999999999999</v>
      </c>
      <c r="M1932" s="55">
        <v>2281</v>
      </c>
      <c r="N1932" s="55">
        <v>386.4</v>
      </c>
    </row>
    <row r="1933" spans="1:14" ht="10.050000000000001" hidden="1" customHeight="1">
      <c r="A1933" s="52" t="s">
        <v>174</v>
      </c>
      <c r="B1933" s="53">
        <v>2012</v>
      </c>
      <c r="C1933" s="52" t="s">
        <v>116</v>
      </c>
      <c r="D1933" s="54">
        <v>2</v>
      </c>
      <c r="E1933" s="55">
        <v>16255.9</v>
      </c>
      <c r="F1933" s="55">
        <v>146.69999999999999</v>
      </c>
      <c r="G1933" s="55">
        <v>16402.599999999999</v>
      </c>
      <c r="H1933" s="55">
        <v>186562.7</v>
      </c>
      <c r="I1933" s="55">
        <v>8537.2000000000007</v>
      </c>
      <c r="J1933" s="55">
        <v>195099.9</v>
      </c>
      <c r="K1933" s="55">
        <v>61689.4</v>
      </c>
      <c r="L1933" s="55">
        <v>3821.5</v>
      </c>
      <c r="M1933" s="55">
        <v>9374.4000000000106</v>
      </c>
      <c r="N1933" s="55">
        <v>6860.7</v>
      </c>
    </row>
    <row r="1934" spans="1:14" ht="10.050000000000001" hidden="1" customHeight="1">
      <c r="A1934" s="52" t="s">
        <v>314</v>
      </c>
      <c r="B1934" s="53">
        <v>2012</v>
      </c>
      <c r="C1934" s="52" t="s">
        <v>116</v>
      </c>
      <c r="D1934" s="54">
        <v>3</v>
      </c>
      <c r="E1934" s="55">
        <v>0</v>
      </c>
      <c r="F1934" s="55">
        <v>0</v>
      </c>
      <c r="G1934" s="55">
        <v>0</v>
      </c>
      <c r="H1934" s="55">
        <v>3.3</v>
      </c>
      <c r="I1934" s="55">
        <v>0</v>
      </c>
      <c r="J1934" s="55">
        <v>3.3</v>
      </c>
      <c r="K1934" s="55">
        <v>0</v>
      </c>
      <c r="L1934" s="55">
        <v>0</v>
      </c>
      <c r="M1934" s="55">
        <v>0</v>
      </c>
      <c r="N1934" s="55">
        <v>0</v>
      </c>
    </row>
    <row r="1935" spans="1:14" ht="10.050000000000001" hidden="1" customHeight="1">
      <c r="A1935" s="52" t="s">
        <v>306</v>
      </c>
      <c r="B1935" s="53">
        <v>2012</v>
      </c>
      <c r="C1935" s="52" t="s">
        <v>116</v>
      </c>
      <c r="D1935" s="54">
        <v>3</v>
      </c>
      <c r="E1935" s="55">
        <v>3048.8</v>
      </c>
      <c r="F1935" s="55">
        <v>4.0999999999999996</v>
      </c>
      <c r="G1935" s="55">
        <v>3052.9</v>
      </c>
      <c r="H1935" s="55">
        <v>40132.199999999997</v>
      </c>
      <c r="I1935" s="55">
        <v>2902.1</v>
      </c>
      <c r="J1935" s="55">
        <v>43034.3</v>
      </c>
      <c r="K1935" s="55">
        <v>3789.3</v>
      </c>
      <c r="L1935" s="55">
        <v>712.7</v>
      </c>
      <c r="M1935" s="55">
        <v>1430.3</v>
      </c>
      <c r="N1935" s="55">
        <v>390.2</v>
      </c>
    </row>
    <row r="1936" spans="1:14" ht="10.050000000000001" hidden="1" customHeight="1">
      <c r="A1936" s="52" t="s">
        <v>172</v>
      </c>
      <c r="B1936" s="53">
        <v>2012</v>
      </c>
      <c r="C1936" s="52" t="s">
        <v>116</v>
      </c>
      <c r="D1936" s="54">
        <v>3</v>
      </c>
      <c r="E1936" s="55">
        <v>104238</v>
      </c>
      <c r="F1936" s="55">
        <v>583.79999999999995</v>
      </c>
      <c r="G1936" s="55">
        <v>104821.8</v>
      </c>
      <c r="H1936" s="55">
        <v>245483.1</v>
      </c>
      <c r="I1936" s="55">
        <v>10750.3</v>
      </c>
      <c r="J1936" s="55">
        <v>256233.4</v>
      </c>
      <c r="K1936" s="55">
        <v>141991.20000000001</v>
      </c>
      <c r="L1936" s="55">
        <v>17336.8</v>
      </c>
      <c r="M1936" s="55">
        <v>49928.6</v>
      </c>
      <c r="N1936" s="55">
        <v>1010.8</v>
      </c>
    </row>
    <row r="1937" spans="1:14" ht="10.050000000000001" hidden="1" customHeight="1">
      <c r="A1937" s="52" t="s">
        <v>171</v>
      </c>
      <c r="B1937" s="53">
        <v>2012</v>
      </c>
      <c r="C1937" s="52" t="s">
        <v>116</v>
      </c>
      <c r="D1937" s="54">
        <v>3</v>
      </c>
      <c r="E1937" s="55">
        <v>1948620</v>
      </c>
      <c r="F1937" s="55">
        <v>3423.4</v>
      </c>
      <c r="G1937" s="55">
        <v>1952043.4</v>
      </c>
      <c r="H1937" s="55">
        <v>5576152.2999999998</v>
      </c>
      <c r="I1937" s="55">
        <v>85630.6</v>
      </c>
      <c r="J1937" s="55">
        <v>5661782.9000000004</v>
      </c>
      <c r="K1937" s="55">
        <v>1256773.8999999999</v>
      </c>
      <c r="L1937" s="55">
        <v>234863</v>
      </c>
      <c r="M1937" s="55">
        <v>1030738.6</v>
      </c>
      <c r="N1937" s="55">
        <v>19445.2</v>
      </c>
    </row>
    <row r="1938" spans="1:14" ht="10.050000000000001" hidden="1" customHeight="1">
      <c r="A1938" s="52" t="s">
        <v>300</v>
      </c>
      <c r="B1938" s="53">
        <v>2012</v>
      </c>
      <c r="C1938" s="52" t="s">
        <v>116</v>
      </c>
      <c r="D1938" s="54">
        <v>3</v>
      </c>
      <c r="E1938" s="55">
        <v>145.5</v>
      </c>
      <c r="F1938" s="55">
        <v>0</v>
      </c>
      <c r="G1938" s="55">
        <v>145.5</v>
      </c>
      <c r="H1938" s="55">
        <v>1410.5</v>
      </c>
      <c r="I1938" s="55">
        <v>107.4</v>
      </c>
      <c r="J1938" s="55">
        <v>1517.9</v>
      </c>
      <c r="K1938" s="55">
        <v>0</v>
      </c>
      <c r="L1938" s="55">
        <v>0</v>
      </c>
      <c r="M1938" s="55">
        <v>0</v>
      </c>
      <c r="N1938" s="55">
        <v>0</v>
      </c>
    </row>
    <row r="1939" spans="1:14" ht="10.050000000000001" hidden="1" customHeight="1">
      <c r="A1939" s="52" t="s">
        <v>307</v>
      </c>
      <c r="B1939" s="53">
        <v>2012</v>
      </c>
      <c r="C1939" s="52" t="s">
        <v>116</v>
      </c>
      <c r="D1939" s="54">
        <v>3</v>
      </c>
      <c r="E1939" s="55">
        <v>694087.6</v>
      </c>
      <c r="F1939" s="55">
        <v>40.200000000000003</v>
      </c>
      <c r="G1939" s="55">
        <v>694127.8</v>
      </c>
      <c r="H1939" s="55">
        <v>4163154.7</v>
      </c>
      <c r="I1939" s="55">
        <v>66702.2</v>
      </c>
      <c r="J1939" s="55">
        <v>4229856.9000000004</v>
      </c>
      <c r="K1939" s="55">
        <v>1393424</v>
      </c>
      <c r="L1939" s="55">
        <v>33265.1</v>
      </c>
      <c r="M1939" s="55">
        <v>482927</v>
      </c>
      <c r="N1939" s="55">
        <v>79337.7</v>
      </c>
    </row>
    <row r="1940" spans="1:14" ht="10.050000000000001" hidden="1" customHeight="1">
      <c r="A1940" s="52" t="s">
        <v>315</v>
      </c>
      <c r="B1940" s="53">
        <v>2012</v>
      </c>
      <c r="C1940" s="52" t="s">
        <v>116</v>
      </c>
      <c r="D1940" s="54">
        <v>3</v>
      </c>
      <c r="E1940" s="55">
        <v>844.1</v>
      </c>
      <c r="F1940" s="55">
        <v>0</v>
      </c>
      <c r="G1940" s="55">
        <v>844.1</v>
      </c>
      <c r="H1940" s="55">
        <v>18456.400000000001</v>
      </c>
      <c r="I1940" s="55">
        <v>0</v>
      </c>
      <c r="J1940" s="55">
        <v>18456.400000000001</v>
      </c>
      <c r="K1940" s="55">
        <v>902.3</v>
      </c>
      <c r="L1940" s="55">
        <v>0</v>
      </c>
      <c r="M1940" s="55">
        <v>475.7</v>
      </c>
      <c r="N1940" s="55">
        <v>0</v>
      </c>
    </row>
    <row r="1941" spans="1:14" ht="10.050000000000001" hidden="1" customHeight="1">
      <c r="A1941" s="52" t="s">
        <v>311</v>
      </c>
      <c r="B1941" s="53">
        <v>2012</v>
      </c>
      <c r="C1941" s="52" t="s">
        <v>116</v>
      </c>
      <c r="D1941" s="54">
        <v>3</v>
      </c>
      <c r="E1941" s="55">
        <v>0</v>
      </c>
      <c r="F1941" s="55">
        <v>0</v>
      </c>
      <c r="G1941" s="55">
        <v>0</v>
      </c>
      <c r="H1941" s="55">
        <v>0.8</v>
      </c>
      <c r="I1941" s="55">
        <v>0</v>
      </c>
      <c r="J1941" s="55">
        <v>0.8</v>
      </c>
      <c r="K1941" s="55">
        <v>1.7</v>
      </c>
      <c r="L1941" s="55">
        <v>0</v>
      </c>
      <c r="M1941" s="55">
        <v>0</v>
      </c>
      <c r="N1941" s="55">
        <v>0</v>
      </c>
    </row>
    <row r="1942" spans="1:14" ht="10.050000000000001" hidden="1" customHeight="1">
      <c r="A1942" s="52" t="s">
        <v>173</v>
      </c>
      <c r="B1942" s="53">
        <v>2012</v>
      </c>
      <c r="C1942" s="52" t="s">
        <v>116</v>
      </c>
      <c r="D1942" s="54">
        <v>3</v>
      </c>
      <c r="E1942" s="55">
        <v>241958.7</v>
      </c>
      <c r="F1942" s="55">
        <v>1038.8</v>
      </c>
      <c r="G1942" s="55">
        <v>242997.5</v>
      </c>
      <c r="H1942" s="55">
        <v>2229499.4</v>
      </c>
      <c r="I1942" s="55">
        <v>27750.3</v>
      </c>
      <c r="J1942" s="55">
        <v>2257249.7000000002</v>
      </c>
      <c r="K1942" s="55">
        <v>176662.3</v>
      </c>
      <c r="L1942" s="55">
        <v>19008.8</v>
      </c>
      <c r="M1942" s="55">
        <v>106412.4</v>
      </c>
      <c r="N1942" s="55">
        <v>11541</v>
      </c>
    </row>
    <row r="1943" spans="1:14" ht="10.050000000000001" customHeight="1">
      <c r="A1943" s="52" t="s">
        <v>309</v>
      </c>
      <c r="B1943" s="53">
        <v>2012</v>
      </c>
      <c r="C1943" s="52" t="s">
        <v>116</v>
      </c>
      <c r="D1943" s="54">
        <v>3</v>
      </c>
      <c r="E1943" s="55">
        <v>13772.8</v>
      </c>
      <c r="F1943" s="55">
        <v>0</v>
      </c>
      <c r="G1943" s="55">
        <v>13772.8</v>
      </c>
      <c r="H1943" s="55">
        <v>80738</v>
      </c>
      <c r="I1943" s="55">
        <v>0</v>
      </c>
      <c r="J1943" s="55">
        <v>80738</v>
      </c>
      <c r="K1943" s="55">
        <v>3532.7</v>
      </c>
      <c r="L1943" s="55">
        <v>0</v>
      </c>
      <c r="M1943" s="55">
        <v>11321.5</v>
      </c>
      <c r="N1943" s="55">
        <v>91.5</v>
      </c>
    </row>
    <row r="1944" spans="1:14" ht="10.050000000000001" hidden="1" customHeight="1">
      <c r="A1944" s="52" t="s">
        <v>316</v>
      </c>
      <c r="B1944" s="53">
        <v>2012</v>
      </c>
      <c r="C1944" s="52" t="s">
        <v>116</v>
      </c>
      <c r="D1944" s="54">
        <v>3</v>
      </c>
      <c r="E1944" s="55">
        <v>226.8</v>
      </c>
      <c r="F1944" s="55">
        <v>0</v>
      </c>
      <c r="G1944" s="55">
        <v>226.8</v>
      </c>
      <c r="H1944" s="55">
        <v>6515.4</v>
      </c>
      <c r="I1944" s="55">
        <v>82.4</v>
      </c>
      <c r="J1944" s="55">
        <v>6597.8</v>
      </c>
      <c r="K1944" s="55">
        <v>159.69999999999999</v>
      </c>
      <c r="L1944" s="55">
        <v>3.6</v>
      </c>
      <c r="M1944" s="55">
        <v>36.9</v>
      </c>
      <c r="N1944" s="55">
        <v>0.1</v>
      </c>
    </row>
    <row r="1945" spans="1:14" ht="10.050000000000001" hidden="1" customHeight="1">
      <c r="A1945" s="52" t="s">
        <v>310</v>
      </c>
      <c r="B1945" s="53">
        <v>2012</v>
      </c>
      <c r="C1945" s="52" t="s">
        <v>116</v>
      </c>
      <c r="D1945" s="54">
        <v>3</v>
      </c>
      <c r="E1945" s="55">
        <v>2796.3</v>
      </c>
      <c r="F1945" s="55">
        <v>0</v>
      </c>
      <c r="G1945" s="55">
        <v>2796.3</v>
      </c>
      <c r="H1945" s="55">
        <v>22824.2</v>
      </c>
      <c r="I1945" s="55">
        <v>1388</v>
      </c>
      <c r="J1945" s="55">
        <v>24212.2</v>
      </c>
      <c r="K1945" s="55">
        <v>2025.9</v>
      </c>
      <c r="L1945" s="55">
        <v>171.6</v>
      </c>
      <c r="M1945" s="55">
        <v>1498</v>
      </c>
      <c r="N1945" s="55">
        <v>47.8</v>
      </c>
    </row>
    <row r="1946" spans="1:14" ht="10.050000000000001" hidden="1" customHeight="1">
      <c r="A1946" s="52" t="s">
        <v>308</v>
      </c>
      <c r="B1946" s="53">
        <v>2012</v>
      </c>
      <c r="C1946" s="52" t="s">
        <v>116</v>
      </c>
      <c r="D1946" s="54">
        <v>3</v>
      </c>
      <c r="E1946" s="55">
        <v>2703.6</v>
      </c>
      <c r="F1946" s="55">
        <v>98.6</v>
      </c>
      <c r="G1946" s="55">
        <v>2802.2</v>
      </c>
      <c r="H1946" s="55">
        <v>44644.9</v>
      </c>
      <c r="I1946" s="55">
        <v>286.89999999999998</v>
      </c>
      <c r="J1946" s="55">
        <v>44931.8</v>
      </c>
      <c r="K1946" s="55">
        <v>4130.2</v>
      </c>
      <c r="L1946" s="55">
        <v>3.5</v>
      </c>
      <c r="M1946" s="55">
        <v>1735.6</v>
      </c>
      <c r="N1946" s="55">
        <v>807.5</v>
      </c>
    </row>
    <row r="1947" spans="1:14" ht="10.050000000000001" hidden="1" customHeight="1">
      <c r="A1947" s="52" t="s">
        <v>174</v>
      </c>
      <c r="B1947" s="53">
        <v>2012</v>
      </c>
      <c r="C1947" s="52" t="s">
        <v>116</v>
      </c>
      <c r="D1947" s="54">
        <v>3</v>
      </c>
      <c r="E1947" s="55">
        <v>18456.5</v>
      </c>
      <c r="F1947" s="55">
        <v>229.1</v>
      </c>
      <c r="G1947" s="55">
        <v>18685.599999999999</v>
      </c>
      <c r="H1947" s="55">
        <v>142522.4</v>
      </c>
      <c r="I1947" s="55">
        <v>8344.2999999999993</v>
      </c>
      <c r="J1947" s="55">
        <v>150866.70000000001</v>
      </c>
      <c r="K1947" s="55">
        <v>49468.7</v>
      </c>
      <c r="L1947" s="55">
        <v>2542.4</v>
      </c>
      <c r="M1947" s="55">
        <v>7538.3</v>
      </c>
      <c r="N1947" s="55">
        <v>7238.9</v>
      </c>
    </row>
    <row r="1948" spans="1:14" ht="10.050000000000001" hidden="1" customHeight="1">
      <c r="A1948" s="52" t="s">
        <v>314</v>
      </c>
      <c r="B1948" s="53">
        <v>2012</v>
      </c>
      <c r="C1948" s="52" t="s">
        <v>116</v>
      </c>
      <c r="D1948" s="54">
        <v>4</v>
      </c>
      <c r="E1948" s="55">
        <v>0</v>
      </c>
      <c r="F1948" s="55">
        <v>0</v>
      </c>
      <c r="G1948" s="55">
        <v>0</v>
      </c>
      <c r="H1948" s="55">
        <v>3.3</v>
      </c>
      <c r="I1948" s="55">
        <v>0</v>
      </c>
      <c r="J1948" s="55">
        <v>3.3</v>
      </c>
      <c r="K1948" s="55">
        <v>0</v>
      </c>
      <c r="L1948" s="55">
        <v>0</v>
      </c>
      <c r="M1948" s="55">
        <v>0</v>
      </c>
      <c r="N1948" s="55">
        <v>0</v>
      </c>
    </row>
    <row r="1949" spans="1:14" ht="10.050000000000001" hidden="1" customHeight="1">
      <c r="A1949" s="52" t="s">
        <v>306</v>
      </c>
      <c r="B1949" s="53">
        <v>2012</v>
      </c>
      <c r="C1949" s="52" t="s">
        <v>116</v>
      </c>
      <c r="D1949" s="54">
        <v>4</v>
      </c>
      <c r="E1949" s="55">
        <v>2822.3</v>
      </c>
      <c r="F1949" s="55">
        <v>0</v>
      </c>
      <c r="G1949" s="55">
        <v>2822.3</v>
      </c>
      <c r="H1949" s="55">
        <v>34167.800000000003</v>
      </c>
      <c r="I1949" s="55">
        <v>2833.1</v>
      </c>
      <c r="J1949" s="55">
        <v>37000.9</v>
      </c>
      <c r="K1949" s="55">
        <v>3002.5</v>
      </c>
      <c r="L1949" s="55">
        <v>583</v>
      </c>
      <c r="M1949" s="55">
        <v>967.5</v>
      </c>
      <c r="N1949" s="55">
        <v>398</v>
      </c>
    </row>
    <row r="1950" spans="1:14" ht="10.050000000000001" hidden="1" customHeight="1">
      <c r="A1950" s="52" t="s">
        <v>172</v>
      </c>
      <c r="B1950" s="53">
        <v>2012</v>
      </c>
      <c r="C1950" s="52" t="s">
        <v>116</v>
      </c>
      <c r="D1950" s="54">
        <v>4</v>
      </c>
      <c r="E1950" s="55">
        <v>117517.6</v>
      </c>
      <c r="F1950" s="55">
        <v>265.89999999999998</v>
      </c>
      <c r="G1950" s="55">
        <v>117783.5</v>
      </c>
      <c r="H1950" s="55">
        <v>224221.5</v>
      </c>
      <c r="I1950" s="55">
        <v>9412.4</v>
      </c>
      <c r="J1950" s="55">
        <v>233633.9</v>
      </c>
      <c r="K1950" s="55">
        <v>81304</v>
      </c>
      <c r="L1950" s="55">
        <v>7816.4</v>
      </c>
      <c r="M1950" s="55">
        <v>65685.7</v>
      </c>
      <c r="N1950" s="55">
        <v>3619.3</v>
      </c>
    </row>
    <row r="1951" spans="1:14" ht="10.050000000000001" hidden="1" customHeight="1">
      <c r="A1951" s="52" t="s">
        <v>171</v>
      </c>
      <c r="B1951" s="53">
        <v>2012</v>
      </c>
      <c r="C1951" s="52" t="s">
        <v>116</v>
      </c>
      <c r="D1951" s="54">
        <v>4</v>
      </c>
      <c r="E1951" s="55">
        <v>1330449.8999999999</v>
      </c>
      <c r="F1951" s="55">
        <v>7414.5</v>
      </c>
      <c r="G1951" s="55">
        <v>1337864.3999999999</v>
      </c>
      <c r="H1951" s="55">
        <v>4624381.9000000004</v>
      </c>
      <c r="I1951" s="55">
        <v>81816.2</v>
      </c>
      <c r="J1951" s="55">
        <v>4706198.0999999996</v>
      </c>
      <c r="K1951" s="55">
        <v>729035.5</v>
      </c>
      <c r="L1951" s="55">
        <v>177869.8</v>
      </c>
      <c r="M1951" s="55">
        <v>687110.4</v>
      </c>
      <c r="N1951" s="55">
        <v>18266.3</v>
      </c>
    </row>
    <row r="1952" spans="1:14" ht="10.050000000000001" hidden="1" customHeight="1">
      <c r="A1952" s="52" t="s">
        <v>300</v>
      </c>
      <c r="B1952" s="53">
        <v>2012</v>
      </c>
      <c r="C1952" s="52" t="s">
        <v>116</v>
      </c>
      <c r="D1952" s="54">
        <v>4</v>
      </c>
      <c r="E1952" s="55">
        <v>348</v>
      </c>
      <c r="F1952" s="55">
        <v>0</v>
      </c>
      <c r="G1952" s="55">
        <v>348</v>
      </c>
      <c r="H1952" s="55">
        <v>1400.9</v>
      </c>
      <c r="I1952" s="55">
        <v>107.4</v>
      </c>
      <c r="J1952" s="55">
        <v>1508.3</v>
      </c>
      <c r="K1952" s="55">
        <v>0</v>
      </c>
      <c r="L1952" s="55">
        <v>0</v>
      </c>
      <c r="M1952" s="55">
        <v>0</v>
      </c>
      <c r="N1952" s="55">
        <v>0</v>
      </c>
    </row>
    <row r="1953" spans="1:14" ht="10.050000000000001" hidden="1" customHeight="1">
      <c r="A1953" s="52" t="s">
        <v>307</v>
      </c>
      <c r="B1953" s="53">
        <v>2012</v>
      </c>
      <c r="C1953" s="52" t="s">
        <v>116</v>
      </c>
      <c r="D1953" s="54">
        <v>4</v>
      </c>
      <c r="E1953" s="55">
        <v>532267.69999999995</v>
      </c>
      <c r="F1953" s="55">
        <v>0</v>
      </c>
      <c r="G1953" s="55">
        <v>532267.69999999995</v>
      </c>
      <c r="H1953" s="55">
        <v>3523115.1</v>
      </c>
      <c r="I1953" s="55">
        <v>65664.800000000003</v>
      </c>
      <c r="J1953" s="55">
        <v>3588779.9</v>
      </c>
      <c r="K1953" s="55">
        <v>1051831.3999999999</v>
      </c>
      <c r="L1953" s="55">
        <v>46166.9</v>
      </c>
      <c r="M1953" s="55">
        <v>330182.90000000002</v>
      </c>
      <c r="N1953" s="55">
        <v>57576.6</v>
      </c>
    </row>
    <row r="1954" spans="1:14" ht="10.050000000000001" hidden="1" customHeight="1">
      <c r="A1954" s="52" t="s">
        <v>315</v>
      </c>
      <c r="B1954" s="53">
        <v>2012</v>
      </c>
      <c r="C1954" s="52" t="s">
        <v>116</v>
      </c>
      <c r="D1954" s="54">
        <v>4</v>
      </c>
      <c r="E1954" s="55">
        <v>582.9</v>
      </c>
      <c r="F1954" s="55">
        <v>0</v>
      </c>
      <c r="G1954" s="55">
        <v>582.9</v>
      </c>
      <c r="H1954" s="55">
        <v>16548.099999999999</v>
      </c>
      <c r="I1954" s="55">
        <v>0</v>
      </c>
      <c r="J1954" s="55">
        <v>16548.099999999999</v>
      </c>
      <c r="K1954" s="55">
        <v>621.20000000000005</v>
      </c>
      <c r="L1954" s="55">
        <v>28.2</v>
      </c>
      <c r="M1954" s="55">
        <v>309.3</v>
      </c>
      <c r="N1954" s="55">
        <v>0</v>
      </c>
    </row>
    <row r="1955" spans="1:14" ht="10.050000000000001" hidden="1" customHeight="1">
      <c r="A1955" s="52" t="s">
        <v>311</v>
      </c>
      <c r="B1955" s="53">
        <v>2012</v>
      </c>
      <c r="C1955" s="52" t="s">
        <v>116</v>
      </c>
      <c r="D1955" s="54">
        <v>4</v>
      </c>
      <c r="E1955" s="55">
        <v>1.7</v>
      </c>
      <c r="F1955" s="55">
        <v>0</v>
      </c>
      <c r="G1955" s="55">
        <v>1.7</v>
      </c>
      <c r="H1955" s="55">
        <v>2.5</v>
      </c>
      <c r="I1955" s="55">
        <v>0</v>
      </c>
      <c r="J1955" s="55">
        <v>2.5</v>
      </c>
      <c r="K1955" s="55">
        <v>0</v>
      </c>
      <c r="L1955" s="55">
        <v>0</v>
      </c>
      <c r="M1955" s="55">
        <v>0</v>
      </c>
      <c r="N1955" s="55">
        <v>1.7</v>
      </c>
    </row>
    <row r="1956" spans="1:14" ht="10.050000000000001" hidden="1" customHeight="1">
      <c r="A1956" s="52" t="s">
        <v>173</v>
      </c>
      <c r="B1956" s="53">
        <v>2012</v>
      </c>
      <c r="C1956" s="52" t="s">
        <v>116</v>
      </c>
      <c r="D1956" s="54">
        <v>4</v>
      </c>
      <c r="E1956" s="55">
        <v>188841</v>
      </c>
      <c r="F1956" s="55">
        <v>564.9</v>
      </c>
      <c r="G1956" s="55">
        <v>189405.9</v>
      </c>
      <c r="H1956" s="55">
        <v>1855543.7</v>
      </c>
      <c r="I1956" s="55">
        <v>23734.400000000001</v>
      </c>
      <c r="J1956" s="55">
        <v>1879278.1</v>
      </c>
      <c r="K1956" s="55">
        <v>112186.9</v>
      </c>
      <c r="L1956" s="55">
        <v>17442.3</v>
      </c>
      <c r="M1956" s="55">
        <v>71989.8</v>
      </c>
      <c r="N1956" s="55">
        <v>12546.9</v>
      </c>
    </row>
    <row r="1957" spans="1:14" ht="10.050000000000001" customHeight="1">
      <c r="A1957" s="52" t="s">
        <v>309</v>
      </c>
      <c r="B1957" s="53">
        <v>2012</v>
      </c>
      <c r="C1957" s="52" t="s">
        <v>116</v>
      </c>
      <c r="D1957" s="54">
        <v>4</v>
      </c>
      <c r="E1957" s="55">
        <v>126.6</v>
      </c>
      <c r="F1957" s="55">
        <v>0</v>
      </c>
      <c r="G1957" s="55">
        <v>126.6</v>
      </c>
      <c r="H1957" s="55">
        <v>69728.5</v>
      </c>
      <c r="I1957" s="55">
        <v>0</v>
      </c>
      <c r="J1957" s="55">
        <v>69728.5</v>
      </c>
      <c r="K1957" s="55">
        <v>3532.7</v>
      </c>
      <c r="L1957" s="55">
        <v>0</v>
      </c>
      <c r="M1957" s="55">
        <v>0</v>
      </c>
      <c r="N1957" s="55">
        <v>177.4</v>
      </c>
    </row>
    <row r="1958" spans="1:14" ht="10.050000000000001" hidden="1" customHeight="1">
      <c r="A1958" s="52" t="s">
        <v>316</v>
      </c>
      <c r="B1958" s="53">
        <v>2012</v>
      </c>
      <c r="C1958" s="52" t="s">
        <v>116</v>
      </c>
      <c r="D1958" s="54">
        <v>4</v>
      </c>
      <c r="E1958" s="55">
        <v>136</v>
      </c>
      <c r="F1958" s="55">
        <v>0</v>
      </c>
      <c r="G1958" s="55">
        <v>136</v>
      </c>
      <c r="H1958" s="55">
        <v>6080.2</v>
      </c>
      <c r="I1958" s="55">
        <v>77.2</v>
      </c>
      <c r="J1958" s="55">
        <v>6157.4</v>
      </c>
      <c r="K1958" s="55">
        <v>134.9</v>
      </c>
      <c r="L1958" s="55">
        <v>7.5</v>
      </c>
      <c r="M1958" s="55">
        <v>32.299999999999997</v>
      </c>
      <c r="N1958" s="55">
        <v>0</v>
      </c>
    </row>
    <row r="1959" spans="1:14" ht="10.050000000000001" hidden="1" customHeight="1">
      <c r="A1959" s="52" t="s">
        <v>310</v>
      </c>
      <c r="B1959" s="53">
        <v>2012</v>
      </c>
      <c r="C1959" s="52" t="s">
        <v>116</v>
      </c>
      <c r="D1959" s="54">
        <v>4</v>
      </c>
      <c r="E1959" s="55">
        <v>1846.1</v>
      </c>
      <c r="F1959" s="55">
        <v>0</v>
      </c>
      <c r="G1959" s="55">
        <v>1846.1</v>
      </c>
      <c r="H1959" s="55">
        <v>19876.8</v>
      </c>
      <c r="I1959" s="55">
        <v>1280.0999999999999</v>
      </c>
      <c r="J1959" s="55">
        <v>21156.9</v>
      </c>
      <c r="K1959" s="55">
        <v>1252.4000000000001</v>
      </c>
      <c r="L1959" s="55">
        <v>185.8</v>
      </c>
      <c r="M1959" s="55">
        <v>848.6</v>
      </c>
      <c r="N1959" s="55">
        <v>110.7</v>
      </c>
    </row>
    <row r="1960" spans="1:14" ht="10.050000000000001" hidden="1" customHeight="1">
      <c r="A1960" s="52" t="s">
        <v>308</v>
      </c>
      <c r="B1960" s="53">
        <v>2012</v>
      </c>
      <c r="C1960" s="52" t="s">
        <v>116</v>
      </c>
      <c r="D1960" s="54">
        <v>4</v>
      </c>
      <c r="E1960" s="55">
        <v>2378.1999999999998</v>
      </c>
      <c r="F1960" s="55">
        <v>0</v>
      </c>
      <c r="G1960" s="55">
        <v>2378.1999999999998</v>
      </c>
      <c r="H1960" s="55">
        <v>34596.1</v>
      </c>
      <c r="I1960" s="55">
        <v>280.3</v>
      </c>
      <c r="J1960" s="55">
        <v>34876.400000000001</v>
      </c>
      <c r="K1960" s="55">
        <v>2321.6999999999998</v>
      </c>
      <c r="L1960" s="55">
        <v>42</v>
      </c>
      <c r="M1960" s="55">
        <v>1683.6</v>
      </c>
      <c r="N1960" s="55">
        <v>166.9</v>
      </c>
    </row>
    <row r="1961" spans="1:14" ht="10.050000000000001" hidden="1" customHeight="1">
      <c r="A1961" s="52" t="s">
        <v>174</v>
      </c>
      <c r="B1961" s="53">
        <v>2012</v>
      </c>
      <c r="C1961" s="52" t="s">
        <v>116</v>
      </c>
      <c r="D1961" s="54">
        <v>4</v>
      </c>
      <c r="E1961" s="55">
        <v>14754.7</v>
      </c>
      <c r="F1961" s="55">
        <v>68.3</v>
      </c>
      <c r="G1961" s="55">
        <v>14823</v>
      </c>
      <c r="H1961" s="55">
        <v>102827.9</v>
      </c>
      <c r="I1961" s="55">
        <v>7664.9</v>
      </c>
      <c r="J1961" s="55">
        <v>110492.8</v>
      </c>
      <c r="K1961" s="55">
        <v>37747.800000000003</v>
      </c>
      <c r="L1961" s="55">
        <v>1680.5</v>
      </c>
      <c r="M1961" s="55">
        <v>7180.4</v>
      </c>
      <c r="N1961" s="55">
        <v>6220.8</v>
      </c>
    </row>
    <row r="1962" spans="1:14" ht="10.050000000000001" hidden="1" customHeight="1">
      <c r="A1962" s="52" t="s">
        <v>314</v>
      </c>
      <c r="B1962" s="53">
        <v>2012</v>
      </c>
      <c r="C1962" s="52" t="s">
        <v>116</v>
      </c>
      <c r="D1962" s="54">
        <v>5</v>
      </c>
      <c r="E1962" s="55">
        <v>0</v>
      </c>
      <c r="F1962" s="55">
        <v>0</v>
      </c>
      <c r="G1962" s="55">
        <v>0</v>
      </c>
      <c r="H1962" s="55">
        <v>3.3</v>
      </c>
      <c r="I1962" s="55">
        <v>0</v>
      </c>
      <c r="J1962" s="55">
        <v>3.3</v>
      </c>
      <c r="K1962" s="55">
        <v>0</v>
      </c>
      <c r="L1962" s="55">
        <v>0</v>
      </c>
      <c r="M1962" s="55">
        <v>0</v>
      </c>
      <c r="N1962" s="55">
        <v>0</v>
      </c>
    </row>
    <row r="1963" spans="1:14" ht="10.050000000000001" hidden="1" customHeight="1">
      <c r="A1963" s="52" t="s">
        <v>306</v>
      </c>
      <c r="B1963" s="53">
        <v>2012</v>
      </c>
      <c r="C1963" s="52" t="s">
        <v>116</v>
      </c>
      <c r="D1963" s="54">
        <v>5</v>
      </c>
      <c r="E1963" s="55">
        <v>2757.9</v>
      </c>
      <c r="F1963" s="55">
        <v>34.799999999999997</v>
      </c>
      <c r="G1963" s="55">
        <v>2792.7</v>
      </c>
      <c r="H1963" s="55">
        <v>28465.200000000001</v>
      </c>
      <c r="I1963" s="55">
        <v>2742.5</v>
      </c>
      <c r="J1963" s="55">
        <v>31207.7</v>
      </c>
      <c r="K1963" s="55">
        <v>1904.6</v>
      </c>
      <c r="L1963" s="55">
        <v>288</v>
      </c>
      <c r="M1963" s="55">
        <v>909.6</v>
      </c>
      <c r="N1963" s="55">
        <v>540.29999999999995</v>
      </c>
    </row>
    <row r="1964" spans="1:14" ht="10.050000000000001" hidden="1" customHeight="1">
      <c r="A1964" s="52" t="s">
        <v>172</v>
      </c>
      <c r="B1964" s="53">
        <v>2012</v>
      </c>
      <c r="C1964" s="52" t="s">
        <v>116</v>
      </c>
      <c r="D1964" s="54">
        <v>5</v>
      </c>
      <c r="E1964" s="55">
        <v>93102.9</v>
      </c>
      <c r="F1964" s="55">
        <v>150.19999999999999</v>
      </c>
      <c r="G1964" s="55">
        <v>93253.1</v>
      </c>
      <c r="H1964" s="55">
        <v>166507.4</v>
      </c>
      <c r="I1964" s="55">
        <v>7649</v>
      </c>
      <c r="J1964" s="55">
        <v>174156.4</v>
      </c>
      <c r="K1964" s="55">
        <v>44852.800000000003</v>
      </c>
      <c r="L1964" s="55">
        <v>5828.2</v>
      </c>
      <c r="M1964" s="55">
        <v>40258.6</v>
      </c>
      <c r="N1964" s="55">
        <v>2091.1999999999998</v>
      </c>
    </row>
    <row r="1965" spans="1:14" ht="10.050000000000001" hidden="1" customHeight="1">
      <c r="A1965" s="52" t="s">
        <v>171</v>
      </c>
      <c r="B1965" s="53">
        <v>2012</v>
      </c>
      <c r="C1965" s="52" t="s">
        <v>116</v>
      </c>
      <c r="D1965" s="54">
        <v>5</v>
      </c>
      <c r="E1965" s="55">
        <v>1165407.8999999999</v>
      </c>
      <c r="F1965" s="55">
        <v>513.6</v>
      </c>
      <c r="G1965" s="55">
        <v>1165921.5</v>
      </c>
      <c r="H1965" s="55">
        <v>3305548.1</v>
      </c>
      <c r="I1965" s="55">
        <v>78101.100000000006</v>
      </c>
      <c r="J1965" s="55">
        <v>3383649.2</v>
      </c>
      <c r="K1965" s="55">
        <v>231589.1</v>
      </c>
      <c r="L1965" s="55">
        <v>139718</v>
      </c>
      <c r="M1965" s="55">
        <v>615670.4</v>
      </c>
      <c r="N1965" s="55">
        <v>21651.1</v>
      </c>
    </row>
    <row r="1966" spans="1:14" ht="10.050000000000001" hidden="1" customHeight="1">
      <c r="A1966" s="52" t="s">
        <v>300</v>
      </c>
      <c r="B1966" s="53">
        <v>2012</v>
      </c>
      <c r="C1966" s="52" t="s">
        <v>116</v>
      </c>
      <c r="D1966" s="54">
        <v>5</v>
      </c>
      <c r="E1966" s="55">
        <v>200.8</v>
      </c>
      <c r="F1966" s="55">
        <v>0</v>
      </c>
      <c r="G1966" s="55">
        <v>200.8</v>
      </c>
      <c r="H1966" s="55">
        <v>1400.5</v>
      </c>
      <c r="I1966" s="55">
        <v>107.4</v>
      </c>
      <c r="J1966" s="55">
        <v>1507.9</v>
      </c>
      <c r="K1966" s="55">
        <v>0</v>
      </c>
      <c r="L1966" s="55">
        <v>0</v>
      </c>
      <c r="M1966" s="55">
        <v>0</v>
      </c>
      <c r="N1966" s="55">
        <v>0</v>
      </c>
    </row>
    <row r="1967" spans="1:14" ht="10.050000000000001" hidden="1" customHeight="1">
      <c r="A1967" s="52" t="s">
        <v>307</v>
      </c>
      <c r="B1967" s="53">
        <v>2012</v>
      </c>
      <c r="C1967" s="52" t="s">
        <v>116</v>
      </c>
      <c r="D1967" s="54">
        <v>5</v>
      </c>
      <c r="E1967" s="55">
        <v>465403.9</v>
      </c>
      <c r="F1967" s="55">
        <v>0</v>
      </c>
      <c r="G1967" s="55">
        <v>465403.9</v>
      </c>
      <c r="H1967" s="55">
        <v>2790444.1</v>
      </c>
      <c r="I1967" s="55">
        <v>54612.5</v>
      </c>
      <c r="J1967" s="55">
        <v>2845056.6</v>
      </c>
      <c r="K1967" s="55">
        <v>758613.9</v>
      </c>
      <c r="L1967" s="55">
        <v>30330.400000000001</v>
      </c>
      <c r="M1967" s="55">
        <v>280278.8</v>
      </c>
      <c r="N1967" s="55">
        <v>43269.4</v>
      </c>
    </row>
    <row r="1968" spans="1:14" ht="10.050000000000001" hidden="1" customHeight="1">
      <c r="A1968" s="52" t="s">
        <v>315</v>
      </c>
      <c r="B1968" s="53">
        <v>2012</v>
      </c>
      <c r="C1968" s="52" t="s">
        <v>116</v>
      </c>
      <c r="D1968" s="54">
        <v>5</v>
      </c>
      <c r="E1968" s="55">
        <v>601.70000000000005</v>
      </c>
      <c r="F1968" s="55">
        <v>0</v>
      </c>
      <c r="G1968" s="55">
        <v>601.70000000000005</v>
      </c>
      <c r="H1968" s="55">
        <v>13570.6</v>
      </c>
      <c r="I1968" s="55">
        <v>0</v>
      </c>
      <c r="J1968" s="55">
        <v>13570.6</v>
      </c>
      <c r="K1968" s="55">
        <v>341.1</v>
      </c>
      <c r="L1968" s="55">
        <v>30.8</v>
      </c>
      <c r="M1968" s="55">
        <v>310.89999999999998</v>
      </c>
      <c r="N1968" s="55">
        <v>0</v>
      </c>
    </row>
    <row r="1969" spans="1:14" ht="10.050000000000001" hidden="1" customHeight="1">
      <c r="A1969" s="52" t="s">
        <v>311</v>
      </c>
      <c r="B1969" s="53">
        <v>2012</v>
      </c>
      <c r="C1969" s="52" t="s">
        <v>116</v>
      </c>
      <c r="D1969" s="54">
        <v>5</v>
      </c>
      <c r="E1969" s="55">
        <v>0</v>
      </c>
      <c r="F1969" s="55">
        <v>0</v>
      </c>
      <c r="G1969" s="55">
        <v>0</v>
      </c>
      <c r="H1969" s="55">
        <v>2.5</v>
      </c>
      <c r="I1969" s="55">
        <v>0</v>
      </c>
      <c r="J1969" s="55">
        <v>2.5</v>
      </c>
      <c r="K1969" s="55">
        <v>0</v>
      </c>
      <c r="L1969" s="55">
        <v>0</v>
      </c>
      <c r="M1969" s="55">
        <v>0</v>
      </c>
      <c r="N1969" s="55">
        <v>0</v>
      </c>
    </row>
    <row r="1970" spans="1:14" ht="10.050000000000001" hidden="1" customHeight="1">
      <c r="A1970" s="52" t="s">
        <v>173</v>
      </c>
      <c r="B1970" s="53">
        <v>2012</v>
      </c>
      <c r="C1970" s="52" t="s">
        <v>116</v>
      </c>
      <c r="D1970" s="54">
        <v>5</v>
      </c>
      <c r="E1970" s="55">
        <v>134268</v>
      </c>
      <c r="F1970" s="55">
        <v>16.2</v>
      </c>
      <c r="G1970" s="55">
        <v>134284.20000000001</v>
      </c>
      <c r="H1970" s="55">
        <v>1394940</v>
      </c>
      <c r="I1970" s="55">
        <v>22512.1</v>
      </c>
      <c r="J1970" s="55">
        <v>1417452.1</v>
      </c>
      <c r="K1970" s="55">
        <v>51413.599999999999</v>
      </c>
      <c r="L1970" s="55">
        <v>10285.200000000001</v>
      </c>
      <c r="M1970" s="55">
        <v>59240.2</v>
      </c>
      <c r="N1970" s="55">
        <v>9379.3000000000102</v>
      </c>
    </row>
    <row r="1971" spans="1:14" ht="10.050000000000001" customHeight="1">
      <c r="A1971" s="52" t="s">
        <v>309</v>
      </c>
      <c r="B1971" s="53">
        <v>2012</v>
      </c>
      <c r="C1971" s="52" t="s">
        <v>116</v>
      </c>
      <c r="D1971" s="54">
        <v>5</v>
      </c>
      <c r="E1971" s="55">
        <v>210.9</v>
      </c>
      <c r="F1971" s="55">
        <v>0</v>
      </c>
      <c r="G1971" s="55">
        <v>210.9</v>
      </c>
      <c r="H1971" s="55">
        <v>60534.7</v>
      </c>
      <c r="I1971" s="55">
        <v>0</v>
      </c>
      <c r="J1971" s="55">
        <v>60534.7</v>
      </c>
      <c r="K1971" s="55">
        <v>3532.7</v>
      </c>
      <c r="L1971" s="55">
        <v>0</v>
      </c>
      <c r="M1971" s="55">
        <v>0</v>
      </c>
      <c r="N1971" s="55">
        <v>0</v>
      </c>
    </row>
    <row r="1972" spans="1:14" ht="10.050000000000001" hidden="1" customHeight="1">
      <c r="A1972" s="52" t="s">
        <v>316</v>
      </c>
      <c r="B1972" s="53">
        <v>2012</v>
      </c>
      <c r="C1972" s="52" t="s">
        <v>116</v>
      </c>
      <c r="D1972" s="54">
        <v>5</v>
      </c>
      <c r="E1972" s="55">
        <v>261.89999999999998</v>
      </c>
      <c r="F1972" s="55">
        <v>0</v>
      </c>
      <c r="G1972" s="55">
        <v>261.89999999999998</v>
      </c>
      <c r="H1972" s="55">
        <v>5276</v>
      </c>
      <c r="I1972" s="55">
        <v>17.399999999999999</v>
      </c>
      <c r="J1972" s="55">
        <v>5293.4</v>
      </c>
      <c r="K1972" s="55">
        <v>96.5</v>
      </c>
      <c r="L1972" s="55">
        <v>0</v>
      </c>
      <c r="M1972" s="55">
        <v>31.3</v>
      </c>
      <c r="N1972" s="55">
        <v>7.1</v>
      </c>
    </row>
    <row r="1973" spans="1:14" ht="10.050000000000001" hidden="1" customHeight="1">
      <c r="A1973" s="52" t="s">
        <v>310</v>
      </c>
      <c r="B1973" s="53">
        <v>2012</v>
      </c>
      <c r="C1973" s="52" t="s">
        <v>116</v>
      </c>
      <c r="D1973" s="54">
        <v>5</v>
      </c>
      <c r="E1973" s="55">
        <v>1379.5</v>
      </c>
      <c r="F1973" s="55">
        <v>0</v>
      </c>
      <c r="G1973" s="55">
        <v>1379.5</v>
      </c>
      <c r="H1973" s="55">
        <v>16623.599999999999</v>
      </c>
      <c r="I1973" s="55">
        <v>1204.9000000000001</v>
      </c>
      <c r="J1973" s="55">
        <v>17828.5</v>
      </c>
      <c r="K1973" s="55">
        <v>740.1</v>
      </c>
      <c r="L1973" s="55">
        <v>31.7</v>
      </c>
      <c r="M1973" s="55">
        <v>477.2</v>
      </c>
      <c r="N1973" s="55">
        <v>66.8</v>
      </c>
    </row>
    <row r="1974" spans="1:14" ht="10.050000000000001" hidden="1" customHeight="1">
      <c r="A1974" s="52" t="s">
        <v>308</v>
      </c>
      <c r="B1974" s="53">
        <v>2012</v>
      </c>
      <c r="C1974" s="52" t="s">
        <v>116</v>
      </c>
      <c r="D1974" s="54">
        <v>5</v>
      </c>
      <c r="E1974" s="55">
        <v>1679</v>
      </c>
      <c r="F1974" s="55">
        <v>0</v>
      </c>
      <c r="G1974" s="55">
        <v>1679</v>
      </c>
      <c r="H1974" s="55">
        <v>22811</v>
      </c>
      <c r="I1974" s="55">
        <v>280.3</v>
      </c>
      <c r="J1974" s="55">
        <v>23091.3</v>
      </c>
      <c r="K1974" s="55">
        <v>1244.9000000000001</v>
      </c>
      <c r="L1974" s="55">
        <v>0</v>
      </c>
      <c r="M1974" s="55">
        <v>1028</v>
      </c>
      <c r="N1974" s="55">
        <v>48.8</v>
      </c>
    </row>
    <row r="1975" spans="1:14" ht="10.050000000000001" hidden="1" customHeight="1">
      <c r="A1975" s="52" t="s">
        <v>174</v>
      </c>
      <c r="B1975" s="53">
        <v>2012</v>
      </c>
      <c r="C1975" s="52" t="s">
        <v>116</v>
      </c>
      <c r="D1975" s="54">
        <v>5</v>
      </c>
      <c r="E1975" s="55">
        <v>17845.5</v>
      </c>
      <c r="F1975" s="55">
        <v>244.6</v>
      </c>
      <c r="G1975" s="55">
        <v>18090.099999999999</v>
      </c>
      <c r="H1975" s="55">
        <v>69480.399999999994</v>
      </c>
      <c r="I1975" s="55">
        <v>7665.7</v>
      </c>
      <c r="J1975" s="55">
        <v>77146.100000000006</v>
      </c>
      <c r="K1975" s="55">
        <v>24946.7</v>
      </c>
      <c r="L1975" s="55">
        <v>2773.2</v>
      </c>
      <c r="M1975" s="55">
        <v>9414.9</v>
      </c>
      <c r="N1975" s="55">
        <v>6267.2</v>
      </c>
    </row>
    <row r="1976" spans="1:14" ht="10.050000000000001" hidden="1" customHeight="1">
      <c r="A1976" s="52" t="s">
        <v>314</v>
      </c>
      <c r="B1976" s="53">
        <v>2012</v>
      </c>
      <c r="C1976" s="52" t="s">
        <v>116</v>
      </c>
      <c r="D1976" s="54">
        <v>6</v>
      </c>
      <c r="E1976" s="55">
        <v>0</v>
      </c>
      <c r="F1976" s="55">
        <v>0</v>
      </c>
      <c r="G1976" s="55">
        <v>0</v>
      </c>
      <c r="H1976" s="55">
        <v>3.3</v>
      </c>
      <c r="I1976" s="55">
        <v>0</v>
      </c>
      <c r="J1976" s="55">
        <v>3.3</v>
      </c>
      <c r="K1976" s="55">
        <v>0</v>
      </c>
      <c r="L1976" s="55">
        <v>0</v>
      </c>
      <c r="M1976" s="55">
        <v>0</v>
      </c>
      <c r="N1976" s="55">
        <v>0</v>
      </c>
    </row>
    <row r="1977" spans="1:14" ht="10.050000000000001" hidden="1" customHeight="1">
      <c r="A1977" s="52" t="s">
        <v>306</v>
      </c>
      <c r="B1977" s="53">
        <v>2012</v>
      </c>
      <c r="C1977" s="52" t="s">
        <v>116</v>
      </c>
      <c r="D1977" s="54">
        <v>6</v>
      </c>
      <c r="E1977" s="55">
        <v>3043.1</v>
      </c>
      <c r="F1977" s="55">
        <v>225.7</v>
      </c>
      <c r="G1977" s="55">
        <v>3268.8</v>
      </c>
      <c r="H1977" s="55">
        <v>19216.599999999999</v>
      </c>
      <c r="I1977" s="55">
        <v>2479</v>
      </c>
      <c r="J1977" s="55">
        <v>21695.599999999999</v>
      </c>
      <c r="K1977" s="55">
        <v>861.8</v>
      </c>
      <c r="L1977" s="55">
        <v>331.5</v>
      </c>
      <c r="M1977" s="55">
        <v>915.8</v>
      </c>
      <c r="N1977" s="55">
        <v>484.6</v>
      </c>
    </row>
    <row r="1978" spans="1:14" ht="10.050000000000001" hidden="1" customHeight="1">
      <c r="A1978" s="52" t="s">
        <v>172</v>
      </c>
      <c r="B1978" s="53">
        <v>2012</v>
      </c>
      <c r="C1978" s="52" t="s">
        <v>116</v>
      </c>
      <c r="D1978" s="54">
        <v>6</v>
      </c>
      <c r="E1978" s="55">
        <v>87153.9</v>
      </c>
      <c r="F1978" s="55">
        <v>0</v>
      </c>
      <c r="G1978" s="55">
        <v>87153.9</v>
      </c>
      <c r="H1978" s="55">
        <v>121296.9</v>
      </c>
      <c r="I1978" s="55">
        <v>4171.8</v>
      </c>
      <c r="J1978" s="55">
        <v>125468.7</v>
      </c>
      <c r="K1978" s="55">
        <v>27621.7</v>
      </c>
      <c r="L1978" s="55">
        <v>4454.3999999999996</v>
      </c>
      <c r="M1978" s="55">
        <v>18881</v>
      </c>
      <c r="N1978" s="55">
        <v>2804.6</v>
      </c>
    </row>
    <row r="1979" spans="1:14" ht="10.050000000000001" hidden="1" customHeight="1">
      <c r="A1979" s="52" t="s">
        <v>171</v>
      </c>
      <c r="B1979" s="53">
        <v>2012</v>
      </c>
      <c r="C1979" s="52" t="s">
        <v>116</v>
      </c>
      <c r="D1979" s="54">
        <v>6</v>
      </c>
      <c r="E1979" s="55">
        <v>615751.9</v>
      </c>
      <c r="F1979" s="55">
        <v>12095.7</v>
      </c>
      <c r="G1979" s="55">
        <v>627847.6</v>
      </c>
      <c r="H1979" s="55">
        <v>1572537.4</v>
      </c>
      <c r="I1979" s="55">
        <v>76376.100000000006</v>
      </c>
      <c r="J1979" s="55">
        <v>1648913.5</v>
      </c>
      <c r="K1979" s="55">
        <v>39454.699999999997</v>
      </c>
      <c r="L1979" s="55">
        <v>63858.3</v>
      </c>
      <c r="M1979" s="55">
        <v>232230.7</v>
      </c>
      <c r="N1979" s="55">
        <v>23884.9</v>
      </c>
    </row>
    <row r="1980" spans="1:14" ht="10.050000000000001" hidden="1" customHeight="1">
      <c r="A1980" s="52" t="s">
        <v>300</v>
      </c>
      <c r="B1980" s="53">
        <v>2012</v>
      </c>
      <c r="C1980" s="52" t="s">
        <v>116</v>
      </c>
      <c r="D1980" s="54">
        <v>6</v>
      </c>
      <c r="E1980" s="55">
        <v>303.7</v>
      </c>
      <c r="F1980" s="55">
        <v>13</v>
      </c>
      <c r="G1980" s="55">
        <v>316.7</v>
      </c>
      <c r="H1980" s="55">
        <v>1905</v>
      </c>
      <c r="I1980" s="55">
        <v>24</v>
      </c>
      <c r="J1980" s="55">
        <v>1929</v>
      </c>
      <c r="K1980" s="55">
        <v>0</v>
      </c>
      <c r="L1980" s="55">
        <v>0</v>
      </c>
      <c r="M1980" s="55">
        <v>0</v>
      </c>
      <c r="N1980" s="55">
        <v>0</v>
      </c>
    </row>
    <row r="1981" spans="1:14" ht="10.050000000000001" hidden="1" customHeight="1">
      <c r="A1981" s="52" t="s">
        <v>307</v>
      </c>
      <c r="B1981" s="53">
        <v>2012</v>
      </c>
      <c r="C1981" s="52" t="s">
        <v>116</v>
      </c>
      <c r="D1981" s="54">
        <v>6</v>
      </c>
      <c r="E1981" s="55">
        <v>638581.30000000005</v>
      </c>
      <c r="F1981" s="55">
        <v>0</v>
      </c>
      <c r="G1981" s="55">
        <v>638581.30000000005</v>
      </c>
      <c r="H1981" s="55">
        <v>2256626.4</v>
      </c>
      <c r="I1981" s="55">
        <v>23322.6</v>
      </c>
      <c r="J1981" s="55">
        <v>2279949</v>
      </c>
      <c r="K1981" s="55">
        <v>298418.5</v>
      </c>
      <c r="L1981" s="55">
        <v>31234.3</v>
      </c>
      <c r="M1981" s="55">
        <v>434937.7</v>
      </c>
      <c r="N1981" s="55">
        <v>55707.4</v>
      </c>
    </row>
    <row r="1982" spans="1:14" ht="10.050000000000001" hidden="1" customHeight="1">
      <c r="A1982" s="52" t="s">
        <v>315</v>
      </c>
      <c r="B1982" s="53">
        <v>2012</v>
      </c>
      <c r="C1982" s="52" t="s">
        <v>116</v>
      </c>
      <c r="D1982" s="54">
        <v>6</v>
      </c>
      <c r="E1982" s="55">
        <v>754.5</v>
      </c>
      <c r="F1982" s="55">
        <v>0</v>
      </c>
      <c r="G1982" s="55">
        <v>754.5</v>
      </c>
      <c r="H1982" s="55">
        <v>9804.2000000000007</v>
      </c>
      <c r="I1982" s="55">
        <v>0.3</v>
      </c>
      <c r="J1982" s="55">
        <v>9804.5</v>
      </c>
      <c r="K1982" s="55">
        <v>68.599999999999994</v>
      </c>
      <c r="L1982" s="55">
        <v>20.8</v>
      </c>
      <c r="M1982" s="55">
        <v>285.7</v>
      </c>
      <c r="N1982" s="55">
        <v>7.6</v>
      </c>
    </row>
    <row r="1983" spans="1:14" ht="10.050000000000001" hidden="1" customHeight="1">
      <c r="A1983" s="52" t="s">
        <v>173</v>
      </c>
      <c r="B1983" s="53">
        <v>2012</v>
      </c>
      <c r="C1983" s="52" t="s">
        <v>116</v>
      </c>
      <c r="D1983" s="54">
        <v>6</v>
      </c>
      <c r="E1983" s="55">
        <v>80772.600000000006</v>
      </c>
      <c r="F1983" s="55">
        <v>5224.8999999999996</v>
      </c>
      <c r="G1983" s="55">
        <v>85997.5</v>
      </c>
      <c r="H1983" s="55">
        <v>767283.7</v>
      </c>
      <c r="I1983" s="55">
        <v>26762.7</v>
      </c>
      <c r="J1983" s="55">
        <v>794046.4</v>
      </c>
      <c r="K1983" s="55">
        <v>19059.900000000001</v>
      </c>
      <c r="L1983" s="55">
        <v>10065.799999999999</v>
      </c>
      <c r="M1983" s="55">
        <v>26636.3</v>
      </c>
      <c r="N1983" s="55">
        <v>16128.8</v>
      </c>
    </row>
    <row r="1984" spans="1:14" ht="10.050000000000001" customHeight="1">
      <c r="A1984" s="52" t="s">
        <v>309</v>
      </c>
      <c r="B1984" s="53">
        <v>2012</v>
      </c>
      <c r="C1984" s="52" t="s">
        <v>116</v>
      </c>
      <c r="D1984" s="54">
        <v>6</v>
      </c>
      <c r="E1984" s="55">
        <v>1850.7</v>
      </c>
      <c r="F1984" s="55">
        <v>0</v>
      </c>
      <c r="G1984" s="55">
        <v>1850.7</v>
      </c>
      <c r="H1984" s="55">
        <v>57114.8</v>
      </c>
      <c r="I1984" s="55">
        <v>0</v>
      </c>
      <c r="J1984" s="55">
        <v>57114.8</v>
      </c>
      <c r="K1984" s="55">
        <v>1932.5</v>
      </c>
      <c r="L1984" s="55">
        <v>0</v>
      </c>
      <c r="M1984" s="55">
        <v>1600.2</v>
      </c>
      <c r="N1984" s="55">
        <v>0</v>
      </c>
    </row>
    <row r="1985" spans="1:14" ht="10.050000000000001" hidden="1" customHeight="1">
      <c r="A1985" s="52" t="s">
        <v>316</v>
      </c>
      <c r="B1985" s="53">
        <v>2012</v>
      </c>
      <c r="C1985" s="52" t="s">
        <v>116</v>
      </c>
      <c r="D1985" s="54">
        <v>6</v>
      </c>
      <c r="E1985" s="55">
        <v>542.79999999999995</v>
      </c>
      <c r="F1985" s="55">
        <v>109</v>
      </c>
      <c r="G1985" s="55">
        <v>651.79999999999995</v>
      </c>
      <c r="H1985" s="55">
        <v>4067</v>
      </c>
      <c r="I1985" s="55">
        <v>17.3</v>
      </c>
      <c r="J1985" s="55">
        <v>4084.3</v>
      </c>
      <c r="K1985" s="55">
        <v>42.6</v>
      </c>
      <c r="L1985" s="55">
        <v>0</v>
      </c>
      <c r="M1985" s="55">
        <v>13.2</v>
      </c>
      <c r="N1985" s="55">
        <v>40.700000000000003</v>
      </c>
    </row>
    <row r="1986" spans="1:14" ht="10.050000000000001" hidden="1" customHeight="1">
      <c r="A1986" s="52" t="s">
        <v>310</v>
      </c>
      <c r="B1986" s="53">
        <v>2012</v>
      </c>
      <c r="C1986" s="52" t="s">
        <v>116</v>
      </c>
      <c r="D1986" s="54">
        <v>6</v>
      </c>
      <c r="E1986" s="55">
        <v>1673.3</v>
      </c>
      <c r="F1986" s="55">
        <v>17.899999999999999</v>
      </c>
      <c r="G1986" s="55">
        <v>1691.2</v>
      </c>
      <c r="H1986" s="55">
        <v>11039.3</v>
      </c>
      <c r="I1986" s="55">
        <v>463.4</v>
      </c>
      <c r="J1986" s="55">
        <v>11502.7</v>
      </c>
      <c r="K1986" s="55">
        <v>354.2</v>
      </c>
      <c r="L1986" s="55">
        <v>8.1999999999999993</v>
      </c>
      <c r="M1986" s="55">
        <v>268</v>
      </c>
      <c r="N1986" s="55">
        <v>126.2</v>
      </c>
    </row>
    <row r="1987" spans="1:14" ht="10.050000000000001" hidden="1" customHeight="1">
      <c r="A1987" s="52" t="s">
        <v>308</v>
      </c>
      <c r="B1987" s="53">
        <v>2012</v>
      </c>
      <c r="C1987" s="52" t="s">
        <v>116</v>
      </c>
      <c r="D1987" s="54">
        <v>6</v>
      </c>
      <c r="E1987" s="55">
        <v>1958.9</v>
      </c>
      <c r="F1987" s="55">
        <v>0</v>
      </c>
      <c r="G1987" s="55">
        <v>1958.9</v>
      </c>
      <c r="H1987" s="55">
        <v>15547.4</v>
      </c>
      <c r="I1987" s="55">
        <v>136.1</v>
      </c>
      <c r="J1987" s="55">
        <v>15683.5</v>
      </c>
      <c r="K1987" s="55">
        <v>327.5</v>
      </c>
      <c r="L1987" s="55">
        <v>0</v>
      </c>
      <c r="M1987" s="55">
        <v>625.29999999999995</v>
      </c>
      <c r="N1987" s="55">
        <v>292.10000000000002</v>
      </c>
    </row>
    <row r="1988" spans="1:14" ht="10.050000000000001" hidden="1" customHeight="1">
      <c r="A1988" s="52" t="s">
        <v>174</v>
      </c>
      <c r="B1988" s="53">
        <v>2012</v>
      </c>
      <c r="C1988" s="52" t="s">
        <v>116</v>
      </c>
      <c r="D1988" s="54">
        <v>6</v>
      </c>
      <c r="E1988" s="55">
        <v>20961.400000000001</v>
      </c>
      <c r="F1988" s="55">
        <v>1661.6</v>
      </c>
      <c r="G1988" s="55">
        <v>22623</v>
      </c>
      <c r="H1988" s="55">
        <v>36878.1</v>
      </c>
      <c r="I1988" s="55">
        <v>4943.8</v>
      </c>
      <c r="J1988" s="55">
        <v>41821.9</v>
      </c>
      <c r="K1988" s="55">
        <v>9841.1</v>
      </c>
      <c r="L1988" s="55">
        <v>1637.5</v>
      </c>
      <c r="M1988" s="55">
        <v>6744.6</v>
      </c>
      <c r="N1988" s="55">
        <v>10129.6</v>
      </c>
    </row>
    <row r="1989" spans="1:14" ht="10.050000000000001" hidden="1" customHeight="1">
      <c r="A1989" s="52" t="s">
        <v>314</v>
      </c>
      <c r="B1989" s="53">
        <v>2012</v>
      </c>
      <c r="C1989" s="52" t="s">
        <v>117</v>
      </c>
      <c r="D1989" s="54">
        <v>7</v>
      </c>
      <c r="E1989" s="55">
        <v>0</v>
      </c>
      <c r="F1989" s="55">
        <v>0</v>
      </c>
      <c r="G1989" s="55">
        <v>0</v>
      </c>
      <c r="H1989" s="55">
        <v>3.3</v>
      </c>
      <c r="I1989" s="55">
        <v>0</v>
      </c>
      <c r="J1989" s="55">
        <v>3.3</v>
      </c>
      <c r="K1989" s="55">
        <v>0</v>
      </c>
      <c r="L1989" s="55">
        <v>0</v>
      </c>
      <c r="M1989" s="55">
        <v>0</v>
      </c>
      <c r="N1989" s="55">
        <v>0</v>
      </c>
    </row>
    <row r="1990" spans="1:14" ht="10.050000000000001" hidden="1" customHeight="1">
      <c r="A1990" s="52" t="s">
        <v>306</v>
      </c>
      <c r="B1990" s="53">
        <v>2012</v>
      </c>
      <c r="C1990" s="52" t="s">
        <v>117</v>
      </c>
      <c r="D1990" s="54">
        <v>7</v>
      </c>
      <c r="E1990" s="55">
        <v>54959</v>
      </c>
      <c r="F1990" s="55">
        <v>842.9</v>
      </c>
      <c r="G1990" s="55">
        <v>55801.9</v>
      </c>
      <c r="H1990" s="55">
        <v>65883</v>
      </c>
      <c r="I1990" s="55">
        <v>3313.7</v>
      </c>
      <c r="J1990" s="55">
        <v>69196.7</v>
      </c>
      <c r="K1990" s="55">
        <v>20045.3</v>
      </c>
      <c r="L1990" s="55">
        <v>20337.400000000001</v>
      </c>
      <c r="M1990" s="55">
        <v>765.2</v>
      </c>
      <c r="N1990" s="55">
        <v>309.89999999999998</v>
      </c>
    </row>
    <row r="1991" spans="1:14" ht="10.050000000000001" hidden="1" customHeight="1">
      <c r="A1991" s="52" t="s">
        <v>172</v>
      </c>
      <c r="B1991" s="53">
        <v>2012</v>
      </c>
      <c r="C1991" s="52" t="s">
        <v>117</v>
      </c>
      <c r="D1991" s="54">
        <v>7</v>
      </c>
      <c r="E1991" s="55">
        <v>822661.700000001</v>
      </c>
      <c r="F1991" s="55">
        <v>28690</v>
      </c>
      <c r="G1991" s="55">
        <v>851351.7</v>
      </c>
      <c r="H1991" s="55">
        <v>849534.6</v>
      </c>
      <c r="I1991" s="55">
        <v>20275.8</v>
      </c>
      <c r="J1991" s="55">
        <v>869810.4</v>
      </c>
      <c r="K1991" s="55">
        <v>560496.80000000005</v>
      </c>
      <c r="L1991" s="55">
        <v>541603</v>
      </c>
      <c r="M1991" s="55">
        <v>6984.3</v>
      </c>
      <c r="N1991" s="55">
        <v>871.5</v>
      </c>
    </row>
    <row r="1992" spans="1:14" ht="10.050000000000001" hidden="1" customHeight="1">
      <c r="A1992" s="52" t="s">
        <v>171</v>
      </c>
      <c r="B1992" s="53">
        <v>2012</v>
      </c>
      <c r="C1992" s="52" t="s">
        <v>117</v>
      </c>
      <c r="D1992" s="54">
        <v>7</v>
      </c>
      <c r="E1992" s="55">
        <v>8645859.8000000007</v>
      </c>
      <c r="F1992" s="55">
        <v>90084.5</v>
      </c>
      <c r="G1992" s="55">
        <v>8735944.3000000007</v>
      </c>
      <c r="H1992" s="55">
        <v>8131661.9000000004</v>
      </c>
      <c r="I1992" s="55">
        <v>159414.70000000001</v>
      </c>
      <c r="J1992" s="55">
        <v>8291076.5999999996</v>
      </c>
      <c r="K1992" s="55">
        <v>2837385.7</v>
      </c>
      <c r="L1992" s="55">
        <v>3093771.5</v>
      </c>
      <c r="M1992" s="55">
        <v>283142.7</v>
      </c>
      <c r="N1992" s="55">
        <v>13150</v>
      </c>
    </row>
    <row r="1993" spans="1:14" ht="10.050000000000001" hidden="1" customHeight="1">
      <c r="A1993" s="52" t="s">
        <v>300</v>
      </c>
      <c r="B1993" s="53">
        <v>2012</v>
      </c>
      <c r="C1993" s="52" t="s">
        <v>117</v>
      </c>
      <c r="D1993" s="54">
        <v>7</v>
      </c>
      <c r="E1993" s="55">
        <v>585.29999999999995</v>
      </c>
      <c r="F1993" s="55">
        <v>0</v>
      </c>
      <c r="G1993" s="55">
        <v>585.29999999999995</v>
      </c>
      <c r="H1993" s="55">
        <v>2010.8</v>
      </c>
      <c r="I1993" s="55">
        <v>24</v>
      </c>
      <c r="J1993" s="55">
        <v>2034.8</v>
      </c>
      <c r="K1993" s="55">
        <v>34.9</v>
      </c>
      <c r="L1993" s="55">
        <v>34.9</v>
      </c>
      <c r="M1993" s="55">
        <v>0</v>
      </c>
      <c r="N1993" s="55">
        <v>0</v>
      </c>
    </row>
    <row r="1994" spans="1:14" ht="10.050000000000001" hidden="1" customHeight="1">
      <c r="A1994" s="52" t="s">
        <v>307</v>
      </c>
      <c r="B1994" s="53">
        <v>2012</v>
      </c>
      <c r="C1994" s="52" t="s">
        <v>117</v>
      </c>
      <c r="D1994" s="54">
        <v>7</v>
      </c>
      <c r="E1994" s="55">
        <v>221884.7</v>
      </c>
      <c r="F1994" s="55">
        <v>0</v>
      </c>
      <c r="G1994" s="55">
        <v>221884.7</v>
      </c>
      <c r="H1994" s="55">
        <v>1596544.4</v>
      </c>
      <c r="I1994" s="55">
        <v>23639.8</v>
      </c>
      <c r="J1994" s="55">
        <v>1620184.2</v>
      </c>
      <c r="K1994" s="55">
        <v>202542.9</v>
      </c>
      <c r="L1994" s="55">
        <v>31166.3</v>
      </c>
      <c r="M1994" s="55">
        <v>105230.8</v>
      </c>
      <c r="N1994" s="55">
        <v>21856.3</v>
      </c>
    </row>
    <row r="1995" spans="1:14" ht="10.050000000000001" hidden="1" customHeight="1">
      <c r="A1995" s="52" t="s">
        <v>315</v>
      </c>
      <c r="B1995" s="53">
        <v>2012</v>
      </c>
      <c r="C1995" s="52" t="s">
        <v>117</v>
      </c>
      <c r="D1995" s="54">
        <v>7</v>
      </c>
      <c r="E1995" s="55">
        <v>63.8</v>
      </c>
      <c r="F1995" s="55">
        <v>0</v>
      </c>
      <c r="G1995" s="55">
        <v>63.8</v>
      </c>
      <c r="H1995" s="55">
        <v>7362.9</v>
      </c>
      <c r="I1995" s="55">
        <v>0.3</v>
      </c>
      <c r="J1995" s="55">
        <v>7363.2</v>
      </c>
      <c r="K1995" s="55">
        <v>68.099999999999994</v>
      </c>
      <c r="L1995" s="55">
        <v>11.9</v>
      </c>
      <c r="M1995" s="55">
        <v>11.9</v>
      </c>
      <c r="N1995" s="55">
        <v>0.5</v>
      </c>
    </row>
    <row r="1996" spans="1:14" ht="10.050000000000001" hidden="1" customHeight="1">
      <c r="A1996" s="52" t="s">
        <v>173</v>
      </c>
      <c r="B1996" s="53">
        <v>2012</v>
      </c>
      <c r="C1996" s="52" t="s">
        <v>117</v>
      </c>
      <c r="D1996" s="54">
        <v>7</v>
      </c>
      <c r="E1996" s="55">
        <v>4148894.2</v>
      </c>
      <c r="F1996" s="55">
        <v>106199.8</v>
      </c>
      <c r="G1996" s="55">
        <v>4255094</v>
      </c>
      <c r="H1996" s="55">
        <v>4090832.4</v>
      </c>
      <c r="I1996" s="55">
        <v>97742.3</v>
      </c>
      <c r="J1996" s="55">
        <v>4188574.7</v>
      </c>
      <c r="K1996" s="55">
        <v>1323637.6000000001</v>
      </c>
      <c r="L1996" s="55">
        <v>1648695.8</v>
      </c>
      <c r="M1996" s="55">
        <v>289363.09999999998</v>
      </c>
      <c r="N1996" s="55">
        <v>82172</v>
      </c>
    </row>
    <row r="1997" spans="1:14" ht="10.050000000000001" customHeight="1">
      <c r="A1997" s="52" t="s">
        <v>309</v>
      </c>
      <c r="B1997" s="53">
        <v>2012</v>
      </c>
      <c r="C1997" s="52" t="s">
        <v>117</v>
      </c>
      <c r="D1997" s="54">
        <v>7</v>
      </c>
      <c r="E1997" s="55">
        <v>352.8</v>
      </c>
      <c r="F1997" s="55">
        <v>0</v>
      </c>
      <c r="G1997" s="55">
        <v>352.8</v>
      </c>
      <c r="H1997" s="55">
        <v>52633.7</v>
      </c>
      <c r="I1997" s="55">
        <v>0</v>
      </c>
      <c r="J1997" s="55">
        <v>52633.7</v>
      </c>
      <c r="K1997" s="55">
        <v>1932.5</v>
      </c>
      <c r="L1997" s="55">
        <v>0</v>
      </c>
      <c r="M1997" s="55">
        <v>0</v>
      </c>
      <c r="N1997" s="55">
        <v>0</v>
      </c>
    </row>
    <row r="1998" spans="1:14" ht="10.050000000000001" hidden="1" customHeight="1">
      <c r="A1998" s="52" t="s">
        <v>316</v>
      </c>
      <c r="B1998" s="53">
        <v>2012</v>
      </c>
      <c r="C1998" s="52" t="s">
        <v>117</v>
      </c>
      <c r="D1998" s="54">
        <v>7</v>
      </c>
      <c r="E1998" s="55">
        <v>110.8</v>
      </c>
      <c r="F1998" s="55">
        <v>0</v>
      </c>
      <c r="G1998" s="55">
        <v>110.8</v>
      </c>
      <c r="H1998" s="55">
        <v>3697.9</v>
      </c>
      <c r="I1998" s="55">
        <v>15.8</v>
      </c>
      <c r="J1998" s="55">
        <v>3713.7</v>
      </c>
      <c r="K1998" s="55">
        <v>39.5</v>
      </c>
      <c r="L1998" s="55">
        <v>5.0999999999999996</v>
      </c>
      <c r="M1998" s="55">
        <v>0</v>
      </c>
      <c r="N1998" s="55">
        <v>8.1999999999999993</v>
      </c>
    </row>
    <row r="1999" spans="1:14" ht="10.050000000000001" hidden="1" customHeight="1">
      <c r="A1999" s="52" t="s">
        <v>310</v>
      </c>
      <c r="B1999" s="53">
        <v>2012</v>
      </c>
      <c r="C1999" s="52" t="s">
        <v>117</v>
      </c>
      <c r="D1999" s="54">
        <v>7</v>
      </c>
      <c r="E1999" s="55">
        <v>15783.8</v>
      </c>
      <c r="F1999" s="55">
        <v>315.89999999999998</v>
      </c>
      <c r="G1999" s="55">
        <v>16099.7</v>
      </c>
      <c r="H1999" s="55">
        <v>19976.2</v>
      </c>
      <c r="I1999" s="55">
        <v>829.2</v>
      </c>
      <c r="J1999" s="55">
        <v>20805.400000000001</v>
      </c>
      <c r="K1999" s="55">
        <v>3501.3</v>
      </c>
      <c r="L1999" s="55">
        <v>3327.6</v>
      </c>
      <c r="M1999" s="55">
        <v>137.30000000000001</v>
      </c>
      <c r="N1999" s="55">
        <v>43.2</v>
      </c>
    </row>
    <row r="2000" spans="1:14" ht="10.050000000000001" hidden="1" customHeight="1">
      <c r="A2000" s="52" t="s">
        <v>308</v>
      </c>
      <c r="B2000" s="53">
        <v>2012</v>
      </c>
      <c r="C2000" s="52" t="s">
        <v>117</v>
      </c>
      <c r="D2000" s="54">
        <v>7</v>
      </c>
      <c r="E2000" s="55">
        <v>527.4</v>
      </c>
      <c r="F2000" s="55">
        <v>0</v>
      </c>
      <c r="G2000" s="55">
        <v>527.4</v>
      </c>
      <c r="H2000" s="55">
        <v>11798.4</v>
      </c>
      <c r="I2000" s="55">
        <v>136.1</v>
      </c>
      <c r="J2000" s="55">
        <v>11934.5</v>
      </c>
      <c r="K2000" s="55">
        <v>235.9</v>
      </c>
      <c r="L2000" s="55">
        <v>975.9</v>
      </c>
      <c r="M2000" s="55">
        <v>38.799999999999997</v>
      </c>
      <c r="N2000" s="55">
        <v>1001.2</v>
      </c>
    </row>
    <row r="2001" spans="1:14" ht="10.050000000000001" hidden="1" customHeight="1">
      <c r="A2001" s="52" t="s">
        <v>174</v>
      </c>
      <c r="B2001" s="53">
        <v>2012</v>
      </c>
      <c r="C2001" s="52" t="s">
        <v>117</v>
      </c>
      <c r="D2001" s="54">
        <v>7</v>
      </c>
      <c r="E2001" s="55">
        <v>304806.3</v>
      </c>
      <c r="F2001" s="55">
        <v>10973.6</v>
      </c>
      <c r="G2001" s="55">
        <v>315779.90000000002</v>
      </c>
      <c r="H2001" s="55">
        <v>296247</v>
      </c>
      <c r="I2001" s="55">
        <v>16145.3</v>
      </c>
      <c r="J2001" s="55">
        <v>312392.3</v>
      </c>
      <c r="K2001" s="55">
        <v>104786.6</v>
      </c>
      <c r="L2001" s="55">
        <v>103037.1</v>
      </c>
      <c r="M2001" s="55">
        <v>3834.8</v>
      </c>
      <c r="N2001" s="55">
        <v>5387.2</v>
      </c>
    </row>
    <row r="2002" spans="1:14" ht="10.050000000000001" hidden="1" customHeight="1">
      <c r="A2002" s="52" t="s">
        <v>314</v>
      </c>
      <c r="B2002" s="53">
        <v>2012</v>
      </c>
      <c r="C2002" s="52" t="s">
        <v>117</v>
      </c>
      <c r="D2002" s="54">
        <v>8</v>
      </c>
      <c r="E2002" s="55">
        <v>23.9</v>
      </c>
      <c r="F2002" s="55">
        <v>0</v>
      </c>
      <c r="G2002" s="55">
        <v>23.9</v>
      </c>
      <c r="H2002" s="55">
        <v>3.3</v>
      </c>
      <c r="I2002" s="55">
        <v>0</v>
      </c>
      <c r="J2002" s="55">
        <v>3.3</v>
      </c>
      <c r="K2002" s="55">
        <v>7.2</v>
      </c>
      <c r="L2002" s="55">
        <v>7.2</v>
      </c>
      <c r="M2002" s="55">
        <v>0</v>
      </c>
      <c r="N2002" s="55">
        <v>0</v>
      </c>
    </row>
    <row r="2003" spans="1:14" ht="10.050000000000001" hidden="1" customHeight="1">
      <c r="A2003" s="52" t="s">
        <v>306</v>
      </c>
      <c r="B2003" s="53">
        <v>2012</v>
      </c>
      <c r="C2003" s="52" t="s">
        <v>117</v>
      </c>
      <c r="D2003" s="54">
        <v>8</v>
      </c>
      <c r="E2003" s="55">
        <v>79818.3</v>
      </c>
      <c r="F2003" s="55">
        <v>2959.8</v>
      </c>
      <c r="G2003" s="55">
        <v>82778.100000000006</v>
      </c>
      <c r="H2003" s="55">
        <v>134041.1</v>
      </c>
      <c r="I2003" s="55">
        <v>4867.7</v>
      </c>
      <c r="J2003" s="55">
        <v>138908.79999999999</v>
      </c>
      <c r="K2003" s="55">
        <v>27559</v>
      </c>
      <c r="L2003" s="55">
        <v>21263.599999999999</v>
      </c>
      <c r="M2003" s="55">
        <v>13256.4</v>
      </c>
      <c r="N2003" s="55">
        <v>479.4</v>
      </c>
    </row>
    <row r="2004" spans="1:14" ht="10.050000000000001" hidden="1" customHeight="1">
      <c r="A2004" s="52" t="s">
        <v>172</v>
      </c>
      <c r="B2004" s="53">
        <v>2012</v>
      </c>
      <c r="C2004" s="52" t="s">
        <v>117</v>
      </c>
      <c r="D2004" s="54">
        <v>8</v>
      </c>
      <c r="E2004" s="55">
        <v>135651.4</v>
      </c>
      <c r="F2004" s="55">
        <v>22180</v>
      </c>
      <c r="G2004" s="55">
        <v>157831.4</v>
      </c>
      <c r="H2004" s="55">
        <v>877533.1</v>
      </c>
      <c r="I2004" s="55">
        <v>37183.300000000003</v>
      </c>
      <c r="J2004" s="55">
        <v>914716.4</v>
      </c>
      <c r="K2004" s="55">
        <v>599051.19999999995</v>
      </c>
      <c r="L2004" s="55">
        <v>81947.899999999994</v>
      </c>
      <c r="M2004" s="55">
        <v>35841.1</v>
      </c>
      <c r="N2004" s="55">
        <v>7552.9</v>
      </c>
    </row>
    <row r="2005" spans="1:14" ht="10.050000000000001" hidden="1" customHeight="1">
      <c r="A2005" s="52" t="s">
        <v>171</v>
      </c>
      <c r="B2005" s="53">
        <v>2012</v>
      </c>
      <c r="C2005" s="52" t="s">
        <v>117</v>
      </c>
      <c r="D2005" s="54">
        <v>8</v>
      </c>
      <c r="E2005" s="55">
        <v>8885361.9000000004</v>
      </c>
      <c r="F2005" s="55">
        <v>187499.8</v>
      </c>
      <c r="G2005" s="55">
        <v>9072861.6999999993</v>
      </c>
      <c r="H2005" s="55">
        <v>13720865.5</v>
      </c>
      <c r="I2005" s="55">
        <v>229551.5</v>
      </c>
      <c r="J2005" s="55">
        <v>13950417</v>
      </c>
      <c r="K2005" s="55">
        <v>5952667.9000000004</v>
      </c>
      <c r="L2005" s="55">
        <v>4866450.8</v>
      </c>
      <c r="M2005" s="55">
        <v>1689373.3</v>
      </c>
      <c r="N2005" s="55">
        <v>52535.7</v>
      </c>
    </row>
    <row r="2006" spans="1:14" ht="10.050000000000001" hidden="1" customHeight="1">
      <c r="A2006" s="52" t="s">
        <v>300</v>
      </c>
      <c r="B2006" s="53">
        <v>2012</v>
      </c>
      <c r="C2006" s="52" t="s">
        <v>117</v>
      </c>
      <c r="D2006" s="54">
        <v>8</v>
      </c>
      <c r="E2006" s="55">
        <v>761.7</v>
      </c>
      <c r="F2006" s="55">
        <v>97</v>
      </c>
      <c r="G2006" s="55">
        <v>858.7</v>
      </c>
      <c r="H2006" s="55">
        <v>2629</v>
      </c>
      <c r="I2006" s="55">
        <v>75.5</v>
      </c>
      <c r="J2006" s="55">
        <v>2704.5</v>
      </c>
      <c r="K2006" s="55">
        <v>0</v>
      </c>
      <c r="L2006" s="55">
        <v>0</v>
      </c>
      <c r="M2006" s="55">
        <v>0</v>
      </c>
      <c r="N2006" s="55">
        <v>34.9</v>
      </c>
    </row>
    <row r="2007" spans="1:14" ht="10.050000000000001" hidden="1" customHeight="1">
      <c r="A2007" s="52" t="s">
        <v>307</v>
      </c>
      <c r="B2007" s="53">
        <v>2012</v>
      </c>
      <c r="C2007" s="52" t="s">
        <v>117</v>
      </c>
      <c r="D2007" s="54">
        <v>8</v>
      </c>
      <c r="E2007" s="55">
        <v>162782.79999999999</v>
      </c>
      <c r="F2007" s="55">
        <v>231.3</v>
      </c>
      <c r="G2007" s="55">
        <v>163014.1</v>
      </c>
      <c r="H2007" s="55">
        <v>906641.7</v>
      </c>
      <c r="I2007" s="55">
        <v>23845.1</v>
      </c>
      <c r="J2007" s="55">
        <v>930486.8</v>
      </c>
      <c r="K2007" s="55">
        <v>122214.2</v>
      </c>
      <c r="L2007" s="55">
        <v>13915.5</v>
      </c>
      <c r="M2007" s="55">
        <v>70231.199999999997</v>
      </c>
      <c r="N2007" s="55">
        <v>24260.3</v>
      </c>
    </row>
    <row r="2008" spans="1:14" ht="10.050000000000001" hidden="1" customHeight="1">
      <c r="A2008" s="52" t="s">
        <v>315</v>
      </c>
      <c r="B2008" s="53">
        <v>2012</v>
      </c>
      <c r="C2008" s="52" t="s">
        <v>117</v>
      </c>
      <c r="D2008" s="54">
        <v>8</v>
      </c>
      <c r="E2008" s="55">
        <v>169.5</v>
      </c>
      <c r="F2008" s="55">
        <v>55.5</v>
      </c>
      <c r="G2008" s="55">
        <v>225</v>
      </c>
      <c r="H2008" s="55">
        <v>5455.3</v>
      </c>
      <c r="I2008" s="55">
        <v>53.4</v>
      </c>
      <c r="J2008" s="55">
        <v>5508.7</v>
      </c>
      <c r="K2008" s="55">
        <v>132.69999999999999</v>
      </c>
      <c r="L2008" s="55">
        <v>66.2</v>
      </c>
      <c r="M2008" s="55">
        <v>0</v>
      </c>
      <c r="N2008" s="55">
        <v>1.6</v>
      </c>
    </row>
    <row r="2009" spans="1:14" ht="10.050000000000001" hidden="1" customHeight="1">
      <c r="A2009" s="52" t="s">
        <v>311</v>
      </c>
      <c r="B2009" s="53">
        <v>2012</v>
      </c>
      <c r="C2009" s="52" t="s">
        <v>117</v>
      </c>
      <c r="D2009" s="54">
        <v>8</v>
      </c>
      <c r="E2009" s="55">
        <v>0</v>
      </c>
      <c r="F2009" s="55">
        <v>0</v>
      </c>
      <c r="G2009" s="55">
        <v>0</v>
      </c>
      <c r="H2009" s="55">
        <v>0</v>
      </c>
      <c r="I2009" s="55">
        <v>0</v>
      </c>
      <c r="J2009" s="55">
        <v>0</v>
      </c>
      <c r="K2009" s="55">
        <v>94.1</v>
      </c>
      <c r="L2009" s="55">
        <v>102.3</v>
      </c>
      <c r="M2009" s="55">
        <v>0</v>
      </c>
      <c r="N2009" s="55">
        <v>8.1999999999999993</v>
      </c>
    </row>
    <row r="2010" spans="1:14" ht="10.050000000000001" hidden="1" customHeight="1">
      <c r="A2010" s="52" t="s">
        <v>173</v>
      </c>
      <c r="B2010" s="53">
        <v>2012</v>
      </c>
      <c r="C2010" s="52" t="s">
        <v>117</v>
      </c>
      <c r="D2010" s="54">
        <v>8</v>
      </c>
      <c r="E2010" s="55">
        <v>2437399.1</v>
      </c>
      <c r="F2010" s="55">
        <v>20651.8</v>
      </c>
      <c r="G2010" s="55">
        <v>2458050.9</v>
      </c>
      <c r="H2010" s="55">
        <v>5812387.5999999996</v>
      </c>
      <c r="I2010" s="55">
        <v>89766.6</v>
      </c>
      <c r="J2010" s="55">
        <v>5902154.2000000002</v>
      </c>
      <c r="K2010" s="55">
        <v>1191119.8999999999</v>
      </c>
      <c r="L2010" s="55">
        <v>458254.3</v>
      </c>
      <c r="M2010" s="55">
        <v>519243.1</v>
      </c>
      <c r="N2010" s="55">
        <v>40080.6</v>
      </c>
    </row>
    <row r="2011" spans="1:14" ht="10.050000000000001" customHeight="1">
      <c r="A2011" s="52" t="s">
        <v>309</v>
      </c>
      <c r="B2011" s="53">
        <v>2012</v>
      </c>
      <c r="C2011" s="52" t="s">
        <v>117</v>
      </c>
      <c r="D2011" s="54">
        <v>8</v>
      </c>
      <c r="E2011" s="55">
        <v>453.1</v>
      </c>
      <c r="F2011" s="55">
        <v>0</v>
      </c>
      <c r="G2011" s="55">
        <v>453.1</v>
      </c>
      <c r="H2011" s="55">
        <v>42765.4</v>
      </c>
      <c r="I2011" s="55">
        <v>0</v>
      </c>
      <c r="J2011" s="55">
        <v>42765.4</v>
      </c>
      <c r="K2011" s="55">
        <v>1832.4</v>
      </c>
      <c r="L2011" s="55">
        <v>0</v>
      </c>
      <c r="M2011" s="55">
        <v>100.1</v>
      </c>
      <c r="N2011" s="55">
        <v>0</v>
      </c>
    </row>
    <row r="2012" spans="1:14" ht="10.050000000000001" hidden="1" customHeight="1">
      <c r="A2012" s="52" t="s">
        <v>316</v>
      </c>
      <c r="B2012" s="53">
        <v>2012</v>
      </c>
      <c r="C2012" s="52" t="s">
        <v>117</v>
      </c>
      <c r="D2012" s="54">
        <v>8</v>
      </c>
      <c r="E2012" s="55">
        <v>149.69999999999999</v>
      </c>
      <c r="F2012" s="55">
        <v>0</v>
      </c>
      <c r="G2012" s="55">
        <v>149.69999999999999</v>
      </c>
      <c r="H2012" s="55">
        <v>3049.5</v>
      </c>
      <c r="I2012" s="55">
        <v>15.7</v>
      </c>
      <c r="J2012" s="55">
        <v>3065.2</v>
      </c>
      <c r="K2012" s="55">
        <v>160.6</v>
      </c>
      <c r="L2012" s="55">
        <v>121.1</v>
      </c>
      <c r="M2012" s="55">
        <v>0</v>
      </c>
      <c r="N2012" s="55">
        <v>0</v>
      </c>
    </row>
    <row r="2013" spans="1:14" ht="10.050000000000001" hidden="1" customHeight="1">
      <c r="A2013" s="52" t="s">
        <v>310</v>
      </c>
      <c r="B2013" s="53">
        <v>2012</v>
      </c>
      <c r="C2013" s="52" t="s">
        <v>117</v>
      </c>
      <c r="D2013" s="54">
        <v>8</v>
      </c>
      <c r="E2013" s="55">
        <v>30595.8</v>
      </c>
      <c r="F2013" s="55">
        <v>359.6</v>
      </c>
      <c r="G2013" s="55">
        <v>30955.4</v>
      </c>
      <c r="H2013" s="55">
        <v>45205.7</v>
      </c>
      <c r="I2013" s="55">
        <v>957.6</v>
      </c>
      <c r="J2013" s="55">
        <v>46163.3</v>
      </c>
      <c r="K2013" s="55">
        <v>17064.599999999999</v>
      </c>
      <c r="L2013" s="55">
        <v>16183.8</v>
      </c>
      <c r="M2013" s="55">
        <v>2521.5</v>
      </c>
      <c r="N2013" s="55">
        <v>99.5</v>
      </c>
    </row>
    <row r="2014" spans="1:14" ht="10.050000000000001" hidden="1" customHeight="1">
      <c r="A2014" s="52" t="s">
        <v>308</v>
      </c>
      <c r="B2014" s="53">
        <v>2012</v>
      </c>
      <c r="C2014" s="52" t="s">
        <v>117</v>
      </c>
      <c r="D2014" s="54">
        <v>8</v>
      </c>
      <c r="E2014" s="55">
        <v>226.6</v>
      </c>
      <c r="F2014" s="55">
        <v>0</v>
      </c>
      <c r="G2014" s="55">
        <v>226.6</v>
      </c>
      <c r="H2014" s="55">
        <v>5823.7</v>
      </c>
      <c r="I2014" s="55">
        <v>136.1</v>
      </c>
      <c r="J2014" s="55">
        <v>5959.8</v>
      </c>
      <c r="K2014" s="55">
        <v>192.5</v>
      </c>
      <c r="L2014" s="55">
        <v>0</v>
      </c>
      <c r="M2014" s="55">
        <v>0</v>
      </c>
      <c r="N2014" s="55">
        <v>43.4</v>
      </c>
    </row>
    <row r="2015" spans="1:14" ht="10.050000000000001" hidden="1" customHeight="1">
      <c r="A2015" s="52" t="s">
        <v>174</v>
      </c>
      <c r="B2015" s="53">
        <v>2012</v>
      </c>
      <c r="C2015" s="52" t="s">
        <v>117</v>
      </c>
      <c r="D2015" s="54">
        <v>8</v>
      </c>
      <c r="E2015" s="55">
        <v>440680.8</v>
      </c>
      <c r="F2015" s="55">
        <v>15399.3</v>
      </c>
      <c r="G2015" s="55">
        <v>456080.1</v>
      </c>
      <c r="H2015" s="55">
        <v>620320.5</v>
      </c>
      <c r="I2015" s="55">
        <v>25512.799999999999</v>
      </c>
      <c r="J2015" s="55">
        <v>645833.30000000005</v>
      </c>
      <c r="K2015" s="55">
        <v>176067.5</v>
      </c>
      <c r="L2015" s="55">
        <v>129604.2</v>
      </c>
      <c r="M2015" s="55">
        <v>49633.7</v>
      </c>
      <c r="N2015" s="55">
        <v>7239.6</v>
      </c>
    </row>
    <row r="2016" spans="1:14" ht="10.050000000000001" hidden="1" customHeight="1">
      <c r="A2016" s="52" t="s">
        <v>314</v>
      </c>
      <c r="B2016" s="53">
        <v>2012</v>
      </c>
      <c r="C2016" s="52" t="s">
        <v>117</v>
      </c>
      <c r="D2016" s="54">
        <v>9</v>
      </c>
      <c r="E2016" s="55">
        <v>0</v>
      </c>
      <c r="F2016" s="55">
        <v>0</v>
      </c>
      <c r="G2016" s="55">
        <v>0</v>
      </c>
      <c r="H2016" s="55">
        <v>3.3</v>
      </c>
      <c r="I2016" s="55">
        <v>0</v>
      </c>
      <c r="J2016" s="55">
        <v>3.3</v>
      </c>
      <c r="K2016" s="55">
        <v>7.2</v>
      </c>
      <c r="L2016" s="55">
        <v>0</v>
      </c>
      <c r="M2016" s="55">
        <v>0</v>
      </c>
      <c r="N2016" s="55">
        <v>0</v>
      </c>
    </row>
    <row r="2017" spans="1:14" ht="10.050000000000001" hidden="1" customHeight="1">
      <c r="A2017" s="52" t="s">
        <v>306</v>
      </c>
      <c r="B2017" s="53">
        <v>2012</v>
      </c>
      <c r="C2017" s="52" t="s">
        <v>117</v>
      </c>
      <c r="D2017" s="54">
        <v>9</v>
      </c>
      <c r="E2017" s="55">
        <v>15511.3</v>
      </c>
      <c r="F2017" s="55">
        <v>1729.5</v>
      </c>
      <c r="G2017" s="55">
        <v>17240.8</v>
      </c>
      <c r="H2017" s="55">
        <v>137548.29999999999</v>
      </c>
      <c r="I2017" s="55">
        <v>4295.3</v>
      </c>
      <c r="J2017" s="55">
        <v>141843.6</v>
      </c>
      <c r="K2017" s="55">
        <v>19477</v>
      </c>
      <c r="L2017" s="55">
        <v>1933.7</v>
      </c>
      <c r="M2017" s="55">
        <v>9248</v>
      </c>
      <c r="N2017" s="55">
        <v>484.6</v>
      </c>
    </row>
    <row r="2018" spans="1:14" ht="10.050000000000001" hidden="1" customHeight="1">
      <c r="A2018" s="52" t="s">
        <v>172</v>
      </c>
      <c r="B2018" s="53">
        <v>2012</v>
      </c>
      <c r="C2018" s="52" t="s">
        <v>117</v>
      </c>
      <c r="D2018" s="54">
        <v>9</v>
      </c>
      <c r="E2018" s="55">
        <v>84615.8</v>
      </c>
      <c r="F2018" s="55">
        <v>4948.3</v>
      </c>
      <c r="G2018" s="55">
        <v>89564.1</v>
      </c>
      <c r="H2018" s="55">
        <v>804065.3</v>
      </c>
      <c r="I2018" s="55">
        <v>27006.6</v>
      </c>
      <c r="J2018" s="55">
        <v>831071.9</v>
      </c>
      <c r="K2018" s="55">
        <v>544218.5</v>
      </c>
      <c r="L2018" s="55">
        <v>9777.2999999999993</v>
      </c>
      <c r="M2018" s="55">
        <v>59564.6</v>
      </c>
      <c r="N2018" s="55">
        <v>4988.6000000000004</v>
      </c>
    </row>
    <row r="2019" spans="1:14" ht="10.050000000000001" hidden="1" customHeight="1">
      <c r="A2019" s="52" t="s">
        <v>171</v>
      </c>
      <c r="B2019" s="53">
        <v>2012</v>
      </c>
      <c r="C2019" s="52" t="s">
        <v>117</v>
      </c>
      <c r="D2019" s="54">
        <v>9</v>
      </c>
      <c r="E2019" s="55">
        <v>2064886.2</v>
      </c>
      <c r="F2019" s="55">
        <v>158036.29999999999</v>
      </c>
      <c r="G2019" s="55">
        <v>2222922.5</v>
      </c>
      <c r="H2019" s="55">
        <v>13378026.300000001</v>
      </c>
      <c r="I2019" s="55">
        <v>230505.7</v>
      </c>
      <c r="J2019" s="55">
        <v>13608532</v>
      </c>
      <c r="K2019" s="55">
        <v>4845259.2</v>
      </c>
      <c r="L2019" s="55">
        <v>272303.59999999998</v>
      </c>
      <c r="M2019" s="55">
        <v>1363923.5</v>
      </c>
      <c r="N2019" s="55">
        <v>33868.6</v>
      </c>
    </row>
    <row r="2020" spans="1:14" ht="10.050000000000001" hidden="1" customHeight="1">
      <c r="A2020" s="52" t="s">
        <v>300</v>
      </c>
      <c r="B2020" s="53">
        <v>2012</v>
      </c>
      <c r="C2020" s="52" t="s">
        <v>117</v>
      </c>
      <c r="D2020" s="54">
        <v>9</v>
      </c>
      <c r="E2020" s="55">
        <v>492</v>
      </c>
      <c r="F2020" s="55">
        <v>191.9</v>
      </c>
      <c r="G2020" s="55">
        <v>683.9</v>
      </c>
      <c r="H2020" s="55">
        <v>2987</v>
      </c>
      <c r="I2020" s="55">
        <v>167.3</v>
      </c>
      <c r="J2020" s="55">
        <v>3154.3</v>
      </c>
      <c r="K2020" s="55">
        <v>46.8</v>
      </c>
      <c r="L2020" s="55">
        <v>0</v>
      </c>
      <c r="M2020" s="55">
        <v>0</v>
      </c>
      <c r="N2020" s="55">
        <v>0</v>
      </c>
    </row>
    <row r="2021" spans="1:14" ht="10.050000000000001" hidden="1" customHeight="1">
      <c r="A2021" s="52" t="s">
        <v>307</v>
      </c>
      <c r="B2021" s="53">
        <v>2012</v>
      </c>
      <c r="C2021" s="52" t="s">
        <v>117</v>
      </c>
      <c r="D2021" s="54">
        <v>9</v>
      </c>
      <c r="E2021" s="55">
        <v>517152.9</v>
      </c>
      <c r="F2021" s="55">
        <v>42105.9</v>
      </c>
      <c r="G2021" s="55">
        <v>559258.80000000005</v>
      </c>
      <c r="H2021" s="55">
        <v>658890</v>
      </c>
      <c r="I2021" s="55">
        <v>51871.7</v>
      </c>
      <c r="J2021" s="55">
        <v>710761.7</v>
      </c>
      <c r="K2021" s="55">
        <v>223312.6</v>
      </c>
      <c r="L2021" s="55">
        <v>164903.70000000001</v>
      </c>
      <c r="M2021" s="55">
        <v>43544.6</v>
      </c>
      <c r="N2021" s="55">
        <v>21254.400000000001</v>
      </c>
    </row>
    <row r="2022" spans="1:14" ht="10.050000000000001" hidden="1" customHeight="1">
      <c r="A2022" s="52" t="s">
        <v>315</v>
      </c>
      <c r="B2022" s="53">
        <v>2012</v>
      </c>
      <c r="C2022" s="52" t="s">
        <v>117</v>
      </c>
      <c r="D2022" s="54">
        <v>9</v>
      </c>
      <c r="E2022" s="55">
        <v>7918.8</v>
      </c>
      <c r="F2022" s="55">
        <v>5.4</v>
      </c>
      <c r="G2022" s="55">
        <v>7924.2</v>
      </c>
      <c r="H2022" s="55">
        <v>11443.1</v>
      </c>
      <c r="I2022" s="55">
        <v>56.6</v>
      </c>
      <c r="J2022" s="55">
        <v>11499.7</v>
      </c>
      <c r="K2022" s="55">
        <v>7686.9</v>
      </c>
      <c r="L2022" s="55">
        <v>8944.4</v>
      </c>
      <c r="M2022" s="55">
        <v>1390.4</v>
      </c>
      <c r="N2022" s="55">
        <v>0</v>
      </c>
    </row>
    <row r="2023" spans="1:14" ht="10.050000000000001" hidden="1" customHeight="1">
      <c r="A2023" s="52" t="s">
        <v>311</v>
      </c>
      <c r="B2023" s="53">
        <v>2012</v>
      </c>
      <c r="C2023" s="52" t="s">
        <v>117</v>
      </c>
      <c r="D2023" s="54">
        <v>9</v>
      </c>
      <c r="E2023" s="55">
        <v>0</v>
      </c>
      <c r="F2023" s="55">
        <v>0</v>
      </c>
      <c r="G2023" s="55">
        <v>0</v>
      </c>
      <c r="H2023" s="55">
        <v>0</v>
      </c>
      <c r="I2023" s="55">
        <v>0</v>
      </c>
      <c r="J2023" s="55">
        <v>0</v>
      </c>
      <c r="K2023" s="55">
        <v>94.1</v>
      </c>
      <c r="L2023" s="55">
        <v>0</v>
      </c>
      <c r="M2023" s="55">
        <v>0</v>
      </c>
      <c r="N2023" s="55">
        <v>0</v>
      </c>
    </row>
    <row r="2024" spans="1:14" ht="10.050000000000001" hidden="1" customHeight="1">
      <c r="A2024" s="52" t="s">
        <v>173</v>
      </c>
      <c r="B2024" s="53">
        <v>2012</v>
      </c>
      <c r="C2024" s="52" t="s">
        <v>117</v>
      </c>
      <c r="D2024" s="54">
        <v>9</v>
      </c>
      <c r="E2024" s="55">
        <v>389201.1</v>
      </c>
      <c r="F2024" s="55">
        <v>10077.6</v>
      </c>
      <c r="G2024" s="55">
        <v>399278.7</v>
      </c>
      <c r="H2024" s="55">
        <v>5538000.0999999996</v>
      </c>
      <c r="I2024" s="55">
        <v>78721.899999999994</v>
      </c>
      <c r="J2024" s="55">
        <v>5616722</v>
      </c>
      <c r="K2024" s="55">
        <v>941753.1</v>
      </c>
      <c r="L2024" s="55">
        <v>38024.300000000003</v>
      </c>
      <c r="M2024" s="55">
        <v>251368.6</v>
      </c>
      <c r="N2024" s="55">
        <v>39307</v>
      </c>
    </row>
    <row r="2025" spans="1:14" ht="10.050000000000001" customHeight="1">
      <c r="A2025" s="52" t="s">
        <v>309</v>
      </c>
      <c r="B2025" s="53">
        <v>2012</v>
      </c>
      <c r="C2025" s="52" t="s">
        <v>117</v>
      </c>
      <c r="D2025" s="54">
        <v>9</v>
      </c>
      <c r="E2025" s="55">
        <v>20331.099999999999</v>
      </c>
      <c r="F2025" s="55">
        <v>272.2</v>
      </c>
      <c r="G2025" s="55">
        <v>20603.3</v>
      </c>
      <c r="H2025" s="55">
        <v>55436.6</v>
      </c>
      <c r="I2025" s="55">
        <v>0</v>
      </c>
      <c r="J2025" s="55">
        <v>55436.6</v>
      </c>
      <c r="K2025" s="55">
        <v>8673.4</v>
      </c>
      <c r="L2025" s="55">
        <v>8144.9</v>
      </c>
      <c r="M2025" s="55">
        <v>1303.8</v>
      </c>
      <c r="N2025" s="55">
        <v>0</v>
      </c>
    </row>
    <row r="2026" spans="1:14" ht="10.050000000000001" hidden="1" customHeight="1">
      <c r="A2026" s="52" t="s">
        <v>316</v>
      </c>
      <c r="B2026" s="53">
        <v>2012</v>
      </c>
      <c r="C2026" s="52" t="s">
        <v>117</v>
      </c>
      <c r="D2026" s="54">
        <v>9</v>
      </c>
      <c r="E2026" s="55">
        <v>929.5</v>
      </c>
      <c r="F2026" s="55">
        <v>77.7</v>
      </c>
      <c r="G2026" s="55">
        <v>1007.2</v>
      </c>
      <c r="H2026" s="55">
        <v>3257.6</v>
      </c>
      <c r="I2026" s="55">
        <v>99.6</v>
      </c>
      <c r="J2026" s="55">
        <v>3357.2</v>
      </c>
      <c r="K2026" s="55">
        <v>248.3</v>
      </c>
      <c r="L2026" s="55">
        <v>90.8</v>
      </c>
      <c r="M2026" s="55">
        <v>3.1</v>
      </c>
      <c r="N2026" s="55">
        <v>0</v>
      </c>
    </row>
    <row r="2027" spans="1:14" ht="10.050000000000001" hidden="1" customHeight="1">
      <c r="A2027" s="52" t="s">
        <v>310</v>
      </c>
      <c r="B2027" s="53">
        <v>2012</v>
      </c>
      <c r="C2027" s="52" t="s">
        <v>117</v>
      </c>
      <c r="D2027" s="54">
        <v>9</v>
      </c>
      <c r="E2027" s="55">
        <v>6021.3</v>
      </c>
      <c r="F2027" s="55">
        <v>909.2</v>
      </c>
      <c r="G2027" s="55">
        <v>6930.5</v>
      </c>
      <c r="H2027" s="55">
        <v>46172.6</v>
      </c>
      <c r="I2027" s="55">
        <v>1171.0999999999999</v>
      </c>
      <c r="J2027" s="55">
        <v>47343.7</v>
      </c>
      <c r="K2027" s="55">
        <v>14062</v>
      </c>
      <c r="L2027" s="55">
        <v>1069.4000000000001</v>
      </c>
      <c r="M2027" s="55">
        <v>3994.7</v>
      </c>
      <c r="N2027" s="55">
        <v>77.7</v>
      </c>
    </row>
    <row r="2028" spans="1:14" ht="10.050000000000001" hidden="1" customHeight="1">
      <c r="A2028" s="52" t="s">
        <v>308</v>
      </c>
      <c r="B2028" s="53">
        <v>2012</v>
      </c>
      <c r="C2028" s="52" t="s">
        <v>117</v>
      </c>
      <c r="D2028" s="54">
        <v>9</v>
      </c>
      <c r="E2028" s="55">
        <v>18989.099999999999</v>
      </c>
      <c r="F2028" s="55">
        <v>1076.8</v>
      </c>
      <c r="G2028" s="55">
        <v>20065.900000000001</v>
      </c>
      <c r="H2028" s="55">
        <v>21218.400000000001</v>
      </c>
      <c r="I2028" s="55">
        <v>933.9</v>
      </c>
      <c r="J2028" s="55">
        <v>22152.3</v>
      </c>
      <c r="K2028" s="55">
        <v>3913.2</v>
      </c>
      <c r="L2028" s="55">
        <v>3912.8</v>
      </c>
      <c r="M2028" s="55">
        <v>77</v>
      </c>
      <c r="N2028" s="55">
        <v>115.2</v>
      </c>
    </row>
    <row r="2029" spans="1:14" ht="10.050000000000001" hidden="1" customHeight="1">
      <c r="A2029" s="52" t="s">
        <v>174</v>
      </c>
      <c r="B2029" s="53">
        <v>2012</v>
      </c>
      <c r="C2029" s="52" t="s">
        <v>117</v>
      </c>
      <c r="D2029" s="54">
        <v>9</v>
      </c>
      <c r="E2029" s="55">
        <v>50857</v>
      </c>
      <c r="F2029" s="55">
        <v>12742.1</v>
      </c>
      <c r="G2029" s="55">
        <v>63599.1</v>
      </c>
      <c r="H2029" s="55">
        <v>585149.19999999995</v>
      </c>
      <c r="I2029" s="55">
        <v>25391</v>
      </c>
      <c r="J2029" s="55">
        <v>610540.19999999995</v>
      </c>
      <c r="K2029" s="55">
        <v>150320.1</v>
      </c>
      <c r="L2029" s="55">
        <v>9793.9</v>
      </c>
      <c r="M2029" s="55">
        <v>27839.8</v>
      </c>
      <c r="N2029" s="55">
        <v>7720.6</v>
      </c>
    </row>
    <row r="2030" spans="1:14" ht="10.050000000000001" hidden="1" customHeight="1">
      <c r="A2030" s="52" t="s">
        <v>314</v>
      </c>
      <c r="B2030" s="53">
        <v>2012</v>
      </c>
      <c r="C2030" s="52" t="s">
        <v>117</v>
      </c>
      <c r="D2030" s="54">
        <v>10</v>
      </c>
      <c r="E2030" s="55">
        <v>0</v>
      </c>
      <c r="F2030" s="55">
        <v>0</v>
      </c>
      <c r="G2030" s="55">
        <v>0</v>
      </c>
      <c r="H2030" s="55">
        <v>3.3</v>
      </c>
      <c r="I2030" s="55">
        <v>0</v>
      </c>
      <c r="J2030" s="55">
        <v>3.3</v>
      </c>
      <c r="K2030" s="55">
        <v>7.2</v>
      </c>
      <c r="L2030" s="55">
        <v>0</v>
      </c>
      <c r="M2030" s="55">
        <v>0</v>
      </c>
      <c r="N2030" s="55">
        <v>0</v>
      </c>
    </row>
    <row r="2031" spans="1:14" ht="10.050000000000001" hidden="1" customHeight="1">
      <c r="A2031" s="52" t="s">
        <v>306</v>
      </c>
      <c r="B2031" s="53">
        <v>2012</v>
      </c>
      <c r="C2031" s="52" t="s">
        <v>117</v>
      </c>
      <c r="D2031" s="54">
        <v>10</v>
      </c>
      <c r="E2031" s="55">
        <v>8199.2999999999993</v>
      </c>
      <c r="F2031" s="55">
        <v>1770.9</v>
      </c>
      <c r="G2031" s="55">
        <v>9970.2000000000007</v>
      </c>
      <c r="H2031" s="55">
        <v>133061.29999999999</v>
      </c>
      <c r="I2031" s="55">
        <v>5344.7</v>
      </c>
      <c r="J2031" s="55">
        <v>138406</v>
      </c>
      <c r="K2031" s="55">
        <v>15810.2</v>
      </c>
      <c r="L2031" s="55">
        <v>1117.3</v>
      </c>
      <c r="M2031" s="55">
        <v>4303.8999999999996</v>
      </c>
      <c r="N2031" s="55">
        <v>794.3</v>
      </c>
    </row>
    <row r="2032" spans="1:14" ht="10.050000000000001" hidden="1" customHeight="1">
      <c r="A2032" s="52" t="s">
        <v>172</v>
      </c>
      <c r="B2032" s="53">
        <v>2012</v>
      </c>
      <c r="C2032" s="52" t="s">
        <v>117</v>
      </c>
      <c r="D2032" s="54">
        <v>10</v>
      </c>
      <c r="E2032" s="55">
        <v>111501.4</v>
      </c>
      <c r="F2032" s="55">
        <v>6584.6</v>
      </c>
      <c r="G2032" s="55">
        <v>118086</v>
      </c>
      <c r="H2032" s="55">
        <v>689813.1</v>
      </c>
      <c r="I2032" s="55">
        <v>18072.3</v>
      </c>
      <c r="J2032" s="55">
        <v>707885.4</v>
      </c>
      <c r="K2032" s="55">
        <v>474634.4</v>
      </c>
      <c r="L2032" s="55">
        <v>12494.8</v>
      </c>
      <c r="M2032" s="55">
        <v>74715.199999999997</v>
      </c>
      <c r="N2032" s="55">
        <v>7420.7</v>
      </c>
    </row>
    <row r="2033" spans="1:14" ht="10.050000000000001" hidden="1" customHeight="1">
      <c r="A2033" s="52" t="s">
        <v>171</v>
      </c>
      <c r="B2033" s="53">
        <v>2012</v>
      </c>
      <c r="C2033" s="52" t="s">
        <v>117</v>
      </c>
      <c r="D2033" s="54">
        <v>10</v>
      </c>
      <c r="E2033" s="55">
        <v>1546382.7</v>
      </c>
      <c r="F2033" s="55">
        <v>56773.9</v>
      </c>
      <c r="G2033" s="55">
        <v>1603156.6</v>
      </c>
      <c r="H2033" s="55">
        <v>12279572.199999999</v>
      </c>
      <c r="I2033" s="55">
        <v>202096</v>
      </c>
      <c r="J2033" s="55">
        <v>12481668.199999999</v>
      </c>
      <c r="K2033" s="55">
        <v>4009472.2</v>
      </c>
      <c r="L2033" s="55">
        <v>205906.8</v>
      </c>
      <c r="M2033" s="55">
        <v>1019206.5</v>
      </c>
      <c r="N2033" s="55">
        <v>22842.5</v>
      </c>
    </row>
    <row r="2034" spans="1:14" ht="10.050000000000001" hidden="1" customHeight="1">
      <c r="A2034" s="52" t="s">
        <v>300</v>
      </c>
      <c r="B2034" s="53">
        <v>2012</v>
      </c>
      <c r="C2034" s="52" t="s">
        <v>117</v>
      </c>
      <c r="D2034" s="54">
        <v>10</v>
      </c>
      <c r="E2034" s="55">
        <v>421.3</v>
      </c>
      <c r="F2034" s="55">
        <v>68</v>
      </c>
      <c r="G2034" s="55">
        <v>489.3</v>
      </c>
      <c r="H2034" s="55">
        <v>3023.3</v>
      </c>
      <c r="I2034" s="55">
        <v>68.099999999999994</v>
      </c>
      <c r="J2034" s="55">
        <v>3091.4</v>
      </c>
      <c r="K2034" s="55">
        <v>0</v>
      </c>
      <c r="L2034" s="55">
        <v>0</v>
      </c>
      <c r="M2034" s="55">
        <v>0</v>
      </c>
      <c r="N2034" s="55">
        <v>0</v>
      </c>
    </row>
    <row r="2035" spans="1:14" ht="10.050000000000001" hidden="1" customHeight="1">
      <c r="A2035" s="52" t="s">
        <v>307</v>
      </c>
      <c r="B2035" s="53">
        <v>2012</v>
      </c>
      <c r="C2035" s="52" t="s">
        <v>117</v>
      </c>
      <c r="D2035" s="54">
        <v>10</v>
      </c>
      <c r="E2035" s="55">
        <v>4919376.9000000004</v>
      </c>
      <c r="F2035" s="55">
        <v>86417.600000000006</v>
      </c>
      <c r="G2035" s="55">
        <v>5005794.5</v>
      </c>
      <c r="H2035" s="55">
        <v>4210477.9000000004</v>
      </c>
      <c r="I2035" s="55">
        <v>106762</v>
      </c>
      <c r="J2035" s="55">
        <v>4317239.9000000004</v>
      </c>
      <c r="K2035" s="55">
        <v>2554124.7000000002</v>
      </c>
      <c r="L2035" s="55">
        <v>2604826.1</v>
      </c>
      <c r="M2035" s="55">
        <v>217097.8</v>
      </c>
      <c r="N2035" s="55">
        <v>55729.7</v>
      </c>
    </row>
    <row r="2036" spans="1:14" ht="10.050000000000001" hidden="1" customHeight="1">
      <c r="A2036" s="52" t="s">
        <v>315</v>
      </c>
      <c r="B2036" s="53">
        <v>2012</v>
      </c>
      <c r="C2036" s="52" t="s">
        <v>117</v>
      </c>
      <c r="D2036" s="54">
        <v>10</v>
      </c>
      <c r="E2036" s="55">
        <v>9536.4</v>
      </c>
      <c r="F2036" s="55">
        <v>0</v>
      </c>
      <c r="G2036" s="55">
        <v>9536.4</v>
      </c>
      <c r="H2036" s="55">
        <v>18054.7</v>
      </c>
      <c r="I2036" s="55">
        <v>56.6</v>
      </c>
      <c r="J2036" s="55">
        <v>18111.3</v>
      </c>
      <c r="K2036" s="55">
        <v>3994.2</v>
      </c>
      <c r="L2036" s="55">
        <v>2859.1</v>
      </c>
      <c r="M2036" s="55">
        <v>6521.6</v>
      </c>
      <c r="N2036" s="55">
        <v>30.2</v>
      </c>
    </row>
    <row r="2037" spans="1:14" ht="10.050000000000001" hidden="1" customHeight="1">
      <c r="A2037" s="52" t="s">
        <v>311</v>
      </c>
      <c r="B2037" s="53">
        <v>2012</v>
      </c>
      <c r="C2037" s="52" t="s">
        <v>117</v>
      </c>
      <c r="D2037" s="54">
        <v>10</v>
      </c>
      <c r="E2037" s="55">
        <v>0</v>
      </c>
      <c r="F2037" s="55">
        <v>0</v>
      </c>
      <c r="G2037" s="55">
        <v>0</v>
      </c>
      <c r="H2037" s="55">
        <v>0</v>
      </c>
      <c r="I2037" s="55">
        <v>0</v>
      </c>
      <c r="J2037" s="55">
        <v>0</v>
      </c>
      <c r="K2037" s="55">
        <v>94.4</v>
      </c>
      <c r="L2037" s="55">
        <v>0.3</v>
      </c>
      <c r="M2037" s="55">
        <v>0</v>
      </c>
      <c r="N2037" s="55">
        <v>0</v>
      </c>
    </row>
    <row r="2038" spans="1:14" ht="10.050000000000001" hidden="1" customHeight="1">
      <c r="A2038" s="52" t="s">
        <v>173</v>
      </c>
      <c r="B2038" s="53">
        <v>2012</v>
      </c>
      <c r="C2038" s="52" t="s">
        <v>117</v>
      </c>
      <c r="D2038" s="54">
        <v>10</v>
      </c>
      <c r="E2038" s="55">
        <v>335338.09999999998</v>
      </c>
      <c r="F2038" s="55">
        <v>15084.1</v>
      </c>
      <c r="G2038" s="55">
        <v>350422.2</v>
      </c>
      <c r="H2038" s="55">
        <v>5236277.3</v>
      </c>
      <c r="I2038" s="55">
        <v>80985.899999999994</v>
      </c>
      <c r="J2038" s="55">
        <v>5317263.2</v>
      </c>
      <c r="K2038" s="55">
        <v>752289.6</v>
      </c>
      <c r="L2038" s="55">
        <v>34909.699999999997</v>
      </c>
      <c r="M2038" s="55">
        <v>207783.6</v>
      </c>
      <c r="N2038" s="55">
        <v>16509.400000000001</v>
      </c>
    </row>
    <row r="2039" spans="1:14" ht="10.050000000000001" customHeight="1">
      <c r="A2039" s="52" t="s">
        <v>309</v>
      </c>
      <c r="B2039" s="53">
        <v>2012</v>
      </c>
      <c r="C2039" s="52" t="s">
        <v>117</v>
      </c>
      <c r="D2039" s="54">
        <v>10</v>
      </c>
      <c r="E2039" s="55">
        <v>59793.7</v>
      </c>
      <c r="F2039" s="55">
        <v>1962.2</v>
      </c>
      <c r="G2039" s="55">
        <v>61755.9</v>
      </c>
      <c r="H2039" s="55">
        <v>109076.4</v>
      </c>
      <c r="I2039" s="55">
        <v>0</v>
      </c>
      <c r="J2039" s="55">
        <v>109076.4</v>
      </c>
      <c r="K2039" s="55">
        <v>36514.5</v>
      </c>
      <c r="L2039" s="55">
        <v>32241.4</v>
      </c>
      <c r="M2039" s="55">
        <v>4400.3</v>
      </c>
      <c r="N2039" s="55">
        <v>0</v>
      </c>
    </row>
    <row r="2040" spans="1:14" ht="10.050000000000001" hidden="1" customHeight="1">
      <c r="A2040" s="52" t="s">
        <v>316</v>
      </c>
      <c r="B2040" s="53">
        <v>2012</v>
      </c>
      <c r="C2040" s="52" t="s">
        <v>117</v>
      </c>
      <c r="D2040" s="54">
        <v>10</v>
      </c>
      <c r="E2040" s="55">
        <v>1960.3</v>
      </c>
      <c r="F2040" s="55">
        <v>57.8</v>
      </c>
      <c r="G2040" s="55">
        <v>2018.1</v>
      </c>
      <c r="H2040" s="55">
        <v>4246.2</v>
      </c>
      <c r="I2040" s="55">
        <v>162.69999999999999</v>
      </c>
      <c r="J2040" s="55">
        <v>4408.8999999999996</v>
      </c>
      <c r="K2040" s="55">
        <v>431.2</v>
      </c>
      <c r="L2040" s="55">
        <v>315.10000000000002</v>
      </c>
      <c r="M2040" s="55">
        <v>132.4</v>
      </c>
      <c r="N2040" s="55">
        <v>0</v>
      </c>
    </row>
    <row r="2041" spans="1:14" ht="10.050000000000001" hidden="1" customHeight="1">
      <c r="A2041" s="52" t="s">
        <v>310</v>
      </c>
      <c r="B2041" s="53">
        <v>2012</v>
      </c>
      <c r="C2041" s="52" t="s">
        <v>117</v>
      </c>
      <c r="D2041" s="54">
        <v>10</v>
      </c>
      <c r="E2041" s="55">
        <v>3519.2</v>
      </c>
      <c r="F2041" s="55">
        <v>166</v>
      </c>
      <c r="G2041" s="55">
        <v>3685.2</v>
      </c>
      <c r="H2041" s="55">
        <v>45730.6</v>
      </c>
      <c r="I2041" s="55">
        <v>1061.5</v>
      </c>
      <c r="J2041" s="55">
        <v>46792.1</v>
      </c>
      <c r="K2041" s="55">
        <v>11660.7</v>
      </c>
      <c r="L2041" s="55">
        <v>222.4</v>
      </c>
      <c r="M2041" s="55">
        <v>2545.9</v>
      </c>
      <c r="N2041" s="55">
        <v>77.900000000000006</v>
      </c>
    </row>
    <row r="2042" spans="1:14" ht="10.050000000000001" hidden="1" customHeight="1">
      <c r="A2042" s="52" t="s">
        <v>308</v>
      </c>
      <c r="B2042" s="53">
        <v>2012</v>
      </c>
      <c r="C2042" s="52" t="s">
        <v>117</v>
      </c>
      <c r="D2042" s="54">
        <v>10</v>
      </c>
      <c r="E2042" s="55">
        <v>64649.8</v>
      </c>
      <c r="F2042" s="55">
        <v>110.8</v>
      </c>
      <c r="G2042" s="55">
        <v>64760.6</v>
      </c>
      <c r="H2042" s="55">
        <v>74324.5</v>
      </c>
      <c r="I2042" s="55">
        <v>694.5</v>
      </c>
      <c r="J2042" s="55">
        <v>75019</v>
      </c>
      <c r="K2042" s="55">
        <v>18543.5</v>
      </c>
      <c r="L2042" s="55">
        <v>18945.2</v>
      </c>
      <c r="M2042" s="55">
        <v>3040.3</v>
      </c>
      <c r="N2042" s="55">
        <v>1274.9000000000001</v>
      </c>
    </row>
    <row r="2043" spans="1:14" ht="10.050000000000001" hidden="1" customHeight="1">
      <c r="A2043" s="52" t="s">
        <v>174</v>
      </c>
      <c r="B2043" s="53">
        <v>2012</v>
      </c>
      <c r="C2043" s="52" t="s">
        <v>117</v>
      </c>
      <c r="D2043" s="54">
        <v>10</v>
      </c>
      <c r="E2043" s="55">
        <v>29087.4</v>
      </c>
      <c r="F2043" s="55">
        <v>5648.5</v>
      </c>
      <c r="G2043" s="55">
        <v>34735.9</v>
      </c>
      <c r="H2043" s="55">
        <v>524770.1</v>
      </c>
      <c r="I2043" s="55">
        <v>20548.400000000001</v>
      </c>
      <c r="J2043" s="55">
        <v>545318.5</v>
      </c>
      <c r="K2043" s="55">
        <v>129701.6</v>
      </c>
      <c r="L2043" s="55">
        <v>4708.2</v>
      </c>
      <c r="M2043" s="55">
        <v>16252.6</v>
      </c>
      <c r="N2043" s="55">
        <v>9194.6</v>
      </c>
    </row>
    <row r="2044" spans="1:14" ht="10.050000000000001" hidden="1" customHeight="1">
      <c r="A2044" s="52" t="s">
        <v>314</v>
      </c>
      <c r="B2044" s="53">
        <v>2012</v>
      </c>
      <c r="C2044" s="52" t="s">
        <v>117</v>
      </c>
      <c r="D2044" s="54">
        <v>11</v>
      </c>
      <c r="E2044" s="55">
        <v>0</v>
      </c>
      <c r="F2044" s="55">
        <v>0</v>
      </c>
      <c r="G2044" s="55">
        <v>0</v>
      </c>
      <c r="H2044" s="55">
        <v>3.3</v>
      </c>
      <c r="I2044" s="55">
        <v>0</v>
      </c>
      <c r="J2044" s="55">
        <v>3.3</v>
      </c>
      <c r="K2044" s="55">
        <v>7.2</v>
      </c>
      <c r="L2044" s="55">
        <v>0</v>
      </c>
      <c r="M2044" s="55">
        <v>0</v>
      </c>
      <c r="N2044" s="55">
        <v>0</v>
      </c>
    </row>
    <row r="2045" spans="1:14" ht="10.050000000000001" hidden="1" customHeight="1">
      <c r="A2045" s="52" t="s">
        <v>306</v>
      </c>
      <c r="B2045" s="53">
        <v>2012</v>
      </c>
      <c r="C2045" s="52" t="s">
        <v>117</v>
      </c>
      <c r="D2045" s="54">
        <v>11</v>
      </c>
      <c r="E2045" s="55">
        <v>5612.4</v>
      </c>
      <c r="F2045" s="55">
        <v>1981.3</v>
      </c>
      <c r="G2045" s="55">
        <v>7593.7</v>
      </c>
      <c r="H2045" s="55">
        <v>127472.3</v>
      </c>
      <c r="I2045" s="55">
        <v>6620.6</v>
      </c>
      <c r="J2045" s="55">
        <v>134092.9</v>
      </c>
      <c r="K2045" s="55">
        <v>13179.4</v>
      </c>
      <c r="L2045" s="55">
        <v>633.6</v>
      </c>
      <c r="M2045" s="55">
        <v>2748.1</v>
      </c>
      <c r="N2045" s="55">
        <v>469.5</v>
      </c>
    </row>
    <row r="2046" spans="1:14" ht="10.050000000000001" hidden="1" customHeight="1">
      <c r="A2046" s="52" t="s">
        <v>172</v>
      </c>
      <c r="B2046" s="53">
        <v>2012</v>
      </c>
      <c r="C2046" s="52" t="s">
        <v>117</v>
      </c>
      <c r="D2046" s="54">
        <v>11</v>
      </c>
      <c r="E2046" s="55">
        <v>102099.7</v>
      </c>
      <c r="F2046" s="55">
        <v>2918</v>
      </c>
      <c r="G2046" s="55">
        <v>105017.7</v>
      </c>
      <c r="H2046" s="55">
        <v>654998.9</v>
      </c>
      <c r="I2046" s="55">
        <v>18006.5</v>
      </c>
      <c r="J2046" s="55">
        <v>673005.4</v>
      </c>
      <c r="K2046" s="55">
        <v>412735.3</v>
      </c>
      <c r="L2046" s="55">
        <v>12611.5</v>
      </c>
      <c r="M2046" s="55">
        <v>70161.600000000006</v>
      </c>
      <c r="N2046" s="55">
        <v>4349.3999999999996</v>
      </c>
    </row>
    <row r="2047" spans="1:14" ht="10.050000000000001" hidden="1" customHeight="1">
      <c r="A2047" s="52" t="s">
        <v>171</v>
      </c>
      <c r="B2047" s="53">
        <v>2012</v>
      </c>
      <c r="C2047" s="52" t="s">
        <v>117</v>
      </c>
      <c r="D2047" s="54">
        <v>11</v>
      </c>
      <c r="E2047" s="55">
        <v>2113104</v>
      </c>
      <c r="F2047" s="55">
        <v>18692.5</v>
      </c>
      <c r="G2047" s="55">
        <v>2131796.5</v>
      </c>
      <c r="H2047" s="55">
        <v>11569118.9</v>
      </c>
      <c r="I2047" s="55">
        <v>182570.7</v>
      </c>
      <c r="J2047" s="55">
        <v>11751689.6</v>
      </c>
      <c r="K2047" s="55">
        <v>2922416.3</v>
      </c>
      <c r="L2047" s="55">
        <v>348977.7</v>
      </c>
      <c r="M2047" s="55">
        <v>1387636.7</v>
      </c>
      <c r="N2047" s="55">
        <v>46747.3</v>
      </c>
    </row>
    <row r="2048" spans="1:14" ht="10.050000000000001" hidden="1" customHeight="1">
      <c r="A2048" s="52" t="s">
        <v>300</v>
      </c>
      <c r="B2048" s="53">
        <v>2012</v>
      </c>
      <c r="C2048" s="52" t="s">
        <v>117</v>
      </c>
      <c r="D2048" s="54">
        <v>11</v>
      </c>
      <c r="E2048" s="55">
        <v>323.60000000000002</v>
      </c>
      <c r="F2048" s="55">
        <v>0</v>
      </c>
      <c r="G2048" s="55">
        <v>323.60000000000002</v>
      </c>
      <c r="H2048" s="55">
        <v>2840.2</v>
      </c>
      <c r="I2048" s="55">
        <v>55.3</v>
      </c>
      <c r="J2048" s="55">
        <v>2895.5</v>
      </c>
      <c r="K2048" s="55">
        <v>37.700000000000003</v>
      </c>
      <c r="L2048" s="55">
        <v>0</v>
      </c>
      <c r="M2048" s="55">
        <v>0</v>
      </c>
      <c r="N2048" s="55">
        <v>2.2000000000000002</v>
      </c>
    </row>
    <row r="2049" spans="1:14" ht="10.050000000000001" hidden="1" customHeight="1">
      <c r="A2049" s="52" t="s">
        <v>307</v>
      </c>
      <c r="B2049" s="53">
        <v>2012</v>
      </c>
      <c r="C2049" s="52" t="s">
        <v>117</v>
      </c>
      <c r="D2049" s="54">
        <v>11</v>
      </c>
      <c r="E2049" s="55">
        <v>3594456.6</v>
      </c>
      <c r="F2049" s="55">
        <v>77718.8</v>
      </c>
      <c r="G2049" s="55">
        <v>3672175.4</v>
      </c>
      <c r="H2049" s="55">
        <v>6412067.7000000002</v>
      </c>
      <c r="I2049" s="55">
        <v>143241.79999999999</v>
      </c>
      <c r="J2049" s="55">
        <v>6555309.5</v>
      </c>
      <c r="K2049" s="55">
        <v>3198456.5</v>
      </c>
      <c r="L2049" s="55">
        <v>1676216.8</v>
      </c>
      <c r="M2049" s="55">
        <v>880592.1</v>
      </c>
      <c r="N2049" s="55">
        <v>147549.29999999999</v>
      </c>
    </row>
    <row r="2050" spans="1:14" ht="10.050000000000001" hidden="1" customHeight="1">
      <c r="A2050" s="52" t="s">
        <v>315</v>
      </c>
      <c r="B2050" s="53">
        <v>2012</v>
      </c>
      <c r="C2050" s="52" t="s">
        <v>117</v>
      </c>
      <c r="D2050" s="54">
        <v>11</v>
      </c>
      <c r="E2050" s="55">
        <v>2954.9</v>
      </c>
      <c r="F2050" s="55">
        <v>0</v>
      </c>
      <c r="G2050" s="55">
        <v>2954.9</v>
      </c>
      <c r="H2050" s="55">
        <v>18541.900000000001</v>
      </c>
      <c r="I2050" s="55">
        <v>56.6</v>
      </c>
      <c r="J2050" s="55">
        <v>18598.5</v>
      </c>
      <c r="K2050" s="55">
        <v>2474.4</v>
      </c>
      <c r="L2050" s="55">
        <v>664</v>
      </c>
      <c r="M2050" s="55">
        <v>2171.6</v>
      </c>
      <c r="N2050" s="55">
        <v>12.3</v>
      </c>
    </row>
    <row r="2051" spans="1:14" ht="10.050000000000001" hidden="1" customHeight="1">
      <c r="A2051" s="52" t="s">
        <v>311</v>
      </c>
      <c r="B2051" s="53">
        <v>2012</v>
      </c>
      <c r="C2051" s="52" t="s">
        <v>117</v>
      </c>
      <c r="D2051" s="54">
        <v>11</v>
      </c>
      <c r="E2051" s="55">
        <v>0</v>
      </c>
      <c r="F2051" s="55">
        <v>0</v>
      </c>
      <c r="G2051" s="55">
        <v>0</v>
      </c>
      <c r="H2051" s="55">
        <v>0</v>
      </c>
      <c r="I2051" s="55">
        <v>0</v>
      </c>
      <c r="J2051" s="55">
        <v>0</v>
      </c>
      <c r="K2051" s="55">
        <v>86.4</v>
      </c>
      <c r="L2051" s="55">
        <v>0</v>
      </c>
      <c r="M2051" s="55">
        <v>0</v>
      </c>
      <c r="N2051" s="55">
        <v>8</v>
      </c>
    </row>
    <row r="2052" spans="1:14" ht="10.050000000000001" hidden="1" customHeight="1">
      <c r="A2052" s="52" t="s">
        <v>173</v>
      </c>
      <c r="B2052" s="53">
        <v>2012</v>
      </c>
      <c r="C2052" s="52" t="s">
        <v>117</v>
      </c>
      <c r="D2052" s="54">
        <v>11</v>
      </c>
      <c r="E2052" s="55">
        <v>366396.3</v>
      </c>
      <c r="F2052" s="55">
        <v>29232.9</v>
      </c>
      <c r="G2052" s="55">
        <v>395629.2</v>
      </c>
      <c r="H2052" s="55">
        <v>4995453.5999999996</v>
      </c>
      <c r="I2052" s="55">
        <v>90653.2</v>
      </c>
      <c r="J2052" s="55">
        <v>5086106.8</v>
      </c>
      <c r="K2052" s="55">
        <v>590034</v>
      </c>
      <c r="L2052" s="55">
        <v>47921</v>
      </c>
      <c r="M2052" s="55">
        <v>193409.5</v>
      </c>
      <c r="N2052" s="55">
        <v>16895.5</v>
      </c>
    </row>
    <row r="2053" spans="1:14" ht="10.050000000000001" customHeight="1">
      <c r="A2053" s="52" t="s">
        <v>309</v>
      </c>
      <c r="B2053" s="53">
        <v>2012</v>
      </c>
      <c r="C2053" s="52" t="s">
        <v>117</v>
      </c>
      <c r="D2053" s="54">
        <v>11</v>
      </c>
      <c r="E2053" s="55">
        <v>6044.4</v>
      </c>
      <c r="F2053" s="55">
        <v>122.8</v>
      </c>
      <c r="G2053" s="55">
        <v>6167.2</v>
      </c>
      <c r="H2053" s="55">
        <v>106981.7</v>
      </c>
      <c r="I2053" s="55">
        <v>0</v>
      </c>
      <c r="J2053" s="55">
        <v>106981.7</v>
      </c>
      <c r="K2053" s="55">
        <v>33540.199999999997</v>
      </c>
      <c r="L2053" s="55">
        <v>427.4</v>
      </c>
      <c r="M2053" s="55">
        <v>2991.7</v>
      </c>
      <c r="N2053" s="55">
        <v>410</v>
      </c>
    </row>
    <row r="2054" spans="1:14" ht="10.050000000000001" hidden="1" customHeight="1">
      <c r="A2054" s="52" t="s">
        <v>316</v>
      </c>
      <c r="B2054" s="53">
        <v>2012</v>
      </c>
      <c r="C2054" s="52" t="s">
        <v>117</v>
      </c>
      <c r="D2054" s="54">
        <v>11</v>
      </c>
      <c r="E2054" s="55">
        <v>1076.5999999999999</v>
      </c>
      <c r="F2054" s="55">
        <v>0</v>
      </c>
      <c r="G2054" s="55">
        <v>1076.5999999999999</v>
      </c>
      <c r="H2054" s="55">
        <v>4617.2</v>
      </c>
      <c r="I2054" s="55">
        <v>152.69999999999999</v>
      </c>
      <c r="J2054" s="55">
        <v>4769.8999999999996</v>
      </c>
      <c r="K2054" s="55">
        <v>336.4</v>
      </c>
      <c r="L2054" s="55">
        <v>82</v>
      </c>
      <c r="M2054" s="55">
        <v>176.8</v>
      </c>
      <c r="N2054" s="55">
        <v>0</v>
      </c>
    </row>
    <row r="2055" spans="1:14" ht="10.050000000000001" hidden="1" customHeight="1">
      <c r="A2055" s="52" t="s">
        <v>310</v>
      </c>
      <c r="B2055" s="53">
        <v>2012</v>
      </c>
      <c r="C2055" s="52" t="s">
        <v>117</v>
      </c>
      <c r="D2055" s="54">
        <v>11</v>
      </c>
      <c r="E2055" s="55">
        <v>6905.6</v>
      </c>
      <c r="F2055" s="55">
        <v>144</v>
      </c>
      <c r="G2055" s="55">
        <v>7049.6</v>
      </c>
      <c r="H2055" s="55">
        <v>48736.1</v>
      </c>
      <c r="I2055" s="55">
        <v>1002.9</v>
      </c>
      <c r="J2055" s="55">
        <v>49739</v>
      </c>
      <c r="K2055" s="55">
        <v>6255.2</v>
      </c>
      <c r="L2055" s="55">
        <v>207.1</v>
      </c>
      <c r="M2055" s="55">
        <v>5395</v>
      </c>
      <c r="N2055" s="55">
        <v>217.6</v>
      </c>
    </row>
    <row r="2056" spans="1:14" ht="10.050000000000001" hidden="1" customHeight="1">
      <c r="A2056" s="52" t="s">
        <v>308</v>
      </c>
      <c r="B2056" s="53">
        <v>2012</v>
      </c>
      <c r="C2056" s="52" t="s">
        <v>117</v>
      </c>
      <c r="D2056" s="54">
        <v>11</v>
      </c>
      <c r="E2056" s="55">
        <v>17106</v>
      </c>
      <c r="F2056" s="55">
        <v>41.5</v>
      </c>
      <c r="G2056" s="55">
        <v>17147.5</v>
      </c>
      <c r="H2056" s="55">
        <v>70723.600000000006</v>
      </c>
      <c r="I2056" s="55">
        <v>697.9</v>
      </c>
      <c r="J2056" s="55">
        <v>71421.5</v>
      </c>
      <c r="K2056" s="55">
        <v>14422.1</v>
      </c>
      <c r="L2056" s="55">
        <v>2882.8</v>
      </c>
      <c r="M2056" s="55">
        <v>4984</v>
      </c>
      <c r="N2056" s="55">
        <v>2020</v>
      </c>
    </row>
    <row r="2057" spans="1:14" ht="10.050000000000001" hidden="1" customHeight="1">
      <c r="A2057" s="52" t="s">
        <v>174</v>
      </c>
      <c r="B2057" s="53">
        <v>2012</v>
      </c>
      <c r="C2057" s="52" t="s">
        <v>117</v>
      </c>
      <c r="D2057" s="54">
        <v>11</v>
      </c>
      <c r="E2057" s="55">
        <v>22137.7</v>
      </c>
      <c r="F2057" s="55">
        <v>1478.1</v>
      </c>
      <c r="G2057" s="55">
        <v>23615.8</v>
      </c>
      <c r="H2057" s="55">
        <v>467823</v>
      </c>
      <c r="I2057" s="55">
        <v>18211.8</v>
      </c>
      <c r="J2057" s="55">
        <v>486034.8</v>
      </c>
      <c r="K2057" s="55">
        <v>113533.3</v>
      </c>
      <c r="L2057" s="55">
        <v>14694.3</v>
      </c>
      <c r="M2057" s="55">
        <v>11761.1</v>
      </c>
      <c r="N2057" s="55">
        <v>19491.8</v>
      </c>
    </row>
    <row r="2058" spans="1:14" ht="10.050000000000001" hidden="1" customHeight="1">
      <c r="A2058" s="52" t="s">
        <v>314</v>
      </c>
      <c r="B2058" s="53">
        <v>2012</v>
      </c>
      <c r="C2058" s="52" t="s">
        <v>117</v>
      </c>
      <c r="D2058" s="54">
        <v>12</v>
      </c>
      <c r="E2058" s="55">
        <v>6.5</v>
      </c>
      <c r="F2058" s="55">
        <v>0</v>
      </c>
      <c r="G2058" s="55">
        <v>6.5</v>
      </c>
      <c r="H2058" s="55">
        <v>9.8000000000000007</v>
      </c>
      <c r="I2058" s="55">
        <v>0</v>
      </c>
      <c r="J2058" s="55">
        <v>9.8000000000000007</v>
      </c>
      <c r="K2058" s="55">
        <v>7.2</v>
      </c>
      <c r="L2058" s="55">
        <v>0</v>
      </c>
      <c r="M2058" s="55">
        <v>0</v>
      </c>
      <c r="N2058" s="55">
        <v>0</v>
      </c>
    </row>
    <row r="2059" spans="1:14" ht="10.050000000000001" hidden="1" customHeight="1">
      <c r="A2059" s="52" t="s">
        <v>306</v>
      </c>
      <c r="B2059" s="53">
        <v>2012</v>
      </c>
      <c r="C2059" s="52" t="s">
        <v>117</v>
      </c>
      <c r="D2059" s="54">
        <v>12</v>
      </c>
      <c r="E2059" s="55">
        <v>4023.3</v>
      </c>
      <c r="F2059" s="55">
        <v>1004.2</v>
      </c>
      <c r="G2059" s="55">
        <v>5027.5</v>
      </c>
      <c r="H2059" s="55">
        <v>121161.7</v>
      </c>
      <c r="I2059" s="55">
        <v>7067.3</v>
      </c>
      <c r="J2059" s="55">
        <v>128229</v>
      </c>
      <c r="K2059" s="55">
        <v>12208</v>
      </c>
      <c r="L2059" s="55">
        <v>539.9</v>
      </c>
      <c r="M2059" s="55">
        <v>1189.4000000000001</v>
      </c>
      <c r="N2059" s="55">
        <v>319.89999999999998</v>
      </c>
    </row>
    <row r="2060" spans="1:14" ht="10.050000000000001" hidden="1" customHeight="1">
      <c r="A2060" s="52" t="s">
        <v>172</v>
      </c>
      <c r="B2060" s="53">
        <v>2012</v>
      </c>
      <c r="C2060" s="52" t="s">
        <v>117</v>
      </c>
      <c r="D2060" s="54">
        <v>12</v>
      </c>
      <c r="E2060" s="55">
        <v>88501.1</v>
      </c>
      <c r="F2060" s="55">
        <v>1464.4</v>
      </c>
      <c r="G2060" s="55">
        <v>89965.5</v>
      </c>
      <c r="H2060" s="55">
        <v>606469.30000000005</v>
      </c>
      <c r="I2060" s="55">
        <v>18198.900000000001</v>
      </c>
      <c r="J2060" s="55">
        <v>624668.19999999995</v>
      </c>
      <c r="K2060" s="55">
        <v>374620.9</v>
      </c>
      <c r="L2060" s="55">
        <v>13553.7</v>
      </c>
      <c r="M2060" s="55">
        <v>47332.5</v>
      </c>
      <c r="N2060" s="55">
        <v>4335.3</v>
      </c>
    </row>
    <row r="2061" spans="1:14" ht="10.050000000000001" hidden="1" customHeight="1">
      <c r="A2061" s="52" t="s">
        <v>171</v>
      </c>
      <c r="B2061" s="53">
        <v>2012</v>
      </c>
      <c r="C2061" s="52" t="s">
        <v>117</v>
      </c>
      <c r="D2061" s="54">
        <v>12</v>
      </c>
      <c r="E2061" s="55">
        <v>1286927.1000000001</v>
      </c>
      <c r="F2061" s="55">
        <v>6646.3</v>
      </c>
      <c r="G2061" s="55">
        <v>1293573.3999999999</v>
      </c>
      <c r="H2061" s="55">
        <v>10411767.5</v>
      </c>
      <c r="I2061" s="55">
        <v>172728.5</v>
      </c>
      <c r="J2061" s="55">
        <v>10584496</v>
      </c>
      <c r="K2061" s="55">
        <v>2631963.1</v>
      </c>
      <c r="L2061" s="55">
        <v>346697.8</v>
      </c>
      <c r="M2061" s="55">
        <v>607258.80000000005</v>
      </c>
      <c r="N2061" s="55">
        <v>23686.2</v>
      </c>
    </row>
    <row r="2062" spans="1:14" ht="10.050000000000001" hidden="1" customHeight="1">
      <c r="A2062" s="52" t="s">
        <v>300</v>
      </c>
      <c r="B2062" s="53">
        <v>2012</v>
      </c>
      <c r="C2062" s="52" t="s">
        <v>117</v>
      </c>
      <c r="D2062" s="54">
        <v>12</v>
      </c>
      <c r="E2062" s="55">
        <v>439.3</v>
      </c>
      <c r="F2062" s="55">
        <v>0</v>
      </c>
      <c r="G2062" s="55">
        <v>439.3</v>
      </c>
      <c r="H2062" s="55">
        <v>2758.5</v>
      </c>
      <c r="I2062" s="55">
        <v>31.8</v>
      </c>
      <c r="J2062" s="55">
        <v>2790.3</v>
      </c>
      <c r="K2062" s="55">
        <v>0</v>
      </c>
      <c r="L2062" s="55">
        <v>0</v>
      </c>
      <c r="M2062" s="55">
        <v>0</v>
      </c>
      <c r="N2062" s="55">
        <v>0</v>
      </c>
    </row>
    <row r="2063" spans="1:14" ht="10.050000000000001" hidden="1" customHeight="1">
      <c r="A2063" s="52" t="s">
        <v>307</v>
      </c>
      <c r="B2063" s="53">
        <v>2012</v>
      </c>
      <c r="C2063" s="52" t="s">
        <v>117</v>
      </c>
      <c r="D2063" s="54">
        <v>12</v>
      </c>
      <c r="E2063" s="55">
        <v>713367.8</v>
      </c>
      <c r="F2063" s="55">
        <v>5170.3999999999996</v>
      </c>
      <c r="G2063" s="55">
        <v>718538.2</v>
      </c>
      <c r="H2063" s="55">
        <v>6089120.8000000101</v>
      </c>
      <c r="I2063" s="55">
        <v>116841.9</v>
      </c>
      <c r="J2063" s="55">
        <v>6205962.7000000104</v>
      </c>
      <c r="K2063" s="55">
        <v>2919736.2</v>
      </c>
      <c r="L2063" s="55">
        <v>153363.29999999999</v>
      </c>
      <c r="M2063" s="55">
        <v>352843.1</v>
      </c>
      <c r="N2063" s="55">
        <v>80891</v>
      </c>
    </row>
    <row r="2064" spans="1:14" ht="10.050000000000001" hidden="1" customHeight="1">
      <c r="A2064" s="52" t="s">
        <v>315</v>
      </c>
      <c r="B2064" s="53">
        <v>2012</v>
      </c>
      <c r="C2064" s="52" t="s">
        <v>117</v>
      </c>
      <c r="D2064" s="54">
        <v>12</v>
      </c>
      <c r="E2064" s="55">
        <v>1090.0999999999999</v>
      </c>
      <c r="F2064" s="55">
        <v>0</v>
      </c>
      <c r="G2064" s="55">
        <v>1090.0999999999999</v>
      </c>
      <c r="H2064" s="55">
        <v>17627.400000000001</v>
      </c>
      <c r="I2064" s="55">
        <v>56.6</v>
      </c>
      <c r="J2064" s="55">
        <v>17684</v>
      </c>
      <c r="K2064" s="55">
        <v>1967.3</v>
      </c>
      <c r="L2064" s="55">
        <v>190.7</v>
      </c>
      <c r="M2064" s="55">
        <v>687</v>
      </c>
      <c r="N2064" s="55">
        <v>10.7</v>
      </c>
    </row>
    <row r="2065" spans="1:14" ht="10.050000000000001" hidden="1" customHeight="1">
      <c r="A2065" s="52" t="s">
        <v>311</v>
      </c>
      <c r="B2065" s="53">
        <v>2012</v>
      </c>
      <c r="C2065" s="52" t="s">
        <v>117</v>
      </c>
      <c r="D2065" s="54">
        <v>12</v>
      </c>
      <c r="E2065" s="55">
        <v>0</v>
      </c>
      <c r="F2065" s="55">
        <v>0</v>
      </c>
      <c r="G2065" s="55">
        <v>0</v>
      </c>
      <c r="H2065" s="55">
        <v>0</v>
      </c>
      <c r="I2065" s="55">
        <v>0</v>
      </c>
      <c r="J2065" s="55">
        <v>0</v>
      </c>
      <c r="K2065" s="55">
        <v>86.4</v>
      </c>
      <c r="L2065" s="55">
        <v>0</v>
      </c>
      <c r="M2065" s="55">
        <v>0</v>
      </c>
      <c r="N2065" s="55">
        <v>0</v>
      </c>
    </row>
    <row r="2066" spans="1:14" ht="10.050000000000001" hidden="1" customHeight="1">
      <c r="A2066" s="52" t="s">
        <v>173</v>
      </c>
      <c r="B2066" s="53">
        <v>2012</v>
      </c>
      <c r="C2066" s="52" t="s">
        <v>117</v>
      </c>
      <c r="D2066" s="54">
        <v>12</v>
      </c>
      <c r="E2066" s="55">
        <v>230710.9</v>
      </c>
      <c r="F2066" s="55">
        <v>12622.1</v>
      </c>
      <c r="G2066" s="55">
        <v>243333</v>
      </c>
      <c r="H2066" s="55">
        <v>4509496.0999999996</v>
      </c>
      <c r="I2066" s="55">
        <v>92792</v>
      </c>
      <c r="J2066" s="55">
        <v>4602288.0999999996</v>
      </c>
      <c r="K2066" s="55">
        <v>545775.4</v>
      </c>
      <c r="L2066" s="55">
        <v>57578.1</v>
      </c>
      <c r="M2066" s="55">
        <v>87450.8</v>
      </c>
      <c r="N2066" s="55">
        <v>13907.6</v>
      </c>
    </row>
    <row r="2067" spans="1:14" ht="10.050000000000001" customHeight="1">
      <c r="A2067" s="52" t="s">
        <v>309</v>
      </c>
      <c r="B2067" s="53">
        <v>2012</v>
      </c>
      <c r="C2067" s="52" t="s">
        <v>117</v>
      </c>
      <c r="D2067" s="54">
        <v>12</v>
      </c>
      <c r="E2067" s="55">
        <v>3435.8</v>
      </c>
      <c r="F2067" s="55">
        <v>0</v>
      </c>
      <c r="G2067" s="55">
        <v>3435.8</v>
      </c>
      <c r="H2067" s="55">
        <v>104112.6</v>
      </c>
      <c r="I2067" s="55">
        <v>0</v>
      </c>
      <c r="J2067" s="55">
        <v>104112.6</v>
      </c>
      <c r="K2067" s="55">
        <v>30118.3</v>
      </c>
      <c r="L2067" s="55">
        <v>-277.60000000000002</v>
      </c>
      <c r="M2067" s="55">
        <v>2734.3</v>
      </c>
      <c r="N2067" s="55">
        <v>460</v>
      </c>
    </row>
    <row r="2068" spans="1:14" ht="10.050000000000001" hidden="1" customHeight="1">
      <c r="A2068" s="52" t="s">
        <v>316</v>
      </c>
      <c r="B2068" s="53">
        <v>2012</v>
      </c>
      <c r="C2068" s="52" t="s">
        <v>117</v>
      </c>
      <c r="D2068" s="54">
        <v>12</v>
      </c>
      <c r="E2068" s="55">
        <v>399.4</v>
      </c>
      <c r="F2068" s="55">
        <v>0</v>
      </c>
      <c r="G2068" s="55">
        <v>399.4</v>
      </c>
      <c r="H2068" s="55">
        <v>4287.7</v>
      </c>
      <c r="I2068" s="55">
        <v>152.69999999999999</v>
      </c>
      <c r="J2068" s="55">
        <v>4440.3999999999996</v>
      </c>
      <c r="K2068" s="55">
        <v>256.60000000000002</v>
      </c>
      <c r="L2068" s="55">
        <v>0.3</v>
      </c>
      <c r="M2068" s="55">
        <v>76.099999999999994</v>
      </c>
      <c r="N2068" s="55">
        <v>4</v>
      </c>
    </row>
    <row r="2069" spans="1:14" ht="10.050000000000001" hidden="1" customHeight="1">
      <c r="A2069" s="52" t="s">
        <v>310</v>
      </c>
      <c r="B2069" s="53">
        <v>2012</v>
      </c>
      <c r="C2069" s="52" t="s">
        <v>117</v>
      </c>
      <c r="D2069" s="54">
        <v>12</v>
      </c>
      <c r="E2069" s="55">
        <v>2522.9</v>
      </c>
      <c r="F2069" s="55">
        <v>0</v>
      </c>
      <c r="G2069" s="55">
        <v>2522.9</v>
      </c>
      <c r="H2069" s="55">
        <v>48432</v>
      </c>
      <c r="I2069" s="55">
        <v>988.6</v>
      </c>
      <c r="J2069" s="55">
        <v>49420.6</v>
      </c>
      <c r="K2069" s="55">
        <v>4883.6000000000004</v>
      </c>
      <c r="L2069" s="55">
        <v>175</v>
      </c>
      <c r="M2069" s="55">
        <v>1310.0999999999999</v>
      </c>
      <c r="N2069" s="55">
        <v>236.2</v>
      </c>
    </row>
    <row r="2070" spans="1:14" ht="10.050000000000001" hidden="1" customHeight="1">
      <c r="A2070" s="52" t="s">
        <v>308</v>
      </c>
      <c r="B2070" s="53">
        <v>2012</v>
      </c>
      <c r="C2070" s="52" t="s">
        <v>117</v>
      </c>
      <c r="D2070" s="54">
        <v>12</v>
      </c>
      <c r="E2070" s="55">
        <v>4375.7</v>
      </c>
      <c r="F2070" s="55">
        <v>0</v>
      </c>
      <c r="G2070" s="55">
        <v>4375.7</v>
      </c>
      <c r="H2070" s="55">
        <v>62585.4</v>
      </c>
      <c r="I2070" s="55">
        <v>625.1</v>
      </c>
      <c r="J2070" s="55">
        <v>63210.5</v>
      </c>
      <c r="K2070" s="55">
        <v>11115.7</v>
      </c>
      <c r="L2070" s="55">
        <v>393</v>
      </c>
      <c r="M2070" s="55">
        <v>2631.5</v>
      </c>
      <c r="N2070" s="55">
        <v>1089</v>
      </c>
    </row>
    <row r="2071" spans="1:14" ht="10.050000000000001" hidden="1" customHeight="1">
      <c r="A2071" s="52" t="s">
        <v>174</v>
      </c>
      <c r="B2071" s="53">
        <v>2012</v>
      </c>
      <c r="C2071" s="52" t="s">
        <v>117</v>
      </c>
      <c r="D2071" s="54">
        <v>12</v>
      </c>
      <c r="E2071" s="55">
        <v>15552.6</v>
      </c>
      <c r="F2071" s="55">
        <v>391</v>
      </c>
      <c r="G2071" s="55">
        <v>15943.6</v>
      </c>
      <c r="H2071" s="55">
        <v>417760.3</v>
      </c>
      <c r="I2071" s="55">
        <v>17775.400000000001</v>
      </c>
      <c r="J2071" s="55">
        <v>435535.7</v>
      </c>
      <c r="K2071" s="55">
        <v>100904.3</v>
      </c>
      <c r="L2071" s="55">
        <v>6263.7</v>
      </c>
      <c r="M2071" s="55">
        <v>7014.1</v>
      </c>
      <c r="N2071" s="55">
        <v>12121</v>
      </c>
    </row>
    <row r="2072" spans="1:14" ht="10.050000000000001" hidden="1" customHeight="1">
      <c r="A2072" s="52" t="s">
        <v>314</v>
      </c>
      <c r="B2072" s="53">
        <v>2013</v>
      </c>
      <c r="C2072" s="52" t="s">
        <v>117</v>
      </c>
      <c r="D2072" s="54">
        <v>1</v>
      </c>
      <c r="E2072" s="55">
        <v>0</v>
      </c>
      <c r="F2072" s="55">
        <v>0</v>
      </c>
      <c r="G2072" s="55">
        <v>0</v>
      </c>
      <c r="H2072" s="55">
        <v>3.3</v>
      </c>
      <c r="I2072" s="55">
        <v>0</v>
      </c>
      <c r="J2072" s="55">
        <v>3.3</v>
      </c>
      <c r="K2072" s="55">
        <v>0</v>
      </c>
      <c r="L2072" s="55">
        <v>0</v>
      </c>
      <c r="M2072" s="55">
        <v>0</v>
      </c>
      <c r="N2072" s="55">
        <v>7.2</v>
      </c>
    </row>
    <row r="2073" spans="1:14" ht="10.050000000000001" hidden="1" customHeight="1">
      <c r="A2073" s="52" t="s">
        <v>306</v>
      </c>
      <c r="B2073" s="53">
        <v>2013</v>
      </c>
      <c r="C2073" s="52" t="s">
        <v>117</v>
      </c>
      <c r="D2073" s="54">
        <v>1</v>
      </c>
      <c r="E2073" s="55">
        <v>4895.8999999999996</v>
      </c>
      <c r="F2073" s="55">
        <v>1067.0999999999999</v>
      </c>
      <c r="G2073" s="55">
        <v>5963</v>
      </c>
      <c r="H2073" s="55">
        <v>113697.60000000001</v>
      </c>
      <c r="I2073" s="55">
        <v>8407.2000000000007</v>
      </c>
      <c r="J2073" s="55">
        <v>122104.8</v>
      </c>
      <c r="K2073" s="55">
        <v>9493.1</v>
      </c>
      <c r="L2073" s="55">
        <v>456.8</v>
      </c>
      <c r="M2073" s="55">
        <v>2223.1999999999998</v>
      </c>
      <c r="N2073" s="55">
        <v>948.30000000000098</v>
      </c>
    </row>
    <row r="2074" spans="1:14" ht="10.050000000000001" hidden="1" customHeight="1">
      <c r="A2074" s="52" t="s">
        <v>172</v>
      </c>
      <c r="B2074" s="53">
        <v>2013</v>
      </c>
      <c r="C2074" s="52" t="s">
        <v>117</v>
      </c>
      <c r="D2074" s="54">
        <v>1</v>
      </c>
      <c r="E2074" s="55">
        <v>130857.7</v>
      </c>
      <c r="F2074" s="55">
        <v>1517.5</v>
      </c>
      <c r="G2074" s="55">
        <v>132375.20000000001</v>
      </c>
      <c r="H2074" s="55">
        <v>581330.80000000005</v>
      </c>
      <c r="I2074" s="55">
        <v>17914.099999999999</v>
      </c>
      <c r="J2074" s="55">
        <v>599244.9</v>
      </c>
      <c r="K2074" s="55">
        <v>318775.2</v>
      </c>
      <c r="L2074" s="55">
        <v>22687.3</v>
      </c>
      <c r="M2074" s="55">
        <v>71983.7</v>
      </c>
      <c r="N2074" s="55">
        <v>6549.6</v>
      </c>
    </row>
    <row r="2075" spans="1:14" ht="10.050000000000001" hidden="1" customHeight="1">
      <c r="A2075" s="52" t="s">
        <v>171</v>
      </c>
      <c r="B2075" s="53">
        <v>2013</v>
      </c>
      <c r="C2075" s="52" t="s">
        <v>117</v>
      </c>
      <c r="D2075" s="54">
        <v>1</v>
      </c>
      <c r="E2075" s="55">
        <v>1674184.5</v>
      </c>
      <c r="F2075" s="55">
        <v>9913.1</v>
      </c>
      <c r="G2075" s="55">
        <v>1684097.6</v>
      </c>
      <c r="H2075" s="55">
        <v>9206874.5</v>
      </c>
      <c r="I2075" s="55">
        <v>233701.2</v>
      </c>
      <c r="J2075" s="55">
        <v>9440575.7000000104</v>
      </c>
      <c r="K2075" s="55">
        <v>2326095.2000000002</v>
      </c>
      <c r="L2075" s="55">
        <v>340245.5</v>
      </c>
      <c r="M2075" s="55">
        <v>559654.19999999995</v>
      </c>
      <c r="N2075" s="55">
        <v>87216.7</v>
      </c>
    </row>
    <row r="2076" spans="1:14" ht="10.050000000000001" hidden="1" customHeight="1">
      <c r="A2076" s="52" t="s">
        <v>300</v>
      </c>
      <c r="B2076" s="53">
        <v>2013</v>
      </c>
      <c r="C2076" s="52" t="s">
        <v>117</v>
      </c>
      <c r="D2076" s="54">
        <v>1</v>
      </c>
      <c r="E2076" s="55">
        <v>225.9</v>
      </c>
      <c r="F2076" s="55">
        <v>0</v>
      </c>
      <c r="G2076" s="55">
        <v>225.9</v>
      </c>
      <c r="H2076" s="55">
        <v>2344</v>
      </c>
      <c r="I2076" s="55">
        <v>31.8</v>
      </c>
      <c r="J2076" s="55">
        <v>2375.8000000000002</v>
      </c>
      <c r="K2076" s="55">
        <v>0</v>
      </c>
      <c r="L2076" s="55">
        <v>0</v>
      </c>
      <c r="M2076" s="55">
        <v>0</v>
      </c>
      <c r="N2076" s="55">
        <v>0</v>
      </c>
    </row>
    <row r="2077" spans="1:14" ht="10.050000000000001" hidden="1" customHeight="1">
      <c r="A2077" s="52" t="s">
        <v>307</v>
      </c>
      <c r="B2077" s="53">
        <v>2013</v>
      </c>
      <c r="C2077" s="52" t="s">
        <v>117</v>
      </c>
      <c r="D2077" s="54">
        <v>1</v>
      </c>
      <c r="E2077" s="55">
        <v>827284.8</v>
      </c>
      <c r="F2077" s="55">
        <v>25253.7</v>
      </c>
      <c r="G2077" s="55">
        <v>852538.5</v>
      </c>
      <c r="H2077" s="55">
        <v>5865402.7999999998</v>
      </c>
      <c r="I2077" s="55">
        <v>108067.4</v>
      </c>
      <c r="J2077" s="55">
        <v>5973470.2000000002</v>
      </c>
      <c r="K2077" s="55">
        <v>2253084.2999999998</v>
      </c>
      <c r="L2077" s="55">
        <v>46200.800000000003</v>
      </c>
      <c r="M2077" s="55">
        <v>605213.200000001</v>
      </c>
      <c r="N2077" s="55">
        <v>107454.6</v>
      </c>
    </row>
    <row r="2078" spans="1:14" ht="10.050000000000001" hidden="1" customHeight="1">
      <c r="A2078" s="52" t="s">
        <v>315</v>
      </c>
      <c r="B2078" s="53">
        <v>2013</v>
      </c>
      <c r="C2078" s="52" t="s">
        <v>117</v>
      </c>
      <c r="D2078" s="54">
        <v>1</v>
      </c>
      <c r="E2078" s="55">
        <v>1022.9</v>
      </c>
      <c r="F2078" s="55">
        <v>0</v>
      </c>
      <c r="G2078" s="55">
        <v>1022.9</v>
      </c>
      <c r="H2078" s="55">
        <v>16242.4</v>
      </c>
      <c r="I2078" s="55">
        <v>56.6</v>
      </c>
      <c r="J2078" s="55">
        <v>16299</v>
      </c>
      <c r="K2078" s="55">
        <v>1178.0999999999999</v>
      </c>
      <c r="L2078" s="55">
        <v>3.5</v>
      </c>
      <c r="M2078" s="55">
        <v>792.7</v>
      </c>
      <c r="N2078" s="55">
        <v>0</v>
      </c>
    </row>
    <row r="2079" spans="1:14" ht="10.050000000000001" hidden="1" customHeight="1">
      <c r="A2079" s="52" t="s">
        <v>311</v>
      </c>
      <c r="B2079" s="53">
        <v>2013</v>
      </c>
      <c r="C2079" s="52" t="s">
        <v>117</v>
      </c>
      <c r="D2079" s="54">
        <v>1</v>
      </c>
      <c r="E2079" s="55">
        <v>0</v>
      </c>
      <c r="F2079" s="55">
        <v>0</v>
      </c>
      <c r="G2079" s="55">
        <v>0</v>
      </c>
      <c r="H2079" s="55">
        <v>26.9</v>
      </c>
      <c r="I2079" s="55">
        <v>0</v>
      </c>
      <c r="J2079" s="55">
        <v>26.9</v>
      </c>
      <c r="K2079" s="55">
        <v>77.2</v>
      </c>
      <c r="L2079" s="55">
        <v>0</v>
      </c>
      <c r="M2079" s="55">
        <v>0</v>
      </c>
      <c r="N2079" s="55">
        <v>9.1999999999999993</v>
      </c>
    </row>
    <row r="2080" spans="1:14" ht="10.050000000000001" hidden="1" customHeight="1">
      <c r="A2080" s="52" t="s">
        <v>173</v>
      </c>
      <c r="B2080" s="53">
        <v>2013</v>
      </c>
      <c r="C2080" s="52" t="s">
        <v>117</v>
      </c>
      <c r="D2080" s="54">
        <v>1</v>
      </c>
      <c r="E2080" s="55">
        <v>343502.6</v>
      </c>
      <c r="F2080" s="55">
        <v>12159.3</v>
      </c>
      <c r="G2080" s="55">
        <v>355661.9</v>
      </c>
      <c r="H2080" s="55">
        <v>4013819.5</v>
      </c>
      <c r="I2080" s="55">
        <v>100934.3</v>
      </c>
      <c r="J2080" s="55">
        <v>4114753.8</v>
      </c>
      <c r="K2080" s="55">
        <v>446455.9</v>
      </c>
      <c r="L2080" s="55">
        <v>54025.5</v>
      </c>
      <c r="M2080" s="55">
        <v>137399.29999999999</v>
      </c>
      <c r="N2080" s="55">
        <v>16199.5</v>
      </c>
    </row>
    <row r="2081" spans="1:14" ht="10.050000000000001" customHeight="1">
      <c r="A2081" s="52" t="s">
        <v>309</v>
      </c>
      <c r="B2081" s="53">
        <v>2013</v>
      </c>
      <c r="C2081" s="52" t="s">
        <v>117</v>
      </c>
      <c r="D2081" s="54">
        <v>1</v>
      </c>
      <c r="E2081" s="55">
        <v>6362.6</v>
      </c>
      <c r="F2081" s="55">
        <v>0</v>
      </c>
      <c r="G2081" s="55">
        <v>6362.6</v>
      </c>
      <c r="H2081" s="55">
        <v>101425.5</v>
      </c>
      <c r="I2081" s="55">
        <v>0</v>
      </c>
      <c r="J2081" s="55">
        <v>101425.5</v>
      </c>
      <c r="K2081" s="55">
        <v>24168.6</v>
      </c>
      <c r="L2081" s="55">
        <v>0</v>
      </c>
      <c r="M2081" s="55">
        <v>5184.5</v>
      </c>
      <c r="N2081" s="55">
        <v>765.2</v>
      </c>
    </row>
    <row r="2082" spans="1:14" ht="10.050000000000001" hidden="1" customHeight="1">
      <c r="A2082" s="52" t="s">
        <v>316</v>
      </c>
      <c r="B2082" s="53">
        <v>2013</v>
      </c>
      <c r="C2082" s="52" t="s">
        <v>117</v>
      </c>
      <c r="D2082" s="54">
        <v>1</v>
      </c>
      <c r="E2082" s="55">
        <v>183.2</v>
      </c>
      <c r="F2082" s="55">
        <v>-2.4</v>
      </c>
      <c r="G2082" s="55">
        <v>180.8</v>
      </c>
      <c r="H2082" s="55">
        <v>4251.2</v>
      </c>
      <c r="I2082" s="55">
        <v>120.5</v>
      </c>
      <c r="J2082" s="55">
        <v>4371.7</v>
      </c>
      <c r="K2082" s="55">
        <v>169.4</v>
      </c>
      <c r="L2082" s="55">
        <v>30.1</v>
      </c>
      <c r="M2082" s="55">
        <v>111.9</v>
      </c>
      <c r="N2082" s="55">
        <v>5.3</v>
      </c>
    </row>
    <row r="2083" spans="1:14" ht="10.050000000000001" hidden="1" customHeight="1">
      <c r="A2083" s="52" t="s">
        <v>310</v>
      </c>
      <c r="B2083" s="53">
        <v>2013</v>
      </c>
      <c r="C2083" s="52" t="s">
        <v>117</v>
      </c>
      <c r="D2083" s="54">
        <v>1</v>
      </c>
      <c r="E2083" s="55">
        <v>2917.1</v>
      </c>
      <c r="F2083" s="55">
        <v>0</v>
      </c>
      <c r="G2083" s="55">
        <v>2917.1</v>
      </c>
      <c r="H2083" s="55">
        <v>46357</v>
      </c>
      <c r="I2083" s="55">
        <v>982.6</v>
      </c>
      <c r="J2083" s="55">
        <v>47339.6</v>
      </c>
      <c r="K2083" s="55">
        <v>3439.3</v>
      </c>
      <c r="L2083" s="55">
        <v>135.1</v>
      </c>
      <c r="M2083" s="55">
        <v>1538.5</v>
      </c>
      <c r="N2083" s="55">
        <v>41.5</v>
      </c>
    </row>
    <row r="2084" spans="1:14" ht="10.050000000000001" hidden="1" customHeight="1">
      <c r="A2084" s="52" t="s">
        <v>308</v>
      </c>
      <c r="B2084" s="53">
        <v>2013</v>
      </c>
      <c r="C2084" s="52" t="s">
        <v>117</v>
      </c>
      <c r="D2084" s="54">
        <v>1</v>
      </c>
      <c r="E2084" s="55">
        <v>3979.1</v>
      </c>
      <c r="F2084" s="55">
        <v>15.8</v>
      </c>
      <c r="G2084" s="55">
        <v>3994.9</v>
      </c>
      <c r="H2084" s="55">
        <v>54017.7</v>
      </c>
      <c r="I2084" s="55">
        <v>615.20000000000005</v>
      </c>
      <c r="J2084" s="55">
        <v>54632.9</v>
      </c>
      <c r="K2084" s="55">
        <v>7645.9</v>
      </c>
      <c r="L2084" s="55">
        <v>246</v>
      </c>
      <c r="M2084" s="55">
        <v>2599.6999999999998</v>
      </c>
      <c r="N2084" s="55">
        <v>1116.3</v>
      </c>
    </row>
    <row r="2085" spans="1:14" ht="10.050000000000001" hidden="1" customHeight="1">
      <c r="A2085" s="52" t="s">
        <v>174</v>
      </c>
      <c r="B2085" s="53">
        <v>2013</v>
      </c>
      <c r="C2085" s="52" t="s">
        <v>117</v>
      </c>
      <c r="D2085" s="54">
        <v>1</v>
      </c>
      <c r="E2085" s="55">
        <v>15389.5</v>
      </c>
      <c r="F2085" s="55">
        <v>547</v>
      </c>
      <c r="G2085" s="55">
        <v>15936.5</v>
      </c>
      <c r="H2085" s="55">
        <v>355245.7</v>
      </c>
      <c r="I2085" s="55">
        <v>19104.900000000001</v>
      </c>
      <c r="J2085" s="55">
        <v>374350.6</v>
      </c>
      <c r="K2085" s="55">
        <v>86566.9</v>
      </c>
      <c r="L2085" s="55">
        <v>4746.3999999999996</v>
      </c>
      <c r="M2085" s="55">
        <v>7104.1</v>
      </c>
      <c r="N2085" s="55">
        <v>12112.7</v>
      </c>
    </row>
    <row r="2086" spans="1:14" ht="10.050000000000001" hidden="1" customHeight="1">
      <c r="A2086" s="52" t="s">
        <v>306</v>
      </c>
      <c r="B2086" s="53">
        <v>2013</v>
      </c>
      <c r="C2086" s="52" t="s">
        <v>117</v>
      </c>
      <c r="D2086" s="54">
        <v>2</v>
      </c>
      <c r="E2086" s="55">
        <v>3608.9</v>
      </c>
      <c r="F2086" s="55">
        <v>432.8</v>
      </c>
      <c r="G2086" s="55">
        <v>4041.7</v>
      </c>
      <c r="H2086" s="55">
        <v>106101.7</v>
      </c>
      <c r="I2086" s="55">
        <v>7608.5</v>
      </c>
      <c r="J2086" s="55">
        <v>113710.2</v>
      </c>
      <c r="K2086" s="55">
        <v>8374.1</v>
      </c>
      <c r="L2086" s="55">
        <v>489.2</v>
      </c>
      <c r="M2086" s="55">
        <v>1251.3</v>
      </c>
      <c r="N2086" s="55">
        <v>357.2</v>
      </c>
    </row>
    <row r="2087" spans="1:14" ht="10.050000000000001" hidden="1" customHeight="1">
      <c r="A2087" s="52" t="s">
        <v>172</v>
      </c>
      <c r="B2087" s="53">
        <v>2013</v>
      </c>
      <c r="C2087" s="52" t="s">
        <v>117</v>
      </c>
      <c r="D2087" s="54">
        <v>2</v>
      </c>
      <c r="E2087" s="55">
        <v>151268.29999999999</v>
      </c>
      <c r="F2087" s="55">
        <v>225</v>
      </c>
      <c r="G2087" s="55">
        <v>151493.29999999999</v>
      </c>
      <c r="H2087" s="55">
        <v>567851.6</v>
      </c>
      <c r="I2087" s="55">
        <v>16871.7</v>
      </c>
      <c r="J2087" s="55">
        <v>584723.30000000005</v>
      </c>
      <c r="K2087" s="55">
        <v>258774.5</v>
      </c>
      <c r="L2087" s="55">
        <v>19839.3</v>
      </c>
      <c r="M2087" s="55">
        <v>73690.2</v>
      </c>
      <c r="N2087" s="55">
        <v>6149.9</v>
      </c>
    </row>
    <row r="2088" spans="1:14" ht="10.050000000000001" hidden="1" customHeight="1">
      <c r="A2088" s="52" t="s">
        <v>171</v>
      </c>
      <c r="B2088" s="53">
        <v>2013</v>
      </c>
      <c r="C2088" s="52" t="s">
        <v>117</v>
      </c>
      <c r="D2088" s="54">
        <v>2</v>
      </c>
      <c r="E2088" s="55">
        <v>1241321.2</v>
      </c>
      <c r="F2088" s="55">
        <v>3385.8</v>
      </c>
      <c r="G2088" s="55">
        <v>1244707</v>
      </c>
      <c r="H2088" s="55">
        <v>7584031.9000000004</v>
      </c>
      <c r="I2088" s="55">
        <v>219867.8</v>
      </c>
      <c r="J2088" s="55">
        <v>7803899.7000000002</v>
      </c>
      <c r="K2088" s="55">
        <v>2105656.7000000002</v>
      </c>
      <c r="L2088" s="55">
        <v>254174.9</v>
      </c>
      <c r="M2088" s="55">
        <v>454168.4</v>
      </c>
      <c r="N2088" s="55">
        <v>21987.4</v>
      </c>
    </row>
    <row r="2089" spans="1:14" ht="10.050000000000001" hidden="1" customHeight="1">
      <c r="A2089" s="52" t="s">
        <v>300</v>
      </c>
      <c r="B2089" s="53">
        <v>2013</v>
      </c>
      <c r="C2089" s="52" t="s">
        <v>117</v>
      </c>
      <c r="D2089" s="54">
        <v>2</v>
      </c>
      <c r="E2089" s="55">
        <v>291.7</v>
      </c>
      <c r="F2089" s="55">
        <v>0</v>
      </c>
      <c r="G2089" s="55">
        <v>291.7</v>
      </c>
      <c r="H2089" s="55">
        <v>2323.6</v>
      </c>
      <c r="I2089" s="55">
        <v>31.8</v>
      </c>
      <c r="J2089" s="55">
        <v>2355.4</v>
      </c>
      <c r="K2089" s="55">
        <v>0</v>
      </c>
      <c r="L2089" s="55">
        <v>0</v>
      </c>
      <c r="M2089" s="55">
        <v>0</v>
      </c>
      <c r="N2089" s="55">
        <v>0</v>
      </c>
    </row>
    <row r="2090" spans="1:14" ht="10.050000000000001" hidden="1" customHeight="1">
      <c r="A2090" s="52" t="s">
        <v>307</v>
      </c>
      <c r="B2090" s="53">
        <v>2013</v>
      </c>
      <c r="C2090" s="52" t="s">
        <v>117</v>
      </c>
      <c r="D2090" s="54">
        <v>2</v>
      </c>
      <c r="E2090" s="55">
        <v>405918.2</v>
      </c>
      <c r="F2090" s="55">
        <v>-1.3</v>
      </c>
      <c r="G2090" s="55">
        <v>405916.9</v>
      </c>
      <c r="H2090" s="55">
        <v>5262783.9000000004</v>
      </c>
      <c r="I2090" s="55">
        <v>86832.3</v>
      </c>
      <c r="J2090" s="55">
        <v>5349616.2</v>
      </c>
      <c r="K2090" s="55">
        <v>1982034.1</v>
      </c>
      <c r="L2090" s="55">
        <v>31624.9</v>
      </c>
      <c r="M2090" s="55">
        <v>250164.8</v>
      </c>
      <c r="N2090" s="55">
        <v>52328.5</v>
      </c>
    </row>
    <row r="2091" spans="1:14" ht="10.050000000000001" hidden="1" customHeight="1">
      <c r="A2091" s="52" t="s">
        <v>315</v>
      </c>
      <c r="B2091" s="53">
        <v>2013</v>
      </c>
      <c r="C2091" s="52" t="s">
        <v>117</v>
      </c>
      <c r="D2091" s="54">
        <v>2</v>
      </c>
      <c r="E2091" s="55">
        <v>592.4</v>
      </c>
      <c r="F2091" s="55">
        <v>0</v>
      </c>
      <c r="G2091" s="55">
        <v>592.4</v>
      </c>
      <c r="H2091" s="55">
        <v>14037.2</v>
      </c>
      <c r="I2091" s="55">
        <v>55.9</v>
      </c>
      <c r="J2091" s="55">
        <v>14093.1</v>
      </c>
      <c r="K2091" s="55">
        <v>870</v>
      </c>
      <c r="L2091" s="55">
        <v>134.19999999999999</v>
      </c>
      <c r="M2091" s="55">
        <v>327</v>
      </c>
      <c r="N2091" s="55">
        <v>115.6</v>
      </c>
    </row>
    <row r="2092" spans="1:14" ht="10.050000000000001" hidden="1" customHeight="1">
      <c r="A2092" s="52" t="s">
        <v>311</v>
      </c>
      <c r="B2092" s="53">
        <v>2013</v>
      </c>
      <c r="C2092" s="52" t="s">
        <v>117</v>
      </c>
      <c r="D2092" s="54">
        <v>2</v>
      </c>
      <c r="E2092" s="55">
        <v>0</v>
      </c>
      <c r="F2092" s="55">
        <v>0</v>
      </c>
      <c r="G2092" s="55">
        <v>0</v>
      </c>
      <c r="H2092" s="55">
        <v>26.9</v>
      </c>
      <c r="I2092" s="55">
        <v>0</v>
      </c>
      <c r="J2092" s="55">
        <v>26.9</v>
      </c>
      <c r="K2092" s="55">
        <v>68.099999999999994</v>
      </c>
      <c r="L2092" s="55">
        <v>0</v>
      </c>
      <c r="M2092" s="55">
        <v>0</v>
      </c>
      <c r="N2092" s="55">
        <v>9.1</v>
      </c>
    </row>
    <row r="2093" spans="1:14" ht="10.050000000000001" hidden="1" customHeight="1">
      <c r="A2093" s="52" t="s">
        <v>173</v>
      </c>
      <c r="B2093" s="53">
        <v>2013</v>
      </c>
      <c r="C2093" s="52" t="s">
        <v>117</v>
      </c>
      <c r="D2093" s="54">
        <v>2</v>
      </c>
      <c r="E2093" s="55">
        <v>312414.09999999998</v>
      </c>
      <c r="F2093" s="55">
        <v>5521.8</v>
      </c>
      <c r="G2093" s="55">
        <v>317935.90000000002</v>
      </c>
      <c r="H2093" s="55">
        <v>3579938.9</v>
      </c>
      <c r="I2093" s="55">
        <v>90319.6</v>
      </c>
      <c r="J2093" s="55">
        <v>3670258.5</v>
      </c>
      <c r="K2093" s="55">
        <v>352758.2</v>
      </c>
      <c r="L2093" s="55">
        <v>38008.9</v>
      </c>
      <c r="M2093" s="55">
        <v>120493.2</v>
      </c>
      <c r="N2093" s="55">
        <v>11529.2</v>
      </c>
    </row>
    <row r="2094" spans="1:14" ht="10.050000000000001" customHeight="1">
      <c r="A2094" s="52" t="s">
        <v>309</v>
      </c>
      <c r="B2094" s="53">
        <v>2013</v>
      </c>
      <c r="C2094" s="52" t="s">
        <v>117</v>
      </c>
      <c r="D2094" s="54">
        <v>2</v>
      </c>
      <c r="E2094" s="55">
        <v>5629.4</v>
      </c>
      <c r="F2094" s="55">
        <v>0</v>
      </c>
      <c r="G2094" s="55">
        <v>5629.4</v>
      </c>
      <c r="H2094" s="55">
        <v>100039.7</v>
      </c>
      <c r="I2094" s="55">
        <v>0</v>
      </c>
      <c r="J2094" s="55">
        <v>100039.7</v>
      </c>
      <c r="K2094" s="55">
        <v>18374.8</v>
      </c>
      <c r="L2094" s="55">
        <v>0</v>
      </c>
      <c r="M2094" s="55">
        <v>913.9</v>
      </c>
      <c r="N2094" s="55">
        <v>4879.8999999999996</v>
      </c>
    </row>
    <row r="2095" spans="1:14" ht="10.050000000000001" hidden="1" customHeight="1">
      <c r="A2095" s="52" t="s">
        <v>316</v>
      </c>
      <c r="B2095" s="53">
        <v>2013</v>
      </c>
      <c r="C2095" s="52" t="s">
        <v>117</v>
      </c>
      <c r="D2095" s="54">
        <v>2</v>
      </c>
      <c r="E2095" s="55">
        <v>98.200000000000102</v>
      </c>
      <c r="F2095" s="55">
        <v>0</v>
      </c>
      <c r="G2095" s="55">
        <v>98.200000000000102</v>
      </c>
      <c r="H2095" s="55">
        <v>3907.4</v>
      </c>
      <c r="I2095" s="55">
        <v>89.9</v>
      </c>
      <c r="J2095" s="55">
        <v>3997.3</v>
      </c>
      <c r="K2095" s="55">
        <v>141.9</v>
      </c>
      <c r="L2095" s="55">
        <v>3.9</v>
      </c>
      <c r="M2095" s="55">
        <v>24.7</v>
      </c>
      <c r="N2095" s="55">
        <v>6.7</v>
      </c>
    </row>
    <row r="2096" spans="1:14" ht="10.050000000000001" hidden="1" customHeight="1">
      <c r="A2096" s="52" t="s">
        <v>310</v>
      </c>
      <c r="B2096" s="53">
        <v>2013</v>
      </c>
      <c r="C2096" s="52" t="s">
        <v>117</v>
      </c>
      <c r="D2096" s="54">
        <v>2</v>
      </c>
      <c r="E2096" s="55">
        <v>1275.3</v>
      </c>
      <c r="F2096" s="55">
        <v>0</v>
      </c>
      <c r="G2096" s="55">
        <v>1275.3</v>
      </c>
      <c r="H2096" s="55">
        <v>42957.5</v>
      </c>
      <c r="I2096" s="55">
        <v>935</v>
      </c>
      <c r="J2096" s="55">
        <v>43892.5</v>
      </c>
      <c r="K2096" s="55">
        <v>3004.5</v>
      </c>
      <c r="L2096" s="55">
        <v>64.400000000000006</v>
      </c>
      <c r="M2096" s="55">
        <v>405.9</v>
      </c>
      <c r="N2096" s="55">
        <v>93.4</v>
      </c>
    </row>
    <row r="2097" spans="1:14" ht="10.050000000000001" hidden="1" customHeight="1">
      <c r="A2097" s="52" t="s">
        <v>308</v>
      </c>
      <c r="B2097" s="53">
        <v>2013</v>
      </c>
      <c r="C2097" s="52" t="s">
        <v>117</v>
      </c>
      <c r="D2097" s="54">
        <v>2</v>
      </c>
      <c r="E2097" s="55">
        <v>2596.3000000000002</v>
      </c>
      <c r="F2097" s="55">
        <v>92.7</v>
      </c>
      <c r="G2097" s="55">
        <v>2689</v>
      </c>
      <c r="H2097" s="55">
        <v>45879.1</v>
      </c>
      <c r="I2097" s="55">
        <v>697.6</v>
      </c>
      <c r="J2097" s="55">
        <v>46576.7</v>
      </c>
      <c r="K2097" s="55">
        <v>5743</v>
      </c>
      <c r="L2097" s="55">
        <v>1005.9</v>
      </c>
      <c r="M2097" s="55">
        <v>1797</v>
      </c>
      <c r="N2097" s="55">
        <v>1110.9000000000001</v>
      </c>
    </row>
    <row r="2098" spans="1:14" ht="10.050000000000001" hidden="1" customHeight="1">
      <c r="A2098" s="52" t="s">
        <v>174</v>
      </c>
      <c r="B2098" s="53">
        <v>2013</v>
      </c>
      <c r="C2098" s="52" t="s">
        <v>117</v>
      </c>
      <c r="D2098" s="54">
        <v>2</v>
      </c>
      <c r="E2098" s="55">
        <v>13767.2</v>
      </c>
      <c r="F2098" s="55">
        <v>59.5</v>
      </c>
      <c r="G2098" s="55">
        <v>13826.7</v>
      </c>
      <c r="H2098" s="55">
        <v>300921.5</v>
      </c>
      <c r="I2098" s="55">
        <v>17816.099999999999</v>
      </c>
      <c r="J2098" s="55">
        <v>318737.59999999998</v>
      </c>
      <c r="K2098" s="55">
        <v>73386.600000000006</v>
      </c>
      <c r="L2098" s="55">
        <v>2381.6999999999998</v>
      </c>
      <c r="M2098" s="55">
        <v>6613.3</v>
      </c>
      <c r="N2098" s="55">
        <v>9121.7999999999993</v>
      </c>
    </row>
    <row r="2099" spans="1:14" ht="10.050000000000001" hidden="1" customHeight="1">
      <c r="A2099" s="52" t="s">
        <v>306</v>
      </c>
      <c r="B2099" s="53">
        <v>2013</v>
      </c>
      <c r="C2099" s="52" t="s">
        <v>117</v>
      </c>
      <c r="D2099" s="54">
        <v>3</v>
      </c>
      <c r="E2099" s="55">
        <v>4345.1000000000004</v>
      </c>
      <c r="F2099" s="55">
        <v>34.200000000000003</v>
      </c>
      <c r="G2099" s="55">
        <v>4379.3</v>
      </c>
      <c r="H2099" s="55">
        <v>96803.9</v>
      </c>
      <c r="I2099" s="55">
        <v>6756.5</v>
      </c>
      <c r="J2099" s="55">
        <v>103560.4</v>
      </c>
      <c r="K2099" s="55">
        <v>6355.7</v>
      </c>
      <c r="L2099" s="55">
        <v>348.3</v>
      </c>
      <c r="M2099" s="55">
        <v>1854.7</v>
      </c>
      <c r="N2099" s="55">
        <v>511.9</v>
      </c>
    </row>
    <row r="2100" spans="1:14" ht="10.050000000000001" hidden="1" customHeight="1">
      <c r="A2100" s="52" t="s">
        <v>172</v>
      </c>
      <c r="B2100" s="53">
        <v>2013</v>
      </c>
      <c r="C2100" s="52" t="s">
        <v>117</v>
      </c>
      <c r="D2100" s="54">
        <v>3</v>
      </c>
      <c r="E2100" s="55">
        <v>198999</v>
      </c>
      <c r="F2100" s="55">
        <v>264.5</v>
      </c>
      <c r="G2100" s="55">
        <v>199263.5</v>
      </c>
      <c r="H2100" s="55">
        <v>489871.5</v>
      </c>
      <c r="I2100" s="55">
        <v>14778.9</v>
      </c>
      <c r="J2100" s="55">
        <v>504650.4</v>
      </c>
      <c r="K2100" s="55">
        <v>183270.8</v>
      </c>
      <c r="L2100" s="55">
        <v>22565.599999999999</v>
      </c>
      <c r="M2100" s="55">
        <v>96741.9</v>
      </c>
      <c r="N2100" s="55">
        <v>1328.3</v>
      </c>
    </row>
    <row r="2101" spans="1:14" ht="10.050000000000001" hidden="1" customHeight="1">
      <c r="A2101" s="52" t="s">
        <v>171</v>
      </c>
      <c r="B2101" s="53">
        <v>2013</v>
      </c>
      <c r="C2101" s="52" t="s">
        <v>117</v>
      </c>
      <c r="D2101" s="54">
        <v>3</v>
      </c>
      <c r="E2101" s="55">
        <v>1454843.6</v>
      </c>
      <c r="F2101" s="55">
        <v>3234</v>
      </c>
      <c r="G2101" s="55">
        <v>1458077.6</v>
      </c>
      <c r="H2101" s="55">
        <v>6301060.2000000002</v>
      </c>
      <c r="I2101" s="55">
        <v>209716.6</v>
      </c>
      <c r="J2101" s="55">
        <v>6510776.7999999998</v>
      </c>
      <c r="K2101" s="55">
        <v>1525051</v>
      </c>
      <c r="L2101" s="55">
        <v>197752.9</v>
      </c>
      <c r="M2101" s="55">
        <v>759493.6</v>
      </c>
      <c r="N2101" s="55">
        <v>20203.400000000001</v>
      </c>
    </row>
    <row r="2102" spans="1:14" ht="10.050000000000001" hidden="1" customHeight="1">
      <c r="A2102" s="52" t="s">
        <v>300</v>
      </c>
      <c r="B2102" s="53">
        <v>2013</v>
      </c>
      <c r="C2102" s="52" t="s">
        <v>117</v>
      </c>
      <c r="D2102" s="54">
        <v>3</v>
      </c>
      <c r="E2102" s="55">
        <v>380.1</v>
      </c>
      <c r="F2102" s="55">
        <v>0</v>
      </c>
      <c r="G2102" s="55">
        <v>380.1</v>
      </c>
      <c r="H2102" s="55">
        <v>2475.3000000000002</v>
      </c>
      <c r="I2102" s="55">
        <v>31.9</v>
      </c>
      <c r="J2102" s="55">
        <v>2507.1999999999998</v>
      </c>
      <c r="K2102" s="55">
        <v>0</v>
      </c>
      <c r="L2102" s="55">
        <v>0</v>
      </c>
      <c r="M2102" s="55">
        <v>0</v>
      </c>
      <c r="N2102" s="55">
        <v>0</v>
      </c>
    </row>
    <row r="2103" spans="1:14" ht="10.050000000000001" hidden="1" customHeight="1">
      <c r="A2103" s="52" t="s">
        <v>307</v>
      </c>
      <c r="B2103" s="53">
        <v>2013</v>
      </c>
      <c r="C2103" s="52" t="s">
        <v>117</v>
      </c>
      <c r="D2103" s="54">
        <v>3</v>
      </c>
      <c r="E2103" s="55">
        <v>478495.4</v>
      </c>
      <c r="F2103" s="55">
        <v>1160.5999999999999</v>
      </c>
      <c r="G2103" s="55">
        <v>479656</v>
      </c>
      <c r="H2103" s="55">
        <v>4635258.3</v>
      </c>
      <c r="I2103" s="55">
        <v>67358.399999999994</v>
      </c>
      <c r="J2103" s="55">
        <v>4702616.7</v>
      </c>
      <c r="K2103" s="55">
        <v>1625267.5</v>
      </c>
      <c r="L2103" s="55">
        <v>40627.199999999997</v>
      </c>
      <c r="M2103" s="55">
        <v>336585</v>
      </c>
      <c r="N2103" s="55">
        <v>60921.3</v>
      </c>
    </row>
    <row r="2104" spans="1:14" ht="10.050000000000001" hidden="1" customHeight="1">
      <c r="A2104" s="52" t="s">
        <v>315</v>
      </c>
      <c r="B2104" s="53">
        <v>2013</v>
      </c>
      <c r="C2104" s="52" t="s">
        <v>117</v>
      </c>
      <c r="D2104" s="54">
        <v>3</v>
      </c>
      <c r="E2104" s="55">
        <v>599.4</v>
      </c>
      <c r="F2104" s="55">
        <v>0</v>
      </c>
      <c r="G2104" s="55">
        <v>599.4</v>
      </c>
      <c r="H2104" s="55">
        <v>12179.5</v>
      </c>
      <c r="I2104" s="55">
        <v>55.7</v>
      </c>
      <c r="J2104" s="55">
        <v>12235.2</v>
      </c>
      <c r="K2104" s="55">
        <v>647.9</v>
      </c>
      <c r="L2104" s="55">
        <v>22.3</v>
      </c>
      <c r="M2104" s="55">
        <v>243.1</v>
      </c>
      <c r="N2104" s="55">
        <v>1.3</v>
      </c>
    </row>
    <row r="2105" spans="1:14" ht="10.050000000000001" hidden="1" customHeight="1">
      <c r="A2105" s="52" t="s">
        <v>311</v>
      </c>
      <c r="B2105" s="53">
        <v>2013</v>
      </c>
      <c r="C2105" s="52" t="s">
        <v>117</v>
      </c>
      <c r="D2105" s="54">
        <v>3</v>
      </c>
      <c r="E2105" s="55">
        <v>0</v>
      </c>
      <c r="F2105" s="55">
        <v>0</v>
      </c>
      <c r="G2105" s="55">
        <v>0</v>
      </c>
      <c r="H2105" s="55">
        <v>26.9</v>
      </c>
      <c r="I2105" s="55">
        <v>0</v>
      </c>
      <c r="J2105" s="55">
        <v>26.9</v>
      </c>
      <c r="K2105" s="55">
        <v>61.8</v>
      </c>
      <c r="L2105" s="55">
        <v>0</v>
      </c>
      <c r="M2105" s="55">
        <v>0</v>
      </c>
      <c r="N2105" s="55">
        <v>6.3</v>
      </c>
    </row>
    <row r="2106" spans="1:14" ht="10.050000000000001" hidden="1" customHeight="1">
      <c r="A2106" s="52" t="s">
        <v>173</v>
      </c>
      <c r="B2106" s="53">
        <v>2013</v>
      </c>
      <c r="C2106" s="52" t="s">
        <v>117</v>
      </c>
      <c r="D2106" s="54">
        <v>3</v>
      </c>
      <c r="E2106" s="55">
        <v>272894.90000000002</v>
      </c>
      <c r="F2106" s="55">
        <v>5595.3</v>
      </c>
      <c r="G2106" s="55">
        <v>278490.2</v>
      </c>
      <c r="H2106" s="55">
        <v>3041956.4</v>
      </c>
      <c r="I2106" s="55">
        <v>80935.5</v>
      </c>
      <c r="J2106" s="55">
        <v>3122891.9</v>
      </c>
      <c r="K2106" s="55">
        <v>254082.9</v>
      </c>
      <c r="L2106" s="55">
        <v>20490.099999999999</v>
      </c>
      <c r="M2106" s="55">
        <v>106508.4</v>
      </c>
      <c r="N2106" s="55">
        <v>13068.3</v>
      </c>
    </row>
    <row r="2107" spans="1:14" ht="10.050000000000001" customHeight="1">
      <c r="A2107" s="52" t="s">
        <v>309</v>
      </c>
      <c r="B2107" s="53">
        <v>2013</v>
      </c>
      <c r="C2107" s="52" t="s">
        <v>117</v>
      </c>
      <c r="D2107" s="54">
        <v>3</v>
      </c>
      <c r="E2107" s="55">
        <v>1963.2</v>
      </c>
      <c r="F2107" s="55">
        <v>0</v>
      </c>
      <c r="G2107" s="55">
        <v>1963.2</v>
      </c>
      <c r="H2107" s="55">
        <v>92315.1</v>
      </c>
      <c r="I2107" s="55">
        <v>0</v>
      </c>
      <c r="J2107" s="55">
        <v>92315.1</v>
      </c>
      <c r="K2107" s="55">
        <v>15366.2</v>
      </c>
      <c r="L2107" s="55">
        <v>0</v>
      </c>
      <c r="M2107" s="55">
        <v>1904.7</v>
      </c>
      <c r="N2107" s="55">
        <v>1103.9000000000001</v>
      </c>
    </row>
    <row r="2108" spans="1:14" ht="10.050000000000001" hidden="1" customHeight="1">
      <c r="A2108" s="52" t="s">
        <v>316</v>
      </c>
      <c r="B2108" s="53">
        <v>2013</v>
      </c>
      <c r="C2108" s="52" t="s">
        <v>117</v>
      </c>
      <c r="D2108" s="54">
        <v>3</v>
      </c>
      <c r="E2108" s="55">
        <v>83</v>
      </c>
      <c r="F2108" s="55">
        <v>1.9</v>
      </c>
      <c r="G2108" s="55">
        <v>84.9</v>
      </c>
      <c r="H2108" s="55">
        <v>3429</v>
      </c>
      <c r="I2108" s="55">
        <v>84.7</v>
      </c>
      <c r="J2108" s="55">
        <v>3513.7</v>
      </c>
      <c r="K2108" s="55">
        <v>135</v>
      </c>
      <c r="L2108" s="55">
        <v>0</v>
      </c>
      <c r="M2108" s="55">
        <v>6.9</v>
      </c>
      <c r="N2108" s="55">
        <v>0</v>
      </c>
    </row>
    <row r="2109" spans="1:14" ht="10.050000000000001" hidden="1" customHeight="1">
      <c r="A2109" s="52" t="s">
        <v>310</v>
      </c>
      <c r="B2109" s="53">
        <v>2013</v>
      </c>
      <c r="C2109" s="52" t="s">
        <v>117</v>
      </c>
      <c r="D2109" s="54">
        <v>3</v>
      </c>
      <c r="E2109" s="55">
        <v>2197</v>
      </c>
      <c r="F2109" s="55">
        <v>0</v>
      </c>
      <c r="G2109" s="55">
        <v>2197</v>
      </c>
      <c r="H2109" s="55">
        <v>40148.9</v>
      </c>
      <c r="I2109" s="55">
        <v>933.8</v>
      </c>
      <c r="J2109" s="55">
        <v>41082.699999999997</v>
      </c>
      <c r="K2109" s="55">
        <v>2378</v>
      </c>
      <c r="L2109" s="55">
        <v>147.19999999999999</v>
      </c>
      <c r="M2109" s="55">
        <v>703.6</v>
      </c>
      <c r="N2109" s="55">
        <v>70.099999999999994</v>
      </c>
    </row>
    <row r="2110" spans="1:14" ht="10.050000000000001" hidden="1" customHeight="1">
      <c r="A2110" s="52" t="s">
        <v>308</v>
      </c>
      <c r="B2110" s="53">
        <v>2013</v>
      </c>
      <c r="C2110" s="52" t="s">
        <v>117</v>
      </c>
      <c r="D2110" s="54">
        <v>3</v>
      </c>
      <c r="E2110" s="55">
        <v>1772.8</v>
      </c>
      <c r="F2110" s="55">
        <v>0</v>
      </c>
      <c r="G2110" s="55">
        <v>1772.8</v>
      </c>
      <c r="H2110" s="55">
        <v>37119.9</v>
      </c>
      <c r="I2110" s="55">
        <v>502.6</v>
      </c>
      <c r="J2110" s="55">
        <v>37622.5</v>
      </c>
      <c r="K2110" s="55">
        <v>4494</v>
      </c>
      <c r="L2110" s="55">
        <v>28.7</v>
      </c>
      <c r="M2110" s="55">
        <v>1240.3</v>
      </c>
      <c r="N2110" s="55">
        <v>37.299999999999997</v>
      </c>
    </row>
    <row r="2111" spans="1:14" ht="10.050000000000001" hidden="1" customHeight="1">
      <c r="A2111" s="52" t="s">
        <v>174</v>
      </c>
      <c r="B2111" s="53">
        <v>2013</v>
      </c>
      <c r="C2111" s="52" t="s">
        <v>117</v>
      </c>
      <c r="D2111" s="54">
        <v>3</v>
      </c>
      <c r="E2111" s="55">
        <v>14171.3</v>
      </c>
      <c r="F2111" s="55">
        <v>114.1</v>
      </c>
      <c r="G2111" s="55">
        <v>14285.4</v>
      </c>
      <c r="H2111" s="55">
        <v>241796.7</v>
      </c>
      <c r="I2111" s="55">
        <v>16692.7</v>
      </c>
      <c r="J2111" s="55">
        <v>258489.4</v>
      </c>
      <c r="K2111" s="55">
        <v>60567</v>
      </c>
      <c r="L2111" s="55">
        <v>2649.5</v>
      </c>
      <c r="M2111" s="55">
        <v>6861.3</v>
      </c>
      <c r="N2111" s="55">
        <v>9209.7999999999993</v>
      </c>
    </row>
    <row r="2112" spans="1:14" ht="10.050000000000001" hidden="1" customHeight="1">
      <c r="A2112" s="52" t="s">
        <v>306</v>
      </c>
      <c r="B2112" s="53">
        <v>2013</v>
      </c>
      <c r="C2112" s="52" t="s">
        <v>117</v>
      </c>
      <c r="D2112" s="54">
        <v>4</v>
      </c>
      <c r="E2112" s="55">
        <v>3998.9</v>
      </c>
      <c r="F2112" s="55">
        <v>13.5</v>
      </c>
      <c r="G2112" s="55">
        <v>4012.4</v>
      </c>
      <c r="H2112" s="55">
        <v>87401.5</v>
      </c>
      <c r="I2112" s="55">
        <v>6459.7</v>
      </c>
      <c r="J2112" s="55">
        <v>93861.2</v>
      </c>
      <c r="K2112" s="55">
        <v>4945.8999999999996</v>
      </c>
      <c r="L2112" s="55">
        <v>553</v>
      </c>
      <c r="M2112" s="55">
        <v>1523.4</v>
      </c>
      <c r="N2112" s="55">
        <v>439.9</v>
      </c>
    </row>
    <row r="2113" spans="1:14" ht="10.050000000000001" hidden="1" customHeight="1">
      <c r="A2113" s="52" t="s">
        <v>172</v>
      </c>
      <c r="B2113" s="53">
        <v>2013</v>
      </c>
      <c r="C2113" s="52" t="s">
        <v>117</v>
      </c>
      <c r="D2113" s="54">
        <v>4</v>
      </c>
      <c r="E2113" s="55">
        <v>169098.8</v>
      </c>
      <c r="F2113" s="55">
        <v>139.1</v>
      </c>
      <c r="G2113" s="55">
        <v>169237.9</v>
      </c>
      <c r="H2113" s="55">
        <v>378402.3</v>
      </c>
      <c r="I2113" s="55">
        <v>11643.7</v>
      </c>
      <c r="J2113" s="55">
        <v>390046</v>
      </c>
      <c r="K2113" s="55">
        <v>94789.9</v>
      </c>
      <c r="L2113" s="55">
        <v>14604.5</v>
      </c>
      <c r="M2113" s="55">
        <v>89513.3</v>
      </c>
      <c r="N2113" s="55">
        <v>13580.3</v>
      </c>
    </row>
    <row r="2114" spans="1:14" ht="10.050000000000001" hidden="1" customHeight="1">
      <c r="A2114" s="52" t="s">
        <v>171</v>
      </c>
      <c r="B2114" s="53">
        <v>2013</v>
      </c>
      <c r="C2114" s="52" t="s">
        <v>117</v>
      </c>
      <c r="D2114" s="54">
        <v>4</v>
      </c>
      <c r="E2114" s="55">
        <v>1298335.3999999999</v>
      </c>
      <c r="F2114" s="55">
        <v>2989.1</v>
      </c>
      <c r="G2114" s="55">
        <v>1301324.5</v>
      </c>
      <c r="H2114" s="55">
        <v>4926724.7</v>
      </c>
      <c r="I2114" s="55">
        <v>195610.9</v>
      </c>
      <c r="J2114" s="55">
        <v>5122335.5999999996</v>
      </c>
      <c r="K2114" s="55">
        <v>924301.7</v>
      </c>
      <c r="L2114" s="55">
        <v>157945.70000000001</v>
      </c>
      <c r="M2114" s="55">
        <v>733628.4</v>
      </c>
      <c r="N2114" s="55">
        <v>27887.9</v>
      </c>
    </row>
    <row r="2115" spans="1:14" ht="10.050000000000001" hidden="1" customHeight="1">
      <c r="A2115" s="52" t="s">
        <v>300</v>
      </c>
      <c r="B2115" s="53">
        <v>2013</v>
      </c>
      <c r="C2115" s="52" t="s">
        <v>117</v>
      </c>
      <c r="D2115" s="54">
        <v>4</v>
      </c>
      <c r="E2115" s="55">
        <v>157.80000000000001</v>
      </c>
      <c r="F2115" s="55">
        <v>0</v>
      </c>
      <c r="G2115" s="55">
        <v>157.80000000000001</v>
      </c>
      <c r="H2115" s="55">
        <v>2243.8000000000002</v>
      </c>
      <c r="I2115" s="55">
        <v>31.9</v>
      </c>
      <c r="J2115" s="55">
        <v>2275.6999999999998</v>
      </c>
      <c r="K2115" s="55">
        <v>0</v>
      </c>
      <c r="L2115" s="55">
        <v>0</v>
      </c>
      <c r="M2115" s="55">
        <v>0</v>
      </c>
      <c r="N2115" s="55">
        <v>0</v>
      </c>
    </row>
    <row r="2116" spans="1:14" ht="10.050000000000001" hidden="1" customHeight="1">
      <c r="A2116" s="52" t="s">
        <v>307</v>
      </c>
      <c r="B2116" s="53">
        <v>2013</v>
      </c>
      <c r="C2116" s="52" t="s">
        <v>117</v>
      </c>
      <c r="D2116" s="54">
        <v>4</v>
      </c>
      <c r="E2116" s="55">
        <v>404287.5</v>
      </c>
      <c r="F2116" s="55">
        <v>37.9</v>
      </c>
      <c r="G2116" s="55">
        <v>404325.4</v>
      </c>
      <c r="H2116" s="55">
        <v>3814540.1</v>
      </c>
      <c r="I2116" s="55">
        <v>65191.9</v>
      </c>
      <c r="J2116" s="55">
        <v>3879732</v>
      </c>
      <c r="K2116" s="55">
        <v>1328211</v>
      </c>
      <c r="L2116" s="55">
        <v>33924.400000000001</v>
      </c>
      <c r="M2116" s="55">
        <v>257483.9</v>
      </c>
      <c r="N2116" s="55">
        <v>73498.7</v>
      </c>
    </row>
    <row r="2117" spans="1:14" ht="10.050000000000001" hidden="1" customHeight="1">
      <c r="A2117" s="52" t="s">
        <v>315</v>
      </c>
      <c r="B2117" s="53">
        <v>2013</v>
      </c>
      <c r="C2117" s="52" t="s">
        <v>117</v>
      </c>
      <c r="D2117" s="54">
        <v>4</v>
      </c>
      <c r="E2117" s="55">
        <v>387.3</v>
      </c>
      <c r="F2117" s="55">
        <v>0</v>
      </c>
      <c r="G2117" s="55">
        <v>387.3</v>
      </c>
      <c r="H2117" s="55">
        <v>9465.4</v>
      </c>
      <c r="I2117" s="55">
        <v>55.6</v>
      </c>
      <c r="J2117" s="55">
        <v>9521</v>
      </c>
      <c r="K2117" s="55">
        <v>472.5</v>
      </c>
      <c r="L2117" s="55">
        <v>9</v>
      </c>
      <c r="M2117" s="55">
        <v>183.5</v>
      </c>
      <c r="N2117" s="55">
        <v>1</v>
      </c>
    </row>
    <row r="2118" spans="1:14" ht="10.050000000000001" hidden="1" customHeight="1">
      <c r="A2118" s="52" t="s">
        <v>311</v>
      </c>
      <c r="B2118" s="53">
        <v>2013</v>
      </c>
      <c r="C2118" s="52" t="s">
        <v>117</v>
      </c>
      <c r="D2118" s="54">
        <v>4</v>
      </c>
      <c r="E2118" s="55">
        <v>0</v>
      </c>
      <c r="F2118" s="55">
        <v>0</v>
      </c>
      <c r="G2118" s="55">
        <v>0</v>
      </c>
      <c r="H2118" s="55">
        <v>26.9</v>
      </c>
      <c r="I2118" s="55">
        <v>0</v>
      </c>
      <c r="J2118" s="55">
        <v>26.9</v>
      </c>
      <c r="K2118" s="55">
        <v>54.8</v>
      </c>
      <c r="L2118" s="55">
        <v>0</v>
      </c>
      <c r="M2118" s="55">
        <v>0</v>
      </c>
      <c r="N2118" s="55">
        <v>7</v>
      </c>
    </row>
    <row r="2119" spans="1:14" ht="10.050000000000001" hidden="1" customHeight="1">
      <c r="A2119" s="52" t="s">
        <v>173</v>
      </c>
      <c r="B2119" s="53">
        <v>2013</v>
      </c>
      <c r="C2119" s="52" t="s">
        <v>117</v>
      </c>
      <c r="D2119" s="54">
        <v>4</v>
      </c>
      <c r="E2119" s="55">
        <v>228708.8</v>
      </c>
      <c r="F2119" s="55">
        <v>3265.8</v>
      </c>
      <c r="G2119" s="55">
        <v>231974.6</v>
      </c>
      <c r="H2119" s="55">
        <v>2410992.2000000002</v>
      </c>
      <c r="I2119" s="55">
        <v>73245.100000000006</v>
      </c>
      <c r="J2119" s="55">
        <v>2484237.2999999998</v>
      </c>
      <c r="K2119" s="55">
        <v>164595.70000000001</v>
      </c>
      <c r="L2119" s="55">
        <v>21327.9</v>
      </c>
      <c r="M2119" s="55">
        <v>100101</v>
      </c>
      <c r="N2119" s="55">
        <v>10988.2</v>
      </c>
    </row>
    <row r="2120" spans="1:14" ht="10.050000000000001" customHeight="1">
      <c r="A2120" s="52" t="s">
        <v>309</v>
      </c>
      <c r="B2120" s="53">
        <v>2013</v>
      </c>
      <c r="C2120" s="52" t="s">
        <v>117</v>
      </c>
      <c r="D2120" s="54">
        <v>4</v>
      </c>
      <c r="E2120" s="55">
        <v>7806.7</v>
      </c>
      <c r="F2120" s="55">
        <v>0</v>
      </c>
      <c r="G2120" s="55">
        <v>7806.7</v>
      </c>
      <c r="H2120" s="55">
        <v>89696.7</v>
      </c>
      <c r="I2120" s="55">
        <v>0</v>
      </c>
      <c r="J2120" s="55">
        <v>89696.7</v>
      </c>
      <c r="K2120" s="55">
        <v>7757.1</v>
      </c>
      <c r="L2120" s="55">
        <v>0</v>
      </c>
      <c r="M2120" s="55">
        <v>7395.5</v>
      </c>
      <c r="N2120" s="55">
        <v>213.6</v>
      </c>
    </row>
    <row r="2121" spans="1:14" ht="10.050000000000001" hidden="1" customHeight="1">
      <c r="A2121" s="52" t="s">
        <v>316</v>
      </c>
      <c r="B2121" s="53">
        <v>2013</v>
      </c>
      <c r="C2121" s="52" t="s">
        <v>117</v>
      </c>
      <c r="D2121" s="54">
        <v>4</v>
      </c>
      <c r="E2121" s="55">
        <v>192.7</v>
      </c>
      <c r="F2121" s="55">
        <v>20.9</v>
      </c>
      <c r="G2121" s="55">
        <v>213.6</v>
      </c>
      <c r="H2121" s="55">
        <v>3167.7</v>
      </c>
      <c r="I2121" s="55">
        <v>69.400000000000006</v>
      </c>
      <c r="J2121" s="55">
        <v>3237.1</v>
      </c>
      <c r="K2121" s="55">
        <v>61.9</v>
      </c>
      <c r="L2121" s="55">
        <v>0</v>
      </c>
      <c r="M2121" s="55">
        <v>73.099999999999994</v>
      </c>
      <c r="N2121" s="55">
        <v>0.1</v>
      </c>
    </row>
    <row r="2122" spans="1:14" ht="10.050000000000001" hidden="1" customHeight="1">
      <c r="A2122" s="52" t="s">
        <v>310</v>
      </c>
      <c r="B2122" s="53">
        <v>2013</v>
      </c>
      <c r="C2122" s="52" t="s">
        <v>117</v>
      </c>
      <c r="D2122" s="54">
        <v>4</v>
      </c>
      <c r="E2122" s="55">
        <v>1838</v>
      </c>
      <c r="F2122" s="55">
        <v>79.7</v>
      </c>
      <c r="G2122" s="55">
        <v>1917.7</v>
      </c>
      <c r="H2122" s="55">
        <v>36435.199999999997</v>
      </c>
      <c r="I2122" s="55">
        <v>1005.9</v>
      </c>
      <c r="J2122" s="55">
        <v>37441.1</v>
      </c>
      <c r="K2122" s="55">
        <v>2067.1999999999998</v>
      </c>
      <c r="L2122" s="55">
        <v>95.5</v>
      </c>
      <c r="M2122" s="55">
        <v>345.6</v>
      </c>
      <c r="N2122" s="55">
        <v>60.8</v>
      </c>
    </row>
    <row r="2123" spans="1:14" ht="10.050000000000001" hidden="1" customHeight="1">
      <c r="A2123" s="52" t="s">
        <v>308</v>
      </c>
      <c r="B2123" s="53">
        <v>2013</v>
      </c>
      <c r="C2123" s="52" t="s">
        <v>117</v>
      </c>
      <c r="D2123" s="54">
        <v>4</v>
      </c>
      <c r="E2123" s="55">
        <v>1556.8</v>
      </c>
      <c r="F2123" s="55">
        <v>0</v>
      </c>
      <c r="G2123" s="55">
        <v>1556.8</v>
      </c>
      <c r="H2123" s="55">
        <v>28632</v>
      </c>
      <c r="I2123" s="55">
        <v>486.5</v>
      </c>
      <c r="J2123" s="55">
        <v>29118.5</v>
      </c>
      <c r="K2123" s="55">
        <v>3579.7</v>
      </c>
      <c r="L2123" s="55">
        <v>-21.4</v>
      </c>
      <c r="M2123" s="55">
        <v>821.6</v>
      </c>
      <c r="N2123" s="55">
        <v>88.4</v>
      </c>
    </row>
    <row r="2124" spans="1:14" ht="10.050000000000001" hidden="1" customHeight="1">
      <c r="A2124" s="52" t="s">
        <v>174</v>
      </c>
      <c r="B2124" s="53">
        <v>2013</v>
      </c>
      <c r="C2124" s="52" t="s">
        <v>117</v>
      </c>
      <c r="D2124" s="54">
        <v>4</v>
      </c>
      <c r="E2124" s="55">
        <v>14405.6</v>
      </c>
      <c r="F2124" s="55">
        <v>86.2</v>
      </c>
      <c r="G2124" s="55">
        <v>14491.8</v>
      </c>
      <c r="H2124" s="55">
        <v>187325.2</v>
      </c>
      <c r="I2124" s="55">
        <v>16129.2</v>
      </c>
      <c r="J2124" s="55">
        <v>203454.4</v>
      </c>
      <c r="K2124" s="55">
        <v>48162.2</v>
      </c>
      <c r="L2124" s="55">
        <v>2474.3000000000002</v>
      </c>
      <c r="M2124" s="55">
        <v>7060.6</v>
      </c>
      <c r="N2124" s="55">
        <v>8068.9</v>
      </c>
    </row>
    <row r="2125" spans="1:14" ht="10.050000000000001" hidden="1" customHeight="1">
      <c r="A2125" s="52" t="s">
        <v>306</v>
      </c>
      <c r="B2125" s="53">
        <v>2013</v>
      </c>
      <c r="C2125" s="52" t="s">
        <v>117</v>
      </c>
      <c r="D2125" s="54">
        <v>5</v>
      </c>
      <c r="E2125" s="55">
        <v>4594.3999999999996</v>
      </c>
      <c r="F2125" s="55">
        <v>21.6</v>
      </c>
      <c r="G2125" s="55">
        <v>4616</v>
      </c>
      <c r="H2125" s="55">
        <v>75800.100000000006</v>
      </c>
      <c r="I2125" s="55">
        <v>5342</v>
      </c>
      <c r="J2125" s="55">
        <v>81142.100000000006</v>
      </c>
      <c r="K2125" s="55">
        <v>2708.8</v>
      </c>
      <c r="L2125" s="55">
        <v>388.6</v>
      </c>
      <c r="M2125" s="55">
        <v>2195.6</v>
      </c>
      <c r="N2125" s="55">
        <v>429.6</v>
      </c>
    </row>
    <row r="2126" spans="1:14" ht="10.050000000000001" hidden="1" customHeight="1">
      <c r="A2126" s="52" t="s">
        <v>172</v>
      </c>
      <c r="B2126" s="53">
        <v>2013</v>
      </c>
      <c r="C2126" s="52" t="s">
        <v>117</v>
      </c>
      <c r="D2126" s="54">
        <v>5</v>
      </c>
      <c r="E2126" s="55">
        <v>141164.20000000001</v>
      </c>
      <c r="F2126" s="55">
        <v>258.8</v>
      </c>
      <c r="G2126" s="55">
        <v>141423</v>
      </c>
      <c r="H2126" s="55">
        <v>302710.2</v>
      </c>
      <c r="I2126" s="55">
        <v>9906.4</v>
      </c>
      <c r="J2126" s="55">
        <v>312616.59999999998</v>
      </c>
      <c r="K2126" s="55">
        <v>45368.9</v>
      </c>
      <c r="L2126" s="55">
        <v>12403</v>
      </c>
      <c r="M2126" s="55">
        <v>58297.3</v>
      </c>
      <c r="N2126" s="55">
        <v>3526.5</v>
      </c>
    </row>
    <row r="2127" spans="1:14" ht="10.050000000000001" hidden="1" customHeight="1">
      <c r="A2127" s="52" t="s">
        <v>171</v>
      </c>
      <c r="B2127" s="53">
        <v>2013</v>
      </c>
      <c r="C2127" s="52" t="s">
        <v>117</v>
      </c>
      <c r="D2127" s="54">
        <v>5</v>
      </c>
      <c r="E2127" s="55">
        <v>1222421.3</v>
      </c>
      <c r="F2127" s="55">
        <v>671.6</v>
      </c>
      <c r="G2127" s="55">
        <v>1223092.8999999999</v>
      </c>
      <c r="H2127" s="55">
        <v>3670426.2</v>
      </c>
      <c r="I2127" s="55">
        <v>180648</v>
      </c>
      <c r="J2127" s="55">
        <v>3851074.2</v>
      </c>
      <c r="K2127" s="55">
        <v>356561.7</v>
      </c>
      <c r="L2127" s="55">
        <v>123699.1</v>
      </c>
      <c r="M2127" s="55">
        <v>679655.6</v>
      </c>
      <c r="N2127" s="55">
        <v>27301.8</v>
      </c>
    </row>
    <row r="2128" spans="1:14" ht="10.050000000000001" hidden="1" customHeight="1">
      <c r="A2128" s="52" t="s">
        <v>300</v>
      </c>
      <c r="B2128" s="53">
        <v>2013</v>
      </c>
      <c r="C2128" s="52" t="s">
        <v>117</v>
      </c>
      <c r="D2128" s="54">
        <v>5</v>
      </c>
      <c r="E2128" s="55">
        <v>244.4</v>
      </c>
      <c r="F2128" s="55">
        <v>0</v>
      </c>
      <c r="G2128" s="55">
        <v>244.4</v>
      </c>
      <c r="H2128" s="55">
        <v>2145.1999999999998</v>
      </c>
      <c r="I2128" s="55">
        <v>26.5</v>
      </c>
      <c r="J2128" s="55">
        <v>2171.6999999999998</v>
      </c>
      <c r="K2128" s="55">
        <v>0</v>
      </c>
      <c r="L2128" s="55">
        <v>0</v>
      </c>
      <c r="M2128" s="55">
        <v>0</v>
      </c>
      <c r="N2128" s="55">
        <v>0</v>
      </c>
    </row>
    <row r="2129" spans="1:14" ht="10.050000000000001" hidden="1" customHeight="1">
      <c r="A2129" s="52" t="s">
        <v>307</v>
      </c>
      <c r="B2129" s="53">
        <v>2013</v>
      </c>
      <c r="C2129" s="52" t="s">
        <v>117</v>
      </c>
      <c r="D2129" s="54">
        <v>5</v>
      </c>
      <c r="E2129" s="55">
        <v>457264.6</v>
      </c>
      <c r="F2129" s="55">
        <v>557.6</v>
      </c>
      <c r="G2129" s="55">
        <v>457822.2</v>
      </c>
      <c r="H2129" s="55">
        <v>2937494</v>
      </c>
      <c r="I2129" s="55">
        <v>63306</v>
      </c>
      <c r="J2129" s="55">
        <v>3000800</v>
      </c>
      <c r="K2129" s="55">
        <v>911251.4</v>
      </c>
      <c r="L2129" s="55">
        <v>49091.3</v>
      </c>
      <c r="M2129" s="55">
        <v>333193.2</v>
      </c>
      <c r="N2129" s="55">
        <v>132912</v>
      </c>
    </row>
    <row r="2130" spans="1:14" ht="10.050000000000001" hidden="1" customHeight="1">
      <c r="A2130" s="52" t="s">
        <v>315</v>
      </c>
      <c r="B2130" s="53">
        <v>2013</v>
      </c>
      <c r="C2130" s="52" t="s">
        <v>117</v>
      </c>
      <c r="D2130" s="54">
        <v>5</v>
      </c>
      <c r="E2130" s="55">
        <v>467.8</v>
      </c>
      <c r="F2130" s="55">
        <v>0</v>
      </c>
      <c r="G2130" s="55">
        <v>467.8</v>
      </c>
      <c r="H2130" s="55">
        <v>8118.1</v>
      </c>
      <c r="I2130" s="55">
        <v>55.6</v>
      </c>
      <c r="J2130" s="55">
        <v>8173.7</v>
      </c>
      <c r="K2130" s="55">
        <v>245.4</v>
      </c>
      <c r="L2130" s="55">
        <v>34.299999999999997</v>
      </c>
      <c r="M2130" s="55">
        <v>254.7</v>
      </c>
      <c r="N2130" s="55">
        <v>6.7</v>
      </c>
    </row>
    <row r="2131" spans="1:14" ht="10.050000000000001" hidden="1" customHeight="1">
      <c r="A2131" s="52" t="s">
        <v>311</v>
      </c>
      <c r="B2131" s="53">
        <v>2013</v>
      </c>
      <c r="C2131" s="52" t="s">
        <v>117</v>
      </c>
      <c r="D2131" s="54">
        <v>5</v>
      </c>
      <c r="E2131" s="55">
        <v>0</v>
      </c>
      <c r="F2131" s="55">
        <v>0</v>
      </c>
      <c r="G2131" s="55">
        <v>0</v>
      </c>
      <c r="H2131" s="55">
        <v>26.9</v>
      </c>
      <c r="I2131" s="55">
        <v>0</v>
      </c>
      <c r="J2131" s="55">
        <v>26.9</v>
      </c>
      <c r="K2131" s="55">
        <v>50.3</v>
      </c>
      <c r="L2131" s="55">
        <v>0</v>
      </c>
      <c r="M2131" s="55">
        <v>0</v>
      </c>
      <c r="N2131" s="55">
        <v>4.5</v>
      </c>
    </row>
    <row r="2132" spans="1:14" ht="10.050000000000001" hidden="1" customHeight="1">
      <c r="A2132" s="52" t="s">
        <v>173</v>
      </c>
      <c r="B2132" s="53">
        <v>2013</v>
      </c>
      <c r="C2132" s="52" t="s">
        <v>117</v>
      </c>
      <c r="D2132" s="54">
        <v>5</v>
      </c>
      <c r="E2132" s="55">
        <v>191494.8</v>
      </c>
      <c r="F2132" s="55">
        <v>589.1</v>
      </c>
      <c r="G2132" s="55">
        <v>192083.9</v>
      </c>
      <c r="H2132" s="55">
        <v>1806453.1</v>
      </c>
      <c r="I2132" s="55">
        <v>67222.399999999994</v>
      </c>
      <c r="J2132" s="55">
        <v>1873675.5</v>
      </c>
      <c r="K2132" s="55">
        <v>75730.100000000006</v>
      </c>
      <c r="L2132" s="55">
        <v>12453.1</v>
      </c>
      <c r="M2132" s="55">
        <v>90390.9</v>
      </c>
      <c r="N2132" s="55">
        <v>12052.1</v>
      </c>
    </row>
    <row r="2133" spans="1:14" ht="10.050000000000001" customHeight="1">
      <c r="A2133" s="52" t="s">
        <v>309</v>
      </c>
      <c r="B2133" s="53">
        <v>2013</v>
      </c>
      <c r="C2133" s="52" t="s">
        <v>117</v>
      </c>
      <c r="D2133" s="54">
        <v>5</v>
      </c>
      <c r="E2133" s="55">
        <v>249.4</v>
      </c>
      <c r="F2133" s="55">
        <v>0</v>
      </c>
      <c r="G2133" s="55">
        <v>249.4</v>
      </c>
      <c r="H2133" s="55">
        <v>80413.100000000006</v>
      </c>
      <c r="I2133" s="55">
        <v>0</v>
      </c>
      <c r="J2133" s="55">
        <v>80413.100000000006</v>
      </c>
      <c r="K2133" s="55">
        <v>7068.9</v>
      </c>
      <c r="L2133" s="55">
        <v>0</v>
      </c>
      <c r="M2133" s="55">
        <v>211.8</v>
      </c>
      <c r="N2133" s="55">
        <v>476.5</v>
      </c>
    </row>
    <row r="2134" spans="1:14" ht="10.050000000000001" hidden="1" customHeight="1">
      <c r="A2134" s="52" t="s">
        <v>316</v>
      </c>
      <c r="B2134" s="53">
        <v>2013</v>
      </c>
      <c r="C2134" s="52" t="s">
        <v>117</v>
      </c>
      <c r="D2134" s="54">
        <v>5</v>
      </c>
      <c r="E2134" s="55">
        <v>162.19999999999999</v>
      </c>
      <c r="F2134" s="55">
        <v>0</v>
      </c>
      <c r="G2134" s="55">
        <v>162.19999999999999</v>
      </c>
      <c r="H2134" s="55">
        <v>2904.3</v>
      </c>
      <c r="I2134" s="55">
        <v>43.4</v>
      </c>
      <c r="J2134" s="55">
        <v>2947.7</v>
      </c>
      <c r="K2134" s="55">
        <v>48</v>
      </c>
      <c r="L2134" s="55">
        <v>0</v>
      </c>
      <c r="M2134" s="55">
        <v>13.6</v>
      </c>
      <c r="N2134" s="55">
        <v>0.3</v>
      </c>
    </row>
    <row r="2135" spans="1:14" ht="10.050000000000001" hidden="1" customHeight="1">
      <c r="A2135" s="52" t="s">
        <v>310</v>
      </c>
      <c r="B2135" s="53">
        <v>2013</v>
      </c>
      <c r="C2135" s="52" t="s">
        <v>117</v>
      </c>
      <c r="D2135" s="54">
        <v>5</v>
      </c>
      <c r="E2135" s="55">
        <v>2138.9</v>
      </c>
      <c r="F2135" s="55">
        <v>0</v>
      </c>
      <c r="G2135" s="55">
        <v>2138.9</v>
      </c>
      <c r="H2135" s="55">
        <v>32520.799999999999</v>
      </c>
      <c r="I2135" s="55">
        <v>694.8</v>
      </c>
      <c r="J2135" s="55">
        <v>33215.599999999999</v>
      </c>
      <c r="K2135" s="55">
        <v>837.3</v>
      </c>
      <c r="L2135" s="55">
        <v>98.9</v>
      </c>
      <c r="M2135" s="55">
        <v>1284.5999999999999</v>
      </c>
      <c r="N2135" s="55">
        <v>44</v>
      </c>
    </row>
    <row r="2136" spans="1:14" ht="10.050000000000001" hidden="1" customHeight="1">
      <c r="A2136" s="52" t="s">
        <v>308</v>
      </c>
      <c r="B2136" s="53">
        <v>2013</v>
      </c>
      <c r="C2136" s="52" t="s">
        <v>117</v>
      </c>
      <c r="D2136" s="54">
        <v>5</v>
      </c>
      <c r="E2136" s="55">
        <v>1931.5</v>
      </c>
      <c r="F2136" s="55">
        <v>0</v>
      </c>
      <c r="G2136" s="55">
        <v>1931.5</v>
      </c>
      <c r="H2136" s="55">
        <v>22596.1</v>
      </c>
      <c r="I2136" s="55">
        <v>486.1</v>
      </c>
      <c r="J2136" s="55">
        <v>23082.2</v>
      </c>
      <c r="K2136" s="55">
        <v>2019.3</v>
      </c>
      <c r="L2136" s="55">
        <v>23.5</v>
      </c>
      <c r="M2136" s="55">
        <v>1439.8</v>
      </c>
      <c r="N2136" s="55">
        <v>126.9</v>
      </c>
    </row>
    <row r="2137" spans="1:14" ht="10.050000000000001" hidden="1" customHeight="1">
      <c r="A2137" s="52" t="s">
        <v>174</v>
      </c>
      <c r="B2137" s="53">
        <v>2013</v>
      </c>
      <c r="C2137" s="52" t="s">
        <v>117</v>
      </c>
      <c r="D2137" s="54">
        <v>5</v>
      </c>
      <c r="E2137" s="55">
        <v>17123.7</v>
      </c>
      <c r="F2137" s="55">
        <v>0</v>
      </c>
      <c r="G2137" s="55">
        <v>17123.7</v>
      </c>
      <c r="H2137" s="55">
        <v>138485</v>
      </c>
      <c r="I2137" s="55">
        <v>15025.7</v>
      </c>
      <c r="J2137" s="55">
        <v>153510.70000000001</v>
      </c>
      <c r="K2137" s="55">
        <v>32314.9</v>
      </c>
      <c r="L2137" s="55">
        <v>3591.3</v>
      </c>
      <c r="M2137" s="55">
        <v>9482.5</v>
      </c>
      <c r="N2137" s="55">
        <v>10276.5</v>
      </c>
    </row>
    <row r="2138" spans="1:14" ht="10.050000000000001" hidden="1" customHeight="1">
      <c r="A2138" s="52" t="s">
        <v>306</v>
      </c>
      <c r="B2138" s="53">
        <v>2013</v>
      </c>
      <c r="C2138" s="52" t="s">
        <v>117</v>
      </c>
      <c r="D2138" s="54">
        <v>6</v>
      </c>
      <c r="E2138" s="55">
        <v>3913.6</v>
      </c>
      <c r="F2138" s="55">
        <v>335.6</v>
      </c>
      <c r="G2138" s="55">
        <v>4249.2</v>
      </c>
      <c r="H2138" s="55">
        <v>61097.9</v>
      </c>
      <c r="I2138" s="55">
        <v>4612.3</v>
      </c>
      <c r="J2138" s="55">
        <v>65710.2</v>
      </c>
      <c r="K2138" s="55">
        <v>1611.3</v>
      </c>
      <c r="L2138" s="55">
        <v>645.20000000000005</v>
      </c>
      <c r="M2138" s="55">
        <v>1109.4000000000001</v>
      </c>
      <c r="N2138" s="55">
        <v>900.2</v>
      </c>
    </row>
    <row r="2139" spans="1:14" ht="10.050000000000001" hidden="1" customHeight="1">
      <c r="A2139" s="52" t="s">
        <v>172</v>
      </c>
      <c r="B2139" s="53">
        <v>2013</v>
      </c>
      <c r="C2139" s="52" t="s">
        <v>117</v>
      </c>
      <c r="D2139" s="54">
        <v>6</v>
      </c>
      <c r="E2139" s="55">
        <v>100795.1</v>
      </c>
      <c r="F2139" s="55">
        <v>-46.8</v>
      </c>
      <c r="G2139" s="55">
        <v>100748.3</v>
      </c>
      <c r="H2139" s="55">
        <v>176823.6</v>
      </c>
      <c r="I2139" s="55">
        <v>6705.8</v>
      </c>
      <c r="J2139" s="55">
        <v>183529.4</v>
      </c>
      <c r="K2139" s="55">
        <v>28181.1</v>
      </c>
      <c r="L2139" s="55">
        <v>8589.2000000000007</v>
      </c>
      <c r="M2139" s="55">
        <v>24491.200000000001</v>
      </c>
      <c r="N2139" s="55">
        <v>1285.8</v>
      </c>
    </row>
    <row r="2140" spans="1:14" ht="10.050000000000001" hidden="1" customHeight="1">
      <c r="A2140" s="52" t="s">
        <v>171</v>
      </c>
      <c r="B2140" s="53">
        <v>2013</v>
      </c>
      <c r="C2140" s="52" t="s">
        <v>117</v>
      </c>
      <c r="D2140" s="54">
        <v>6</v>
      </c>
      <c r="E2140" s="55">
        <v>670306.30000000005</v>
      </c>
      <c r="F2140" s="55">
        <v>12000.9</v>
      </c>
      <c r="G2140" s="55">
        <v>682307.2</v>
      </c>
      <c r="H2140" s="55">
        <v>2033055.7</v>
      </c>
      <c r="I2140" s="55">
        <v>159433.5</v>
      </c>
      <c r="J2140" s="55">
        <v>2192489.2000000002</v>
      </c>
      <c r="K2140" s="55">
        <v>116824.8</v>
      </c>
      <c r="L2140" s="55">
        <v>98850.4</v>
      </c>
      <c r="M2140" s="55">
        <v>304490.90000000002</v>
      </c>
      <c r="N2140" s="55">
        <v>39249.199999999997</v>
      </c>
    </row>
    <row r="2141" spans="1:14" ht="10.050000000000001" hidden="1" customHeight="1">
      <c r="A2141" s="52" t="s">
        <v>300</v>
      </c>
      <c r="B2141" s="53">
        <v>2013</v>
      </c>
      <c r="C2141" s="52" t="s">
        <v>117</v>
      </c>
      <c r="D2141" s="54">
        <v>6</v>
      </c>
      <c r="E2141" s="55">
        <v>257.3</v>
      </c>
      <c r="F2141" s="55">
        <v>66.3</v>
      </c>
      <c r="G2141" s="55">
        <v>323.60000000000002</v>
      </c>
      <c r="H2141" s="55">
        <v>1776.6</v>
      </c>
      <c r="I2141" s="55">
        <v>11.3</v>
      </c>
      <c r="J2141" s="55">
        <v>1787.9</v>
      </c>
      <c r="K2141" s="55">
        <v>0</v>
      </c>
      <c r="L2141" s="55">
        <v>0</v>
      </c>
      <c r="M2141" s="55">
        <v>0</v>
      </c>
      <c r="N2141" s="55">
        <v>0</v>
      </c>
    </row>
    <row r="2142" spans="1:14" ht="10.050000000000001" hidden="1" customHeight="1">
      <c r="A2142" s="52" t="s">
        <v>307</v>
      </c>
      <c r="B2142" s="53">
        <v>2013</v>
      </c>
      <c r="C2142" s="52" t="s">
        <v>117</v>
      </c>
      <c r="D2142" s="54">
        <v>6</v>
      </c>
      <c r="E2142" s="55">
        <v>736066.700000001</v>
      </c>
      <c r="F2142" s="55">
        <v>0</v>
      </c>
      <c r="G2142" s="55">
        <v>736066.700000001</v>
      </c>
      <c r="H2142" s="55">
        <v>2247055.2999999998</v>
      </c>
      <c r="I2142" s="55">
        <v>17230.599999999999</v>
      </c>
      <c r="J2142" s="55">
        <v>2264285.9</v>
      </c>
      <c r="K2142" s="55">
        <v>366187.1</v>
      </c>
      <c r="L2142" s="55">
        <v>67878.7</v>
      </c>
      <c r="M2142" s="55">
        <v>536763.80000000005</v>
      </c>
      <c r="N2142" s="55">
        <v>79309.899999999994</v>
      </c>
    </row>
    <row r="2143" spans="1:14" ht="10.050000000000001" hidden="1" customHeight="1">
      <c r="A2143" s="52" t="s">
        <v>315</v>
      </c>
      <c r="B2143" s="53">
        <v>2013</v>
      </c>
      <c r="C2143" s="52" t="s">
        <v>117</v>
      </c>
      <c r="D2143" s="54">
        <v>6</v>
      </c>
      <c r="E2143" s="55">
        <v>377</v>
      </c>
      <c r="F2143" s="55">
        <v>0</v>
      </c>
      <c r="G2143" s="55">
        <v>377</v>
      </c>
      <c r="H2143" s="55">
        <v>6045.8</v>
      </c>
      <c r="I2143" s="55">
        <v>55.5</v>
      </c>
      <c r="J2143" s="55">
        <v>6101.3</v>
      </c>
      <c r="K2143" s="55">
        <v>155.1</v>
      </c>
      <c r="L2143" s="55">
        <v>115.3</v>
      </c>
      <c r="M2143" s="55">
        <v>202.5</v>
      </c>
      <c r="N2143" s="55">
        <v>3.2</v>
      </c>
    </row>
    <row r="2144" spans="1:14" ht="10.050000000000001" hidden="1" customHeight="1">
      <c r="A2144" s="52" t="s">
        <v>311</v>
      </c>
      <c r="B2144" s="53">
        <v>2013</v>
      </c>
      <c r="C2144" s="52" t="s">
        <v>117</v>
      </c>
      <c r="D2144" s="54">
        <v>6</v>
      </c>
      <c r="E2144" s="55">
        <v>0</v>
      </c>
      <c r="F2144" s="55">
        <v>0</v>
      </c>
      <c r="G2144" s="55">
        <v>0</v>
      </c>
      <c r="H2144" s="55">
        <v>0</v>
      </c>
      <c r="I2144" s="55">
        <v>0</v>
      </c>
      <c r="J2144" s="55">
        <v>0</v>
      </c>
      <c r="K2144" s="55">
        <v>35.5</v>
      </c>
      <c r="L2144" s="55">
        <v>0</v>
      </c>
      <c r="M2144" s="55">
        <v>0</v>
      </c>
      <c r="N2144" s="55">
        <v>14.8</v>
      </c>
    </row>
    <row r="2145" spans="1:14" ht="10.050000000000001" hidden="1" customHeight="1">
      <c r="A2145" s="52" t="s">
        <v>173</v>
      </c>
      <c r="B2145" s="53">
        <v>2013</v>
      </c>
      <c r="C2145" s="52" t="s">
        <v>117</v>
      </c>
      <c r="D2145" s="54">
        <v>6</v>
      </c>
      <c r="E2145" s="55">
        <v>106347.7</v>
      </c>
      <c r="F2145" s="55">
        <v>6088.7</v>
      </c>
      <c r="G2145" s="55">
        <v>112436.4</v>
      </c>
      <c r="H2145" s="55">
        <v>1011129.3</v>
      </c>
      <c r="I2145" s="55">
        <v>57722.7</v>
      </c>
      <c r="J2145" s="55">
        <v>1068852</v>
      </c>
      <c r="K2145" s="55">
        <v>34678.6</v>
      </c>
      <c r="L2145" s="55">
        <v>14102.4</v>
      </c>
      <c r="M2145" s="55">
        <v>39718.6</v>
      </c>
      <c r="N2145" s="55">
        <v>17969.8</v>
      </c>
    </row>
    <row r="2146" spans="1:14" ht="10.050000000000001" customHeight="1">
      <c r="A2146" s="52" t="s">
        <v>309</v>
      </c>
      <c r="B2146" s="53">
        <v>2013</v>
      </c>
      <c r="C2146" s="52" t="s">
        <v>117</v>
      </c>
      <c r="D2146" s="54">
        <v>6</v>
      </c>
      <c r="E2146" s="55">
        <v>4236.7</v>
      </c>
      <c r="F2146" s="55">
        <v>0</v>
      </c>
      <c r="G2146" s="55">
        <v>4236.7</v>
      </c>
      <c r="H2146" s="55">
        <v>73636.600000000006</v>
      </c>
      <c r="I2146" s="55">
        <v>0</v>
      </c>
      <c r="J2146" s="55">
        <v>73636.600000000006</v>
      </c>
      <c r="K2146" s="55">
        <v>2134.8000000000002</v>
      </c>
      <c r="L2146" s="55">
        <v>0</v>
      </c>
      <c r="M2146" s="55">
        <v>4183.8</v>
      </c>
      <c r="N2146" s="55">
        <v>750.3</v>
      </c>
    </row>
    <row r="2147" spans="1:14" ht="10.050000000000001" hidden="1" customHeight="1">
      <c r="A2147" s="52" t="s">
        <v>316</v>
      </c>
      <c r="B2147" s="53">
        <v>2013</v>
      </c>
      <c r="C2147" s="52" t="s">
        <v>117</v>
      </c>
      <c r="D2147" s="54">
        <v>6</v>
      </c>
      <c r="E2147" s="55">
        <v>244.5</v>
      </c>
      <c r="F2147" s="55">
        <v>26.1</v>
      </c>
      <c r="G2147" s="55">
        <v>270.60000000000002</v>
      </c>
      <c r="H2147" s="55">
        <v>2167.4</v>
      </c>
      <c r="I2147" s="55">
        <v>19.100000000000001</v>
      </c>
      <c r="J2147" s="55">
        <v>2186.5</v>
      </c>
      <c r="K2147" s="55">
        <v>34.1</v>
      </c>
      <c r="L2147" s="55">
        <v>0.2</v>
      </c>
      <c r="M2147" s="55">
        <v>12.8</v>
      </c>
      <c r="N2147" s="55">
        <v>1.2</v>
      </c>
    </row>
    <row r="2148" spans="1:14" ht="10.050000000000001" hidden="1" customHeight="1">
      <c r="A2148" s="52" t="s">
        <v>310</v>
      </c>
      <c r="B2148" s="53">
        <v>2013</v>
      </c>
      <c r="C2148" s="52" t="s">
        <v>117</v>
      </c>
      <c r="D2148" s="54">
        <v>6</v>
      </c>
      <c r="E2148" s="55">
        <v>1981.4</v>
      </c>
      <c r="F2148" s="55">
        <v>60.4</v>
      </c>
      <c r="G2148" s="55">
        <v>2041.8</v>
      </c>
      <c r="H2148" s="55">
        <v>24558.3</v>
      </c>
      <c r="I2148" s="55">
        <v>326.8</v>
      </c>
      <c r="J2148" s="55">
        <v>24885.1</v>
      </c>
      <c r="K2148" s="55">
        <v>214.9</v>
      </c>
      <c r="L2148" s="55">
        <v>34.700000000000003</v>
      </c>
      <c r="M2148" s="55">
        <v>542.29999999999995</v>
      </c>
      <c r="N2148" s="55">
        <v>114.8</v>
      </c>
    </row>
    <row r="2149" spans="1:14" ht="10.050000000000001" hidden="1" customHeight="1">
      <c r="A2149" s="52" t="s">
        <v>308</v>
      </c>
      <c r="B2149" s="53">
        <v>2013</v>
      </c>
      <c r="C2149" s="52" t="s">
        <v>117</v>
      </c>
      <c r="D2149" s="54">
        <v>6</v>
      </c>
      <c r="E2149" s="55">
        <v>2844</v>
      </c>
      <c r="F2149" s="55">
        <v>0</v>
      </c>
      <c r="G2149" s="55">
        <v>2844</v>
      </c>
      <c r="H2149" s="55">
        <v>16076.9</v>
      </c>
      <c r="I2149" s="55">
        <v>241.9</v>
      </c>
      <c r="J2149" s="55">
        <v>16318.8</v>
      </c>
      <c r="K2149" s="55">
        <v>221.5</v>
      </c>
      <c r="L2149" s="55">
        <v>6.3</v>
      </c>
      <c r="M2149" s="55">
        <v>1722.7</v>
      </c>
      <c r="N2149" s="55">
        <v>81.400000000000006</v>
      </c>
    </row>
    <row r="2150" spans="1:14" ht="10.050000000000001" hidden="1" customHeight="1">
      <c r="A2150" s="52" t="s">
        <v>174</v>
      </c>
      <c r="B2150" s="53">
        <v>2013</v>
      </c>
      <c r="C2150" s="52" t="s">
        <v>117</v>
      </c>
      <c r="D2150" s="54">
        <v>6</v>
      </c>
      <c r="E2150" s="55">
        <v>20430</v>
      </c>
      <c r="F2150" s="55">
        <v>1315.1</v>
      </c>
      <c r="G2150" s="55">
        <v>21745.1</v>
      </c>
      <c r="H2150" s="55">
        <v>86237.8</v>
      </c>
      <c r="I2150" s="55">
        <v>11506.1</v>
      </c>
      <c r="J2150" s="55">
        <v>97743.9</v>
      </c>
      <c r="K2150" s="55">
        <v>16840.7</v>
      </c>
      <c r="L2150" s="55">
        <v>1313.8</v>
      </c>
      <c r="M2150" s="55">
        <v>8004.3</v>
      </c>
      <c r="N2150" s="55">
        <v>9074.2000000000007</v>
      </c>
    </row>
    <row r="2151" spans="1:14" ht="10.050000000000001" hidden="1" customHeight="1">
      <c r="A2151" s="52" t="s">
        <v>306</v>
      </c>
      <c r="B2151" s="53">
        <v>2013</v>
      </c>
      <c r="C2151" s="52" t="s">
        <v>118</v>
      </c>
      <c r="D2151" s="54">
        <v>7</v>
      </c>
      <c r="E2151" s="55">
        <v>45596.4</v>
      </c>
      <c r="F2151" s="55">
        <v>748.5</v>
      </c>
      <c r="G2151" s="55">
        <v>46344.9</v>
      </c>
      <c r="H2151" s="55">
        <v>87416.3</v>
      </c>
      <c r="I2151" s="55">
        <v>4864</v>
      </c>
      <c r="J2151" s="55">
        <v>92280.3</v>
      </c>
      <c r="K2151" s="55">
        <v>16642.2</v>
      </c>
      <c r="L2151" s="55">
        <v>23226.799999999999</v>
      </c>
      <c r="M2151" s="55">
        <v>7559.8</v>
      </c>
      <c r="N2151" s="55">
        <v>369.2</v>
      </c>
    </row>
    <row r="2152" spans="1:14" ht="10.050000000000001" hidden="1" customHeight="1">
      <c r="A2152" s="52" t="s">
        <v>172</v>
      </c>
      <c r="B2152" s="53">
        <v>2013</v>
      </c>
      <c r="C2152" s="52" t="s">
        <v>118</v>
      </c>
      <c r="D2152" s="54">
        <v>7</v>
      </c>
      <c r="E2152" s="55">
        <v>746859.1</v>
      </c>
      <c r="F2152" s="55">
        <v>42057.5</v>
      </c>
      <c r="G2152" s="55">
        <v>788916.60000000102</v>
      </c>
      <c r="H2152" s="55">
        <v>654503.4</v>
      </c>
      <c r="I2152" s="55">
        <v>17310.3</v>
      </c>
      <c r="J2152" s="55">
        <v>671813.7</v>
      </c>
      <c r="K2152" s="55">
        <v>274244.3</v>
      </c>
      <c r="L2152" s="55">
        <v>335297.7</v>
      </c>
      <c r="M2152" s="55">
        <v>87882.6</v>
      </c>
      <c r="N2152" s="55">
        <v>1343.7</v>
      </c>
    </row>
    <row r="2153" spans="1:14" ht="10.050000000000001" hidden="1" customHeight="1">
      <c r="A2153" s="52" t="s">
        <v>171</v>
      </c>
      <c r="B2153" s="53">
        <v>2013</v>
      </c>
      <c r="C2153" s="52" t="s">
        <v>118</v>
      </c>
      <c r="D2153" s="54">
        <v>7</v>
      </c>
      <c r="E2153" s="55">
        <v>5191577.3</v>
      </c>
      <c r="F2153" s="55">
        <v>61102.8</v>
      </c>
      <c r="G2153" s="55">
        <v>5252680.0999999996</v>
      </c>
      <c r="H2153" s="55">
        <v>4234902.3</v>
      </c>
      <c r="I2153" s="55">
        <v>212636.5</v>
      </c>
      <c r="J2153" s="55">
        <v>4447538.8</v>
      </c>
      <c r="K2153" s="55">
        <v>1711828.5</v>
      </c>
      <c r="L2153" s="55">
        <v>2345040.7999999998</v>
      </c>
      <c r="M2153" s="55">
        <v>725393.3</v>
      </c>
      <c r="N2153" s="55">
        <v>21239.7</v>
      </c>
    </row>
    <row r="2154" spans="1:14" ht="10.050000000000001" hidden="1" customHeight="1">
      <c r="A2154" s="52" t="s">
        <v>300</v>
      </c>
      <c r="B2154" s="53">
        <v>2013</v>
      </c>
      <c r="C2154" s="52" t="s">
        <v>118</v>
      </c>
      <c r="D2154" s="54">
        <v>7</v>
      </c>
      <c r="E2154" s="55">
        <v>1410.2</v>
      </c>
      <c r="F2154" s="55">
        <v>1</v>
      </c>
      <c r="G2154" s="55">
        <v>1411.2</v>
      </c>
      <c r="H2154" s="55">
        <v>2645.4</v>
      </c>
      <c r="I2154" s="55">
        <v>11.3</v>
      </c>
      <c r="J2154" s="55">
        <v>2656.7</v>
      </c>
      <c r="K2154" s="55">
        <v>0</v>
      </c>
      <c r="L2154" s="55">
        <v>0</v>
      </c>
      <c r="M2154" s="55">
        <v>0</v>
      </c>
      <c r="N2154" s="55">
        <v>0</v>
      </c>
    </row>
    <row r="2155" spans="1:14" ht="10.050000000000001" hidden="1" customHeight="1">
      <c r="A2155" s="52" t="s">
        <v>307</v>
      </c>
      <c r="B2155" s="53">
        <v>2013</v>
      </c>
      <c r="C2155" s="52" t="s">
        <v>118</v>
      </c>
      <c r="D2155" s="54">
        <v>7</v>
      </c>
      <c r="E2155" s="55">
        <v>550364.80000000005</v>
      </c>
      <c r="F2155" s="55">
        <v>24222</v>
      </c>
      <c r="G2155" s="55">
        <v>574586.80000000005</v>
      </c>
      <c r="H2155" s="55">
        <v>1481416.1</v>
      </c>
      <c r="I2155" s="55">
        <v>41312.300000000003</v>
      </c>
      <c r="J2155" s="55">
        <v>1522728.4</v>
      </c>
      <c r="K2155" s="55">
        <v>357934</v>
      </c>
      <c r="L2155" s="55">
        <v>391828</v>
      </c>
      <c r="M2155" s="55">
        <v>354349.9</v>
      </c>
      <c r="N2155" s="55">
        <v>45129.599999999999</v>
      </c>
    </row>
    <row r="2156" spans="1:14" ht="10.050000000000001" hidden="1" customHeight="1">
      <c r="A2156" s="52" t="s">
        <v>315</v>
      </c>
      <c r="B2156" s="53">
        <v>2013</v>
      </c>
      <c r="C2156" s="52" t="s">
        <v>118</v>
      </c>
      <c r="D2156" s="54">
        <v>7</v>
      </c>
      <c r="E2156" s="55">
        <v>9529.7999999999993</v>
      </c>
      <c r="F2156" s="55">
        <v>0</v>
      </c>
      <c r="G2156" s="55">
        <v>9529.7999999999993</v>
      </c>
      <c r="H2156" s="55">
        <v>3568.3</v>
      </c>
      <c r="I2156" s="55">
        <v>32.700000000000003</v>
      </c>
      <c r="J2156" s="55">
        <v>3601</v>
      </c>
      <c r="K2156" s="55">
        <v>546.79999999999995</v>
      </c>
      <c r="L2156" s="55">
        <v>6662.3</v>
      </c>
      <c r="M2156" s="55">
        <v>6271</v>
      </c>
      <c r="N2156" s="55">
        <v>3.2</v>
      </c>
    </row>
    <row r="2157" spans="1:14" ht="10.050000000000001" hidden="1" customHeight="1">
      <c r="A2157" s="52" t="s">
        <v>311</v>
      </c>
      <c r="B2157" s="53">
        <v>2013</v>
      </c>
      <c r="C2157" s="52" t="s">
        <v>118</v>
      </c>
      <c r="D2157" s="54">
        <v>7</v>
      </c>
      <c r="E2157" s="55">
        <v>15.1</v>
      </c>
      <c r="F2157" s="55">
        <v>0</v>
      </c>
      <c r="G2157" s="55">
        <v>15.1</v>
      </c>
      <c r="H2157" s="55">
        <v>0</v>
      </c>
      <c r="I2157" s="55">
        <v>0</v>
      </c>
      <c r="J2157" s="55">
        <v>0</v>
      </c>
      <c r="K2157" s="55">
        <v>42.7</v>
      </c>
      <c r="L2157" s="55">
        <v>43.9</v>
      </c>
      <c r="M2157" s="55">
        <v>0</v>
      </c>
      <c r="N2157" s="55">
        <v>36.700000000000003</v>
      </c>
    </row>
    <row r="2158" spans="1:14" ht="10.050000000000001" hidden="1" customHeight="1">
      <c r="A2158" s="52" t="s">
        <v>173</v>
      </c>
      <c r="B2158" s="53">
        <v>2013</v>
      </c>
      <c r="C2158" s="52" t="s">
        <v>118</v>
      </c>
      <c r="D2158" s="54">
        <v>7</v>
      </c>
      <c r="E2158" s="55">
        <v>3725182.4</v>
      </c>
      <c r="F2158" s="55">
        <v>102366.8</v>
      </c>
      <c r="G2158" s="55">
        <v>3827549.2</v>
      </c>
      <c r="H2158" s="55">
        <v>3523582.2</v>
      </c>
      <c r="I2158" s="55">
        <v>122190.3</v>
      </c>
      <c r="J2158" s="55">
        <v>3645772.5</v>
      </c>
      <c r="K2158" s="55">
        <v>1269895.8999999999</v>
      </c>
      <c r="L2158" s="55">
        <v>1663661.9</v>
      </c>
      <c r="M2158" s="55">
        <v>401422.2</v>
      </c>
      <c r="N2158" s="55">
        <v>21062.400000000001</v>
      </c>
    </row>
    <row r="2159" spans="1:14" ht="10.050000000000001" customHeight="1">
      <c r="A2159" s="52" t="s">
        <v>309</v>
      </c>
      <c r="B2159" s="53">
        <v>2013</v>
      </c>
      <c r="C2159" s="52" t="s">
        <v>118</v>
      </c>
      <c r="D2159" s="54">
        <v>7</v>
      </c>
      <c r="E2159" s="55">
        <v>225.7</v>
      </c>
      <c r="F2159" s="55">
        <v>0</v>
      </c>
      <c r="G2159" s="55">
        <v>225.7</v>
      </c>
      <c r="H2159" s="55">
        <v>60946.9</v>
      </c>
      <c r="I2159" s="55">
        <v>0</v>
      </c>
      <c r="J2159" s="55">
        <v>60946.9</v>
      </c>
      <c r="K2159" s="55">
        <v>2134.8000000000002</v>
      </c>
      <c r="L2159" s="55">
        <v>0</v>
      </c>
      <c r="M2159" s="55">
        <v>0</v>
      </c>
      <c r="N2159" s="55">
        <v>0</v>
      </c>
    </row>
    <row r="2160" spans="1:14" ht="10.050000000000001" hidden="1" customHeight="1">
      <c r="A2160" s="52" t="s">
        <v>316</v>
      </c>
      <c r="B2160" s="53">
        <v>2013</v>
      </c>
      <c r="C2160" s="52" t="s">
        <v>118</v>
      </c>
      <c r="D2160" s="54">
        <v>7</v>
      </c>
      <c r="E2160" s="55">
        <v>213</v>
      </c>
      <c r="F2160" s="55">
        <v>0</v>
      </c>
      <c r="G2160" s="55">
        <v>213</v>
      </c>
      <c r="H2160" s="55">
        <v>1762</v>
      </c>
      <c r="I2160" s="55">
        <v>18.899999999999999</v>
      </c>
      <c r="J2160" s="55">
        <v>1780.9</v>
      </c>
      <c r="K2160" s="55">
        <v>35.700000000000003</v>
      </c>
      <c r="L2160" s="55">
        <v>76.5</v>
      </c>
      <c r="M2160" s="55">
        <v>74.900000000000006</v>
      </c>
      <c r="N2160" s="55">
        <v>0</v>
      </c>
    </row>
    <row r="2161" spans="1:14" ht="10.050000000000001" hidden="1" customHeight="1">
      <c r="A2161" s="52" t="s">
        <v>310</v>
      </c>
      <c r="B2161" s="53">
        <v>2013</v>
      </c>
      <c r="C2161" s="52" t="s">
        <v>118</v>
      </c>
      <c r="D2161" s="54">
        <v>7</v>
      </c>
      <c r="E2161" s="55">
        <v>10939.8</v>
      </c>
      <c r="F2161" s="55">
        <v>98.3</v>
      </c>
      <c r="G2161" s="55">
        <v>11038.1</v>
      </c>
      <c r="H2161" s="55">
        <v>23260.5</v>
      </c>
      <c r="I2161" s="55">
        <v>378.8</v>
      </c>
      <c r="J2161" s="55">
        <v>23639.3</v>
      </c>
      <c r="K2161" s="55">
        <v>1815.9</v>
      </c>
      <c r="L2161" s="55">
        <v>7084.3</v>
      </c>
      <c r="M2161" s="55">
        <v>5481.5</v>
      </c>
      <c r="N2161" s="55">
        <v>1.8</v>
      </c>
    </row>
    <row r="2162" spans="1:14" ht="10.050000000000001" hidden="1" customHeight="1">
      <c r="A2162" s="52" t="s">
        <v>308</v>
      </c>
      <c r="B2162" s="53">
        <v>2013</v>
      </c>
      <c r="C2162" s="52" t="s">
        <v>118</v>
      </c>
      <c r="D2162" s="54">
        <v>7</v>
      </c>
      <c r="E2162" s="55">
        <v>1735</v>
      </c>
      <c r="F2162" s="55">
        <v>0</v>
      </c>
      <c r="G2162" s="55">
        <v>1735</v>
      </c>
      <c r="H2162" s="55">
        <v>11514.3</v>
      </c>
      <c r="I2162" s="55">
        <v>241.9</v>
      </c>
      <c r="J2162" s="55">
        <v>11756.2</v>
      </c>
      <c r="K2162" s="55">
        <v>542.29999999999995</v>
      </c>
      <c r="L2162" s="55">
        <v>1769.1</v>
      </c>
      <c r="M2162" s="55">
        <v>1348.4</v>
      </c>
      <c r="N2162" s="55">
        <v>99.6</v>
      </c>
    </row>
    <row r="2163" spans="1:14" ht="10.050000000000001" hidden="1" customHeight="1">
      <c r="A2163" s="52" t="s">
        <v>174</v>
      </c>
      <c r="B2163" s="53">
        <v>2013</v>
      </c>
      <c r="C2163" s="52" t="s">
        <v>118</v>
      </c>
      <c r="D2163" s="54">
        <v>7</v>
      </c>
      <c r="E2163" s="55">
        <v>91566.9</v>
      </c>
      <c r="F2163" s="55">
        <v>5426.1</v>
      </c>
      <c r="G2163" s="55">
        <v>96993</v>
      </c>
      <c r="H2163" s="55">
        <v>103151.6</v>
      </c>
      <c r="I2163" s="55">
        <v>16643.099999999999</v>
      </c>
      <c r="J2163" s="55">
        <v>119794.7</v>
      </c>
      <c r="K2163" s="55">
        <v>44794.400000000001</v>
      </c>
      <c r="L2163" s="55">
        <v>55052.1</v>
      </c>
      <c r="M2163" s="55">
        <v>18406.2</v>
      </c>
      <c r="N2163" s="55">
        <v>8578.5</v>
      </c>
    </row>
    <row r="2164" spans="1:14" ht="10.050000000000001" hidden="1" customHeight="1">
      <c r="A2164" s="52" t="s">
        <v>314</v>
      </c>
      <c r="B2164" s="53">
        <v>2013</v>
      </c>
      <c r="C2164" s="52" t="s">
        <v>118</v>
      </c>
      <c r="D2164" s="54">
        <v>8</v>
      </c>
      <c r="E2164" s="55">
        <v>45.8</v>
      </c>
      <c r="F2164" s="55">
        <v>0</v>
      </c>
      <c r="G2164" s="55">
        <v>45.8</v>
      </c>
      <c r="H2164" s="55">
        <v>0</v>
      </c>
      <c r="I2164" s="55">
        <v>0</v>
      </c>
      <c r="J2164" s="55">
        <v>0</v>
      </c>
      <c r="K2164" s="55">
        <v>0</v>
      </c>
      <c r="L2164" s="55">
        <v>0</v>
      </c>
      <c r="M2164" s="55">
        <v>0</v>
      </c>
      <c r="N2164" s="55">
        <v>0</v>
      </c>
    </row>
    <row r="2165" spans="1:14" ht="10.050000000000001" hidden="1" customHeight="1">
      <c r="A2165" s="52" t="s">
        <v>306</v>
      </c>
      <c r="B2165" s="53">
        <v>2013</v>
      </c>
      <c r="C2165" s="52" t="s">
        <v>118</v>
      </c>
      <c r="D2165" s="54">
        <v>8</v>
      </c>
      <c r="E2165" s="55">
        <v>112371.6</v>
      </c>
      <c r="F2165" s="55">
        <v>2694.9</v>
      </c>
      <c r="G2165" s="55">
        <v>115066.5</v>
      </c>
      <c r="H2165" s="55">
        <v>189265.5</v>
      </c>
      <c r="I2165" s="55">
        <v>6384.4</v>
      </c>
      <c r="J2165" s="55">
        <v>195649.9</v>
      </c>
      <c r="K2165" s="55">
        <v>42870.7</v>
      </c>
      <c r="L2165" s="55">
        <v>37373.699999999997</v>
      </c>
      <c r="M2165" s="55">
        <v>10887.5</v>
      </c>
      <c r="N2165" s="55">
        <v>257.7</v>
      </c>
    </row>
    <row r="2166" spans="1:14" ht="10.050000000000001" hidden="1" customHeight="1">
      <c r="A2166" s="52" t="s">
        <v>172</v>
      </c>
      <c r="B2166" s="53">
        <v>2013</v>
      </c>
      <c r="C2166" s="52" t="s">
        <v>118</v>
      </c>
      <c r="D2166" s="54">
        <v>8</v>
      </c>
      <c r="E2166" s="55">
        <v>179502.9</v>
      </c>
      <c r="F2166" s="55">
        <v>6994.1</v>
      </c>
      <c r="G2166" s="55">
        <v>186497</v>
      </c>
      <c r="H2166" s="55">
        <v>788721.4</v>
      </c>
      <c r="I2166" s="55">
        <v>22677.200000000001</v>
      </c>
      <c r="J2166" s="55">
        <v>811398.6</v>
      </c>
      <c r="K2166" s="55">
        <v>314791.90000000002</v>
      </c>
      <c r="L2166" s="55">
        <v>101251.7</v>
      </c>
      <c r="M2166" s="55">
        <v>58663.4</v>
      </c>
      <c r="N2166" s="55">
        <v>2040.4</v>
      </c>
    </row>
    <row r="2167" spans="1:14" ht="10.050000000000001" hidden="1" customHeight="1">
      <c r="A2167" s="52" t="s">
        <v>171</v>
      </c>
      <c r="B2167" s="53">
        <v>2013</v>
      </c>
      <c r="C2167" s="52" t="s">
        <v>118</v>
      </c>
      <c r="D2167" s="54">
        <v>8</v>
      </c>
      <c r="E2167" s="55">
        <v>11559892.4</v>
      </c>
      <c r="F2167" s="55">
        <v>224450.9</v>
      </c>
      <c r="G2167" s="55">
        <v>11784343.300000001</v>
      </c>
      <c r="H2167" s="55">
        <v>12810089.300000001</v>
      </c>
      <c r="I2167" s="55">
        <v>313951.3</v>
      </c>
      <c r="J2167" s="55">
        <v>13124040.6</v>
      </c>
      <c r="K2167" s="55">
        <v>6822515.7000000002</v>
      </c>
      <c r="L2167" s="55">
        <v>6310907.2999999998</v>
      </c>
      <c r="M2167" s="55">
        <v>1138322.8</v>
      </c>
      <c r="N2167" s="55">
        <v>37276.800000000003</v>
      </c>
    </row>
    <row r="2168" spans="1:14" ht="10.050000000000001" hidden="1" customHeight="1">
      <c r="A2168" s="52" t="s">
        <v>300</v>
      </c>
      <c r="B2168" s="53">
        <v>2013</v>
      </c>
      <c r="C2168" s="52" t="s">
        <v>118</v>
      </c>
      <c r="D2168" s="54">
        <v>8</v>
      </c>
      <c r="E2168" s="55">
        <v>1377.9</v>
      </c>
      <c r="F2168" s="55">
        <v>49</v>
      </c>
      <c r="G2168" s="55">
        <v>1426.9</v>
      </c>
      <c r="H2168" s="55">
        <v>3257.1</v>
      </c>
      <c r="I2168" s="55">
        <v>60.3</v>
      </c>
      <c r="J2168" s="55">
        <v>3317.4</v>
      </c>
      <c r="K2168" s="55">
        <v>0</v>
      </c>
      <c r="L2168" s="55">
        <v>20.8</v>
      </c>
      <c r="M2168" s="55">
        <v>0</v>
      </c>
      <c r="N2168" s="55">
        <v>21.3</v>
      </c>
    </row>
    <row r="2169" spans="1:14" ht="10.050000000000001" hidden="1" customHeight="1">
      <c r="A2169" s="52" t="s">
        <v>307</v>
      </c>
      <c r="B2169" s="53">
        <v>2013</v>
      </c>
      <c r="C2169" s="52" t="s">
        <v>118</v>
      </c>
      <c r="D2169" s="54">
        <v>8</v>
      </c>
      <c r="E2169" s="55">
        <v>168951.8</v>
      </c>
      <c r="F2169" s="55">
        <v>0</v>
      </c>
      <c r="G2169" s="55">
        <v>168951.8</v>
      </c>
      <c r="H2169" s="55">
        <v>804650.7</v>
      </c>
      <c r="I2169" s="55">
        <v>41266.6</v>
      </c>
      <c r="J2169" s="55">
        <v>845917.30000000098</v>
      </c>
      <c r="K2169" s="55">
        <v>259528.9</v>
      </c>
      <c r="L2169" s="55">
        <v>11580.3</v>
      </c>
      <c r="M2169" s="55">
        <v>87907.1</v>
      </c>
      <c r="N2169" s="55">
        <v>19757.2</v>
      </c>
    </row>
    <row r="2170" spans="1:14" ht="10.050000000000001" hidden="1" customHeight="1">
      <c r="A2170" s="52" t="s">
        <v>315</v>
      </c>
      <c r="B2170" s="53">
        <v>2013</v>
      </c>
      <c r="C2170" s="52" t="s">
        <v>118</v>
      </c>
      <c r="D2170" s="54">
        <v>8</v>
      </c>
      <c r="E2170" s="55">
        <v>35.799999999999997</v>
      </c>
      <c r="F2170" s="55">
        <v>0</v>
      </c>
      <c r="G2170" s="55">
        <v>35.799999999999997</v>
      </c>
      <c r="H2170" s="55">
        <v>2310.6</v>
      </c>
      <c r="I2170" s="55">
        <v>32.700000000000003</v>
      </c>
      <c r="J2170" s="55">
        <v>2343.3000000000002</v>
      </c>
      <c r="K2170" s="55">
        <v>592.4</v>
      </c>
      <c r="L2170" s="55">
        <v>51</v>
      </c>
      <c r="M2170" s="55">
        <v>0</v>
      </c>
      <c r="N2170" s="55">
        <v>2</v>
      </c>
    </row>
    <row r="2171" spans="1:14" ht="10.050000000000001" hidden="1" customHeight="1">
      <c r="A2171" s="52" t="s">
        <v>311</v>
      </c>
      <c r="B2171" s="53">
        <v>2013</v>
      </c>
      <c r="C2171" s="52" t="s">
        <v>118</v>
      </c>
      <c r="D2171" s="54">
        <v>8</v>
      </c>
      <c r="E2171" s="55">
        <v>0</v>
      </c>
      <c r="F2171" s="55">
        <v>0</v>
      </c>
      <c r="G2171" s="55">
        <v>0</v>
      </c>
      <c r="H2171" s="55">
        <v>0</v>
      </c>
      <c r="I2171" s="55">
        <v>0</v>
      </c>
      <c r="J2171" s="55">
        <v>0</v>
      </c>
      <c r="K2171" s="55">
        <v>42.8</v>
      </c>
      <c r="L2171" s="55">
        <v>18.7</v>
      </c>
      <c r="M2171" s="55">
        <v>0</v>
      </c>
      <c r="N2171" s="55">
        <v>18.600000000000001</v>
      </c>
    </row>
    <row r="2172" spans="1:14" ht="10.050000000000001" hidden="1" customHeight="1">
      <c r="A2172" s="52" t="s">
        <v>173</v>
      </c>
      <c r="B2172" s="53">
        <v>2013</v>
      </c>
      <c r="C2172" s="52" t="s">
        <v>118</v>
      </c>
      <c r="D2172" s="54">
        <v>8</v>
      </c>
      <c r="E2172" s="55">
        <v>1914786.9</v>
      </c>
      <c r="F2172" s="55">
        <v>24538.799999999999</v>
      </c>
      <c r="G2172" s="55">
        <v>1939325.7</v>
      </c>
      <c r="H2172" s="55">
        <v>4695284.5</v>
      </c>
      <c r="I2172" s="55">
        <v>115654.7</v>
      </c>
      <c r="J2172" s="55">
        <v>4810939.2</v>
      </c>
      <c r="K2172" s="55">
        <v>1408129.2</v>
      </c>
      <c r="L2172" s="55">
        <v>486336.2</v>
      </c>
      <c r="M2172" s="55">
        <v>333204.59999999998</v>
      </c>
      <c r="N2172" s="55">
        <v>14789.5</v>
      </c>
    </row>
    <row r="2173" spans="1:14" ht="10.050000000000001" customHeight="1">
      <c r="A2173" s="52" t="s">
        <v>309</v>
      </c>
      <c r="B2173" s="53">
        <v>2013</v>
      </c>
      <c r="C2173" s="52" t="s">
        <v>118</v>
      </c>
      <c r="D2173" s="54">
        <v>8</v>
      </c>
      <c r="E2173" s="55">
        <v>969.4</v>
      </c>
      <c r="F2173" s="55">
        <v>0</v>
      </c>
      <c r="G2173" s="55">
        <v>969.4</v>
      </c>
      <c r="H2173" s="55">
        <v>52674.3</v>
      </c>
      <c r="I2173" s="55">
        <v>0</v>
      </c>
      <c r="J2173" s="55">
        <v>52674.3</v>
      </c>
      <c r="K2173" s="55">
        <v>1466.9</v>
      </c>
      <c r="L2173" s="55">
        <v>0</v>
      </c>
      <c r="M2173" s="55">
        <v>667.9</v>
      </c>
      <c r="N2173" s="55">
        <v>0</v>
      </c>
    </row>
    <row r="2174" spans="1:14" ht="10.050000000000001" hidden="1" customHeight="1">
      <c r="A2174" s="52" t="s">
        <v>316</v>
      </c>
      <c r="B2174" s="53">
        <v>2013</v>
      </c>
      <c r="C2174" s="52" t="s">
        <v>118</v>
      </c>
      <c r="D2174" s="54">
        <v>8</v>
      </c>
      <c r="E2174" s="55">
        <v>32.1</v>
      </c>
      <c r="F2174" s="55">
        <v>0</v>
      </c>
      <c r="G2174" s="55">
        <v>32.1</v>
      </c>
      <c r="H2174" s="55">
        <v>1654.7</v>
      </c>
      <c r="I2174" s="55">
        <v>18.899999999999999</v>
      </c>
      <c r="J2174" s="55">
        <v>1673.6</v>
      </c>
      <c r="K2174" s="55">
        <v>35.700000000000003</v>
      </c>
      <c r="L2174" s="55">
        <v>0</v>
      </c>
      <c r="M2174" s="55">
        <v>0</v>
      </c>
      <c r="N2174" s="55">
        <v>0</v>
      </c>
    </row>
    <row r="2175" spans="1:14" ht="10.050000000000001" hidden="1" customHeight="1">
      <c r="A2175" s="52" t="s">
        <v>310</v>
      </c>
      <c r="B2175" s="53">
        <v>2013</v>
      </c>
      <c r="C2175" s="52" t="s">
        <v>118</v>
      </c>
      <c r="D2175" s="54">
        <v>8</v>
      </c>
      <c r="E2175" s="55">
        <v>24255.5</v>
      </c>
      <c r="F2175" s="55">
        <v>761.8</v>
      </c>
      <c r="G2175" s="55">
        <v>25017.3</v>
      </c>
      <c r="H2175" s="55">
        <v>44987.9</v>
      </c>
      <c r="I2175" s="55">
        <v>888.1</v>
      </c>
      <c r="J2175" s="55">
        <v>45876</v>
      </c>
      <c r="K2175" s="55">
        <v>13515.1</v>
      </c>
      <c r="L2175" s="55">
        <v>13475.2</v>
      </c>
      <c r="M2175" s="55">
        <v>1747.5</v>
      </c>
      <c r="N2175" s="55">
        <v>28.5</v>
      </c>
    </row>
    <row r="2176" spans="1:14" ht="10.050000000000001" hidden="1" customHeight="1">
      <c r="A2176" s="52" t="s">
        <v>308</v>
      </c>
      <c r="B2176" s="53">
        <v>2013</v>
      </c>
      <c r="C2176" s="52" t="s">
        <v>118</v>
      </c>
      <c r="D2176" s="54">
        <v>8</v>
      </c>
      <c r="E2176" s="55">
        <v>272.89999999999998</v>
      </c>
      <c r="F2176" s="55">
        <v>0</v>
      </c>
      <c r="G2176" s="55">
        <v>272.89999999999998</v>
      </c>
      <c r="H2176" s="55">
        <v>8668.1</v>
      </c>
      <c r="I2176" s="55">
        <v>241.9</v>
      </c>
      <c r="J2176" s="55">
        <v>8910</v>
      </c>
      <c r="K2176" s="55">
        <v>506.8</v>
      </c>
      <c r="L2176" s="55">
        <v>59.1</v>
      </c>
      <c r="M2176" s="55">
        <v>35.200000000000003</v>
      </c>
      <c r="N2176" s="55">
        <v>59.4</v>
      </c>
    </row>
    <row r="2177" spans="1:14" ht="10.050000000000001" hidden="1" customHeight="1">
      <c r="A2177" s="52" t="s">
        <v>174</v>
      </c>
      <c r="B2177" s="53">
        <v>2013</v>
      </c>
      <c r="C2177" s="52" t="s">
        <v>118</v>
      </c>
      <c r="D2177" s="54">
        <v>8</v>
      </c>
      <c r="E2177" s="55">
        <v>455325.7</v>
      </c>
      <c r="F2177" s="55">
        <v>16430.5</v>
      </c>
      <c r="G2177" s="55">
        <v>471756.2</v>
      </c>
      <c r="H2177" s="55">
        <v>475700.4</v>
      </c>
      <c r="I2177" s="55">
        <v>29408.3</v>
      </c>
      <c r="J2177" s="55">
        <v>505108.7</v>
      </c>
      <c r="K2177" s="55">
        <v>153210.1</v>
      </c>
      <c r="L2177" s="55">
        <v>147223</v>
      </c>
      <c r="M2177" s="55">
        <v>23180.3</v>
      </c>
      <c r="N2177" s="55">
        <v>13342.2</v>
      </c>
    </row>
    <row r="2178" spans="1:14" ht="10.050000000000001" hidden="1" customHeight="1">
      <c r="A2178" s="52" t="s">
        <v>314</v>
      </c>
      <c r="B2178" s="53">
        <v>2013</v>
      </c>
      <c r="C2178" s="52" t="s">
        <v>118</v>
      </c>
      <c r="D2178" s="54">
        <v>9</v>
      </c>
      <c r="E2178" s="55">
        <v>13.6</v>
      </c>
      <c r="F2178" s="55">
        <v>0</v>
      </c>
      <c r="G2178" s="55">
        <v>13.6</v>
      </c>
      <c r="H2178" s="55">
        <v>13.6</v>
      </c>
      <c r="I2178" s="55">
        <v>0</v>
      </c>
      <c r="J2178" s="55">
        <v>13.6</v>
      </c>
      <c r="K2178" s="55">
        <v>0</v>
      </c>
      <c r="L2178" s="55">
        <v>0</v>
      </c>
      <c r="M2178" s="55">
        <v>0</v>
      </c>
      <c r="N2178" s="55">
        <v>0</v>
      </c>
    </row>
    <row r="2179" spans="1:14" ht="10.050000000000001" hidden="1" customHeight="1">
      <c r="A2179" s="52" t="s">
        <v>306</v>
      </c>
      <c r="B2179" s="53">
        <v>2013</v>
      </c>
      <c r="C2179" s="52" t="s">
        <v>118</v>
      </c>
      <c r="D2179" s="54">
        <v>9</v>
      </c>
      <c r="E2179" s="55">
        <v>19108.3</v>
      </c>
      <c r="F2179" s="55">
        <v>1830.5</v>
      </c>
      <c r="G2179" s="55">
        <v>20938.8</v>
      </c>
      <c r="H2179" s="55">
        <v>193083.8</v>
      </c>
      <c r="I2179" s="55">
        <v>6726.6</v>
      </c>
      <c r="J2179" s="55">
        <v>199810.4</v>
      </c>
      <c r="K2179" s="55">
        <v>35540.300000000003</v>
      </c>
      <c r="L2179" s="55">
        <v>3962.2</v>
      </c>
      <c r="M2179" s="55">
        <v>10475.200000000001</v>
      </c>
      <c r="N2179" s="55">
        <v>817.3</v>
      </c>
    </row>
    <row r="2180" spans="1:14" ht="10.050000000000001" hidden="1" customHeight="1">
      <c r="A2180" s="52" t="s">
        <v>172</v>
      </c>
      <c r="B2180" s="53">
        <v>2013</v>
      </c>
      <c r="C2180" s="52" t="s">
        <v>118</v>
      </c>
      <c r="D2180" s="54">
        <v>9</v>
      </c>
      <c r="E2180" s="55">
        <v>100823.1</v>
      </c>
      <c r="F2180" s="55">
        <v>6283.4</v>
      </c>
      <c r="G2180" s="55">
        <v>107106.5</v>
      </c>
      <c r="H2180" s="55">
        <v>757420.3</v>
      </c>
      <c r="I2180" s="55">
        <v>23832.9</v>
      </c>
      <c r="J2180" s="55">
        <v>781253.2</v>
      </c>
      <c r="K2180" s="55">
        <v>263118.5</v>
      </c>
      <c r="L2180" s="55">
        <v>13977.3</v>
      </c>
      <c r="M2180" s="55">
        <v>62074.3</v>
      </c>
      <c r="N2180" s="55">
        <v>3576.5</v>
      </c>
    </row>
    <row r="2181" spans="1:14" ht="10.050000000000001" hidden="1" customHeight="1">
      <c r="A2181" s="52" t="s">
        <v>171</v>
      </c>
      <c r="B2181" s="53">
        <v>2013</v>
      </c>
      <c r="C2181" s="52" t="s">
        <v>118</v>
      </c>
      <c r="D2181" s="54">
        <v>9</v>
      </c>
      <c r="E2181" s="55">
        <v>2282860</v>
      </c>
      <c r="F2181" s="55">
        <v>169971.6</v>
      </c>
      <c r="G2181" s="55">
        <v>2452831.6</v>
      </c>
      <c r="H2181" s="55">
        <v>12409041.1</v>
      </c>
      <c r="I2181" s="55">
        <v>309879.2</v>
      </c>
      <c r="J2181" s="55">
        <v>12718920.300000001</v>
      </c>
      <c r="K2181" s="55">
        <v>5607223.9000000004</v>
      </c>
      <c r="L2181" s="55">
        <v>364218.5</v>
      </c>
      <c r="M2181" s="55">
        <v>1524666.9</v>
      </c>
      <c r="N2181" s="55">
        <v>55859.9</v>
      </c>
    </row>
    <row r="2182" spans="1:14" ht="10.050000000000001" hidden="1" customHeight="1">
      <c r="A2182" s="52" t="s">
        <v>300</v>
      </c>
      <c r="B2182" s="53">
        <v>2013</v>
      </c>
      <c r="C2182" s="52" t="s">
        <v>118</v>
      </c>
      <c r="D2182" s="54">
        <v>9</v>
      </c>
      <c r="E2182" s="55">
        <v>719.5</v>
      </c>
      <c r="F2182" s="55">
        <v>155</v>
      </c>
      <c r="G2182" s="55">
        <v>874.5</v>
      </c>
      <c r="H2182" s="55">
        <v>3497</v>
      </c>
      <c r="I2182" s="55">
        <v>208.3</v>
      </c>
      <c r="J2182" s="55">
        <v>3705.3</v>
      </c>
      <c r="K2182" s="55">
        <v>5.7</v>
      </c>
      <c r="L2182" s="55">
        <v>5.7</v>
      </c>
      <c r="M2182" s="55">
        <v>0</v>
      </c>
      <c r="N2182" s="55">
        <v>0</v>
      </c>
    </row>
    <row r="2183" spans="1:14" ht="10.050000000000001" hidden="1" customHeight="1">
      <c r="A2183" s="52" t="s">
        <v>307</v>
      </c>
      <c r="B2183" s="53">
        <v>2013</v>
      </c>
      <c r="C2183" s="52" t="s">
        <v>118</v>
      </c>
      <c r="D2183" s="54">
        <v>9</v>
      </c>
      <c r="E2183" s="55">
        <v>239243.4</v>
      </c>
      <c r="F2183" s="55">
        <v>13535.4</v>
      </c>
      <c r="G2183" s="55">
        <v>252778.8</v>
      </c>
      <c r="H2183" s="55">
        <v>353831.3</v>
      </c>
      <c r="I2183" s="55">
        <v>49589.7</v>
      </c>
      <c r="J2183" s="55">
        <v>403421</v>
      </c>
      <c r="K2183" s="55">
        <v>196406.8</v>
      </c>
      <c r="L2183" s="55">
        <v>24891.599999999999</v>
      </c>
      <c r="M2183" s="55">
        <v>62721.1</v>
      </c>
      <c r="N2183" s="55">
        <v>23756.799999999999</v>
      </c>
    </row>
    <row r="2184" spans="1:14" ht="10.050000000000001" hidden="1" customHeight="1">
      <c r="A2184" s="52" t="s">
        <v>315</v>
      </c>
      <c r="B2184" s="53">
        <v>2013</v>
      </c>
      <c r="C2184" s="52" t="s">
        <v>118</v>
      </c>
      <c r="D2184" s="54">
        <v>9</v>
      </c>
      <c r="E2184" s="55">
        <v>4564.1000000000004</v>
      </c>
      <c r="F2184" s="55">
        <v>0</v>
      </c>
      <c r="G2184" s="55">
        <v>4564.1000000000004</v>
      </c>
      <c r="H2184" s="55">
        <v>5995.5</v>
      </c>
      <c r="I2184" s="55">
        <v>32.700000000000003</v>
      </c>
      <c r="J2184" s="55">
        <v>6028.2</v>
      </c>
      <c r="K2184" s="55">
        <v>3641.3</v>
      </c>
      <c r="L2184" s="55">
        <v>4432.7</v>
      </c>
      <c r="M2184" s="55">
        <v>1383.8</v>
      </c>
      <c r="N2184" s="55">
        <v>0</v>
      </c>
    </row>
    <row r="2185" spans="1:14" ht="10.050000000000001" hidden="1" customHeight="1">
      <c r="A2185" s="52" t="s">
        <v>311</v>
      </c>
      <c r="B2185" s="53">
        <v>2013</v>
      </c>
      <c r="C2185" s="52" t="s">
        <v>118</v>
      </c>
      <c r="D2185" s="54">
        <v>9</v>
      </c>
      <c r="E2185" s="55">
        <v>0</v>
      </c>
      <c r="F2185" s="55">
        <v>0</v>
      </c>
      <c r="G2185" s="55">
        <v>0</v>
      </c>
      <c r="H2185" s="55">
        <v>0</v>
      </c>
      <c r="I2185" s="55">
        <v>0</v>
      </c>
      <c r="J2185" s="55">
        <v>0</v>
      </c>
      <c r="K2185" s="55">
        <v>41.9</v>
      </c>
      <c r="L2185" s="55">
        <v>0</v>
      </c>
      <c r="M2185" s="55">
        <v>0</v>
      </c>
      <c r="N2185" s="55">
        <v>0.9</v>
      </c>
    </row>
    <row r="2186" spans="1:14" ht="10.050000000000001" hidden="1" customHeight="1">
      <c r="A2186" s="52" t="s">
        <v>173</v>
      </c>
      <c r="B2186" s="53">
        <v>2013</v>
      </c>
      <c r="C2186" s="52" t="s">
        <v>118</v>
      </c>
      <c r="D2186" s="54">
        <v>9</v>
      </c>
      <c r="E2186" s="55">
        <v>411836.6</v>
      </c>
      <c r="F2186" s="55">
        <v>9887.4</v>
      </c>
      <c r="G2186" s="55">
        <v>421724</v>
      </c>
      <c r="H2186" s="55">
        <v>4259884.3</v>
      </c>
      <c r="I2186" s="55">
        <v>101314.7</v>
      </c>
      <c r="J2186" s="55">
        <v>4361199</v>
      </c>
      <c r="K2186" s="55">
        <v>1144310</v>
      </c>
      <c r="L2186" s="55">
        <v>37777</v>
      </c>
      <c r="M2186" s="55">
        <v>282830.09999999998</v>
      </c>
      <c r="N2186" s="55">
        <v>18977.2</v>
      </c>
    </row>
    <row r="2187" spans="1:14" ht="10.050000000000001" customHeight="1">
      <c r="A2187" s="52" t="s">
        <v>309</v>
      </c>
      <c r="B2187" s="53">
        <v>2013</v>
      </c>
      <c r="C2187" s="52" t="s">
        <v>118</v>
      </c>
      <c r="D2187" s="54">
        <v>9</v>
      </c>
      <c r="E2187" s="55">
        <v>1170.0999999999999</v>
      </c>
      <c r="F2187" s="55">
        <v>0</v>
      </c>
      <c r="G2187" s="55">
        <v>1170.0999999999999</v>
      </c>
      <c r="H2187" s="55">
        <v>42849.2</v>
      </c>
      <c r="I2187" s="55">
        <v>0</v>
      </c>
      <c r="J2187" s="55">
        <v>42849.2</v>
      </c>
      <c r="K2187" s="55">
        <v>1676.4</v>
      </c>
      <c r="L2187" s="55">
        <v>209.5</v>
      </c>
      <c r="M2187" s="55">
        <v>0</v>
      </c>
      <c r="N2187" s="55">
        <v>0</v>
      </c>
    </row>
    <row r="2188" spans="1:14" ht="10.050000000000001" hidden="1" customHeight="1">
      <c r="A2188" s="52" t="s">
        <v>316</v>
      </c>
      <c r="B2188" s="53">
        <v>2013</v>
      </c>
      <c r="C2188" s="52" t="s">
        <v>118</v>
      </c>
      <c r="D2188" s="54">
        <v>9</v>
      </c>
      <c r="E2188" s="55">
        <v>857.9</v>
      </c>
      <c r="F2188" s="55">
        <v>31.6</v>
      </c>
      <c r="G2188" s="55">
        <v>889.5</v>
      </c>
      <c r="H2188" s="55">
        <v>1983.8</v>
      </c>
      <c r="I2188" s="55">
        <v>50.5</v>
      </c>
      <c r="J2188" s="55">
        <v>2034.3</v>
      </c>
      <c r="K2188" s="55">
        <v>131.5</v>
      </c>
      <c r="L2188" s="55">
        <v>99.5</v>
      </c>
      <c r="M2188" s="55">
        <v>0</v>
      </c>
      <c r="N2188" s="55">
        <v>3.7</v>
      </c>
    </row>
    <row r="2189" spans="1:14" ht="10.050000000000001" hidden="1" customHeight="1">
      <c r="A2189" s="52" t="s">
        <v>310</v>
      </c>
      <c r="B2189" s="53">
        <v>2013</v>
      </c>
      <c r="C2189" s="52" t="s">
        <v>118</v>
      </c>
      <c r="D2189" s="54">
        <v>9</v>
      </c>
      <c r="E2189" s="55">
        <v>4510.1000000000004</v>
      </c>
      <c r="F2189" s="55">
        <v>922.8</v>
      </c>
      <c r="G2189" s="55">
        <v>5432.9</v>
      </c>
      <c r="H2189" s="55">
        <v>47045</v>
      </c>
      <c r="I2189" s="55">
        <v>1294.4000000000001</v>
      </c>
      <c r="J2189" s="55">
        <v>48339.4</v>
      </c>
      <c r="K2189" s="55">
        <v>11566.1</v>
      </c>
      <c r="L2189" s="55">
        <v>561.9</v>
      </c>
      <c r="M2189" s="55">
        <v>2285.9</v>
      </c>
      <c r="N2189" s="55">
        <v>225.2</v>
      </c>
    </row>
    <row r="2190" spans="1:14" ht="10.050000000000001" hidden="1" customHeight="1">
      <c r="A2190" s="52" t="s">
        <v>308</v>
      </c>
      <c r="B2190" s="53">
        <v>2013</v>
      </c>
      <c r="C2190" s="52" t="s">
        <v>118</v>
      </c>
      <c r="D2190" s="54">
        <v>9</v>
      </c>
      <c r="E2190" s="55">
        <v>1255.2</v>
      </c>
      <c r="F2190" s="55">
        <v>382.6</v>
      </c>
      <c r="G2190" s="55">
        <v>1637.8</v>
      </c>
      <c r="H2190" s="55">
        <v>5802.3</v>
      </c>
      <c r="I2190" s="55">
        <v>672.5</v>
      </c>
      <c r="J2190" s="55">
        <v>6474.8</v>
      </c>
      <c r="K2190" s="55">
        <v>1047.0999999999999</v>
      </c>
      <c r="L2190" s="55">
        <v>610.70000000000005</v>
      </c>
      <c r="M2190" s="55">
        <v>69.900000000000006</v>
      </c>
      <c r="N2190" s="55">
        <v>0.5</v>
      </c>
    </row>
    <row r="2191" spans="1:14" ht="10.050000000000001" hidden="1" customHeight="1">
      <c r="A2191" s="52" t="s">
        <v>174</v>
      </c>
      <c r="B2191" s="53">
        <v>2013</v>
      </c>
      <c r="C2191" s="52" t="s">
        <v>118</v>
      </c>
      <c r="D2191" s="54">
        <v>9</v>
      </c>
      <c r="E2191" s="55">
        <v>39713.199999999997</v>
      </c>
      <c r="F2191" s="55">
        <v>14706.8</v>
      </c>
      <c r="G2191" s="55">
        <v>54420</v>
      </c>
      <c r="H2191" s="55">
        <v>439657.7</v>
      </c>
      <c r="I2191" s="55">
        <v>28828.3</v>
      </c>
      <c r="J2191" s="55">
        <v>468486</v>
      </c>
      <c r="K2191" s="55">
        <v>135608.29999999999</v>
      </c>
      <c r="L2191" s="55">
        <v>8509.7000000000007</v>
      </c>
      <c r="M2191" s="55">
        <v>16548.599999999999</v>
      </c>
      <c r="N2191" s="55">
        <v>9631.2000000000007</v>
      </c>
    </row>
    <row r="2192" spans="1:14" ht="10.050000000000001" hidden="1" customHeight="1">
      <c r="A2192" s="52" t="s">
        <v>314</v>
      </c>
      <c r="B2192" s="53">
        <v>2013</v>
      </c>
      <c r="C2192" s="52" t="s">
        <v>118</v>
      </c>
      <c r="D2192" s="54">
        <v>10</v>
      </c>
      <c r="E2192" s="55">
        <v>0</v>
      </c>
      <c r="F2192" s="55">
        <v>0</v>
      </c>
      <c r="G2192" s="55">
        <v>0</v>
      </c>
      <c r="H2192" s="55">
        <v>13.6</v>
      </c>
      <c r="I2192" s="55">
        <v>0</v>
      </c>
      <c r="J2192" s="55">
        <v>13.6</v>
      </c>
      <c r="K2192" s="55">
        <v>0</v>
      </c>
      <c r="L2192" s="55">
        <v>0</v>
      </c>
      <c r="M2192" s="55">
        <v>0</v>
      </c>
      <c r="N2192" s="55">
        <v>0</v>
      </c>
    </row>
    <row r="2193" spans="1:14" ht="10.050000000000001" hidden="1" customHeight="1">
      <c r="A2193" s="52" t="s">
        <v>306</v>
      </c>
      <c r="B2193" s="53">
        <v>2013</v>
      </c>
      <c r="C2193" s="52" t="s">
        <v>118</v>
      </c>
      <c r="D2193" s="54">
        <v>10</v>
      </c>
      <c r="E2193" s="55">
        <v>8913.6</v>
      </c>
      <c r="F2193" s="55">
        <v>2709.8</v>
      </c>
      <c r="G2193" s="55">
        <v>11623.4</v>
      </c>
      <c r="H2193" s="55">
        <v>181705.4</v>
      </c>
      <c r="I2193" s="55">
        <v>8346.2000000000007</v>
      </c>
      <c r="J2193" s="55">
        <v>190051.6</v>
      </c>
      <c r="K2193" s="55">
        <v>30387.599999999999</v>
      </c>
      <c r="L2193" s="55">
        <v>810.5</v>
      </c>
      <c r="M2193" s="55">
        <v>5409.7</v>
      </c>
      <c r="N2193" s="55">
        <v>554.4</v>
      </c>
    </row>
    <row r="2194" spans="1:14" ht="10.050000000000001" hidden="1" customHeight="1">
      <c r="A2194" s="52" t="s">
        <v>172</v>
      </c>
      <c r="B2194" s="53">
        <v>2013</v>
      </c>
      <c r="C2194" s="52" t="s">
        <v>118</v>
      </c>
      <c r="D2194" s="54">
        <v>10</v>
      </c>
      <c r="E2194" s="55">
        <v>62100.6</v>
      </c>
      <c r="F2194" s="55">
        <v>9926.2000000000007</v>
      </c>
      <c r="G2194" s="55">
        <v>72026.8</v>
      </c>
      <c r="H2194" s="55">
        <v>654431.6</v>
      </c>
      <c r="I2194" s="55">
        <v>20454.599999999999</v>
      </c>
      <c r="J2194" s="55">
        <v>674886.2</v>
      </c>
      <c r="K2194" s="55">
        <v>238893.4</v>
      </c>
      <c r="L2194" s="55">
        <v>9276.1</v>
      </c>
      <c r="M2194" s="55">
        <v>27774.799999999999</v>
      </c>
      <c r="N2194" s="55">
        <v>5726.3</v>
      </c>
    </row>
    <row r="2195" spans="1:14" ht="10.050000000000001" hidden="1" customHeight="1">
      <c r="A2195" s="52" t="s">
        <v>171</v>
      </c>
      <c r="B2195" s="53">
        <v>2013</v>
      </c>
      <c r="C2195" s="52" t="s">
        <v>118</v>
      </c>
      <c r="D2195" s="54">
        <v>10</v>
      </c>
      <c r="E2195" s="55">
        <v>1551325.4</v>
      </c>
      <c r="F2195" s="55">
        <v>51363</v>
      </c>
      <c r="G2195" s="55">
        <v>1602688.4</v>
      </c>
      <c r="H2195" s="55">
        <v>11107994.699999999</v>
      </c>
      <c r="I2195" s="55">
        <v>271288.90000000002</v>
      </c>
      <c r="J2195" s="55">
        <v>11379283.6</v>
      </c>
      <c r="K2195" s="55">
        <v>4828360.8</v>
      </c>
      <c r="L2195" s="55">
        <v>240403.1</v>
      </c>
      <c r="M2195" s="55">
        <v>981970.1</v>
      </c>
      <c r="N2195" s="55">
        <v>37144.1</v>
      </c>
    </row>
    <row r="2196" spans="1:14" ht="10.050000000000001" hidden="1" customHeight="1">
      <c r="A2196" s="52" t="s">
        <v>300</v>
      </c>
      <c r="B2196" s="53">
        <v>2013</v>
      </c>
      <c r="C2196" s="52" t="s">
        <v>118</v>
      </c>
      <c r="D2196" s="54">
        <v>10</v>
      </c>
      <c r="E2196" s="55">
        <v>431.3</v>
      </c>
      <c r="F2196" s="55">
        <v>21.3</v>
      </c>
      <c r="G2196" s="55">
        <v>452.6</v>
      </c>
      <c r="H2196" s="55">
        <v>4069.5</v>
      </c>
      <c r="I2196" s="55">
        <v>171.6</v>
      </c>
      <c r="J2196" s="55">
        <v>4241.1000000000004</v>
      </c>
      <c r="K2196" s="55">
        <v>0</v>
      </c>
      <c r="L2196" s="55">
        <v>0</v>
      </c>
      <c r="M2196" s="55">
        <v>5.7</v>
      </c>
      <c r="N2196" s="55">
        <v>0</v>
      </c>
    </row>
    <row r="2197" spans="1:14" ht="10.050000000000001" hidden="1" customHeight="1">
      <c r="A2197" s="52" t="s">
        <v>307</v>
      </c>
      <c r="B2197" s="53">
        <v>2013</v>
      </c>
      <c r="C2197" s="52" t="s">
        <v>118</v>
      </c>
      <c r="D2197" s="54">
        <v>10</v>
      </c>
      <c r="E2197" s="55">
        <v>2852798.3</v>
      </c>
      <c r="F2197" s="55">
        <v>67440.5</v>
      </c>
      <c r="G2197" s="55">
        <v>2920238.8</v>
      </c>
      <c r="H2197" s="55">
        <v>2196627.2999999998</v>
      </c>
      <c r="I2197" s="55">
        <v>94009.4</v>
      </c>
      <c r="J2197" s="55">
        <v>2290636.7000000002</v>
      </c>
      <c r="K2197" s="55">
        <v>1548264.5</v>
      </c>
      <c r="L2197" s="55">
        <v>1500085.8</v>
      </c>
      <c r="M2197" s="55">
        <v>100143.1</v>
      </c>
      <c r="N2197" s="55">
        <v>49353.599999999999</v>
      </c>
    </row>
    <row r="2198" spans="1:14" ht="10.050000000000001" hidden="1" customHeight="1">
      <c r="A2198" s="52" t="s">
        <v>315</v>
      </c>
      <c r="B2198" s="53">
        <v>2013</v>
      </c>
      <c r="C2198" s="52" t="s">
        <v>118</v>
      </c>
      <c r="D2198" s="54">
        <v>10</v>
      </c>
      <c r="E2198" s="55">
        <v>14125</v>
      </c>
      <c r="F2198" s="55">
        <v>0</v>
      </c>
      <c r="G2198" s="55">
        <v>14125</v>
      </c>
      <c r="H2198" s="55">
        <v>21210.799999999999</v>
      </c>
      <c r="I2198" s="55">
        <v>32.700000000000003</v>
      </c>
      <c r="J2198" s="55">
        <v>21243.5</v>
      </c>
      <c r="K2198" s="55">
        <v>7392</v>
      </c>
      <c r="L2198" s="55">
        <v>8644.7999999999993</v>
      </c>
      <c r="M2198" s="55">
        <v>5055.5</v>
      </c>
      <c r="N2198" s="55">
        <v>1.7</v>
      </c>
    </row>
    <row r="2199" spans="1:14" ht="10.050000000000001" hidden="1" customHeight="1">
      <c r="A2199" s="52" t="s">
        <v>311</v>
      </c>
      <c r="B2199" s="53">
        <v>2013</v>
      </c>
      <c r="C2199" s="52" t="s">
        <v>118</v>
      </c>
      <c r="D2199" s="54">
        <v>10</v>
      </c>
      <c r="E2199" s="55">
        <v>0</v>
      </c>
      <c r="F2199" s="55">
        <v>0</v>
      </c>
      <c r="G2199" s="55">
        <v>0</v>
      </c>
      <c r="H2199" s="55">
        <v>0</v>
      </c>
      <c r="I2199" s="55">
        <v>0</v>
      </c>
      <c r="J2199" s="55">
        <v>0</v>
      </c>
      <c r="K2199" s="55">
        <v>38.9</v>
      </c>
      <c r="L2199" s="55">
        <v>0</v>
      </c>
      <c r="M2199" s="55">
        <v>0</v>
      </c>
      <c r="N2199" s="55">
        <v>3</v>
      </c>
    </row>
    <row r="2200" spans="1:14" ht="10.050000000000001" hidden="1" customHeight="1">
      <c r="A2200" s="52" t="s">
        <v>173</v>
      </c>
      <c r="B2200" s="53">
        <v>2013</v>
      </c>
      <c r="C2200" s="52" t="s">
        <v>118</v>
      </c>
      <c r="D2200" s="54">
        <v>10</v>
      </c>
      <c r="E2200" s="55">
        <v>253821</v>
      </c>
      <c r="F2200" s="55">
        <v>16732.599999999999</v>
      </c>
      <c r="G2200" s="55">
        <v>270553.59999999998</v>
      </c>
      <c r="H2200" s="55">
        <v>3764671.2</v>
      </c>
      <c r="I2200" s="55">
        <v>101372.7</v>
      </c>
      <c r="J2200" s="55">
        <v>3866043.9</v>
      </c>
      <c r="K2200" s="55">
        <v>985042.1</v>
      </c>
      <c r="L2200" s="55">
        <v>29195.200000000001</v>
      </c>
      <c r="M2200" s="55">
        <v>165678.1</v>
      </c>
      <c r="N2200" s="55">
        <v>22675.5</v>
      </c>
    </row>
    <row r="2201" spans="1:14" ht="10.050000000000001" customHeight="1">
      <c r="A2201" s="52" t="s">
        <v>309</v>
      </c>
      <c r="B2201" s="53">
        <v>2013</v>
      </c>
      <c r="C2201" s="52" t="s">
        <v>118</v>
      </c>
      <c r="D2201" s="54">
        <v>10</v>
      </c>
      <c r="E2201" s="55">
        <v>44075.5</v>
      </c>
      <c r="F2201" s="55">
        <v>983.9</v>
      </c>
      <c r="G2201" s="55">
        <v>45059.4</v>
      </c>
      <c r="H2201" s="55">
        <v>76477.600000000006</v>
      </c>
      <c r="I2201" s="55">
        <v>0</v>
      </c>
      <c r="J2201" s="55">
        <v>76477.600000000006</v>
      </c>
      <c r="K2201" s="55">
        <v>20999</v>
      </c>
      <c r="L2201" s="55">
        <v>19709.5</v>
      </c>
      <c r="M2201" s="55">
        <v>386.8</v>
      </c>
      <c r="N2201" s="55">
        <v>0</v>
      </c>
    </row>
    <row r="2202" spans="1:14" ht="10.050000000000001" hidden="1" customHeight="1">
      <c r="A2202" s="52" t="s">
        <v>316</v>
      </c>
      <c r="B2202" s="53">
        <v>2013</v>
      </c>
      <c r="C2202" s="52" t="s">
        <v>118</v>
      </c>
      <c r="D2202" s="54">
        <v>10</v>
      </c>
      <c r="E2202" s="55">
        <v>2748.8</v>
      </c>
      <c r="F2202" s="55">
        <v>28.3</v>
      </c>
      <c r="G2202" s="55">
        <v>2777.1</v>
      </c>
      <c r="H2202" s="55">
        <v>3625.3</v>
      </c>
      <c r="I2202" s="55">
        <v>78.7</v>
      </c>
      <c r="J2202" s="55">
        <v>3704</v>
      </c>
      <c r="K2202" s="55">
        <v>249.2</v>
      </c>
      <c r="L2202" s="55">
        <v>181.4</v>
      </c>
      <c r="M2202" s="55">
        <v>58.6</v>
      </c>
      <c r="N2202" s="55">
        <v>5.0999999999999996</v>
      </c>
    </row>
    <row r="2203" spans="1:14" ht="10.050000000000001" hidden="1" customHeight="1">
      <c r="A2203" s="52" t="s">
        <v>310</v>
      </c>
      <c r="B2203" s="53">
        <v>2013</v>
      </c>
      <c r="C2203" s="52" t="s">
        <v>118</v>
      </c>
      <c r="D2203" s="54">
        <v>10</v>
      </c>
      <c r="E2203" s="55">
        <v>1747.1</v>
      </c>
      <c r="F2203" s="55">
        <v>74.5</v>
      </c>
      <c r="G2203" s="55">
        <v>1821.6</v>
      </c>
      <c r="H2203" s="55">
        <v>45826.2</v>
      </c>
      <c r="I2203" s="55">
        <v>1144</v>
      </c>
      <c r="J2203" s="55">
        <v>46970.2</v>
      </c>
      <c r="K2203" s="55">
        <v>10503.4</v>
      </c>
      <c r="L2203" s="55">
        <v>120.5</v>
      </c>
      <c r="M2203" s="55">
        <v>1065.5</v>
      </c>
      <c r="N2203" s="55">
        <v>117.7</v>
      </c>
    </row>
    <row r="2204" spans="1:14" ht="10.050000000000001" hidden="1" customHeight="1">
      <c r="A2204" s="52" t="s">
        <v>308</v>
      </c>
      <c r="B2204" s="53">
        <v>2013</v>
      </c>
      <c r="C2204" s="52" t="s">
        <v>118</v>
      </c>
      <c r="D2204" s="54">
        <v>10</v>
      </c>
      <c r="E2204" s="55">
        <v>40421.9</v>
      </c>
      <c r="F2204" s="55">
        <v>655.8</v>
      </c>
      <c r="G2204" s="55">
        <v>41077.699999999997</v>
      </c>
      <c r="H2204" s="55">
        <v>41112.5</v>
      </c>
      <c r="I2204" s="55">
        <v>1173.0999999999999</v>
      </c>
      <c r="J2204" s="55">
        <v>42285.599999999999</v>
      </c>
      <c r="K2204" s="55">
        <v>18846.099999999999</v>
      </c>
      <c r="L2204" s="55">
        <v>19420.900000000001</v>
      </c>
      <c r="M2204" s="55">
        <v>1581.8</v>
      </c>
      <c r="N2204" s="55">
        <v>40.200000000000003</v>
      </c>
    </row>
    <row r="2205" spans="1:14" ht="10.050000000000001" hidden="1" customHeight="1">
      <c r="A2205" s="52" t="s">
        <v>174</v>
      </c>
      <c r="B2205" s="53">
        <v>2013</v>
      </c>
      <c r="C2205" s="52" t="s">
        <v>118</v>
      </c>
      <c r="D2205" s="54">
        <v>10</v>
      </c>
      <c r="E2205" s="55">
        <v>22889.7</v>
      </c>
      <c r="F2205" s="55">
        <v>3110.5</v>
      </c>
      <c r="G2205" s="55">
        <v>26000.2</v>
      </c>
      <c r="H2205" s="55">
        <v>384034</v>
      </c>
      <c r="I2205" s="55">
        <v>25055.8</v>
      </c>
      <c r="J2205" s="55">
        <v>409089.8</v>
      </c>
      <c r="K2205" s="55">
        <v>118101.1</v>
      </c>
      <c r="L2205" s="55">
        <v>4400.5</v>
      </c>
      <c r="M2205" s="55">
        <v>12397.8</v>
      </c>
      <c r="N2205" s="55">
        <v>9447.4</v>
      </c>
    </row>
    <row r="2206" spans="1:14" ht="10.050000000000001" hidden="1" customHeight="1">
      <c r="A2206" s="52" t="s">
        <v>314</v>
      </c>
      <c r="B2206" s="53">
        <v>2013</v>
      </c>
      <c r="C2206" s="52" t="s">
        <v>118</v>
      </c>
      <c r="D2206" s="54">
        <v>11</v>
      </c>
      <c r="E2206" s="55">
        <v>0</v>
      </c>
      <c r="F2206" s="55">
        <v>0</v>
      </c>
      <c r="G2206" s="55">
        <v>0</v>
      </c>
      <c r="H2206" s="55">
        <v>13.6</v>
      </c>
      <c r="I2206" s="55">
        <v>0</v>
      </c>
      <c r="J2206" s="55">
        <v>13.6</v>
      </c>
      <c r="K2206" s="55">
        <v>0</v>
      </c>
      <c r="L2206" s="55">
        <v>0</v>
      </c>
      <c r="M2206" s="55">
        <v>0</v>
      </c>
      <c r="N2206" s="55">
        <v>0</v>
      </c>
    </row>
    <row r="2207" spans="1:14" ht="10.050000000000001" hidden="1" customHeight="1">
      <c r="A2207" s="52" t="s">
        <v>306</v>
      </c>
      <c r="B2207" s="53">
        <v>2013</v>
      </c>
      <c r="C2207" s="52" t="s">
        <v>118</v>
      </c>
      <c r="D2207" s="54">
        <v>11</v>
      </c>
      <c r="E2207" s="55">
        <v>6242</v>
      </c>
      <c r="F2207" s="55">
        <v>2509.4</v>
      </c>
      <c r="G2207" s="55">
        <v>8751.4</v>
      </c>
      <c r="H2207" s="55">
        <v>170215.8</v>
      </c>
      <c r="I2207" s="55">
        <v>8848.2999999999993</v>
      </c>
      <c r="J2207" s="55">
        <v>179064.1</v>
      </c>
      <c r="K2207" s="55">
        <v>26896.6</v>
      </c>
      <c r="L2207" s="55">
        <v>396.7</v>
      </c>
      <c r="M2207" s="55">
        <v>3388.3</v>
      </c>
      <c r="N2207" s="55">
        <v>499.2</v>
      </c>
    </row>
    <row r="2208" spans="1:14" ht="10.050000000000001" hidden="1" customHeight="1">
      <c r="A2208" s="52" t="s">
        <v>172</v>
      </c>
      <c r="B2208" s="53">
        <v>2013</v>
      </c>
      <c r="C2208" s="52" t="s">
        <v>118</v>
      </c>
      <c r="D2208" s="54">
        <v>11</v>
      </c>
      <c r="E2208" s="55">
        <v>63741.7</v>
      </c>
      <c r="F2208" s="55">
        <v>1846.7</v>
      </c>
      <c r="G2208" s="55">
        <v>65588.399999999994</v>
      </c>
      <c r="H2208" s="55">
        <v>553511.19999999995</v>
      </c>
      <c r="I2208" s="55">
        <v>18608.7</v>
      </c>
      <c r="J2208" s="55">
        <v>572119.9</v>
      </c>
      <c r="K2208" s="55">
        <v>201029.7</v>
      </c>
      <c r="L2208" s="55">
        <v>4444.3999999999996</v>
      </c>
      <c r="M2208" s="55">
        <v>34202.800000000003</v>
      </c>
      <c r="N2208" s="55">
        <v>8113.9</v>
      </c>
    </row>
    <row r="2209" spans="1:14" ht="10.050000000000001" hidden="1" customHeight="1">
      <c r="A2209" s="52" t="s">
        <v>171</v>
      </c>
      <c r="B2209" s="53">
        <v>2013</v>
      </c>
      <c r="C2209" s="52" t="s">
        <v>118</v>
      </c>
      <c r="D2209" s="54">
        <v>11</v>
      </c>
      <c r="E2209" s="55">
        <v>1812485.8</v>
      </c>
      <c r="F2209" s="55">
        <v>22583.4</v>
      </c>
      <c r="G2209" s="55">
        <v>1835069.2</v>
      </c>
      <c r="H2209" s="55">
        <v>10310393.800000001</v>
      </c>
      <c r="I2209" s="55">
        <v>248160.3</v>
      </c>
      <c r="J2209" s="55">
        <v>10558554.1</v>
      </c>
      <c r="K2209" s="55">
        <v>3955428</v>
      </c>
      <c r="L2209" s="55">
        <v>277902.40000000002</v>
      </c>
      <c r="M2209" s="55">
        <v>1116143.8999999999</v>
      </c>
      <c r="N2209" s="55">
        <v>34628.300000000003</v>
      </c>
    </row>
    <row r="2210" spans="1:14" ht="10.050000000000001" hidden="1" customHeight="1">
      <c r="A2210" s="52" t="s">
        <v>300</v>
      </c>
      <c r="B2210" s="53">
        <v>2013</v>
      </c>
      <c r="C2210" s="52" t="s">
        <v>118</v>
      </c>
      <c r="D2210" s="54">
        <v>11</v>
      </c>
      <c r="E2210" s="55">
        <v>640.9</v>
      </c>
      <c r="F2210" s="55">
        <v>0</v>
      </c>
      <c r="G2210" s="55">
        <v>640.9</v>
      </c>
      <c r="H2210" s="55">
        <v>3441.4</v>
      </c>
      <c r="I2210" s="55">
        <v>47.9</v>
      </c>
      <c r="J2210" s="55">
        <v>3489.3</v>
      </c>
      <c r="K2210" s="55">
        <v>0</v>
      </c>
      <c r="L2210" s="55">
        <v>2.2999999999999998</v>
      </c>
      <c r="M2210" s="55">
        <v>2.2999999999999998</v>
      </c>
      <c r="N2210" s="55">
        <v>0</v>
      </c>
    </row>
    <row r="2211" spans="1:14" ht="10.050000000000001" hidden="1" customHeight="1">
      <c r="A2211" s="52" t="s">
        <v>307</v>
      </c>
      <c r="B2211" s="53">
        <v>2013</v>
      </c>
      <c r="C2211" s="52" t="s">
        <v>118</v>
      </c>
      <c r="D2211" s="54">
        <v>11</v>
      </c>
      <c r="E2211" s="55">
        <v>3839063.5</v>
      </c>
      <c r="F2211" s="55">
        <v>111283.1</v>
      </c>
      <c r="G2211" s="55">
        <v>3950346.6</v>
      </c>
      <c r="H2211" s="55">
        <v>4832424.5</v>
      </c>
      <c r="I2211" s="55">
        <v>169479.7</v>
      </c>
      <c r="J2211" s="55">
        <v>5001904.2</v>
      </c>
      <c r="K2211" s="55">
        <v>2814955.8</v>
      </c>
      <c r="L2211" s="55">
        <v>1913957.7</v>
      </c>
      <c r="M2211" s="55">
        <v>553280.6</v>
      </c>
      <c r="N2211" s="55">
        <v>95008.7</v>
      </c>
    </row>
    <row r="2212" spans="1:14" ht="10.050000000000001" hidden="1" customHeight="1">
      <c r="A2212" s="52" t="s">
        <v>315</v>
      </c>
      <c r="B2212" s="53">
        <v>2013</v>
      </c>
      <c r="C2212" s="52" t="s">
        <v>118</v>
      </c>
      <c r="D2212" s="54">
        <v>11</v>
      </c>
      <c r="E2212" s="55">
        <v>4628.3</v>
      </c>
      <c r="F2212" s="55">
        <v>0</v>
      </c>
      <c r="G2212" s="55">
        <v>4628.3</v>
      </c>
      <c r="H2212" s="55">
        <v>25726.9</v>
      </c>
      <c r="I2212" s="55">
        <v>32.700000000000003</v>
      </c>
      <c r="J2212" s="55">
        <v>25759.599999999999</v>
      </c>
      <c r="K2212" s="55">
        <v>4916.6000000000004</v>
      </c>
      <c r="L2212" s="55">
        <v>853.6</v>
      </c>
      <c r="M2212" s="55">
        <v>3110.7</v>
      </c>
      <c r="N2212" s="55">
        <v>55.1</v>
      </c>
    </row>
    <row r="2213" spans="1:14" ht="10.050000000000001" hidden="1" customHeight="1">
      <c r="A2213" s="52" t="s">
        <v>311</v>
      </c>
      <c r="B2213" s="53">
        <v>2013</v>
      </c>
      <c r="C2213" s="52" t="s">
        <v>118</v>
      </c>
      <c r="D2213" s="54">
        <v>11</v>
      </c>
      <c r="E2213" s="55">
        <v>0</v>
      </c>
      <c r="F2213" s="55">
        <v>0</v>
      </c>
      <c r="G2213" s="55">
        <v>0</v>
      </c>
      <c r="H2213" s="55">
        <v>0</v>
      </c>
      <c r="I2213" s="55">
        <v>0</v>
      </c>
      <c r="J2213" s="55">
        <v>0</v>
      </c>
      <c r="K2213" s="55">
        <v>34.9</v>
      </c>
      <c r="L2213" s="55">
        <v>0</v>
      </c>
      <c r="M2213" s="55">
        <v>0</v>
      </c>
      <c r="N2213" s="55">
        <v>4</v>
      </c>
    </row>
    <row r="2214" spans="1:14" ht="10.050000000000001" hidden="1" customHeight="1">
      <c r="A2214" s="52" t="s">
        <v>173</v>
      </c>
      <c r="B2214" s="53">
        <v>2013</v>
      </c>
      <c r="C2214" s="52" t="s">
        <v>118</v>
      </c>
      <c r="D2214" s="54">
        <v>11</v>
      </c>
      <c r="E2214" s="55">
        <v>267362.09999999998</v>
      </c>
      <c r="F2214" s="55">
        <v>23506.799999999999</v>
      </c>
      <c r="G2214" s="55">
        <v>290868.90000000002</v>
      </c>
      <c r="H2214" s="55">
        <v>3480150.4</v>
      </c>
      <c r="I2214" s="55">
        <v>101725.2</v>
      </c>
      <c r="J2214" s="55">
        <v>3581875.6</v>
      </c>
      <c r="K2214" s="55">
        <v>827470.1</v>
      </c>
      <c r="L2214" s="55">
        <v>28337.3</v>
      </c>
      <c r="M2214" s="55">
        <v>171472.6</v>
      </c>
      <c r="N2214" s="55">
        <v>14437.9</v>
      </c>
    </row>
    <row r="2215" spans="1:14" ht="10.050000000000001" customHeight="1">
      <c r="A2215" s="52" t="s">
        <v>309</v>
      </c>
      <c r="B2215" s="53">
        <v>2013</v>
      </c>
      <c r="C2215" s="52" t="s">
        <v>118</v>
      </c>
      <c r="D2215" s="54">
        <v>11</v>
      </c>
      <c r="E2215" s="55">
        <v>16021</v>
      </c>
      <c r="F2215" s="55">
        <v>844</v>
      </c>
      <c r="G2215" s="55">
        <v>16865</v>
      </c>
      <c r="H2215" s="55">
        <v>88391</v>
      </c>
      <c r="I2215" s="55">
        <v>0</v>
      </c>
      <c r="J2215" s="55">
        <v>88391</v>
      </c>
      <c r="K2215" s="55">
        <v>20193.8</v>
      </c>
      <c r="L2215" s="55">
        <v>1314.2</v>
      </c>
      <c r="M2215" s="55">
        <v>1080.4000000000001</v>
      </c>
      <c r="N2215" s="55">
        <v>1141</v>
      </c>
    </row>
    <row r="2216" spans="1:14" ht="10.050000000000001" hidden="1" customHeight="1">
      <c r="A2216" s="52" t="s">
        <v>316</v>
      </c>
      <c r="B2216" s="53">
        <v>2013</v>
      </c>
      <c r="C2216" s="52" t="s">
        <v>118</v>
      </c>
      <c r="D2216" s="54">
        <v>11</v>
      </c>
      <c r="E2216" s="55">
        <v>944.3</v>
      </c>
      <c r="F2216" s="55">
        <v>0</v>
      </c>
      <c r="G2216" s="55">
        <v>944.3</v>
      </c>
      <c r="H2216" s="55">
        <v>4177.5</v>
      </c>
      <c r="I2216" s="55">
        <v>78.7</v>
      </c>
      <c r="J2216" s="55">
        <v>4256.2</v>
      </c>
      <c r="K2216" s="55">
        <v>332.1</v>
      </c>
      <c r="L2216" s="55">
        <v>158.5</v>
      </c>
      <c r="M2216" s="55">
        <v>63.5</v>
      </c>
      <c r="N2216" s="55">
        <v>12.2</v>
      </c>
    </row>
    <row r="2217" spans="1:14" ht="10.050000000000001" hidden="1" customHeight="1">
      <c r="A2217" s="52" t="s">
        <v>310</v>
      </c>
      <c r="B2217" s="53">
        <v>2013</v>
      </c>
      <c r="C2217" s="52" t="s">
        <v>118</v>
      </c>
      <c r="D2217" s="54">
        <v>11</v>
      </c>
      <c r="E2217" s="55">
        <v>1904.1</v>
      </c>
      <c r="F2217" s="55">
        <v>0</v>
      </c>
      <c r="G2217" s="55">
        <v>1904.1</v>
      </c>
      <c r="H2217" s="55">
        <v>43958</v>
      </c>
      <c r="I2217" s="55">
        <v>1020.8</v>
      </c>
      <c r="J2217" s="55">
        <v>44978.8</v>
      </c>
      <c r="K2217" s="55">
        <v>9047.6</v>
      </c>
      <c r="L2217" s="55">
        <v>88</v>
      </c>
      <c r="M2217" s="55">
        <v>1418.1</v>
      </c>
      <c r="N2217" s="55">
        <v>125.9</v>
      </c>
    </row>
    <row r="2218" spans="1:14" ht="10.050000000000001" hidden="1" customHeight="1">
      <c r="A2218" s="52" t="s">
        <v>308</v>
      </c>
      <c r="B2218" s="53">
        <v>2013</v>
      </c>
      <c r="C2218" s="52" t="s">
        <v>118</v>
      </c>
      <c r="D2218" s="54">
        <v>11</v>
      </c>
      <c r="E2218" s="55">
        <v>50654</v>
      </c>
      <c r="F2218" s="55">
        <v>418.6</v>
      </c>
      <c r="G2218" s="55">
        <v>51072.6</v>
      </c>
      <c r="H2218" s="55">
        <v>75776.800000000003</v>
      </c>
      <c r="I2218" s="55">
        <v>1282.8</v>
      </c>
      <c r="J2218" s="55">
        <v>77059.600000000006</v>
      </c>
      <c r="K2218" s="55">
        <v>25250.799999999999</v>
      </c>
      <c r="L2218" s="55">
        <v>16230.9</v>
      </c>
      <c r="M2218" s="55">
        <v>8920.4</v>
      </c>
      <c r="N2218" s="55">
        <v>905.6</v>
      </c>
    </row>
    <row r="2219" spans="1:14" ht="10.050000000000001" hidden="1" customHeight="1">
      <c r="A2219" s="52" t="s">
        <v>174</v>
      </c>
      <c r="B2219" s="53">
        <v>2013</v>
      </c>
      <c r="C2219" s="52" t="s">
        <v>118</v>
      </c>
      <c r="D2219" s="54">
        <v>11</v>
      </c>
      <c r="E2219" s="55">
        <v>19450.3</v>
      </c>
      <c r="F2219" s="55">
        <v>1477.1</v>
      </c>
      <c r="G2219" s="55">
        <v>20927.400000000001</v>
      </c>
      <c r="H2219" s="55">
        <v>335361.2</v>
      </c>
      <c r="I2219" s="55">
        <v>23523.9</v>
      </c>
      <c r="J2219" s="55">
        <v>358885.1</v>
      </c>
      <c r="K2219" s="55">
        <v>102345.9</v>
      </c>
      <c r="L2219" s="55">
        <v>3303.7</v>
      </c>
      <c r="M2219" s="55">
        <v>10763.5</v>
      </c>
      <c r="N2219" s="55">
        <v>8311.5</v>
      </c>
    </row>
    <row r="2220" spans="1:14" ht="10.050000000000001" hidden="1" customHeight="1">
      <c r="A2220" s="52" t="s">
        <v>314</v>
      </c>
      <c r="B2220" s="53">
        <v>2013</v>
      </c>
      <c r="C2220" s="52" t="s">
        <v>118</v>
      </c>
      <c r="D2220" s="54">
        <v>12</v>
      </c>
      <c r="E2220" s="55">
        <v>0</v>
      </c>
      <c r="F2220" s="55">
        <v>0</v>
      </c>
      <c r="G2220" s="55">
        <v>0</v>
      </c>
      <c r="H2220" s="55">
        <v>13.6</v>
      </c>
      <c r="I2220" s="55">
        <v>0</v>
      </c>
      <c r="J2220" s="55">
        <v>13.6</v>
      </c>
      <c r="K2220" s="55">
        <v>0</v>
      </c>
      <c r="L2220" s="55">
        <v>0</v>
      </c>
      <c r="M2220" s="55">
        <v>0</v>
      </c>
      <c r="N2220" s="55">
        <v>0</v>
      </c>
    </row>
    <row r="2221" spans="1:14" ht="10.050000000000001" hidden="1" customHeight="1">
      <c r="A2221" s="52" t="s">
        <v>306</v>
      </c>
      <c r="B2221" s="53">
        <v>2013</v>
      </c>
      <c r="C2221" s="52" t="s">
        <v>118</v>
      </c>
      <c r="D2221" s="54">
        <v>12</v>
      </c>
      <c r="E2221" s="55">
        <v>4644.6000000000004</v>
      </c>
      <c r="F2221" s="55">
        <v>1039.5999999999999</v>
      </c>
      <c r="G2221" s="55">
        <v>5684.2</v>
      </c>
      <c r="H2221" s="55">
        <v>157863.9</v>
      </c>
      <c r="I2221" s="55">
        <v>9207.1</v>
      </c>
      <c r="J2221" s="55">
        <v>167071</v>
      </c>
      <c r="K2221" s="55">
        <v>23923.5</v>
      </c>
      <c r="L2221" s="55">
        <v>267</v>
      </c>
      <c r="M2221" s="55">
        <v>2730.8</v>
      </c>
      <c r="N2221" s="55">
        <v>509.2</v>
      </c>
    </row>
    <row r="2222" spans="1:14" ht="10.050000000000001" hidden="1" customHeight="1">
      <c r="A2222" s="52" t="s">
        <v>172</v>
      </c>
      <c r="B2222" s="53">
        <v>2013</v>
      </c>
      <c r="C2222" s="52" t="s">
        <v>118</v>
      </c>
      <c r="D2222" s="54">
        <v>12</v>
      </c>
      <c r="E2222" s="55">
        <v>67405</v>
      </c>
      <c r="F2222" s="55">
        <v>1023.9</v>
      </c>
      <c r="G2222" s="55">
        <v>68428.899999999994</v>
      </c>
      <c r="H2222" s="55">
        <v>504131.8</v>
      </c>
      <c r="I2222" s="55">
        <v>17298.7</v>
      </c>
      <c r="J2222" s="55">
        <v>521430.5</v>
      </c>
      <c r="K2222" s="55">
        <v>173246.6</v>
      </c>
      <c r="L2222" s="55">
        <v>6353.9</v>
      </c>
      <c r="M2222" s="55">
        <v>31540.1</v>
      </c>
      <c r="N2222" s="55">
        <v>2596.9</v>
      </c>
    </row>
    <row r="2223" spans="1:14" ht="10.050000000000001" hidden="1" customHeight="1">
      <c r="A2223" s="52" t="s">
        <v>171</v>
      </c>
      <c r="B2223" s="53">
        <v>2013</v>
      </c>
      <c r="C2223" s="52" t="s">
        <v>118</v>
      </c>
      <c r="D2223" s="54">
        <v>12</v>
      </c>
      <c r="E2223" s="55">
        <v>1458183.1</v>
      </c>
      <c r="F2223" s="55">
        <v>12391.3</v>
      </c>
      <c r="G2223" s="55">
        <v>1470574.4</v>
      </c>
      <c r="H2223" s="55">
        <v>9146352.5</v>
      </c>
      <c r="I2223" s="55">
        <v>237401.5</v>
      </c>
      <c r="J2223" s="55">
        <v>9383754</v>
      </c>
      <c r="K2223" s="55">
        <v>3540360.2</v>
      </c>
      <c r="L2223" s="55">
        <v>365814.2</v>
      </c>
      <c r="M2223" s="55">
        <v>754943.4</v>
      </c>
      <c r="N2223" s="55">
        <v>25911.200000000001</v>
      </c>
    </row>
    <row r="2224" spans="1:14" ht="10.050000000000001" hidden="1" customHeight="1">
      <c r="A2224" s="52" t="s">
        <v>300</v>
      </c>
      <c r="B2224" s="53">
        <v>2013</v>
      </c>
      <c r="C2224" s="52" t="s">
        <v>118</v>
      </c>
      <c r="D2224" s="54">
        <v>12</v>
      </c>
      <c r="E2224" s="55">
        <v>329.1</v>
      </c>
      <c r="F2224" s="55">
        <v>0</v>
      </c>
      <c r="G2224" s="55">
        <v>329.1</v>
      </c>
      <c r="H2224" s="55">
        <v>3299.8</v>
      </c>
      <c r="I2224" s="55">
        <v>47</v>
      </c>
      <c r="J2224" s="55">
        <v>3346.8</v>
      </c>
      <c r="K2224" s="55">
        <v>0</v>
      </c>
      <c r="L2224" s="55">
        <v>0</v>
      </c>
      <c r="M2224" s="55">
        <v>0</v>
      </c>
      <c r="N2224" s="55">
        <v>0</v>
      </c>
    </row>
    <row r="2225" spans="1:14" ht="10.050000000000001" hidden="1" customHeight="1">
      <c r="A2225" s="52" t="s">
        <v>307</v>
      </c>
      <c r="B2225" s="53">
        <v>2013</v>
      </c>
      <c r="C2225" s="52" t="s">
        <v>118</v>
      </c>
      <c r="D2225" s="54">
        <v>12</v>
      </c>
      <c r="E2225" s="55">
        <v>1491261</v>
      </c>
      <c r="F2225" s="55">
        <v>4389.2</v>
      </c>
      <c r="G2225" s="55">
        <v>1495650.2</v>
      </c>
      <c r="H2225" s="55">
        <v>5397454.7999999998</v>
      </c>
      <c r="I2225" s="55">
        <v>153223.1</v>
      </c>
      <c r="J2225" s="55">
        <v>5550677.9000000004</v>
      </c>
      <c r="K2225" s="55">
        <v>2739467.5</v>
      </c>
      <c r="L2225" s="55">
        <v>517220.4</v>
      </c>
      <c r="M2225" s="55">
        <v>491404</v>
      </c>
      <c r="N2225" s="55">
        <v>99937.4</v>
      </c>
    </row>
    <row r="2226" spans="1:14" ht="10.050000000000001" hidden="1" customHeight="1">
      <c r="A2226" s="52" t="s">
        <v>315</v>
      </c>
      <c r="B2226" s="53">
        <v>2013</v>
      </c>
      <c r="C2226" s="52" t="s">
        <v>118</v>
      </c>
      <c r="D2226" s="54">
        <v>12</v>
      </c>
      <c r="E2226" s="55">
        <v>2236.6</v>
      </c>
      <c r="F2226" s="55">
        <v>0</v>
      </c>
      <c r="G2226" s="55">
        <v>2236.6</v>
      </c>
      <c r="H2226" s="55">
        <v>26183.3</v>
      </c>
      <c r="I2226" s="55">
        <v>32.700000000000003</v>
      </c>
      <c r="J2226" s="55">
        <v>26216</v>
      </c>
      <c r="K2226" s="55">
        <v>3567</v>
      </c>
      <c r="L2226" s="55">
        <v>131.4</v>
      </c>
      <c r="M2226" s="55">
        <v>1499.5</v>
      </c>
      <c r="N2226" s="55">
        <v>3.9</v>
      </c>
    </row>
    <row r="2227" spans="1:14" ht="10.050000000000001" hidden="1" customHeight="1">
      <c r="A2227" s="52" t="s">
        <v>311</v>
      </c>
      <c r="B2227" s="53">
        <v>2013</v>
      </c>
      <c r="C2227" s="52" t="s">
        <v>118</v>
      </c>
      <c r="D2227" s="54">
        <v>12</v>
      </c>
      <c r="E2227" s="55">
        <v>0</v>
      </c>
      <c r="F2227" s="55">
        <v>0</v>
      </c>
      <c r="G2227" s="55">
        <v>0</v>
      </c>
      <c r="H2227" s="55">
        <v>0</v>
      </c>
      <c r="I2227" s="55">
        <v>0</v>
      </c>
      <c r="J2227" s="55">
        <v>0</v>
      </c>
      <c r="K2227" s="55">
        <v>33.200000000000003</v>
      </c>
      <c r="L2227" s="55">
        <v>0</v>
      </c>
      <c r="M2227" s="55">
        <v>0</v>
      </c>
      <c r="N2227" s="55">
        <v>1.7</v>
      </c>
    </row>
    <row r="2228" spans="1:14" ht="10.050000000000001" hidden="1" customHeight="1">
      <c r="A2228" s="52" t="s">
        <v>173</v>
      </c>
      <c r="B2228" s="53">
        <v>2013</v>
      </c>
      <c r="C2228" s="52" t="s">
        <v>118</v>
      </c>
      <c r="D2228" s="54">
        <v>12</v>
      </c>
      <c r="E2228" s="55">
        <v>196166.39999999999</v>
      </c>
      <c r="F2228" s="55">
        <v>12472.7</v>
      </c>
      <c r="G2228" s="55">
        <v>208639.1</v>
      </c>
      <c r="H2228" s="55">
        <v>3155064.7</v>
      </c>
      <c r="I2228" s="55">
        <v>101275.3</v>
      </c>
      <c r="J2228" s="55">
        <v>3256340</v>
      </c>
      <c r="K2228" s="55">
        <v>742820.6</v>
      </c>
      <c r="L2228" s="55">
        <v>35405.599999999999</v>
      </c>
      <c r="M2228" s="55">
        <v>107194</v>
      </c>
      <c r="N2228" s="55">
        <v>12866.2</v>
      </c>
    </row>
    <row r="2229" spans="1:14" ht="10.050000000000001" customHeight="1">
      <c r="A2229" s="52" t="s">
        <v>309</v>
      </c>
      <c r="B2229" s="53">
        <v>2013</v>
      </c>
      <c r="C2229" s="52" t="s">
        <v>118</v>
      </c>
      <c r="D2229" s="54">
        <v>12</v>
      </c>
      <c r="E2229" s="55">
        <v>5931.9</v>
      </c>
      <c r="F2229" s="55">
        <v>0</v>
      </c>
      <c r="G2229" s="55">
        <v>5931.9</v>
      </c>
      <c r="H2229" s="55">
        <v>89903.8</v>
      </c>
      <c r="I2229" s="55">
        <v>0</v>
      </c>
      <c r="J2229" s="55">
        <v>89903.8</v>
      </c>
      <c r="K2229" s="55">
        <v>14131.9</v>
      </c>
      <c r="L2229" s="55">
        <v>1</v>
      </c>
      <c r="M2229" s="55">
        <v>5555.2</v>
      </c>
      <c r="N2229" s="55">
        <v>507.9</v>
      </c>
    </row>
    <row r="2230" spans="1:14" ht="10.050000000000001" hidden="1" customHeight="1">
      <c r="A2230" s="52" t="s">
        <v>316</v>
      </c>
      <c r="B2230" s="53">
        <v>2013</v>
      </c>
      <c r="C2230" s="52" t="s">
        <v>118</v>
      </c>
      <c r="D2230" s="54">
        <v>12</v>
      </c>
      <c r="E2230" s="55">
        <v>602.4</v>
      </c>
      <c r="F2230" s="55">
        <v>8.6</v>
      </c>
      <c r="G2230" s="55">
        <v>611</v>
      </c>
      <c r="H2230" s="55">
        <v>4445.1000000000004</v>
      </c>
      <c r="I2230" s="55">
        <v>87.3</v>
      </c>
      <c r="J2230" s="55">
        <v>4532.3999999999996</v>
      </c>
      <c r="K2230" s="55">
        <v>233</v>
      </c>
      <c r="L2230" s="55">
        <v>54</v>
      </c>
      <c r="M2230" s="55">
        <v>153.1</v>
      </c>
      <c r="N2230" s="55">
        <v>0</v>
      </c>
    </row>
    <row r="2231" spans="1:14" ht="10.050000000000001" hidden="1" customHeight="1">
      <c r="A2231" s="52" t="s">
        <v>310</v>
      </c>
      <c r="B2231" s="53">
        <v>2013</v>
      </c>
      <c r="C2231" s="52" t="s">
        <v>118</v>
      </c>
      <c r="D2231" s="54">
        <v>12</v>
      </c>
      <c r="E2231" s="55">
        <v>2350.4</v>
      </c>
      <c r="F2231" s="55">
        <v>53.8</v>
      </c>
      <c r="G2231" s="55">
        <v>2404.1999999999998</v>
      </c>
      <c r="H2231" s="55">
        <v>41906.5</v>
      </c>
      <c r="I2231" s="55">
        <v>964.8</v>
      </c>
      <c r="J2231" s="55">
        <v>42871.3</v>
      </c>
      <c r="K2231" s="55">
        <v>7993.6</v>
      </c>
      <c r="L2231" s="55">
        <v>148.19999999999999</v>
      </c>
      <c r="M2231" s="55">
        <v>1090.5</v>
      </c>
      <c r="N2231" s="55">
        <v>111.6</v>
      </c>
    </row>
    <row r="2232" spans="1:14" ht="10.050000000000001" hidden="1" customHeight="1">
      <c r="A2232" s="52" t="s">
        <v>308</v>
      </c>
      <c r="B2232" s="53">
        <v>2013</v>
      </c>
      <c r="C2232" s="52" t="s">
        <v>118</v>
      </c>
      <c r="D2232" s="54">
        <v>12</v>
      </c>
      <c r="E2232" s="55">
        <v>22856.2</v>
      </c>
      <c r="F2232" s="55">
        <v>0</v>
      </c>
      <c r="G2232" s="55">
        <v>22856.2</v>
      </c>
      <c r="H2232" s="55">
        <v>84883</v>
      </c>
      <c r="I2232" s="55">
        <v>1281.2</v>
      </c>
      <c r="J2232" s="55">
        <v>86164.2</v>
      </c>
      <c r="K2232" s="55">
        <v>23611.5</v>
      </c>
      <c r="L2232" s="55">
        <v>5807.2</v>
      </c>
      <c r="M2232" s="55">
        <v>6796.1</v>
      </c>
      <c r="N2232" s="55">
        <v>650.70000000000005</v>
      </c>
    </row>
    <row r="2233" spans="1:14" ht="10.050000000000001" hidden="1" customHeight="1">
      <c r="A2233" s="52" t="s">
        <v>174</v>
      </c>
      <c r="B2233" s="53">
        <v>2013</v>
      </c>
      <c r="C2233" s="52" t="s">
        <v>118</v>
      </c>
      <c r="D2233" s="54">
        <v>12</v>
      </c>
      <c r="E2233" s="55">
        <v>15285.6</v>
      </c>
      <c r="F2233" s="55">
        <v>528.6</v>
      </c>
      <c r="G2233" s="55">
        <v>15814.2</v>
      </c>
      <c r="H2233" s="55">
        <v>294132.5</v>
      </c>
      <c r="I2233" s="55">
        <v>23139.7</v>
      </c>
      <c r="J2233" s="55">
        <v>317272.2</v>
      </c>
      <c r="K2233" s="55">
        <v>90135.2</v>
      </c>
      <c r="L2233" s="55">
        <v>2391</v>
      </c>
      <c r="M2233" s="55">
        <v>6247.3</v>
      </c>
      <c r="N2233" s="55">
        <v>8312.7999999999993</v>
      </c>
    </row>
    <row r="2234" spans="1:14" ht="10.050000000000001" hidden="1" customHeight="1">
      <c r="A2234" s="52" t="s">
        <v>314</v>
      </c>
      <c r="B2234" s="53">
        <v>2014</v>
      </c>
      <c r="C2234" s="52" t="s">
        <v>118</v>
      </c>
      <c r="D2234" s="54">
        <v>1</v>
      </c>
      <c r="E2234" s="55">
        <v>0</v>
      </c>
      <c r="F2234" s="55">
        <v>0</v>
      </c>
      <c r="G2234" s="55">
        <v>0</v>
      </c>
      <c r="H2234" s="55">
        <v>13.6</v>
      </c>
      <c r="I2234" s="55">
        <v>0</v>
      </c>
      <c r="J2234" s="55">
        <v>13.6</v>
      </c>
      <c r="K2234" s="55">
        <v>0</v>
      </c>
      <c r="L2234" s="55">
        <v>0</v>
      </c>
      <c r="M2234" s="55">
        <v>0</v>
      </c>
      <c r="N2234" s="55">
        <v>0</v>
      </c>
    </row>
    <row r="2235" spans="1:14" ht="10.050000000000001" hidden="1" customHeight="1">
      <c r="A2235" s="52" t="s">
        <v>306</v>
      </c>
      <c r="B2235" s="53">
        <v>2014</v>
      </c>
      <c r="C2235" s="52" t="s">
        <v>118</v>
      </c>
      <c r="D2235" s="54">
        <v>1</v>
      </c>
      <c r="E2235" s="55">
        <v>6464.5</v>
      </c>
      <c r="F2235" s="55">
        <v>873.4</v>
      </c>
      <c r="G2235" s="55">
        <v>7337.9</v>
      </c>
      <c r="H2235" s="55">
        <v>143941.29999999999</v>
      </c>
      <c r="I2235" s="55">
        <v>6875.8</v>
      </c>
      <c r="J2235" s="55">
        <v>150817.1</v>
      </c>
      <c r="K2235" s="55">
        <v>19557.8</v>
      </c>
      <c r="L2235" s="55">
        <v>788.8</v>
      </c>
      <c r="M2235" s="55">
        <v>4375.3</v>
      </c>
      <c r="N2235" s="55">
        <v>778.5</v>
      </c>
    </row>
    <row r="2236" spans="1:14" ht="10.050000000000001" hidden="1" customHeight="1">
      <c r="A2236" s="52" t="s">
        <v>172</v>
      </c>
      <c r="B2236" s="53">
        <v>2014</v>
      </c>
      <c r="C2236" s="52" t="s">
        <v>118</v>
      </c>
      <c r="D2236" s="54">
        <v>1</v>
      </c>
      <c r="E2236" s="55">
        <v>132857.79999999999</v>
      </c>
      <c r="F2236" s="55">
        <v>1143.9000000000001</v>
      </c>
      <c r="G2236" s="55">
        <v>134001.70000000001</v>
      </c>
      <c r="H2236" s="55">
        <v>458963.20000000001</v>
      </c>
      <c r="I2236" s="55">
        <v>15485</v>
      </c>
      <c r="J2236" s="55">
        <v>474448.2</v>
      </c>
      <c r="K2236" s="55">
        <v>128183.5</v>
      </c>
      <c r="L2236" s="55">
        <v>14591.6</v>
      </c>
      <c r="M2236" s="55">
        <v>57287.7</v>
      </c>
      <c r="N2236" s="55">
        <v>2366.3000000000002</v>
      </c>
    </row>
    <row r="2237" spans="1:14" ht="10.050000000000001" hidden="1" customHeight="1">
      <c r="A2237" s="52" t="s">
        <v>171</v>
      </c>
      <c r="B2237" s="53">
        <v>2014</v>
      </c>
      <c r="C2237" s="52" t="s">
        <v>118</v>
      </c>
      <c r="D2237" s="54">
        <v>1</v>
      </c>
      <c r="E2237" s="55">
        <v>2007043</v>
      </c>
      <c r="F2237" s="55">
        <v>13785.1</v>
      </c>
      <c r="G2237" s="55">
        <v>2020828.1</v>
      </c>
      <c r="H2237" s="55">
        <v>8034302.4000000004</v>
      </c>
      <c r="I2237" s="55">
        <v>125344.8</v>
      </c>
      <c r="J2237" s="55">
        <v>8159647.2000000002</v>
      </c>
      <c r="K2237" s="55">
        <v>3191971.3</v>
      </c>
      <c r="L2237" s="55">
        <v>452997.3</v>
      </c>
      <c r="M2237" s="55">
        <v>775753.8</v>
      </c>
      <c r="N2237" s="55">
        <v>25411</v>
      </c>
    </row>
    <row r="2238" spans="1:14" ht="10.050000000000001" hidden="1" customHeight="1">
      <c r="A2238" s="52" t="s">
        <v>300</v>
      </c>
      <c r="B2238" s="53">
        <v>2014</v>
      </c>
      <c r="C2238" s="52" t="s">
        <v>118</v>
      </c>
      <c r="D2238" s="54">
        <v>1</v>
      </c>
      <c r="E2238" s="55">
        <v>457.8</v>
      </c>
      <c r="F2238" s="55">
        <v>0</v>
      </c>
      <c r="G2238" s="55">
        <v>457.8</v>
      </c>
      <c r="H2238" s="55">
        <v>3244</v>
      </c>
      <c r="I2238" s="55">
        <v>48.7</v>
      </c>
      <c r="J2238" s="55">
        <v>3292.7</v>
      </c>
      <c r="K2238" s="55">
        <v>0</v>
      </c>
      <c r="L2238" s="55">
        <v>0</v>
      </c>
      <c r="M2238" s="55">
        <v>0</v>
      </c>
      <c r="N2238" s="55">
        <v>0</v>
      </c>
    </row>
    <row r="2239" spans="1:14" ht="10.050000000000001" hidden="1" customHeight="1">
      <c r="A2239" s="52" t="s">
        <v>307</v>
      </c>
      <c r="B2239" s="53">
        <v>2014</v>
      </c>
      <c r="C2239" s="52" t="s">
        <v>118</v>
      </c>
      <c r="D2239" s="54">
        <v>1</v>
      </c>
      <c r="E2239" s="55">
        <v>675609.4</v>
      </c>
      <c r="F2239" s="55">
        <v>9826.7000000000007</v>
      </c>
      <c r="G2239" s="55">
        <v>685436.1</v>
      </c>
      <c r="H2239" s="55">
        <v>5111623.7</v>
      </c>
      <c r="I2239" s="55">
        <v>114163.3</v>
      </c>
      <c r="J2239" s="55">
        <v>5225787</v>
      </c>
      <c r="K2239" s="55">
        <v>2223928.2999999998</v>
      </c>
      <c r="L2239" s="55">
        <v>50871.199999999997</v>
      </c>
      <c r="M2239" s="55">
        <v>498534.8</v>
      </c>
      <c r="N2239" s="55">
        <v>69523.100000000006</v>
      </c>
    </row>
    <row r="2240" spans="1:14" ht="10.050000000000001" hidden="1" customHeight="1">
      <c r="A2240" s="52" t="s">
        <v>315</v>
      </c>
      <c r="B2240" s="53">
        <v>2014</v>
      </c>
      <c r="C2240" s="52" t="s">
        <v>118</v>
      </c>
      <c r="D2240" s="54">
        <v>1</v>
      </c>
      <c r="E2240" s="55">
        <v>1331.2</v>
      </c>
      <c r="F2240" s="55">
        <v>0</v>
      </c>
      <c r="G2240" s="55">
        <v>1331.2</v>
      </c>
      <c r="H2240" s="55">
        <v>24440.1</v>
      </c>
      <c r="I2240" s="55">
        <v>32.700000000000003</v>
      </c>
      <c r="J2240" s="55">
        <v>24472.799999999999</v>
      </c>
      <c r="K2240" s="55">
        <v>2652.6</v>
      </c>
      <c r="L2240" s="55">
        <v>21.6</v>
      </c>
      <c r="M2240" s="55">
        <v>907.2</v>
      </c>
      <c r="N2240" s="55">
        <v>28.8</v>
      </c>
    </row>
    <row r="2241" spans="1:14" ht="10.050000000000001" hidden="1" customHeight="1">
      <c r="A2241" s="52" t="s">
        <v>311</v>
      </c>
      <c r="B2241" s="53">
        <v>2014</v>
      </c>
      <c r="C2241" s="52" t="s">
        <v>118</v>
      </c>
      <c r="D2241" s="54">
        <v>1</v>
      </c>
      <c r="E2241" s="55">
        <v>0</v>
      </c>
      <c r="F2241" s="55">
        <v>0</v>
      </c>
      <c r="G2241" s="55">
        <v>0</v>
      </c>
      <c r="H2241" s="55">
        <v>0</v>
      </c>
      <c r="I2241" s="55">
        <v>0</v>
      </c>
      <c r="J2241" s="55">
        <v>0</v>
      </c>
      <c r="K2241" s="55">
        <v>28.9</v>
      </c>
      <c r="L2241" s="55">
        <v>0</v>
      </c>
      <c r="M2241" s="55">
        <v>0</v>
      </c>
      <c r="N2241" s="55">
        <v>4.3</v>
      </c>
    </row>
    <row r="2242" spans="1:14" ht="10.050000000000001" hidden="1" customHeight="1">
      <c r="A2242" s="52" t="s">
        <v>173</v>
      </c>
      <c r="B2242" s="53">
        <v>2014</v>
      </c>
      <c r="C2242" s="52" t="s">
        <v>118</v>
      </c>
      <c r="D2242" s="54">
        <v>1</v>
      </c>
      <c r="E2242" s="55">
        <v>302648</v>
      </c>
      <c r="F2242" s="55">
        <v>15608.3</v>
      </c>
      <c r="G2242" s="55">
        <v>318256.3</v>
      </c>
      <c r="H2242" s="55">
        <v>2889278.6</v>
      </c>
      <c r="I2242" s="55">
        <v>62257.599999999999</v>
      </c>
      <c r="J2242" s="55">
        <v>2951536.2</v>
      </c>
      <c r="K2242" s="55">
        <v>624788.9</v>
      </c>
      <c r="L2242" s="55">
        <v>44196.5</v>
      </c>
      <c r="M2242" s="55">
        <v>148577.70000000001</v>
      </c>
      <c r="N2242" s="55">
        <v>13644.5</v>
      </c>
    </row>
    <row r="2243" spans="1:14" ht="10.050000000000001" customHeight="1">
      <c r="A2243" s="52" t="s">
        <v>309</v>
      </c>
      <c r="B2243" s="53">
        <v>2014</v>
      </c>
      <c r="C2243" s="52" t="s">
        <v>118</v>
      </c>
      <c r="D2243" s="54">
        <v>1</v>
      </c>
      <c r="E2243" s="55">
        <v>1902.9</v>
      </c>
      <c r="F2243" s="55">
        <v>0</v>
      </c>
      <c r="G2243" s="55">
        <v>1902.9</v>
      </c>
      <c r="H2243" s="55">
        <v>85275.4</v>
      </c>
      <c r="I2243" s="55">
        <v>0</v>
      </c>
      <c r="J2243" s="55">
        <v>85275.4</v>
      </c>
      <c r="K2243" s="55">
        <v>11858.4</v>
      </c>
      <c r="L2243" s="55">
        <v>0</v>
      </c>
      <c r="M2243" s="55">
        <v>1629.5</v>
      </c>
      <c r="N2243" s="55">
        <v>643.9</v>
      </c>
    </row>
    <row r="2244" spans="1:14" ht="10.050000000000001" hidden="1" customHeight="1">
      <c r="A2244" s="52" t="s">
        <v>316</v>
      </c>
      <c r="B2244" s="53">
        <v>2014</v>
      </c>
      <c r="C2244" s="52" t="s">
        <v>118</v>
      </c>
      <c r="D2244" s="54">
        <v>1</v>
      </c>
      <c r="E2244" s="55">
        <v>191.9</v>
      </c>
      <c r="F2244" s="55">
        <v>0</v>
      </c>
      <c r="G2244" s="55">
        <v>191.9</v>
      </c>
      <c r="H2244" s="55">
        <v>4143.7</v>
      </c>
      <c r="I2244" s="55">
        <v>78</v>
      </c>
      <c r="J2244" s="55">
        <v>4221.7</v>
      </c>
      <c r="K2244" s="55">
        <v>137</v>
      </c>
      <c r="L2244" s="55">
        <v>16.5</v>
      </c>
      <c r="M2244" s="55">
        <v>112.4</v>
      </c>
      <c r="N2244" s="55">
        <v>0</v>
      </c>
    </row>
    <row r="2245" spans="1:14" ht="10.050000000000001" hidden="1" customHeight="1">
      <c r="A2245" s="52" t="s">
        <v>310</v>
      </c>
      <c r="B2245" s="53">
        <v>2014</v>
      </c>
      <c r="C2245" s="52" t="s">
        <v>118</v>
      </c>
      <c r="D2245" s="54">
        <v>1</v>
      </c>
      <c r="E2245" s="55">
        <v>3234.5</v>
      </c>
      <c r="F2245" s="55">
        <v>0</v>
      </c>
      <c r="G2245" s="55">
        <v>3234.5</v>
      </c>
      <c r="H2245" s="55">
        <v>40424.400000000001</v>
      </c>
      <c r="I2245" s="55">
        <v>964.5</v>
      </c>
      <c r="J2245" s="55">
        <v>41388.9</v>
      </c>
      <c r="K2245" s="55">
        <v>6032.7</v>
      </c>
      <c r="L2245" s="55">
        <v>38.799999999999997</v>
      </c>
      <c r="M2245" s="55">
        <v>1937</v>
      </c>
      <c r="N2245" s="55">
        <v>62.5</v>
      </c>
    </row>
    <row r="2246" spans="1:14" ht="10.050000000000001" hidden="1" customHeight="1">
      <c r="A2246" s="52" t="s">
        <v>308</v>
      </c>
      <c r="B2246" s="53">
        <v>2014</v>
      </c>
      <c r="C2246" s="52" t="s">
        <v>118</v>
      </c>
      <c r="D2246" s="54">
        <v>1</v>
      </c>
      <c r="E2246" s="55">
        <v>9740.9</v>
      </c>
      <c r="F2246" s="55">
        <v>185.9</v>
      </c>
      <c r="G2246" s="55">
        <v>9926.7999999999993</v>
      </c>
      <c r="H2246" s="55">
        <v>73508.800000000003</v>
      </c>
      <c r="I2246" s="55">
        <v>1034.5999999999999</v>
      </c>
      <c r="J2246" s="55">
        <v>74543.399999999994</v>
      </c>
      <c r="K2246" s="55">
        <v>14987.6</v>
      </c>
      <c r="L2246" s="55">
        <v>301.89999999999998</v>
      </c>
      <c r="M2246" s="55">
        <v>8066.7</v>
      </c>
      <c r="N2246" s="55">
        <v>972.1</v>
      </c>
    </row>
    <row r="2247" spans="1:14" ht="10.050000000000001" hidden="1" customHeight="1">
      <c r="A2247" s="52" t="s">
        <v>174</v>
      </c>
      <c r="B2247" s="53">
        <v>2014</v>
      </c>
      <c r="C2247" s="52" t="s">
        <v>118</v>
      </c>
      <c r="D2247" s="54">
        <v>1</v>
      </c>
      <c r="E2247" s="55">
        <v>13981.1</v>
      </c>
      <c r="F2247" s="55">
        <v>141.80000000000001</v>
      </c>
      <c r="G2247" s="55">
        <v>14122.9</v>
      </c>
      <c r="H2247" s="55">
        <v>242774.9</v>
      </c>
      <c r="I2247" s="55">
        <v>19998.8</v>
      </c>
      <c r="J2247" s="55">
        <v>262773.7</v>
      </c>
      <c r="K2247" s="55">
        <v>77333.3</v>
      </c>
      <c r="L2247" s="55">
        <v>2200.8000000000002</v>
      </c>
      <c r="M2247" s="55">
        <v>6615.9</v>
      </c>
      <c r="N2247" s="55">
        <v>8412.7000000000007</v>
      </c>
    </row>
    <row r="2248" spans="1:14" ht="10.050000000000001" hidden="1" customHeight="1">
      <c r="A2248" s="52" t="s">
        <v>314</v>
      </c>
      <c r="B2248" s="53">
        <v>2014</v>
      </c>
      <c r="C2248" s="52" t="s">
        <v>118</v>
      </c>
      <c r="D2248" s="54">
        <v>2</v>
      </c>
      <c r="E2248" s="55">
        <v>0</v>
      </c>
      <c r="F2248" s="55">
        <v>0</v>
      </c>
      <c r="G2248" s="55">
        <v>0</v>
      </c>
      <c r="H2248" s="55">
        <v>13.6</v>
      </c>
      <c r="I2248" s="55">
        <v>0</v>
      </c>
      <c r="J2248" s="55">
        <v>13.6</v>
      </c>
      <c r="K2248" s="55">
        <v>0</v>
      </c>
      <c r="L2248" s="55">
        <v>0</v>
      </c>
      <c r="M2248" s="55">
        <v>0</v>
      </c>
      <c r="N2248" s="55">
        <v>0</v>
      </c>
    </row>
    <row r="2249" spans="1:14" ht="10.050000000000001" hidden="1" customHeight="1">
      <c r="A2249" s="52" t="s">
        <v>306</v>
      </c>
      <c r="B2249" s="53">
        <v>2014</v>
      </c>
      <c r="C2249" s="52" t="s">
        <v>118</v>
      </c>
      <c r="D2249" s="54">
        <v>2</v>
      </c>
      <c r="E2249" s="55">
        <v>4695.6000000000004</v>
      </c>
      <c r="F2249" s="55">
        <v>705.9</v>
      </c>
      <c r="G2249" s="55">
        <v>5401.5</v>
      </c>
      <c r="H2249" s="55">
        <v>130217.3</v>
      </c>
      <c r="I2249" s="55">
        <v>4236.2</v>
      </c>
      <c r="J2249" s="55">
        <v>134453.5</v>
      </c>
      <c r="K2249" s="55">
        <v>16788.099999999999</v>
      </c>
      <c r="L2249" s="55">
        <v>630.4</v>
      </c>
      <c r="M2249" s="55">
        <v>2850.2</v>
      </c>
      <c r="N2249" s="55">
        <v>550.4</v>
      </c>
    </row>
    <row r="2250" spans="1:14" ht="10.050000000000001" hidden="1" customHeight="1">
      <c r="A2250" s="52" t="s">
        <v>172</v>
      </c>
      <c r="B2250" s="53">
        <v>2014</v>
      </c>
      <c r="C2250" s="52" t="s">
        <v>118</v>
      </c>
      <c r="D2250" s="54">
        <v>2</v>
      </c>
      <c r="E2250" s="55">
        <v>133795.5</v>
      </c>
      <c r="F2250" s="55">
        <v>330.9</v>
      </c>
      <c r="G2250" s="55">
        <v>134126.39999999999</v>
      </c>
      <c r="H2250" s="55">
        <v>373308</v>
      </c>
      <c r="I2250" s="55">
        <v>9498.2999999999993</v>
      </c>
      <c r="J2250" s="55">
        <v>382806.3</v>
      </c>
      <c r="K2250" s="55">
        <v>99438.3</v>
      </c>
      <c r="L2250" s="55">
        <v>21373.7</v>
      </c>
      <c r="M2250" s="55">
        <v>49103.199999999997</v>
      </c>
      <c r="N2250" s="55">
        <v>1016.1</v>
      </c>
    </row>
    <row r="2251" spans="1:14" ht="10.050000000000001" hidden="1" customHeight="1">
      <c r="A2251" s="52" t="s">
        <v>171</v>
      </c>
      <c r="B2251" s="53">
        <v>2014</v>
      </c>
      <c r="C2251" s="52" t="s">
        <v>118</v>
      </c>
      <c r="D2251" s="54">
        <v>2</v>
      </c>
      <c r="E2251" s="55">
        <v>1654363.3</v>
      </c>
      <c r="F2251" s="55">
        <v>4832.5</v>
      </c>
      <c r="G2251" s="55">
        <v>1659195.8</v>
      </c>
      <c r="H2251" s="55">
        <v>6788600.9000000004</v>
      </c>
      <c r="I2251" s="55">
        <v>67676.100000000006</v>
      </c>
      <c r="J2251" s="55">
        <v>6856277</v>
      </c>
      <c r="K2251" s="55">
        <v>2768720.9</v>
      </c>
      <c r="L2251" s="55">
        <v>376416.7</v>
      </c>
      <c r="M2251" s="55">
        <v>769629.4</v>
      </c>
      <c r="N2251" s="55">
        <v>28923.599999999999</v>
      </c>
    </row>
    <row r="2252" spans="1:14" ht="10.050000000000001" hidden="1" customHeight="1">
      <c r="A2252" s="52" t="s">
        <v>300</v>
      </c>
      <c r="B2252" s="53">
        <v>2014</v>
      </c>
      <c r="C2252" s="52" t="s">
        <v>118</v>
      </c>
      <c r="D2252" s="54">
        <v>2</v>
      </c>
      <c r="E2252" s="55">
        <v>306.39999999999998</v>
      </c>
      <c r="F2252" s="55">
        <v>0</v>
      </c>
      <c r="G2252" s="55">
        <v>306.39999999999998</v>
      </c>
      <c r="H2252" s="55">
        <v>3014.1</v>
      </c>
      <c r="I2252" s="55">
        <v>48.7</v>
      </c>
      <c r="J2252" s="55">
        <v>3062.8</v>
      </c>
      <c r="K2252" s="55">
        <v>0</v>
      </c>
      <c r="L2252" s="55">
        <v>0</v>
      </c>
      <c r="M2252" s="55">
        <v>0</v>
      </c>
      <c r="N2252" s="55">
        <v>0</v>
      </c>
    </row>
    <row r="2253" spans="1:14" ht="10.050000000000001" hidden="1" customHeight="1">
      <c r="A2253" s="52" t="s">
        <v>307</v>
      </c>
      <c r="B2253" s="53">
        <v>2014</v>
      </c>
      <c r="C2253" s="52" t="s">
        <v>118</v>
      </c>
      <c r="D2253" s="54">
        <v>2</v>
      </c>
      <c r="E2253" s="55">
        <v>458858.3</v>
      </c>
      <c r="F2253" s="55">
        <v>1901.7</v>
      </c>
      <c r="G2253" s="55">
        <v>460760</v>
      </c>
      <c r="H2253" s="55">
        <v>4622210.7</v>
      </c>
      <c r="I2253" s="55">
        <v>64160.3</v>
      </c>
      <c r="J2253" s="55">
        <v>4686371</v>
      </c>
      <c r="K2253" s="55">
        <v>1916286</v>
      </c>
      <c r="L2253" s="55">
        <v>58445.3</v>
      </c>
      <c r="M2253" s="55">
        <v>313051.8</v>
      </c>
      <c r="N2253" s="55">
        <v>52894.7</v>
      </c>
    </row>
    <row r="2254" spans="1:14" ht="10.050000000000001" hidden="1" customHeight="1">
      <c r="A2254" s="52" t="s">
        <v>315</v>
      </c>
      <c r="B2254" s="53">
        <v>2014</v>
      </c>
      <c r="C2254" s="52" t="s">
        <v>118</v>
      </c>
      <c r="D2254" s="54">
        <v>2</v>
      </c>
      <c r="E2254" s="55">
        <v>1470.2</v>
      </c>
      <c r="F2254" s="55">
        <v>0</v>
      </c>
      <c r="G2254" s="55">
        <v>1470.2</v>
      </c>
      <c r="H2254" s="55">
        <v>22612.7</v>
      </c>
      <c r="I2254" s="55">
        <v>32.700000000000003</v>
      </c>
      <c r="J2254" s="55">
        <v>22645.4</v>
      </c>
      <c r="K2254" s="55">
        <v>1760.9</v>
      </c>
      <c r="L2254" s="55">
        <v>147.19999999999999</v>
      </c>
      <c r="M2254" s="55">
        <v>1035.8</v>
      </c>
      <c r="N2254" s="55">
        <v>2.8</v>
      </c>
    </row>
    <row r="2255" spans="1:14" ht="10.050000000000001" hidden="1" customHeight="1">
      <c r="A2255" s="52" t="s">
        <v>311</v>
      </c>
      <c r="B2255" s="53">
        <v>2014</v>
      </c>
      <c r="C2255" s="52" t="s">
        <v>118</v>
      </c>
      <c r="D2255" s="54">
        <v>2</v>
      </c>
      <c r="E2255" s="55">
        <v>0</v>
      </c>
      <c r="F2255" s="55">
        <v>0</v>
      </c>
      <c r="G2255" s="55">
        <v>0</v>
      </c>
      <c r="H2255" s="55">
        <v>0</v>
      </c>
      <c r="I2255" s="55">
        <v>0</v>
      </c>
      <c r="J2255" s="55">
        <v>0</v>
      </c>
      <c r="K2255" s="55">
        <v>25.8</v>
      </c>
      <c r="L2255" s="55">
        <v>0</v>
      </c>
      <c r="M2255" s="55">
        <v>0</v>
      </c>
      <c r="N2255" s="55">
        <v>3.1</v>
      </c>
    </row>
    <row r="2256" spans="1:14" ht="10.050000000000001" hidden="1" customHeight="1">
      <c r="A2256" s="52" t="s">
        <v>173</v>
      </c>
      <c r="B2256" s="53">
        <v>2014</v>
      </c>
      <c r="C2256" s="52" t="s">
        <v>118</v>
      </c>
      <c r="D2256" s="54">
        <v>2</v>
      </c>
      <c r="E2256" s="55">
        <v>287174.7</v>
      </c>
      <c r="F2256" s="55">
        <v>4487.6000000000004</v>
      </c>
      <c r="G2256" s="55">
        <v>291662.3</v>
      </c>
      <c r="H2256" s="55">
        <v>2588991.4</v>
      </c>
      <c r="I2256" s="55">
        <v>26369.3</v>
      </c>
      <c r="J2256" s="55">
        <v>2615360.7000000002</v>
      </c>
      <c r="K2256" s="55">
        <v>503329.3</v>
      </c>
      <c r="L2256" s="55">
        <v>39060.199999999997</v>
      </c>
      <c r="M2256" s="55">
        <v>146463.29999999999</v>
      </c>
      <c r="N2256" s="55">
        <v>13990.9</v>
      </c>
    </row>
    <row r="2257" spans="1:14" ht="10.050000000000001" customHeight="1">
      <c r="A2257" s="52" t="s">
        <v>309</v>
      </c>
      <c r="B2257" s="53">
        <v>2014</v>
      </c>
      <c r="C2257" s="52" t="s">
        <v>118</v>
      </c>
      <c r="D2257" s="54">
        <v>2</v>
      </c>
      <c r="E2257" s="55">
        <v>2661.2</v>
      </c>
      <c r="F2257" s="55">
        <v>0</v>
      </c>
      <c r="G2257" s="55">
        <v>2661.2</v>
      </c>
      <c r="H2257" s="55">
        <v>80837.7</v>
      </c>
      <c r="I2257" s="55">
        <v>0</v>
      </c>
      <c r="J2257" s="55">
        <v>80837.7</v>
      </c>
      <c r="K2257" s="55">
        <v>9626.4</v>
      </c>
      <c r="L2257" s="55">
        <v>0</v>
      </c>
      <c r="M2257" s="55">
        <v>2231.8000000000002</v>
      </c>
      <c r="N2257" s="55">
        <v>0</v>
      </c>
    </row>
    <row r="2258" spans="1:14" ht="10.050000000000001" hidden="1" customHeight="1">
      <c r="A2258" s="52" t="s">
        <v>316</v>
      </c>
      <c r="B2258" s="53">
        <v>2014</v>
      </c>
      <c r="C2258" s="52" t="s">
        <v>118</v>
      </c>
      <c r="D2258" s="54">
        <v>2</v>
      </c>
      <c r="E2258" s="55">
        <v>229.4</v>
      </c>
      <c r="F2258" s="55">
        <v>0</v>
      </c>
      <c r="G2258" s="55">
        <v>229.4</v>
      </c>
      <c r="H2258" s="55">
        <v>3865</v>
      </c>
      <c r="I2258" s="55">
        <v>43</v>
      </c>
      <c r="J2258" s="55">
        <v>3908</v>
      </c>
      <c r="K2258" s="55">
        <v>104.5</v>
      </c>
      <c r="L2258" s="55">
        <v>6.8</v>
      </c>
      <c r="M2258" s="55">
        <v>39.299999999999997</v>
      </c>
      <c r="N2258" s="55">
        <v>0</v>
      </c>
    </row>
    <row r="2259" spans="1:14" ht="10.050000000000001" hidden="1" customHeight="1">
      <c r="A2259" s="52" t="s">
        <v>310</v>
      </c>
      <c r="B2259" s="53">
        <v>2014</v>
      </c>
      <c r="C2259" s="52" t="s">
        <v>118</v>
      </c>
      <c r="D2259" s="54">
        <v>2</v>
      </c>
      <c r="E2259" s="55">
        <v>2543.5</v>
      </c>
      <c r="F2259" s="55">
        <v>0</v>
      </c>
      <c r="G2259" s="55">
        <v>2543.5</v>
      </c>
      <c r="H2259" s="55">
        <v>37907.199999999997</v>
      </c>
      <c r="I2259" s="55">
        <v>573.79999999999995</v>
      </c>
      <c r="J2259" s="55">
        <v>38481</v>
      </c>
      <c r="K2259" s="55">
        <v>4635.5</v>
      </c>
      <c r="L2259" s="55">
        <v>124.5</v>
      </c>
      <c r="M2259" s="55">
        <v>1455.4</v>
      </c>
      <c r="N2259" s="55">
        <v>66.400000000000006</v>
      </c>
    </row>
    <row r="2260" spans="1:14" ht="10.050000000000001" hidden="1" customHeight="1">
      <c r="A2260" s="52" t="s">
        <v>308</v>
      </c>
      <c r="B2260" s="53">
        <v>2014</v>
      </c>
      <c r="C2260" s="52" t="s">
        <v>118</v>
      </c>
      <c r="D2260" s="54">
        <v>2</v>
      </c>
      <c r="E2260" s="55">
        <v>5049.7</v>
      </c>
      <c r="F2260" s="55">
        <v>23.9</v>
      </c>
      <c r="G2260" s="55">
        <v>5073.6000000000004</v>
      </c>
      <c r="H2260" s="55">
        <v>60908.2</v>
      </c>
      <c r="I2260" s="55">
        <v>965.1</v>
      </c>
      <c r="J2260" s="55">
        <v>61873.3</v>
      </c>
      <c r="K2260" s="55">
        <v>10562.1</v>
      </c>
      <c r="L2260" s="55">
        <v>191.5</v>
      </c>
      <c r="M2260" s="55">
        <v>4037</v>
      </c>
      <c r="N2260" s="55">
        <v>584.6</v>
      </c>
    </row>
    <row r="2261" spans="1:14" ht="10.050000000000001" hidden="1" customHeight="1">
      <c r="A2261" s="52" t="s">
        <v>174</v>
      </c>
      <c r="B2261" s="53">
        <v>2014</v>
      </c>
      <c r="C2261" s="52" t="s">
        <v>118</v>
      </c>
      <c r="D2261" s="54">
        <v>2</v>
      </c>
      <c r="E2261" s="55">
        <v>15735.5</v>
      </c>
      <c r="F2261" s="55">
        <v>97.1</v>
      </c>
      <c r="G2261" s="55">
        <v>15832.6</v>
      </c>
      <c r="H2261" s="55">
        <v>208652.9</v>
      </c>
      <c r="I2261" s="55">
        <v>8817.1</v>
      </c>
      <c r="J2261" s="55">
        <v>217470</v>
      </c>
      <c r="K2261" s="55">
        <v>65039</v>
      </c>
      <c r="L2261" s="55">
        <v>2547.6999999999998</v>
      </c>
      <c r="M2261" s="55">
        <v>7409.6</v>
      </c>
      <c r="N2261" s="55">
        <v>7432.3</v>
      </c>
    </row>
    <row r="2262" spans="1:14" ht="10.050000000000001" hidden="1" customHeight="1">
      <c r="A2262" s="52" t="s">
        <v>314</v>
      </c>
      <c r="B2262" s="53">
        <v>2014</v>
      </c>
      <c r="C2262" s="52" t="s">
        <v>118</v>
      </c>
      <c r="D2262" s="54">
        <v>3</v>
      </c>
      <c r="E2262" s="55">
        <v>0</v>
      </c>
      <c r="F2262" s="55">
        <v>0</v>
      </c>
      <c r="G2262" s="55">
        <v>0</v>
      </c>
      <c r="H2262" s="55">
        <v>13.6</v>
      </c>
      <c r="I2262" s="55">
        <v>0</v>
      </c>
      <c r="J2262" s="55">
        <v>13.6</v>
      </c>
      <c r="K2262" s="55">
        <v>0</v>
      </c>
      <c r="L2262" s="55">
        <v>0</v>
      </c>
      <c r="M2262" s="55">
        <v>0</v>
      </c>
      <c r="N2262" s="55">
        <v>0</v>
      </c>
    </row>
    <row r="2263" spans="1:14" ht="10.050000000000001" hidden="1" customHeight="1">
      <c r="A2263" s="52" t="s">
        <v>306</v>
      </c>
      <c r="B2263" s="53">
        <v>2014</v>
      </c>
      <c r="C2263" s="52" t="s">
        <v>118</v>
      </c>
      <c r="D2263" s="54">
        <v>3</v>
      </c>
      <c r="E2263" s="55">
        <v>5851.7</v>
      </c>
      <c r="F2263" s="55">
        <v>402.7</v>
      </c>
      <c r="G2263" s="55">
        <v>6254.4</v>
      </c>
      <c r="H2263" s="55">
        <v>115177.7</v>
      </c>
      <c r="I2263" s="55">
        <v>4196.1000000000004</v>
      </c>
      <c r="J2263" s="55">
        <v>119373.8</v>
      </c>
      <c r="K2263" s="55">
        <v>12853.6</v>
      </c>
      <c r="L2263" s="55">
        <v>463.2</v>
      </c>
      <c r="M2263" s="55">
        <v>3679.4</v>
      </c>
      <c r="N2263" s="55">
        <v>718.7</v>
      </c>
    </row>
    <row r="2264" spans="1:14" ht="10.050000000000001" hidden="1" customHeight="1">
      <c r="A2264" s="52" t="s">
        <v>172</v>
      </c>
      <c r="B2264" s="53">
        <v>2014</v>
      </c>
      <c r="C2264" s="52" t="s">
        <v>118</v>
      </c>
      <c r="D2264" s="54">
        <v>3</v>
      </c>
      <c r="E2264" s="55">
        <v>98181.7</v>
      </c>
      <c r="F2264" s="55">
        <v>628.70000000000005</v>
      </c>
      <c r="G2264" s="55">
        <v>98810.4</v>
      </c>
      <c r="H2264" s="55">
        <v>283724.79999999999</v>
      </c>
      <c r="I2264" s="55">
        <v>8627.2999999999993</v>
      </c>
      <c r="J2264" s="55">
        <v>292352.09999999998</v>
      </c>
      <c r="K2264" s="55">
        <v>64145.4</v>
      </c>
      <c r="L2264" s="55">
        <v>11425.9</v>
      </c>
      <c r="M2264" s="55">
        <v>45674.2</v>
      </c>
      <c r="N2264" s="55">
        <v>1044.7</v>
      </c>
    </row>
    <row r="2265" spans="1:14" ht="10.050000000000001" hidden="1" customHeight="1">
      <c r="A2265" s="52" t="s">
        <v>171</v>
      </c>
      <c r="B2265" s="53">
        <v>2014</v>
      </c>
      <c r="C2265" s="52" t="s">
        <v>118</v>
      </c>
      <c r="D2265" s="54">
        <v>3</v>
      </c>
      <c r="E2265" s="55">
        <v>2185368.6</v>
      </c>
      <c r="F2265" s="55">
        <v>5282.6</v>
      </c>
      <c r="G2265" s="55">
        <v>2190651.2000000002</v>
      </c>
      <c r="H2265" s="55">
        <v>6151520.8000000101</v>
      </c>
      <c r="I2265" s="55">
        <v>67340.399999999994</v>
      </c>
      <c r="J2265" s="55">
        <v>6218861.2000000002</v>
      </c>
      <c r="K2265" s="55">
        <v>1645559.6</v>
      </c>
      <c r="L2265" s="55">
        <v>306230.8</v>
      </c>
      <c r="M2265" s="55">
        <v>1390642.7</v>
      </c>
      <c r="N2265" s="55">
        <v>29512.9</v>
      </c>
    </row>
    <row r="2266" spans="1:14" ht="10.050000000000001" hidden="1" customHeight="1">
      <c r="A2266" s="52" t="s">
        <v>300</v>
      </c>
      <c r="B2266" s="53">
        <v>2014</v>
      </c>
      <c r="C2266" s="52" t="s">
        <v>118</v>
      </c>
      <c r="D2266" s="54">
        <v>3</v>
      </c>
      <c r="E2266" s="55">
        <v>295.8</v>
      </c>
      <c r="F2266" s="55">
        <v>0</v>
      </c>
      <c r="G2266" s="55">
        <v>295.8</v>
      </c>
      <c r="H2266" s="55">
        <v>2849.1</v>
      </c>
      <c r="I2266" s="55">
        <v>48.7</v>
      </c>
      <c r="J2266" s="55">
        <v>2897.8</v>
      </c>
      <c r="K2266" s="55">
        <v>7.1</v>
      </c>
      <c r="L2266" s="55">
        <v>7.1</v>
      </c>
      <c r="M2266" s="55">
        <v>0</v>
      </c>
      <c r="N2266" s="55">
        <v>7.1</v>
      </c>
    </row>
    <row r="2267" spans="1:14" ht="10.050000000000001" hidden="1" customHeight="1">
      <c r="A2267" s="52" t="s">
        <v>307</v>
      </c>
      <c r="B2267" s="53">
        <v>2014</v>
      </c>
      <c r="C2267" s="52" t="s">
        <v>118</v>
      </c>
      <c r="D2267" s="54">
        <v>3</v>
      </c>
      <c r="E2267" s="55">
        <v>552737.1</v>
      </c>
      <c r="F2267" s="55">
        <v>153.4</v>
      </c>
      <c r="G2267" s="55">
        <v>552890.5</v>
      </c>
      <c r="H2267" s="55">
        <v>4165004.2</v>
      </c>
      <c r="I2267" s="55">
        <v>54307</v>
      </c>
      <c r="J2267" s="55">
        <v>4219311.2</v>
      </c>
      <c r="K2267" s="55">
        <v>1507849.3</v>
      </c>
      <c r="L2267" s="55">
        <v>47648.4</v>
      </c>
      <c r="M2267" s="55">
        <v>399583.8</v>
      </c>
      <c r="N2267" s="55">
        <v>54398.6</v>
      </c>
    </row>
    <row r="2268" spans="1:14" ht="10.050000000000001" hidden="1" customHeight="1">
      <c r="A2268" s="52" t="s">
        <v>315</v>
      </c>
      <c r="B2268" s="53">
        <v>2014</v>
      </c>
      <c r="C2268" s="52" t="s">
        <v>118</v>
      </c>
      <c r="D2268" s="54">
        <v>3</v>
      </c>
      <c r="E2268" s="55">
        <v>742.8</v>
      </c>
      <c r="F2268" s="55">
        <v>0</v>
      </c>
      <c r="G2268" s="55">
        <v>742.8</v>
      </c>
      <c r="H2268" s="55">
        <v>20478.8</v>
      </c>
      <c r="I2268" s="55">
        <v>32.700000000000003</v>
      </c>
      <c r="J2268" s="55">
        <v>20511.5</v>
      </c>
      <c r="K2268" s="55">
        <v>1302.3</v>
      </c>
      <c r="L2268" s="55">
        <v>7.6</v>
      </c>
      <c r="M2268" s="55">
        <v>456.7</v>
      </c>
      <c r="N2268" s="55">
        <v>9.6</v>
      </c>
    </row>
    <row r="2269" spans="1:14" ht="10.050000000000001" hidden="1" customHeight="1">
      <c r="A2269" s="52" t="s">
        <v>311</v>
      </c>
      <c r="B2269" s="53">
        <v>2014</v>
      </c>
      <c r="C2269" s="52" t="s">
        <v>118</v>
      </c>
      <c r="D2269" s="54">
        <v>3</v>
      </c>
      <c r="E2269" s="55">
        <v>0</v>
      </c>
      <c r="F2269" s="55">
        <v>0</v>
      </c>
      <c r="G2269" s="55">
        <v>0</v>
      </c>
      <c r="H2269" s="55">
        <v>0</v>
      </c>
      <c r="I2269" s="55">
        <v>0</v>
      </c>
      <c r="J2269" s="55">
        <v>0</v>
      </c>
      <c r="K2269" s="55">
        <v>16.8</v>
      </c>
      <c r="L2269" s="55">
        <v>0</v>
      </c>
      <c r="M2269" s="55">
        <v>0</v>
      </c>
      <c r="N2269" s="55">
        <v>9</v>
      </c>
    </row>
    <row r="2270" spans="1:14" ht="10.050000000000001" hidden="1" customHeight="1">
      <c r="A2270" s="52" t="s">
        <v>173</v>
      </c>
      <c r="B2270" s="53">
        <v>2014</v>
      </c>
      <c r="C2270" s="52" t="s">
        <v>118</v>
      </c>
      <c r="D2270" s="54">
        <v>3</v>
      </c>
      <c r="E2270" s="55">
        <v>305826.40000000002</v>
      </c>
      <c r="F2270" s="55">
        <v>7528.2</v>
      </c>
      <c r="G2270" s="55">
        <v>313354.59999999998</v>
      </c>
      <c r="H2270" s="55">
        <v>2275125</v>
      </c>
      <c r="I2270" s="55">
        <v>23691.599999999999</v>
      </c>
      <c r="J2270" s="55">
        <v>2298816.6</v>
      </c>
      <c r="K2270" s="55">
        <v>321424.59999999998</v>
      </c>
      <c r="L2270" s="55">
        <v>24849.9</v>
      </c>
      <c r="M2270" s="55">
        <v>192427.2</v>
      </c>
      <c r="N2270" s="55">
        <v>14225</v>
      </c>
    </row>
    <row r="2271" spans="1:14" ht="10.050000000000001" customHeight="1">
      <c r="A2271" s="52" t="s">
        <v>309</v>
      </c>
      <c r="B2271" s="53">
        <v>2014</v>
      </c>
      <c r="C2271" s="52" t="s">
        <v>118</v>
      </c>
      <c r="D2271" s="54">
        <v>3</v>
      </c>
      <c r="E2271" s="55">
        <v>2187.9</v>
      </c>
      <c r="F2271" s="55">
        <v>0</v>
      </c>
      <c r="G2271" s="55">
        <v>2187.9</v>
      </c>
      <c r="H2271" s="55">
        <v>75101.2</v>
      </c>
      <c r="I2271" s="55">
        <v>0</v>
      </c>
      <c r="J2271" s="55">
        <v>75101.2</v>
      </c>
      <c r="K2271" s="55">
        <v>7496.9</v>
      </c>
      <c r="L2271" s="55">
        <v>0</v>
      </c>
      <c r="M2271" s="55">
        <v>1706.7</v>
      </c>
      <c r="N2271" s="55">
        <v>422.7</v>
      </c>
    </row>
    <row r="2272" spans="1:14" ht="10.050000000000001" hidden="1" customHeight="1">
      <c r="A2272" s="52" t="s">
        <v>316</v>
      </c>
      <c r="B2272" s="53">
        <v>2014</v>
      </c>
      <c r="C2272" s="52" t="s">
        <v>118</v>
      </c>
      <c r="D2272" s="54">
        <v>3</v>
      </c>
      <c r="E2272" s="55">
        <v>112.5</v>
      </c>
      <c r="F2272" s="55">
        <v>22.3</v>
      </c>
      <c r="G2272" s="55">
        <v>134.80000000000001</v>
      </c>
      <c r="H2272" s="55">
        <v>3311</v>
      </c>
      <c r="I2272" s="55">
        <v>51.7</v>
      </c>
      <c r="J2272" s="55">
        <v>3362.7</v>
      </c>
      <c r="K2272" s="55">
        <v>73.7</v>
      </c>
      <c r="L2272" s="55">
        <v>-0.1</v>
      </c>
      <c r="M2272" s="55">
        <v>21.9</v>
      </c>
      <c r="N2272" s="55">
        <v>8.8000000000000007</v>
      </c>
    </row>
    <row r="2273" spans="1:14" ht="10.050000000000001" hidden="1" customHeight="1">
      <c r="A2273" s="52" t="s">
        <v>310</v>
      </c>
      <c r="B2273" s="53">
        <v>2014</v>
      </c>
      <c r="C2273" s="52" t="s">
        <v>118</v>
      </c>
      <c r="D2273" s="54">
        <v>3</v>
      </c>
      <c r="E2273" s="55">
        <v>2429.6999999999998</v>
      </c>
      <c r="F2273" s="55">
        <v>0</v>
      </c>
      <c r="G2273" s="55">
        <v>2429.6999999999998</v>
      </c>
      <c r="H2273" s="55">
        <v>35000.9</v>
      </c>
      <c r="I2273" s="55">
        <v>580.5</v>
      </c>
      <c r="J2273" s="55">
        <v>35581.4</v>
      </c>
      <c r="K2273" s="55">
        <v>3503.3</v>
      </c>
      <c r="L2273" s="55">
        <v>385.9</v>
      </c>
      <c r="M2273" s="55">
        <v>1438.9</v>
      </c>
      <c r="N2273" s="55">
        <v>79.400000000000006</v>
      </c>
    </row>
    <row r="2274" spans="1:14" ht="10.050000000000001" hidden="1" customHeight="1">
      <c r="A2274" s="52" t="s">
        <v>308</v>
      </c>
      <c r="B2274" s="53">
        <v>2014</v>
      </c>
      <c r="C2274" s="52" t="s">
        <v>118</v>
      </c>
      <c r="D2274" s="54">
        <v>3</v>
      </c>
      <c r="E2274" s="55">
        <v>4946.3999999999996</v>
      </c>
      <c r="F2274" s="55">
        <v>0</v>
      </c>
      <c r="G2274" s="55">
        <v>4946.3999999999996</v>
      </c>
      <c r="H2274" s="55">
        <v>51522.5</v>
      </c>
      <c r="I2274" s="55">
        <v>669.1</v>
      </c>
      <c r="J2274" s="55">
        <v>52191.6</v>
      </c>
      <c r="K2274" s="55">
        <v>6844.7</v>
      </c>
      <c r="L2274" s="55">
        <v>163.4</v>
      </c>
      <c r="M2274" s="55">
        <v>3686.8</v>
      </c>
      <c r="N2274" s="55">
        <v>177.6</v>
      </c>
    </row>
    <row r="2275" spans="1:14" ht="10.050000000000001" hidden="1" customHeight="1">
      <c r="A2275" s="52" t="s">
        <v>174</v>
      </c>
      <c r="B2275" s="53">
        <v>2014</v>
      </c>
      <c r="C2275" s="52" t="s">
        <v>118</v>
      </c>
      <c r="D2275" s="54">
        <v>3</v>
      </c>
      <c r="E2275" s="55">
        <v>15787.8</v>
      </c>
      <c r="F2275" s="55">
        <v>283.3</v>
      </c>
      <c r="G2275" s="55">
        <v>16071.1</v>
      </c>
      <c r="H2275" s="55">
        <v>171542.8</v>
      </c>
      <c r="I2275" s="55">
        <v>8580.2000000000007</v>
      </c>
      <c r="J2275" s="55">
        <v>180123</v>
      </c>
      <c r="K2275" s="55">
        <v>50656.3</v>
      </c>
      <c r="L2275" s="55">
        <v>2003.1</v>
      </c>
      <c r="M2275" s="55">
        <v>8305.6</v>
      </c>
      <c r="N2275" s="55">
        <v>7429.7</v>
      </c>
    </row>
    <row r="2276" spans="1:14" ht="10.050000000000001" hidden="1" customHeight="1">
      <c r="A2276" s="52" t="s">
        <v>314</v>
      </c>
      <c r="B2276" s="53">
        <v>2014</v>
      </c>
      <c r="C2276" s="52" t="s">
        <v>118</v>
      </c>
      <c r="D2276" s="54">
        <v>4</v>
      </c>
      <c r="E2276" s="55">
        <v>0</v>
      </c>
      <c r="F2276" s="55">
        <v>0</v>
      </c>
      <c r="G2276" s="55">
        <v>0</v>
      </c>
      <c r="H2276" s="55">
        <v>13.6</v>
      </c>
      <c r="I2276" s="55">
        <v>0</v>
      </c>
      <c r="J2276" s="55">
        <v>13.6</v>
      </c>
      <c r="K2276" s="55">
        <v>0</v>
      </c>
      <c r="L2276" s="55">
        <v>0</v>
      </c>
      <c r="M2276" s="55">
        <v>0</v>
      </c>
      <c r="N2276" s="55">
        <v>0</v>
      </c>
    </row>
    <row r="2277" spans="1:14" ht="10.050000000000001" hidden="1" customHeight="1">
      <c r="A2277" s="52" t="s">
        <v>306</v>
      </c>
      <c r="B2277" s="53">
        <v>2014</v>
      </c>
      <c r="C2277" s="52" t="s">
        <v>118</v>
      </c>
      <c r="D2277" s="54">
        <v>4</v>
      </c>
      <c r="E2277" s="55">
        <v>7809.4</v>
      </c>
      <c r="F2277" s="55">
        <v>123.2</v>
      </c>
      <c r="G2277" s="55">
        <v>7932.6</v>
      </c>
      <c r="H2277" s="55">
        <v>100555.2</v>
      </c>
      <c r="I2277" s="55">
        <v>3887.4</v>
      </c>
      <c r="J2277" s="55">
        <v>104442.6</v>
      </c>
      <c r="K2277" s="55">
        <v>8375.9000000000106</v>
      </c>
      <c r="L2277" s="55">
        <v>500</v>
      </c>
      <c r="M2277" s="55">
        <v>4529.8</v>
      </c>
      <c r="N2277" s="55">
        <v>448.3</v>
      </c>
    </row>
    <row r="2278" spans="1:14" ht="10.050000000000001" hidden="1" customHeight="1">
      <c r="A2278" s="52" t="s">
        <v>172</v>
      </c>
      <c r="B2278" s="53">
        <v>2014</v>
      </c>
      <c r="C2278" s="52" t="s">
        <v>118</v>
      </c>
      <c r="D2278" s="54">
        <v>4</v>
      </c>
      <c r="E2278" s="55">
        <v>87135.2</v>
      </c>
      <c r="F2278" s="55">
        <v>898.1</v>
      </c>
      <c r="G2278" s="55">
        <v>88033.3</v>
      </c>
      <c r="H2278" s="55">
        <v>187350.6</v>
      </c>
      <c r="I2278" s="55">
        <v>7293.3</v>
      </c>
      <c r="J2278" s="55">
        <v>194643.9</v>
      </c>
      <c r="K2278" s="55">
        <v>31393.9</v>
      </c>
      <c r="L2278" s="55">
        <v>7614</v>
      </c>
      <c r="M2278" s="55">
        <v>40038.400000000001</v>
      </c>
      <c r="N2278" s="55">
        <v>327.2</v>
      </c>
    </row>
    <row r="2279" spans="1:14" ht="10.050000000000001" hidden="1" customHeight="1">
      <c r="A2279" s="52" t="s">
        <v>171</v>
      </c>
      <c r="B2279" s="53">
        <v>2014</v>
      </c>
      <c r="C2279" s="52" t="s">
        <v>118</v>
      </c>
      <c r="D2279" s="54">
        <v>4</v>
      </c>
      <c r="E2279" s="55">
        <v>1693027.1</v>
      </c>
      <c r="F2279" s="55">
        <v>4415.8999999999996</v>
      </c>
      <c r="G2279" s="55">
        <v>1697443</v>
      </c>
      <c r="H2279" s="55">
        <v>4940915</v>
      </c>
      <c r="I2279" s="55">
        <v>61326.9</v>
      </c>
      <c r="J2279" s="55">
        <v>5002241.9000000004</v>
      </c>
      <c r="K2279" s="55">
        <v>889882.7</v>
      </c>
      <c r="L2279" s="55">
        <v>232118.5</v>
      </c>
      <c r="M2279" s="55">
        <v>962258.4</v>
      </c>
      <c r="N2279" s="55">
        <v>25235</v>
      </c>
    </row>
    <row r="2280" spans="1:14" ht="10.050000000000001" hidden="1" customHeight="1">
      <c r="A2280" s="52" t="s">
        <v>300</v>
      </c>
      <c r="B2280" s="53">
        <v>2014</v>
      </c>
      <c r="C2280" s="52" t="s">
        <v>118</v>
      </c>
      <c r="D2280" s="54">
        <v>4</v>
      </c>
      <c r="E2280" s="55">
        <v>73.8</v>
      </c>
      <c r="F2280" s="55">
        <v>0</v>
      </c>
      <c r="G2280" s="55">
        <v>73.8</v>
      </c>
      <c r="H2280" s="55">
        <v>2265</v>
      </c>
      <c r="I2280" s="55">
        <v>48.7</v>
      </c>
      <c r="J2280" s="55">
        <v>2313.6999999999998</v>
      </c>
      <c r="K2280" s="55">
        <v>7.1</v>
      </c>
      <c r="L2280" s="55">
        <v>0</v>
      </c>
      <c r="M2280" s="55">
        <v>0</v>
      </c>
      <c r="N2280" s="55">
        <v>0</v>
      </c>
    </row>
    <row r="2281" spans="1:14" ht="10.050000000000001" hidden="1" customHeight="1">
      <c r="A2281" s="52" t="s">
        <v>307</v>
      </c>
      <c r="B2281" s="53">
        <v>2014</v>
      </c>
      <c r="C2281" s="52" t="s">
        <v>118</v>
      </c>
      <c r="D2281" s="54">
        <v>4</v>
      </c>
      <c r="E2281" s="55">
        <v>388340.7</v>
      </c>
      <c r="F2281" s="55">
        <v>13541.8</v>
      </c>
      <c r="G2281" s="55">
        <v>401882.5</v>
      </c>
      <c r="H2281" s="55">
        <v>3477416.6</v>
      </c>
      <c r="I2281" s="55">
        <v>41974.3</v>
      </c>
      <c r="J2281" s="55">
        <v>3519390.9</v>
      </c>
      <c r="K2281" s="55">
        <v>1241741.8</v>
      </c>
      <c r="L2281" s="55">
        <v>51474.5</v>
      </c>
      <c r="M2281" s="55">
        <v>270374.2</v>
      </c>
      <c r="N2281" s="55">
        <v>47208.5</v>
      </c>
    </row>
    <row r="2282" spans="1:14" ht="10.050000000000001" hidden="1" customHeight="1">
      <c r="A2282" s="52" t="s">
        <v>315</v>
      </c>
      <c r="B2282" s="53">
        <v>2014</v>
      </c>
      <c r="C2282" s="52" t="s">
        <v>118</v>
      </c>
      <c r="D2282" s="54">
        <v>4</v>
      </c>
      <c r="E2282" s="55">
        <v>620.9</v>
      </c>
      <c r="F2282" s="55">
        <v>0</v>
      </c>
      <c r="G2282" s="55">
        <v>620.9</v>
      </c>
      <c r="H2282" s="55">
        <v>18100.400000000001</v>
      </c>
      <c r="I2282" s="55">
        <v>32.700000000000003</v>
      </c>
      <c r="J2282" s="55">
        <v>18133.099999999999</v>
      </c>
      <c r="K2282" s="55">
        <v>895.8</v>
      </c>
      <c r="L2282" s="55">
        <v>8.1999999999999993</v>
      </c>
      <c r="M2282" s="55">
        <v>368.2</v>
      </c>
      <c r="N2282" s="55">
        <v>46.4</v>
      </c>
    </row>
    <row r="2283" spans="1:14" ht="10.050000000000001" hidden="1" customHeight="1">
      <c r="A2283" s="52" t="s">
        <v>311</v>
      </c>
      <c r="B2283" s="53">
        <v>2014</v>
      </c>
      <c r="C2283" s="52" t="s">
        <v>118</v>
      </c>
      <c r="D2283" s="54">
        <v>4</v>
      </c>
      <c r="E2283" s="55">
        <v>0</v>
      </c>
      <c r="F2283" s="55">
        <v>0</v>
      </c>
      <c r="G2283" s="55">
        <v>0</v>
      </c>
      <c r="H2283" s="55">
        <v>0</v>
      </c>
      <c r="I2283" s="55">
        <v>0</v>
      </c>
      <c r="J2283" s="55">
        <v>0</v>
      </c>
      <c r="K2283" s="55">
        <v>10.1</v>
      </c>
      <c r="L2283" s="55">
        <v>0</v>
      </c>
      <c r="M2283" s="55">
        <v>0</v>
      </c>
      <c r="N2283" s="55">
        <v>6.7</v>
      </c>
    </row>
    <row r="2284" spans="1:14" ht="10.050000000000001" hidden="1" customHeight="1">
      <c r="A2284" s="52" t="s">
        <v>173</v>
      </c>
      <c r="B2284" s="53">
        <v>2014</v>
      </c>
      <c r="C2284" s="52" t="s">
        <v>118</v>
      </c>
      <c r="D2284" s="54">
        <v>4</v>
      </c>
      <c r="E2284" s="55">
        <v>260362.5</v>
      </c>
      <c r="F2284" s="55">
        <v>2840.7</v>
      </c>
      <c r="G2284" s="55">
        <v>263203.20000000001</v>
      </c>
      <c r="H2284" s="55">
        <v>1957641</v>
      </c>
      <c r="I2284" s="55">
        <v>19075.3</v>
      </c>
      <c r="J2284" s="55">
        <v>1976716.3</v>
      </c>
      <c r="K2284" s="55">
        <v>194102.8</v>
      </c>
      <c r="L2284" s="55">
        <v>21165.7</v>
      </c>
      <c r="M2284" s="55">
        <v>136551.9</v>
      </c>
      <c r="N2284" s="55">
        <v>11934.7</v>
      </c>
    </row>
    <row r="2285" spans="1:14" ht="10.050000000000001" customHeight="1">
      <c r="A2285" s="52" t="s">
        <v>309</v>
      </c>
      <c r="B2285" s="53">
        <v>2014</v>
      </c>
      <c r="C2285" s="52" t="s">
        <v>118</v>
      </c>
      <c r="D2285" s="54">
        <v>4</v>
      </c>
      <c r="E2285" s="55">
        <v>6648.4</v>
      </c>
      <c r="F2285" s="55">
        <v>0</v>
      </c>
      <c r="G2285" s="55">
        <v>6648.4</v>
      </c>
      <c r="H2285" s="55">
        <v>67892.399999999994</v>
      </c>
      <c r="I2285" s="55">
        <v>0</v>
      </c>
      <c r="J2285" s="55">
        <v>67892.399999999994</v>
      </c>
      <c r="K2285" s="55">
        <v>1419.4</v>
      </c>
      <c r="L2285" s="55">
        <v>0</v>
      </c>
      <c r="M2285" s="55">
        <v>6053.1</v>
      </c>
      <c r="N2285" s="55">
        <v>24.4</v>
      </c>
    </row>
    <row r="2286" spans="1:14" ht="10.050000000000001" hidden="1" customHeight="1">
      <c r="A2286" s="52" t="s">
        <v>316</v>
      </c>
      <c r="B2286" s="53">
        <v>2014</v>
      </c>
      <c r="C2286" s="52" t="s">
        <v>118</v>
      </c>
      <c r="D2286" s="54">
        <v>4</v>
      </c>
      <c r="E2286" s="55">
        <v>44</v>
      </c>
      <c r="F2286" s="55">
        <v>0</v>
      </c>
      <c r="G2286" s="55">
        <v>44</v>
      </c>
      <c r="H2286" s="55">
        <v>3216.7</v>
      </c>
      <c r="I2286" s="55">
        <v>51.1</v>
      </c>
      <c r="J2286" s="55">
        <v>3267.8</v>
      </c>
      <c r="K2286" s="55">
        <v>65.5</v>
      </c>
      <c r="L2286" s="55">
        <v>0</v>
      </c>
      <c r="M2286" s="55">
        <v>0</v>
      </c>
      <c r="N2286" s="55">
        <v>8.1999999999999993</v>
      </c>
    </row>
    <row r="2287" spans="1:14" ht="10.050000000000001" hidden="1" customHeight="1">
      <c r="A2287" s="52" t="s">
        <v>310</v>
      </c>
      <c r="B2287" s="53">
        <v>2014</v>
      </c>
      <c r="C2287" s="52" t="s">
        <v>118</v>
      </c>
      <c r="D2287" s="54">
        <v>4</v>
      </c>
      <c r="E2287" s="55">
        <v>3177.3</v>
      </c>
      <c r="F2287" s="55">
        <v>0</v>
      </c>
      <c r="G2287" s="55">
        <v>3177.3</v>
      </c>
      <c r="H2287" s="55">
        <v>30776.6</v>
      </c>
      <c r="I2287" s="55">
        <v>487.8</v>
      </c>
      <c r="J2287" s="55">
        <v>31264.400000000001</v>
      </c>
      <c r="K2287" s="55">
        <v>1757</v>
      </c>
      <c r="L2287" s="55">
        <v>37.1</v>
      </c>
      <c r="M2287" s="55">
        <v>1541.6</v>
      </c>
      <c r="N2287" s="55">
        <v>241.7</v>
      </c>
    </row>
    <row r="2288" spans="1:14" ht="10.050000000000001" hidden="1" customHeight="1">
      <c r="A2288" s="52" t="s">
        <v>308</v>
      </c>
      <c r="B2288" s="53">
        <v>2014</v>
      </c>
      <c r="C2288" s="52" t="s">
        <v>118</v>
      </c>
      <c r="D2288" s="54">
        <v>4</v>
      </c>
      <c r="E2288" s="55">
        <v>3419.2</v>
      </c>
      <c r="F2288" s="55">
        <v>0</v>
      </c>
      <c r="G2288" s="55">
        <v>3419.2</v>
      </c>
      <c r="H2288" s="55">
        <v>42005.2</v>
      </c>
      <c r="I2288" s="55">
        <v>668.2</v>
      </c>
      <c r="J2288" s="55">
        <v>42673.4</v>
      </c>
      <c r="K2288" s="55">
        <v>4178.3999999999996</v>
      </c>
      <c r="L2288" s="55">
        <v>40.4</v>
      </c>
      <c r="M2288" s="55">
        <v>2325</v>
      </c>
      <c r="N2288" s="55">
        <v>393.9</v>
      </c>
    </row>
    <row r="2289" spans="1:14" ht="10.050000000000001" hidden="1" customHeight="1">
      <c r="A2289" s="52" t="s">
        <v>174</v>
      </c>
      <c r="B2289" s="53">
        <v>2014</v>
      </c>
      <c r="C2289" s="52" t="s">
        <v>118</v>
      </c>
      <c r="D2289" s="54">
        <v>4</v>
      </c>
      <c r="E2289" s="55">
        <v>14459.9</v>
      </c>
      <c r="F2289" s="55">
        <v>299.10000000000002</v>
      </c>
      <c r="G2289" s="55">
        <v>14759</v>
      </c>
      <c r="H2289" s="55">
        <v>134147.5</v>
      </c>
      <c r="I2289" s="55">
        <v>8322.2999999999993</v>
      </c>
      <c r="J2289" s="55">
        <v>142469.79999999999</v>
      </c>
      <c r="K2289" s="55">
        <v>40015.199999999997</v>
      </c>
      <c r="L2289" s="55">
        <v>2006.1</v>
      </c>
      <c r="M2289" s="55">
        <v>6950.6</v>
      </c>
      <c r="N2289" s="55">
        <v>5696.7</v>
      </c>
    </row>
    <row r="2290" spans="1:14" ht="10.050000000000001" hidden="1" customHeight="1">
      <c r="A2290" s="52" t="s">
        <v>314</v>
      </c>
      <c r="B2290" s="53">
        <v>2014</v>
      </c>
      <c r="C2290" s="52" t="s">
        <v>118</v>
      </c>
      <c r="D2290" s="54">
        <v>5</v>
      </c>
      <c r="E2290" s="55">
        <v>0</v>
      </c>
      <c r="F2290" s="55">
        <v>0</v>
      </c>
      <c r="G2290" s="55">
        <v>0</v>
      </c>
      <c r="H2290" s="55">
        <v>13.6</v>
      </c>
      <c r="I2290" s="55">
        <v>0</v>
      </c>
      <c r="J2290" s="55">
        <v>13.6</v>
      </c>
      <c r="K2290" s="55">
        <v>0</v>
      </c>
      <c r="L2290" s="55">
        <v>0</v>
      </c>
      <c r="M2290" s="55">
        <v>0</v>
      </c>
      <c r="N2290" s="55">
        <v>0</v>
      </c>
    </row>
    <row r="2291" spans="1:14" ht="10.050000000000001" hidden="1" customHeight="1">
      <c r="A2291" s="52" t="s">
        <v>306</v>
      </c>
      <c r="B2291" s="53">
        <v>2014</v>
      </c>
      <c r="C2291" s="52" t="s">
        <v>118</v>
      </c>
      <c r="D2291" s="54">
        <v>5</v>
      </c>
      <c r="E2291" s="55">
        <v>7156.8</v>
      </c>
      <c r="F2291" s="55">
        <v>232.1</v>
      </c>
      <c r="G2291" s="55">
        <v>7388.9</v>
      </c>
      <c r="H2291" s="55">
        <v>85887.1</v>
      </c>
      <c r="I2291" s="55">
        <v>3616.2</v>
      </c>
      <c r="J2291" s="55">
        <v>89503.3</v>
      </c>
      <c r="K2291" s="55">
        <v>3812.4</v>
      </c>
      <c r="L2291" s="55">
        <v>582.20000000000005</v>
      </c>
      <c r="M2291" s="55">
        <v>4575.3999999999996</v>
      </c>
      <c r="N2291" s="55">
        <v>570.79999999999995</v>
      </c>
    </row>
    <row r="2292" spans="1:14" ht="10.050000000000001" hidden="1" customHeight="1">
      <c r="A2292" s="52" t="s">
        <v>172</v>
      </c>
      <c r="B2292" s="53">
        <v>2014</v>
      </c>
      <c r="C2292" s="52" t="s">
        <v>118</v>
      </c>
      <c r="D2292" s="54">
        <v>5</v>
      </c>
      <c r="E2292" s="55">
        <v>47988.800000000003</v>
      </c>
      <c r="F2292" s="55">
        <v>302.89999999999998</v>
      </c>
      <c r="G2292" s="55">
        <v>48291.7</v>
      </c>
      <c r="H2292" s="55">
        <v>122354</v>
      </c>
      <c r="I2292" s="55">
        <v>6092</v>
      </c>
      <c r="J2292" s="55">
        <v>128446</v>
      </c>
      <c r="K2292" s="55">
        <v>16280.4</v>
      </c>
      <c r="L2292" s="55">
        <v>5695.7</v>
      </c>
      <c r="M2292" s="55">
        <v>19455.099999999999</v>
      </c>
      <c r="N2292" s="55">
        <v>1346.3</v>
      </c>
    </row>
    <row r="2293" spans="1:14" ht="10.050000000000001" hidden="1" customHeight="1">
      <c r="A2293" s="52" t="s">
        <v>171</v>
      </c>
      <c r="B2293" s="53">
        <v>2014</v>
      </c>
      <c r="C2293" s="52" t="s">
        <v>118</v>
      </c>
      <c r="D2293" s="54">
        <v>5</v>
      </c>
      <c r="E2293" s="55">
        <v>1306007.3</v>
      </c>
      <c r="F2293" s="55">
        <v>860</v>
      </c>
      <c r="G2293" s="55">
        <v>1306867.3</v>
      </c>
      <c r="H2293" s="55">
        <v>3761705.4</v>
      </c>
      <c r="I2293" s="55">
        <v>58490.2</v>
      </c>
      <c r="J2293" s="55">
        <v>3820195.6</v>
      </c>
      <c r="K2293" s="55">
        <v>306511.5</v>
      </c>
      <c r="L2293" s="55">
        <v>164663.20000000001</v>
      </c>
      <c r="M2293" s="55">
        <v>726375.4</v>
      </c>
      <c r="N2293" s="55">
        <v>21963.5</v>
      </c>
    </row>
    <row r="2294" spans="1:14" ht="10.050000000000001" hidden="1" customHeight="1">
      <c r="A2294" s="52" t="s">
        <v>300</v>
      </c>
      <c r="B2294" s="53">
        <v>2014</v>
      </c>
      <c r="C2294" s="52" t="s">
        <v>118</v>
      </c>
      <c r="D2294" s="54">
        <v>5</v>
      </c>
      <c r="E2294" s="55">
        <v>85.5</v>
      </c>
      <c r="F2294" s="55">
        <v>0</v>
      </c>
      <c r="G2294" s="55">
        <v>85.5</v>
      </c>
      <c r="H2294" s="55">
        <v>1877.3</v>
      </c>
      <c r="I2294" s="55">
        <v>48.7</v>
      </c>
      <c r="J2294" s="55">
        <v>1926</v>
      </c>
      <c r="K2294" s="55">
        <v>7.1</v>
      </c>
      <c r="L2294" s="55">
        <v>0</v>
      </c>
      <c r="M2294" s="55">
        <v>0</v>
      </c>
      <c r="N2294" s="55">
        <v>0</v>
      </c>
    </row>
    <row r="2295" spans="1:14" ht="10.050000000000001" hidden="1" customHeight="1">
      <c r="A2295" s="52" t="s">
        <v>307</v>
      </c>
      <c r="B2295" s="53">
        <v>2014</v>
      </c>
      <c r="C2295" s="52" t="s">
        <v>118</v>
      </c>
      <c r="D2295" s="54">
        <v>5</v>
      </c>
      <c r="E2295" s="55">
        <v>472283.3</v>
      </c>
      <c r="F2295" s="55">
        <v>0</v>
      </c>
      <c r="G2295" s="55">
        <v>472283.3</v>
      </c>
      <c r="H2295" s="55">
        <v>2893649.8</v>
      </c>
      <c r="I2295" s="55">
        <v>40740.5</v>
      </c>
      <c r="J2295" s="55">
        <v>2934390.3</v>
      </c>
      <c r="K2295" s="55">
        <v>871523.4</v>
      </c>
      <c r="L2295" s="55">
        <v>39467.1</v>
      </c>
      <c r="M2295" s="55">
        <v>343084.3</v>
      </c>
      <c r="N2295" s="55">
        <v>66655</v>
      </c>
    </row>
    <row r="2296" spans="1:14" ht="10.050000000000001" hidden="1" customHeight="1">
      <c r="A2296" s="52" t="s">
        <v>315</v>
      </c>
      <c r="B2296" s="53">
        <v>2014</v>
      </c>
      <c r="C2296" s="52" t="s">
        <v>118</v>
      </c>
      <c r="D2296" s="54">
        <v>5</v>
      </c>
      <c r="E2296" s="55">
        <v>818.8</v>
      </c>
      <c r="F2296" s="55">
        <v>0</v>
      </c>
      <c r="G2296" s="55">
        <v>818.8</v>
      </c>
      <c r="H2296" s="55">
        <v>16178.5</v>
      </c>
      <c r="I2296" s="55">
        <v>32.700000000000003</v>
      </c>
      <c r="J2296" s="55">
        <v>16211.2</v>
      </c>
      <c r="K2296" s="55">
        <v>347.4</v>
      </c>
      <c r="L2296" s="55">
        <v>6.5</v>
      </c>
      <c r="M2296" s="55">
        <v>554.4</v>
      </c>
      <c r="N2296" s="55">
        <v>0.5</v>
      </c>
    </row>
    <row r="2297" spans="1:14" ht="10.050000000000001" hidden="1" customHeight="1">
      <c r="A2297" s="52" t="s">
        <v>311</v>
      </c>
      <c r="B2297" s="53">
        <v>2014</v>
      </c>
      <c r="C2297" s="52" t="s">
        <v>118</v>
      </c>
      <c r="D2297" s="54">
        <v>5</v>
      </c>
      <c r="E2297" s="55">
        <v>0</v>
      </c>
      <c r="F2297" s="55">
        <v>0</v>
      </c>
      <c r="G2297" s="55">
        <v>0</v>
      </c>
      <c r="H2297" s="55">
        <v>0</v>
      </c>
      <c r="I2297" s="55">
        <v>0</v>
      </c>
      <c r="J2297" s="55">
        <v>0</v>
      </c>
      <c r="K2297" s="55">
        <v>4.0999999999999996</v>
      </c>
      <c r="L2297" s="55">
        <v>0</v>
      </c>
      <c r="M2297" s="55">
        <v>0</v>
      </c>
      <c r="N2297" s="55">
        <v>6</v>
      </c>
    </row>
    <row r="2298" spans="1:14" ht="10.050000000000001" hidden="1" customHeight="1">
      <c r="A2298" s="52" t="s">
        <v>173</v>
      </c>
      <c r="B2298" s="53">
        <v>2014</v>
      </c>
      <c r="C2298" s="52" t="s">
        <v>118</v>
      </c>
      <c r="D2298" s="54">
        <v>5</v>
      </c>
      <c r="E2298" s="55">
        <v>204375.8</v>
      </c>
      <c r="F2298" s="55">
        <v>318.7</v>
      </c>
      <c r="G2298" s="55">
        <v>204694.5</v>
      </c>
      <c r="H2298" s="55">
        <v>1598299</v>
      </c>
      <c r="I2298" s="55">
        <v>16211.9</v>
      </c>
      <c r="J2298" s="55">
        <v>1614510.9</v>
      </c>
      <c r="K2298" s="55">
        <v>86023.9</v>
      </c>
      <c r="L2298" s="55">
        <v>17285.400000000001</v>
      </c>
      <c r="M2298" s="55">
        <v>110334.5</v>
      </c>
      <c r="N2298" s="55">
        <v>15030.4</v>
      </c>
    </row>
    <row r="2299" spans="1:14" ht="10.050000000000001" customHeight="1">
      <c r="A2299" s="52" t="s">
        <v>309</v>
      </c>
      <c r="B2299" s="53">
        <v>2014</v>
      </c>
      <c r="C2299" s="52" t="s">
        <v>118</v>
      </c>
      <c r="D2299" s="54">
        <v>5</v>
      </c>
      <c r="E2299" s="55">
        <v>580.20000000000005</v>
      </c>
      <c r="F2299" s="55">
        <v>0</v>
      </c>
      <c r="G2299" s="55">
        <v>580.20000000000005</v>
      </c>
      <c r="H2299" s="55">
        <v>57337.3</v>
      </c>
      <c r="I2299" s="55">
        <v>0</v>
      </c>
      <c r="J2299" s="55">
        <v>57337.3</v>
      </c>
      <c r="K2299" s="55">
        <v>1419.4</v>
      </c>
      <c r="L2299" s="55">
        <v>14.1</v>
      </c>
      <c r="M2299" s="55">
        <v>0</v>
      </c>
      <c r="N2299" s="55">
        <v>14.1</v>
      </c>
    </row>
    <row r="2300" spans="1:14" ht="10.050000000000001" hidden="1" customHeight="1">
      <c r="A2300" s="52" t="s">
        <v>316</v>
      </c>
      <c r="B2300" s="53">
        <v>2014</v>
      </c>
      <c r="C2300" s="52" t="s">
        <v>118</v>
      </c>
      <c r="D2300" s="54">
        <v>5</v>
      </c>
      <c r="E2300" s="55">
        <v>118.1</v>
      </c>
      <c r="F2300" s="55">
        <v>0</v>
      </c>
      <c r="G2300" s="55">
        <v>118.1</v>
      </c>
      <c r="H2300" s="55">
        <v>2573.8000000000002</v>
      </c>
      <c r="I2300" s="55">
        <v>48.3</v>
      </c>
      <c r="J2300" s="55">
        <v>2622.1</v>
      </c>
      <c r="K2300" s="55">
        <v>33</v>
      </c>
      <c r="L2300" s="55">
        <v>17.3</v>
      </c>
      <c r="M2300" s="55">
        <v>33.1</v>
      </c>
      <c r="N2300" s="55">
        <v>16.7</v>
      </c>
    </row>
    <row r="2301" spans="1:14" ht="10.050000000000001" hidden="1" customHeight="1">
      <c r="A2301" s="52" t="s">
        <v>310</v>
      </c>
      <c r="B2301" s="53">
        <v>2014</v>
      </c>
      <c r="C2301" s="52" t="s">
        <v>118</v>
      </c>
      <c r="D2301" s="54">
        <v>5</v>
      </c>
      <c r="E2301" s="55">
        <v>1475.4</v>
      </c>
      <c r="F2301" s="55">
        <v>0</v>
      </c>
      <c r="G2301" s="55">
        <v>1475.4</v>
      </c>
      <c r="H2301" s="55">
        <v>25466.799999999999</v>
      </c>
      <c r="I2301" s="55">
        <v>487.7</v>
      </c>
      <c r="J2301" s="55">
        <v>25954.5</v>
      </c>
      <c r="K2301" s="55">
        <v>1045.3</v>
      </c>
      <c r="L2301" s="55">
        <v>35.9</v>
      </c>
      <c r="M2301" s="55">
        <v>652.29999999999995</v>
      </c>
      <c r="N2301" s="55">
        <v>95.3</v>
      </c>
    </row>
    <row r="2302" spans="1:14" ht="10.050000000000001" hidden="1" customHeight="1">
      <c r="A2302" s="52" t="s">
        <v>308</v>
      </c>
      <c r="B2302" s="53">
        <v>2014</v>
      </c>
      <c r="C2302" s="52" t="s">
        <v>118</v>
      </c>
      <c r="D2302" s="54">
        <v>5</v>
      </c>
      <c r="E2302" s="55">
        <v>1819.5</v>
      </c>
      <c r="F2302" s="55">
        <v>0</v>
      </c>
      <c r="G2302" s="55">
        <v>1819.5</v>
      </c>
      <c r="H2302" s="55">
        <v>33552</v>
      </c>
      <c r="I2302" s="55">
        <v>542.5</v>
      </c>
      <c r="J2302" s="55">
        <v>34094.5</v>
      </c>
      <c r="K2302" s="55">
        <v>2806.7</v>
      </c>
      <c r="L2302" s="55">
        <v>12</v>
      </c>
      <c r="M2302" s="55">
        <v>1188</v>
      </c>
      <c r="N2302" s="55">
        <v>183.6</v>
      </c>
    </row>
    <row r="2303" spans="1:14" ht="10.050000000000001" hidden="1" customHeight="1">
      <c r="A2303" s="52" t="s">
        <v>174</v>
      </c>
      <c r="B2303" s="53">
        <v>2014</v>
      </c>
      <c r="C2303" s="52" t="s">
        <v>118</v>
      </c>
      <c r="D2303" s="54">
        <v>5</v>
      </c>
      <c r="E2303" s="55">
        <v>14558.7</v>
      </c>
      <c r="F2303" s="55">
        <v>0</v>
      </c>
      <c r="G2303" s="55">
        <v>14558.7</v>
      </c>
      <c r="H2303" s="55">
        <v>97536.7</v>
      </c>
      <c r="I2303" s="55">
        <v>7762</v>
      </c>
      <c r="J2303" s="55">
        <v>105298.7</v>
      </c>
      <c r="K2303" s="55">
        <v>27204.1</v>
      </c>
      <c r="L2303" s="55">
        <v>2093.5</v>
      </c>
      <c r="M2303" s="55">
        <v>7962.6</v>
      </c>
      <c r="N2303" s="55">
        <v>6942.5</v>
      </c>
    </row>
    <row r="2304" spans="1:14" ht="10.050000000000001" hidden="1" customHeight="1">
      <c r="A2304" s="52" t="s">
        <v>314</v>
      </c>
      <c r="B2304" s="53">
        <v>2014</v>
      </c>
      <c r="C2304" s="52" t="s">
        <v>118</v>
      </c>
      <c r="D2304" s="54">
        <v>6</v>
      </c>
      <c r="E2304" s="55">
        <v>0</v>
      </c>
      <c r="F2304" s="55">
        <v>0</v>
      </c>
      <c r="G2304" s="55">
        <v>0</v>
      </c>
      <c r="H2304" s="55">
        <v>13.6</v>
      </c>
      <c r="I2304" s="55">
        <v>0</v>
      </c>
      <c r="J2304" s="55">
        <v>13.6</v>
      </c>
      <c r="K2304" s="55">
        <v>0</v>
      </c>
      <c r="L2304" s="55">
        <v>0</v>
      </c>
      <c r="M2304" s="55">
        <v>0</v>
      </c>
      <c r="N2304" s="55">
        <v>0</v>
      </c>
    </row>
    <row r="2305" spans="1:14" ht="10.050000000000001" hidden="1" customHeight="1">
      <c r="A2305" s="52" t="s">
        <v>306</v>
      </c>
      <c r="B2305" s="53">
        <v>2014</v>
      </c>
      <c r="C2305" s="52" t="s">
        <v>118</v>
      </c>
      <c r="D2305" s="54">
        <v>6</v>
      </c>
      <c r="E2305" s="55">
        <v>5634.6</v>
      </c>
      <c r="F2305" s="55">
        <v>222</v>
      </c>
      <c r="G2305" s="55">
        <v>5856.6</v>
      </c>
      <c r="H2305" s="55">
        <v>63820.2</v>
      </c>
      <c r="I2305" s="55">
        <v>2300.6</v>
      </c>
      <c r="J2305" s="55">
        <v>66120.800000000003</v>
      </c>
      <c r="K2305" s="55">
        <v>1576.3</v>
      </c>
      <c r="L2305" s="55">
        <v>622</v>
      </c>
      <c r="M2305" s="55">
        <v>1747.4</v>
      </c>
      <c r="N2305" s="55">
        <v>1111</v>
      </c>
    </row>
    <row r="2306" spans="1:14" ht="10.050000000000001" hidden="1" customHeight="1">
      <c r="A2306" s="52" t="s">
        <v>172</v>
      </c>
      <c r="B2306" s="53">
        <v>2014</v>
      </c>
      <c r="C2306" s="52" t="s">
        <v>118</v>
      </c>
      <c r="D2306" s="54">
        <v>6</v>
      </c>
      <c r="E2306" s="55">
        <v>27239.5</v>
      </c>
      <c r="F2306" s="55">
        <v>0</v>
      </c>
      <c r="G2306" s="55">
        <v>27239.5</v>
      </c>
      <c r="H2306" s="55">
        <v>57291.9</v>
      </c>
      <c r="I2306" s="55">
        <v>4497.3999999999996</v>
      </c>
      <c r="J2306" s="55">
        <v>61789.3</v>
      </c>
      <c r="K2306" s="55">
        <v>8562.7000000000007</v>
      </c>
      <c r="L2306" s="55">
        <v>3620.6</v>
      </c>
      <c r="M2306" s="55">
        <v>11034.8</v>
      </c>
      <c r="N2306" s="55">
        <v>303.5</v>
      </c>
    </row>
    <row r="2307" spans="1:14" ht="10.050000000000001" hidden="1" customHeight="1">
      <c r="A2307" s="52" t="s">
        <v>171</v>
      </c>
      <c r="B2307" s="53">
        <v>2014</v>
      </c>
      <c r="C2307" s="52" t="s">
        <v>118</v>
      </c>
      <c r="D2307" s="54">
        <v>6</v>
      </c>
      <c r="E2307" s="55">
        <v>586849.30000000098</v>
      </c>
      <c r="F2307" s="55">
        <v>12709.4</v>
      </c>
      <c r="G2307" s="55">
        <v>599558.700000001</v>
      </c>
      <c r="H2307" s="55">
        <v>1705219.3</v>
      </c>
      <c r="I2307" s="55">
        <v>46272.3</v>
      </c>
      <c r="J2307" s="55">
        <v>1751491.6</v>
      </c>
      <c r="K2307" s="55">
        <v>110326.1</v>
      </c>
      <c r="L2307" s="55">
        <v>104689.9</v>
      </c>
      <c r="M2307" s="55">
        <v>257830.8</v>
      </c>
      <c r="N2307" s="55">
        <v>44965.9</v>
      </c>
    </row>
    <row r="2308" spans="1:14" ht="10.050000000000001" hidden="1" customHeight="1">
      <c r="A2308" s="52" t="s">
        <v>300</v>
      </c>
      <c r="B2308" s="53">
        <v>2014</v>
      </c>
      <c r="C2308" s="52" t="s">
        <v>118</v>
      </c>
      <c r="D2308" s="54">
        <v>6</v>
      </c>
      <c r="E2308" s="55">
        <v>199.7</v>
      </c>
      <c r="F2308" s="55">
        <v>173.2</v>
      </c>
      <c r="G2308" s="55">
        <v>372.9</v>
      </c>
      <c r="H2308" s="55">
        <v>1310.4000000000001</v>
      </c>
      <c r="I2308" s="55">
        <v>1.5</v>
      </c>
      <c r="J2308" s="55">
        <v>1311.9</v>
      </c>
      <c r="K2308" s="55">
        <v>0</v>
      </c>
      <c r="L2308" s="55">
        <v>0</v>
      </c>
      <c r="M2308" s="55">
        <v>0</v>
      </c>
      <c r="N2308" s="55">
        <v>7.1</v>
      </c>
    </row>
    <row r="2309" spans="1:14" ht="10.050000000000001" hidden="1" customHeight="1">
      <c r="A2309" s="52" t="s">
        <v>307</v>
      </c>
      <c r="B2309" s="53">
        <v>2014</v>
      </c>
      <c r="C2309" s="52" t="s">
        <v>118</v>
      </c>
      <c r="D2309" s="54">
        <v>6</v>
      </c>
      <c r="E2309" s="55">
        <v>632923.5</v>
      </c>
      <c r="F2309" s="55">
        <v>4157.3</v>
      </c>
      <c r="G2309" s="55">
        <v>637080.80000000005</v>
      </c>
      <c r="H2309" s="55">
        <v>2108578.9</v>
      </c>
      <c r="I2309" s="55">
        <v>40487.4</v>
      </c>
      <c r="J2309" s="55">
        <v>2149066.2999999998</v>
      </c>
      <c r="K2309" s="55">
        <v>420347.6</v>
      </c>
      <c r="L2309" s="55">
        <v>39247.5</v>
      </c>
      <c r="M2309" s="55">
        <v>423029.5</v>
      </c>
      <c r="N2309" s="55">
        <v>67364.800000000003</v>
      </c>
    </row>
    <row r="2310" spans="1:14" ht="10.050000000000001" hidden="1" customHeight="1">
      <c r="A2310" s="52" t="s">
        <v>315</v>
      </c>
      <c r="B2310" s="53">
        <v>2014</v>
      </c>
      <c r="C2310" s="52" t="s">
        <v>118</v>
      </c>
      <c r="D2310" s="54">
        <v>6</v>
      </c>
      <c r="E2310" s="55">
        <v>639.9</v>
      </c>
      <c r="F2310" s="55">
        <v>0</v>
      </c>
      <c r="G2310" s="55">
        <v>639.9</v>
      </c>
      <c r="H2310" s="55">
        <v>14791.3</v>
      </c>
      <c r="I2310" s="55">
        <v>32.5</v>
      </c>
      <c r="J2310" s="55">
        <v>14823.8</v>
      </c>
      <c r="K2310" s="55">
        <v>149.69999999999999</v>
      </c>
      <c r="L2310" s="55">
        <v>6.2</v>
      </c>
      <c r="M2310" s="55">
        <v>202.6</v>
      </c>
      <c r="N2310" s="55">
        <v>1.3</v>
      </c>
    </row>
    <row r="2311" spans="1:14" ht="10.050000000000001" hidden="1" customHeight="1">
      <c r="A2311" s="52" t="s">
        <v>311</v>
      </c>
      <c r="B2311" s="53">
        <v>2014</v>
      </c>
      <c r="C2311" s="52" t="s">
        <v>118</v>
      </c>
      <c r="D2311" s="54">
        <v>6</v>
      </c>
      <c r="E2311" s="55">
        <v>0</v>
      </c>
      <c r="F2311" s="55">
        <v>0</v>
      </c>
      <c r="G2311" s="55">
        <v>0</v>
      </c>
      <c r="H2311" s="55">
        <v>0</v>
      </c>
      <c r="I2311" s="55">
        <v>0</v>
      </c>
      <c r="J2311" s="55">
        <v>0</v>
      </c>
      <c r="K2311" s="55">
        <v>0</v>
      </c>
      <c r="L2311" s="55">
        <v>0</v>
      </c>
      <c r="M2311" s="55">
        <v>0</v>
      </c>
      <c r="N2311" s="55">
        <v>4.0999999999999996</v>
      </c>
    </row>
    <row r="2312" spans="1:14" ht="10.050000000000001" hidden="1" customHeight="1">
      <c r="A2312" s="52" t="s">
        <v>173</v>
      </c>
      <c r="B2312" s="53">
        <v>2014</v>
      </c>
      <c r="C2312" s="52" t="s">
        <v>118</v>
      </c>
      <c r="D2312" s="54">
        <v>6</v>
      </c>
      <c r="E2312" s="55">
        <v>106075.4</v>
      </c>
      <c r="F2312" s="55">
        <v>5634.3</v>
      </c>
      <c r="G2312" s="55">
        <v>111709.7</v>
      </c>
      <c r="H2312" s="55">
        <v>872517.30000000098</v>
      </c>
      <c r="I2312" s="55">
        <v>10982</v>
      </c>
      <c r="J2312" s="55">
        <v>883499.30000000098</v>
      </c>
      <c r="K2312" s="55">
        <v>71454.399999999994</v>
      </c>
      <c r="L2312" s="55">
        <v>43468.1</v>
      </c>
      <c r="M2312" s="55">
        <v>39891</v>
      </c>
      <c r="N2312" s="55">
        <v>20199.2</v>
      </c>
    </row>
    <row r="2313" spans="1:14" ht="10.050000000000001" customHeight="1">
      <c r="A2313" s="52" t="s">
        <v>309</v>
      </c>
      <c r="B2313" s="53">
        <v>2014</v>
      </c>
      <c r="C2313" s="52" t="s">
        <v>118</v>
      </c>
      <c r="D2313" s="54">
        <v>6</v>
      </c>
      <c r="E2313" s="55">
        <v>1897.3</v>
      </c>
      <c r="F2313" s="55">
        <v>0</v>
      </c>
      <c r="G2313" s="55">
        <v>1897.3</v>
      </c>
      <c r="H2313" s="55">
        <v>50058.5</v>
      </c>
      <c r="I2313" s="55">
        <v>0</v>
      </c>
      <c r="J2313" s="55">
        <v>50058.5</v>
      </c>
      <c r="K2313" s="55">
        <v>1222.4000000000001</v>
      </c>
      <c r="L2313" s="55">
        <v>0</v>
      </c>
      <c r="M2313" s="55">
        <v>197</v>
      </c>
      <c r="N2313" s="55">
        <v>0</v>
      </c>
    </row>
    <row r="2314" spans="1:14" ht="10.050000000000001" hidden="1" customHeight="1">
      <c r="A2314" s="52" t="s">
        <v>316</v>
      </c>
      <c r="B2314" s="53">
        <v>2014</v>
      </c>
      <c r="C2314" s="52" t="s">
        <v>118</v>
      </c>
      <c r="D2314" s="54">
        <v>6</v>
      </c>
      <c r="E2314" s="55">
        <v>168.9</v>
      </c>
      <c r="F2314" s="55">
        <v>3</v>
      </c>
      <c r="G2314" s="55">
        <v>171.9</v>
      </c>
      <c r="H2314" s="55">
        <v>1792.8</v>
      </c>
      <c r="I2314" s="55">
        <v>26.5</v>
      </c>
      <c r="J2314" s="55">
        <v>1819.3</v>
      </c>
      <c r="K2314" s="55">
        <v>33</v>
      </c>
      <c r="L2314" s="55">
        <v>0</v>
      </c>
      <c r="M2314" s="55">
        <v>0</v>
      </c>
      <c r="N2314" s="55">
        <v>0</v>
      </c>
    </row>
    <row r="2315" spans="1:14" ht="10.050000000000001" hidden="1" customHeight="1">
      <c r="A2315" s="52" t="s">
        <v>310</v>
      </c>
      <c r="B2315" s="53">
        <v>2014</v>
      </c>
      <c r="C2315" s="52" t="s">
        <v>118</v>
      </c>
      <c r="D2315" s="54">
        <v>6</v>
      </c>
      <c r="E2315" s="55">
        <v>1024.5999999999999</v>
      </c>
      <c r="F2315" s="55">
        <v>0</v>
      </c>
      <c r="G2315" s="55">
        <v>1024.5999999999999</v>
      </c>
      <c r="H2315" s="55">
        <v>16761.5</v>
      </c>
      <c r="I2315" s="55">
        <v>292.8</v>
      </c>
      <c r="J2315" s="55">
        <v>17054.3</v>
      </c>
      <c r="K2315" s="55">
        <v>454.1</v>
      </c>
      <c r="L2315" s="55">
        <v>112.8</v>
      </c>
      <c r="M2315" s="55">
        <v>264.89999999999998</v>
      </c>
      <c r="N2315" s="55">
        <v>439.2</v>
      </c>
    </row>
    <row r="2316" spans="1:14" ht="10.050000000000001" hidden="1" customHeight="1">
      <c r="A2316" s="52" t="s">
        <v>308</v>
      </c>
      <c r="B2316" s="53">
        <v>2014</v>
      </c>
      <c r="C2316" s="52" t="s">
        <v>118</v>
      </c>
      <c r="D2316" s="54">
        <v>6</v>
      </c>
      <c r="E2316" s="55">
        <v>2638.6</v>
      </c>
      <c r="F2316" s="55">
        <v>245.3</v>
      </c>
      <c r="G2316" s="55">
        <v>2883.9</v>
      </c>
      <c r="H2316" s="55">
        <v>22712</v>
      </c>
      <c r="I2316" s="55">
        <v>786.7</v>
      </c>
      <c r="J2316" s="55">
        <v>23498.7</v>
      </c>
      <c r="K2316" s="55">
        <v>861.7</v>
      </c>
      <c r="L2316" s="55">
        <v>48.1</v>
      </c>
      <c r="M2316" s="55">
        <v>1913.4</v>
      </c>
      <c r="N2316" s="55">
        <v>79.8</v>
      </c>
    </row>
    <row r="2317" spans="1:14" ht="10.050000000000001" hidden="1" customHeight="1">
      <c r="A2317" s="52" t="s">
        <v>174</v>
      </c>
      <c r="B2317" s="53">
        <v>2014</v>
      </c>
      <c r="C2317" s="52" t="s">
        <v>118</v>
      </c>
      <c r="D2317" s="54">
        <v>6</v>
      </c>
      <c r="E2317" s="55">
        <v>16433.900000000001</v>
      </c>
      <c r="F2317" s="55">
        <v>1137.5999999999999</v>
      </c>
      <c r="G2317" s="55">
        <v>17571.5</v>
      </c>
      <c r="H2317" s="55">
        <v>53103</v>
      </c>
      <c r="I2317" s="55">
        <v>6722.5</v>
      </c>
      <c r="J2317" s="55">
        <v>59825.5</v>
      </c>
      <c r="K2317" s="55">
        <v>13873.5</v>
      </c>
      <c r="L2317" s="55">
        <v>1281</v>
      </c>
      <c r="M2317" s="55">
        <v>6586.3</v>
      </c>
      <c r="N2317" s="55">
        <v>8024.9</v>
      </c>
    </row>
    <row r="2318" spans="1:14" ht="10.050000000000001" hidden="1" customHeight="1">
      <c r="A2318" s="52" t="s">
        <v>314</v>
      </c>
      <c r="B2318" s="53">
        <v>2014</v>
      </c>
      <c r="C2318" s="52" t="s">
        <v>119</v>
      </c>
      <c r="D2318" s="54">
        <v>7</v>
      </c>
      <c r="E2318" s="55">
        <v>25</v>
      </c>
      <c r="F2318" s="55">
        <v>0</v>
      </c>
      <c r="G2318" s="55">
        <v>25</v>
      </c>
      <c r="H2318" s="55">
        <v>13.6</v>
      </c>
      <c r="I2318" s="55">
        <v>0</v>
      </c>
      <c r="J2318" s="55">
        <v>13.6</v>
      </c>
      <c r="K2318" s="55">
        <v>0</v>
      </c>
      <c r="L2318" s="55">
        <v>0</v>
      </c>
      <c r="M2318" s="55">
        <v>0</v>
      </c>
      <c r="N2318" s="55">
        <v>0</v>
      </c>
    </row>
    <row r="2319" spans="1:14" ht="10.050000000000001" hidden="1" customHeight="1">
      <c r="A2319" s="52" t="s">
        <v>306</v>
      </c>
      <c r="B2319" s="53">
        <v>2014</v>
      </c>
      <c r="C2319" s="52" t="s">
        <v>119</v>
      </c>
      <c r="D2319" s="54">
        <v>7</v>
      </c>
      <c r="E2319" s="55">
        <v>100863.2</v>
      </c>
      <c r="F2319" s="55">
        <v>1559.1</v>
      </c>
      <c r="G2319" s="55">
        <v>102422.3</v>
      </c>
      <c r="H2319" s="55">
        <v>144724.9</v>
      </c>
      <c r="I2319" s="55">
        <v>3220.1</v>
      </c>
      <c r="J2319" s="55">
        <v>147945</v>
      </c>
      <c r="K2319" s="55">
        <v>32002</v>
      </c>
      <c r="L2319" s="55">
        <v>33112.6</v>
      </c>
      <c r="M2319" s="55">
        <v>2336.1</v>
      </c>
      <c r="N2319" s="55">
        <v>350.4</v>
      </c>
    </row>
    <row r="2320" spans="1:14" ht="10.050000000000001" hidden="1" customHeight="1">
      <c r="A2320" s="52" t="s">
        <v>172</v>
      </c>
      <c r="B2320" s="53">
        <v>2014</v>
      </c>
      <c r="C2320" s="52" t="s">
        <v>119</v>
      </c>
      <c r="D2320" s="54">
        <v>7</v>
      </c>
      <c r="E2320" s="55">
        <v>705722.8</v>
      </c>
      <c r="F2320" s="55">
        <v>26827.7</v>
      </c>
      <c r="G2320" s="55">
        <v>732550.5</v>
      </c>
      <c r="H2320" s="55">
        <v>675039.2</v>
      </c>
      <c r="I2320" s="55">
        <v>15570.4</v>
      </c>
      <c r="J2320" s="55">
        <v>690609.6</v>
      </c>
      <c r="K2320" s="55">
        <v>220032.8</v>
      </c>
      <c r="L2320" s="55">
        <v>250985.3</v>
      </c>
      <c r="M2320" s="55">
        <v>39465.300000000003</v>
      </c>
      <c r="N2320" s="55">
        <v>50.2</v>
      </c>
    </row>
    <row r="2321" spans="1:14" ht="10.050000000000001" hidden="1" customHeight="1">
      <c r="A2321" s="52" t="s">
        <v>171</v>
      </c>
      <c r="B2321" s="53">
        <v>2014</v>
      </c>
      <c r="C2321" s="52" t="s">
        <v>119</v>
      </c>
      <c r="D2321" s="54">
        <v>7</v>
      </c>
      <c r="E2321" s="55">
        <v>12055211</v>
      </c>
      <c r="F2321" s="55">
        <v>133516.5</v>
      </c>
      <c r="G2321" s="55">
        <v>12188727.5</v>
      </c>
      <c r="H2321" s="55">
        <v>11547629.300000001</v>
      </c>
      <c r="I2321" s="55">
        <v>148829</v>
      </c>
      <c r="J2321" s="55">
        <v>11696458.300000001</v>
      </c>
      <c r="K2321" s="55">
        <v>5759257</v>
      </c>
      <c r="L2321" s="55">
        <v>6010476.0999999996</v>
      </c>
      <c r="M2321" s="55">
        <v>325293.5</v>
      </c>
      <c r="N2321" s="55">
        <v>34960.5</v>
      </c>
    </row>
    <row r="2322" spans="1:14" ht="10.050000000000001" hidden="1" customHeight="1">
      <c r="A2322" s="52" t="s">
        <v>300</v>
      </c>
      <c r="B2322" s="53">
        <v>2014</v>
      </c>
      <c r="C2322" s="52" t="s">
        <v>119</v>
      </c>
      <c r="D2322" s="54">
        <v>7</v>
      </c>
      <c r="E2322" s="55">
        <v>1163.4000000000001</v>
      </c>
      <c r="F2322" s="55">
        <v>58.5</v>
      </c>
      <c r="G2322" s="55">
        <v>1221.9000000000001</v>
      </c>
      <c r="H2322" s="55">
        <v>2267.5</v>
      </c>
      <c r="I2322" s="55">
        <v>60</v>
      </c>
      <c r="J2322" s="55">
        <v>2327.5</v>
      </c>
      <c r="K2322" s="55">
        <v>42.9</v>
      </c>
      <c r="L2322" s="55">
        <v>42.9</v>
      </c>
      <c r="M2322" s="55">
        <v>0</v>
      </c>
      <c r="N2322" s="55">
        <v>0</v>
      </c>
    </row>
    <row r="2323" spans="1:14" ht="10.050000000000001" hidden="1" customHeight="1">
      <c r="A2323" s="52" t="s">
        <v>307</v>
      </c>
      <c r="B2323" s="53">
        <v>2014</v>
      </c>
      <c r="C2323" s="52" t="s">
        <v>119</v>
      </c>
      <c r="D2323" s="54">
        <v>7</v>
      </c>
      <c r="E2323" s="55">
        <v>199987.8</v>
      </c>
      <c r="F2323" s="55">
        <v>9.6999999999999993</v>
      </c>
      <c r="G2323" s="55">
        <v>199997.5</v>
      </c>
      <c r="H2323" s="55">
        <v>1369177.6</v>
      </c>
      <c r="I2323" s="55">
        <v>40615.4</v>
      </c>
      <c r="J2323" s="55">
        <v>1409793</v>
      </c>
      <c r="K2323" s="55">
        <v>326150.90000000002</v>
      </c>
      <c r="L2323" s="55">
        <v>37350.800000000003</v>
      </c>
      <c r="M2323" s="55">
        <v>99996.6</v>
      </c>
      <c r="N2323" s="55">
        <v>31857.3</v>
      </c>
    </row>
    <row r="2324" spans="1:14" ht="10.050000000000001" hidden="1" customHeight="1">
      <c r="A2324" s="52" t="s">
        <v>315</v>
      </c>
      <c r="B2324" s="53">
        <v>2014</v>
      </c>
      <c r="C2324" s="52" t="s">
        <v>119</v>
      </c>
      <c r="D2324" s="54">
        <v>7</v>
      </c>
      <c r="E2324" s="55">
        <v>271.2</v>
      </c>
      <c r="F2324" s="55">
        <v>0</v>
      </c>
      <c r="G2324" s="55">
        <v>271.2</v>
      </c>
      <c r="H2324" s="55">
        <v>11046.7</v>
      </c>
      <c r="I2324" s="55">
        <v>32.5</v>
      </c>
      <c r="J2324" s="55">
        <v>11079.2</v>
      </c>
      <c r="K2324" s="55">
        <v>152</v>
      </c>
      <c r="L2324" s="55">
        <v>16</v>
      </c>
      <c r="M2324" s="55">
        <v>10</v>
      </c>
      <c r="N2324" s="55">
        <v>3.7</v>
      </c>
    </row>
    <row r="2325" spans="1:14" ht="10.050000000000001" hidden="1" customHeight="1">
      <c r="A2325" s="52" t="s">
        <v>311</v>
      </c>
      <c r="B2325" s="53">
        <v>2014</v>
      </c>
      <c r="C2325" s="52" t="s">
        <v>119</v>
      </c>
      <c r="D2325" s="54">
        <v>7</v>
      </c>
      <c r="E2325" s="55">
        <v>0</v>
      </c>
      <c r="F2325" s="55">
        <v>0</v>
      </c>
      <c r="G2325" s="55">
        <v>0</v>
      </c>
      <c r="H2325" s="55">
        <v>0</v>
      </c>
      <c r="I2325" s="55">
        <v>0</v>
      </c>
      <c r="J2325" s="55">
        <v>0</v>
      </c>
      <c r="K2325" s="55">
        <v>37</v>
      </c>
      <c r="L2325" s="55">
        <v>44.1</v>
      </c>
      <c r="M2325" s="55">
        <v>0</v>
      </c>
      <c r="N2325" s="55">
        <v>7.1</v>
      </c>
    </row>
    <row r="2326" spans="1:14" ht="10.050000000000001" hidden="1" customHeight="1">
      <c r="A2326" s="52" t="s">
        <v>173</v>
      </c>
      <c r="B2326" s="53">
        <v>2014</v>
      </c>
      <c r="C2326" s="52" t="s">
        <v>119</v>
      </c>
      <c r="D2326" s="54">
        <v>7</v>
      </c>
      <c r="E2326" s="55">
        <v>5452335.2000000002</v>
      </c>
      <c r="F2326" s="55">
        <v>121655.7</v>
      </c>
      <c r="G2326" s="55">
        <v>5573990.9000000004</v>
      </c>
      <c r="H2326" s="55">
        <v>5271061.7</v>
      </c>
      <c r="I2326" s="55">
        <v>76103.100000000006</v>
      </c>
      <c r="J2326" s="55">
        <v>5347164.8</v>
      </c>
      <c r="K2326" s="55">
        <v>2004246.6</v>
      </c>
      <c r="L2326" s="55">
        <v>2429392</v>
      </c>
      <c r="M2326" s="55">
        <v>469226.4</v>
      </c>
      <c r="N2326" s="55">
        <v>25895.7</v>
      </c>
    </row>
    <row r="2327" spans="1:14" ht="10.050000000000001" customHeight="1">
      <c r="A2327" s="52" t="s">
        <v>309</v>
      </c>
      <c r="B2327" s="53">
        <v>2014</v>
      </c>
      <c r="C2327" s="52" t="s">
        <v>119</v>
      </c>
      <c r="D2327" s="54">
        <v>7</v>
      </c>
      <c r="E2327" s="55">
        <v>0</v>
      </c>
      <c r="F2327" s="55">
        <v>0</v>
      </c>
      <c r="G2327" s="55">
        <v>0</v>
      </c>
      <c r="H2327" s="55">
        <v>43540.7</v>
      </c>
      <c r="I2327" s="55">
        <v>0</v>
      </c>
      <c r="J2327" s="55">
        <v>43540.7</v>
      </c>
      <c r="K2327" s="55">
        <v>1209.2</v>
      </c>
      <c r="L2327" s="55">
        <v>0</v>
      </c>
      <c r="M2327" s="55">
        <v>0</v>
      </c>
      <c r="N2327" s="55">
        <v>13.2</v>
      </c>
    </row>
    <row r="2328" spans="1:14" ht="10.050000000000001" hidden="1" customHeight="1">
      <c r="A2328" s="52" t="s">
        <v>316</v>
      </c>
      <c r="B2328" s="53">
        <v>2014</v>
      </c>
      <c r="C2328" s="52" t="s">
        <v>119</v>
      </c>
      <c r="D2328" s="54">
        <v>7</v>
      </c>
      <c r="E2328" s="55">
        <v>33.5</v>
      </c>
      <c r="F2328" s="55">
        <v>0</v>
      </c>
      <c r="G2328" s="55">
        <v>33.5</v>
      </c>
      <c r="H2328" s="55">
        <v>1349.8</v>
      </c>
      <c r="I2328" s="55">
        <v>22.7</v>
      </c>
      <c r="J2328" s="55">
        <v>1372.5</v>
      </c>
      <c r="K2328" s="55">
        <v>21.8</v>
      </c>
      <c r="L2328" s="55">
        <v>0</v>
      </c>
      <c r="M2328" s="55">
        <v>11.2</v>
      </c>
      <c r="N2328" s="55">
        <v>0</v>
      </c>
    </row>
    <row r="2329" spans="1:14" ht="10.050000000000001" hidden="1" customHeight="1">
      <c r="A2329" s="52" t="s">
        <v>310</v>
      </c>
      <c r="B2329" s="53">
        <v>2014</v>
      </c>
      <c r="C2329" s="52" t="s">
        <v>119</v>
      </c>
      <c r="D2329" s="54">
        <v>7</v>
      </c>
      <c r="E2329" s="55">
        <v>11885.8</v>
      </c>
      <c r="F2329" s="55">
        <v>161.4</v>
      </c>
      <c r="G2329" s="55">
        <v>12047.2</v>
      </c>
      <c r="H2329" s="55">
        <v>23098.6</v>
      </c>
      <c r="I2329" s="55">
        <v>494.1</v>
      </c>
      <c r="J2329" s="55">
        <v>23592.7</v>
      </c>
      <c r="K2329" s="55">
        <v>6485.5</v>
      </c>
      <c r="L2329" s="55">
        <v>6800.3</v>
      </c>
      <c r="M2329" s="55">
        <v>746.4</v>
      </c>
      <c r="N2329" s="55">
        <v>22.4</v>
      </c>
    </row>
    <row r="2330" spans="1:14" ht="10.050000000000001" hidden="1" customHeight="1">
      <c r="A2330" s="52" t="s">
        <v>308</v>
      </c>
      <c r="B2330" s="53">
        <v>2014</v>
      </c>
      <c r="C2330" s="52" t="s">
        <v>119</v>
      </c>
      <c r="D2330" s="54">
        <v>7</v>
      </c>
      <c r="E2330" s="55">
        <v>281</v>
      </c>
      <c r="F2330" s="55">
        <v>0</v>
      </c>
      <c r="G2330" s="55">
        <v>281</v>
      </c>
      <c r="H2330" s="55">
        <v>15011.9</v>
      </c>
      <c r="I2330" s="55">
        <v>781.7</v>
      </c>
      <c r="J2330" s="55">
        <v>15793.6</v>
      </c>
      <c r="K2330" s="55">
        <v>804.5</v>
      </c>
      <c r="L2330" s="55">
        <v>1.6</v>
      </c>
      <c r="M2330" s="55">
        <v>70.900000000000006</v>
      </c>
      <c r="N2330" s="55">
        <v>0.1</v>
      </c>
    </row>
    <row r="2331" spans="1:14" ht="10.050000000000001" hidden="1" customHeight="1">
      <c r="A2331" s="52" t="s">
        <v>174</v>
      </c>
      <c r="B2331" s="53">
        <v>2014</v>
      </c>
      <c r="C2331" s="52" t="s">
        <v>119</v>
      </c>
      <c r="D2331" s="54">
        <v>7</v>
      </c>
      <c r="E2331" s="55">
        <v>295930.3</v>
      </c>
      <c r="F2331" s="55">
        <v>10845</v>
      </c>
      <c r="G2331" s="55">
        <v>306775.3</v>
      </c>
      <c r="H2331" s="55">
        <v>301428</v>
      </c>
      <c r="I2331" s="55">
        <v>16405</v>
      </c>
      <c r="J2331" s="55">
        <v>317833</v>
      </c>
      <c r="K2331" s="55">
        <v>131084.29999999999</v>
      </c>
      <c r="L2331" s="55">
        <v>134283</v>
      </c>
      <c r="M2331" s="55">
        <v>5089.8</v>
      </c>
      <c r="N2331" s="55">
        <v>12619.2</v>
      </c>
    </row>
    <row r="2332" spans="1:14" ht="10.050000000000001" hidden="1" customHeight="1">
      <c r="A2332" s="52" t="s">
        <v>314</v>
      </c>
      <c r="B2332" s="53">
        <v>2014</v>
      </c>
      <c r="C2332" s="52" t="s">
        <v>119</v>
      </c>
      <c r="D2332" s="54">
        <v>8</v>
      </c>
      <c r="E2332" s="55">
        <v>0</v>
      </c>
      <c r="F2332" s="55">
        <v>0</v>
      </c>
      <c r="G2332" s="55">
        <v>0</v>
      </c>
      <c r="H2332" s="55">
        <v>13.6</v>
      </c>
      <c r="I2332" s="55">
        <v>0</v>
      </c>
      <c r="J2332" s="55">
        <v>13.6</v>
      </c>
      <c r="K2332" s="55">
        <v>0</v>
      </c>
      <c r="L2332" s="55">
        <v>0</v>
      </c>
      <c r="M2332" s="55">
        <v>0</v>
      </c>
      <c r="N2332" s="55">
        <v>0</v>
      </c>
    </row>
    <row r="2333" spans="1:14" ht="10.050000000000001" hidden="1" customHeight="1">
      <c r="A2333" s="52" t="s">
        <v>306</v>
      </c>
      <c r="B2333" s="53">
        <v>2014</v>
      </c>
      <c r="C2333" s="52" t="s">
        <v>119</v>
      </c>
      <c r="D2333" s="54">
        <v>8</v>
      </c>
      <c r="E2333" s="55">
        <v>57349.5</v>
      </c>
      <c r="F2333" s="55">
        <v>2114.9</v>
      </c>
      <c r="G2333" s="55">
        <v>59464.4</v>
      </c>
      <c r="H2333" s="55">
        <v>179368.7</v>
      </c>
      <c r="I2333" s="55">
        <v>4278.8999999999996</v>
      </c>
      <c r="J2333" s="55">
        <v>183647.6</v>
      </c>
      <c r="K2333" s="55">
        <v>34304.800000000003</v>
      </c>
      <c r="L2333" s="55">
        <v>14155.6</v>
      </c>
      <c r="M2333" s="55">
        <v>11384.6</v>
      </c>
      <c r="N2333" s="55">
        <v>471.2</v>
      </c>
    </row>
    <row r="2334" spans="1:14" ht="10.050000000000001" hidden="1" customHeight="1">
      <c r="A2334" s="52" t="s">
        <v>172</v>
      </c>
      <c r="B2334" s="53">
        <v>2014</v>
      </c>
      <c r="C2334" s="52" t="s">
        <v>119</v>
      </c>
      <c r="D2334" s="54">
        <v>8</v>
      </c>
      <c r="E2334" s="55">
        <v>103696.5</v>
      </c>
      <c r="F2334" s="55">
        <v>18268.3</v>
      </c>
      <c r="G2334" s="55">
        <v>121964.8</v>
      </c>
      <c r="H2334" s="55">
        <v>691851.5</v>
      </c>
      <c r="I2334" s="55">
        <v>16014.9</v>
      </c>
      <c r="J2334" s="55">
        <v>707866.4</v>
      </c>
      <c r="K2334" s="55">
        <v>194778.6</v>
      </c>
      <c r="L2334" s="55">
        <v>22036.400000000001</v>
      </c>
      <c r="M2334" s="55">
        <v>46338.1</v>
      </c>
      <c r="N2334" s="55">
        <v>952.4</v>
      </c>
    </row>
    <row r="2335" spans="1:14" ht="10.050000000000001" hidden="1" customHeight="1">
      <c r="A2335" s="52" t="s">
        <v>171</v>
      </c>
      <c r="B2335" s="53">
        <v>2014</v>
      </c>
      <c r="C2335" s="52" t="s">
        <v>119</v>
      </c>
      <c r="D2335" s="54">
        <v>8</v>
      </c>
      <c r="E2335" s="55">
        <v>4801483.4000000004</v>
      </c>
      <c r="F2335" s="55">
        <v>178570.8</v>
      </c>
      <c r="G2335" s="55">
        <v>4980054.2</v>
      </c>
      <c r="H2335" s="55">
        <v>13435315.699999999</v>
      </c>
      <c r="I2335" s="55">
        <v>190731.7</v>
      </c>
      <c r="J2335" s="55">
        <v>13626047.4</v>
      </c>
      <c r="K2335" s="55">
        <v>7507134</v>
      </c>
      <c r="L2335" s="55">
        <v>3249560.3</v>
      </c>
      <c r="M2335" s="55">
        <v>1468287.9</v>
      </c>
      <c r="N2335" s="55">
        <v>32900.5</v>
      </c>
    </row>
    <row r="2336" spans="1:14" ht="10.050000000000001" hidden="1" customHeight="1">
      <c r="A2336" s="52" t="s">
        <v>300</v>
      </c>
      <c r="B2336" s="53">
        <v>2014</v>
      </c>
      <c r="C2336" s="52" t="s">
        <v>119</v>
      </c>
      <c r="D2336" s="54">
        <v>8</v>
      </c>
      <c r="E2336" s="55">
        <v>1429.5</v>
      </c>
      <c r="F2336" s="55">
        <v>63.6</v>
      </c>
      <c r="G2336" s="55">
        <v>1493.1</v>
      </c>
      <c r="H2336" s="55">
        <v>3100.6</v>
      </c>
      <c r="I2336" s="55">
        <v>123.6</v>
      </c>
      <c r="J2336" s="55">
        <v>3224.2</v>
      </c>
      <c r="K2336" s="55">
        <v>5.2</v>
      </c>
      <c r="L2336" s="55">
        <v>1.4</v>
      </c>
      <c r="M2336" s="55">
        <v>0</v>
      </c>
      <c r="N2336" s="55">
        <v>39.1</v>
      </c>
    </row>
    <row r="2337" spans="1:14" ht="10.050000000000001" hidden="1" customHeight="1">
      <c r="A2337" s="52" t="s">
        <v>307</v>
      </c>
      <c r="B2337" s="53">
        <v>2014</v>
      </c>
      <c r="C2337" s="52" t="s">
        <v>119</v>
      </c>
      <c r="D2337" s="54">
        <v>8</v>
      </c>
      <c r="E2337" s="55">
        <v>211935.3</v>
      </c>
      <c r="F2337" s="55">
        <v>13.8</v>
      </c>
      <c r="G2337" s="55">
        <v>211949.1</v>
      </c>
      <c r="H2337" s="55">
        <v>774716.4</v>
      </c>
      <c r="I2337" s="55">
        <v>35868.800000000003</v>
      </c>
      <c r="J2337" s="55">
        <v>810585.2</v>
      </c>
      <c r="K2337" s="55">
        <v>215662.7</v>
      </c>
      <c r="L2337" s="55">
        <v>18134.2</v>
      </c>
      <c r="M2337" s="55">
        <v>106721.8</v>
      </c>
      <c r="N2337" s="55">
        <v>21866.5</v>
      </c>
    </row>
    <row r="2338" spans="1:14" ht="10.050000000000001" hidden="1" customHeight="1">
      <c r="A2338" s="52" t="s">
        <v>315</v>
      </c>
      <c r="B2338" s="53">
        <v>2014</v>
      </c>
      <c r="C2338" s="52" t="s">
        <v>119</v>
      </c>
      <c r="D2338" s="54">
        <v>8</v>
      </c>
      <c r="E2338" s="55">
        <v>234.2</v>
      </c>
      <c r="F2338" s="55">
        <v>0</v>
      </c>
      <c r="G2338" s="55">
        <v>234.2</v>
      </c>
      <c r="H2338" s="55">
        <v>9064.1</v>
      </c>
      <c r="I2338" s="55">
        <v>30.6</v>
      </c>
      <c r="J2338" s="55">
        <v>9094.7000000000007</v>
      </c>
      <c r="K2338" s="55">
        <v>261.7</v>
      </c>
      <c r="L2338" s="55">
        <v>157.30000000000001</v>
      </c>
      <c r="M2338" s="55">
        <v>47.6</v>
      </c>
      <c r="N2338" s="55">
        <v>0</v>
      </c>
    </row>
    <row r="2339" spans="1:14" ht="10.050000000000001" hidden="1" customHeight="1">
      <c r="A2339" s="52" t="s">
        <v>311</v>
      </c>
      <c r="B2339" s="53">
        <v>2014</v>
      </c>
      <c r="C2339" s="52" t="s">
        <v>119</v>
      </c>
      <c r="D2339" s="54">
        <v>8</v>
      </c>
      <c r="E2339" s="55">
        <v>0</v>
      </c>
      <c r="F2339" s="55">
        <v>0</v>
      </c>
      <c r="G2339" s="55">
        <v>0</v>
      </c>
      <c r="H2339" s="55">
        <v>0</v>
      </c>
      <c r="I2339" s="55">
        <v>0</v>
      </c>
      <c r="J2339" s="55">
        <v>0</v>
      </c>
      <c r="K2339" s="55">
        <v>37</v>
      </c>
      <c r="L2339" s="55">
        <v>0</v>
      </c>
      <c r="M2339" s="55">
        <v>0</v>
      </c>
      <c r="N2339" s="55">
        <v>0</v>
      </c>
    </row>
    <row r="2340" spans="1:14" ht="10.050000000000001" hidden="1" customHeight="1">
      <c r="A2340" s="52" t="s">
        <v>173</v>
      </c>
      <c r="B2340" s="53">
        <v>2014</v>
      </c>
      <c r="C2340" s="52" t="s">
        <v>119</v>
      </c>
      <c r="D2340" s="54">
        <v>8</v>
      </c>
      <c r="E2340" s="55">
        <v>965123.1</v>
      </c>
      <c r="F2340" s="55">
        <v>20340.400000000001</v>
      </c>
      <c r="G2340" s="55">
        <v>985463.50000000105</v>
      </c>
      <c r="H2340" s="55">
        <v>5597189.0999999996</v>
      </c>
      <c r="I2340" s="55">
        <v>69650.7</v>
      </c>
      <c r="J2340" s="55">
        <v>5666839.7999999998</v>
      </c>
      <c r="K2340" s="55">
        <v>1742927.4</v>
      </c>
      <c r="L2340" s="55">
        <v>192001.9</v>
      </c>
      <c r="M2340" s="55">
        <v>433628.9</v>
      </c>
      <c r="N2340" s="55">
        <v>19595.8</v>
      </c>
    </row>
    <row r="2341" spans="1:14" ht="10.050000000000001" customHeight="1">
      <c r="A2341" s="52" t="s">
        <v>309</v>
      </c>
      <c r="B2341" s="53">
        <v>2014</v>
      </c>
      <c r="C2341" s="52" t="s">
        <v>119</v>
      </c>
      <c r="D2341" s="54">
        <v>8</v>
      </c>
      <c r="E2341" s="55">
        <v>121.5</v>
      </c>
      <c r="F2341" s="55">
        <v>0</v>
      </c>
      <c r="G2341" s="55">
        <v>121.5</v>
      </c>
      <c r="H2341" s="55">
        <v>39456.1</v>
      </c>
      <c r="I2341" s="55">
        <v>0</v>
      </c>
      <c r="J2341" s="55">
        <v>39456.1</v>
      </c>
      <c r="K2341" s="55">
        <v>1087.7</v>
      </c>
      <c r="L2341" s="55">
        <v>0</v>
      </c>
      <c r="M2341" s="55">
        <v>121.5</v>
      </c>
      <c r="N2341" s="55">
        <v>0</v>
      </c>
    </row>
    <row r="2342" spans="1:14" ht="10.050000000000001" hidden="1" customHeight="1">
      <c r="A2342" s="52" t="s">
        <v>316</v>
      </c>
      <c r="B2342" s="53">
        <v>2014</v>
      </c>
      <c r="C2342" s="52" t="s">
        <v>119</v>
      </c>
      <c r="D2342" s="54">
        <v>8</v>
      </c>
      <c r="E2342" s="55">
        <v>14.6</v>
      </c>
      <c r="F2342" s="55">
        <v>0</v>
      </c>
      <c r="G2342" s="55">
        <v>14.6</v>
      </c>
      <c r="H2342" s="55">
        <v>1102.3</v>
      </c>
      <c r="I2342" s="55">
        <v>22.7</v>
      </c>
      <c r="J2342" s="55">
        <v>1125</v>
      </c>
      <c r="K2342" s="55">
        <v>19.7</v>
      </c>
      <c r="L2342" s="55">
        <v>0</v>
      </c>
      <c r="M2342" s="55">
        <v>1</v>
      </c>
      <c r="N2342" s="55">
        <v>1.2</v>
      </c>
    </row>
    <row r="2343" spans="1:14" ht="10.050000000000001" hidden="1" customHeight="1">
      <c r="A2343" s="52" t="s">
        <v>310</v>
      </c>
      <c r="B2343" s="53">
        <v>2014</v>
      </c>
      <c r="C2343" s="52" t="s">
        <v>119</v>
      </c>
      <c r="D2343" s="54">
        <v>8</v>
      </c>
      <c r="E2343" s="55">
        <v>18084.7</v>
      </c>
      <c r="F2343" s="55">
        <v>464.5</v>
      </c>
      <c r="G2343" s="55">
        <v>18549.2</v>
      </c>
      <c r="H2343" s="55">
        <v>36165</v>
      </c>
      <c r="I2343" s="55">
        <v>866.7</v>
      </c>
      <c r="J2343" s="55">
        <v>37031.699999999997</v>
      </c>
      <c r="K2343" s="55">
        <v>14714.3</v>
      </c>
      <c r="L2343" s="55">
        <v>10601.7</v>
      </c>
      <c r="M2343" s="55">
        <v>2297.6999999999998</v>
      </c>
      <c r="N2343" s="55">
        <v>75.099999999999994</v>
      </c>
    </row>
    <row r="2344" spans="1:14" ht="10.050000000000001" hidden="1" customHeight="1">
      <c r="A2344" s="52" t="s">
        <v>308</v>
      </c>
      <c r="B2344" s="53">
        <v>2014</v>
      </c>
      <c r="C2344" s="52" t="s">
        <v>119</v>
      </c>
      <c r="D2344" s="54">
        <v>8</v>
      </c>
      <c r="E2344" s="55">
        <v>368.5</v>
      </c>
      <c r="F2344" s="55">
        <v>23</v>
      </c>
      <c r="G2344" s="55">
        <v>391.5</v>
      </c>
      <c r="H2344" s="55">
        <v>11138</v>
      </c>
      <c r="I2344" s="55">
        <v>521.1</v>
      </c>
      <c r="J2344" s="55">
        <v>11659.1</v>
      </c>
      <c r="K2344" s="55">
        <v>508.1</v>
      </c>
      <c r="L2344" s="55">
        <v>1.3</v>
      </c>
      <c r="M2344" s="55">
        <v>48.4</v>
      </c>
      <c r="N2344" s="55">
        <v>237.1</v>
      </c>
    </row>
    <row r="2345" spans="1:14" ht="10.050000000000001" hidden="1" customHeight="1">
      <c r="A2345" s="52" t="s">
        <v>174</v>
      </c>
      <c r="B2345" s="53">
        <v>2014</v>
      </c>
      <c r="C2345" s="52" t="s">
        <v>119</v>
      </c>
      <c r="D2345" s="54">
        <v>8</v>
      </c>
      <c r="E2345" s="55">
        <v>279103.90000000002</v>
      </c>
      <c r="F2345" s="55">
        <v>16352.8</v>
      </c>
      <c r="G2345" s="55">
        <v>295456.7</v>
      </c>
      <c r="H2345" s="55">
        <v>503324.1</v>
      </c>
      <c r="I2345" s="55">
        <v>23697.4</v>
      </c>
      <c r="J2345" s="55">
        <v>527021.5</v>
      </c>
      <c r="K2345" s="55">
        <v>173463.8</v>
      </c>
      <c r="L2345" s="55">
        <v>81983.100000000006</v>
      </c>
      <c r="M2345" s="55">
        <v>30614.7</v>
      </c>
      <c r="N2345" s="55">
        <v>8788.9</v>
      </c>
    </row>
    <row r="2346" spans="1:14" ht="10.050000000000001" hidden="1" customHeight="1">
      <c r="A2346" s="52" t="s">
        <v>314</v>
      </c>
      <c r="B2346" s="53">
        <v>2014</v>
      </c>
      <c r="C2346" s="52" t="s">
        <v>119</v>
      </c>
      <c r="D2346" s="54">
        <v>9</v>
      </c>
      <c r="E2346" s="55">
        <v>0</v>
      </c>
      <c r="F2346" s="55">
        <v>0</v>
      </c>
      <c r="G2346" s="55">
        <v>0</v>
      </c>
      <c r="H2346" s="55">
        <v>13.6</v>
      </c>
      <c r="I2346" s="55">
        <v>0</v>
      </c>
      <c r="J2346" s="55">
        <v>13.6</v>
      </c>
      <c r="K2346" s="55">
        <v>0</v>
      </c>
      <c r="L2346" s="55">
        <v>0</v>
      </c>
      <c r="M2346" s="55">
        <v>0</v>
      </c>
      <c r="N2346" s="55">
        <v>0</v>
      </c>
    </row>
    <row r="2347" spans="1:14" ht="10.050000000000001" hidden="1" customHeight="1">
      <c r="A2347" s="52" t="s">
        <v>306</v>
      </c>
      <c r="B2347" s="53">
        <v>2014</v>
      </c>
      <c r="C2347" s="52" t="s">
        <v>119</v>
      </c>
      <c r="D2347" s="54">
        <v>9</v>
      </c>
      <c r="E2347" s="55">
        <v>15615.2</v>
      </c>
      <c r="F2347" s="55">
        <v>1564.1</v>
      </c>
      <c r="G2347" s="55">
        <v>17179.3</v>
      </c>
      <c r="H2347" s="55">
        <v>175602.3</v>
      </c>
      <c r="I2347" s="55">
        <v>4137.5</v>
      </c>
      <c r="J2347" s="55">
        <v>179739.8</v>
      </c>
      <c r="K2347" s="55">
        <v>26399.7</v>
      </c>
      <c r="L2347" s="55">
        <v>1657.8</v>
      </c>
      <c r="M2347" s="55">
        <v>8891.6</v>
      </c>
      <c r="N2347" s="55">
        <v>671.1</v>
      </c>
    </row>
    <row r="2348" spans="1:14" ht="10.050000000000001" hidden="1" customHeight="1">
      <c r="A2348" s="52" t="s">
        <v>172</v>
      </c>
      <c r="B2348" s="53">
        <v>2014</v>
      </c>
      <c r="C2348" s="52" t="s">
        <v>119</v>
      </c>
      <c r="D2348" s="54">
        <v>9</v>
      </c>
      <c r="E2348" s="55">
        <v>112247.3</v>
      </c>
      <c r="F2348" s="55">
        <v>7950.8</v>
      </c>
      <c r="G2348" s="55">
        <v>120198.1</v>
      </c>
      <c r="H2348" s="55">
        <v>614351.30000000005</v>
      </c>
      <c r="I2348" s="55">
        <v>17345.3</v>
      </c>
      <c r="J2348" s="55">
        <v>631696.6</v>
      </c>
      <c r="K2348" s="55">
        <v>135554.4</v>
      </c>
      <c r="L2348" s="55">
        <v>9424.9</v>
      </c>
      <c r="M2348" s="55">
        <v>67633.2</v>
      </c>
      <c r="N2348" s="55">
        <v>1015.5</v>
      </c>
    </row>
    <row r="2349" spans="1:14" ht="10.050000000000001" hidden="1" customHeight="1">
      <c r="A2349" s="52" t="s">
        <v>171</v>
      </c>
      <c r="B2349" s="53">
        <v>2014</v>
      </c>
      <c r="C2349" s="52" t="s">
        <v>119</v>
      </c>
      <c r="D2349" s="54">
        <v>9</v>
      </c>
      <c r="E2349" s="55">
        <v>2367452.2999999998</v>
      </c>
      <c r="F2349" s="55">
        <v>172840.8</v>
      </c>
      <c r="G2349" s="55">
        <v>2540293.1</v>
      </c>
      <c r="H2349" s="55">
        <v>12718382.4</v>
      </c>
      <c r="I2349" s="55">
        <v>184183.6</v>
      </c>
      <c r="J2349" s="55">
        <v>12902566</v>
      </c>
      <c r="K2349" s="55">
        <v>6177395.9000000004</v>
      </c>
      <c r="L2349" s="55">
        <v>406552.7</v>
      </c>
      <c r="M2349" s="55">
        <v>1700620.8</v>
      </c>
      <c r="N2349" s="55">
        <v>35757</v>
      </c>
    </row>
    <row r="2350" spans="1:14" ht="10.050000000000001" hidden="1" customHeight="1">
      <c r="A2350" s="52" t="s">
        <v>300</v>
      </c>
      <c r="B2350" s="53">
        <v>2014</v>
      </c>
      <c r="C2350" s="52" t="s">
        <v>119</v>
      </c>
      <c r="D2350" s="54">
        <v>9</v>
      </c>
      <c r="E2350" s="55">
        <v>600.6</v>
      </c>
      <c r="F2350" s="55">
        <v>118.5</v>
      </c>
      <c r="G2350" s="55">
        <v>719.1</v>
      </c>
      <c r="H2350" s="55">
        <v>3150.2</v>
      </c>
      <c r="I2350" s="55">
        <v>203.6</v>
      </c>
      <c r="J2350" s="55">
        <v>3353.8</v>
      </c>
      <c r="K2350" s="55">
        <v>15.9</v>
      </c>
      <c r="L2350" s="55">
        <v>14.1</v>
      </c>
      <c r="M2350" s="55">
        <v>0</v>
      </c>
      <c r="N2350" s="55">
        <v>3.4</v>
      </c>
    </row>
    <row r="2351" spans="1:14" ht="10.050000000000001" hidden="1" customHeight="1">
      <c r="A2351" s="52" t="s">
        <v>307</v>
      </c>
      <c r="B2351" s="53">
        <v>2014</v>
      </c>
      <c r="C2351" s="52" t="s">
        <v>119</v>
      </c>
      <c r="D2351" s="54">
        <v>9</v>
      </c>
      <c r="E2351" s="55">
        <v>453528.6</v>
      </c>
      <c r="F2351" s="55">
        <v>62099.7</v>
      </c>
      <c r="G2351" s="55">
        <v>515628.3</v>
      </c>
      <c r="H2351" s="55">
        <v>430108.1</v>
      </c>
      <c r="I2351" s="55">
        <v>83180.3</v>
      </c>
      <c r="J2351" s="55">
        <v>513288.4</v>
      </c>
      <c r="K2351" s="55">
        <v>197801.4</v>
      </c>
      <c r="L2351" s="55">
        <v>82073.899999999994</v>
      </c>
      <c r="M2351" s="55">
        <v>70662.2</v>
      </c>
      <c r="N2351" s="55">
        <v>29398.400000000001</v>
      </c>
    </row>
    <row r="2352" spans="1:14" ht="10.050000000000001" hidden="1" customHeight="1">
      <c r="A2352" s="52" t="s">
        <v>315</v>
      </c>
      <c r="B2352" s="53">
        <v>2014</v>
      </c>
      <c r="C2352" s="52" t="s">
        <v>119</v>
      </c>
      <c r="D2352" s="54">
        <v>9</v>
      </c>
      <c r="E2352" s="55">
        <v>9167.7000000000007</v>
      </c>
      <c r="F2352" s="55">
        <v>0</v>
      </c>
      <c r="G2352" s="55">
        <v>9167.7000000000007</v>
      </c>
      <c r="H2352" s="55">
        <v>15022.7</v>
      </c>
      <c r="I2352" s="55">
        <v>30.6</v>
      </c>
      <c r="J2352" s="55">
        <v>15053.3</v>
      </c>
      <c r="K2352" s="55">
        <v>5413.7</v>
      </c>
      <c r="L2352" s="55">
        <v>7010.1</v>
      </c>
      <c r="M2352" s="55">
        <v>1392.1</v>
      </c>
      <c r="N2352" s="55">
        <v>466.2</v>
      </c>
    </row>
    <row r="2353" spans="1:14" ht="10.050000000000001" hidden="1" customHeight="1">
      <c r="A2353" s="52" t="s">
        <v>311</v>
      </c>
      <c r="B2353" s="53">
        <v>2014</v>
      </c>
      <c r="C2353" s="52" t="s">
        <v>119</v>
      </c>
      <c r="D2353" s="54">
        <v>9</v>
      </c>
      <c r="E2353" s="55">
        <v>0</v>
      </c>
      <c r="F2353" s="55">
        <v>0</v>
      </c>
      <c r="G2353" s="55">
        <v>0</v>
      </c>
      <c r="H2353" s="55">
        <v>0</v>
      </c>
      <c r="I2353" s="55">
        <v>0</v>
      </c>
      <c r="J2353" s="55">
        <v>0</v>
      </c>
      <c r="K2353" s="55">
        <v>31.6</v>
      </c>
      <c r="L2353" s="55">
        <v>0</v>
      </c>
      <c r="M2353" s="55">
        <v>0</v>
      </c>
      <c r="N2353" s="55">
        <v>5.4</v>
      </c>
    </row>
    <row r="2354" spans="1:14" ht="10.050000000000001" hidden="1" customHeight="1">
      <c r="A2354" s="52" t="s">
        <v>173</v>
      </c>
      <c r="B2354" s="53">
        <v>2014</v>
      </c>
      <c r="C2354" s="52" t="s">
        <v>119</v>
      </c>
      <c r="D2354" s="54">
        <v>9</v>
      </c>
      <c r="E2354" s="55">
        <v>505359.6</v>
      </c>
      <c r="F2354" s="55">
        <v>14957.2</v>
      </c>
      <c r="G2354" s="55">
        <v>520316.8</v>
      </c>
      <c r="H2354" s="55">
        <v>5289723.7</v>
      </c>
      <c r="I2354" s="55">
        <v>54186.400000000001</v>
      </c>
      <c r="J2354" s="55">
        <v>5343910.0999999996</v>
      </c>
      <c r="K2354" s="55">
        <v>1387174.3</v>
      </c>
      <c r="L2354" s="55">
        <v>41717</v>
      </c>
      <c r="M2354" s="55">
        <v>370782</v>
      </c>
      <c r="N2354" s="55">
        <v>26698.9</v>
      </c>
    </row>
    <row r="2355" spans="1:14" ht="10.050000000000001" customHeight="1">
      <c r="A2355" s="52" t="s">
        <v>309</v>
      </c>
      <c r="B2355" s="53">
        <v>2014</v>
      </c>
      <c r="C2355" s="52" t="s">
        <v>119</v>
      </c>
      <c r="D2355" s="54">
        <v>9</v>
      </c>
      <c r="E2355" s="55">
        <v>3798.2</v>
      </c>
      <c r="F2355" s="55">
        <v>0</v>
      </c>
      <c r="G2355" s="55">
        <v>3798.2</v>
      </c>
      <c r="H2355" s="55">
        <v>28755</v>
      </c>
      <c r="I2355" s="55">
        <v>0</v>
      </c>
      <c r="J2355" s="55">
        <v>28755</v>
      </c>
      <c r="K2355" s="55">
        <v>1457.7</v>
      </c>
      <c r="L2355" s="55">
        <v>907</v>
      </c>
      <c r="M2355" s="55">
        <v>537</v>
      </c>
      <c r="N2355" s="55">
        <v>0</v>
      </c>
    </row>
    <row r="2356" spans="1:14" ht="10.050000000000001" hidden="1" customHeight="1">
      <c r="A2356" s="52" t="s">
        <v>316</v>
      </c>
      <c r="B2356" s="53">
        <v>2014</v>
      </c>
      <c r="C2356" s="52" t="s">
        <v>119</v>
      </c>
      <c r="D2356" s="54">
        <v>9</v>
      </c>
      <c r="E2356" s="55">
        <v>1099.0999999999999</v>
      </c>
      <c r="F2356" s="55">
        <v>22.2</v>
      </c>
      <c r="G2356" s="55">
        <v>1121.3</v>
      </c>
      <c r="H2356" s="55">
        <v>1760.5</v>
      </c>
      <c r="I2356" s="55">
        <v>44.9</v>
      </c>
      <c r="J2356" s="55">
        <v>1805.4</v>
      </c>
      <c r="K2356" s="55">
        <v>72</v>
      </c>
      <c r="L2356" s="55">
        <v>65.2</v>
      </c>
      <c r="M2356" s="55">
        <v>9.1999999999999993</v>
      </c>
      <c r="N2356" s="55">
        <v>3.7</v>
      </c>
    </row>
    <row r="2357" spans="1:14" ht="10.050000000000001" hidden="1" customHeight="1">
      <c r="A2357" s="52" t="s">
        <v>310</v>
      </c>
      <c r="B2357" s="53">
        <v>2014</v>
      </c>
      <c r="C2357" s="52" t="s">
        <v>119</v>
      </c>
      <c r="D2357" s="54">
        <v>9</v>
      </c>
      <c r="E2357" s="55">
        <v>5611.4</v>
      </c>
      <c r="F2357" s="55">
        <v>1026</v>
      </c>
      <c r="G2357" s="55">
        <v>6637.4</v>
      </c>
      <c r="H2357" s="55">
        <v>36765</v>
      </c>
      <c r="I2357" s="55">
        <v>1115.7</v>
      </c>
      <c r="J2357" s="55">
        <v>37880.699999999997</v>
      </c>
      <c r="K2357" s="55">
        <v>12107.2</v>
      </c>
      <c r="L2357" s="55">
        <v>113.4</v>
      </c>
      <c r="M2357" s="55">
        <v>2636.4</v>
      </c>
      <c r="N2357" s="55">
        <v>84.3</v>
      </c>
    </row>
    <row r="2358" spans="1:14" ht="10.050000000000001" hidden="1" customHeight="1">
      <c r="A2358" s="52" t="s">
        <v>308</v>
      </c>
      <c r="B2358" s="53">
        <v>2014</v>
      </c>
      <c r="C2358" s="52" t="s">
        <v>119</v>
      </c>
      <c r="D2358" s="54">
        <v>9</v>
      </c>
      <c r="E2358" s="55">
        <v>2852.1</v>
      </c>
      <c r="F2358" s="55">
        <v>1548.3</v>
      </c>
      <c r="G2358" s="55">
        <v>4400.3999999999996</v>
      </c>
      <c r="H2358" s="55">
        <v>8550.1</v>
      </c>
      <c r="I2358" s="55">
        <v>1073.3</v>
      </c>
      <c r="J2358" s="55">
        <v>9623.4</v>
      </c>
      <c r="K2358" s="55">
        <v>1424.7</v>
      </c>
      <c r="L2358" s="55">
        <v>1027.4000000000001</v>
      </c>
      <c r="M2358" s="55">
        <v>93</v>
      </c>
      <c r="N2358" s="55">
        <v>17.8</v>
      </c>
    </row>
    <row r="2359" spans="1:14" ht="10.050000000000001" hidden="1" customHeight="1">
      <c r="A2359" s="52" t="s">
        <v>174</v>
      </c>
      <c r="B2359" s="53">
        <v>2014</v>
      </c>
      <c r="C2359" s="52" t="s">
        <v>119</v>
      </c>
      <c r="D2359" s="54">
        <v>9</v>
      </c>
      <c r="E2359" s="55">
        <v>49491</v>
      </c>
      <c r="F2359" s="55">
        <v>13901.7</v>
      </c>
      <c r="G2359" s="55">
        <v>63392.7</v>
      </c>
      <c r="H2359" s="55">
        <v>484267.8</v>
      </c>
      <c r="I2359" s="55">
        <v>22440.5</v>
      </c>
      <c r="J2359" s="55">
        <v>506708.3</v>
      </c>
      <c r="K2359" s="55">
        <v>157921.5</v>
      </c>
      <c r="L2359" s="55">
        <v>15831.7</v>
      </c>
      <c r="M2359" s="55">
        <v>21164.2</v>
      </c>
      <c r="N2359" s="55">
        <v>10210.200000000001</v>
      </c>
    </row>
    <row r="2360" spans="1:14" ht="10.050000000000001" hidden="1" customHeight="1">
      <c r="A2360" s="52" t="s">
        <v>314</v>
      </c>
      <c r="B2360" s="53">
        <v>2014</v>
      </c>
      <c r="C2360" s="52" t="s">
        <v>119</v>
      </c>
      <c r="D2360" s="54">
        <v>10</v>
      </c>
      <c r="E2360" s="55">
        <v>10.3</v>
      </c>
      <c r="F2360" s="55">
        <v>0</v>
      </c>
      <c r="G2360" s="55">
        <v>10.3</v>
      </c>
      <c r="H2360" s="55">
        <v>13.6</v>
      </c>
      <c r="I2360" s="55">
        <v>0</v>
      </c>
      <c r="J2360" s="55">
        <v>13.6</v>
      </c>
      <c r="K2360" s="55">
        <v>0</v>
      </c>
      <c r="L2360" s="55">
        <v>0</v>
      </c>
      <c r="M2360" s="55">
        <v>0</v>
      </c>
      <c r="N2360" s="55">
        <v>0</v>
      </c>
    </row>
    <row r="2361" spans="1:14" ht="10.050000000000001" hidden="1" customHeight="1">
      <c r="A2361" s="52" t="s">
        <v>306</v>
      </c>
      <c r="B2361" s="53">
        <v>2014</v>
      </c>
      <c r="C2361" s="52" t="s">
        <v>119</v>
      </c>
      <c r="D2361" s="54">
        <v>10</v>
      </c>
      <c r="E2361" s="55">
        <v>6510.5</v>
      </c>
      <c r="F2361" s="55">
        <v>1554.9</v>
      </c>
      <c r="G2361" s="55">
        <v>8065.4</v>
      </c>
      <c r="H2361" s="55">
        <v>159221</v>
      </c>
      <c r="I2361" s="55">
        <v>4549.6000000000004</v>
      </c>
      <c r="J2361" s="55">
        <v>163770.6</v>
      </c>
      <c r="K2361" s="55">
        <v>22843.5</v>
      </c>
      <c r="L2361" s="55">
        <v>521.79999999999995</v>
      </c>
      <c r="M2361" s="55">
        <v>3560</v>
      </c>
      <c r="N2361" s="55">
        <v>470.9</v>
      </c>
    </row>
    <row r="2362" spans="1:14" ht="10.050000000000001" hidden="1" customHeight="1">
      <c r="A2362" s="52" t="s">
        <v>172</v>
      </c>
      <c r="B2362" s="53">
        <v>2014</v>
      </c>
      <c r="C2362" s="52" t="s">
        <v>119</v>
      </c>
      <c r="D2362" s="54">
        <v>10</v>
      </c>
      <c r="E2362" s="55">
        <v>74603.3</v>
      </c>
      <c r="F2362" s="55">
        <v>5502.3</v>
      </c>
      <c r="G2362" s="55">
        <v>80105.600000000006</v>
      </c>
      <c r="H2362" s="55">
        <v>468461.6</v>
      </c>
      <c r="I2362" s="55">
        <v>10826.8</v>
      </c>
      <c r="J2362" s="55">
        <v>479288.4</v>
      </c>
      <c r="K2362" s="55">
        <v>108451.1</v>
      </c>
      <c r="L2362" s="55">
        <v>10798.4</v>
      </c>
      <c r="M2362" s="55">
        <v>37218.400000000001</v>
      </c>
      <c r="N2362" s="55">
        <v>683.5</v>
      </c>
    </row>
    <row r="2363" spans="1:14" ht="10.050000000000001" hidden="1" customHeight="1">
      <c r="A2363" s="52" t="s">
        <v>171</v>
      </c>
      <c r="B2363" s="53">
        <v>2014</v>
      </c>
      <c r="C2363" s="52" t="s">
        <v>119</v>
      </c>
      <c r="D2363" s="54">
        <v>10</v>
      </c>
      <c r="E2363" s="55">
        <v>1394183.6</v>
      </c>
      <c r="F2363" s="55">
        <v>51814</v>
      </c>
      <c r="G2363" s="55">
        <v>1445997.6</v>
      </c>
      <c r="H2363" s="55">
        <v>11145223.5</v>
      </c>
      <c r="I2363" s="55">
        <v>162873.70000000001</v>
      </c>
      <c r="J2363" s="55">
        <v>11308097.199999999</v>
      </c>
      <c r="K2363" s="55">
        <v>5457339</v>
      </c>
      <c r="L2363" s="55">
        <v>216763.2</v>
      </c>
      <c r="M2363" s="55">
        <v>907625.9</v>
      </c>
      <c r="N2363" s="55">
        <v>28698.400000000001</v>
      </c>
    </row>
    <row r="2364" spans="1:14" ht="10.050000000000001" hidden="1" customHeight="1">
      <c r="A2364" s="52" t="s">
        <v>300</v>
      </c>
      <c r="B2364" s="53">
        <v>2014</v>
      </c>
      <c r="C2364" s="52" t="s">
        <v>119</v>
      </c>
      <c r="D2364" s="54">
        <v>10</v>
      </c>
      <c r="E2364" s="55">
        <v>358.2</v>
      </c>
      <c r="F2364" s="55">
        <v>108.5</v>
      </c>
      <c r="G2364" s="55">
        <v>466.7</v>
      </c>
      <c r="H2364" s="55">
        <v>2849.6</v>
      </c>
      <c r="I2364" s="55">
        <v>170.2</v>
      </c>
      <c r="J2364" s="55">
        <v>3019.8</v>
      </c>
      <c r="K2364" s="55">
        <v>17.600000000000001</v>
      </c>
      <c r="L2364" s="55">
        <v>1.7</v>
      </c>
      <c r="M2364" s="55">
        <v>0</v>
      </c>
      <c r="N2364" s="55">
        <v>0</v>
      </c>
    </row>
    <row r="2365" spans="1:14" ht="10.050000000000001" hidden="1" customHeight="1">
      <c r="A2365" s="52" t="s">
        <v>307</v>
      </c>
      <c r="B2365" s="53">
        <v>2014</v>
      </c>
      <c r="C2365" s="52" t="s">
        <v>119</v>
      </c>
      <c r="D2365" s="54">
        <v>10</v>
      </c>
      <c r="E2365" s="55">
        <v>6361832.2000000002</v>
      </c>
      <c r="F2365" s="55">
        <v>118933.1</v>
      </c>
      <c r="G2365" s="55">
        <v>6480765.2999999998</v>
      </c>
      <c r="H2365" s="55">
        <v>5364909</v>
      </c>
      <c r="I2365" s="55">
        <v>159556.70000000001</v>
      </c>
      <c r="J2365" s="55">
        <v>5524465.7000000002</v>
      </c>
      <c r="K2365" s="55">
        <v>2979931.7</v>
      </c>
      <c r="L2365" s="55">
        <v>3081391</v>
      </c>
      <c r="M2365" s="55">
        <v>216473.4</v>
      </c>
      <c r="N2365" s="55">
        <v>85532.6</v>
      </c>
    </row>
    <row r="2366" spans="1:14" ht="10.050000000000001" hidden="1" customHeight="1">
      <c r="A2366" s="52" t="s">
        <v>315</v>
      </c>
      <c r="B2366" s="53">
        <v>2014</v>
      </c>
      <c r="C2366" s="52" t="s">
        <v>119</v>
      </c>
      <c r="D2366" s="54">
        <v>10</v>
      </c>
      <c r="E2366" s="55">
        <v>17112.599999999999</v>
      </c>
      <c r="F2366" s="55">
        <v>0</v>
      </c>
      <c r="G2366" s="55">
        <v>17112.599999999999</v>
      </c>
      <c r="H2366" s="55">
        <v>28520.400000000001</v>
      </c>
      <c r="I2366" s="55">
        <v>30.6</v>
      </c>
      <c r="J2366" s="55">
        <v>28551</v>
      </c>
      <c r="K2366" s="55">
        <v>8139</v>
      </c>
      <c r="L2366" s="55">
        <v>8895.2999999999993</v>
      </c>
      <c r="M2366" s="55">
        <v>5891</v>
      </c>
      <c r="N2366" s="55">
        <v>278.89999999999998</v>
      </c>
    </row>
    <row r="2367" spans="1:14" ht="10.050000000000001" hidden="1" customHeight="1">
      <c r="A2367" s="52" t="s">
        <v>311</v>
      </c>
      <c r="B2367" s="53">
        <v>2014</v>
      </c>
      <c r="C2367" s="52" t="s">
        <v>119</v>
      </c>
      <c r="D2367" s="54">
        <v>10</v>
      </c>
      <c r="E2367" s="55">
        <v>0</v>
      </c>
      <c r="F2367" s="55">
        <v>0</v>
      </c>
      <c r="G2367" s="55">
        <v>0</v>
      </c>
      <c r="H2367" s="55">
        <v>0</v>
      </c>
      <c r="I2367" s="55">
        <v>0</v>
      </c>
      <c r="J2367" s="55">
        <v>0</v>
      </c>
      <c r="K2367" s="55">
        <v>26.6</v>
      </c>
      <c r="L2367" s="55">
        <v>0</v>
      </c>
      <c r="M2367" s="55">
        <v>0</v>
      </c>
      <c r="N2367" s="55">
        <v>5</v>
      </c>
    </row>
    <row r="2368" spans="1:14" ht="10.050000000000001" hidden="1" customHeight="1">
      <c r="A2368" s="52" t="s">
        <v>173</v>
      </c>
      <c r="B2368" s="53">
        <v>2014</v>
      </c>
      <c r="C2368" s="52" t="s">
        <v>119</v>
      </c>
      <c r="D2368" s="54">
        <v>10</v>
      </c>
      <c r="E2368" s="55">
        <v>327390.8</v>
      </c>
      <c r="F2368" s="55">
        <v>21356.799999999999</v>
      </c>
      <c r="G2368" s="55">
        <v>348747.6</v>
      </c>
      <c r="H2368" s="55">
        <v>4870700</v>
      </c>
      <c r="I2368" s="55">
        <v>52303.4</v>
      </c>
      <c r="J2368" s="55">
        <v>4923003.4000000004</v>
      </c>
      <c r="K2368" s="55">
        <v>1191372.7</v>
      </c>
      <c r="L2368" s="55">
        <v>28489.5</v>
      </c>
      <c r="M2368" s="55">
        <v>205817.5</v>
      </c>
      <c r="N2368" s="55">
        <v>18034.8</v>
      </c>
    </row>
    <row r="2369" spans="1:14" ht="10.050000000000001" customHeight="1">
      <c r="A2369" s="52" t="s">
        <v>309</v>
      </c>
      <c r="B2369" s="53">
        <v>2014</v>
      </c>
      <c r="C2369" s="52" t="s">
        <v>119</v>
      </c>
      <c r="D2369" s="54">
        <v>10</v>
      </c>
      <c r="E2369" s="55">
        <v>55317.3</v>
      </c>
      <c r="F2369" s="55">
        <v>613.5</v>
      </c>
      <c r="G2369" s="55">
        <v>55930.8</v>
      </c>
      <c r="H2369" s="55">
        <v>84454</v>
      </c>
      <c r="I2369" s="55">
        <v>0</v>
      </c>
      <c r="J2369" s="55">
        <v>84454</v>
      </c>
      <c r="K2369" s="55">
        <v>13930.4</v>
      </c>
      <c r="L2369" s="55">
        <v>12838.5</v>
      </c>
      <c r="M2369" s="55">
        <v>365.9</v>
      </c>
      <c r="N2369" s="55">
        <v>0</v>
      </c>
    </row>
    <row r="2370" spans="1:14" ht="10.050000000000001" hidden="1" customHeight="1">
      <c r="A2370" s="52" t="s">
        <v>316</v>
      </c>
      <c r="B2370" s="53">
        <v>2014</v>
      </c>
      <c r="C2370" s="52" t="s">
        <v>119</v>
      </c>
      <c r="D2370" s="54">
        <v>10</v>
      </c>
      <c r="E2370" s="55">
        <v>5653</v>
      </c>
      <c r="F2370" s="55">
        <v>147</v>
      </c>
      <c r="G2370" s="55">
        <v>5800</v>
      </c>
      <c r="H2370" s="55">
        <v>6804.3</v>
      </c>
      <c r="I2370" s="55">
        <v>341.7</v>
      </c>
      <c r="J2370" s="55">
        <v>7146</v>
      </c>
      <c r="K2370" s="55">
        <v>394.5</v>
      </c>
      <c r="L2370" s="55">
        <v>544.1</v>
      </c>
      <c r="M2370" s="55">
        <v>201.4</v>
      </c>
      <c r="N2370" s="55">
        <v>20.100000000000001</v>
      </c>
    </row>
    <row r="2371" spans="1:14" ht="10.050000000000001" hidden="1" customHeight="1">
      <c r="A2371" s="52" t="s">
        <v>310</v>
      </c>
      <c r="B2371" s="53">
        <v>2014</v>
      </c>
      <c r="C2371" s="52" t="s">
        <v>119</v>
      </c>
      <c r="D2371" s="54">
        <v>10</v>
      </c>
      <c r="E2371" s="55">
        <v>3232.6</v>
      </c>
      <c r="F2371" s="55">
        <v>76.7</v>
      </c>
      <c r="G2371" s="55">
        <v>3309.3</v>
      </c>
      <c r="H2371" s="55">
        <v>36915.1</v>
      </c>
      <c r="I2371" s="55">
        <v>967.4</v>
      </c>
      <c r="J2371" s="55">
        <v>37882.5</v>
      </c>
      <c r="K2371" s="55">
        <v>9614.2000000000007</v>
      </c>
      <c r="L2371" s="55">
        <v>82.5</v>
      </c>
      <c r="M2371" s="55">
        <v>2557.5</v>
      </c>
      <c r="N2371" s="55">
        <v>17.8</v>
      </c>
    </row>
    <row r="2372" spans="1:14" ht="10.050000000000001" hidden="1" customHeight="1">
      <c r="A2372" s="52" t="s">
        <v>308</v>
      </c>
      <c r="B2372" s="53">
        <v>2014</v>
      </c>
      <c r="C2372" s="52" t="s">
        <v>119</v>
      </c>
      <c r="D2372" s="54">
        <v>10</v>
      </c>
      <c r="E2372" s="55">
        <v>179743</v>
      </c>
      <c r="F2372" s="55">
        <v>248.4</v>
      </c>
      <c r="G2372" s="55">
        <v>179991.4</v>
      </c>
      <c r="H2372" s="55">
        <v>171815.7</v>
      </c>
      <c r="I2372" s="55">
        <v>1225.9000000000001</v>
      </c>
      <c r="J2372" s="55">
        <v>173041.6</v>
      </c>
      <c r="K2372" s="55">
        <v>44838.8</v>
      </c>
      <c r="L2372" s="55">
        <v>50909.1</v>
      </c>
      <c r="M2372" s="55">
        <v>7037.5</v>
      </c>
      <c r="N2372" s="55">
        <v>391.2</v>
      </c>
    </row>
    <row r="2373" spans="1:14" ht="10.050000000000001" hidden="1" customHeight="1">
      <c r="A2373" s="52" t="s">
        <v>174</v>
      </c>
      <c r="B2373" s="53">
        <v>2014</v>
      </c>
      <c r="C2373" s="52" t="s">
        <v>119</v>
      </c>
      <c r="D2373" s="54">
        <v>10</v>
      </c>
      <c r="E2373" s="55">
        <v>21700.400000000001</v>
      </c>
      <c r="F2373" s="55">
        <v>4253.3999999999996</v>
      </c>
      <c r="G2373" s="55">
        <v>25953.8</v>
      </c>
      <c r="H2373" s="55">
        <v>439823.1</v>
      </c>
      <c r="I2373" s="55">
        <v>16914.8</v>
      </c>
      <c r="J2373" s="55">
        <v>456737.9</v>
      </c>
      <c r="K2373" s="55">
        <v>141231.79999999999</v>
      </c>
      <c r="L2373" s="55">
        <v>4294.5</v>
      </c>
      <c r="M2373" s="55">
        <v>10986.4</v>
      </c>
      <c r="N2373" s="55">
        <v>9389.2999999999993</v>
      </c>
    </row>
    <row r="2374" spans="1:14" ht="10.050000000000001" hidden="1" customHeight="1">
      <c r="A2374" s="52" t="s">
        <v>314</v>
      </c>
      <c r="B2374" s="53">
        <v>2014</v>
      </c>
      <c r="C2374" s="52" t="s">
        <v>119</v>
      </c>
      <c r="D2374" s="54">
        <v>11</v>
      </c>
      <c r="E2374" s="55">
        <v>0</v>
      </c>
      <c r="F2374" s="55">
        <v>0</v>
      </c>
      <c r="G2374" s="55">
        <v>0</v>
      </c>
      <c r="H2374" s="55">
        <v>13.6</v>
      </c>
      <c r="I2374" s="55">
        <v>0</v>
      </c>
      <c r="J2374" s="55">
        <v>13.6</v>
      </c>
      <c r="K2374" s="55">
        <v>0</v>
      </c>
      <c r="L2374" s="55">
        <v>0</v>
      </c>
      <c r="M2374" s="55">
        <v>0</v>
      </c>
      <c r="N2374" s="55">
        <v>0</v>
      </c>
    </row>
    <row r="2375" spans="1:14" ht="10.050000000000001" hidden="1" customHeight="1">
      <c r="A2375" s="52" t="s">
        <v>306</v>
      </c>
      <c r="B2375" s="53">
        <v>2014</v>
      </c>
      <c r="C2375" s="52" t="s">
        <v>119</v>
      </c>
      <c r="D2375" s="54">
        <v>11</v>
      </c>
      <c r="E2375" s="55">
        <v>6203.7</v>
      </c>
      <c r="F2375" s="55">
        <v>1958.9</v>
      </c>
      <c r="G2375" s="55">
        <v>8162.6</v>
      </c>
      <c r="H2375" s="55">
        <v>145300</v>
      </c>
      <c r="I2375" s="55">
        <v>5315</v>
      </c>
      <c r="J2375" s="55">
        <v>150615</v>
      </c>
      <c r="K2375" s="55">
        <v>20014.599999999999</v>
      </c>
      <c r="L2375" s="55">
        <v>1193.9000000000001</v>
      </c>
      <c r="M2375" s="55">
        <v>3621.8</v>
      </c>
      <c r="N2375" s="55">
        <v>401.1</v>
      </c>
    </row>
    <row r="2376" spans="1:14" ht="10.050000000000001" hidden="1" customHeight="1">
      <c r="A2376" s="52" t="s">
        <v>172</v>
      </c>
      <c r="B2376" s="53">
        <v>2014</v>
      </c>
      <c r="C2376" s="52" t="s">
        <v>119</v>
      </c>
      <c r="D2376" s="54">
        <v>11</v>
      </c>
      <c r="E2376" s="55">
        <v>82521.7</v>
      </c>
      <c r="F2376" s="55">
        <v>1790.9</v>
      </c>
      <c r="G2376" s="55">
        <v>84312.6</v>
      </c>
      <c r="H2376" s="55">
        <v>403925.7</v>
      </c>
      <c r="I2376" s="55">
        <v>8414.6</v>
      </c>
      <c r="J2376" s="55">
        <v>412340.3</v>
      </c>
      <c r="K2376" s="55">
        <v>72992.7</v>
      </c>
      <c r="L2376" s="55">
        <v>6823.1</v>
      </c>
      <c r="M2376" s="55">
        <v>41828.1</v>
      </c>
      <c r="N2376" s="55">
        <v>453.9</v>
      </c>
    </row>
    <row r="2377" spans="1:14" ht="10.050000000000001" hidden="1" customHeight="1">
      <c r="A2377" s="52" t="s">
        <v>171</v>
      </c>
      <c r="B2377" s="53">
        <v>2014</v>
      </c>
      <c r="C2377" s="52" t="s">
        <v>119</v>
      </c>
      <c r="D2377" s="54">
        <v>11</v>
      </c>
      <c r="E2377" s="55">
        <v>1638521.2</v>
      </c>
      <c r="F2377" s="55">
        <v>32341</v>
      </c>
      <c r="G2377" s="55">
        <v>1670862.2</v>
      </c>
      <c r="H2377" s="55">
        <v>10140570.1</v>
      </c>
      <c r="I2377" s="55">
        <v>142443.9</v>
      </c>
      <c r="J2377" s="55">
        <v>10283014</v>
      </c>
      <c r="K2377" s="55">
        <v>4693013.3</v>
      </c>
      <c r="L2377" s="55">
        <v>286126.8</v>
      </c>
      <c r="M2377" s="55">
        <v>1026396.6</v>
      </c>
      <c r="N2377" s="55">
        <v>24222.3</v>
      </c>
    </row>
    <row r="2378" spans="1:14" ht="10.050000000000001" hidden="1" customHeight="1">
      <c r="A2378" s="52" t="s">
        <v>300</v>
      </c>
      <c r="B2378" s="53">
        <v>2014</v>
      </c>
      <c r="C2378" s="52" t="s">
        <v>119</v>
      </c>
      <c r="D2378" s="54">
        <v>11</v>
      </c>
      <c r="E2378" s="55">
        <v>374</v>
      </c>
      <c r="F2378" s="55">
        <v>0</v>
      </c>
      <c r="G2378" s="55">
        <v>374</v>
      </c>
      <c r="H2378" s="55">
        <v>2640.4</v>
      </c>
      <c r="I2378" s="55">
        <v>170.2</v>
      </c>
      <c r="J2378" s="55">
        <v>2810.6</v>
      </c>
      <c r="K2378" s="55">
        <v>13.4</v>
      </c>
      <c r="L2378" s="55">
        <v>0</v>
      </c>
      <c r="M2378" s="55">
        <v>2</v>
      </c>
      <c r="N2378" s="55">
        <v>2.2000000000000002</v>
      </c>
    </row>
    <row r="2379" spans="1:14" ht="10.050000000000001" hidden="1" customHeight="1">
      <c r="A2379" s="52" t="s">
        <v>307</v>
      </c>
      <c r="B2379" s="53">
        <v>2014</v>
      </c>
      <c r="C2379" s="52" t="s">
        <v>119</v>
      </c>
      <c r="D2379" s="54">
        <v>11</v>
      </c>
      <c r="E2379" s="55">
        <v>4110238.7</v>
      </c>
      <c r="F2379" s="55">
        <v>133388.79999999999</v>
      </c>
      <c r="G2379" s="55">
        <v>4243627.5</v>
      </c>
      <c r="H2379" s="55">
        <v>7895446.0999999996</v>
      </c>
      <c r="I2379" s="55">
        <v>219590.8</v>
      </c>
      <c r="J2379" s="55">
        <v>8115036.9000000004</v>
      </c>
      <c r="K2379" s="55">
        <v>3576492.6</v>
      </c>
      <c r="L2379" s="55">
        <v>1654575.7</v>
      </c>
      <c r="M2379" s="55">
        <v>934936.4</v>
      </c>
      <c r="N2379" s="55">
        <v>125201.4</v>
      </c>
    </row>
    <row r="2380" spans="1:14" ht="10.050000000000001" hidden="1" customHeight="1">
      <c r="A2380" s="52" t="s">
        <v>315</v>
      </c>
      <c r="B2380" s="53">
        <v>2014</v>
      </c>
      <c r="C2380" s="52" t="s">
        <v>119</v>
      </c>
      <c r="D2380" s="54">
        <v>11</v>
      </c>
      <c r="E2380" s="55">
        <v>4101.8999999999996</v>
      </c>
      <c r="F2380" s="55">
        <v>0</v>
      </c>
      <c r="G2380" s="55">
        <v>4101.8999999999996</v>
      </c>
      <c r="H2380" s="55">
        <v>29208.1</v>
      </c>
      <c r="I2380" s="55">
        <v>30.6</v>
      </c>
      <c r="J2380" s="55">
        <v>29238.7</v>
      </c>
      <c r="K2380" s="55">
        <v>5042.3</v>
      </c>
      <c r="L2380" s="55">
        <v>250.1</v>
      </c>
      <c r="M2380" s="55">
        <v>3344.2</v>
      </c>
      <c r="N2380" s="55">
        <v>2.7</v>
      </c>
    </row>
    <row r="2381" spans="1:14" ht="10.050000000000001" hidden="1" customHeight="1">
      <c r="A2381" s="52" t="s">
        <v>311</v>
      </c>
      <c r="B2381" s="53">
        <v>2014</v>
      </c>
      <c r="C2381" s="52" t="s">
        <v>119</v>
      </c>
      <c r="D2381" s="54">
        <v>11</v>
      </c>
      <c r="E2381" s="55">
        <v>0</v>
      </c>
      <c r="F2381" s="55">
        <v>0</v>
      </c>
      <c r="G2381" s="55">
        <v>0</v>
      </c>
      <c r="H2381" s="55">
        <v>0</v>
      </c>
      <c r="I2381" s="55">
        <v>0</v>
      </c>
      <c r="J2381" s="55">
        <v>0</v>
      </c>
      <c r="K2381" s="55">
        <v>23.7</v>
      </c>
      <c r="L2381" s="55">
        <v>0</v>
      </c>
      <c r="M2381" s="55">
        <v>0</v>
      </c>
      <c r="N2381" s="55">
        <v>2.9</v>
      </c>
    </row>
    <row r="2382" spans="1:14" ht="10.050000000000001" hidden="1" customHeight="1">
      <c r="A2382" s="52" t="s">
        <v>173</v>
      </c>
      <c r="B2382" s="53">
        <v>2014</v>
      </c>
      <c r="C2382" s="52" t="s">
        <v>119</v>
      </c>
      <c r="D2382" s="54">
        <v>11</v>
      </c>
      <c r="E2382" s="55">
        <v>378488.6</v>
      </c>
      <c r="F2382" s="55">
        <v>18641.5</v>
      </c>
      <c r="G2382" s="55">
        <v>397130.1</v>
      </c>
      <c r="H2382" s="55">
        <v>4532875.2</v>
      </c>
      <c r="I2382" s="55">
        <v>53766.400000000001</v>
      </c>
      <c r="J2382" s="55">
        <v>4586641.5999999996</v>
      </c>
      <c r="K2382" s="55">
        <v>971638.6</v>
      </c>
      <c r="L2382" s="55">
        <v>40068.1</v>
      </c>
      <c r="M2382" s="55">
        <v>244546.2</v>
      </c>
      <c r="N2382" s="55">
        <v>15524.4</v>
      </c>
    </row>
    <row r="2383" spans="1:14" ht="10.050000000000001" customHeight="1">
      <c r="A2383" s="52" t="s">
        <v>309</v>
      </c>
      <c r="B2383" s="53">
        <v>2014</v>
      </c>
      <c r="C2383" s="52" t="s">
        <v>119</v>
      </c>
      <c r="D2383" s="54">
        <v>11</v>
      </c>
      <c r="E2383" s="55">
        <v>5961.8</v>
      </c>
      <c r="F2383" s="55">
        <v>103.9</v>
      </c>
      <c r="G2383" s="55">
        <v>6065.7</v>
      </c>
      <c r="H2383" s="55">
        <v>80828.2</v>
      </c>
      <c r="I2383" s="55">
        <v>0</v>
      </c>
      <c r="J2383" s="55">
        <v>80828.2</v>
      </c>
      <c r="K2383" s="55">
        <v>11273.4</v>
      </c>
      <c r="L2383" s="55">
        <v>0</v>
      </c>
      <c r="M2383" s="55">
        <v>2384.4</v>
      </c>
      <c r="N2383" s="55">
        <v>272.60000000000002</v>
      </c>
    </row>
    <row r="2384" spans="1:14" ht="10.050000000000001" hidden="1" customHeight="1">
      <c r="A2384" s="52" t="s">
        <v>316</v>
      </c>
      <c r="B2384" s="53">
        <v>2014</v>
      </c>
      <c r="C2384" s="52" t="s">
        <v>119</v>
      </c>
      <c r="D2384" s="54">
        <v>11</v>
      </c>
      <c r="E2384" s="55">
        <v>2037.2</v>
      </c>
      <c r="F2384" s="55">
        <v>9</v>
      </c>
      <c r="G2384" s="55">
        <v>2046.2</v>
      </c>
      <c r="H2384" s="55">
        <v>8643.6</v>
      </c>
      <c r="I2384" s="55">
        <v>200.9</v>
      </c>
      <c r="J2384" s="55">
        <v>8844.5</v>
      </c>
      <c r="K2384" s="55">
        <v>337.2</v>
      </c>
      <c r="L2384" s="55">
        <v>312.3</v>
      </c>
      <c r="M2384" s="55">
        <v>331.8</v>
      </c>
      <c r="N2384" s="55">
        <v>37.6</v>
      </c>
    </row>
    <row r="2385" spans="1:14" ht="10.050000000000001" hidden="1" customHeight="1">
      <c r="A2385" s="52" t="s">
        <v>310</v>
      </c>
      <c r="B2385" s="53">
        <v>2014</v>
      </c>
      <c r="C2385" s="52" t="s">
        <v>119</v>
      </c>
      <c r="D2385" s="54">
        <v>11</v>
      </c>
      <c r="E2385" s="55">
        <v>2922.4</v>
      </c>
      <c r="F2385" s="55">
        <v>31.3</v>
      </c>
      <c r="G2385" s="55">
        <v>2953.7</v>
      </c>
      <c r="H2385" s="55">
        <v>36964</v>
      </c>
      <c r="I2385" s="55">
        <v>988.1</v>
      </c>
      <c r="J2385" s="55">
        <v>37952.1</v>
      </c>
      <c r="K2385" s="55">
        <v>7393.3</v>
      </c>
      <c r="L2385" s="55">
        <v>119</v>
      </c>
      <c r="M2385" s="55">
        <v>2259.4</v>
      </c>
      <c r="N2385" s="55">
        <v>80.5</v>
      </c>
    </row>
    <row r="2386" spans="1:14" ht="10.050000000000001" hidden="1" customHeight="1">
      <c r="A2386" s="52" t="s">
        <v>308</v>
      </c>
      <c r="B2386" s="53">
        <v>2014</v>
      </c>
      <c r="C2386" s="52" t="s">
        <v>119</v>
      </c>
      <c r="D2386" s="54">
        <v>11</v>
      </c>
      <c r="E2386" s="55">
        <v>44827.4</v>
      </c>
      <c r="F2386" s="55">
        <v>236</v>
      </c>
      <c r="G2386" s="55">
        <v>45063.4</v>
      </c>
      <c r="H2386" s="55">
        <v>187818.4</v>
      </c>
      <c r="I2386" s="55">
        <v>1400</v>
      </c>
      <c r="J2386" s="55">
        <v>189218.4</v>
      </c>
      <c r="K2386" s="55">
        <v>36666.699999999997</v>
      </c>
      <c r="L2386" s="55">
        <v>12392.3</v>
      </c>
      <c r="M2386" s="55">
        <v>19781.7</v>
      </c>
      <c r="N2386" s="55">
        <v>782.8</v>
      </c>
    </row>
    <row r="2387" spans="1:14" ht="10.050000000000001" hidden="1" customHeight="1">
      <c r="A2387" s="52" t="s">
        <v>174</v>
      </c>
      <c r="B2387" s="53">
        <v>2014</v>
      </c>
      <c r="C2387" s="52" t="s">
        <v>119</v>
      </c>
      <c r="D2387" s="54">
        <v>11</v>
      </c>
      <c r="E2387" s="55">
        <v>20697.599999999999</v>
      </c>
      <c r="F2387" s="55">
        <v>1545.8</v>
      </c>
      <c r="G2387" s="55">
        <v>22243.4</v>
      </c>
      <c r="H2387" s="55">
        <v>401809.6</v>
      </c>
      <c r="I2387" s="55">
        <v>17152.3</v>
      </c>
      <c r="J2387" s="55">
        <v>418961.9</v>
      </c>
      <c r="K2387" s="55">
        <v>125765.2</v>
      </c>
      <c r="L2387" s="55">
        <v>3846.4</v>
      </c>
      <c r="M2387" s="55">
        <v>11163.9</v>
      </c>
      <c r="N2387" s="55">
        <v>8149.2</v>
      </c>
    </row>
    <row r="2388" spans="1:14" ht="10.050000000000001" hidden="1" customHeight="1">
      <c r="A2388" s="52" t="s">
        <v>314</v>
      </c>
      <c r="B2388" s="53">
        <v>2014</v>
      </c>
      <c r="C2388" s="52" t="s">
        <v>119</v>
      </c>
      <c r="D2388" s="54">
        <v>12</v>
      </c>
      <c r="E2388" s="55">
        <v>0</v>
      </c>
      <c r="F2388" s="55">
        <v>0</v>
      </c>
      <c r="G2388" s="55">
        <v>0</v>
      </c>
      <c r="H2388" s="55">
        <v>13.6</v>
      </c>
      <c r="I2388" s="55">
        <v>0</v>
      </c>
      <c r="J2388" s="55">
        <v>13.6</v>
      </c>
      <c r="K2388" s="55">
        <v>0</v>
      </c>
      <c r="L2388" s="55">
        <v>0</v>
      </c>
      <c r="M2388" s="55">
        <v>0</v>
      </c>
      <c r="N2388" s="55">
        <v>0</v>
      </c>
    </row>
    <row r="2389" spans="1:14" ht="10.050000000000001" hidden="1" customHeight="1">
      <c r="A2389" s="52" t="s">
        <v>306</v>
      </c>
      <c r="B2389" s="53">
        <v>2014</v>
      </c>
      <c r="C2389" s="52" t="s">
        <v>119</v>
      </c>
      <c r="D2389" s="54">
        <v>12</v>
      </c>
      <c r="E2389" s="55">
        <v>5500.2</v>
      </c>
      <c r="F2389" s="55">
        <v>576.9</v>
      </c>
      <c r="G2389" s="55">
        <v>6077.1</v>
      </c>
      <c r="H2389" s="55">
        <v>130410.5</v>
      </c>
      <c r="I2389" s="55">
        <v>5553.4</v>
      </c>
      <c r="J2389" s="55">
        <v>135963.9</v>
      </c>
      <c r="K2389" s="55">
        <v>17326.900000000001</v>
      </c>
      <c r="L2389" s="55">
        <v>731</v>
      </c>
      <c r="M2389" s="55">
        <v>2752.3</v>
      </c>
      <c r="N2389" s="55">
        <v>666</v>
      </c>
    </row>
    <row r="2390" spans="1:14" ht="10.050000000000001" hidden="1" customHeight="1">
      <c r="A2390" s="52" t="s">
        <v>172</v>
      </c>
      <c r="B2390" s="53">
        <v>2014</v>
      </c>
      <c r="C2390" s="52" t="s">
        <v>119</v>
      </c>
      <c r="D2390" s="54">
        <v>12</v>
      </c>
      <c r="E2390" s="55">
        <v>45847.9</v>
      </c>
      <c r="F2390" s="55">
        <v>698.3</v>
      </c>
      <c r="G2390" s="55">
        <v>46546.2</v>
      </c>
      <c r="H2390" s="55">
        <v>365620.4</v>
      </c>
      <c r="I2390" s="55">
        <v>7900.3</v>
      </c>
      <c r="J2390" s="55">
        <v>373520.7</v>
      </c>
      <c r="K2390" s="55">
        <v>65119.3</v>
      </c>
      <c r="L2390" s="55">
        <v>6355.3</v>
      </c>
      <c r="M2390" s="55">
        <v>14658.1</v>
      </c>
      <c r="N2390" s="55">
        <v>20.399999999999999</v>
      </c>
    </row>
    <row r="2391" spans="1:14" ht="10.050000000000001" hidden="1" customHeight="1">
      <c r="A2391" s="52" t="s">
        <v>171</v>
      </c>
      <c r="B2391" s="53">
        <v>2014</v>
      </c>
      <c r="C2391" s="52" t="s">
        <v>119</v>
      </c>
      <c r="D2391" s="54">
        <v>12</v>
      </c>
      <c r="E2391" s="55">
        <v>1863576.8</v>
      </c>
      <c r="F2391" s="55">
        <v>20728.599999999999</v>
      </c>
      <c r="G2391" s="55">
        <v>1884305.4</v>
      </c>
      <c r="H2391" s="55">
        <v>9507278.9000000004</v>
      </c>
      <c r="I2391" s="55">
        <v>127838.6</v>
      </c>
      <c r="J2391" s="55">
        <v>9635117.5</v>
      </c>
      <c r="K2391" s="55">
        <v>3945105.7</v>
      </c>
      <c r="L2391" s="55">
        <v>410918</v>
      </c>
      <c r="M2391" s="55">
        <v>1129830.8999999999</v>
      </c>
      <c r="N2391" s="55">
        <v>30043.599999999999</v>
      </c>
    </row>
    <row r="2392" spans="1:14" ht="10.050000000000001" hidden="1" customHeight="1">
      <c r="A2392" s="52" t="s">
        <v>300</v>
      </c>
      <c r="B2392" s="53">
        <v>2014</v>
      </c>
      <c r="C2392" s="52" t="s">
        <v>119</v>
      </c>
      <c r="D2392" s="54">
        <v>12</v>
      </c>
      <c r="E2392" s="55">
        <v>397.2</v>
      </c>
      <c r="F2392" s="55">
        <v>0</v>
      </c>
      <c r="G2392" s="55">
        <v>397.2</v>
      </c>
      <c r="H2392" s="55">
        <v>2471.8000000000002</v>
      </c>
      <c r="I2392" s="55">
        <v>170.2</v>
      </c>
      <c r="J2392" s="55">
        <v>2642</v>
      </c>
      <c r="K2392" s="55">
        <v>13.4</v>
      </c>
      <c r="L2392" s="55">
        <v>0</v>
      </c>
      <c r="M2392" s="55">
        <v>0</v>
      </c>
      <c r="N2392" s="55">
        <v>0</v>
      </c>
    </row>
    <row r="2393" spans="1:14" ht="10.050000000000001" hidden="1" customHeight="1">
      <c r="A2393" s="52" t="s">
        <v>307</v>
      </c>
      <c r="B2393" s="53">
        <v>2014</v>
      </c>
      <c r="C2393" s="52" t="s">
        <v>119</v>
      </c>
      <c r="D2393" s="54">
        <v>12</v>
      </c>
      <c r="E2393" s="55">
        <v>984784.1</v>
      </c>
      <c r="F2393" s="55">
        <v>20950.8</v>
      </c>
      <c r="G2393" s="55">
        <v>1005734.9</v>
      </c>
      <c r="H2393" s="55">
        <v>7676480.5999999996</v>
      </c>
      <c r="I2393" s="55">
        <v>200349.5</v>
      </c>
      <c r="J2393" s="55">
        <v>7876830.0999999996</v>
      </c>
      <c r="K2393" s="55">
        <v>3152671.8</v>
      </c>
      <c r="L2393" s="55">
        <v>198867.9</v>
      </c>
      <c r="M2393" s="55">
        <v>525732.30000000005</v>
      </c>
      <c r="N2393" s="55">
        <v>94773.9</v>
      </c>
    </row>
    <row r="2394" spans="1:14" ht="10.050000000000001" hidden="1" customHeight="1">
      <c r="A2394" s="52" t="s">
        <v>315</v>
      </c>
      <c r="B2394" s="53">
        <v>2014</v>
      </c>
      <c r="C2394" s="52" t="s">
        <v>119</v>
      </c>
      <c r="D2394" s="54">
        <v>12</v>
      </c>
      <c r="E2394" s="55">
        <v>1700.3</v>
      </c>
      <c r="F2394" s="55">
        <v>0</v>
      </c>
      <c r="G2394" s="55">
        <v>1700.3</v>
      </c>
      <c r="H2394" s="55">
        <v>26798</v>
      </c>
      <c r="I2394" s="55">
        <v>30.6</v>
      </c>
      <c r="J2394" s="55">
        <v>26828.6</v>
      </c>
      <c r="K2394" s="55">
        <v>3948</v>
      </c>
      <c r="L2394" s="55">
        <v>32.4</v>
      </c>
      <c r="M2394" s="55">
        <v>1105.0999999999999</v>
      </c>
      <c r="N2394" s="55">
        <v>21.5</v>
      </c>
    </row>
    <row r="2395" spans="1:14" ht="10.050000000000001" hidden="1" customHeight="1">
      <c r="A2395" s="52" t="s">
        <v>311</v>
      </c>
      <c r="B2395" s="53">
        <v>2014</v>
      </c>
      <c r="C2395" s="52" t="s">
        <v>119</v>
      </c>
      <c r="D2395" s="54">
        <v>12</v>
      </c>
      <c r="E2395" s="55">
        <v>0</v>
      </c>
      <c r="F2395" s="55">
        <v>0</v>
      </c>
      <c r="G2395" s="55">
        <v>0</v>
      </c>
      <c r="H2395" s="55">
        <v>0</v>
      </c>
      <c r="I2395" s="55">
        <v>0</v>
      </c>
      <c r="J2395" s="55">
        <v>0</v>
      </c>
      <c r="K2395" s="55">
        <v>16.2</v>
      </c>
      <c r="L2395" s="55">
        <v>0</v>
      </c>
      <c r="M2395" s="55">
        <v>0</v>
      </c>
      <c r="N2395" s="55">
        <v>7.5</v>
      </c>
    </row>
    <row r="2396" spans="1:14" ht="10.050000000000001" hidden="1" customHeight="1">
      <c r="A2396" s="52" t="s">
        <v>173</v>
      </c>
      <c r="B2396" s="53">
        <v>2014</v>
      </c>
      <c r="C2396" s="52" t="s">
        <v>119</v>
      </c>
      <c r="D2396" s="54">
        <v>12</v>
      </c>
      <c r="E2396" s="55">
        <v>334076</v>
      </c>
      <c r="F2396" s="55">
        <v>13704.5</v>
      </c>
      <c r="G2396" s="55">
        <v>347780.5</v>
      </c>
      <c r="H2396" s="55">
        <v>4305328.0999999996</v>
      </c>
      <c r="I2396" s="55">
        <v>48442</v>
      </c>
      <c r="J2396" s="55">
        <v>4353770.0999999996</v>
      </c>
      <c r="K2396" s="55">
        <v>798332.7</v>
      </c>
      <c r="L2396" s="55">
        <v>47557.3</v>
      </c>
      <c r="M2396" s="55">
        <v>205563.5</v>
      </c>
      <c r="N2396" s="55">
        <v>15454.7</v>
      </c>
    </row>
    <row r="2397" spans="1:14" ht="10.050000000000001" customHeight="1">
      <c r="A2397" s="52" t="s">
        <v>309</v>
      </c>
      <c r="B2397" s="53">
        <v>2014</v>
      </c>
      <c r="C2397" s="52" t="s">
        <v>119</v>
      </c>
      <c r="D2397" s="54">
        <v>12</v>
      </c>
      <c r="E2397" s="55">
        <v>1505.6</v>
      </c>
      <c r="F2397" s="55">
        <v>0</v>
      </c>
      <c r="G2397" s="55">
        <v>1505.6</v>
      </c>
      <c r="H2397" s="55">
        <v>73934.5</v>
      </c>
      <c r="I2397" s="55">
        <v>0</v>
      </c>
      <c r="J2397" s="55">
        <v>73934.5</v>
      </c>
      <c r="K2397" s="55">
        <v>7483</v>
      </c>
      <c r="L2397" s="55">
        <v>0</v>
      </c>
      <c r="M2397" s="55">
        <v>1352.6</v>
      </c>
      <c r="N2397" s="55">
        <v>2437.9</v>
      </c>
    </row>
    <row r="2398" spans="1:14" ht="10.050000000000001" hidden="1" customHeight="1">
      <c r="A2398" s="52" t="s">
        <v>316</v>
      </c>
      <c r="B2398" s="53">
        <v>2014</v>
      </c>
      <c r="C2398" s="52" t="s">
        <v>119</v>
      </c>
      <c r="D2398" s="54">
        <v>12</v>
      </c>
      <c r="E2398" s="55">
        <v>650.4</v>
      </c>
      <c r="F2398" s="55">
        <v>0</v>
      </c>
      <c r="G2398" s="55">
        <v>650.4</v>
      </c>
      <c r="H2398" s="55">
        <v>8464</v>
      </c>
      <c r="I2398" s="55">
        <v>200.9</v>
      </c>
      <c r="J2398" s="55">
        <v>8664.9000000000106</v>
      </c>
      <c r="K2398" s="55">
        <v>230.7</v>
      </c>
      <c r="L2398" s="55">
        <v>37.6</v>
      </c>
      <c r="M2398" s="55">
        <v>129.5</v>
      </c>
      <c r="N2398" s="55">
        <v>14.6</v>
      </c>
    </row>
    <row r="2399" spans="1:14" ht="10.050000000000001" hidden="1" customHeight="1">
      <c r="A2399" s="52" t="s">
        <v>310</v>
      </c>
      <c r="B2399" s="53">
        <v>2014</v>
      </c>
      <c r="C2399" s="52" t="s">
        <v>119</v>
      </c>
      <c r="D2399" s="54">
        <v>12</v>
      </c>
      <c r="E2399" s="55">
        <v>1973.8</v>
      </c>
      <c r="F2399" s="55">
        <v>36.799999999999997</v>
      </c>
      <c r="G2399" s="55">
        <v>2010.6</v>
      </c>
      <c r="H2399" s="55">
        <v>35813.199999999997</v>
      </c>
      <c r="I2399" s="55">
        <v>986.5</v>
      </c>
      <c r="J2399" s="55">
        <v>36799.699999999997</v>
      </c>
      <c r="K2399" s="55">
        <v>6185.7</v>
      </c>
      <c r="L2399" s="55">
        <v>116.7</v>
      </c>
      <c r="M2399" s="55">
        <v>1243.7</v>
      </c>
      <c r="N2399" s="55">
        <v>80.7</v>
      </c>
    </row>
    <row r="2400" spans="1:14" ht="10.050000000000001" hidden="1" customHeight="1">
      <c r="A2400" s="52" t="s">
        <v>308</v>
      </c>
      <c r="B2400" s="53">
        <v>2014</v>
      </c>
      <c r="C2400" s="52" t="s">
        <v>119</v>
      </c>
      <c r="D2400" s="54">
        <v>12</v>
      </c>
      <c r="E2400" s="55">
        <v>18084.900000000001</v>
      </c>
      <c r="F2400" s="55">
        <v>0</v>
      </c>
      <c r="G2400" s="55">
        <v>18084.900000000001</v>
      </c>
      <c r="H2400" s="55">
        <v>173354.1</v>
      </c>
      <c r="I2400" s="55">
        <v>1369.6</v>
      </c>
      <c r="J2400" s="55">
        <v>174723.7</v>
      </c>
      <c r="K2400" s="55">
        <v>28360.1</v>
      </c>
      <c r="L2400" s="55">
        <v>2554.8000000000002</v>
      </c>
      <c r="M2400" s="55">
        <v>10066.200000000001</v>
      </c>
      <c r="N2400" s="55">
        <v>740.8</v>
      </c>
    </row>
    <row r="2401" spans="1:14" ht="10.050000000000001" hidden="1" customHeight="1">
      <c r="A2401" s="52" t="s">
        <v>174</v>
      </c>
      <c r="B2401" s="53">
        <v>2014</v>
      </c>
      <c r="C2401" s="52" t="s">
        <v>119</v>
      </c>
      <c r="D2401" s="54">
        <v>12</v>
      </c>
      <c r="E2401" s="55">
        <v>18811.5</v>
      </c>
      <c r="F2401" s="55">
        <v>848.2</v>
      </c>
      <c r="G2401" s="55">
        <v>19659.7</v>
      </c>
      <c r="H2401" s="55">
        <v>362298.2</v>
      </c>
      <c r="I2401" s="55">
        <v>14987.5</v>
      </c>
      <c r="J2401" s="55">
        <v>377285.7</v>
      </c>
      <c r="K2401" s="55">
        <v>108625.2</v>
      </c>
      <c r="L2401" s="55">
        <v>3480</v>
      </c>
      <c r="M2401" s="55">
        <v>10996.2</v>
      </c>
      <c r="N2401" s="55">
        <v>9624.2999999999993</v>
      </c>
    </row>
    <row r="2402" spans="1:14" ht="10.050000000000001" hidden="1" customHeight="1">
      <c r="A2402" s="52" t="s">
        <v>314</v>
      </c>
      <c r="B2402" s="53">
        <v>2015</v>
      </c>
      <c r="C2402" s="52" t="s">
        <v>119</v>
      </c>
      <c r="D2402" s="54">
        <v>1</v>
      </c>
      <c r="E2402" s="55">
        <v>0</v>
      </c>
      <c r="F2402" s="55">
        <v>0</v>
      </c>
      <c r="G2402" s="55">
        <v>0</v>
      </c>
      <c r="H2402" s="55">
        <v>13.6</v>
      </c>
      <c r="I2402" s="55">
        <v>0</v>
      </c>
      <c r="J2402" s="55">
        <v>13.6</v>
      </c>
      <c r="K2402" s="55">
        <v>0</v>
      </c>
      <c r="L2402" s="55">
        <v>0</v>
      </c>
      <c r="M2402" s="55">
        <v>0</v>
      </c>
      <c r="N2402" s="55">
        <v>0</v>
      </c>
    </row>
    <row r="2403" spans="1:14" ht="10.050000000000001" hidden="1" customHeight="1">
      <c r="A2403" s="52" t="s">
        <v>306</v>
      </c>
      <c r="B2403" s="53">
        <v>2015</v>
      </c>
      <c r="C2403" s="52" t="s">
        <v>119</v>
      </c>
      <c r="D2403" s="54">
        <v>1</v>
      </c>
      <c r="E2403" s="55">
        <v>5917.5</v>
      </c>
      <c r="F2403" s="55">
        <v>1154.4000000000001</v>
      </c>
      <c r="G2403" s="55">
        <v>7071.9</v>
      </c>
      <c r="H2403" s="55">
        <v>113404.9</v>
      </c>
      <c r="I2403" s="55">
        <v>5592.6</v>
      </c>
      <c r="J2403" s="55">
        <v>118997.5</v>
      </c>
      <c r="K2403" s="55">
        <v>14046.5</v>
      </c>
      <c r="L2403" s="55">
        <v>643.5</v>
      </c>
      <c r="M2403" s="55">
        <v>3379.7</v>
      </c>
      <c r="N2403" s="55">
        <v>544.20000000000005</v>
      </c>
    </row>
    <row r="2404" spans="1:14" ht="10.050000000000001" hidden="1" customHeight="1">
      <c r="A2404" s="52" t="s">
        <v>172</v>
      </c>
      <c r="B2404" s="53">
        <v>2015</v>
      </c>
      <c r="C2404" s="52" t="s">
        <v>119</v>
      </c>
      <c r="D2404" s="54">
        <v>1</v>
      </c>
      <c r="E2404" s="55">
        <v>55542.6</v>
      </c>
      <c r="F2404" s="55">
        <v>336.5</v>
      </c>
      <c r="G2404" s="55">
        <v>55879.1</v>
      </c>
      <c r="H2404" s="55">
        <v>326168.59999999998</v>
      </c>
      <c r="I2404" s="55">
        <v>7467.2</v>
      </c>
      <c r="J2404" s="55">
        <v>333635.8</v>
      </c>
      <c r="K2404" s="55">
        <v>44839.5</v>
      </c>
      <c r="L2404" s="55">
        <v>8144</v>
      </c>
      <c r="M2404" s="55">
        <v>27150.1</v>
      </c>
      <c r="N2404" s="55">
        <v>240.7</v>
      </c>
    </row>
    <row r="2405" spans="1:14" ht="10.050000000000001" hidden="1" customHeight="1">
      <c r="A2405" s="52" t="s">
        <v>171</v>
      </c>
      <c r="B2405" s="53">
        <v>2015</v>
      </c>
      <c r="C2405" s="52" t="s">
        <v>119</v>
      </c>
      <c r="D2405" s="54">
        <v>1</v>
      </c>
      <c r="E2405" s="55">
        <v>2387400.2000000002</v>
      </c>
      <c r="F2405" s="55">
        <v>14245.3</v>
      </c>
      <c r="G2405" s="55">
        <v>2401645.5</v>
      </c>
      <c r="H2405" s="55">
        <v>9100395.8000000007</v>
      </c>
      <c r="I2405" s="55">
        <v>111402.8</v>
      </c>
      <c r="J2405" s="55">
        <v>9211798.5999999996</v>
      </c>
      <c r="K2405" s="55">
        <v>3290514.7</v>
      </c>
      <c r="L2405" s="55">
        <v>525215.5</v>
      </c>
      <c r="M2405" s="55">
        <v>1147007.5</v>
      </c>
      <c r="N2405" s="55">
        <v>30842</v>
      </c>
    </row>
    <row r="2406" spans="1:14" ht="10.050000000000001" hidden="1" customHeight="1">
      <c r="A2406" s="52" t="s">
        <v>300</v>
      </c>
      <c r="B2406" s="53">
        <v>2015</v>
      </c>
      <c r="C2406" s="52" t="s">
        <v>119</v>
      </c>
      <c r="D2406" s="54">
        <v>1</v>
      </c>
      <c r="E2406" s="55">
        <v>209.7</v>
      </c>
      <c r="F2406" s="55">
        <v>0</v>
      </c>
      <c r="G2406" s="55">
        <v>209.7</v>
      </c>
      <c r="H2406" s="55">
        <v>2378</v>
      </c>
      <c r="I2406" s="55">
        <v>170.2</v>
      </c>
      <c r="J2406" s="55">
        <v>2548.1999999999998</v>
      </c>
      <c r="K2406" s="55">
        <v>13.4</v>
      </c>
      <c r="L2406" s="55">
        <v>0</v>
      </c>
      <c r="M2406" s="55">
        <v>0</v>
      </c>
      <c r="N2406" s="55">
        <v>0</v>
      </c>
    </row>
    <row r="2407" spans="1:14" ht="10.050000000000001" hidden="1" customHeight="1">
      <c r="A2407" s="52" t="s">
        <v>307</v>
      </c>
      <c r="B2407" s="53">
        <v>2015</v>
      </c>
      <c r="C2407" s="52" t="s">
        <v>119</v>
      </c>
      <c r="D2407" s="54">
        <v>1</v>
      </c>
      <c r="E2407" s="55">
        <v>764362.5</v>
      </c>
      <c r="F2407" s="55">
        <v>13151.4</v>
      </c>
      <c r="G2407" s="55">
        <v>777513.9</v>
      </c>
      <c r="H2407" s="55">
        <v>7231541.5999999996</v>
      </c>
      <c r="I2407" s="55">
        <v>170628.9</v>
      </c>
      <c r="J2407" s="55">
        <v>7402170.5</v>
      </c>
      <c r="K2407" s="55">
        <v>2565033</v>
      </c>
      <c r="L2407" s="55">
        <v>69874.8</v>
      </c>
      <c r="M2407" s="55">
        <v>559204.69999999995</v>
      </c>
      <c r="N2407" s="55">
        <v>96443.8</v>
      </c>
    </row>
    <row r="2408" spans="1:14" ht="10.050000000000001" hidden="1" customHeight="1">
      <c r="A2408" s="52" t="s">
        <v>315</v>
      </c>
      <c r="B2408" s="53">
        <v>2015</v>
      </c>
      <c r="C2408" s="52" t="s">
        <v>119</v>
      </c>
      <c r="D2408" s="54">
        <v>1</v>
      </c>
      <c r="E2408" s="55">
        <v>1529.5</v>
      </c>
      <c r="F2408" s="55">
        <v>0</v>
      </c>
      <c r="G2408" s="55">
        <v>1529.5</v>
      </c>
      <c r="H2408" s="55">
        <v>24866.2</v>
      </c>
      <c r="I2408" s="55">
        <v>30.6</v>
      </c>
      <c r="J2408" s="55">
        <v>24896.799999999999</v>
      </c>
      <c r="K2408" s="55">
        <v>3001.2</v>
      </c>
      <c r="L2408" s="55">
        <v>127.9</v>
      </c>
      <c r="M2408" s="55">
        <v>1067.9000000000001</v>
      </c>
      <c r="N2408" s="55">
        <v>6.9</v>
      </c>
    </row>
    <row r="2409" spans="1:14" ht="10.050000000000001" hidden="1" customHeight="1">
      <c r="A2409" s="52" t="s">
        <v>311</v>
      </c>
      <c r="B2409" s="53">
        <v>2015</v>
      </c>
      <c r="C2409" s="52" t="s">
        <v>119</v>
      </c>
      <c r="D2409" s="54">
        <v>1</v>
      </c>
      <c r="E2409" s="55">
        <v>0</v>
      </c>
      <c r="F2409" s="55">
        <v>0</v>
      </c>
      <c r="G2409" s="55">
        <v>0</v>
      </c>
      <c r="H2409" s="55">
        <v>0</v>
      </c>
      <c r="I2409" s="55">
        <v>0</v>
      </c>
      <c r="J2409" s="55">
        <v>0</v>
      </c>
      <c r="K2409" s="55">
        <v>16.2</v>
      </c>
      <c r="L2409" s="55">
        <v>0</v>
      </c>
      <c r="M2409" s="55">
        <v>0</v>
      </c>
      <c r="N2409" s="55">
        <v>0</v>
      </c>
    </row>
    <row r="2410" spans="1:14" ht="10.050000000000001" hidden="1" customHeight="1">
      <c r="A2410" s="52" t="s">
        <v>173</v>
      </c>
      <c r="B2410" s="53">
        <v>2015</v>
      </c>
      <c r="C2410" s="52" t="s">
        <v>119</v>
      </c>
      <c r="D2410" s="54">
        <v>1</v>
      </c>
      <c r="E2410" s="55">
        <v>410091.7</v>
      </c>
      <c r="F2410" s="55">
        <v>16671.099999999999</v>
      </c>
      <c r="G2410" s="55">
        <v>426762.8</v>
      </c>
      <c r="H2410" s="55">
        <v>3902921.6</v>
      </c>
      <c r="I2410" s="55">
        <v>42095.8</v>
      </c>
      <c r="J2410" s="55">
        <v>3945017.4</v>
      </c>
      <c r="K2410" s="55">
        <v>617879.30000000005</v>
      </c>
      <c r="L2410" s="55">
        <v>68863.8</v>
      </c>
      <c r="M2410" s="55">
        <v>231691.3</v>
      </c>
      <c r="N2410" s="55">
        <v>16842.599999999999</v>
      </c>
    </row>
    <row r="2411" spans="1:14" ht="10.050000000000001" customHeight="1">
      <c r="A2411" s="52" t="s">
        <v>309</v>
      </c>
      <c r="B2411" s="53">
        <v>2015</v>
      </c>
      <c r="C2411" s="52" t="s">
        <v>119</v>
      </c>
      <c r="D2411" s="54">
        <v>1</v>
      </c>
      <c r="E2411" s="55">
        <v>937.3</v>
      </c>
      <c r="F2411" s="55">
        <v>0</v>
      </c>
      <c r="G2411" s="55">
        <v>937.3</v>
      </c>
      <c r="H2411" s="55">
        <v>65751.100000000006</v>
      </c>
      <c r="I2411" s="55">
        <v>0</v>
      </c>
      <c r="J2411" s="55">
        <v>65751.100000000006</v>
      </c>
      <c r="K2411" s="55">
        <v>6717.4</v>
      </c>
      <c r="L2411" s="55">
        <v>21.9</v>
      </c>
      <c r="M2411" s="55">
        <v>716.5</v>
      </c>
      <c r="N2411" s="55">
        <v>70.900000000000006</v>
      </c>
    </row>
    <row r="2412" spans="1:14" ht="10.050000000000001" hidden="1" customHeight="1">
      <c r="A2412" s="52" t="s">
        <v>316</v>
      </c>
      <c r="B2412" s="53">
        <v>2015</v>
      </c>
      <c r="C2412" s="52" t="s">
        <v>119</v>
      </c>
      <c r="D2412" s="54">
        <v>1</v>
      </c>
      <c r="E2412" s="55">
        <v>225.7</v>
      </c>
      <c r="F2412" s="55">
        <v>0</v>
      </c>
      <c r="G2412" s="55">
        <v>225.7</v>
      </c>
      <c r="H2412" s="55">
        <v>7893.7</v>
      </c>
      <c r="I2412" s="55">
        <v>117.3</v>
      </c>
      <c r="J2412" s="55">
        <v>8011</v>
      </c>
      <c r="K2412" s="55">
        <v>175.1</v>
      </c>
      <c r="L2412" s="55">
        <v>8.6</v>
      </c>
      <c r="M2412" s="55">
        <v>64.099999999999994</v>
      </c>
      <c r="N2412" s="55">
        <v>0</v>
      </c>
    </row>
    <row r="2413" spans="1:14" ht="10.050000000000001" hidden="1" customHeight="1">
      <c r="A2413" s="52" t="s">
        <v>310</v>
      </c>
      <c r="B2413" s="53">
        <v>2015</v>
      </c>
      <c r="C2413" s="52" t="s">
        <v>119</v>
      </c>
      <c r="D2413" s="54">
        <v>1</v>
      </c>
      <c r="E2413" s="55">
        <v>2272.1999999999998</v>
      </c>
      <c r="F2413" s="55">
        <v>0</v>
      </c>
      <c r="G2413" s="55">
        <v>2272.1999999999998</v>
      </c>
      <c r="H2413" s="55">
        <v>34489.5</v>
      </c>
      <c r="I2413" s="55">
        <v>968.5</v>
      </c>
      <c r="J2413" s="55">
        <v>35458</v>
      </c>
      <c r="K2413" s="55">
        <v>4502.7</v>
      </c>
      <c r="L2413" s="55">
        <v>44.5</v>
      </c>
      <c r="M2413" s="55">
        <v>1557.8</v>
      </c>
      <c r="N2413" s="55">
        <v>169.8</v>
      </c>
    </row>
    <row r="2414" spans="1:14" ht="10.050000000000001" hidden="1" customHeight="1">
      <c r="A2414" s="52" t="s">
        <v>308</v>
      </c>
      <c r="B2414" s="53">
        <v>2015</v>
      </c>
      <c r="C2414" s="52" t="s">
        <v>119</v>
      </c>
      <c r="D2414" s="54">
        <v>1</v>
      </c>
      <c r="E2414" s="55">
        <v>11925.8</v>
      </c>
      <c r="F2414" s="55">
        <v>51.7</v>
      </c>
      <c r="G2414" s="55">
        <v>11977.5</v>
      </c>
      <c r="H2414" s="55">
        <v>146319.20000000001</v>
      </c>
      <c r="I2414" s="55">
        <v>1336.5</v>
      </c>
      <c r="J2414" s="55">
        <v>147655.70000000001</v>
      </c>
      <c r="K2414" s="55">
        <v>18366.8</v>
      </c>
      <c r="L2414" s="55">
        <v>275</v>
      </c>
      <c r="M2414" s="55">
        <v>9681.1</v>
      </c>
      <c r="N2414" s="55">
        <v>587.29999999999995</v>
      </c>
    </row>
    <row r="2415" spans="1:14" ht="10.050000000000001" hidden="1" customHeight="1">
      <c r="A2415" s="52" t="s">
        <v>174</v>
      </c>
      <c r="B2415" s="53">
        <v>2015</v>
      </c>
      <c r="C2415" s="52" t="s">
        <v>119</v>
      </c>
      <c r="D2415" s="54">
        <v>1</v>
      </c>
      <c r="E2415" s="55">
        <v>18885.3</v>
      </c>
      <c r="F2415" s="55">
        <v>777.4</v>
      </c>
      <c r="G2415" s="55">
        <v>19662.7</v>
      </c>
      <c r="H2415" s="55">
        <v>319050.59999999998</v>
      </c>
      <c r="I2415" s="55">
        <v>12608.4</v>
      </c>
      <c r="J2415" s="55">
        <v>331659</v>
      </c>
      <c r="K2415" s="55">
        <v>91910.5</v>
      </c>
      <c r="L2415" s="55">
        <v>3137.9</v>
      </c>
      <c r="M2415" s="55">
        <v>10073.5</v>
      </c>
      <c r="N2415" s="55">
        <v>9779.2999999999993</v>
      </c>
    </row>
    <row r="2416" spans="1:14" ht="10.050000000000001" hidden="1" customHeight="1">
      <c r="A2416" s="52" t="s">
        <v>314</v>
      </c>
      <c r="B2416" s="53">
        <v>2015</v>
      </c>
      <c r="C2416" s="52" t="s">
        <v>119</v>
      </c>
      <c r="D2416" s="54">
        <v>2</v>
      </c>
      <c r="E2416" s="55">
        <v>0</v>
      </c>
      <c r="F2416" s="55">
        <v>0</v>
      </c>
      <c r="G2416" s="55">
        <v>0</v>
      </c>
      <c r="H2416" s="55">
        <v>13.6</v>
      </c>
      <c r="I2416" s="55">
        <v>0</v>
      </c>
      <c r="J2416" s="55">
        <v>13.6</v>
      </c>
      <c r="K2416" s="55">
        <v>0</v>
      </c>
      <c r="L2416" s="55">
        <v>0</v>
      </c>
      <c r="M2416" s="55">
        <v>0</v>
      </c>
      <c r="N2416" s="55">
        <v>0</v>
      </c>
    </row>
    <row r="2417" spans="1:14" ht="10.050000000000001" hidden="1" customHeight="1">
      <c r="A2417" s="52" t="s">
        <v>306</v>
      </c>
      <c r="B2417" s="53">
        <v>2015</v>
      </c>
      <c r="C2417" s="52" t="s">
        <v>119</v>
      </c>
      <c r="D2417" s="54">
        <v>2</v>
      </c>
      <c r="E2417" s="55">
        <v>5932.9</v>
      </c>
      <c r="F2417" s="55">
        <v>985.4</v>
      </c>
      <c r="G2417" s="55">
        <v>6918.3</v>
      </c>
      <c r="H2417" s="55">
        <v>96851.4</v>
      </c>
      <c r="I2417" s="55">
        <v>4627.7</v>
      </c>
      <c r="J2417" s="55">
        <v>101479.1</v>
      </c>
      <c r="K2417" s="55">
        <v>11380.1</v>
      </c>
      <c r="L2417" s="55">
        <v>628.70000000000005</v>
      </c>
      <c r="M2417" s="55">
        <v>2891.1</v>
      </c>
      <c r="N2417" s="55">
        <v>405.2</v>
      </c>
    </row>
    <row r="2418" spans="1:14" ht="10.050000000000001" hidden="1" customHeight="1">
      <c r="A2418" s="52" t="s">
        <v>172</v>
      </c>
      <c r="B2418" s="53">
        <v>2015</v>
      </c>
      <c r="C2418" s="52" t="s">
        <v>119</v>
      </c>
      <c r="D2418" s="54">
        <v>2</v>
      </c>
      <c r="E2418" s="55">
        <v>50792.9</v>
      </c>
      <c r="F2418" s="55">
        <v>171.2</v>
      </c>
      <c r="G2418" s="55">
        <v>50964.1</v>
      </c>
      <c r="H2418" s="55">
        <v>284837.5</v>
      </c>
      <c r="I2418" s="55">
        <v>6220.4</v>
      </c>
      <c r="J2418" s="55">
        <v>291057.90000000002</v>
      </c>
      <c r="K2418" s="55">
        <v>35056.400000000001</v>
      </c>
      <c r="L2418" s="55">
        <v>8098.4</v>
      </c>
      <c r="M2418" s="55">
        <v>18172.599999999999</v>
      </c>
      <c r="N2418" s="55">
        <v>158.9</v>
      </c>
    </row>
    <row r="2419" spans="1:14" ht="10.050000000000001" hidden="1" customHeight="1">
      <c r="A2419" s="52" t="s">
        <v>171</v>
      </c>
      <c r="B2419" s="53">
        <v>2015</v>
      </c>
      <c r="C2419" s="52" t="s">
        <v>119</v>
      </c>
      <c r="D2419" s="54">
        <v>2</v>
      </c>
      <c r="E2419" s="55">
        <v>1627248.7</v>
      </c>
      <c r="F2419" s="55">
        <v>7759.3</v>
      </c>
      <c r="G2419" s="55">
        <v>1635008</v>
      </c>
      <c r="H2419" s="55">
        <v>7683513.0999999996</v>
      </c>
      <c r="I2419" s="55">
        <v>106132.7</v>
      </c>
      <c r="J2419" s="55">
        <v>7789645.7999999998</v>
      </c>
      <c r="K2419" s="55">
        <v>2960784.7</v>
      </c>
      <c r="L2419" s="55">
        <v>423001.59999999998</v>
      </c>
      <c r="M2419" s="55">
        <v>731795.7</v>
      </c>
      <c r="N2419" s="55">
        <v>26992.6</v>
      </c>
    </row>
    <row r="2420" spans="1:14" ht="10.050000000000001" hidden="1" customHeight="1">
      <c r="A2420" s="52" t="s">
        <v>300</v>
      </c>
      <c r="B2420" s="53">
        <v>2015</v>
      </c>
      <c r="C2420" s="52" t="s">
        <v>119</v>
      </c>
      <c r="D2420" s="54">
        <v>2</v>
      </c>
      <c r="E2420" s="55">
        <v>221.2</v>
      </c>
      <c r="F2420" s="55">
        <v>0</v>
      </c>
      <c r="G2420" s="55">
        <v>221.2</v>
      </c>
      <c r="H2420" s="55">
        <v>2245.1999999999998</v>
      </c>
      <c r="I2420" s="55">
        <v>147.19999999999999</v>
      </c>
      <c r="J2420" s="55">
        <v>2392.4</v>
      </c>
      <c r="K2420" s="55">
        <v>13.4</v>
      </c>
      <c r="L2420" s="55">
        <v>0</v>
      </c>
      <c r="M2420" s="55">
        <v>0</v>
      </c>
      <c r="N2420" s="55">
        <v>0</v>
      </c>
    </row>
    <row r="2421" spans="1:14" ht="10.050000000000001" hidden="1" customHeight="1">
      <c r="A2421" s="52" t="s">
        <v>307</v>
      </c>
      <c r="B2421" s="53">
        <v>2015</v>
      </c>
      <c r="C2421" s="52" t="s">
        <v>119</v>
      </c>
      <c r="D2421" s="54">
        <v>2</v>
      </c>
      <c r="E2421" s="55">
        <v>463286.6</v>
      </c>
      <c r="F2421" s="55">
        <v>1429.3</v>
      </c>
      <c r="G2421" s="55">
        <v>464715.9</v>
      </c>
      <c r="H2421" s="55">
        <v>6463598.5</v>
      </c>
      <c r="I2421" s="55">
        <v>149959.9</v>
      </c>
      <c r="J2421" s="55">
        <v>6613558.4000000004</v>
      </c>
      <c r="K2421" s="55">
        <v>2248092.9</v>
      </c>
      <c r="L2421" s="55">
        <v>42718.8</v>
      </c>
      <c r="M2421" s="55">
        <v>281974.90000000002</v>
      </c>
      <c r="N2421" s="55">
        <v>76482</v>
      </c>
    </row>
    <row r="2422" spans="1:14" ht="10.050000000000001" hidden="1" customHeight="1">
      <c r="A2422" s="52" t="s">
        <v>315</v>
      </c>
      <c r="B2422" s="53">
        <v>2015</v>
      </c>
      <c r="C2422" s="52" t="s">
        <v>119</v>
      </c>
      <c r="D2422" s="54">
        <v>2</v>
      </c>
      <c r="E2422" s="55">
        <v>1586.2</v>
      </c>
      <c r="F2422" s="55">
        <v>0</v>
      </c>
      <c r="G2422" s="55">
        <v>1586.2</v>
      </c>
      <c r="H2422" s="55">
        <v>23588.7</v>
      </c>
      <c r="I2422" s="55">
        <v>30.6</v>
      </c>
      <c r="J2422" s="55">
        <v>23619.3</v>
      </c>
      <c r="K2422" s="55">
        <v>2240.6</v>
      </c>
      <c r="L2422" s="55">
        <v>70.599999999999994</v>
      </c>
      <c r="M2422" s="55">
        <v>787</v>
      </c>
      <c r="N2422" s="55">
        <v>44.2</v>
      </c>
    </row>
    <row r="2423" spans="1:14" ht="10.050000000000001" hidden="1" customHeight="1">
      <c r="A2423" s="52" t="s">
        <v>311</v>
      </c>
      <c r="B2423" s="53">
        <v>2015</v>
      </c>
      <c r="C2423" s="52" t="s">
        <v>119</v>
      </c>
      <c r="D2423" s="54">
        <v>2</v>
      </c>
      <c r="E2423" s="55">
        <v>0</v>
      </c>
      <c r="F2423" s="55">
        <v>0</v>
      </c>
      <c r="G2423" s="55">
        <v>0</v>
      </c>
      <c r="H2423" s="55">
        <v>0</v>
      </c>
      <c r="I2423" s="55">
        <v>0</v>
      </c>
      <c r="J2423" s="55">
        <v>0</v>
      </c>
      <c r="K2423" s="55">
        <v>11.8</v>
      </c>
      <c r="L2423" s="55">
        <v>0</v>
      </c>
      <c r="M2423" s="55">
        <v>0</v>
      </c>
      <c r="N2423" s="55">
        <v>4.4000000000000004</v>
      </c>
    </row>
    <row r="2424" spans="1:14" ht="10.050000000000001" hidden="1" customHeight="1">
      <c r="A2424" s="52" t="s">
        <v>173</v>
      </c>
      <c r="B2424" s="53">
        <v>2015</v>
      </c>
      <c r="C2424" s="52" t="s">
        <v>119</v>
      </c>
      <c r="D2424" s="54">
        <v>2</v>
      </c>
      <c r="E2424" s="55">
        <v>322663.5</v>
      </c>
      <c r="F2424" s="55">
        <v>6848.4</v>
      </c>
      <c r="G2424" s="55">
        <v>329511.90000000002</v>
      </c>
      <c r="H2424" s="55">
        <v>3443107.5</v>
      </c>
      <c r="I2424" s="55">
        <v>35620.1</v>
      </c>
      <c r="J2424" s="55">
        <v>3478727.6</v>
      </c>
      <c r="K2424" s="55">
        <v>475651.3</v>
      </c>
      <c r="L2424" s="55">
        <v>41209.1</v>
      </c>
      <c r="M2424" s="55">
        <v>170333.3</v>
      </c>
      <c r="N2424" s="55">
        <v>13461.1</v>
      </c>
    </row>
    <row r="2425" spans="1:14" ht="10.050000000000001" customHeight="1">
      <c r="A2425" s="52" t="s">
        <v>309</v>
      </c>
      <c r="B2425" s="53">
        <v>2015</v>
      </c>
      <c r="C2425" s="52" t="s">
        <v>119</v>
      </c>
      <c r="D2425" s="54">
        <v>2</v>
      </c>
      <c r="E2425" s="55">
        <v>1027.8</v>
      </c>
      <c r="F2425" s="55">
        <v>0</v>
      </c>
      <c r="G2425" s="55">
        <v>1027.8</v>
      </c>
      <c r="H2425" s="55">
        <v>57028.1</v>
      </c>
      <c r="I2425" s="55">
        <v>0</v>
      </c>
      <c r="J2425" s="55">
        <v>57028.1</v>
      </c>
      <c r="K2425" s="55">
        <v>5762.8</v>
      </c>
      <c r="L2425" s="55">
        <v>0</v>
      </c>
      <c r="M2425" s="55">
        <v>490</v>
      </c>
      <c r="N2425" s="55">
        <v>464.6</v>
      </c>
    </row>
    <row r="2426" spans="1:14" ht="10.050000000000001" hidden="1" customHeight="1">
      <c r="A2426" s="52" t="s">
        <v>316</v>
      </c>
      <c r="B2426" s="53">
        <v>2015</v>
      </c>
      <c r="C2426" s="52" t="s">
        <v>119</v>
      </c>
      <c r="D2426" s="54">
        <v>2</v>
      </c>
      <c r="E2426" s="55">
        <v>273.89999999999998</v>
      </c>
      <c r="F2426" s="55">
        <v>4.8</v>
      </c>
      <c r="G2426" s="55">
        <v>278.7</v>
      </c>
      <c r="H2426" s="55">
        <v>7097</v>
      </c>
      <c r="I2426" s="55">
        <v>93</v>
      </c>
      <c r="J2426" s="55">
        <v>7190</v>
      </c>
      <c r="K2426" s="55">
        <v>102.3</v>
      </c>
      <c r="L2426" s="55">
        <v>17</v>
      </c>
      <c r="M2426" s="55">
        <v>63.7</v>
      </c>
      <c r="N2426" s="55">
        <v>26.1</v>
      </c>
    </row>
    <row r="2427" spans="1:14" ht="10.050000000000001" hidden="1" customHeight="1">
      <c r="A2427" s="52" t="s">
        <v>310</v>
      </c>
      <c r="B2427" s="53">
        <v>2015</v>
      </c>
      <c r="C2427" s="52" t="s">
        <v>119</v>
      </c>
      <c r="D2427" s="54">
        <v>2</v>
      </c>
      <c r="E2427" s="55">
        <v>1795.9</v>
      </c>
      <c r="F2427" s="55">
        <v>0</v>
      </c>
      <c r="G2427" s="55">
        <v>1795.9</v>
      </c>
      <c r="H2427" s="55">
        <v>31921.4</v>
      </c>
      <c r="I2427" s="55">
        <v>902.6</v>
      </c>
      <c r="J2427" s="55">
        <v>32824</v>
      </c>
      <c r="K2427" s="55">
        <v>3903.8</v>
      </c>
      <c r="L2427" s="55">
        <v>459.1</v>
      </c>
      <c r="M2427" s="55">
        <v>932.8</v>
      </c>
      <c r="N2427" s="55">
        <v>125.2</v>
      </c>
    </row>
    <row r="2428" spans="1:14" ht="10.050000000000001" hidden="1" customHeight="1">
      <c r="A2428" s="52" t="s">
        <v>308</v>
      </c>
      <c r="B2428" s="53">
        <v>2015</v>
      </c>
      <c r="C2428" s="52" t="s">
        <v>119</v>
      </c>
      <c r="D2428" s="54">
        <v>2</v>
      </c>
      <c r="E2428" s="55">
        <v>4315.8</v>
      </c>
      <c r="F2428" s="55">
        <v>182.8</v>
      </c>
      <c r="G2428" s="55">
        <v>4498.6000000000004</v>
      </c>
      <c r="H2428" s="55">
        <v>115683.9</v>
      </c>
      <c r="I2428" s="55">
        <v>1318.2</v>
      </c>
      <c r="J2428" s="55">
        <v>117002.1</v>
      </c>
      <c r="K2428" s="55">
        <v>16016</v>
      </c>
      <c r="L2428" s="55">
        <v>180.6</v>
      </c>
      <c r="M2428" s="55">
        <v>2272.4</v>
      </c>
      <c r="N2428" s="55">
        <v>286.60000000000002</v>
      </c>
    </row>
    <row r="2429" spans="1:14" ht="10.050000000000001" hidden="1" customHeight="1">
      <c r="A2429" s="52" t="s">
        <v>174</v>
      </c>
      <c r="B2429" s="53">
        <v>2015</v>
      </c>
      <c r="C2429" s="52" t="s">
        <v>119</v>
      </c>
      <c r="D2429" s="54">
        <v>2</v>
      </c>
      <c r="E2429" s="55">
        <v>13225.4</v>
      </c>
      <c r="F2429" s="55">
        <v>226.8</v>
      </c>
      <c r="G2429" s="55">
        <v>13452.2</v>
      </c>
      <c r="H2429" s="55">
        <v>263752.59999999998</v>
      </c>
      <c r="I2429" s="55">
        <v>11965.7</v>
      </c>
      <c r="J2429" s="55">
        <v>275718.3</v>
      </c>
      <c r="K2429" s="55">
        <v>79560.399999999994</v>
      </c>
      <c r="L2429" s="55">
        <v>2179.1</v>
      </c>
      <c r="M2429" s="55">
        <v>6428.8</v>
      </c>
      <c r="N2429" s="55">
        <v>8119.2</v>
      </c>
    </row>
    <row r="2430" spans="1:14" ht="10.050000000000001" hidden="1" customHeight="1">
      <c r="A2430" s="52" t="s">
        <v>314</v>
      </c>
      <c r="B2430" s="53">
        <v>2015</v>
      </c>
      <c r="C2430" s="52" t="s">
        <v>119</v>
      </c>
      <c r="D2430" s="54">
        <v>3</v>
      </c>
      <c r="E2430" s="55">
        <v>0</v>
      </c>
      <c r="F2430" s="55">
        <v>0</v>
      </c>
      <c r="G2430" s="55">
        <v>0</v>
      </c>
      <c r="H2430" s="55">
        <v>13.6</v>
      </c>
      <c r="I2430" s="55">
        <v>0</v>
      </c>
      <c r="J2430" s="55">
        <v>13.6</v>
      </c>
      <c r="K2430" s="55">
        <v>0</v>
      </c>
      <c r="L2430" s="55">
        <v>0</v>
      </c>
      <c r="M2430" s="55">
        <v>0</v>
      </c>
      <c r="N2430" s="55">
        <v>0</v>
      </c>
    </row>
    <row r="2431" spans="1:14" ht="10.050000000000001" hidden="1" customHeight="1">
      <c r="A2431" s="52" t="s">
        <v>306</v>
      </c>
      <c r="B2431" s="53">
        <v>2015</v>
      </c>
      <c r="C2431" s="52" t="s">
        <v>119</v>
      </c>
      <c r="D2431" s="54">
        <v>3</v>
      </c>
      <c r="E2431" s="55">
        <v>6294.2</v>
      </c>
      <c r="F2431" s="55">
        <v>887.8</v>
      </c>
      <c r="G2431" s="55">
        <v>7182</v>
      </c>
      <c r="H2431" s="55">
        <v>82215.000000000102</v>
      </c>
      <c r="I2431" s="55">
        <v>4532.6000000000004</v>
      </c>
      <c r="J2431" s="55">
        <v>86747.6</v>
      </c>
      <c r="K2431" s="55">
        <v>8626.7999999999993</v>
      </c>
      <c r="L2431" s="55">
        <v>633.6</v>
      </c>
      <c r="M2431" s="55">
        <v>2871.3</v>
      </c>
      <c r="N2431" s="55">
        <v>514.4</v>
      </c>
    </row>
    <row r="2432" spans="1:14" ht="10.050000000000001" hidden="1" customHeight="1">
      <c r="A2432" s="52" t="s">
        <v>172</v>
      </c>
      <c r="B2432" s="53">
        <v>2015</v>
      </c>
      <c r="C2432" s="52" t="s">
        <v>119</v>
      </c>
      <c r="D2432" s="54">
        <v>3</v>
      </c>
      <c r="E2432" s="55">
        <v>46408.2</v>
      </c>
      <c r="F2432" s="55">
        <v>80.5</v>
      </c>
      <c r="G2432" s="55">
        <v>46488.7</v>
      </c>
      <c r="H2432" s="55">
        <v>223351.5</v>
      </c>
      <c r="I2432" s="55">
        <v>5836.8</v>
      </c>
      <c r="J2432" s="55">
        <v>229188.3</v>
      </c>
      <c r="K2432" s="55">
        <v>20441.5</v>
      </c>
      <c r="L2432" s="55">
        <v>5247.4</v>
      </c>
      <c r="M2432" s="55">
        <v>19302.400000000001</v>
      </c>
      <c r="N2432" s="55">
        <v>560.29999999999995</v>
      </c>
    </row>
    <row r="2433" spans="1:14" ht="10.050000000000001" hidden="1" customHeight="1">
      <c r="A2433" s="52" t="s">
        <v>171</v>
      </c>
      <c r="B2433" s="53">
        <v>2015</v>
      </c>
      <c r="C2433" s="52" t="s">
        <v>119</v>
      </c>
      <c r="D2433" s="54">
        <v>3</v>
      </c>
      <c r="E2433" s="55">
        <v>2068090.7</v>
      </c>
      <c r="F2433" s="55">
        <v>3920</v>
      </c>
      <c r="G2433" s="55">
        <v>2072010.7</v>
      </c>
      <c r="H2433" s="55">
        <v>6719987</v>
      </c>
      <c r="I2433" s="55">
        <v>100930.4</v>
      </c>
      <c r="J2433" s="55">
        <v>6820917.4000000004</v>
      </c>
      <c r="K2433" s="55">
        <v>1967506.1</v>
      </c>
      <c r="L2433" s="55">
        <v>299663.2</v>
      </c>
      <c r="M2433" s="55">
        <v>1260996.7</v>
      </c>
      <c r="N2433" s="55">
        <v>26851.1</v>
      </c>
    </row>
    <row r="2434" spans="1:14" ht="10.050000000000001" hidden="1" customHeight="1">
      <c r="A2434" s="52" t="s">
        <v>300</v>
      </c>
      <c r="B2434" s="53">
        <v>2015</v>
      </c>
      <c r="C2434" s="52" t="s">
        <v>119</v>
      </c>
      <c r="D2434" s="54">
        <v>3</v>
      </c>
      <c r="E2434" s="55">
        <v>110.1</v>
      </c>
      <c r="F2434" s="55">
        <v>0</v>
      </c>
      <c r="G2434" s="55">
        <v>110.1</v>
      </c>
      <c r="H2434" s="55">
        <v>2200</v>
      </c>
      <c r="I2434" s="55">
        <v>147.19999999999999</v>
      </c>
      <c r="J2434" s="55">
        <v>2347.1999999999998</v>
      </c>
      <c r="K2434" s="55">
        <v>13.4</v>
      </c>
      <c r="L2434" s="55">
        <v>0</v>
      </c>
      <c r="M2434" s="55">
        <v>0</v>
      </c>
      <c r="N2434" s="55">
        <v>0</v>
      </c>
    </row>
    <row r="2435" spans="1:14" ht="10.050000000000001" hidden="1" customHeight="1">
      <c r="A2435" s="52" t="s">
        <v>307</v>
      </c>
      <c r="B2435" s="53">
        <v>2015</v>
      </c>
      <c r="C2435" s="52" t="s">
        <v>119</v>
      </c>
      <c r="D2435" s="54">
        <v>3</v>
      </c>
      <c r="E2435" s="55">
        <v>608512.5</v>
      </c>
      <c r="F2435" s="55">
        <v>0</v>
      </c>
      <c r="G2435" s="55">
        <v>608512.5</v>
      </c>
      <c r="H2435" s="55">
        <v>5548184.5</v>
      </c>
      <c r="I2435" s="55">
        <v>138269.4</v>
      </c>
      <c r="J2435" s="55">
        <v>5686453.9000000004</v>
      </c>
      <c r="K2435" s="55">
        <v>1833628.7</v>
      </c>
      <c r="L2435" s="55">
        <v>86902.3</v>
      </c>
      <c r="M2435" s="55">
        <v>426340</v>
      </c>
      <c r="N2435" s="55">
        <v>75749.3</v>
      </c>
    </row>
    <row r="2436" spans="1:14" ht="10.050000000000001" hidden="1" customHeight="1">
      <c r="A2436" s="52" t="s">
        <v>315</v>
      </c>
      <c r="B2436" s="53">
        <v>2015</v>
      </c>
      <c r="C2436" s="52" t="s">
        <v>119</v>
      </c>
      <c r="D2436" s="54">
        <v>3</v>
      </c>
      <c r="E2436" s="55">
        <v>957.6</v>
      </c>
      <c r="F2436" s="55">
        <v>0</v>
      </c>
      <c r="G2436" s="55">
        <v>957.6</v>
      </c>
      <c r="H2436" s="55">
        <v>19417.599999999999</v>
      </c>
      <c r="I2436" s="55">
        <v>30.6</v>
      </c>
      <c r="J2436" s="55">
        <v>19448.2</v>
      </c>
      <c r="K2436" s="55">
        <v>1676.9</v>
      </c>
      <c r="L2436" s="55">
        <v>100.6</v>
      </c>
      <c r="M2436" s="55">
        <v>657.7</v>
      </c>
      <c r="N2436" s="55">
        <v>6.5</v>
      </c>
    </row>
    <row r="2437" spans="1:14" ht="10.050000000000001" hidden="1" customHeight="1">
      <c r="A2437" s="52" t="s">
        <v>311</v>
      </c>
      <c r="B2437" s="53">
        <v>2015</v>
      </c>
      <c r="C2437" s="52" t="s">
        <v>119</v>
      </c>
      <c r="D2437" s="54">
        <v>3</v>
      </c>
      <c r="E2437" s="55">
        <v>0</v>
      </c>
      <c r="F2437" s="55">
        <v>0</v>
      </c>
      <c r="G2437" s="55">
        <v>0</v>
      </c>
      <c r="H2437" s="55">
        <v>0</v>
      </c>
      <c r="I2437" s="55">
        <v>0</v>
      </c>
      <c r="J2437" s="55">
        <v>0</v>
      </c>
      <c r="K2437" s="55">
        <v>9</v>
      </c>
      <c r="L2437" s="55">
        <v>0</v>
      </c>
      <c r="M2437" s="55">
        <v>0</v>
      </c>
      <c r="N2437" s="55">
        <v>2.8</v>
      </c>
    </row>
    <row r="2438" spans="1:14" ht="10.050000000000001" hidden="1" customHeight="1">
      <c r="A2438" s="52" t="s">
        <v>173</v>
      </c>
      <c r="B2438" s="53">
        <v>2015</v>
      </c>
      <c r="C2438" s="52" t="s">
        <v>119</v>
      </c>
      <c r="D2438" s="54">
        <v>3</v>
      </c>
      <c r="E2438" s="55">
        <v>336547.1</v>
      </c>
      <c r="F2438" s="55">
        <v>8052.9</v>
      </c>
      <c r="G2438" s="55">
        <v>344600</v>
      </c>
      <c r="H2438" s="55">
        <v>3013833.8</v>
      </c>
      <c r="I2438" s="55">
        <v>31551.7</v>
      </c>
      <c r="J2438" s="55">
        <v>3045385.5</v>
      </c>
      <c r="K2438" s="55">
        <v>306435.20000000001</v>
      </c>
      <c r="L2438" s="55">
        <v>29594.3</v>
      </c>
      <c r="M2438" s="55">
        <v>183425</v>
      </c>
      <c r="N2438" s="55">
        <v>15034.5</v>
      </c>
    </row>
    <row r="2439" spans="1:14" ht="10.050000000000001" customHeight="1">
      <c r="A2439" s="52" t="s">
        <v>309</v>
      </c>
      <c r="B2439" s="53">
        <v>2015</v>
      </c>
      <c r="C2439" s="52" t="s">
        <v>119</v>
      </c>
      <c r="D2439" s="54">
        <v>3</v>
      </c>
      <c r="E2439" s="55">
        <v>2127.5</v>
      </c>
      <c r="F2439" s="55">
        <v>0</v>
      </c>
      <c r="G2439" s="55">
        <v>2127.5</v>
      </c>
      <c r="H2439" s="55">
        <v>53767.1</v>
      </c>
      <c r="I2439" s="55">
        <v>0</v>
      </c>
      <c r="J2439" s="55">
        <v>53767.1</v>
      </c>
      <c r="K2439" s="55">
        <v>3635.3</v>
      </c>
      <c r="L2439" s="55">
        <v>0</v>
      </c>
      <c r="M2439" s="55">
        <v>1328.5</v>
      </c>
      <c r="N2439" s="55">
        <v>799.1</v>
      </c>
    </row>
    <row r="2440" spans="1:14" ht="10.050000000000001" hidden="1" customHeight="1">
      <c r="A2440" s="52" t="s">
        <v>316</v>
      </c>
      <c r="B2440" s="53">
        <v>2015</v>
      </c>
      <c r="C2440" s="52" t="s">
        <v>119</v>
      </c>
      <c r="D2440" s="54">
        <v>3</v>
      </c>
      <c r="E2440" s="55">
        <v>158.19999999999999</v>
      </c>
      <c r="F2440" s="55">
        <v>0</v>
      </c>
      <c r="G2440" s="55">
        <v>158.19999999999999</v>
      </c>
      <c r="H2440" s="55">
        <v>6272</v>
      </c>
      <c r="I2440" s="55">
        <v>43.1</v>
      </c>
      <c r="J2440" s="55">
        <v>6315.1</v>
      </c>
      <c r="K2440" s="55">
        <v>92</v>
      </c>
      <c r="L2440" s="55">
        <v>0</v>
      </c>
      <c r="M2440" s="55">
        <v>9.9</v>
      </c>
      <c r="N2440" s="55">
        <v>0.4</v>
      </c>
    </row>
    <row r="2441" spans="1:14" ht="10.050000000000001" hidden="1" customHeight="1">
      <c r="A2441" s="52" t="s">
        <v>310</v>
      </c>
      <c r="B2441" s="53">
        <v>2015</v>
      </c>
      <c r="C2441" s="52" t="s">
        <v>119</v>
      </c>
      <c r="D2441" s="54">
        <v>3</v>
      </c>
      <c r="E2441" s="55">
        <v>2163.3000000000002</v>
      </c>
      <c r="F2441" s="55">
        <v>0</v>
      </c>
      <c r="G2441" s="55">
        <v>2163.3000000000002</v>
      </c>
      <c r="H2441" s="55">
        <v>29291.599999999999</v>
      </c>
      <c r="I2441" s="55">
        <v>872.7</v>
      </c>
      <c r="J2441" s="55">
        <v>30164.3</v>
      </c>
      <c r="K2441" s="55">
        <v>2674.4</v>
      </c>
      <c r="L2441" s="55">
        <v>175.7</v>
      </c>
      <c r="M2441" s="55">
        <v>1336.1</v>
      </c>
      <c r="N2441" s="55">
        <v>69.3</v>
      </c>
    </row>
    <row r="2442" spans="1:14" ht="10.050000000000001" hidden="1" customHeight="1">
      <c r="A2442" s="52" t="s">
        <v>308</v>
      </c>
      <c r="B2442" s="53">
        <v>2015</v>
      </c>
      <c r="C2442" s="52" t="s">
        <v>119</v>
      </c>
      <c r="D2442" s="54">
        <v>3</v>
      </c>
      <c r="E2442" s="55">
        <v>7240.3</v>
      </c>
      <c r="F2442" s="55">
        <v>48.8</v>
      </c>
      <c r="G2442" s="55">
        <v>7289.1</v>
      </c>
      <c r="H2442" s="55">
        <v>80989.3</v>
      </c>
      <c r="I2442" s="55">
        <v>990.6</v>
      </c>
      <c r="J2442" s="55">
        <v>81979.899999999994</v>
      </c>
      <c r="K2442" s="55">
        <v>9745.9</v>
      </c>
      <c r="L2442" s="55">
        <v>65.8</v>
      </c>
      <c r="M2442" s="55">
        <v>5585.6</v>
      </c>
      <c r="N2442" s="55">
        <v>722.8</v>
      </c>
    </row>
    <row r="2443" spans="1:14" ht="10.050000000000001" hidden="1" customHeight="1">
      <c r="A2443" s="52" t="s">
        <v>174</v>
      </c>
      <c r="B2443" s="53">
        <v>2015</v>
      </c>
      <c r="C2443" s="52" t="s">
        <v>119</v>
      </c>
      <c r="D2443" s="54">
        <v>3</v>
      </c>
      <c r="E2443" s="55">
        <v>15730.7</v>
      </c>
      <c r="F2443" s="55">
        <v>278.8</v>
      </c>
      <c r="G2443" s="55">
        <v>16009.5</v>
      </c>
      <c r="H2443" s="55">
        <v>214816.4</v>
      </c>
      <c r="I2443" s="55">
        <v>10550.1</v>
      </c>
      <c r="J2443" s="55">
        <v>225366.5</v>
      </c>
      <c r="K2443" s="55">
        <v>64600</v>
      </c>
      <c r="L2443" s="55">
        <v>1892.4</v>
      </c>
      <c r="M2443" s="55">
        <v>8069.4</v>
      </c>
      <c r="N2443" s="55">
        <v>8765.5</v>
      </c>
    </row>
    <row r="2444" spans="1:14" ht="10.050000000000001" hidden="1" customHeight="1">
      <c r="A2444" s="52" t="s">
        <v>314</v>
      </c>
      <c r="B2444" s="53">
        <v>2015</v>
      </c>
      <c r="C2444" s="52" t="s">
        <v>119</v>
      </c>
      <c r="D2444" s="54">
        <v>4</v>
      </c>
      <c r="E2444" s="55">
        <v>0</v>
      </c>
      <c r="F2444" s="55">
        <v>0</v>
      </c>
      <c r="G2444" s="55">
        <v>0</v>
      </c>
      <c r="H2444" s="55">
        <v>13.6</v>
      </c>
      <c r="I2444" s="55">
        <v>0</v>
      </c>
      <c r="J2444" s="55">
        <v>13.6</v>
      </c>
      <c r="K2444" s="55">
        <v>0</v>
      </c>
      <c r="L2444" s="55">
        <v>0</v>
      </c>
      <c r="M2444" s="55">
        <v>0</v>
      </c>
      <c r="N2444" s="55">
        <v>0</v>
      </c>
    </row>
    <row r="2445" spans="1:14" ht="10.050000000000001" hidden="1" customHeight="1">
      <c r="A2445" s="52" t="s">
        <v>306</v>
      </c>
      <c r="B2445" s="53">
        <v>2015</v>
      </c>
      <c r="C2445" s="52" t="s">
        <v>119</v>
      </c>
      <c r="D2445" s="54">
        <v>4</v>
      </c>
      <c r="E2445" s="55">
        <v>7222</v>
      </c>
      <c r="F2445" s="55">
        <v>0</v>
      </c>
      <c r="G2445" s="55">
        <v>7222</v>
      </c>
      <c r="H2445" s="55">
        <v>68035.800000000105</v>
      </c>
      <c r="I2445" s="55">
        <v>3968.9</v>
      </c>
      <c r="J2445" s="55">
        <v>72004.7</v>
      </c>
      <c r="K2445" s="55">
        <v>5202</v>
      </c>
      <c r="L2445" s="55">
        <v>565.79999999999995</v>
      </c>
      <c r="M2445" s="55">
        <v>3363.5</v>
      </c>
      <c r="N2445" s="55">
        <v>634.79999999999995</v>
      </c>
    </row>
    <row r="2446" spans="1:14" ht="10.050000000000001" hidden="1" customHeight="1">
      <c r="A2446" s="52" t="s">
        <v>172</v>
      </c>
      <c r="B2446" s="53">
        <v>2015</v>
      </c>
      <c r="C2446" s="52" t="s">
        <v>119</v>
      </c>
      <c r="D2446" s="54">
        <v>4</v>
      </c>
      <c r="E2446" s="55">
        <v>34636.1</v>
      </c>
      <c r="F2446" s="55">
        <v>115</v>
      </c>
      <c r="G2446" s="55">
        <v>34751.1</v>
      </c>
      <c r="H2446" s="55">
        <v>175433.3</v>
      </c>
      <c r="I2446" s="55">
        <v>5709.2</v>
      </c>
      <c r="J2446" s="55">
        <v>181142.5</v>
      </c>
      <c r="K2446" s="55">
        <v>12703</v>
      </c>
      <c r="L2446" s="55">
        <v>3393.3</v>
      </c>
      <c r="M2446" s="55">
        <v>11106.5</v>
      </c>
      <c r="N2446" s="55">
        <v>25.4</v>
      </c>
    </row>
    <row r="2447" spans="1:14" ht="10.050000000000001" hidden="1" customHeight="1">
      <c r="A2447" s="52" t="s">
        <v>171</v>
      </c>
      <c r="B2447" s="53">
        <v>2015</v>
      </c>
      <c r="C2447" s="52" t="s">
        <v>119</v>
      </c>
      <c r="D2447" s="54">
        <v>4</v>
      </c>
      <c r="E2447" s="55">
        <v>1572545.4</v>
      </c>
      <c r="F2447" s="55">
        <v>3438.6</v>
      </c>
      <c r="G2447" s="55">
        <v>1575984</v>
      </c>
      <c r="H2447" s="55">
        <v>5272187.5999999996</v>
      </c>
      <c r="I2447" s="55">
        <v>93795.4</v>
      </c>
      <c r="J2447" s="55">
        <v>5365983</v>
      </c>
      <c r="K2447" s="55">
        <v>1213307</v>
      </c>
      <c r="L2447" s="55">
        <v>231438.6</v>
      </c>
      <c r="M2447" s="55">
        <v>961369.3</v>
      </c>
      <c r="N2447" s="55">
        <v>24255</v>
      </c>
    </row>
    <row r="2448" spans="1:14" ht="10.050000000000001" hidden="1" customHeight="1">
      <c r="A2448" s="52" t="s">
        <v>300</v>
      </c>
      <c r="B2448" s="53">
        <v>2015</v>
      </c>
      <c r="C2448" s="52" t="s">
        <v>119</v>
      </c>
      <c r="D2448" s="54">
        <v>4</v>
      </c>
      <c r="E2448" s="55">
        <v>214.8</v>
      </c>
      <c r="F2448" s="55">
        <v>0</v>
      </c>
      <c r="G2448" s="55">
        <v>214.8</v>
      </c>
      <c r="H2448" s="55">
        <v>2053.6999999999998</v>
      </c>
      <c r="I2448" s="55">
        <v>147.19999999999999</v>
      </c>
      <c r="J2448" s="55">
        <v>2200.9</v>
      </c>
      <c r="K2448" s="55">
        <v>10.7</v>
      </c>
      <c r="L2448" s="55">
        <v>0</v>
      </c>
      <c r="M2448" s="55">
        <v>0</v>
      </c>
      <c r="N2448" s="55">
        <v>2.7</v>
      </c>
    </row>
    <row r="2449" spans="1:14" ht="10.050000000000001" hidden="1" customHeight="1">
      <c r="A2449" s="52" t="s">
        <v>307</v>
      </c>
      <c r="B2449" s="53">
        <v>2015</v>
      </c>
      <c r="C2449" s="52" t="s">
        <v>119</v>
      </c>
      <c r="D2449" s="54">
        <v>4</v>
      </c>
      <c r="E2449" s="55">
        <v>490090.2</v>
      </c>
      <c r="F2449" s="55">
        <v>379.9</v>
      </c>
      <c r="G2449" s="55">
        <v>490470.1</v>
      </c>
      <c r="H2449" s="55">
        <v>4590779.5</v>
      </c>
      <c r="I2449" s="55">
        <v>122040.4</v>
      </c>
      <c r="J2449" s="55">
        <v>4712819.9000000004</v>
      </c>
      <c r="K2449" s="55">
        <v>1468078</v>
      </c>
      <c r="L2449" s="55">
        <v>38461.699999999997</v>
      </c>
      <c r="M2449" s="55">
        <v>329708.40000000002</v>
      </c>
      <c r="N2449" s="55">
        <v>74139.3</v>
      </c>
    </row>
    <row r="2450" spans="1:14" ht="10.050000000000001" hidden="1" customHeight="1">
      <c r="A2450" s="52" t="s">
        <v>315</v>
      </c>
      <c r="B2450" s="53">
        <v>2015</v>
      </c>
      <c r="C2450" s="52" t="s">
        <v>119</v>
      </c>
      <c r="D2450" s="54">
        <v>4</v>
      </c>
      <c r="E2450" s="55">
        <v>1155.7</v>
      </c>
      <c r="F2450" s="55">
        <v>0</v>
      </c>
      <c r="G2450" s="55">
        <v>1155.7</v>
      </c>
      <c r="H2450" s="55">
        <v>16619.3</v>
      </c>
      <c r="I2450" s="55">
        <v>30.6</v>
      </c>
      <c r="J2450" s="55">
        <v>16649.900000000001</v>
      </c>
      <c r="K2450" s="55">
        <v>890</v>
      </c>
      <c r="L2450" s="55">
        <v>41.7</v>
      </c>
      <c r="M2450" s="55">
        <v>823.3</v>
      </c>
      <c r="N2450" s="55">
        <v>5.4</v>
      </c>
    </row>
    <row r="2451" spans="1:14" ht="10.050000000000001" hidden="1" customHeight="1">
      <c r="A2451" s="52" t="s">
        <v>311</v>
      </c>
      <c r="B2451" s="53">
        <v>2015</v>
      </c>
      <c r="C2451" s="52" t="s">
        <v>119</v>
      </c>
      <c r="D2451" s="54">
        <v>4</v>
      </c>
      <c r="E2451" s="55">
        <v>0</v>
      </c>
      <c r="F2451" s="55">
        <v>0</v>
      </c>
      <c r="G2451" s="55">
        <v>0</v>
      </c>
      <c r="H2451" s="55">
        <v>0</v>
      </c>
      <c r="I2451" s="55">
        <v>0</v>
      </c>
      <c r="J2451" s="55">
        <v>0</v>
      </c>
      <c r="K2451" s="55">
        <v>3.8</v>
      </c>
      <c r="L2451" s="55">
        <v>0</v>
      </c>
      <c r="M2451" s="55">
        <v>0</v>
      </c>
      <c r="N2451" s="55">
        <v>5.2</v>
      </c>
    </row>
    <row r="2452" spans="1:14" ht="10.050000000000001" hidden="1" customHeight="1">
      <c r="A2452" s="52" t="s">
        <v>173</v>
      </c>
      <c r="B2452" s="53">
        <v>2015</v>
      </c>
      <c r="C2452" s="52" t="s">
        <v>119</v>
      </c>
      <c r="D2452" s="54">
        <v>4</v>
      </c>
      <c r="E2452" s="55">
        <v>275212.90000000002</v>
      </c>
      <c r="F2452" s="55">
        <v>4873.7</v>
      </c>
      <c r="G2452" s="55">
        <v>280086.59999999998</v>
      </c>
      <c r="H2452" s="55">
        <v>2317914.9</v>
      </c>
      <c r="I2452" s="55">
        <v>29203.8</v>
      </c>
      <c r="J2452" s="55">
        <v>2347118.7000000002</v>
      </c>
      <c r="K2452" s="55">
        <v>180789.2</v>
      </c>
      <c r="L2452" s="55">
        <v>23931</v>
      </c>
      <c r="M2452" s="55">
        <v>133718.29999999999</v>
      </c>
      <c r="N2452" s="55">
        <v>15858.1</v>
      </c>
    </row>
    <row r="2453" spans="1:14" ht="10.050000000000001" customHeight="1">
      <c r="A2453" s="52" t="s">
        <v>309</v>
      </c>
      <c r="B2453" s="53">
        <v>2015</v>
      </c>
      <c r="C2453" s="52" t="s">
        <v>119</v>
      </c>
      <c r="D2453" s="54">
        <v>4</v>
      </c>
      <c r="E2453" s="55">
        <v>3490.5</v>
      </c>
      <c r="F2453" s="55">
        <v>0</v>
      </c>
      <c r="G2453" s="55">
        <v>3490.5</v>
      </c>
      <c r="H2453" s="55">
        <v>48141.599999999999</v>
      </c>
      <c r="I2453" s="55">
        <v>0</v>
      </c>
      <c r="J2453" s="55">
        <v>48141.599999999999</v>
      </c>
      <c r="K2453" s="55">
        <v>547.5</v>
      </c>
      <c r="L2453" s="55">
        <v>0</v>
      </c>
      <c r="M2453" s="55">
        <v>2843.5</v>
      </c>
      <c r="N2453" s="55">
        <v>244.3</v>
      </c>
    </row>
    <row r="2454" spans="1:14" ht="10.050000000000001" hidden="1" customHeight="1">
      <c r="A2454" s="52" t="s">
        <v>316</v>
      </c>
      <c r="B2454" s="53">
        <v>2015</v>
      </c>
      <c r="C2454" s="52" t="s">
        <v>119</v>
      </c>
      <c r="D2454" s="54">
        <v>4</v>
      </c>
      <c r="E2454" s="55">
        <v>73</v>
      </c>
      <c r="F2454" s="55">
        <v>14.7</v>
      </c>
      <c r="G2454" s="55">
        <v>87.7</v>
      </c>
      <c r="H2454" s="55">
        <v>5807.4</v>
      </c>
      <c r="I2454" s="55">
        <v>28</v>
      </c>
      <c r="J2454" s="55">
        <v>5835.4</v>
      </c>
      <c r="K2454" s="55">
        <v>84</v>
      </c>
      <c r="L2454" s="55">
        <v>19.5</v>
      </c>
      <c r="M2454" s="55">
        <v>24.1</v>
      </c>
      <c r="N2454" s="55">
        <v>3.4</v>
      </c>
    </row>
    <row r="2455" spans="1:14" ht="10.050000000000001" hidden="1" customHeight="1">
      <c r="A2455" s="52" t="s">
        <v>310</v>
      </c>
      <c r="B2455" s="53">
        <v>2015</v>
      </c>
      <c r="C2455" s="52" t="s">
        <v>119</v>
      </c>
      <c r="D2455" s="54">
        <v>4</v>
      </c>
      <c r="E2455" s="55">
        <v>1879.8</v>
      </c>
      <c r="F2455" s="55">
        <v>0</v>
      </c>
      <c r="G2455" s="55">
        <v>1879.8</v>
      </c>
      <c r="H2455" s="55">
        <v>25052</v>
      </c>
      <c r="I2455" s="55">
        <v>840.9</v>
      </c>
      <c r="J2455" s="55">
        <v>25892.9</v>
      </c>
      <c r="K2455" s="55">
        <v>1556</v>
      </c>
      <c r="L2455" s="55">
        <v>32.9</v>
      </c>
      <c r="M2455" s="55">
        <v>1041.9000000000001</v>
      </c>
      <c r="N2455" s="55">
        <v>109.4</v>
      </c>
    </row>
    <row r="2456" spans="1:14" ht="10.050000000000001" hidden="1" customHeight="1">
      <c r="A2456" s="52" t="s">
        <v>308</v>
      </c>
      <c r="B2456" s="53">
        <v>2015</v>
      </c>
      <c r="C2456" s="52" t="s">
        <v>119</v>
      </c>
      <c r="D2456" s="54">
        <v>4</v>
      </c>
      <c r="E2456" s="55">
        <v>4142.3999999999996</v>
      </c>
      <c r="F2456" s="55">
        <v>0</v>
      </c>
      <c r="G2456" s="55">
        <v>4142.3999999999996</v>
      </c>
      <c r="H2456" s="55">
        <v>59545.7</v>
      </c>
      <c r="I2456" s="55">
        <v>940.1</v>
      </c>
      <c r="J2456" s="55">
        <v>60485.8</v>
      </c>
      <c r="K2456" s="55">
        <v>6798.2</v>
      </c>
      <c r="L2456" s="55">
        <v>79.400000000000006</v>
      </c>
      <c r="M2456" s="55">
        <v>2778</v>
      </c>
      <c r="N2456" s="55">
        <v>248.9</v>
      </c>
    </row>
    <row r="2457" spans="1:14" ht="10.050000000000001" hidden="1" customHeight="1">
      <c r="A2457" s="52" t="s">
        <v>174</v>
      </c>
      <c r="B2457" s="53">
        <v>2015</v>
      </c>
      <c r="C2457" s="52" t="s">
        <v>119</v>
      </c>
      <c r="D2457" s="54">
        <v>4</v>
      </c>
      <c r="E2457" s="55">
        <v>13088.5</v>
      </c>
      <c r="F2457" s="55">
        <v>81.2</v>
      </c>
      <c r="G2457" s="55">
        <v>13169.7</v>
      </c>
      <c r="H2457" s="55">
        <v>157403.79999999999</v>
      </c>
      <c r="I2457" s="55">
        <v>10098.1</v>
      </c>
      <c r="J2457" s="55">
        <v>167501.9</v>
      </c>
      <c r="K2457" s="55">
        <v>52316.5</v>
      </c>
      <c r="L2457" s="55">
        <v>1445.8</v>
      </c>
      <c r="M2457" s="55">
        <v>6271.3</v>
      </c>
      <c r="N2457" s="55">
        <v>8084.7</v>
      </c>
    </row>
    <row r="2458" spans="1:14" ht="10.050000000000001" hidden="1" customHeight="1">
      <c r="A2458" s="52" t="s">
        <v>314</v>
      </c>
      <c r="B2458" s="53">
        <v>2015</v>
      </c>
      <c r="C2458" s="52" t="s">
        <v>119</v>
      </c>
      <c r="D2458" s="54">
        <v>5</v>
      </c>
      <c r="E2458" s="55">
        <v>0</v>
      </c>
      <c r="F2458" s="55">
        <v>0</v>
      </c>
      <c r="G2458" s="55">
        <v>0</v>
      </c>
      <c r="H2458" s="55">
        <v>13.6</v>
      </c>
      <c r="I2458" s="55">
        <v>0</v>
      </c>
      <c r="J2458" s="55">
        <v>13.6</v>
      </c>
      <c r="K2458" s="55">
        <v>0</v>
      </c>
      <c r="L2458" s="55">
        <v>0</v>
      </c>
      <c r="M2458" s="55">
        <v>0</v>
      </c>
      <c r="N2458" s="55">
        <v>0</v>
      </c>
    </row>
    <row r="2459" spans="1:14" ht="10.050000000000001" hidden="1" customHeight="1">
      <c r="A2459" s="52" t="s">
        <v>306</v>
      </c>
      <c r="B2459" s="53">
        <v>2015</v>
      </c>
      <c r="C2459" s="52" t="s">
        <v>119</v>
      </c>
      <c r="D2459" s="54">
        <v>5</v>
      </c>
      <c r="E2459" s="55">
        <v>4784.7</v>
      </c>
      <c r="F2459" s="55">
        <v>67.099999999999994</v>
      </c>
      <c r="G2459" s="55">
        <v>4851.8</v>
      </c>
      <c r="H2459" s="55">
        <v>54069.3</v>
      </c>
      <c r="I2459" s="55">
        <v>3704.3</v>
      </c>
      <c r="J2459" s="55">
        <v>57773.599999999999</v>
      </c>
      <c r="K2459" s="55">
        <v>3228.7</v>
      </c>
      <c r="L2459" s="55">
        <v>698.2</v>
      </c>
      <c r="M2459" s="55">
        <v>2171.6</v>
      </c>
      <c r="N2459" s="55">
        <v>502.2</v>
      </c>
    </row>
    <row r="2460" spans="1:14" ht="10.050000000000001" hidden="1" customHeight="1">
      <c r="A2460" s="52" t="s">
        <v>172</v>
      </c>
      <c r="B2460" s="53">
        <v>2015</v>
      </c>
      <c r="C2460" s="52" t="s">
        <v>119</v>
      </c>
      <c r="D2460" s="54">
        <v>5</v>
      </c>
      <c r="E2460" s="55">
        <v>19615.3</v>
      </c>
      <c r="F2460" s="55">
        <v>38.5</v>
      </c>
      <c r="G2460" s="55">
        <v>19653.8</v>
      </c>
      <c r="H2460" s="55">
        <v>118595.9</v>
      </c>
      <c r="I2460" s="55">
        <v>5570.6</v>
      </c>
      <c r="J2460" s="55">
        <v>124166.5</v>
      </c>
      <c r="K2460" s="55">
        <v>6153.6</v>
      </c>
      <c r="L2460" s="55">
        <v>1986.1</v>
      </c>
      <c r="M2460" s="55">
        <v>7370.3</v>
      </c>
      <c r="N2460" s="55">
        <v>715</v>
      </c>
    </row>
    <row r="2461" spans="1:14" ht="10.050000000000001" hidden="1" customHeight="1">
      <c r="A2461" s="52" t="s">
        <v>171</v>
      </c>
      <c r="B2461" s="53">
        <v>2015</v>
      </c>
      <c r="C2461" s="52" t="s">
        <v>119</v>
      </c>
      <c r="D2461" s="54">
        <v>5</v>
      </c>
      <c r="E2461" s="55">
        <v>1294641.3999999999</v>
      </c>
      <c r="F2461" s="55">
        <v>721.5</v>
      </c>
      <c r="G2461" s="55">
        <v>1295362.8999999999</v>
      </c>
      <c r="H2461" s="55">
        <v>3905744.2</v>
      </c>
      <c r="I2461" s="55">
        <v>84993.8</v>
      </c>
      <c r="J2461" s="55">
        <v>3990738</v>
      </c>
      <c r="K2461" s="55">
        <v>474543.5</v>
      </c>
      <c r="L2461" s="55">
        <v>135819</v>
      </c>
      <c r="M2461" s="55">
        <v>835197.7</v>
      </c>
      <c r="N2461" s="55">
        <v>40779.800000000003</v>
      </c>
    </row>
    <row r="2462" spans="1:14" ht="10.050000000000001" hidden="1" customHeight="1">
      <c r="A2462" s="52" t="s">
        <v>300</v>
      </c>
      <c r="B2462" s="53">
        <v>2015</v>
      </c>
      <c r="C2462" s="52" t="s">
        <v>119</v>
      </c>
      <c r="D2462" s="54">
        <v>5</v>
      </c>
      <c r="E2462" s="55">
        <v>44.5</v>
      </c>
      <c r="F2462" s="55">
        <v>0</v>
      </c>
      <c r="G2462" s="55">
        <v>44.5</v>
      </c>
      <c r="H2462" s="55">
        <v>1847.5</v>
      </c>
      <c r="I2462" s="55">
        <v>147.19999999999999</v>
      </c>
      <c r="J2462" s="55">
        <v>1994.7</v>
      </c>
      <c r="K2462" s="55">
        <v>10.7</v>
      </c>
      <c r="L2462" s="55">
        <v>0</v>
      </c>
      <c r="M2462" s="55">
        <v>0</v>
      </c>
      <c r="N2462" s="55">
        <v>0</v>
      </c>
    </row>
    <row r="2463" spans="1:14" ht="10.050000000000001" hidden="1" customHeight="1">
      <c r="A2463" s="52" t="s">
        <v>307</v>
      </c>
      <c r="B2463" s="53">
        <v>2015</v>
      </c>
      <c r="C2463" s="52" t="s">
        <v>119</v>
      </c>
      <c r="D2463" s="54">
        <v>5</v>
      </c>
      <c r="E2463" s="55">
        <v>455347.4</v>
      </c>
      <c r="F2463" s="55">
        <v>210.5</v>
      </c>
      <c r="G2463" s="55">
        <v>455557.9</v>
      </c>
      <c r="H2463" s="55">
        <v>3744340.9</v>
      </c>
      <c r="I2463" s="55">
        <v>118891.2</v>
      </c>
      <c r="J2463" s="55">
        <v>3863232.1</v>
      </c>
      <c r="K2463" s="55">
        <v>1065409.1000000001</v>
      </c>
      <c r="L2463" s="55">
        <v>27295.9</v>
      </c>
      <c r="M2463" s="55">
        <v>308036</v>
      </c>
      <c r="N2463" s="55">
        <v>121771.7</v>
      </c>
    </row>
    <row r="2464" spans="1:14" ht="10.050000000000001" hidden="1" customHeight="1">
      <c r="A2464" s="52" t="s">
        <v>315</v>
      </c>
      <c r="B2464" s="53">
        <v>2015</v>
      </c>
      <c r="C2464" s="52" t="s">
        <v>119</v>
      </c>
      <c r="D2464" s="54">
        <v>5</v>
      </c>
      <c r="E2464" s="55">
        <v>478.4</v>
      </c>
      <c r="F2464" s="55">
        <v>0</v>
      </c>
      <c r="G2464" s="55">
        <v>478.4</v>
      </c>
      <c r="H2464" s="55">
        <v>13868.2</v>
      </c>
      <c r="I2464" s="55">
        <v>30.6</v>
      </c>
      <c r="J2464" s="55">
        <v>13898.8</v>
      </c>
      <c r="K2464" s="55">
        <v>733.6</v>
      </c>
      <c r="L2464" s="55">
        <v>31.5</v>
      </c>
      <c r="M2464" s="55">
        <v>165.6</v>
      </c>
      <c r="N2464" s="55">
        <v>22.3</v>
      </c>
    </row>
    <row r="2465" spans="1:14" ht="10.050000000000001" hidden="1" customHeight="1">
      <c r="A2465" s="52" t="s">
        <v>311</v>
      </c>
      <c r="B2465" s="53">
        <v>2015</v>
      </c>
      <c r="C2465" s="52" t="s">
        <v>119</v>
      </c>
      <c r="D2465" s="54">
        <v>5</v>
      </c>
      <c r="E2465" s="55">
        <v>4.8</v>
      </c>
      <c r="F2465" s="55">
        <v>0</v>
      </c>
      <c r="G2465" s="55">
        <v>4.8</v>
      </c>
      <c r="H2465" s="55">
        <v>0</v>
      </c>
      <c r="I2465" s="55">
        <v>0</v>
      </c>
      <c r="J2465" s="55">
        <v>0</v>
      </c>
      <c r="K2465" s="55">
        <v>0</v>
      </c>
      <c r="L2465" s="55">
        <v>0</v>
      </c>
      <c r="M2465" s="55">
        <v>0</v>
      </c>
      <c r="N2465" s="55">
        <v>3.8</v>
      </c>
    </row>
    <row r="2466" spans="1:14" ht="10.050000000000001" hidden="1" customHeight="1">
      <c r="A2466" s="52" t="s">
        <v>173</v>
      </c>
      <c r="B2466" s="53">
        <v>2015</v>
      </c>
      <c r="C2466" s="52" t="s">
        <v>119</v>
      </c>
      <c r="D2466" s="54">
        <v>5</v>
      </c>
      <c r="E2466" s="55">
        <v>177859.9</v>
      </c>
      <c r="F2466" s="55">
        <v>1539.3</v>
      </c>
      <c r="G2466" s="55">
        <v>179399.2</v>
      </c>
      <c r="H2466" s="55">
        <v>1646298</v>
      </c>
      <c r="I2466" s="55">
        <v>25768.2</v>
      </c>
      <c r="J2466" s="55">
        <v>1672066.2</v>
      </c>
      <c r="K2466" s="55">
        <v>84656.4</v>
      </c>
      <c r="L2466" s="55">
        <v>14350.7</v>
      </c>
      <c r="M2466" s="55">
        <v>92360.3</v>
      </c>
      <c r="N2466" s="55">
        <v>18222.3</v>
      </c>
    </row>
    <row r="2467" spans="1:14" ht="10.050000000000001" customHeight="1">
      <c r="A2467" s="52" t="s">
        <v>309</v>
      </c>
      <c r="B2467" s="53">
        <v>2015</v>
      </c>
      <c r="C2467" s="52" t="s">
        <v>119</v>
      </c>
      <c r="D2467" s="54">
        <v>5</v>
      </c>
      <c r="E2467" s="55">
        <v>0</v>
      </c>
      <c r="F2467" s="55">
        <v>0</v>
      </c>
      <c r="G2467" s="55">
        <v>0</v>
      </c>
      <c r="H2467" s="55">
        <v>36287.800000000003</v>
      </c>
      <c r="I2467" s="55">
        <v>0</v>
      </c>
      <c r="J2467" s="55">
        <v>36287.800000000003</v>
      </c>
      <c r="K2467" s="55">
        <v>414.7</v>
      </c>
      <c r="L2467" s="55">
        <v>0</v>
      </c>
      <c r="M2467" s="55">
        <v>0</v>
      </c>
      <c r="N2467" s="55">
        <v>132.69999999999999</v>
      </c>
    </row>
    <row r="2468" spans="1:14" ht="10.050000000000001" hidden="1" customHeight="1">
      <c r="A2468" s="52" t="s">
        <v>316</v>
      </c>
      <c r="B2468" s="53">
        <v>2015</v>
      </c>
      <c r="C2468" s="52" t="s">
        <v>119</v>
      </c>
      <c r="D2468" s="54">
        <v>5</v>
      </c>
      <c r="E2468" s="55">
        <v>126.3</v>
      </c>
      <c r="F2468" s="55">
        <v>0</v>
      </c>
      <c r="G2468" s="55">
        <v>126.3</v>
      </c>
      <c r="H2468" s="55">
        <v>4968.1000000000004</v>
      </c>
      <c r="I2468" s="55">
        <v>28</v>
      </c>
      <c r="J2468" s="55">
        <v>4996.1000000000004</v>
      </c>
      <c r="K2468" s="55">
        <v>23</v>
      </c>
      <c r="L2468" s="55">
        <v>-8.4</v>
      </c>
      <c r="M2468" s="55">
        <v>43.1</v>
      </c>
      <c r="N2468" s="55">
        <v>9.5</v>
      </c>
    </row>
    <row r="2469" spans="1:14" ht="10.050000000000001" hidden="1" customHeight="1">
      <c r="A2469" s="52" t="s">
        <v>310</v>
      </c>
      <c r="B2469" s="53">
        <v>2015</v>
      </c>
      <c r="C2469" s="52" t="s">
        <v>119</v>
      </c>
      <c r="D2469" s="54">
        <v>5</v>
      </c>
      <c r="E2469" s="55">
        <v>1570.7</v>
      </c>
      <c r="F2469" s="55">
        <v>0</v>
      </c>
      <c r="G2469" s="55">
        <v>1570.7</v>
      </c>
      <c r="H2469" s="55">
        <v>22537.4</v>
      </c>
      <c r="I2469" s="55">
        <v>802.6</v>
      </c>
      <c r="J2469" s="55">
        <v>23340</v>
      </c>
      <c r="K2469" s="55">
        <v>854.2</v>
      </c>
      <c r="L2469" s="55">
        <v>0.4</v>
      </c>
      <c r="M2469" s="55">
        <v>608.70000000000005</v>
      </c>
      <c r="N2469" s="55">
        <v>99.1</v>
      </c>
    </row>
    <row r="2470" spans="1:14" ht="10.050000000000001" hidden="1" customHeight="1">
      <c r="A2470" s="52" t="s">
        <v>308</v>
      </c>
      <c r="B2470" s="53">
        <v>2015</v>
      </c>
      <c r="C2470" s="52" t="s">
        <v>119</v>
      </c>
      <c r="D2470" s="54">
        <v>5</v>
      </c>
      <c r="E2470" s="55">
        <v>2673.3</v>
      </c>
      <c r="F2470" s="55">
        <v>0</v>
      </c>
      <c r="G2470" s="55">
        <v>2673.3</v>
      </c>
      <c r="H2470" s="55">
        <v>41016.6</v>
      </c>
      <c r="I2470" s="55">
        <v>865.3</v>
      </c>
      <c r="J2470" s="55">
        <v>41881.9</v>
      </c>
      <c r="K2470" s="55">
        <v>4643.7</v>
      </c>
      <c r="L2470" s="55">
        <v>161</v>
      </c>
      <c r="M2470" s="55">
        <v>1889.1</v>
      </c>
      <c r="N2470" s="55">
        <v>426.1</v>
      </c>
    </row>
    <row r="2471" spans="1:14" ht="10.050000000000001" hidden="1" customHeight="1">
      <c r="A2471" s="52" t="s">
        <v>174</v>
      </c>
      <c r="B2471" s="53">
        <v>2015</v>
      </c>
      <c r="C2471" s="52" t="s">
        <v>119</v>
      </c>
      <c r="D2471" s="54">
        <v>5</v>
      </c>
      <c r="E2471" s="55">
        <v>16248.4</v>
      </c>
      <c r="F2471" s="55">
        <v>39.4</v>
      </c>
      <c r="G2471" s="55">
        <v>16287.8</v>
      </c>
      <c r="H2471" s="55">
        <v>107322.6</v>
      </c>
      <c r="I2471" s="55">
        <v>9713.5</v>
      </c>
      <c r="J2471" s="55">
        <v>117036.1</v>
      </c>
      <c r="K2471" s="55">
        <v>37374</v>
      </c>
      <c r="L2471" s="55">
        <v>2236.3000000000002</v>
      </c>
      <c r="M2471" s="55">
        <v>9112.5</v>
      </c>
      <c r="N2471" s="55">
        <v>8334.2999999999993</v>
      </c>
    </row>
    <row r="2472" spans="1:14" ht="10.050000000000001" hidden="1" customHeight="1">
      <c r="A2472" s="52" t="s">
        <v>314</v>
      </c>
      <c r="B2472" s="53">
        <v>2015</v>
      </c>
      <c r="C2472" s="52" t="s">
        <v>119</v>
      </c>
      <c r="D2472" s="54">
        <v>6</v>
      </c>
      <c r="E2472" s="55">
        <v>0</v>
      </c>
      <c r="F2472" s="55">
        <v>0</v>
      </c>
      <c r="G2472" s="55">
        <v>0</v>
      </c>
      <c r="H2472" s="55">
        <v>13.3</v>
      </c>
      <c r="I2472" s="55">
        <v>0</v>
      </c>
      <c r="J2472" s="55">
        <v>13.3</v>
      </c>
      <c r="K2472" s="55">
        <v>0</v>
      </c>
      <c r="L2472" s="55">
        <v>0</v>
      </c>
      <c r="M2472" s="55">
        <v>0</v>
      </c>
      <c r="N2472" s="55">
        <v>0</v>
      </c>
    </row>
    <row r="2473" spans="1:14" ht="10.050000000000001" hidden="1" customHeight="1">
      <c r="A2473" s="52" t="s">
        <v>306</v>
      </c>
      <c r="B2473" s="53">
        <v>2015</v>
      </c>
      <c r="C2473" s="52" t="s">
        <v>119</v>
      </c>
      <c r="D2473" s="54">
        <v>6</v>
      </c>
      <c r="E2473" s="55">
        <v>4901.5</v>
      </c>
      <c r="F2473" s="55">
        <v>360.8</v>
      </c>
      <c r="G2473" s="55">
        <v>5262.3</v>
      </c>
      <c r="H2473" s="55">
        <v>34135.5</v>
      </c>
      <c r="I2473" s="55">
        <v>2512.6</v>
      </c>
      <c r="J2473" s="55">
        <v>36648.1</v>
      </c>
      <c r="K2473" s="55">
        <v>1482.1</v>
      </c>
      <c r="L2473" s="55">
        <v>742</v>
      </c>
      <c r="M2473" s="55">
        <v>1756.2</v>
      </c>
      <c r="N2473" s="55">
        <v>724.1</v>
      </c>
    </row>
    <row r="2474" spans="1:14" ht="10.050000000000001" hidden="1" customHeight="1">
      <c r="A2474" s="52" t="s">
        <v>172</v>
      </c>
      <c r="B2474" s="53">
        <v>2015</v>
      </c>
      <c r="C2474" s="52" t="s">
        <v>119</v>
      </c>
      <c r="D2474" s="54">
        <v>6</v>
      </c>
      <c r="E2474" s="55">
        <v>18863.2</v>
      </c>
      <c r="F2474" s="55">
        <v>0</v>
      </c>
      <c r="G2474" s="55">
        <v>18863.2</v>
      </c>
      <c r="H2474" s="55">
        <v>56807.3</v>
      </c>
      <c r="I2474" s="55">
        <v>5136.7</v>
      </c>
      <c r="J2474" s="55">
        <v>61944</v>
      </c>
      <c r="K2474" s="55">
        <v>4392.3</v>
      </c>
      <c r="L2474" s="55">
        <v>2556.1999999999998</v>
      </c>
      <c r="M2474" s="55">
        <v>2751.2</v>
      </c>
      <c r="N2474" s="55">
        <v>1566.2</v>
      </c>
    </row>
    <row r="2475" spans="1:14" ht="10.050000000000001" hidden="1" customHeight="1">
      <c r="A2475" s="52" t="s">
        <v>171</v>
      </c>
      <c r="B2475" s="53">
        <v>2015</v>
      </c>
      <c r="C2475" s="52" t="s">
        <v>119</v>
      </c>
      <c r="D2475" s="54">
        <v>6</v>
      </c>
      <c r="E2475" s="55">
        <v>774471</v>
      </c>
      <c r="F2475" s="55">
        <v>11366.4</v>
      </c>
      <c r="G2475" s="55">
        <v>785837.4</v>
      </c>
      <c r="H2475" s="55">
        <v>1765415.6</v>
      </c>
      <c r="I2475" s="55">
        <v>69547.899999999994</v>
      </c>
      <c r="J2475" s="55">
        <v>1834963.5</v>
      </c>
      <c r="K2475" s="55">
        <v>168045.6</v>
      </c>
      <c r="L2475" s="55">
        <v>155415.70000000001</v>
      </c>
      <c r="M2475" s="55">
        <v>400981.3</v>
      </c>
      <c r="N2475" s="55">
        <v>66110.600000000006</v>
      </c>
    </row>
    <row r="2476" spans="1:14" ht="10.050000000000001" hidden="1" customHeight="1">
      <c r="A2476" s="52" t="s">
        <v>300</v>
      </c>
      <c r="B2476" s="53">
        <v>2015</v>
      </c>
      <c r="C2476" s="52" t="s">
        <v>119</v>
      </c>
      <c r="D2476" s="54">
        <v>6</v>
      </c>
      <c r="E2476" s="55">
        <v>63.4</v>
      </c>
      <c r="F2476" s="55">
        <v>253.1</v>
      </c>
      <c r="G2476" s="55">
        <v>316.5</v>
      </c>
      <c r="H2476" s="55">
        <v>1460.9</v>
      </c>
      <c r="I2476" s="55">
        <v>0.6</v>
      </c>
      <c r="J2476" s="55">
        <v>1461.5</v>
      </c>
      <c r="K2476" s="55">
        <v>0</v>
      </c>
      <c r="L2476" s="55">
        <v>0</v>
      </c>
      <c r="M2476" s="55">
        <v>0</v>
      </c>
      <c r="N2476" s="55">
        <v>10.7</v>
      </c>
    </row>
    <row r="2477" spans="1:14" ht="10.050000000000001" hidden="1" customHeight="1">
      <c r="A2477" s="52" t="s">
        <v>307</v>
      </c>
      <c r="B2477" s="53">
        <v>2015</v>
      </c>
      <c r="C2477" s="52" t="s">
        <v>119</v>
      </c>
      <c r="D2477" s="54">
        <v>6</v>
      </c>
      <c r="E2477" s="55">
        <v>781093.6</v>
      </c>
      <c r="F2477" s="55">
        <v>20</v>
      </c>
      <c r="G2477" s="55">
        <v>781113.6</v>
      </c>
      <c r="H2477" s="55">
        <v>2689943.2</v>
      </c>
      <c r="I2477" s="55">
        <v>71453.899999999994</v>
      </c>
      <c r="J2477" s="55">
        <v>2761397.1</v>
      </c>
      <c r="K2477" s="55">
        <v>549061.4</v>
      </c>
      <c r="L2477" s="55">
        <v>51056.3</v>
      </c>
      <c r="M2477" s="55">
        <v>481815.7</v>
      </c>
      <c r="N2477" s="55">
        <v>89382.5</v>
      </c>
    </row>
    <row r="2478" spans="1:14" ht="10.050000000000001" hidden="1" customHeight="1">
      <c r="A2478" s="52" t="s">
        <v>315</v>
      </c>
      <c r="B2478" s="53">
        <v>2015</v>
      </c>
      <c r="C2478" s="52" t="s">
        <v>119</v>
      </c>
      <c r="D2478" s="54">
        <v>6</v>
      </c>
      <c r="E2478" s="55">
        <v>817.7</v>
      </c>
      <c r="F2478" s="55">
        <v>0</v>
      </c>
      <c r="G2478" s="55">
        <v>817.7</v>
      </c>
      <c r="H2478" s="55">
        <v>10513.9</v>
      </c>
      <c r="I2478" s="55">
        <v>30.6</v>
      </c>
      <c r="J2478" s="55">
        <v>10544.5</v>
      </c>
      <c r="K2478" s="55">
        <v>461.1</v>
      </c>
      <c r="L2478" s="55">
        <v>87.8</v>
      </c>
      <c r="M2478" s="55">
        <v>344.7</v>
      </c>
      <c r="N2478" s="55">
        <v>15.6</v>
      </c>
    </row>
    <row r="2479" spans="1:14" ht="10.050000000000001" hidden="1" customHeight="1">
      <c r="A2479" s="52" t="s">
        <v>173</v>
      </c>
      <c r="B2479" s="53">
        <v>2015</v>
      </c>
      <c r="C2479" s="52" t="s">
        <v>119</v>
      </c>
      <c r="D2479" s="54">
        <v>6</v>
      </c>
      <c r="E2479" s="55">
        <v>282006.3</v>
      </c>
      <c r="F2479" s="55">
        <v>14054.7</v>
      </c>
      <c r="G2479" s="55">
        <v>296061</v>
      </c>
      <c r="H2479" s="55">
        <v>778481.8</v>
      </c>
      <c r="I2479" s="55">
        <v>16021.9</v>
      </c>
      <c r="J2479" s="55">
        <v>794503.7</v>
      </c>
      <c r="K2479" s="55">
        <v>93509.8</v>
      </c>
      <c r="L2479" s="55">
        <v>73186.100000000006</v>
      </c>
      <c r="M2479" s="55">
        <v>43154.6</v>
      </c>
      <c r="N2479" s="55">
        <v>24578.5</v>
      </c>
    </row>
    <row r="2480" spans="1:14" ht="10.050000000000001" customHeight="1">
      <c r="A2480" s="52" t="s">
        <v>309</v>
      </c>
      <c r="B2480" s="53">
        <v>2015</v>
      </c>
      <c r="C2480" s="52" t="s">
        <v>119</v>
      </c>
      <c r="D2480" s="54">
        <v>6</v>
      </c>
      <c r="E2480" s="55">
        <v>1634</v>
      </c>
      <c r="F2480" s="55">
        <v>0</v>
      </c>
      <c r="G2480" s="55">
        <v>1634</v>
      </c>
      <c r="H2480" s="55">
        <v>25604.2</v>
      </c>
      <c r="I2480" s="55">
        <v>0</v>
      </c>
      <c r="J2480" s="55">
        <v>25604.2</v>
      </c>
      <c r="K2480" s="55">
        <v>1137.2</v>
      </c>
      <c r="L2480" s="55">
        <v>982.4</v>
      </c>
      <c r="M2480" s="55">
        <v>0</v>
      </c>
      <c r="N2480" s="55">
        <v>259.89999999999998</v>
      </c>
    </row>
    <row r="2481" spans="1:14" ht="10.050000000000001" hidden="1" customHeight="1">
      <c r="A2481" s="52" t="s">
        <v>316</v>
      </c>
      <c r="B2481" s="53">
        <v>2015</v>
      </c>
      <c r="C2481" s="52" t="s">
        <v>119</v>
      </c>
      <c r="D2481" s="54">
        <v>6</v>
      </c>
      <c r="E2481" s="55">
        <v>366.7</v>
      </c>
      <c r="F2481" s="55">
        <v>64.7</v>
      </c>
      <c r="G2481" s="55">
        <v>431.4</v>
      </c>
      <c r="H2481" s="55">
        <v>3308.8</v>
      </c>
      <c r="I2481" s="55">
        <v>12.1</v>
      </c>
      <c r="J2481" s="55">
        <v>3320.9</v>
      </c>
      <c r="K2481" s="55">
        <v>22.4</v>
      </c>
      <c r="L2481" s="55">
        <v>0</v>
      </c>
      <c r="M2481" s="55">
        <v>0</v>
      </c>
      <c r="N2481" s="55">
        <v>0.6</v>
      </c>
    </row>
    <row r="2482" spans="1:14" ht="10.050000000000001" hidden="1" customHeight="1">
      <c r="A2482" s="52" t="s">
        <v>310</v>
      </c>
      <c r="B2482" s="53">
        <v>2015</v>
      </c>
      <c r="C2482" s="52" t="s">
        <v>119</v>
      </c>
      <c r="D2482" s="54">
        <v>6</v>
      </c>
      <c r="E2482" s="55">
        <v>1321.6</v>
      </c>
      <c r="F2482" s="55">
        <v>33.9</v>
      </c>
      <c r="G2482" s="55">
        <v>1355.5</v>
      </c>
      <c r="H2482" s="55">
        <v>17245.5</v>
      </c>
      <c r="I2482" s="55">
        <v>572.4</v>
      </c>
      <c r="J2482" s="55">
        <v>17817.900000000001</v>
      </c>
      <c r="K2482" s="55">
        <v>261.3</v>
      </c>
      <c r="L2482" s="55">
        <v>96.3</v>
      </c>
      <c r="M2482" s="55">
        <v>507.3</v>
      </c>
      <c r="N2482" s="55">
        <v>176.1</v>
      </c>
    </row>
    <row r="2483" spans="1:14" ht="10.050000000000001" hidden="1" customHeight="1">
      <c r="A2483" s="52" t="s">
        <v>308</v>
      </c>
      <c r="B2483" s="53">
        <v>2015</v>
      </c>
      <c r="C2483" s="52" t="s">
        <v>119</v>
      </c>
      <c r="D2483" s="54">
        <v>6</v>
      </c>
      <c r="E2483" s="55">
        <v>4969.3999999999996</v>
      </c>
      <c r="F2483" s="55">
        <v>0</v>
      </c>
      <c r="G2483" s="55">
        <v>4969.3999999999996</v>
      </c>
      <c r="H2483" s="55">
        <v>26347.9</v>
      </c>
      <c r="I2483" s="55">
        <v>865.1</v>
      </c>
      <c r="J2483" s="55">
        <v>27213</v>
      </c>
      <c r="K2483" s="55">
        <v>1328.4</v>
      </c>
      <c r="L2483" s="55">
        <v>225.8</v>
      </c>
      <c r="M2483" s="55">
        <v>2520.1</v>
      </c>
      <c r="N2483" s="55">
        <v>1194.5</v>
      </c>
    </row>
    <row r="2484" spans="1:14" ht="10.050000000000001" hidden="1" customHeight="1">
      <c r="A2484" s="52" t="s">
        <v>174</v>
      </c>
      <c r="B2484" s="53">
        <v>2015</v>
      </c>
      <c r="C2484" s="52" t="s">
        <v>119</v>
      </c>
      <c r="D2484" s="54">
        <v>6</v>
      </c>
      <c r="E2484" s="55">
        <v>19268</v>
      </c>
      <c r="F2484" s="55">
        <v>1299.3</v>
      </c>
      <c r="G2484" s="55">
        <v>20567.3</v>
      </c>
      <c r="H2484" s="55">
        <v>46960.1</v>
      </c>
      <c r="I2484" s="55">
        <v>8533.2000000000007</v>
      </c>
      <c r="J2484" s="55">
        <v>55493.3</v>
      </c>
      <c r="K2484" s="55">
        <v>16231.3</v>
      </c>
      <c r="L2484" s="55">
        <v>2116.9</v>
      </c>
      <c r="M2484" s="55">
        <v>8029.8</v>
      </c>
      <c r="N2484" s="55">
        <v>14485.5</v>
      </c>
    </row>
    <row r="2485" spans="1:14" ht="10.050000000000001" hidden="1" customHeight="1">
      <c r="A2485" s="52" t="s">
        <v>314</v>
      </c>
      <c r="B2485" s="53">
        <v>2015</v>
      </c>
      <c r="C2485" s="52" t="s">
        <v>120</v>
      </c>
      <c r="D2485" s="54">
        <v>7</v>
      </c>
      <c r="E2485" s="55">
        <v>38.4</v>
      </c>
      <c r="F2485" s="55">
        <v>0</v>
      </c>
      <c r="G2485" s="55">
        <v>38.4</v>
      </c>
      <c r="H2485" s="55">
        <v>13.2</v>
      </c>
      <c r="I2485" s="55">
        <v>0</v>
      </c>
      <c r="J2485" s="55">
        <v>13.2</v>
      </c>
      <c r="K2485" s="55">
        <v>0</v>
      </c>
      <c r="L2485" s="55">
        <v>0</v>
      </c>
      <c r="M2485" s="55">
        <v>0</v>
      </c>
      <c r="N2485" s="55">
        <v>0</v>
      </c>
    </row>
    <row r="2486" spans="1:14" ht="10.050000000000001" hidden="1" customHeight="1">
      <c r="A2486" s="52" t="s">
        <v>306</v>
      </c>
      <c r="B2486" s="53">
        <v>2015</v>
      </c>
      <c r="C2486" s="52" t="s">
        <v>120</v>
      </c>
      <c r="D2486" s="54">
        <v>7</v>
      </c>
      <c r="E2486" s="55">
        <v>102288.2</v>
      </c>
      <c r="F2486" s="55">
        <v>2014.2</v>
      </c>
      <c r="G2486" s="55">
        <v>104302.39999999999</v>
      </c>
      <c r="H2486" s="55">
        <v>119198.9</v>
      </c>
      <c r="I2486" s="55">
        <v>3567</v>
      </c>
      <c r="J2486" s="55">
        <v>122765.9</v>
      </c>
      <c r="K2486" s="55">
        <v>30031.7</v>
      </c>
      <c r="L2486" s="55">
        <v>33774.199999999997</v>
      </c>
      <c r="M2486" s="55">
        <v>4166.3</v>
      </c>
      <c r="N2486" s="55">
        <v>915.6</v>
      </c>
    </row>
    <row r="2487" spans="1:14" ht="10.050000000000001" hidden="1" customHeight="1">
      <c r="A2487" s="52" t="s">
        <v>172</v>
      </c>
      <c r="B2487" s="53">
        <v>2015</v>
      </c>
      <c r="C2487" s="52" t="s">
        <v>120</v>
      </c>
      <c r="D2487" s="54">
        <v>7</v>
      </c>
      <c r="E2487" s="55">
        <v>889091.6</v>
      </c>
      <c r="F2487" s="55">
        <v>29717</v>
      </c>
      <c r="G2487" s="55">
        <v>918808.6</v>
      </c>
      <c r="H2487" s="55">
        <v>820885.1</v>
      </c>
      <c r="I2487" s="55">
        <v>21168.2</v>
      </c>
      <c r="J2487" s="55">
        <v>842053.3</v>
      </c>
      <c r="K2487" s="55">
        <v>295693.3</v>
      </c>
      <c r="L2487" s="55">
        <v>363491.1</v>
      </c>
      <c r="M2487" s="55">
        <v>68902.899999999994</v>
      </c>
      <c r="N2487" s="55">
        <v>1991.8</v>
      </c>
    </row>
    <row r="2488" spans="1:14" ht="10.050000000000001" hidden="1" customHeight="1">
      <c r="A2488" s="52" t="s">
        <v>171</v>
      </c>
      <c r="B2488" s="53">
        <v>2015</v>
      </c>
      <c r="C2488" s="52" t="s">
        <v>120</v>
      </c>
      <c r="D2488" s="54">
        <v>7</v>
      </c>
      <c r="E2488" s="55">
        <v>13443980.699999999</v>
      </c>
      <c r="F2488" s="55">
        <v>154881.9</v>
      </c>
      <c r="G2488" s="55">
        <v>13598862.6</v>
      </c>
      <c r="H2488" s="55">
        <v>13014127.1</v>
      </c>
      <c r="I2488" s="55">
        <v>181497.7</v>
      </c>
      <c r="J2488" s="55">
        <v>13195624.800000001</v>
      </c>
      <c r="K2488" s="55">
        <v>5600089.7999999998</v>
      </c>
      <c r="L2488" s="55">
        <v>6448036.9000000004</v>
      </c>
      <c r="M2488" s="55">
        <v>945240.2</v>
      </c>
      <c r="N2488" s="55">
        <v>41685.9</v>
      </c>
    </row>
    <row r="2489" spans="1:14" ht="10.050000000000001" hidden="1" customHeight="1">
      <c r="A2489" s="52" t="s">
        <v>300</v>
      </c>
      <c r="B2489" s="53">
        <v>2015</v>
      </c>
      <c r="C2489" s="52" t="s">
        <v>120</v>
      </c>
      <c r="D2489" s="54">
        <v>7</v>
      </c>
      <c r="E2489" s="55">
        <v>3780.7</v>
      </c>
      <c r="F2489" s="55">
        <v>30</v>
      </c>
      <c r="G2489" s="55">
        <v>3810.7</v>
      </c>
      <c r="H2489" s="55">
        <v>4881.1000000000004</v>
      </c>
      <c r="I2489" s="55">
        <v>30.6</v>
      </c>
      <c r="J2489" s="55">
        <v>4911.7</v>
      </c>
      <c r="K2489" s="55">
        <v>170.6</v>
      </c>
      <c r="L2489" s="55">
        <v>170.6</v>
      </c>
      <c r="M2489" s="55">
        <v>0</v>
      </c>
      <c r="N2489" s="55">
        <v>0</v>
      </c>
    </row>
    <row r="2490" spans="1:14" ht="10.050000000000001" hidden="1" customHeight="1">
      <c r="A2490" s="52" t="s">
        <v>307</v>
      </c>
      <c r="B2490" s="53">
        <v>2015</v>
      </c>
      <c r="C2490" s="52" t="s">
        <v>120</v>
      </c>
      <c r="D2490" s="54">
        <v>7</v>
      </c>
      <c r="E2490" s="55">
        <v>245371.9</v>
      </c>
      <c r="F2490" s="55">
        <v>0</v>
      </c>
      <c r="G2490" s="55">
        <v>245371.9</v>
      </c>
      <c r="H2490" s="55">
        <v>1888762</v>
      </c>
      <c r="I2490" s="55">
        <v>68599.5</v>
      </c>
      <c r="J2490" s="55">
        <v>1957361.5</v>
      </c>
      <c r="K2490" s="55">
        <v>406125.2</v>
      </c>
      <c r="L2490" s="55">
        <v>82682.899999999994</v>
      </c>
      <c r="M2490" s="55">
        <v>133719.70000000001</v>
      </c>
      <c r="N2490" s="55">
        <v>62197.7</v>
      </c>
    </row>
    <row r="2491" spans="1:14" ht="10.050000000000001" hidden="1" customHeight="1">
      <c r="A2491" s="52" t="s">
        <v>315</v>
      </c>
      <c r="B2491" s="53">
        <v>2015</v>
      </c>
      <c r="C2491" s="52" t="s">
        <v>120</v>
      </c>
      <c r="D2491" s="54">
        <v>7</v>
      </c>
      <c r="E2491" s="55">
        <v>207</v>
      </c>
      <c r="F2491" s="55">
        <v>0</v>
      </c>
      <c r="G2491" s="55">
        <v>207</v>
      </c>
      <c r="H2491" s="55">
        <v>7273.2</v>
      </c>
      <c r="I2491" s="55">
        <v>30.6</v>
      </c>
      <c r="J2491" s="55">
        <v>7303.8</v>
      </c>
      <c r="K2491" s="55">
        <v>397.2</v>
      </c>
      <c r="L2491" s="55">
        <v>0</v>
      </c>
      <c r="M2491" s="55">
        <v>56.9</v>
      </c>
      <c r="N2491" s="55">
        <v>7</v>
      </c>
    </row>
    <row r="2492" spans="1:14" ht="10.050000000000001" hidden="1" customHeight="1">
      <c r="A2492" s="52" t="s">
        <v>311</v>
      </c>
      <c r="B2492" s="53">
        <v>2015</v>
      </c>
      <c r="C2492" s="52" t="s">
        <v>120</v>
      </c>
      <c r="D2492" s="54">
        <v>7</v>
      </c>
      <c r="E2492" s="55">
        <v>493.5</v>
      </c>
      <c r="F2492" s="55">
        <v>0</v>
      </c>
      <c r="G2492" s="55">
        <v>493.5</v>
      </c>
      <c r="H2492" s="55">
        <v>190.9</v>
      </c>
      <c r="I2492" s="55">
        <v>0</v>
      </c>
      <c r="J2492" s="55">
        <v>190.9</v>
      </c>
      <c r="K2492" s="55">
        <v>64.2</v>
      </c>
      <c r="L2492" s="55">
        <v>74.8</v>
      </c>
      <c r="M2492" s="55">
        <v>0</v>
      </c>
      <c r="N2492" s="55">
        <v>10.6</v>
      </c>
    </row>
    <row r="2493" spans="1:14" ht="10.050000000000001" hidden="1" customHeight="1">
      <c r="A2493" s="52" t="s">
        <v>173</v>
      </c>
      <c r="B2493" s="53">
        <v>2015</v>
      </c>
      <c r="C2493" s="52" t="s">
        <v>120</v>
      </c>
      <c r="D2493" s="54">
        <v>7</v>
      </c>
      <c r="E2493" s="55">
        <v>6616009</v>
      </c>
      <c r="F2493" s="55">
        <v>132979.4</v>
      </c>
      <c r="G2493" s="55">
        <v>6748988.4000000004</v>
      </c>
      <c r="H2493" s="55">
        <v>6220680.2000000002</v>
      </c>
      <c r="I2493" s="55">
        <v>94501.6</v>
      </c>
      <c r="J2493" s="55">
        <v>6315181.7999999998</v>
      </c>
      <c r="K2493" s="55">
        <v>2175396</v>
      </c>
      <c r="L2493" s="55">
        <v>3644323.1</v>
      </c>
      <c r="M2493" s="55">
        <v>1126661.6000000001</v>
      </c>
      <c r="N2493" s="55">
        <v>31030.9</v>
      </c>
    </row>
    <row r="2494" spans="1:14" ht="10.050000000000001" customHeight="1">
      <c r="A2494" s="52" t="s">
        <v>309</v>
      </c>
      <c r="B2494" s="53">
        <v>2015</v>
      </c>
      <c r="C2494" s="52" t="s">
        <v>120</v>
      </c>
      <c r="D2494" s="54">
        <v>7</v>
      </c>
      <c r="E2494" s="55">
        <v>0</v>
      </c>
      <c r="F2494" s="55">
        <v>0</v>
      </c>
      <c r="G2494" s="55">
        <v>0</v>
      </c>
      <c r="H2494" s="55">
        <v>17446.8</v>
      </c>
      <c r="I2494" s="55">
        <v>0</v>
      </c>
      <c r="J2494" s="55">
        <v>17446.8</v>
      </c>
      <c r="K2494" s="55">
        <v>1137.2</v>
      </c>
      <c r="L2494" s="55">
        <v>0</v>
      </c>
      <c r="M2494" s="55">
        <v>0</v>
      </c>
      <c r="N2494" s="55">
        <v>0</v>
      </c>
    </row>
    <row r="2495" spans="1:14" ht="10.050000000000001" hidden="1" customHeight="1">
      <c r="A2495" s="52" t="s">
        <v>316</v>
      </c>
      <c r="B2495" s="53">
        <v>2015</v>
      </c>
      <c r="C2495" s="52" t="s">
        <v>120</v>
      </c>
      <c r="D2495" s="54">
        <v>7</v>
      </c>
      <c r="E2495" s="55">
        <v>111.9</v>
      </c>
      <c r="F2495" s="55">
        <v>0</v>
      </c>
      <c r="G2495" s="55">
        <v>111.9</v>
      </c>
      <c r="H2495" s="55">
        <v>2567.6</v>
      </c>
      <c r="I2495" s="55">
        <v>11.9</v>
      </c>
      <c r="J2495" s="55">
        <v>2579.5</v>
      </c>
      <c r="K2495" s="55">
        <v>10</v>
      </c>
      <c r="L2495" s="55">
        <v>2</v>
      </c>
      <c r="M2495" s="55">
        <v>11</v>
      </c>
      <c r="N2495" s="55">
        <v>3.4</v>
      </c>
    </row>
    <row r="2496" spans="1:14" ht="10.050000000000001" hidden="1" customHeight="1">
      <c r="A2496" s="52" t="s">
        <v>310</v>
      </c>
      <c r="B2496" s="53">
        <v>2015</v>
      </c>
      <c r="C2496" s="52" t="s">
        <v>120</v>
      </c>
      <c r="D2496" s="54">
        <v>7</v>
      </c>
      <c r="E2496" s="55">
        <v>26351.5</v>
      </c>
      <c r="F2496" s="55">
        <v>586</v>
      </c>
      <c r="G2496" s="55">
        <v>26937.5</v>
      </c>
      <c r="H2496" s="55">
        <v>36788.1</v>
      </c>
      <c r="I2496" s="55">
        <v>1180.5999999999999</v>
      </c>
      <c r="J2496" s="55">
        <v>37968.699999999997</v>
      </c>
      <c r="K2496" s="55">
        <v>8857.9</v>
      </c>
      <c r="L2496" s="55">
        <v>9810.9</v>
      </c>
      <c r="M2496" s="55">
        <v>1105.7</v>
      </c>
      <c r="N2496" s="55">
        <v>108.7</v>
      </c>
    </row>
    <row r="2497" spans="1:14" ht="10.050000000000001" hidden="1" customHeight="1">
      <c r="A2497" s="52" t="s">
        <v>308</v>
      </c>
      <c r="B2497" s="53">
        <v>2015</v>
      </c>
      <c r="C2497" s="52" t="s">
        <v>120</v>
      </c>
      <c r="D2497" s="54">
        <v>7</v>
      </c>
      <c r="E2497" s="55">
        <v>969.8</v>
      </c>
      <c r="F2497" s="55">
        <v>0</v>
      </c>
      <c r="G2497" s="55">
        <v>969.8</v>
      </c>
      <c r="H2497" s="55">
        <v>15384.3</v>
      </c>
      <c r="I2497" s="55">
        <v>894.4</v>
      </c>
      <c r="J2497" s="55">
        <v>16278.7</v>
      </c>
      <c r="K2497" s="55">
        <v>664.4</v>
      </c>
      <c r="L2497" s="55">
        <v>16.3</v>
      </c>
      <c r="M2497" s="55">
        <v>490.7</v>
      </c>
      <c r="N2497" s="55">
        <v>31</v>
      </c>
    </row>
    <row r="2498" spans="1:14" ht="10.050000000000001" hidden="1" customHeight="1">
      <c r="A2498" s="52" t="s">
        <v>174</v>
      </c>
      <c r="B2498" s="53">
        <v>2015</v>
      </c>
      <c r="C2498" s="52" t="s">
        <v>120</v>
      </c>
      <c r="D2498" s="54">
        <v>7</v>
      </c>
      <c r="E2498" s="55">
        <v>351165.7</v>
      </c>
      <c r="F2498" s="55">
        <v>16549.2</v>
      </c>
      <c r="G2498" s="55">
        <v>367714.9</v>
      </c>
      <c r="H2498" s="55">
        <v>330952.3</v>
      </c>
      <c r="I2498" s="55">
        <v>23248.1</v>
      </c>
      <c r="J2498" s="55">
        <v>354200.4</v>
      </c>
      <c r="K2498" s="55">
        <v>191117</v>
      </c>
      <c r="L2498" s="55">
        <v>213162.8</v>
      </c>
      <c r="M2498" s="55">
        <v>18963</v>
      </c>
      <c r="N2498" s="55">
        <v>18263.5</v>
      </c>
    </row>
    <row r="2499" spans="1:14" ht="10.050000000000001" hidden="1" customHeight="1">
      <c r="A2499" s="52" t="s">
        <v>314</v>
      </c>
      <c r="B2499" s="53">
        <v>2015</v>
      </c>
      <c r="C2499" s="52" t="s">
        <v>120</v>
      </c>
      <c r="D2499" s="54">
        <v>8</v>
      </c>
      <c r="E2499" s="55">
        <v>0</v>
      </c>
      <c r="F2499" s="55">
        <v>0</v>
      </c>
      <c r="G2499" s="55">
        <v>0</v>
      </c>
      <c r="H2499" s="55">
        <v>12</v>
      </c>
      <c r="I2499" s="55">
        <v>0</v>
      </c>
      <c r="J2499" s="55">
        <v>12</v>
      </c>
      <c r="K2499" s="55">
        <v>0</v>
      </c>
      <c r="L2499" s="55">
        <v>0</v>
      </c>
      <c r="M2499" s="55">
        <v>0</v>
      </c>
      <c r="N2499" s="55">
        <v>0</v>
      </c>
    </row>
    <row r="2500" spans="1:14" ht="10.050000000000001" hidden="1" customHeight="1">
      <c r="A2500" s="52" t="s">
        <v>306</v>
      </c>
      <c r="B2500" s="53">
        <v>2015</v>
      </c>
      <c r="C2500" s="52" t="s">
        <v>120</v>
      </c>
      <c r="D2500" s="54">
        <v>8</v>
      </c>
      <c r="E2500" s="55">
        <v>43228.6</v>
      </c>
      <c r="F2500" s="55">
        <v>2242.6999999999998</v>
      </c>
      <c r="G2500" s="55">
        <v>45471.3</v>
      </c>
      <c r="H2500" s="55">
        <v>141142</v>
      </c>
      <c r="I2500" s="55">
        <v>4497.7</v>
      </c>
      <c r="J2500" s="55">
        <v>145639.70000000001</v>
      </c>
      <c r="K2500" s="55">
        <v>29421.4</v>
      </c>
      <c r="L2500" s="55">
        <v>10208.799999999999</v>
      </c>
      <c r="M2500" s="55">
        <v>10174.1</v>
      </c>
      <c r="N2500" s="55">
        <v>645</v>
      </c>
    </row>
    <row r="2501" spans="1:14" ht="10.050000000000001" hidden="1" customHeight="1">
      <c r="A2501" s="52" t="s">
        <v>172</v>
      </c>
      <c r="B2501" s="53">
        <v>2015</v>
      </c>
      <c r="C2501" s="52" t="s">
        <v>120</v>
      </c>
      <c r="D2501" s="54">
        <v>8</v>
      </c>
      <c r="E2501" s="55">
        <v>56285</v>
      </c>
      <c r="F2501" s="55">
        <v>20417.400000000001</v>
      </c>
      <c r="G2501" s="55">
        <v>76702.399999999994</v>
      </c>
      <c r="H2501" s="55">
        <v>702642.6</v>
      </c>
      <c r="I2501" s="55">
        <v>22396.5</v>
      </c>
      <c r="J2501" s="55">
        <v>725039.1</v>
      </c>
      <c r="K2501" s="55">
        <v>288985.90000000002</v>
      </c>
      <c r="L2501" s="55">
        <v>29833</v>
      </c>
      <c r="M2501" s="55">
        <v>30327.5</v>
      </c>
      <c r="N2501" s="55">
        <v>6202.3</v>
      </c>
    </row>
    <row r="2502" spans="1:14" ht="10.050000000000001" hidden="1" customHeight="1">
      <c r="A2502" s="52" t="s">
        <v>171</v>
      </c>
      <c r="B2502" s="53">
        <v>2015</v>
      </c>
      <c r="C2502" s="52" t="s">
        <v>120</v>
      </c>
      <c r="D2502" s="54">
        <v>8</v>
      </c>
      <c r="E2502" s="55">
        <v>5695093.0999999996</v>
      </c>
      <c r="F2502" s="55">
        <v>194376.6</v>
      </c>
      <c r="G2502" s="55">
        <v>5889469.7000000002</v>
      </c>
      <c r="H2502" s="55">
        <v>15790993.1</v>
      </c>
      <c r="I2502" s="55">
        <v>230779.9</v>
      </c>
      <c r="J2502" s="55">
        <v>16021773</v>
      </c>
      <c r="K2502" s="55">
        <v>8032296.2999999998</v>
      </c>
      <c r="L2502" s="55">
        <v>4490773.3</v>
      </c>
      <c r="M2502" s="55">
        <v>2010717.1</v>
      </c>
      <c r="N2502" s="55">
        <v>46233.599999999999</v>
      </c>
    </row>
    <row r="2503" spans="1:14" ht="10.050000000000001" hidden="1" customHeight="1">
      <c r="A2503" s="52" t="s">
        <v>300</v>
      </c>
      <c r="B2503" s="53">
        <v>2015</v>
      </c>
      <c r="C2503" s="52" t="s">
        <v>120</v>
      </c>
      <c r="D2503" s="54">
        <v>8</v>
      </c>
      <c r="E2503" s="55">
        <v>2960.4</v>
      </c>
      <c r="F2503" s="55">
        <v>90.8</v>
      </c>
      <c r="G2503" s="55">
        <v>3051.2</v>
      </c>
      <c r="H2503" s="55">
        <v>5950.2</v>
      </c>
      <c r="I2503" s="55">
        <v>121.4</v>
      </c>
      <c r="J2503" s="55">
        <v>6071.6</v>
      </c>
      <c r="K2503" s="55">
        <v>25.3</v>
      </c>
      <c r="L2503" s="55">
        <v>0</v>
      </c>
      <c r="M2503" s="55">
        <v>98</v>
      </c>
      <c r="N2503" s="55">
        <v>47.3</v>
      </c>
    </row>
    <row r="2504" spans="1:14" ht="10.050000000000001" hidden="1" customHeight="1">
      <c r="A2504" s="52" t="s">
        <v>307</v>
      </c>
      <c r="B2504" s="53">
        <v>2015</v>
      </c>
      <c r="C2504" s="52" t="s">
        <v>120</v>
      </c>
      <c r="D2504" s="54">
        <v>8</v>
      </c>
      <c r="E2504" s="55">
        <v>261609.9</v>
      </c>
      <c r="F2504" s="55">
        <v>3340.2</v>
      </c>
      <c r="G2504" s="55">
        <v>264950.09999999998</v>
      </c>
      <c r="H2504" s="55">
        <v>1194533</v>
      </c>
      <c r="I2504" s="55">
        <v>68353.399999999994</v>
      </c>
      <c r="J2504" s="55">
        <v>1262886.3999999999</v>
      </c>
      <c r="K2504" s="55">
        <v>272550.8</v>
      </c>
      <c r="L2504" s="55">
        <v>23615.1</v>
      </c>
      <c r="M2504" s="55">
        <v>127692.9</v>
      </c>
      <c r="N2504" s="55">
        <v>29361.4</v>
      </c>
    </row>
    <row r="2505" spans="1:14" ht="10.050000000000001" hidden="1" customHeight="1">
      <c r="A2505" s="52" t="s">
        <v>315</v>
      </c>
      <c r="B2505" s="53">
        <v>2015</v>
      </c>
      <c r="C2505" s="52" t="s">
        <v>120</v>
      </c>
      <c r="D2505" s="54">
        <v>8</v>
      </c>
      <c r="E2505" s="55">
        <v>200</v>
      </c>
      <c r="F2505" s="55">
        <v>0</v>
      </c>
      <c r="G2505" s="55">
        <v>200</v>
      </c>
      <c r="H2505" s="55">
        <v>5226.7</v>
      </c>
      <c r="I2505" s="55">
        <v>30.6</v>
      </c>
      <c r="J2505" s="55">
        <v>5257.3</v>
      </c>
      <c r="K2505" s="55">
        <v>407.5</v>
      </c>
      <c r="L2505" s="55">
        <v>27.2</v>
      </c>
      <c r="M2505" s="55">
        <v>16.899999999999999</v>
      </c>
      <c r="N2505" s="55">
        <v>0</v>
      </c>
    </row>
    <row r="2506" spans="1:14" ht="10.050000000000001" hidden="1" customHeight="1">
      <c r="A2506" s="52" t="s">
        <v>311</v>
      </c>
      <c r="B2506" s="53">
        <v>2015</v>
      </c>
      <c r="C2506" s="52" t="s">
        <v>120</v>
      </c>
      <c r="D2506" s="54">
        <v>8</v>
      </c>
      <c r="E2506" s="55">
        <v>113</v>
      </c>
      <c r="F2506" s="55">
        <v>0</v>
      </c>
      <c r="G2506" s="55">
        <v>113</v>
      </c>
      <c r="H2506" s="55">
        <v>296.5</v>
      </c>
      <c r="I2506" s="55">
        <v>0</v>
      </c>
      <c r="J2506" s="55">
        <v>296.5</v>
      </c>
      <c r="K2506" s="55">
        <v>60.5</v>
      </c>
      <c r="L2506" s="55">
        <v>0</v>
      </c>
      <c r="M2506" s="55">
        <v>0</v>
      </c>
      <c r="N2506" s="55">
        <v>3.7</v>
      </c>
    </row>
    <row r="2507" spans="1:14" ht="10.050000000000001" hidden="1" customHeight="1">
      <c r="A2507" s="52" t="s">
        <v>173</v>
      </c>
      <c r="B2507" s="53">
        <v>2015</v>
      </c>
      <c r="C2507" s="52" t="s">
        <v>120</v>
      </c>
      <c r="D2507" s="54">
        <v>8</v>
      </c>
      <c r="E2507" s="55">
        <v>852092.2</v>
      </c>
      <c r="F2507" s="55">
        <v>20940.900000000001</v>
      </c>
      <c r="G2507" s="55">
        <v>873033.1</v>
      </c>
      <c r="H2507" s="55">
        <v>6003544.7999999998</v>
      </c>
      <c r="I2507" s="55">
        <v>77498.5</v>
      </c>
      <c r="J2507" s="55">
        <v>6081043.2999999998</v>
      </c>
      <c r="K2507" s="55">
        <v>1931616.7</v>
      </c>
      <c r="L2507" s="55">
        <v>224655.1</v>
      </c>
      <c r="M2507" s="55">
        <v>431038</v>
      </c>
      <c r="N2507" s="55">
        <v>35369.300000000003</v>
      </c>
    </row>
    <row r="2508" spans="1:14" ht="10.050000000000001" customHeight="1">
      <c r="A2508" s="52" t="s">
        <v>309</v>
      </c>
      <c r="B2508" s="53">
        <v>2015</v>
      </c>
      <c r="C2508" s="52" t="s">
        <v>120</v>
      </c>
      <c r="D2508" s="54">
        <v>8</v>
      </c>
      <c r="E2508" s="55">
        <v>0</v>
      </c>
      <c r="F2508" s="55">
        <v>0</v>
      </c>
      <c r="G2508" s="55">
        <v>0</v>
      </c>
      <c r="H2508" s="55">
        <v>15000.2</v>
      </c>
      <c r="I2508" s="55">
        <v>0</v>
      </c>
      <c r="J2508" s="55">
        <v>15000.2</v>
      </c>
      <c r="K2508" s="55">
        <v>1137.2</v>
      </c>
      <c r="L2508" s="55">
        <v>0</v>
      </c>
      <c r="M2508" s="55">
        <v>0</v>
      </c>
      <c r="N2508" s="55">
        <v>0</v>
      </c>
    </row>
    <row r="2509" spans="1:14" ht="10.050000000000001" hidden="1" customHeight="1">
      <c r="A2509" s="52" t="s">
        <v>316</v>
      </c>
      <c r="B2509" s="53">
        <v>2015</v>
      </c>
      <c r="C2509" s="52" t="s">
        <v>120</v>
      </c>
      <c r="D2509" s="54">
        <v>8</v>
      </c>
      <c r="E2509" s="55">
        <v>94.9</v>
      </c>
      <c r="F2509" s="55">
        <v>0</v>
      </c>
      <c r="G2509" s="55">
        <v>94.9</v>
      </c>
      <c r="H2509" s="55">
        <v>1770.1</v>
      </c>
      <c r="I2509" s="55">
        <v>11.9</v>
      </c>
      <c r="J2509" s="55">
        <v>1782</v>
      </c>
      <c r="K2509" s="55">
        <v>10</v>
      </c>
      <c r="L2509" s="55">
        <v>0</v>
      </c>
      <c r="M2509" s="55">
        <v>0</v>
      </c>
      <c r="N2509" s="55">
        <v>0</v>
      </c>
    </row>
    <row r="2510" spans="1:14" ht="10.050000000000001" hidden="1" customHeight="1">
      <c r="A2510" s="52" t="s">
        <v>310</v>
      </c>
      <c r="B2510" s="53">
        <v>2015</v>
      </c>
      <c r="C2510" s="52" t="s">
        <v>120</v>
      </c>
      <c r="D2510" s="54">
        <v>8</v>
      </c>
      <c r="E2510" s="55">
        <v>8182.8</v>
      </c>
      <c r="F2510" s="55">
        <v>576.1</v>
      </c>
      <c r="G2510" s="55">
        <v>8758.9</v>
      </c>
      <c r="H2510" s="55">
        <v>41697.300000000003</v>
      </c>
      <c r="I2510" s="55">
        <v>1352.2</v>
      </c>
      <c r="J2510" s="55">
        <v>43049.5</v>
      </c>
      <c r="K2510" s="55">
        <v>10008.6</v>
      </c>
      <c r="L2510" s="55">
        <v>2518.6999999999998</v>
      </c>
      <c r="M2510" s="55">
        <v>1319.2</v>
      </c>
      <c r="N2510" s="55">
        <v>48.8</v>
      </c>
    </row>
    <row r="2511" spans="1:14" ht="10.050000000000001" hidden="1" customHeight="1">
      <c r="A2511" s="52" t="s">
        <v>308</v>
      </c>
      <c r="B2511" s="53">
        <v>2015</v>
      </c>
      <c r="C2511" s="52" t="s">
        <v>120</v>
      </c>
      <c r="D2511" s="54">
        <v>8</v>
      </c>
      <c r="E2511" s="55">
        <v>799.6</v>
      </c>
      <c r="F2511" s="55">
        <v>309.7</v>
      </c>
      <c r="G2511" s="55">
        <v>1109.3</v>
      </c>
      <c r="H2511" s="55">
        <v>12166.5</v>
      </c>
      <c r="I2511" s="55">
        <v>1236.0999999999999</v>
      </c>
      <c r="J2511" s="55">
        <v>13402.6</v>
      </c>
      <c r="K2511" s="55">
        <v>644.4</v>
      </c>
      <c r="L2511" s="55">
        <v>0</v>
      </c>
      <c r="M2511" s="55">
        <v>14.3</v>
      </c>
      <c r="N2511" s="55">
        <v>5.7</v>
      </c>
    </row>
    <row r="2512" spans="1:14" ht="10.050000000000001" hidden="1" customHeight="1">
      <c r="A2512" s="52" t="s">
        <v>174</v>
      </c>
      <c r="B2512" s="53">
        <v>2015</v>
      </c>
      <c r="C2512" s="52" t="s">
        <v>120</v>
      </c>
      <c r="D2512" s="54">
        <v>8</v>
      </c>
      <c r="E2512" s="55">
        <v>204285.9</v>
      </c>
      <c r="F2512" s="55">
        <v>10367.5</v>
      </c>
      <c r="G2512" s="55">
        <v>214653.4</v>
      </c>
      <c r="H2512" s="55">
        <v>459049.8</v>
      </c>
      <c r="I2512" s="55">
        <v>26302.7</v>
      </c>
      <c r="J2512" s="55">
        <v>485352.5</v>
      </c>
      <c r="K2512" s="55">
        <v>193673.60000000001</v>
      </c>
      <c r="L2512" s="55">
        <v>39530.6</v>
      </c>
      <c r="M2512" s="55">
        <v>25172.3</v>
      </c>
      <c r="N2512" s="55">
        <v>11795.8</v>
      </c>
    </row>
    <row r="2513" spans="1:14" ht="10.050000000000001" hidden="1" customHeight="1">
      <c r="A2513" s="52" t="s">
        <v>314</v>
      </c>
      <c r="B2513" s="53">
        <v>2015</v>
      </c>
      <c r="C2513" s="52" t="s">
        <v>120</v>
      </c>
      <c r="D2513" s="54">
        <v>9</v>
      </c>
      <c r="E2513" s="55">
        <v>0</v>
      </c>
      <c r="F2513" s="55">
        <v>0</v>
      </c>
      <c r="G2513" s="55">
        <v>0</v>
      </c>
      <c r="H2513" s="55">
        <v>12</v>
      </c>
      <c r="I2513" s="55">
        <v>0</v>
      </c>
      <c r="J2513" s="55">
        <v>12</v>
      </c>
      <c r="K2513" s="55">
        <v>0</v>
      </c>
      <c r="L2513" s="55">
        <v>0</v>
      </c>
      <c r="M2513" s="55">
        <v>0</v>
      </c>
      <c r="N2513" s="55">
        <v>0</v>
      </c>
    </row>
    <row r="2514" spans="1:14" ht="10.050000000000001" hidden="1" customHeight="1">
      <c r="A2514" s="52" t="s">
        <v>306</v>
      </c>
      <c r="B2514" s="53">
        <v>2015</v>
      </c>
      <c r="C2514" s="52" t="s">
        <v>120</v>
      </c>
      <c r="D2514" s="54">
        <v>9</v>
      </c>
      <c r="E2514" s="55">
        <v>11904.8</v>
      </c>
      <c r="F2514" s="55">
        <v>1133.2</v>
      </c>
      <c r="G2514" s="55">
        <v>13038</v>
      </c>
      <c r="H2514" s="55">
        <v>132471.5</v>
      </c>
      <c r="I2514" s="55">
        <v>3992.8</v>
      </c>
      <c r="J2514" s="55">
        <v>136464.29999999999</v>
      </c>
      <c r="K2514" s="55">
        <v>23979.9</v>
      </c>
      <c r="L2514" s="55">
        <v>1100.7</v>
      </c>
      <c r="M2514" s="55">
        <v>6050.2</v>
      </c>
      <c r="N2514" s="55">
        <v>492.8</v>
      </c>
    </row>
    <row r="2515" spans="1:14" ht="10.050000000000001" hidden="1" customHeight="1">
      <c r="A2515" s="52" t="s">
        <v>172</v>
      </c>
      <c r="B2515" s="53">
        <v>2015</v>
      </c>
      <c r="C2515" s="52" t="s">
        <v>120</v>
      </c>
      <c r="D2515" s="54">
        <v>9</v>
      </c>
      <c r="E2515" s="55">
        <v>56855.6</v>
      </c>
      <c r="F2515" s="55">
        <v>9380.6</v>
      </c>
      <c r="G2515" s="55">
        <v>66236.2</v>
      </c>
      <c r="H2515" s="55">
        <v>617498.6</v>
      </c>
      <c r="I2515" s="55">
        <v>20666.3</v>
      </c>
      <c r="J2515" s="55">
        <v>638164.9</v>
      </c>
      <c r="K2515" s="55">
        <v>270878.90000000002</v>
      </c>
      <c r="L2515" s="55">
        <v>15932</v>
      </c>
      <c r="M2515" s="55">
        <v>30088.6</v>
      </c>
      <c r="N2515" s="55">
        <v>3950.2</v>
      </c>
    </row>
    <row r="2516" spans="1:14" ht="10.050000000000001" hidden="1" customHeight="1">
      <c r="A2516" s="52" t="s">
        <v>171</v>
      </c>
      <c r="B2516" s="53">
        <v>2015</v>
      </c>
      <c r="C2516" s="52" t="s">
        <v>120</v>
      </c>
      <c r="D2516" s="54">
        <v>9</v>
      </c>
      <c r="E2516" s="55">
        <v>1547232.5</v>
      </c>
      <c r="F2516" s="55">
        <v>145404.79999999999</v>
      </c>
      <c r="G2516" s="55">
        <v>1692637.3</v>
      </c>
      <c r="H2516" s="55">
        <v>14661141.800000001</v>
      </c>
      <c r="I2516" s="55">
        <v>201095.8</v>
      </c>
      <c r="J2516" s="55">
        <v>14862237.6</v>
      </c>
      <c r="K2516" s="55">
        <v>7294295.9000000004</v>
      </c>
      <c r="L2516" s="55">
        <v>418573.4</v>
      </c>
      <c r="M2516" s="55">
        <v>1119212.8999999999</v>
      </c>
      <c r="N2516" s="55">
        <v>33769.4</v>
      </c>
    </row>
    <row r="2517" spans="1:14" ht="10.050000000000001" hidden="1" customHeight="1">
      <c r="A2517" s="52" t="s">
        <v>300</v>
      </c>
      <c r="B2517" s="53">
        <v>2015</v>
      </c>
      <c r="C2517" s="52" t="s">
        <v>120</v>
      </c>
      <c r="D2517" s="54">
        <v>9</v>
      </c>
      <c r="E2517" s="55">
        <v>808.2</v>
      </c>
      <c r="F2517" s="55">
        <v>595</v>
      </c>
      <c r="G2517" s="55">
        <v>1403.2</v>
      </c>
      <c r="H2517" s="55">
        <v>6234</v>
      </c>
      <c r="I2517" s="55">
        <v>350.5</v>
      </c>
      <c r="J2517" s="55">
        <v>6584.5</v>
      </c>
      <c r="K2517" s="55">
        <v>5.2</v>
      </c>
      <c r="L2517" s="55">
        <v>37.9</v>
      </c>
      <c r="M2517" s="55">
        <v>37.9</v>
      </c>
      <c r="N2517" s="55">
        <v>20.100000000000001</v>
      </c>
    </row>
    <row r="2518" spans="1:14" ht="10.050000000000001" hidden="1" customHeight="1">
      <c r="A2518" s="52" t="s">
        <v>307</v>
      </c>
      <c r="B2518" s="53">
        <v>2015</v>
      </c>
      <c r="C2518" s="52" t="s">
        <v>120</v>
      </c>
      <c r="D2518" s="54">
        <v>9</v>
      </c>
      <c r="E2518" s="55">
        <v>924173.7</v>
      </c>
      <c r="F2518" s="55">
        <v>78991.5</v>
      </c>
      <c r="G2518" s="55">
        <v>1003165.2</v>
      </c>
      <c r="H2518" s="55">
        <v>1169365.6000000001</v>
      </c>
      <c r="I2518" s="55">
        <v>133545.5</v>
      </c>
      <c r="J2518" s="55">
        <v>1302911.1000000001</v>
      </c>
      <c r="K2518" s="55">
        <v>529603.19999999995</v>
      </c>
      <c r="L2518" s="55">
        <v>357055.8</v>
      </c>
      <c r="M2518" s="55">
        <v>64391.5</v>
      </c>
      <c r="N2518" s="55">
        <v>36311.1</v>
      </c>
    </row>
    <row r="2519" spans="1:14" ht="10.050000000000001" hidden="1" customHeight="1">
      <c r="A2519" s="52" t="s">
        <v>315</v>
      </c>
      <c r="B2519" s="53">
        <v>2015</v>
      </c>
      <c r="C2519" s="52" t="s">
        <v>120</v>
      </c>
      <c r="D2519" s="54">
        <v>9</v>
      </c>
      <c r="E2519" s="55">
        <v>2139.1</v>
      </c>
      <c r="F2519" s="55">
        <v>0</v>
      </c>
      <c r="G2519" s="55">
        <v>2139.1</v>
      </c>
      <c r="H2519" s="55">
        <v>4667.3999999999996</v>
      </c>
      <c r="I2519" s="55">
        <v>30.6</v>
      </c>
      <c r="J2519" s="55">
        <v>4698</v>
      </c>
      <c r="K2519" s="55">
        <v>1669.9</v>
      </c>
      <c r="L2519" s="55">
        <v>1986.8</v>
      </c>
      <c r="M2519" s="55">
        <v>709.5</v>
      </c>
      <c r="N2519" s="55">
        <v>14.9</v>
      </c>
    </row>
    <row r="2520" spans="1:14" ht="10.050000000000001" hidden="1" customHeight="1">
      <c r="A2520" s="52" t="s">
        <v>311</v>
      </c>
      <c r="B2520" s="53">
        <v>2015</v>
      </c>
      <c r="C2520" s="52" t="s">
        <v>120</v>
      </c>
      <c r="D2520" s="54">
        <v>9</v>
      </c>
      <c r="E2520" s="55">
        <v>0</v>
      </c>
      <c r="F2520" s="55">
        <v>0</v>
      </c>
      <c r="G2520" s="55">
        <v>0</v>
      </c>
      <c r="H2520" s="55">
        <v>286.10000000000002</v>
      </c>
      <c r="I2520" s="55">
        <v>0</v>
      </c>
      <c r="J2520" s="55">
        <v>286.10000000000002</v>
      </c>
      <c r="K2520" s="55">
        <v>60.5</v>
      </c>
      <c r="L2520" s="55">
        <v>0</v>
      </c>
      <c r="M2520" s="55">
        <v>0</v>
      </c>
      <c r="N2520" s="55">
        <v>0</v>
      </c>
    </row>
    <row r="2521" spans="1:14" ht="10.050000000000001" hidden="1" customHeight="1">
      <c r="A2521" s="52" t="s">
        <v>173</v>
      </c>
      <c r="B2521" s="53">
        <v>2015</v>
      </c>
      <c r="C2521" s="52" t="s">
        <v>120</v>
      </c>
      <c r="D2521" s="54">
        <v>9</v>
      </c>
      <c r="E2521" s="55">
        <v>369215.9</v>
      </c>
      <c r="F2521" s="55">
        <v>11900.1</v>
      </c>
      <c r="G2521" s="55">
        <v>381116</v>
      </c>
      <c r="H2521" s="55">
        <v>5412833.4000000004</v>
      </c>
      <c r="I2521" s="55">
        <v>57286.2</v>
      </c>
      <c r="J2521" s="55">
        <v>5470119.5999999996</v>
      </c>
      <c r="K2521" s="55">
        <v>1706857.4</v>
      </c>
      <c r="L2521" s="55">
        <v>70532.3</v>
      </c>
      <c r="M2521" s="55">
        <v>272163.59999999998</v>
      </c>
      <c r="N2521" s="55">
        <v>23596.3</v>
      </c>
    </row>
    <row r="2522" spans="1:14" ht="10.050000000000001" customHeight="1">
      <c r="A2522" s="52" t="s">
        <v>309</v>
      </c>
      <c r="B2522" s="53">
        <v>2015</v>
      </c>
      <c r="C2522" s="52" t="s">
        <v>120</v>
      </c>
      <c r="D2522" s="54">
        <v>9</v>
      </c>
      <c r="E2522" s="55">
        <v>13861.2</v>
      </c>
      <c r="F2522" s="55">
        <v>0</v>
      </c>
      <c r="G2522" s="55">
        <v>13861.2</v>
      </c>
      <c r="H2522" s="55">
        <v>25062.6</v>
      </c>
      <c r="I2522" s="55">
        <v>0</v>
      </c>
      <c r="J2522" s="55">
        <v>25062.6</v>
      </c>
      <c r="K2522" s="55">
        <v>6425.7</v>
      </c>
      <c r="L2522" s="55">
        <v>5288.5</v>
      </c>
      <c r="M2522" s="55">
        <v>0</v>
      </c>
      <c r="N2522" s="55">
        <v>0</v>
      </c>
    </row>
    <row r="2523" spans="1:14" ht="10.050000000000001" hidden="1" customHeight="1">
      <c r="A2523" s="52" t="s">
        <v>316</v>
      </c>
      <c r="B2523" s="53">
        <v>2015</v>
      </c>
      <c r="C2523" s="52" t="s">
        <v>120</v>
      </c>
      <c r="D2523" s="54">
        <v>9</v>
      </c>
      <c r="E2523" s="55">
        <v>652.20000000000005</v>
      </c>
      <c r="F2523" s="55">
        <v>0</v>
      </c>
      <c r="G2523" s="55">
        <v>652.20000000000005</v>
      </c>
      <c r="H2523" s="55">
        <v>1540.6</v>
      </c>
      <c r="I2523" s="55">
        <v>11.9</v>
      </c>
      <c r="J2523" s="55">
        <v>1552.5</v>
      </c>
      <c r="K2523" s="55">
        <v>22.9</v>
      </c>
      <c r="L2523" s="55">
        <v>40.700000000000003</v>
      </c>
      <c r="M2523" s="55">
        <v>13</v>
      </c>
      <c r="N2523" s="55">
        <v>14.9</v>
      </c>
    </row>
    <row r="2524" spans="1:14" ht="10.050000000000001" hidden="1" customHeight="1">
      <c r="A2524" s="52" t="s">
        <v>310</v>
      </c>
      <c r="B2524" s="53">
        <v>2015</v>
      </c>
      <c r="C2524" s="52" t="s">
        <v>120</v>
      </c>
      <c r="D2524" s="54">
        <v>9</v>
      </c>
      <c r="E2524" s="55">
        <v>3868.6</v>
      </c>
      <c r="F2524" s="55">
        <v>1076.5</v>
      </c>
      <c r="G2524" s="55">
        <v>4945.1000000000004</v>
      </c>
      <c r="H2524" s="55">
        <v>41904.6</v>
      </c>
      <c r="I2524" s="55">
        <v>2108.6999999999998</v>
      </c>
      <c r="J2524" s="55">
        <v>44013.3</v>
      </c>
      <c r="K2524" s="55">
        <v>8465</v>
      </c>
      <c r="L2524" s="55">
        <v>770.9</v>
      </c>
      <c r="M2524" s="55">
        <v>2184.9</v>
      </c>
      <c r="N2524" s="55">
        <v>129.69999999999999</v>
      </c>
    </row>
    <row r="2525" spans="1:14" ht="10.050000000000001" hidden="1" customHeight="1">
      <c r="A2525" s="52" t="s">
        <v>308</v>
      </c>
      <c r="B2525" s="53">
        <v>2015</v>
      </c>
      <c r="C2525" s="52" t="s">
        <v>120</v>
      </c>
      <c r="D2525" s="54">
        <v>9</v>
      </c>
      <c r="E2525" s="55">
        <v>22553.5</v>
      </c>
      <c r="F2525" s="55">
        <v>495.4</v>
      </c>
      <c r="G2525" s="55">
        <v>23048.9</v>
      </c>
      <c r="H2525" s="55">
        <v>28144.3</v>
      </c>
      <c r="I2525" s="55">
        <v>1502.8</v>
      </c>
      <c r="J2525" s="55">
        <v>29647.1</v>
      </c>
      <c r="K2525" s="55">
        <v>7014.4</v>
      </c>
      <c r="L2525" s="55">
        <v>7067.9</v>
      </c>
      <c r="M2525" s="55">
        <v>615.29999999999995</v>
      </c>
      <c r="N2525" s="55">
        <v>82.6</v>
      </c>
    </row>
    <row r="2526" spans="1:14" ht="10.050000000000001" hidden="1" customHeight="1">
      <c r="A2526" s="52" t="s">
        <v>174</v>
      </c>
      <c r="B2526" s="53">
        <v>2015</v>
      </c>
      <c r="C2526" s="52" t="s">
        <v>120</v>
      </c>
      <c r="D2526" s="54">
        <v>9</v>
      </c>
      <c r="E2526" s="55">
        <v>26817.8</v>
      </c>
      <c r="F2526" s="55">
        <v>12410.7</v>
      </c>
      <c r="G2526" s="55">
        <v>39228.5</v>
      </c>
      <c r="H2526" s="55">
        <v>407274.1</v>
      </c>
      <c r="I2526" s="55">
        <v>24441.5</v>
      </c>
      <c r="J2526" s="55">
        <v>431715.6</v>
      </c>
      <c r="K2526" s="55">
        <v>175737</v>
      </c>
      <c r="L2526" s="55">
        <v>4639.8</v>
      </c>
      <c r="M2526" s="55">
        <v>11817.1</v>
      </c>
      <c r="N2526" s="55">
        <v>8978</v>
      </c>
    </row>
    <row r="2527" spans="1:14" ht="10.050000000000001" hidden="1" customHeight="1">
      <c r="A2527" s="52" t="s">
        <v>314</v>
      </c>
      <c r="B2527" s="53">
        <v>2015</v>
      </c>
      <c r="C2527" s="52" t="s">
        <v>120</v>
      </c>
      <c r="D2527" s="54">
        <v>10</v>
      </c>
      <c r="E2527" s="55">
        <v>0</v>
      </c>
      <c r="F2527" s="55">
        <v>0</v>
      </c>
      <c r="G2527" s="55">
        <v>0</v>
      </c>
      <c r="H2527" s="55">
        <v>12</v>
      </c>
      <c r="I2527" s="55">
        <v>0</v>
      </c>
      <c r="J2527" s="55">
        <v>12</v>
      </c>
      <c r="K2527" s="55">
        <v>0</v>
      </c>
      <c r="L2527" s="55">
        <v>0</v>
      </c>
      <c r="M2527" s="55">
        <v>0</v>
      </c>
      <c r="N2527" s="55">
        <v>0</v>
      </c>
    </row>
    <row r="2528" spans="1:14" ht="10.050000000000001" hidden="1" customHeight="1">
      <c r="A2528" s="52" t="s">
        <v>306</v>
      </c>
      <c r="B2528" s="53">
        <v>2015</v>
      </c>
      <c r="C2528" s="52" t="s">
        <v>120</v>
      </c>
      <c r="D2528" s="54">
        <v>10</v>
      </c>
      <c r="E2528" s="55">
        <v>6490.8</v>
      </c>
      <c r="F2528" s="55">
        <v>1202.7</v>
      </c>
      <c r="G2528" s="55">
        <v>7693.5</v>
      </c>
      <c r="H2528" s="55">
        <v>120009.9</v>
      </c>
      <c r="I2528" s="55">
        <v>4325.8</v>
      </c>
      <c r="J2528" s="55">
        <v>124335.7</v>
      </c>
      <c r="K2528" s="55">
        <v>20555.3</v>
      </c>
      <c r="L2528" s="55">
        <v>516.20000000000005</v>
      </c>
      <c r="M2528" s="55">
        <v>3242.6</v>
      </c>
      <c r="N2528" s="55">
        <v>698.5</v>
      </c>
    </row>
    <row r="2529" spans="1:14" ht="10.050000000000001" hidden="1" customHeight="1">
      <c r="A2529" s="52" t="s">
        <v>172</v>
      </c>
      <c r="B2529" s="53">
        <v>2015</v>
      </c>
      <c r="C2529" s="52" t="s">
        <v>120</v>
      </c>
      <c r="D2529" s="54">
        <v>10</v>
      </c>
      <c r="E2529" s="55">
        <v>44789.8</v>
      </c>
      <c r="F2529" s="55">
        <v>3560</v>
      </c>
      <c r="G2529" s="55">
        <v>48349.8</v>
      </c>
      <c r="H2529" s="55">
        <v>480795.7</v>
      </c>
      <c r="I2529" s="55">
        <v>16318</v>
      </c>
      <c r="J2529" s="55">
        <v>497113.7</v>
      </c>
      <c r="K2529" s="55">
        <v>251800.4</v>
      </c>
      <c r="L2529" s="55">
        <v>7634</v>
      </c>
      <c r="M2529" s="55">
        <v>23454.799999999999</v>
      </c>
      <c r="N2529" s="55">
        <v>3258.3</v>
      </c>
    </row>
    <row r="2530" spans="1:14" ht="10.050000000000001" hidden="1" customHeight="1">
      <c r="A2530" s="52" t="s">
        <v>171</v>
      </c>
      <c r="B2530" s="53">
        <v>2015</v>
      </c>
      <c r="C2530" s="52" t="s">
        <v>120</v>
      </c>
      <c r="D2530" s="54">
        <v>10</v>
      </c>
      <c r="E2530" s="55">
        <v>974810.2</v>
      </c>
      <c r="F2530" s="55">
        <v>53090.400000000001</v>
      </c>
      <c r="G2530" s="55">
        <v>1027900.6</v>
      </c>
      <c r="H2530" s="55">
        <v>13328112.199999999</v>
      </c>
      <c r="I2530" s="55">
        <v>178537.5</v>
      </c>
      <c r="J2530" s="55">
        <v>13506649.699999999</v>
      </c>
      <c r="K2530" s="55">
        <v>6877374.4000000004</v>
      </c>
      <c r="L2530" s="55">
        <v>204271</v>
      </c>
      <c r="M2530" s="55">
        <v>596241</v>
      </c>
      <c r="N2530" s="55">
        <v>29109.4</v>
      </c>
    </row>
    <row r="2531" spans="1:14" ht="10.050000000000001" hidden="1" customHeight="1">
      <c r="A2531" s="52" t="s">
        <v>300</v>
      </c>
      <c r="B2531" s="53">
        <v>2015</v>
      </c>
      <c r="C2531" s="52" t="s">
        <v>120</v>
      </c>
      <c r="D2531" s="54">
        <v>10</v>
      </c>
      <c r="E2531" s="55">
        <v>646.20000000000005</v>
      </c>
      <c r="F2531" s="55">
        <v>45.3</v>
      </c>
      <c r="G2531" s="55">
        <v>691.5</v>
      </c>
      <c r="H2531" s="55">
        <v>6112.8</v>
      </c>
      <c r="I2531" s="55">
        <v>253.1</v>
      </c>
      <c r="J2531" s="55">
        <v>6365.9</v>
      </c>
      <c r="K2531" s="55">
        <v>5.2</v>
      </c>
      <c r="L2531" s="55">
        <v>20</v>
      </c>
      <c r="M2531" s="55">
        <v>18.8</v>
      </c>
      <c r="N2531" s="55">
        <v>1.2</v>
      </c>
    </row>
    <row r="2532" spans="1:14" ht="10.050000000000001" hidden="1" customHeight="1">
      <c r="A2532" s="52" t="s">
        <v>307</v>
      </c>
      <c r="B2532" s="53">
        <v>2015</v>
      </c>
      <c r="C2532" s="52" t="s">
        <v>120</v>
      </c>
      <c r="D2532" s="54">
        <v>10</v>
      </c>
      <c r="E2532" s="55">
        <v>4418721.4000000004</v>
      </c>
      <c r="F2532" s="55">
        <v>84515.199999999997</v>
      </c>
      <c r="G2532" s="55">
        <v>4503236.5999999996</v>
      </c>
      <c r="H2532" s="55">
        <v>4492354.7</v>
      </c>
      <c r="I2532" s="55">
        <v>201949.6</v>
      </c>
      <c r="J2532" s="55">
        <v>4694304.3</v>
      </c>
      <c r="K2532" s="55">
        <v>2713145.2</v>
      </c>
      <c r="L2532" s="55">
        <v>2550312.2999999998</v>
      </c>
      <c r="M2532" s="55">
        <v>280227.59999999998</v>
      </c>
      <c r="N2532" s="55">
        <v>89147.4</v>
      </c>
    </row>
    <row r="2533" spans="1:14" ht="10.050000000000001" hidden="1" customHeight="1">
      <c r="A2533" s="52" t="s">
        <v>315</v>
      </c>
      <c r="B2533" s="53">
        <v>2015</v>
      </c>
      <c r="C2533" s="52" t="s">
        <v>120</v>
      </c>
      <c r="D2533" s="54">
        <v>10</v>
      </c>
      <c r="E2533" s="55">
        <v>15754.1</v>
      </c>
      <c r="F2533" s="55">
        <v>0</v>
      </c>
      <c r="G2533" s="55">
        <v>15754.1</v>
      </c>
      <c r="H2533" s="55">
        <v>17634</v>
      </c>
      <c r="I2533" s="55">
        <v>30.6</v>
      </c>
      <c r="J2533" s="55">
        <v>17664.599999999999</v>
      </c>
      <c r="K2533" s="55">
        <v>5868.3</v>
      </c>
      <c r="L2533" s="55">
        <v>8524.5</v>
      </c>
      <c r="M2533" s="55">
        <v>3871.3</v>
      </c>
      <c r="N2533" s="55">
        <v>454.9</v>
      </c>
    </row>
    <row r="2534" spans="1:14" ht="10.050000000000001" hidden="1" customHeight="1">
      <c r="A2534" s="52" t="s">
        <v>311</v>
      </c>
      <c r="B2534" s="53">
        <v>2015</v>
      </c>
      <c r="C2534" s="52" t="s">
        <v>120</v>
      </c>
      <c r="D2534" s="54">
        <v>10</v>
      </c>
      <c r="E2534" s="55">
        <v>11.6</v>
      </c>
      <c r="F2534" s="55">
        <v>0</v>
      </c>
      <c r="G2534" s="55">
        <v>11.6</v>
      </c>
      <c r="H2534" s="55">
        <v>258.60000000000002</v>
      </c>
      <c r="I2534" s="55">
        <v>0</v>
      </c>
      <c r="J2534" s="55">
        <v>258.60000000000002</v>
      </c>
      <c r="K2534" s="55">
        <v>60.5</v>
      </c>
      <c r="L2534" s="55">
        <v>0</v>
      </c>
      <c r="M2534" s="55">
        <v>0</v>
      </c>
      <c r="N2534" s="55">
        <v>0</v>
      </c>
    </row>
    <row r="2535" spans="1:14" ht="10.050000000000001" hidden="1" customHeight="1">
      <c r="A2535" s="52" t="s">
        <v>173</v>
      </c>
      <c r="B2535" s="53">
        <v>2015</v>
      </c>
      <c r="C2535" s="52" t="s">
        <v>120</v>
      </c>
      <c r="D2535" s="54">
        <v>10</v>
      </c>
      <c r="E2535" s="55">
        <v>218388.6</v>
      </c>
      <c r="F2535" s="55">
        <v>22534.9</v>
      </c>
      <c r="G2535" s="55">
        <v>240923.5</v>
      </c>
      <c r="H2535" s="55">
        <v>4851986.9000000004</v>
      </c>
      <c r="I2535" s="55">
        <v>59152.3</v>
      </c>
      <c r="J2535" s="55">
        <v>4911139.2</v>
      </c>
      <c r="K2535" s="55">
        <v>1557671</v>
      </c>
      <c r="L2535" s="55">
        <v>17911.400000000001</v>
      </c>
      <c r="M2535" s="55">
        <v>140372.20000000001</v>
      </c>
      <c r="N2535" s="55">
        <v>25767.3</v>
      </c>
    </row>
    <row r="2536" spans="1:14" ht="10.050000000000001" customHeight="1">
      <c r="A2536" s="52" t="s">
        <v>309</v>
      </c>
      <c r="B2536" s="53">
        <v>2015</v>
      </c>
      <c r="C2536" s="52" t="s">
        <v>120</v>
      </c>
      <c r="D2536" s="54">
        <v>10</v>
      </c>
      <c r="E2536" s="55">
        <v>40865</v>
      </c>
      <c r="F2536" s="55">
        <v>0</v>
      </c>
      <c r="G2536" s="55">
        <v>40865</v>
      </c>
      <c r="H2536" s="55">
        <v>58663.3</v>
      </c>
      <c r="I2536" s="55">
        <v>0</v>
      </c>
      <c r="J2536" s="55">
        <v>58663.3</v>
      </c>
      <c r="K2536" s="55">
        <v>12102.2</v>
      </c>
      <c r="L2536" s="55">
        <v>6910.6</v>
      </c>
      <c r="M2536" s="55">
        <v>1234</v>
      </c>
      <c r="N2536" s="55">
        <v>0</v>
      </c>
    </row>
    <row r="2537" spans="1:14" ht="10.050000000000001" hidden="1" customHeight="1">
      <c r="A2537" s="52" t="s">
        <v>316</v>
      </c>
      <c r="B2537" s="53">
        <v>2015</v>
      </c>
      <c r="C2537" s="52" t="s">
        <v>120</v>
      </c>
      <c r="D2537" s="54">
        <v>10</v>
      </c>
      <c r="E2537" s="55">
        <v>7375.2</v>
      </c>
      <c r="F2537" s="55">
        <v>177.2</v>
      </c>
      <c r="G2537" s="55">
        <v>7552.4</v>
      </c>
      <c r="H2537" s="55">
        <v>8249.4</v>
      </c>
      <c r="I2537" s="55">
        <v>305.39999999999998</v>
      </c>
      <c r="J2537" s="55">
        <v>8554.7999999999993</v>
      </c>
      <c r="K2537" s="55">
        <v>416</v>
      </c>
      <c r="L2537" s="55">
        <v>659.7</v>
      </c>
      <c r="M2537" s="55">
        <v>84.5</v>
      </c>
      <c r="N2537" s="55">
        <v>182.1</v>
      </c>
    </row>
    <row r="2538" spans="1:14" ht="10.050000000000001" hidden="1" customHeight="1">
      <c r="A2538" s="52" t="s">
        <v>310</v>
      </c>
      <c r="B2538" s="53">
        <v>2015</v>
      </c>
      <c r="C2538" s="52" t="s">
        <v>120</v>
      </c>
      <c r="D2538" s="54">
        <v>10</v>
      </c>
      <c r="E2538" s="55">
        <v>1707</v>
      </c>
      <c r="F2538" s="55">
        <v>37.5</v>
      </c>
      <c r="G2538" s="55">
        <v>1744.5</v>
      </c>
      <c r="H2538" s="55">
        <v>39028.800000000003</v>
      </c>
      <c r="I2538" s="55">
        <v>2559.9</v>
      </c>
      <c r="J2538" s="55">
        <v>41588.699999999997</v>
      </c>
      <c r="K2538" s="55">
        <v>7426.9</v>
      </c>
      <c r="L2538" s="55">
        <v>119</v>
      </c>
      <c r="M2538" s="55">
        <v>1108.7</v>
      </c>
      <c r="N2538" s="55">
        <v>55.8</v>
      </c>
    </row>
    <row r="2539" spans="1:14" ht="10.050000000000001" hidden="1" customHeight="1">
      <c r="A2539" s="52" t="s">
        <v>308</v>
      </c>
      <c r="B2539" s="53">
        <v>2015</v>
      </c>
      <c r="C2539" s="52" t="s">
        <v>120</v>
      </c>
      <c r="D2539" s="54">
        <v>10</v>
      </c>
      <c r="E2539" s="55">
        <v>86538.4</v>
      </c>
      <c r="F2539" s="55">
        <v>99.1</v>
      </c>
      <c r="G2539" s="55">
        <v>86637.5</v>
      </c>
      <c r="H2539" s="55">
        <v>100323.9</v>
      </c>
      <c r="I2539" s="55">
        <v>1502.8</v>
      </c>
      <c r="J2539" s="55">
        <v>101826.7</v>
      </c>
      <c r="K2539" s="55">
        <v>22023</v>
      </c>
      <c r="L2539" s="55">
        <v>22901</v>
      </c>
      <c r="M2539" s="55">
        <v>6799.5</v>
      </c>
      <c r="N2539" s="55">
        <v>1092.9000000000001</v>
      </c>
    </row>
    <row r="2540" spans="1:14" ht="10.050000000000001" hidden="1" customHeight="1">
      <c r="A2540" s="52" t="s">
        <v>174</v>
      </c>
      <c r="B2540" s="53">
        <v>2015</v>
      </c>
      <c r="C2540" s="52" t="s">
        <v>120</v>
      </c>
      <c r="D2540" s="54">
        <v>10</v>
      </c>
      <c r="E2540" s="55">
        <v>19639.900000000001</v>
      </c>
      <c r="F2540" s="55">
        <v>6017.3</v>
      </c>
      <c r="G2540" s="55">
        <v>25657.200000000001</v>
      </c>
      <c r="H2540" s="55">
        <v>350683.4</v>
      </c>
      <c r="I2540" s="55">
        <v>23149</v>
      </c>
      <c r="J2540" s="55">
        <v>373832.4</v>
      </c>
      <c r="K2540" s="55">
        <v>160723.1</v>
      </c>
      <c r="L2540" s="55">
        <v>3021.2</v>
      </c>
      <c r="M2540" s="55">
        <v>10060.700000000001</v>
      </c>
      <c r="N2540" s="55">
        <v>9921.7999999999993</v>
      </c>
    </row>
    <row r="2541" spans="1:14" ht="10.050000000000001" hidden="1" customHeight="1">
      <c r="A2541" s="52" t="s">
        <v>314</v>
      </c>
      <c r="B2541" s="53">
        <v>2015</v>
      </c>
      <c r="C2541" s="52" t="s">
        <v>120</v>
      </c>
      <c r="D2541" s="54">
        <v>11</v>
      </c>
      <c r="E2541" s="55">
        <v>0</v>
      </c>
      <c r="F2541" s="55">
        <v>0</v>
      </c>
      <c r="G2541" s="55">
        <v>0</v>
      </c>
      <c r="H2541" s="55">
        <v>12</v>
      </c>
      <c r="I2541" s="55">
        <v>0</v>
      </c>
      <c r="J2541" s="55">
        <v>12</v>
      </c>
      <c r="K2541" s="55">
        <v>0</v>
      </c>
      <c r="L2541" s="55">
        <v>0</v>
      </c>
      <c r="M2541" s="55">
        <v>0</v>
      </c>
      <c r="N2541" s="55">
        <v>0</v>
      </c>
    </row>
    <row r="2542" spans="1:14" ht="10.050000000000001" hidden="1" customHeight="1">
      <c r="A2542" s="52" t="s">
        <v>306</v>
      </c>
      <c r="B2542" s="53">
        <v>2015</v>
      </c>
      <c r="C2542" s="52" t="s">
        <v>120</v>
      </c>
      <c r="D2542" s="54">
        <v>11</v>
      </c>
      <c r="E2542" s="55">
        <v>6320.9</v>
      </c>
      <c r="F2542" s="55">
        <v>1300.2</v>
      </c>
      <c r="G2542" s="55">
        <v>7621.1</v>
      </c>
      <c r="H2542" s="55">
        <v>107158</v>
      </c>
      <c r="I2542" s="55">
        <v>4818.2</v>
      </c>
      <c r="J2542" s="55">
        <v>111976.2</v>
      </c>
      <c r="K2542" s="55">
        <v>17472.099999999999</v>
      </c>
      <c r="L2542" s="55">
        <v>908.6</v>
      </c>
      <c r="M2542" s="55">
        <v>3469.8</v>
      </c>
      <c r="N2542" s="55">
        <v>521.79999999999995</v>
      </c>
    </row>
    <row r="2543" spans="1:14" ht="10.050000000000001" hidden="1" customHeight="1">
      <c r="A2543" s="52" t="s">
        <v>172</v>
      </c>
      <c r="B2543" s="53">
        <v>2015</v>
      </c>
      <c r="C2543" s="52" t="s">
        <v>120</v>
      </c>
      <c r="D2543" s="54">
        <v>11</v>
      </c>
      <c r="E2543" s="55">
        <v>66126.399999999994</v>
      </c>
      <c r="F2543" s="55">
        <v>1201.5</v>
      </c>
      <c r="G2543" s="55">
        <v>67327.899999999994</v>
      </c>
      <c r="H2543" s="55">
        <v>427795.7</v>
      </c>
      <c r="I2543" s="55">
        <v>14551.7</v>
      </c>
      <c r="J2543" s="55">
        <v>442347.4</v>
      </c>
      <c r="K2543" s="55">
        <v>213079.5</v>
      </c>
      <c r="L2543" s="55">
        <v>8395.6</v>
      </c>
      <c r="M2543" s="55">
        <v>40878.6</v>
      </c>
      <c r="N2543" s="55">
        <v>6688.2</v>
      </c>
    </row>
    <row r="2544" spans="1:14" ht="10.050000000000001" hidden="1" customHeight="1">
      <c r="A2544" s="52" t="s">
        <v>171</v>
      </c>
      <c r="B2544" s="53">
        <v>2015</v>
      </c>
      <c r="C2544" s="52" t="s">
        <v>120</v>
      </c>
      <c r="D2544" s="54">
        <v>11</v>
      </c>
      <c r="E2544" s="55">
        <v>1394661.4</v>
      </c>
      <c r="F2544" s="55">
        <v>54809.8</v>
      </c>
      <c r="G2544" s="55">
        <v>1449471.2</v>
      </c>
      <c r="H2544" s="55">
        <v>12114960.6</v>
      </c>
      <c r="I2544" s="55">
        <v>178718.3</v>
      </c>
      <c r="J2544" s="55">
        <v>12293678.9</v>
      </c>
      <c r="K2544" s="55">
        <v>6366002.2999999998</v>
      </c>
      <c r="L2544" s="55">
        <v>346493</v>
      </c>
      <c r="M2544" s="55">
        <v>825089.1</v>
      </c>
      <c r="N2544" s="55">
        <v>32709.7</v>
      </c>
    </row>
    <row r="2545" spans="1:14" ht="10.050000000000001" hidden="1" customHeight="1">
      <c r="A2545" s="52" t="s">
        <v>300</v>
      </c>
      <c r="B2545" s="53">
        <v>2015</v>
      </c>
      <c r="C2545" s="52" t="s">
        <v>120</v>
      </c>
      <c r="D2545" s="54">
        <v>11</v>
      </c>
      <c r="E2545" s="55">
        <v>733.3</v>
      </c>
      <c r="F2545" s="55">
        <v>122.9</v>
      </c>
      <c r="G2545" s="55">
        <v>856.2</v>
      </c>
      <c r="H2545" s="55">
        <v>6023.4</v>
      </c>
      <c r="I2545" s="55">
        <v>133.80000000000001</v>
      </c>
      <c r="J2545" s="55">
        <v>6157.2</v>
      </c>
      <c r="K2545" s="55">
        <v>23</v>
      </c>
      <c r="L2545" s="55">
        <v>20</v>
      </c>
      <c r="M2545" s="55">
        <v>2.2000000000000002</v>
      </c>
      <c r="N2545" s="55">
        <v>0</v>
      </c>
    </row>
    <row r="2546" spans="1:14" ht="10.050000000000001" hidden="1" customHeight="1">
      <c r="A2546" s="52" t="s">
        <v>307</v>
      </c>
      <c r="B2546" s="53">
        <v>2015</v>
      </c>
      <c r="C2546" s="52" t="s">
        <v>120</v>
      </c>
      <c r="D2546" s="54">
        <v>11</v>
      </c>
      <c r="E2546" s="55">
        <v>2446848.2999999998</v>
      </c>
      <c r="F2546" s="55">
        <v>49193.4</v>
      </c>
      <c r="G2546" s="55">
        <v>2496041.7000000002</v>
      </c>
      <c r="H2546" s="55">
        <v>5859603.2000000002</v>
      </c>
      <c r="I2546" s="55">
        <v>212292.8</v>
      </c>
      <c r="J2546" s="55">
        <v>6071896</v>
      </c>
      <c r="K2546" s="55">
        <v>2869569.9</v>
      </c>
      <c r="L2546" s="55">
        <v>986531.3</v>
      </c>
      <c r="M2546" s="55">
        <v>705194.2</v>
      </c>
      <c r="N2546" s="55">
        <v>124606.8</v>
      </c>
    </row>
    <row r="2547" spans="1:14" ht="10.050000000000001" hidden="1" customHeight="1">
      <c r="A2547" s="52" t="s">
        <v>315</v>
      </c>
      <c r="B2547" s="53">
        <v>2015</v>
      </c>
      <c r="C2547" s="52" t="s">
        <v>120</v>
      </c>
      <c r="D2547" s="54">
        <v>11</v>
      </c>
      <c r="E2547" s="55">
        <v>5183.2</v>
      </c>
      <c r="F2547" s="55">
        <v>0</v>
      </c>
      <c r="G2547" s="55">
        <v>5183.2</v>
      </c>
      <c r="H2547" s="55">
        <v>20505.900000000001</v>
      </c>
      <c r="I2547" s="55">
        <v>30.6</v>
      </c>
      <c r="J2547" s="55">
        <v>20536.5</v>
      </c>
      <c r="K2547" s="55">
        <v>2681</v>
      </c>
      <c r="L2547" s="55">
        <v>356.6</v>
      </c>
      <c r="M2547" s="55">
        <v>3524.4</v>
      </c>
      <c r="N2547" s="55">
        <v>19.399999999999999</v>
      </c>
    </row>
    <row r="2548" spans="1:14" ht="10.050000000000001" hidden="1" customHeight="1">
      <c r="A2548" s="52" t="s">
        <v>311</v>
      </c>
      <c r="B2548" s="53">
        <v>2015</v>
      </c>
      <c r="C2548" s="52" t="s">
        <v>120</v>
      </c>
      <c r="D2548" s="54">
        <v>11</v>
      </c>
      <c r="E2548" s="55">
        <v>0</v>
      </c>
      <c r="F2548" s="55">
        <v>0</v>
      </c>
      <c r="G2548" s="55">
        <v>0</v>
      </c>
      <c r="H2548" s="55">
        <v>246.6</v>
      </c>
      <c r="I2548" s="55">
        <v>0</v>
      </c>
      <c r="J2548" s="55">
        <v>246.6</v>
      </c>
      <c r="K2548" s="55">
        <v>58.3</v>
      </c>
      <c r="L2548" s="55">
        <v>0</v>
      </c>
      <c r="M2548" s="55">
        <v>0</v>
      </c>
      <c r="N2548" s="55">
        <v>2.2000000000000002</v>
      </c>
    </row>
    <row r="2549" spans="1:14" ht="10.050000000000001" hidden="1" customHeight="1">
      <c r="A2549" s="52" t="s">
        <v>173</v>
      </c>
      <c r="B2549" s="53">
        <v>2015</v>
      </c>
      <c r="C2549" s="52" t="s">
        <v>120</v>
      </c>
      <c r="D2549" s="54">
        <v>11</v>
      </c>
      <c r="E2549" s="55">
        <v>308028.7</v>
      </c>
      <c r="F2549" s="55">
        <v>24109.3</v>
      </c>
      <c r="G2549" s="55">
        <v>332138</v>
      </c>
      <c r="H2549" s="55">
        <v>4526374.4000000004</v>
      </c>
      <c r="I2549" s="55">
        <v>63115</v>
      </c>
      <c r="J2549" s="55">
        <v>4589489.4000000004</v>
      </c>
      <c r="K2549" s="55">
        <v>1374038.9</v>
      </c>
      <c r="L2549" s="55">
        <v>32229.1</v>
      </c>
      <c r="M2549" s="55">
        <v>199463.6</v>
      </c>
      <c r="N2549" s="55">
        <v>16429.900000000001</v>
      </c>
    </row>
    <row r="2550" spans="1:14" ht="10.050000000000001" customHeight="1">
      <c r="A2550" s="52" t="s">
        <v>309</v>
      </c>
      <c r="B2550" s="53">
        <v>2015</v>
      </c>
      <c r="C2550" s="52" t="s">
        <v>120</v>
      </c>
      <c r="D2550" s="54">
        <v>11</v>
      </c>
      <c r="E2550" s="55">
        <v>5846.9</v>
      </c>
      <c r="F2550" s="55">
        <v>0</v>
      </c>
      <c r="G2550" s="55">
        <v>5846.9</v>
      </c>
      <c r="H2550" s="55">
        <v>57950.5</v>
      </c>
      <c r="I2550" s="55">
        <v>0</v>
      </c>
      <c r="J2550" s="55">
        <v>57950.5</v>
      </c>
      <c r="K2550" s="55">
        <v>11394.4</v>
      </c>
      <c r="L2550" s="55">
        <v>212.1</v>
      </c>
      <c r="M2550" s="55">
        <v>920.1</v>
      </c>
      <c r="N2550" s="55">
        <v>0</v>
      </c>
    </row>
    <row r="2551" spans="1:14" ht="10.050000000000001" hidden="1" customHeight="1">
      <c r="A2551" s="52" t="s">
        <v>316</v>
      </c>
      <c r="B2551" s="53">
        <v>2015</v>
      </c>
      <c r="C2551" s="52" t="s">
        <v>120</v>
      </c>
      <c r="D2551" s="54">
        <v>11</v>
      </c>
      <c r="E2551" s="55">
        <v>3035.2</v>
      </c>
      <c r="F2551" s="55">
        <v>5.5</v>
      </c>
      <c r="G2551" s="55">
        <v>3040.7</v>
      </c>
      <c r="H2551" s="55">
        <v>10658.6</v>
      </c>
      <c r="I2551" s="55">
        <v>193.4</v>
      </c>
      <c r="J2551" s="55">
        <v>10852</v>
      </c>
      <c r="K2551" s="55">
        <v>643.1</v>
      </c>
      <c r="L2551" s="55">
        <v>426.5</v>
      </c>
      <c r="M2551" s="55">
        <v>182.1</v>
      </c>
      <c r="N2551" s="55">
        <v>17.2</v>
      </c>
    </row>
    <row r="2552" spans="1:14" ht="10.050000000000001" hidden="1" customHeight="1">
      <c r="A2552" s="52" t="s">
        <v>310</v>
      </c>
      <c r="B2552" s="53">
        <v>2015</v>
      </c>
      <c r="C2552" s="52" t="s">
        <v>120</v>
      </c>
      <c r="D2552" s="54">
        <v>11</v>
      </c>
      <c r="E2552" s="55">
        <v>1320.9</v>
      </c>
      <c r="F2552" s="55">
        <v>0</v>
      </c>
      <c r="G2552" s="55">
        <v>1320.9</v>
      </c>
      <c r="H2552" s="55">
        <v>35324.400000000001</v>
      </c>
      <c r="I2552" s="55">
        <v>2579.8000000000002</v>
      </c>
      <c r="J2552" s="55">
        <v>37904.199999999997</v>
      </c>
      <c r="K2552" s="55">
        <v>6484.7</v>
      </c>
      <c r="L2552" s="55">
        <v>158</v>
      </c>
      <c r="M2552" s="55">
        <v>954.5</v>
      </c>
      <c r="N2552" s="55">
        <v>145.9</v>
      </c>
    </row>
    <row r="2553" spans="1:14" ht="10.050000000000001" hidden="1" customHeight="1">
      <c r="A2553" s="52" t="s">
        <v>308</v>
      </c>
      <c r="B2553" s="53">
        <v>2015</v>
      </c>
      <c r="C2553" s="52" t="s">
        <v>120</v>
      </c>
      <c r="D2553" s="54">
        <v>11</v>
      </c>
      <c r="E2553" s="55">
        <v>29990.400000000001</v>
      </c>
      <c r="F2553" s="55">
        <v>17.2</v>
      </c>
      <c r="G2553" s="55">
        <v>30007.599999999999</v>
      </c>
      <c r="H2553" s="55">
        <v>107873</v>
      </c>
      <c r="I2553" s="55">
        <v>1497.8</v>
      </c>
      <c r="J2553" s="55">
        <v>109370.8</v>
      </c>
      <c r="K2553" s="55">
        <v>15858.8</v>
      </c>
      <c r="L2553" s="55">
        <v>6788.3</v>
      </c>
      <c r="M2553" s="55">
        <v>12011</v>
      </c>
      <c r="N2553" s="55">
        <v>959</v>
      </c>
    </row>
    <row r="2554" spans="1:14" ht="10.050000000000001" hidden="1" customHeight="1">
      <c r="A2554" s="52" t="s">
        <v>174</v>
      </c>
      <c r="B2554" s="53">
        <v>2015</v>
      </c>
      <c r="C2554" s="52" t="s">
        <v>120</v>
      </c>
      <c r="D2554" s="54">
        <v>11</v>
      </c>
      <c r="E2554" s="55">
        <v>21195.200000000001</v>
      </c>
      <c r="F2554" s="55">
        <v>4169.8999999999996</v>
      </c>
      <c r="G2554" s="55">
        <v>25365.1</v>
      </c>
      <c r="H2554" s="55">
        <v>301850.3</v>
      </c>
      <c r="I2554" s="55">
        <v>22503.9</v>
      </c>
      <c r="J2554" s="55">
        <v>324354.2</v>
      </c>
      <c r="K2554" s="55">
        <v>143108.70000000001</v>
      </c>
      <c r="L2554" s="55">
        <v>3845.7</v>
      </c>
      <c r="M2554" s="55">
        <v>12697.6</v>
      </c>
      <c r="N2554" s="55">
        <v>8774.1</v>
      </c>
    </row>
    <row r="2555" spans="1:14" ht="10.050000000000001" hidden="1" customHeight="1">
      <c r="A2555" s="52" t="s">
        <v>314</v>
      </c>
      <c r="B2555" s="53">
        <v>2015</v>
      </c>
      <c r="C2555" s="52" t="s">
        <v>120</v>
      </c>
      <c r="D2555" s="54">
        <v>12</v>
      </c>
      <c r="E2555" s="55">
        <v>0</v>
      </c>
      <c r="F2555" s="55">
        <v>0</v>
      </c>
      <c r="G2555" s="55">
        <v>0</v>
      </c>
      <c r="H2555" s="55">
        <v>12</v>
      </c>
      <c r="I2555" s="55">
        <v>0</v>
      </c>
      <c r="J2555" s="55">
        <v>12</v>
      </c>
      <c r="K2555" s="55">
        <v>0</v>
      </c>
      <c r="L2555" s="55">
        <v>0</v>
      </c>
      <c r="M2555" s="55">
        <v>0</v>
      </c>
      <c r="N2555" s="55">
        <v>0</v>
      </c>
    </row>
    <row r="2556" spans="1:14" ht="10.050000000000001" hidden="1" customHeight="1">
      <c r="A2556" s="52" t="s">
        <v>306</v>
      </c>
      <c r="B2556" s="53">
        <v>2015</v>
      </c>
      <c r="C2556" s="52" t="s">
        <v>120</v>
      </c>
      <c r="D2556" s="54">
        <v>12</v>
      </c>
      <c r="E2556" s="55">
        <v>6789.8</v>
      </c>
      <c r="F2556" s="55">
        <v>1099.2</v>
      </c>
      <c r="G2556" s="55">
        <v>7889</v>
      </c>
      <c r="H2556" s="55">
        <v>96821.7</v>
      </c>
      <c r="I2556" s="55">
        <v>5510.9</v>
      </c>
      <c r="J2556" s="55">
        <v>102332.6</v>
      </c>
      <c r="K2556" s="55">
        <v>14184.6</v>
      </c>
      <c r="L2556" s="55">
        <v>668.8</v>
      </c>
      <c r="M2556" s="55">
        <v>3456</v>
      </c>
      <c r="N2556" s="55">
        <v>502.4</v>
      </c>
    </row>
    <row r="2557" spans="1:14" ht="10.050000000000001" hidden="1" customHeight="1">
      <c r="A2557" s="52" t="s">
        <v>172</v>
      </c>
      <c r="B2557" s="53">
        <v>2015</v>
      </c>
      <c r="C2557" s="52" t="s">
        <v>120</v>
      </c>
      <c r="D2557" s="54">
        <v>12</v>
      </c>
      <c r="E2557" s="55">
        <v>49111.9</v>
      </c>
      <c r="F2557" s="55">
        <v>363.9</v>
      </c>
      <c r="G2557" s="55">
        <v>49475.8</v>
      </c>
      <c r="H2557" s="55">
        <v>400197.4</v>
      </c>
      <c r="I2557" s="55">
        <v>14385.9</v>
      </c>
      <c r="J2557" s="55">
        <v>414583.3</v>
      </c>
      <c r="K2557" s="55">
        <v>197274.2</v>
      </c>
      <c r="L2557" s="55">
        <v>9696.2999999999993</v>
      </c>
      <c r="M2557" s="55">
        <v>22915.9</v>
      </c>
      <c r="N2557" s="55">
        <v>2135.9</v>
      </c>
    </row>
    <row r="2558" spans="1:14" ht="10.050000000000001" hidden="1" customHeight="1">
      <c r="A2558" s="52" t="s">
        <v>171</v>
      </c>
      <c r="B2558" s="53">
        <v>2015</v>
      </c>
      <c r="C2558" s="52" t="s">
        <v>120</v>
      </c>
      <c r="D2558" s="54">
        <v>12</v>
      </c>
      <c r="E2558" s="55">
        <v>1294783.3</v>
      </c>
      <c r="F2558" s="55">
        <v>32702</v>
      </c>
      <c r="G2558" s="55">
        <v>1327485.3</v>
      </c>
      <c r="H2558" s="55">
        <v>10722894.6</v>
      </c>
      <c r="I2558" s="55">
        <v>173836.3</v>
      </c>
      <c r="J2558" s="55">
        <v>10896730.9</v>
      </c>
      <c r="K2558" s="55">
        <v>5990996.0999999996</v>
      </c>
      <c r="L2558" s="55">
        <v>361675.2</v>
      </c>
      <c r="M2558" s="55">
        <v>698141</v>
      </c>
      <c r="N2558" s="55">
        <v>38606.400000000001</v>
      </c>
    </row>
    <row r="2559" spans="1:14" ht="10.050000000000001" hidden="1" customHeight="1">
      <c r="A2559" s="52" t="s">
        <v>300</v>
      </c>
      <c r="B2559" s="53">
        <v>2015</v>
      </c>
      <c r="C2559" s="52" t="s">
        <v>120</v>
      </c>
      <c r="D2559" s="54">
        <v>12</v>
      </c>
      <c r="E2559" s="55">
        <v>520.9</v>
      </c>
      <c r="F2559" s="55">
        <v>0</v>
      </c>
      <c r="G2559" s="55">
        <v>520.9</v>
      </c>
      <c r="H2559" s="55">
        <v>5894.5</v>
      </c>
      <c r="I2559" s="55">
        <v>110.3</v>
      </c>
      <c r="J2559" s="55">
        <v>6004.8</v>
      </c>
      <c r="K2559" s="55">
        <v>21.1</v>
      </c>
      <c r="L2559" s="55">
        <v>1.3</v>
      </c>
      <c r="M2559" s="55">
        <v>0</v>
      </c>
      <c r="N2559" s="55">
        <v>3.3</v>
      </c>
    </row>
    <row r="2560" spans="1:14" ht="10.050000000000001" hidden="1" customHeight="1">
      <c r="A2560" s="52" t="s">
        <v>307</v>
      </c>
      <c r="B2560" s="53">
        <v>2015</v>
      </c>
      <c r="C2560" s="52" t="s">
        <v>120</v>
      </c>
      <c r="D2560" s="54">
        <v>12</v>
      </c>
      <c r="E2560" s="55">
        <v>661752.19999999995</v>
      </c>
      <c r="F2560" s="55">
        <v>14872</v>
      </c>
      <c r="G2560" s="55">
        <v>676624.2</v>
      </c>
      <c r="H2560" s="55">
        <v>5595884.5999999996</v>
      </c>
      <c r="I2560" s="55">
        <v>184573.7</v>
      </c>
      <c r="J2560" s="55">
        <v>5780458.2999999998</v>
      </c>
      <c r="K2560" s="55">
        <v>2564180.1</v>
      </c>
      <c r="L2560" s="55">
        <v>119726.1</v>
      </c>
      <c r="M2560" s="55">
        <v>321644.90000000002</v>
      </c>
      <c r="N2560" s="55">
        <v>103201.2</v>
      </c>
    </row>
    <row r="2561" spans="1:14" ht="10.050000000000001" hidden="1" customHeight="1">
      <c r="A2561" s="52" t="s">
        <v>315</v>
      </c>
      <c r="B2561" s="53">
        <v>2015</v>
      </c>
      <c r="C2561" s="52" t="s">
        <v>120</v>
      </c>
      <c r="D2561" s="54">
        <v>12</v>
      </c>
      <c r="E2561" s="55">
        <v>821.3</v>
      </c>
      <c r="F2561" s="55">
        <v>0</v>
      </c>
      <c r="G2561" s="55">
        <v>821.3</v>
      </c>
      <c r="H2561" s="55">
        <v>19049.2</v>
      </c>
      <c r="I2561" s="55">
        <v>30.6</v>
      </c>
      <c r="J2561" s="55">
        <v>19079.8</v>
      </c>
      <c r="K2561" s="55">
        <v>2116.4</v>
      </c>
      <c r="L2561" s="55">
        <v>49.1</v>
      </c>
      <c r="M2561" s="55">
        <v>606.79999999999995</v>
      </c>
      <c r="N2561" s="55">
        <v>6.8</v>
      </c>
    </row>
    <row r="2562" spans="1:14" ht="10.050000000000001" hidden="1" customHeight="1">
      <c r="A2562" s="52" t="s">
        <v>311</v>
      </c>
      <c r="B2562" s="53">
        <v>2015</v>
      </c>
      <c r="C2562" s="52" t="s">
        <v>120</v>
      </c>
      <c r="D2562" s="54">
        <v>12</v>
      </c>
      <c r="E2562" s="55">
        <v>0</v>
      </c>
      <c r="F2562" s="55">
        <v>0</v>
      </c>
      <c r="G2562" s="55">
        <v>0</v>
      </c>
      <c r="H2562" s="55">
        <v>11.6</v>
      </c>
      <c r="I2562" s="55">
        <v>0</v>
      </c>
      <c r="J2562" s="55">
        <v>11.6</v>
      </c>
      <c r="K2562" s="55">
        <v>55.3</v>
      </c>
      <c r="L2562" s="55">
        <v>0</v>
      </c>
      <c r="M2562" s="55">
        <v>0</v>
      </c>
      <c r="N2562" s="55">
        <v>3</v>
      </c>
    </row>
    <row r="2563" spans="1:14" ht="10.050000000000001" hidden="1" customHeight="1">
      <c r="A2563" s="52" t="s">
        <v>173</v>
      </c>
      <c r="B2563" s="53">
        <v>2015</v>
      </c>
      <c r="C2563" s="52" t="s">
        <v>120</v>
      </c>
      <c r="D2563" s="54">
        <v>12</v>
      </c>
      <c r="E2563" s="55">
        <v>269551.3</v>
      </c>
      <c r="F2563" s="55">
        <v>13810.2</v>
      </c>
      <c r="G2563" s="55">
        <v>283361.5</v>
      </c>
      <c r="H2563" s="55">
        <v>4146380</v>
      </c>
      <c r="I2563" s="55">
        <v>63922.3</v>
      </c>
      <c r="J2563" s="55">
        <v>4210302.3</v>
      </c>
      <c r="K2563" s="55">
        <v>1235117.3999999999</v>
      </c>
      <c r="L2563" s="55">
        <v>36542.400000000001</v>
      </c>
      <c r="M2563" s="55">
        <v>156101.20000000001</v>
      </c>
      <c r="N2563" s="55">
        <v>19329.8</v>
      </c>
    </row>
    <row r="2564" spans="1:14" ht="10.050000000000001" customHeight="1">
      <c r="A2564" s="52" t="s">
        <v>309</v>
      </c>
      <c r="B2564" s="53">
        <v>2015</v>
      </c>
      <c r="C2564" s="52" t="s">
        <v>120</v>
      </c>
      <c r="D2564" s="54">
        <v>12</v>
      </c>
      <c r="E2564" s="55">
        <v>1213</v>
      </c>
      <c r="F2564" s="55">
        <v>0</v>
      </c>
      <c r="G2564" s="55">
        <v>1213</v>
      </c>
      <c r="H2564" s="55">
        <v>54222.6</v>
      </c>
      <c r="I2564" s="55">
        <v>0</v>
      </c>
      <c r="J2564" s="55">
        <v>54222.6</v>
      </c>
      <c r="K2564" s="55">
        <v>10181.4</v>
      </c>
      <c r="L2564" s="55">
        <v>0</v>
      </c>
      <c r="M2564" s="55">
        <v>1213</v>
      </c>
      <c r="N2564" s="55">
        <v>0</v>
      </c>
    </row>
    <row r="2565" spans="1:14" ht="10.050000000000001" hidden="1" customHeight="1">
      <c r="A2565" s="52" t="s">
        <v>316</v>
      </c>
      <c r="B2565" s="53">
        <v>2015</v>
      </c>
      <c r="C2565" s="52" t="s">
        <v>120</v>
      </c>
      <c r="D2565" s="54">
        <v>12</v>
      </c>
      <c r="E2565" s="55">
        <v>942.3</v>
      </c>
      <c r="F2565" s="55">
        <v>0</v>
      </c>
      <c r="G2565" s="55">
        <v>942.3</v>
      </c>
      <c r="H2565" s="55">
        <v>10684.4</v>
      </c>
      <c r="I2565" s="55">
        <v>193.4</v>
      </c>
      <c r="J2565" s="55">
        <v>10877.8</v>
      </c>
      <c r="K2565" s="55">
        <v>377.7</v>
      </c>
      <c r="L2565" s="55">
        <v>24.1</v>
      </c>
      <c r="M2565" s="55">
        <v>288.8</v>
      </c>
      <c r="N2565" s="55">
        <v>1</v>
      </c>
    </row>
    <row r="2566" spans="1:14" ht="10.050000000000001" hidden="1" customHeight="1">
      <c r="A2566" s="52" t="s">
        <v>310</v>
      </c>
      <c r="B2566" s="53">
        <v>2015</v>
      </c>
      <c r="C2566" s="52" t="s">
        <v>120</v>
      </c>
      <c r="D2566" s="54">
        <v>12</v>
      </c>
      <c r="E2566" s="55">
        <v>1622.1</v>
      </c>
      <c r="F2566" s="55">
        <v>0</v>
      </c>
      <c r="G2566" s="55">
        <v>1622.1</v>
      </c>
      <c r="H2566" s="55">
        <v>33757.199999999997</v>
      </c>
      <c r="I2566" s="55">
        <v>2486.6</v>
      </c>
      <c r="J2566" s="55">
        <v>36243.800000000003</v>
      </c>
      <c r="K2566" s="55">
        <v>5176.3</v>
      </c>
      <c r="L2566" s="55">
        <v>36.299999999999997</v>
      </c>
      <c r="M2566" s="55">
        <v>1265.4000000000001</v>
      </c>
      <c r="N2566" s="55">
        <v>71.900000000000006</v>
      </c>
    </row>
    <row r="2567" spans="1:14" ht="10.050000000000001" hidden="1" customHeight="1">
      <c r="A2567" s="52" t="s">
        <v>308</v>
      </c>
      <c r="B2567" s="53">
        <v>2015</v>
      </c>
      <c r="C2567" s="52" t="s">
        <v>120</v>
      </c>
      <c r="D2567" s="54">
        <v>12</v>
      </c>
      <c r="E2567" s="55">
        <v>5891</v>
      </c>
      <c r="F2567" s="55">
        <v>16</v>
      </c>
      <c r="G2567" s="55">
        <v>5907</v>
      </c>
      <c r="H2567" s="55">
        <v>100494.3</v>
      </c>
      <c r="I2567" s="55">
        <v>1510.4</v>
      </c>
      <c r="J2567" s="55">
        <v>102004.7</v>
      </c>
      <c r="K2567" s="55">
        <v>13062.4</v>
      </c>
      <c r="L2567" s="55">
        <v>1259.9000000000001</v>
      </c>
      <c r="M2567" s="55">
        <v>3636.9</v>
      </c>
      <c r="N2567" s="55">
        <v>401.3</v>
      </c>
    </row>
    <row r="2568" spans="1:14" ht="10.050000000000001" hidden="1" customHeight="1">
      <c r="A2568" s="52" t="s">
        <v>174</v>
      </c>
      <c r="B2568" s="53">
        <v>2015</v>
      </c>
      <c r="C2568" s="52" t="s">
        <v>120</v>
      </c>
      <c r="D2568" s="54">
        <v>12</v>
      </c>
      <c r="E2568" s="55">
        <v>15422.1</v>
      </c>
      <c r="F2568" s="55">
        <v>2084.6999999999998</v>
      </c>
      <c r="G2568" s="55">
        <v>17506.8</v>
      </c>
      <c r="H2568" s="55">
        <v>255488</v>
      </c>
      <c r="I2568" s="55">
        <v>22104</v>
      </c>
      <c r="J2568" s="55">
        <v>277592</v>
      </c>
      <c r="K2568" s="55">
        <v>126744.6</v>
      </c>
      <c r="L2568" s="55">
        <v>2468.3000000000002</v>
      </c>
      <c r="M2568" s="55">
        <v>8824.7000000000007</v>
      </c>
      <c r="N2568" s="55">
        <v>9984.6</v>
      </c>
    </row>
    <row r="2569" spans="1:14" ht="10.050000000000001" hidden="1" customHeight="1">
      <c r="A2569" s="52" t="s">
        <v>314</v>
      </c>
      <c r="B2569" s="53">
        <v>2016</v>
      </c>
      <c r="C2569" s="52" t="s">
        <v>120</v>
      </c>
      <c r="D2569" s="54">
        <v>1</v>
      </c>
      <c r="E2569" s="55">
        <v>0</v>
      </c>
      <c r="F2569" s="55">
        <v>0</v>
      </c>
      <c r="G2569" s="55">
        <v>0</v>
      </c>
      <c r="H2569" s="55">
        <v>12</v>
      </c>
      <c r="I2569" s="55">
        <v>0</v>
      </c>
      <c r="J2569" s="55">
        <v>12</v>
      </c>
      <c r="K2569" s="55">
        <v>0</v>
      </c>
      <c r="L2569" s="55">
        <v>0</v>
      </c>
      <c r="M2569" s="55">
        <v>0</v>
      </c>
      <c r="N2569" s="55">
        <v>0</v>
      </c>
    </row>
    <row r="2570" spans="1:14" ht="10.050000000000001" hidden="1" customHeight="1">
      <c r="A2570" s="52" t="s">
        <v>306</v>
      </c>
      <c r="B2570" s="53">
        <v>2016</v>
      </c>
      <c r="C2570" s="52" t="s">
        <v>120</v>
      </c>
      <c r="D2570" s="54">
        <v>1</v>
      </c>
      <c r="E2570" s="55">
        <v>6244.5</v>
      </c>
      <c r="F2570" s="55">
        <v>713.3</v>
      </c>
      <c r="G2570" s="55">
        <v>6957.8</v>
      </c>
      <c r="H2570" s="55">
        <v>84611.9</v>
      </c>
      <c r="I2570" s="55">
        <v>5343.1</v>
      </c>
      <c r="J2570" s="55">
        <v>89955</v>
      </c>
      <c r="K2570" s="55">
        <v>10427.6</v>
      </c>
      <c r="L2570" s="55">
        <v>750.1</v>
      </c>
      <c r="M2570" s="55">
        <v>3878.4</v>
      </c>
      <c r="N2570" s="55">
        <v>626.4</v>
      </c>
    </row>
    <row r="2571" spans="1:14" ht="10.050000000000001" hidden="1" customHeight="1">
      <c r="A2571" s="52" t="s">
        <v>172</v>
      </c>
      <c r="B2571" s="53">
        <v>2016</v>
      </c>
      <c r="C2571" s="52" t="s">
        <v>120</v>
      </c>
      <c r="D2571" s="54">
        <v>1</v>
      </c>
      <c r="E2571" s="55">
        <v>75684.100000000006</v>
      </c>
      <c r="F2571" s="55">
        <v>978.6</v>
      </c>
      <c r="G2571" s="55">
        <v>76662.7</v>
      </c>
      <c r="H2571" s="55">
        <v>357320.8</v>
      </c>
      <c r="I2571" s="55">
        <v>13154.3</v>
      </c>
      <c r="J2571" s="55">
        <v>370475.1</v>
      </c>
      <c r="K2571" s="55">
        <v>160600.79999999999</v>
      </c>
      <c r="L2571" s="55">
        <v>9168.2999999999993</v>
      </c>
      <c r="M2571" s="55">
        <v>39871</v>
      </c>
      <c r="N2571" s="55">
        <v>5970.1</v>
      </c>
    </row>
    <row r="2572" spans="1:14" ht="10.050000000000001" hidden="1" customHeight="1">
      <c r="A2572" s="52" t="s">
        <v>171</v>
      </c>
      <c r="B2572" s="53">
        <v>2016</v>
      </c>
      <c r="C2572" s="52" t="s">
        <v>120</v>
      </c>
      <c r="D2572" s="54">
        <v>1</v>
      </c>
      <c r="E2572" s="55">
        <v>1787686.3</v>
      </c>
      <c r="F2572" s="55">
        <v>26882.7</v>
      </c>
      <c r="G2572" s="55">
        <v>1814569</v>
      </c>
      <c r="H2572" s="55">
        <v>9863109.8000000007</v>
      </c>
      <c r="I2572" s="55">
        <v>160396.6</v>
      </c>
      <c r="J2572" s="55">
        <v>10023506.4</v>
      </c>
      <c r="K2572" s="55">
        <v>5581523.7999999998</v>
      </c>
      <c r="L2572" s="55">
        <v>445020.3</v>
      </c>
      <c r="M2572" s="55">
        <v>824905.9</v>
      </c>
      <c r="N2572" s="55">
        <v>29777.5</v>
      </c>
    </row>
    <row r="2573" spans="1:14" ht="10.050000000000001" hidden="1" customHeight="1">
      <c r="A2573" s="52" t="s">
        <v>300</v>
      </c>
      <c r="B2573" s="53">
        <v>2016</v>
      </c>
      <c r="C2573" s="52" t="s">
        <v>120</v>
      </c>
      <c r="D2573" s="54">
        <v>1</v>
      </c>
      <c r="E2573" s="55">
        <v>535.9</v>
      </c>
      <c r="F2573" s="55">
        <v>0</v>
      </c>
      <c r="G2573" s="55">
        <v>535.9</v>
      </c>
      <c r="H2573" s="55">
        <v>6880.1</v>
      </c>
      <c r="I2573" s="55">
        <v>110.3</v>
      </c>
      <c r="J2573" s="55">
        <v>6990.4</v>
      </c>
      <c r="K2573" s="55">
        <v>22.9</v>
      </c>
      <c r="L2573" s="55">
        <v>0</v>
      </c>
      <c r="M2573" s="55">
        <v>0</v>
      </c>
      <c r="N2573" s="55">
        <v>3.4</v>
      </c>
    </row>
    <row r="2574" spans="1:14" ht="10.050000000000001" hidden="1" customHeight="1">
      <c r="A2574" s="52" t="s">
        <v>307</v>
      </c>
      <c r="B2574" s="53">
        <v>2016</v>
      </c>
      <c r="C2574" s="52" t="s">
        <v>120</v>
      </c>
      <c r="D2574" s="54">
        <v>1</v>
      </c>
      <c r="E2574" s="55">
        <v>504872.5</v>
      </c>
      <c r="F2574" s="55">
        <v>4741.8</v>
      </c>
      <c r="G2574" s="55">
        <v>509614.3</v>
      </c>
      <c r="H2574" s="55">
        <v>5192250.5</v>
      </c>
      <c r="I2574" s="55">
        <v>146026.6</v>
      </c>
      <c r="J2574" s="55">
        <v>5338277.0999999996</v>
      </c>
      <c r="K2574" s="55">
        <v>2158352</v>
      </c>
      <c r="L2574" s="55">
        <v>31236.7</v>
      </c>
      <c r="M2574" s="55">
        <v>359425.1</v>
      </c>
      <c r="N2574" s="55">
        <v>75629</v>
      </c>
    </row>
    <row r="2575" spans="1:14" ht="10.050000000000001" hidden="1" customHeight="1">
      <c r="A2575" s="52" t="s">
        <v>315</v>
      </c>
      <c r="B2575" s="53">
        <v>2016</v>
      </c>
      <c r="C2575" s="52" t="s">
        <v>120</v>
      </c>
      <c r="D2575" s="54">
        <v>1</v>
      </c>
      <c r="E2575" s="55">
        <v>615.1</v>
      </c>
      <c r="F2575" s="55">
        <v>0</v>
      </c>
      <c r="G2575" s="55">
        <v>615.1</v>
      </c>
      <c r="H2575" s="55">
        <v>15179.6</v>
      </c>
      <c r="I2575" s="55">
        <v>30.6</v>
      </c>
      <c r="J2575" s="55">
        <v>15210.2</v>
      </c>
      <c r="K2575" s="55">
        <v>1654.7</v>
      </c>
      <c r="L2575" s="55">
        <v>13.1</v>
      </c>
      <c r="M2575" s="55">
        <v>465</v>
      </c>
      <c r="N2575" s="55">
        <v>9.6999999999999993</v>
      </c>
    </row>
    <row r="2576" spans="1:14" ht="10.050000000000001" hidden="1" customHeight="1">
      <c r="A2576" s="52" t="s">
        <v>311</v>
      </c>
      <c r="B2576" s="53">
        <v>2016</v>
      </c>
      <c r="C2576" s="52" t="s">
        <v>120</v>
      </c>
      <c r="D2576" s="54">
        <v>1</v>
      </c>
      <c r="E2576" s="55">
        <v>5.2</v>
      </c>
      <c r="F2576" s="55">
        <v>0</v>
      </c>
      <c r="G2576" s="55">
        <v>5.2</v>
      </c>
      <c r="H2576" s="55">
        <v>11.6</v>
      </c>
      <c r="I2576" s="55">
        <v>0</v>
      </c>
      <c r="J2576" s="55">
        <v>11.6</v>
      </c>
      <c r="K2576" s="55">
        <v>50.3</v>
      </c>
      <c r="L2576" s="55">
        <v>0</v>
      </c>
      <c r="M2576" s="55">
        <v>0</v>
      </c>
      <c r="N2576" s="55">
        <v>5</v>
      </c>
    </row>
    <row r="2577" spans="1:14" ht="10.050000000000001" hidden="1" customHeight="1">
      <c r="A2577" s="52" t="s">
        <v>173</v>
      </c>
      <c r="B2577" s="53">
        <v>2016</v>
      </c>
      <c r="C2577" s="52" t="s">
        <v>120</v>
      </c>
      <c r="D2577" s="54">
        <v>1</v>
      </c>
      <c r="E2577" s="55">
        <v>365454.3</v>
      </c>
      <c r="F2577" s="55">
        <v>15089.5</v>
      </c>
      <c r="G2577" s="55">
        <v>380543.8</v>
      </c>
      <c r="H2577" s="55">
        <v>3665370.6</v>
      </c>
      <c r="I2577" s="55">
        <v>55205.9</v>
      </c>
      <c r="J2577" s="55">
        <v>3720576.5</v>
      </c>
      <c r="K2577" s="55">
        <v>1060967</v>
      </c>
      <c r="L2577" s="55">
        <v>53661.2</v>
      </c>
      <c r="M2577" s="55">
        <v>202951</v>
      </c>
      <c r="N2577" s="55">
        <v>24861.200000000001</v>
      </c>
    </row>
    <row r="2578" spans="1:14" ht="10.050000000000001" customHeight="1">
      <c r="A2578" s="52" t="s">
        <v>309</v>
      </c>
      <c r="B2578" s="53">
        <v>2016</v>
      </c>
      <c r="C2578" s="52" t="s">
        <v>120</v>
      </c>
      <c r="D2578" s="54">
        <v>1</v>
      </c>
      <c r="E2578" s="55">
        <v>2773.9</v>
      </c>
      <c r="F2578" s="55">
        <v>0</v>
      </c>
      <c r="G2578" s="55">
        <v>2773.9</v>
      </c>
      <c r="H2578" s="55">
        <v>49268.4</v>
      </c>
      <c r="I2578" s="55">
        <v>0</v>
      </c>
      <c r="J2578" s="55">
        <v>49268.4</v>
      </c>
      <c r="K2578" s="55">
        <v>7997.1</v>
      </c>
      <c r="L2578" s="55">
        <v>282.10000000000002</v>
      </c>
      <c r="M2578" s="55">
        <v>1638.8</v>
      </c>
      <c r="N2578" s="55">
        <v>827.4</v>
      </c>
    </row>
    <row r="2579" spans="1:14" ht="10.050000000000001" hidden="1" customHeight="1">
      <c r="A2579" s="52" t="s">
        <v>316</v>
      </c>
      <c r="B2579" s="53">
        <v>2016</v>
      </c>
      <c r="C2579" s="52" t="s">
        <v>120</v>
      </c>
      <c r="D2579" s="54">
        <v>1</v>
      </c>
      <c r="E2579" s="55">
        <v>335.7</v>
      </c>
      <c r="F2579" s="55">
        <v>0</v>
      </c>
      <c r="G2579" s="55">
        <v>335.7</v>
      </c>
      <c r="H2579" s="55">
        <v>9905.7000000000007</v>
      </c>
      <c r="I2579" s="55">
        <v>261.2</v>
      </c>
      <c r="J2579" s="55">
        <v>10166.9</v>
      </c>
      <c r="K2579" s="55">
        <v>212.6</v>
      </c>
      <c r="L2579" s="55">
        <v>27.9</v>
      </c>
      <c r="M2579" s="55">
        <v>116.9</v>
      </c>
      <c r="N2579" s="55">
        <v>76</v>
      </c>
    </row>
    <row r="2580" spans="1:14" ht="10.050000000000001" hidden="1" customHeight="1">
      <c r="A2580" s="52" t="s">
        <v>310</v>
      </c>
      <c r="B2580" s="53">
        <v>2016</v>
      </c>
      <c r="C2580" s="52" t="s">
        <v>120</v>
      </c>
      <c r="D2580" s="54">
        <v>1</v>
      </c>
      <c r="E2580" s="55">
        <v>1407.7</v>
      </c>
      <c r="F2580" s="55">
        <v>0</v>
      </c>
      <c r="G2580" s="55">
        <v>1407.7</v>
      </c>
      <c r="H2580" s="55">
        <v>28586.5</v>
      </c>
      <c r="I2580" s="55">
        <v>2596.9</v>
      </c>
      <c r="J2580" s="55">
        <v>31183.4</v>
      </c>
      <c r="K2580" s="55">
        <v>4479.5</v>
      </c>
      <c r="L2580" s="55">
        <v>72</v>
      </c>
      <c r="M2580" s="55">
        <v>700.6</v>
      </c>
      <c r="N2580" s="55">
        <v>68.2</v>
      </c>
    </row>
    <row r="2581" spans="1:14" ht="10.050000000000001" hidden="1" customHeight="1">
      <c r="A2581" s="52" t="s">
        <v>308</v>
      </c>
      <c r="B2581" s="53">
        <v>2016</v>
      </c>
      <c r="C2581" s="52" t="s">
        <v>120</v>
      </c>
      <c r="D2581" s="54">
        <v>1</v>
      </c>
      <c r="E2581" s="55">
        <v>3095.9</v>
      </c>
      <c r="F2581" s="55">
        <v>99.9</v>
      </c>
      <c r="G2581" s="55">
        <v>3195.8</v>
      </c>
      <c r="H2581" s="55">
        <v>88426.5</v>
      </c>
      <c r="I2581" s="55">
        <v>1669.6</v>
      </c>
      <c r="J2581" s="55">
        <v>90096.1</v>
      </c>
      <c r="K2581" s="55">
        <v>10114.9</v>
      </c>
      <c r="L2581" s="55">
        <v>17.600000000000001</v>
      </c>
      <c r="M2581" s="55">
        <v>2651.5</v>
      </c>
      <c r="N2581" s="55">
        <v>313.7</v>
      </c>
    </row>
    <row r="2582" spans="1:14" ht="10.050000000000001" hidden="1" customHeight="1">
      <c r="A2582" s="52" t="s">
        <v>174</v>
      </c>
      <c r="B2582" s="53">
        <v>2016</v>
      </c>
      <c r="C2582" s="52" t="s">
        <v>120</v>
      </c>
      <c r="D2582" s="54">
        <v>1</v>
      </c>
      <c r="E2582" s="55">
        <v>14295.8</v>
      </c>
      <c r="F2582" s="55">
        <v>1180.3</v>
      </c>
      <c r="G2582" s="55">
        <v>15476.1</v>
      </c>
      <c r="H2582" s="55">
        <v>213029.4</v>
      </c>
      <c r="I2582" s="55">
        <v>19109</v>
      </c>
      <c r="J2582" s="55">
        <v>232138.4</v>
      </c>
      <c r="K2582" s="55">
        <v>113215.8</v>
      </c>
      <c r="L2582" s="55">
        <v>1890.9</v>
      </c>
      <c r="M2582" s="55">
        <v>7011.1</v>
      </c>
      <c r="N2582" s="55">
        <v>8403.9</v>
      </c>
    </row>
    <row r="2583" spans="1:14" ht="10.050000000000001" hidden="1" customHeight="1">
      <c r="A2583" s="52" t="s">
        <v>314</v>
      </c>
      <c r="B2583" s="53">
        <v>2016</v>
      </c>
      <c r="C2583" s="52" t="s">
        <v>120</v>
      </c>
      <c r="D2583" s="54">
        <v>2</v>
      </c>
      <c r="E2583" s="55">
        <v>0</v>
      </c>
      <c r="F2583" s="55">
        <v>0</v>
      </c>
      <c r="G2583" s="55">
        <v>0</v>
      </c>
      <c r="H2583" s="55">
        <v>12</v>
      </c>
      <c r="I2583" s="55">
        <v>0</v>
      </c>
      <c r="J2583" s="55">
        <v>12</v>
      </c>
      <c r="K2583" s="55">
        <v>0</v>
      </c>
      <c r="L2583" s="55">
        <v>0</v>
      </c>
      <c r="M2583" s="55">
        <v>0</v>
      </c>
      <c r="N2583" s="55">
        <v>0</v>
      </c>
    </row>
    <row r="2584" spans="1:14" ht="10.050000000000001" hidden="1" customHeight="1">
      <c r="A2584" s="52" t="s">
        <v>306</v>
      </c>
      <c r="B2584" s="53">
        <v>2016</v>
      </c>
      <c r="C2584" s="52" t="s">
        <v>120</v>
      </c>
      <c r="D2584" s="54">
        <v>2</v>
      </c>
      <c r="E2584" s="55">
        <v>4747.3</v>
      </c>
      <c r="F2584" s="55">
        <v>509.9</v>
      </c>
      <c r="G2584" s="55">
        <v>5257.2</v>
      </c>
      <c r="H2584" s="55">
        <v>75842</v>
      </c>
      <c r="I2584" s="55">
        <v>4838.8</v>
      </c>
      <c r="J2584" s="55">
        <v>80680.800000000003</v>
      </c>
      <c r="K2584" s="55">
        <v>8633.5000000000091</v>
      </c>
      <c r="L2584" s="55">
        <v>716.8</v>
      </c>
      <c r="M2584" s="55">
        <v>1876.4</v>
      </c>
      <c r="N2584" s="55">
        <v>634.29999999999995</v>
      </c>
    </row>
    <row r="2585" spans="1:14" ht="10.050000000000001" hidden="1" customHeight="1">
      <c r="A2585" s="52" t="s">
        <v>172</v>
      </c>
      <c r="B2585" s="53">
        <v>2016</v>
      </c>
      <c r="C2585" s="52" t="s">
        <v>120</v>
      </c>
      <c r="D2585" s="54">
        <v>2</v>
      </c>
      <c r="E2585" s="55">
        <v>94940.6</v>
      </c>
      <c r="F2585" s="55">
        <v>74.900000000000006</v>
      </c>
      <c r="G2585" s="55">
        <v>95015.5</v>
      </c>
      <c r="H2585" s="55">
        <v>314047.8</v>
      </c>
      <c r="I2585" s="55">
        <v>13001.5</v>
      </c>
      <c r="J2585" s="55">
        <v>327049.3</v>
      </c>
      <c r="K2585" s="55">
        <v>117837.7</v>
      </c>
      <c r="L2585" s="55">
        <v>6445.6</v>
      </c>
      <c r="M2585" s="55">
        <v>44760</v>
      </c>
      <c r="N2585" s="55">
        <v>4449.2</v>
      </c>
    </row>
    <row r="2586" spans="1:14" ht="10.050000000000001" hidden="1" customHeight="1">
      <c r="A2586" s="52" t="s">
        <v>171</v>
      </c>
      <c r="B2586" s="53">
        <v>2016</v>
      </c>
      <c r="C2586" s="52" t="s">
        <v>120</v>
      </c>
      <c r="D2586" s="54">
        <v>2</v>
      </c>
      <c r="E2586" s="55">
        <v>2022101.1</v>
      </c>
      <c r="F2586" s="55">
        <v>20053.599999999999</v>
      </c>
      <c r="G2586" s="55">
        <v>2042154.7</v>
      </c>
      <c r="H2586" s="55">
        <v>8576392.4000000004</v>
      </c>
      <c r="I2586" s="55">
        <v>142092</v>
      </c>
      <c r="J2586" s="55">
        <v>8718484.4000000004</v>
      </c>
      <c r="K2586" s="55">
        <v>4645775</v>
      </c>
      <c r="L2586" s="55">
        <v>352147.1</v>
      </c>
      <c r="M2586" s="55">
        <v>1229243</v>
      </c>
      <c r="N2586" s="55">
        <v>58608.4</v>
      </c>
    </row>
    <row r="2587" spans="1:14" ht="10.050000000000001" hidden="1" customHeight="1">
      <c r="A2587" s="52" t="s">
        <v>300</v>
      </c>
      <c r="B2587" s="53">
        <v>2016</v>
      </c>
      <c r="C2587" s="52" t="s">
        <v>120</v>
      </c>
      <c r="D2587" s="54">
        <v>2</v>
      </c>
      <c r="E2587" s="55">
        <v>605.9</v>
      </c>
      <c r="F2587" s="55">
        <v>0</v>
      </c>
      <c r="G2587" s="55">
        <v>605.9</v>
      </c>
      <c r="H2587" s="55">
        <v>5551.2</v>
      </c>
      <c r="I2587" s="55">
        <v>112.4</v>
      </c>
      <c r="J2587" s="55">
        <v>5663.6</v>
      </c>
      <c r="K2587" s="55">
        <v>17.7</v>
      </c>
      <c r="L2587" s="55">
        <v>0</v>
      </c>
      <c r="M2587" s="55">
        <v>0</v>
      </c>
      <c r="N2587" s="55">
        <v>0</v>
      </c>
    </row>
    <row r="2588" spans="1:14" ht="10.050000000000001" hidden="1" customHeight="1">
      <c r="A2588" s="52" t="s">
        <v>307</v>
      </c>
      <c r="B2588" s="53">
        <v>2016</v>
      </c>
      <c r="C2588" s="52" t="s">
        <v>120</v>
      </c>
      <c r="D2588" s="54">
        <v>2</v>
      </c>
      <c r="E2588" s="55">
        <v>366209.6</v>
      </c>
      <c r="F2588" s="55">
        <v>2079.8000000000002</v>
      </c>
      <c r="G2588" s="55">
        <v>368289.4</v>
      </c>
      <c r="H2588" s="55">
        <v>4563979</v>
      </c>
      <c r="I2588" s="55">
        <v>106912.7</v>
      </c>
      <c r="J2588" s="55">
        <v>4670891.7</v>
      </c>
      <c r="K2588" s="55">
        <v>1906533.3</v>
      </c>
      <c r="L2588" s="55">
        <v>36285.699999999997</v>
      </c>
      <c r="M2588" s="55">
        <v>227382.2</v>
      </c>
      <c r="N2588" s="55">
        <v>60722</v>
      </c>
    </row>
    <row r="2589" spans="1:14" ht="10.050000000000001" hidden="1" customHeight="1">
      <c r="A2589" s="52" t="s">
        <v>315</v>
      </c>
      <c r="B2589" s="53">
        <v>2016</v>
      </c>
      <c r="C2589" s="52" t="s">
        <v>120</v>
      </c>
      <c r="D2589" s="54">
        <v>2</v>
      </c>
      <c r="E2589" s="55">
        <v>643.29999999999995</v>
      </c>
      <c r="F2589" s="55">
        <v>0</v>
      </c>
      <c r="G2589" s="55">
        <v>643.29999999999995</v>
      </c>
      <c r="H2589" s="55">
        <v>13650.1</v>
      </c>
      <c r="I2589" s="55">
        <v>30.6</v>
      </c>
      <c r="J2589" s="55">
        <v>13680.7</v>
      </c>
      <c r="K2589" s="55">
        <v>1310.5</v>
      </c>
      <c r="L2589" s="55">
        <v>31.7</v>
      </c>
      <c r="M2589" s="55">
        <v>365.8</v>
      </c>
      <c r="N2589" s="55">
        <v>10.199999999999999</v>
      </c>
    </row>
    <row r="2590" spans="1:14" ht="10.050000000000001" hidden="1" customHeight="1">
      <c r="A2590" s="52" t="s">
        <v>311</v>
      </c>
      <c r="B2590" s="53">
        <v>2016</v>
      </c>
      <c r="C2590" s="52" t="s">
        <v>120</v>
      </c>
      <c r="D2590" s="54">
        <v>2</v>
      </c>
      <c r="E2590" s="55">
        <v>12.1</v>
      </c>
      <c r="F2590" s="55">
        <v>0</v>
      </c>
      <c r="G2590" s="55">
        <v>12.1</v>
      </c>
      <c r="H2590" s="55">
        <v>11.6</v>
      </c>
      <c r="I2590" s="55">
        <v>0</v>
      </c>
      <c r="J2590" s="55">
        <v>11.6</v>
      </c>
      <c r="K2590" s="55">
        <v>44.7</v>
      </c>
      <c r="L2590" s="55">
        <v>0</v>
      </c>
      <c r="M2590" s="55">
        <v>0</v>
      </c>
      <c r="N2590" s="55">
        <v>5.6</v>
      </c>
    </row>
    <row r="2591" spans="1:14" ht="10.050000000000001" hidden="1" customHeight="1">
      <c r="A2591" s="52" t="s">
        <v>173</v>
      </c>
      <c r="B2591" s="53">
        <v>2016</v>
      </c>
      <c r="C2591" s="52" t="s">
        <v>120</v>
      </c>
      <c r="D2591" s="54">
        <v>2</v>
      </c>
      <c r="E2591" s="55">
        <v>397400.1</v>
      </c>
      <c r="F2591" s="55">
        <v>8493.4000000000106</v>
      </c>
      <c r="G2591" s="55">
        <v>405893.5</v>
      </c>
      <c r="H2591" s="55">
        <v>3107958.1</v>
      </c>
      <c r="I2591" s="55">
        <v>49320.5</v>
      </c>
      <c r="J2591" s="55">
        <v>3157278.6</v>
      </c>
      <c r="K2591" s="55">
        <v>828016.3</v>
      </c>
      <c r="L2591" s="55">
        <v>28549.3</v>
      </c>
      <c r="M2591" s="55">
        <v>238545.3</v>
      </c>
      <c r="N2591" s="55">
        <v>22956.7</v>
      </c>
    </row>
    <row r="2592" spans="1:14" ht="10.050000000000001" customHeight="1">
      <c r="A2592" s="52" t="s">
        <v>309</v>
      </c>
      <c r="B2592" s="53">
        <v>2016</v>
      </c>
      <c r="C2592" s="52" t="s">
        <v>120</v>
      </c>
      <c r="D2592" s="54">
        <v>2</v>
      </c>
      <c r="E2592" s="55">
        <v>450.8</v>
      </c>
      <c r="F2592" s="55">
        <v>0</v>
      </c>
      <c r="G2592" s="55">
        <v>450.8</v>
      </c>
      <c r="H2592" s="55">
        <v>45225.7</v>
      </c>
      <c r="I2592" s="55">
        <v>0</v>
      </c>
      <c r="J2592" s="55">
        <v>45225.7</v>
      </c>
      <c r="K2592" s="55">
        <v>7387.8</v>
      </c>
      <c r="L2592" s="55">
        <v>0</v>
      </c>
      <c r="M2592" s="55">
        <v>145.5</v>
      </c>
      <c r="N2592" s="55">
        <v>463.9</v>
      </c>
    </row>
    <row r="2593" spans="1:14" ht="10.050000000000001" hidden="1" customHeight="1">
      <c r="A2593" s="52" t="s">
        <v>316</v>
      </c>
      <c r="B2593" s="53">
        <v>2016</v>
      </c>
      <c r="C2593" s="52" t="s">
        <v>120</v>
      </c>
      <c r="D2593" s="54">
        <v>2</v>
      </c>
      <c r="E2593" s="55">
        <v>277.2</v>
      </c>
      <c r="F2593" s="55">
        <v>0</v>
      </c>
      <c r="G2593" s="55">
        <v>277.2</v>
      </c>
      <c r="H2593" s="55">
        <v>9091.2999999999993</v>
      </c>
      <c r="I2593" s="55">
        <v>91.5</v>
      </c>
      <c r="J2593" s="55">
        <v>9182.7999999999993</v>
      </c>
      <c r="K2593" s="55">
        <v>194.2</v>
      </c>
      <c r="L2593" s="55">
        <v>3.5</v>
      </c>
      <c r="M2593" s="55">
        <v>21.9</v>
      </c>
      <c r="N2593" s="55">
        <v>0</v>
      </c>
    </row>
    <row r="2594" spans="1:14" ht="10.050000000000001" hidden="1" customHeight="1">
      <c r="A2594" s="52" t="s">
        <v>310</v>
      </c>
      <c r="B2594" s="53">
        <v>2016</v>
      </c>
      <c r="C2594" s="52" t="s">
        <v>120</v>
      </c>
      <c r="D2594" s="54">
        <v>2</v>
      </c>
      <c r="E2594" s="55">
        <v>1888.8</v>
      </c>
      <c r="F2594" s="55">
        <v>0</v>
      </c>
      <c r="G2594" s="55">
        <v>1888.8</v>
      </c>
      <c r="H2594" s="55">
        <v>25920.3</v>
      </c>
      <c r="I2594" s="55">
        <v>2600.6999999999998</v>
      </c>
      <c r="J2594" s="55">
        <v>28521</v>
      </c>
      <c r="K2594" s="55">
        <v>3631</v>
      </c>
      <c r="L2594" s="55">
        <v>110.7</v>
      </c>
      <c r="M2594" s="55">
        <v>881.4</v>
      </c>
      <c r="N2594" s="55">
        <v>78</v>
      </c>
    </row>
    <row r="2595" spans="1:14" ht="10.050000000000001" hidden="1" customHeight="1">
      <c r="A2595" s="52" t="s">
        <v>308</v>
      </c>
      <c r="B2595" s="53">
        <v>2016</v>
      </c>
      <c r="C2595" s="52" t="s">
        <v>120</v>
      </c>
      <c r="D2595" s="54">
        <v>2</v>
      </c>
      <c r="E2595" s="55">
        <v>2812.2</v>
      </c>
      <c r="F2595" s="55">
        <v>180.3</v>
      </c>
      <c r="G2595" s="55">
        <v>2992.5</v>
      </c>
      <c r="H2595" s="55">
        <v>77230.399999999994</v>
      </c>
      <c r="I2595" s="55">
        <v>1594.3</v>
      </c>
      <c r="J2595" s="55">
        <v>78824.7</v>
      </c>
      <c r="K2595" s="55">
        <v>8177.4</v>
      </c>
      <c r="L2595" s="55">
        <v>13.9</v>
      </c>
      <c r="M2595" s="55">
        <v>1599.3</v>
      </c>
      <c r="N2595" s="55">
        <v>352.2</v>
      </c>
    </row>
    <row r="2596" spans="1:14" ht="10.050000000000001" hidden="1" customHeight="1">
      <c r="A2596" s="52" t="s">
        <v>174</v>
      </c>
      <c r="B2596" s="53">
        <v>2016</v>
      </c>
      <c r="C2596" s="52" t="s">
        <v>120</v>
      </c>
      <c r="D2596" s="54">
        <v>2</v>
      </c>
      <c r="E2596" s="55">
        <v>14361.3</v>
      </c>
      <c r="F2596" s="55">
        <v>372.7</v>
      </c>
      <c r="G2596" s="55">
        <v>14734</v>
      </c>
      <c r="H2596" s="55">
        <v>170773.5</v>
      </c>
      <c r="I2596" s="55">
        <v>17918.900000000001</v>
      </c>
      <c r="J2596" s="55">
        <v>188692.4</v>
      </c>
      <c r="K2596" s="55">
        <v>96370.8</v>
      </c>
      <c r="L2596" s="55">
        <v>1764.4</v>
      </c>
      <c r="M2596" s="55">
        <v>8398.9</v>
      </c>
      <c r="N2596" s="55">
        <v>10210.9</v>
      </c>
    </row>
    <row r="2597" spans="1:14" ht="10.050000000000001" hidden="1" customHeight="1">
      <c r="A2597" s="52" t="s">
        <v>314</v>
      </c>
      <c r="B2597" s="53">
        <v>2016</v>
      </c>
      <c r="C2597" s="52" t="s">
        <v>120</v>
      </c>
      <c r="D2597" s="54">
        <v>3</v>
      </c>
      <c r="E2597" s="55">
        <v>0</v>
      </c>
      <c r="F2597" s="55">
        <v>0</v>
      </c>
      <c r="G2597" s="55">
        <v>0</v>
      </c>
      <c r="H2597" s="55">
        <v>12.3</v>
      </c>
      <c r="I2597" s="55">
        <v>0</v>
      </c>
      <c r="J2597" s="55">
        <v>12.3</v>
      </c>
      <c r="K2597" s="55">
        <v>0</v>
      </c>
      <c r="L2597" s="55">
        <v>0</v>
      </c>
      <c r="M2597" s="55">
        <v>0</v>
      </c>
      <c r="N2597" s="55">
        <v>0</v>
      </c>
    </row>
    <row r="2598" spans="1:14" ht="10.050000000000001" hidden="1" customHeight="1">
      <c r="A2598" s="52" t="s">
        <v>306</v>
      </c>
      <c r="B2598" s="53">
        <v>2016</v>
      </c>
      <c r="C2598" s="52" t="s">
        <v>120</v>
      </c>
      <c r="D2598" s="54">
        <v>3</v>
      </c>
      <c r="E2598" s="55">
        <v>5067.2</v>
      </c>
      <c r="F2598" s="55">
        <v>367.5</v>
      </c>
      <c r="G2598" s="55">
        <v>5434.7</v>
      </c>
      <c r="H2598" s="55">
        <v>63335</v>
      </c>
      <c r="I2598" s="55">
        <v>3510.8</v>
      </c>
      <c r="J2598" s="55">
        <v>66845.8</v>
      </c>
      <c r="K2598" s="55">
        <v>6351</v>
      </c>
      <c r="L2598" s="55">
        <v>664.3</v>
      </c>
      <c r="M2598" s="55">
        <v>2287.9</v>
      </c>
      <c r="N2598" s="55">
        <v>643.6</v>
      </c>
    </row>
    <row r="2599" spans="1:14" ht="10.050000000000001" hidden="1" customHeight="1">
      <c r="A2599" s="52" t="s">
        <v>172</v>
      </c>
      <c r="B2599" s="53">
        <v>2016</v>
      </c>
      <c r="C2599" s="52" t="s">
        <v>120</v>
      </c>
      <c r="D2599" s="54">
        <v>3</v>
      </c>
      <c r="E2599" s="55">
        <v>92013</v>
      </c>
      <c r="F2599" s="55">
        <v>1785.6</v>
      </c>
      <c r="G2599" s="55">
        <v>93798.6</v>
      </c>
      <c r="H2599" s="55">
        <v>296676</v>
      </c>
      <c r="I2599" s="55">
        <v>11847.2</v>
      </c>
      <c r="J2599" s="55">
        <v>308523.2</v>
      </c>
      <c r="K2599" s="55">
        <v>75721.399999999994</v>
      </c>
      <c r="L2599" s="55">
        <v>5014</v>
      </c>
      <c r="M2599" s="55">
        <v>39904.400000000001</v>
      </c>
      <c r="N2599" s="55">
        <v>6677.7</v>
      </c>
    </row>
    <row r="2600" spans="1:14" ht="10.050000000000001" hidden="1" customHeight="1">
      <c r="A2600" s="52" t="s">
        <v>171</v>
      </c>
      <c r="B2600" s="53">
        <v>2016</v>
      </c>
      <c r="C2600" s="52" t="s">
        <v>120</v>
      </c>
      <c r="D2600" s="54">
        <v>3</v>
      </c>
      <c r="E2600" s="55">
        <v>2285217</v>
      </c>
      <c r="F2600" s="55">
        <v>7541.2</v>
      </c>
      <c r="G2600" s="55">
        <v>2292758.2000000002</v>
      </c>
      <c r="H2600" s="55">
        <v>7089668.9000000004</v>
      </c>
      <c r="I2600" s="55">
        <v>133644.4</v>
      </c>
      <c r="J2600" s="55">
        <v>7223313.2999999998</v>
      </c>
      <c r="K2600" s="55">
        <v>3331129</v>
      </c>
      <c r="L2600" s="55">
        <v>298829.59999999998</v>
      </c>
      <c r="M2600" s="55">
        <v>1543328.8</v>
      </c>
      <c r="N2600" s="55">
        <v>67066.399999999994</v>
      </c>
    </row>
    <row r="2601" spans="1:14" ht="10.050000000000001" hidden="1" customHeight="1">
      <c r="A2601" s="52" t="s">
        <v>300</v>
      </c>
      <c r="B2601" s="53">
        <v>2016</v>
      </c>
      <c r="C2601" s="52" t="s">
        <v>120</v>
      </c>
      <c r="D2601" s="54">
        <v>3</v>
      </c>
      <c r="E2601" s="55">
        <v>571.20000000000005</v>
      </c>
      <c r="F2601" s="55">
        <v>0</v>
      </c>
      <c r="G2601" s="55">
        <v>571.20000000000005</v>
      </c>
      <c r="H2601" s="55">
        <v>4871.8999999999996</v>
      </c>
      <c r="I2601" s="55">
        <v>111.8</v>
      </c>
      <c r="J2601" s="55">
        <v>4983.7</v>
      </c>
      <c r="K2601" s="55">
        <v>16.3</v>
      </c>
      <c r="L2601" s="55">
        <v>0</v>
      </c>
      <c r="M2601" s="55">
        <v>0</v>
      </c>
      <c r="N2601" s="55">
        <v>1.4</v>
      </c>
    </row>
    <row r="2602" spans="1:14" ht="10.050000000000001" hidden="1" customHeight="1">
      <c r="A2602" s="52" t="s">
        <v>307</v>
      </c>
      <c r="B2602" s="53">
        <v>2016</v>
      </c>
      <c r="C2602" s="52" t="s">
        <v>120</v>
      </c>
      <c r="D2602" s="54">
        <v>3</v>
      </c>
      <c r="E2602" s="55">
        <v>477164.6</v>
      </c>
      <c r="F2602" s="55">
        <v>42</v>
      </c>
      <c r="G2602" s="55">
        <v>477206.6</v>
      </c>
      <c r="H2602" s="55">
        <v>3945953.2</v>
      </c>
      <c r="I2602" s="55">
        <v>97124.1</v>
      </c>
      <c r="J2602" s="55">
        <v>4043077.3</v>
      </c>
      <c r="K2602" s="55">
        <v>1576608.5</v>
      </c>
      <c r="L2602" s="55">
        <v>37032.5</v>
      </c>
      <c r="M2602" s="55">
        <v>299755.7</v>
      </c>
      <c r="N2602" s="55">
        <v>66398.100000000006</v>
      </c>
    </row>
    <row r="2603" spans="1:14" ht="10.050000000000001" hidden="1" customHeight="1">
      <c r="A2603" s="52" t="s">
        <v>315</v>
      </c>
      <c r="B2603" s="53">
        <v>2016</v>
      </c>
      <c r="C2603" s="52" t="s">
        <v>120</v>
      </c>
      <c r="D2603" s="54">
        <v>3</v>
      </c>
      <c r="E2603" s="55">
        <v>653.29999999999995</v>
      </c>
      <c r="F2603" s="55">
        <v>0</v>
      </c>
      <c r="G2603" s="55">
        <v>653.29999999999995</v>
      </c>
      <c r="H2603" s="55">
        <v>12336.6</v>
      </c>
      <c r="I2603" s="55">
        <v>30.6</v>
      </c>
      <c r="J2603" s="55">
        <v>12367.2</v>
      </c>
      <c r="K2603" s="55">
        <v>975.9</v>
      </c>
      <c r="L2603" s="55">
        <v>66.2</v>
      </c>
      <c r="M2603" s="55">
        <v>393.7</v>
      </c>
      <c r="N2603" s="55">
        <v>7</v>
      </c>
    </row>
    <row r="2604" spans="1:14" ht="10.050000000000001" hidden="1" customHeight="1">
      <c r="A2604" s="52" t="s">
        <v>311</v>
      </c>
      <c r="B2604" s="53">
        <v>2016</v>
      </c>
      <c r="C2604" s="52" t="s">
        <v>120</v>
      </c>
      <c r="D2604" s="54">
        <v>3</v>
      </c>
      <c r="E2604" s="55">
        <v>0</v>
      </c>
      <c r="F2604" s="55">
        <v>0</v>
      </c>
      <c r="G2604" s="55">
        <v>0</v>
      </c>
      <c r="H2604" s="55">
        <v>0.3</v>
      </c>
      <c r="I2604" s="55">
        <v>0</v>
      </c>
      <c r="J2604" s="55">
        <v>0.3</v>
      </c>
      <c r="K2604" s="55">
        <v>38.700000000000003</v>
      </c>
      <c r="L2604" s="55">
        <v>0</v>
      </c>
      <c r="M2604" s="55">
        <v>0</v>
      </c>
      <c r="N2604" s="55">
        <v>6</v>
      </c>
    </row>
    <row r="2605" spans="1:14" ht="10.050000000000001" hidden="1" customHeight="1">
      <c r="A2605" s="52" t="s">
        <v>173</v>
      </c>
      <c r="B2605" s="53">
        <v>2016</v>
      </c>
      <c r="C2605" s="52" t="s">
        <v>120</v>
      </c>
      <c r="D2605" s="54">
        <v>3</v>
      </c>
      <c r="E2605" s="55">
        <v>392790.6</v>
      </c>
      <c r="F2605" s="55">
        <v>11478.9</v>
      </c>
      <c r="G2605" s="55">
        <v>404269.5</v>
      </c>
      <c r="H2605" s="55">
        <v>2653940.7000000002</v>
      </c>
      <c r="I2605" s="55">
        <v>43925.1</v>
      </c>
      <c r="J2605" s="55">
        <v>2697865.8</v>
      </c>
      <c r="K2605" s="55">
        <v>562923</v>
      </c>
      <c r="L2605" s="55">
        <v>29251.3</v>
      </c>
      <c r="M2605" s="55">
        <v>263668.5</v>
      </c>
      <c r="N2605" s="55">
        <v>29845.5</v>
      </c>
    </row>
    <row r="2606" spans="1:14" ht="10.050000000000001" customHeight="1">
      <c r="A2606" s="52" t="s">
        <v>309</v>
      </c>
      <c r="B2606" s="53">
        <v>2016</v>
      </c>
      <c r="C2606" s="52" t="s">
        <v>120</v>
      </c>
      <c r="D2606" s="54">
        <v>3</v>
      </c>
      <c r="E2606" s="55">
        <v>3641</v>
      </c>
      <c r="F2606" s="55">
        <v>0</v>
      </c>
      <c r="G2606" s="55">
        <v>3641</v>
      </c>
      <c r="H2606" s="55">
        <v>42109.599999999999</v>
      </c>
      <c r="I2606" s="55">
        <v>0</v>
      </c>
      <c r="J2606" s="55">
        <v>42109.599999999999</v>
      </c>
      <c r="K2606" s="55">
        <v>6692.1</v>
      </c>
      <c r="L2606" s="55">
        <v>0</v>
      </c>
      <c r="M2606" s="55">
        <v>695.8</v>
      </c>
      <c r="N2606" s="55">
        <v>0</v>
      </c>
    </row>
    <row r="2607" spans="1:14" ht="10.050000000000001" hidden="1" customHeight="1">
      <c r="A2607" s="52" t="s">
        <v>316</v>
      </c>
      <c r="B2607" s="53">
        <v>2016</v>
      </c>
      <c r="C2607" s="52" t="s">
        <v>120</v>
      </c>
      <c r="D2607" s="54">
        <v>3</v>
      </c>
      <c r="E2607" s="55">
        <v>168.9</v>
      </c>
      <c r="F2607" s="55">
        <v>0</v>
      </c>
      <c r="G2607" s="55">
        <v>168.9</v>
      </c>
      <c r="H2607" s="55">
        <v>8128.2</v>
      </c>
      <c r="I2607" s="55">
        <v>50.9</v>
      </c>
      <c r="J2607" s="55">
        <v>8179.1</v>
      </c>
      <c r="K2607" s="55">
        <v>159.1</v>
      </c>
      <c r="L2607" s="55">
        <v>35.799999999999997</v>
      </c>
      <c r="M2607" s="55">
        <v>68</v>
      </c>
      <c r="N2607" s="55">
        <v>2.9</v>
      </c>
    </row>
    <row r="2608" spans="1:14" ht="10.050000000000001" hidden="1" customHeight="1">
      <c r="A2608" s="52" t="s">
        <v>310</v>
      </c>
      <c r="B2608" s="53">
        <v>2016</v>
      </c>
      <c r="C2608" s="52" t="s">
        <v>120</v>
      </c>
      <c r="D2608" s="54">
        <v>3</v>
      </c>
      <c r="E2608" s="55">
        <v>1850.3</v>
      </c>
      <c r="F2608" s="55">
        <v>0</v>
      </c>
      <c r="G2608" s="55">
        <v>1850.3</v>
      </c>
      <c r="H2608" s="55">
        <v>23362.799999999999</v>
      </c>
      <c r="I2608" s="55">
        <v>684.4</v>
      </c>
      <c r="J2608" s="55">
        <v>24047.200000000001</v>
      </c>
      <c r="K2608" s="55">
        <v>2290.5</v>
      </c>
      <c r="L2608" s="55">
        <v>31.8</v>
      </c>
      <c r="M2608" s="55">
        <v>1289.0999999999999</v>
      </c>
      <c r="N2608" s="55">
        <v>83.2</v>
      </c>
    </row>
    <row r="2609" spans="1:14" ht="10.050000000000001" hidden="1" customHeight="1">
      <c r="A2609" s="52" t="s">
        <v>308</v>
      </c>
      <c r="B2609" s="53">
        <v>2016</v>
      </c>
      <c r="C2609" s="52" t="s">
        <v>120</v>
      </c>
      <c r="D2609" s="54">
        <v>3</v>
      </c>
      <c r="E2609" s="55">
        <v>2413.6999999999998</v>
      </c>
      <c r="F2609" s="55">
        <v>0</v>
      </c>
      <c r="G2609" s="55">
        <v>2413.6999999999998</v>
      </c>
      <c r="H2609" s="55">
        <v>61938.8</v>
      </c>
      <c r="I2609" s="55">
        <v>1706.7</v>
      </c>
      <c r="J2609" s="55">
        <v>63645.5</v>
      </c>
      <c r="K2609" s="55">
        <v>6142.3</v>
      </c>
      <c r="L2609" s="55">
        <v>162.4</v>
      </c>
      <c r="M2609" s="55">
        <v>1967.2</v>
      </c>
      <c r="N2609" s="55">
        <v>192.2</v>
      </c>
    </row>
    <row r="2610" spans="1:14" ht="10.050000000000001" hidden="1" customHeight="1">
      <c r="A2610" s="52" t="s">
        <v>174</v>
      </c>
      <c r="B2610" s="53">
        <v>2016</v>
      </c>
      <c r="C2610" s="52" t="s">
        <v>120</v>
      </c>
      <c r="D2610" s="54">
        <v>3</v>
      </c>
      <c r="E2610" s="55">
        <v>14939.6</v>
      </c>
      <c r="F2610" s="55">
        <v>321.60000000000002</v>
      </c>
      <c r="G2610" s="55">
        <v>15261.2</v>
      </c>
      <c r="H2610" s="55">
        <v>132750.1</v>
      </c>
      <c r="I2610" s="55">
        <v>16276.8</v>
      </c>
      <c r="J2610" s="55">
        <v>149026.9</v>
      </c>
      <c r="K2610" s="55">
        <v>76369.399999999994</v>
      </c>
      <c r="L2610" s="55">
        <v>5422.7</v>
      </c>
      <c r="M2610" s="55">
        <v>9340.2000000000007</v>
      </c>
      <c r="N2610" s="55">
        <v>15994.1</v>
      </c>
    </row>
    <row r="2611" spans="1:14" ht="10.050000000000001" hidden="1" customHeight="1">
      <c r="A2611" s="52" t="s">
        <v>314</v>
      </c>
      <c r="B2611" s="53">
        <v>2016</v>
      </c>
      <c r="C2611" s="52" t="s">
        <v>120</v>
      </c>
      <c r="D2611" s="54">
        <v>4</v>
      </c>
      <c r="E2611" s="55">
        <v>0</v>
      </c>
      <c r="F2611" s="55">
        <v>0</v>
      </c>
      <c r="G2611" s="55">
        <v>0</v>
      </c>
      <c r="H2611" s="55">
        <v>12.3</v>
      </c>
      <c r="I2611" s="55">
        <v>0</v>
      </c>
      <c r="J2611" s="55">
        <v>12.3</v>
      </c>
      <c r="K2611" s="55">
        <v>0</v>
      </c>
      <c r="L2611" s="55">
        <v>0</v>
      </c>
      <c r="M2611" s="55">
        <v>0</v>
      </c>
      <c r="N2611" s="55">
        <v>0</v>
      </c>
    </row>
    <row r="2612" spans="1:14" ht="10.050000000000001" hidden="1" customHeight="1">
      <c r="A2612" s="52" t="s">
        <v>306</v>
      </c>
      <c r="B2612" s="53">
        <v>2016</v>
      </c>
      <c r="C2612" s="52" t="s">
        <v>120</v>
      </c>
      <c r="D2612" s="54">
        <v>4</v>
      </c>
      <c r="E2612" s="55">
        <v>4448.8</v>
      </c>
      <c r="F2612" s="55">
        <v>524.6</v>
      </c>
      <c r="G2612" s="55">
        <v>4973.3999999999996</v>
      </c>
      <c r="H2612" s="55">
        <v>52843.199999999997</v>
      </c>
      <c r="I2612" s="55">
        <v>4354.1000000000004</v>
      </c>
      <c r="J2612" s="55">
        <v>57197.3</v>
      </c>
      <c r="K2612" s="55">
        <v>4376</v>
      </c>
      <c r="L2612" s="55">
        <v>452.9</v>
      </c>
      <c r="M2612" s="55">
        <v>2010.1</v>
      </c>
      <c r="N2612" s="55">
        <v>432</v>
      </c>
    </row>
    <row r="2613" spans="1:14" ht="10.050000000000001" hidden="1" customHeight="1">
      <c r="A2613" s="52" t="s">
        <v>172</v>
      </c>
      <c r="B2613" s="53">
        <v>2016</v>
      </c>
      <c r="C2613" s="52" t="s">
        <v>120</v>
      </c>
      <c r="D2613" s="54">
        <v>4</v>
      </c>
      <c r="E2613" s="55">
        <v>89136.1</v>
      </c>
      <c r="F2613" s="55">
        <v>366.1</v>
      </c>
      <c r="G2613" s="55">
        <v>89502.2</v>
      </c>
      <c r="H2613" s="55">
        <v>229329.1</v>
      </c>
      <c r="I2613" s="55">
        <v>10451.700000000001</v>
      </c>
      <c r="J2613" s="55">
        <v>239780.8</v>
      </c>
      <c r="K2613" s="55">
        <v>37432.400000000001</v>
      </c>
      <c r="L2613" s="55">
        <v>4375.7</v>
      </c>
      <c r="M2613" s="55">
        <v>38879</v>
      </c>
      <c r="N2613" s="55">
        <v>3785.9</v>
      </c>
    </row>
    <row r="2614" spans="1:14" ht="10.050000000000001" hidden="1" customHeight="1">
      <c r="A2614" s="52" t="s">
        <v>171</v>
      </c>
      <c r="B2614" s="53">
        <v>2016</v>
      </c>
      <c r="C2614" s="52" t="s">
        <v>120</v>
      </c>
      <c r="D2614" s="54">
        <v>4</v>
      </c>
      <c r="E2614" s="55">
        <v>2329236.4</v>
      </c>
      <c r="F2614" s="55">
        <v>5896.4</v>
      </c>
      <c r="G2614" s="55">
        <v>2335132.7999999998</v>
      </c>
      <c r="H2614" s="55">
        <v>5659099.4000000004</v>
      </c>
      <c r="I2614" s="55">
        <v>129884.6</v>
      </c>
      <c r="J2614" s="55">
        <v>5788984</v>
      </c>
      <c r="K2614" s="55">
        <v>2000817.3</v>
      </c>
      <c r="L2614" s="55">
        <v>258696.9</v>
      </c>
      <c r="M2614" s="55">
        <v>1547430</v>
      </c>
      <c r="N2614" s="55">
        <v>42134.5</v>
      </c>
    </row>
    <row r="2615" spans="1:14" ht="10.050000000000001" hidden="1" customHeight="1">
      <c r="A2615" s="52" t="s">
        <v>300</v>
      </c>
      <c r="B2615" s="53">
        <v>2016</v>
      </c>
      <c r="C2615" s="52" t="s">
        <v>120</v>
      </c>
      <c r="D2615" s="54">
        <v>4</v>
      </c>
      <c r="E2615" s="55">
        <v>828.3</v>
      </c>
      <c r="F2615" s="55">
        <v>0</v>
      </c>
      <c r="G2615" s="55">
        <v>828.3</v>
      </c>
      <c r="H2615" s="55">
        <v>4861.1000000000004</v>
      </c>
      <c r="I2615" s="55">
        <v>111.8</v>
      </c>
      <c r="J2615" s="55">
        <v>4972.8999999999996</v>
      </c>
      <c r="K2615" s="55">
        <v>16.3</v>
      </c>
      <c r="L2615" s="55">
        <v>0</v>
      </c>
      <c r="M2615" s="55">
        <v>0</v>
      </c>
      <c r="N2615" s="55">
        <v>0</v>
      </c>
    </row>
    <row r="2616" spans="1:14" ht="10.050000000000001" hidden="1" customHeight="1">
      <c r="A2616" s="52" t="s">
        <v>307</v>
      </c>
      <c r="B2616" s="53">
        <v>2016</v>
      </c>
      <c r="C2616" s="52" t="s">
        <v>120</v>
      </c>
      <c r="D2616" s="54">
        <v>4</v>
      </c>
      <c r="E2616" s="55">
        <v>407995.8</v>
      </c>
      <c r="F2616" s="55">
        <v>135.1</v>
      </c>
      <c r="G2616" s="55">
        <v>408130.9</v>
      </c>
      <c r="H2616" s="55">
        <v>3385395.9</v>
      </c>
      <c r="I2616" s="55">
        <v>93576</v>
      </c>
      <c r="J2616" s="55">
        <v>3478971.9</v>
      </c>
      <c r="K2616" s="55">
        <v>1264323.2</v>
      </c>
      <c r="L2616" s="55">
        <v>38004.1</v>
      </c>
      <c r="M2616" s="55">
        <v>273376.59999999998</v>
      </c>
      <c r="N2616" s="55">
        <v>76930.600000000006</v>
      </c>
    </row>
    <row r="2617" spans="1:14" ht="10.050000000000001" hidden="1" customHeight="1">
      <c r="A2617" s="52" t="s">
        <v>315</v>
      </c>
      <c r="B2617" s="53">
        <v>2016</v>
      </c>
      <c r="C2617" s="52" t="s">
        <v>120</v>
      </c>
      <c r="D2617" s="54">
        <v>4</v>
      </c>
      <c r="E2617" s="55">
        <v>287</v>
      </c>
      <c r="F2617" s="55">
        <v>0</v>
      </c>
      <c r="G2617" s="55">
        <v>287</v>
      </c>
      <c r="H2617" s="55">
        <v>10655.6</v>
      </c>
      <c r="I2617" s="55">
        <v>30.6</v>
      </c>
      <c r="J2617" s="55">
        <v>10686.2</v>
      </c>
      <c r="K2617" s="55">
        <v>876.9</v>
      </c>
      <c r="L2617" s="55">
        <v>4.5</v>
      </c>
      <c r="M2617" s="55">
        <v>97.3</v>
      </c>
      <c r="N2617" s="55">
        <v>6.2</v>
      </c>
    </row>
    <row r="2618" spans="1:14" ht="10.050000000000001" hidden="1" customHeight="1">
      <c r="A2618" s="52" t="s">
        <v>311</v>
      </c>
      <c r="B2618" s="53">
        <v>2016</v>
      </c>
      <c r="C2618" s="52" t="s">
        <v>120</v>
      </c>
      <c r="D2618" s="54">
        <v>4</v>
      </c>
      <c r="E2618" s="55">
        <v>170.7</v>
      </c>
      <c r="F2618" s="55">
        <v>0</v>
      </c>
      <c r="G2618" s="55">
        <v>170.7</v>
      </c>
      <c r="H2618" s="55">
        <v>0</v>
      </c>
      <c r="I2618" s="55">
        <v>0</v>
      </c>
      <c r="J2618" s="55">
        <v>0</v>
      </c>
      <c r="K2618" s="55">
        <v>35.9</v>
      </c>
      <c r="L2618" s="55">
        <v>0</v>
      </c>
      <c r="M2618" s="55">
        <v>0</v>
      </c>
      <c r="N2618" s="55">
        <v>2.8</v>
      </c>
    </row>
    <row r="2619" spans="1:14" ht="10.050000000000001" hidden="1" customHeight="1">
      <c r="A2619" s="52" t="s">
        <v>173</v>
      </c>
      <c r="B2619" s="53">
        <v>2016</v>
      </c>
      <c r="C2619" s="52" t="s">
        <v>120</v>
      </c>
      <c r="D2619" s="54">
        <v>4</v>
      </c>
      <c r="E2619" s="55">
        <v>388889.7</v>
      </c>
      <c r="F2619" s="55">
        <v>6168.9</v>
      </c>
      <c r="G2619" s="55">
        <v>395058.6</v>
      </c>
      <c r="H2619" s="55">
        <v>2054011.4</v>
      </c>
      <c r="I2619" s="55">
        <v>42533.3</v>
      </c>
      <c r="J2619" s="55">
        <v>2096544.7</v>
      </c>
      <c r="K2619" s="55">
        <v>317412.40000000002</v>
      </c>
      <c r="L2619" s="55">
        <v>18536.7</v>
      </c>
      <c r="M2619" s="55">
        <v>238017.3</v>
      </c>
      <c r="N2619" s="55">
        <v>26401</v>
      </c>
    </row>
    <row r="2620" spans="1:14" ht="10.050000000000001" customHeight="1">
      <c r="A2620" s="52" t="s">
        <v>309</v>
      </c>
      <c r="B2620" s="53">
        <v>2016</v>
      </c>
      <c r="C2620" s="52" t="s">
        <v>120</v>
      </c>
      <c r="D2620" s="54">
        <v>4</v>
      </c>
      <c r="E2620" s="55">
        <v>1378.7</v>
      </c>
      <c r="F2620" s="55">
        <v>0</v>
      </c>
      <c r="G2620" s="55">
        <v>1378.7</v>
      </c>
      <c r="H2620" s="55">
        <v>36314.5</v>
      </c>
      <c r="I2620" s="55">
        <v>0</v>
      </c>
      <c r="J2620" s="55">
        <v>36314.5</v>
      </c>
      <c r="K2620" s="55">
        <v>5699.2</v>
      </c>
      <c r="L2620" s="55">
        <v>0</v>
      </c>
      <c r="M2620" s="55">
        <v>618.1</v>
      </c>
      <c r="N2620" s="55">
        <v>355</v>
      </c>
    </row>
    <row r="2621" spans="1:14" ht="10.050000000000001" hidden="1" customHeight="1">
      <c r="A2621" s="52" t="s">
        <v>316</v>
      </c>
      <c r="B2621" s="53">
        <v>2016</v>
      </c>
      <c r="C2621" s="52" t="s">
        <v>120</v>
      </c>
      <c r="D2621" s="54">
        <v>4</v>
      </c>
      <c r="E2621" s="55">
        <v>411.1</v>
      </c>
      <c r="F2621" s="55">
        <v>16.399999999999999</v>
      </c>
      <c r="G2621" s="55">
        <v>427.5</v>
      </c>
      <c r="H2621" s="55">
        <v>7820.00000000001</v>
      </c>
      <c r="I2621" s="55">
        <v>35.700000000000003</v>
      </c>
      <c r="J2621" s="55">
        <v>7855.7000000000098</v>
      </c>
      <c r="K2621" s="55">
        <v>110.1</v>
      </c>
      <c r="L2621" s="55">
        <v>0</v>
      </c>
      <c r="M2621" s="55">
        <v>40.6</v>
      </c>
      <c r="N2621" s="55">
        <v>8.1999999999999993</v>
      </c>
    </row>
    <row r="2622" spans="1:14" ht="10.050000000000001" hidden="1" customHeight="1">
      <c r="A2622" s="52" t="s">
        <v>310</v>
      </c>
      <c r="B2622" s="53">
        <v>2016</v>
      </c>
      <c r="C2622" s="52" t="s">
        <v>120</v>
      </c>
      <c r="D2622" s="54">
        <v>4</v>
      </c>
      <c r="E2622" s="55">
        <v>1451.7</v>
      </c>
      <c r="F2622" s="55">
        <v>0</v>
      </c>
      <c r="G2622" s="55">
        <v>1451.7</v>
      </c>
      <c r="H2622" s="55">
        <v>19029.400000000001</v>
      </c>
      <c r="I2622" s="55">
        <v>2698.9</v>
      </c>
      <c r="J2622" s="55">
        <v>21728.3</v>
      </c>
      <c r="K2622" s="55">
        <v>1586.2</v>
      </c>
      <c r="L2622" s="55">
        <v>24.1</v>
      </c>
      <c r="M2622" s="55">
        <v>710.8</v>
      </c>
      <c r="N2622" s="55">
        <v>17.600000000000001</v>
      </c>
    </row>
    <row r="2623" spans="1:14" ht="10.050000000000001" hidden="1" customHeight="1">
      <c r="A2623" s="52" t="s">
        <v>308</v>
      </c>
      <c r="B2623" s="53">
        <v>2016</v>
      </c>
      <c r="C2623" s="52" t="s">
        <v>120</v>
      </c>
      <c r="D2623" s="54">
        <v>4</v>
      </c>
      <c r="E2623" s="55">
        <v>2581.3000000000002</v>
      </c>
      <c r="F2623" s="55">
        <v>0</v>
      </c>
      <c r="G2623" s="55">
        <v>2581.3000000000002</v>
      </c>
      <c r="H2623" s="55">
        <v>47818.9</v>
      </c>
      <c r="I2623" s="55">
        <v>1471</v>
      </c>
      <c r="J2623" s="55">
        <v>49289.9</v>
      </c>
      <c r="K2623" s="55">
        <v>4540.3</v>
      </c>
      <c r="L2623" s="55">
        <v>1.3</v>
      </c>
      <c r="M2623" s="55">
        <v>1476</v>
      </c>
      <c r="N2623" s="55">
        <v>127.2</v>
      </c>
    </row>
    <row r="2624" spans="1:14" ht="10.050000000000001" hidden="1" customHeight="1">
      <c r="A2624" s="52" t="s">
        <v>174</v>
      </c>
      <c r="B2624" s="53">
        <v>2016</v>
      </c>
      <c r="C2624" s="52" t="s">
        <v>120</v>
      </c>
      <c r="D2624" s="54">
        <v>4</v>
      </c>
      <c r="E2624" s="55">
        <v>17076.2</v>
      </c>
      <c r="F2624" s="55">
        <v>1533.9</v>
      </c>
      <c r="G2624" s="55">
        <v>18610.099999999999</v>
      </c>
      <c r="H2624" s="55">
        <v>109217.60000000001</v>
      </c>
      <c r="I2624" s="55">
        <v>15836.9</v>
      </c>
      <c r="J2624" s="55">
        <v>125054.5</v>
      </c>
      <c r="K2624" s="55">
        <v>59673.5</v>
      </c>
      <c r="L2624" s="55">
        <v>2181</v>
      </c>
      <c r="M2624" s="55">
        <v>10366.9</v>
      </c>
      <c r="N2624" s="55">
        <v>8587.9</v>
      </c>
    </row>
    <row r="2625" spans="1:14" ht="10.050000000000001" hidden="1" customHeight="1">
      <c r="A2625" s="52" t="s">
        <v>314</v>
      </c>
      <c r="B2625" s="53">
        <v>2016</v>
      </c>
      <c r="C2625" s="52" t="s">
        <v>120</v>
      </c>
      <c r="D2625" s="54">
        <v>5</v>
      </c>
      <c r="E2625" s="55">
        <v>0</v>
      </c>
      <c r="F2625" s="55">
        <v>0</v>
      </c>
      <c r="G2625" s="55">
        <v>0</v>
      </c>
      <c r="H2625" s="55">
        <v>10.6</v>
      </c>
      <c r="I2625" s="55">
        <v>0</v>
      </c>
      <c r="J2625" s="55">
        <v>10.6</v>
      </c>
      <c r="K2625" s="55">
        <v>0</v>
      </c>
      <c r="L2625" s="55">
        <v>0</v>
      </c>
      <c r="M2625" s="55">
        <v>0</v>
      </c>
      <c r="N2625" s="55">
        <v>0</v>
      </c>
    </row>
    <row r="2626" spans="1:14" ht="10.050000000000001" hidden="1" customHeight="1">
      <c r="A2626" s="52" t="s">
        <v>306</v>
      </c>
      <c r="B2626" s="53">
        <v>2016</v>
      </c>
      <c r="C2626" s="52" t="s">
        <v>120</v>
      </c>
      <c r="D2626" s="54">
        <v>5</v>
      </c>
      <c r="E2626" s="55">
        <v>3676.4</v>
      </c>
      <c r="F2626" s="55">
        <v>130.80000000000001</v>
      </c>
      <c r="G2626" s="55">
        <v>3807.2</v>
      </c>
      <c r="H2626" s="55">
        <v>42245.5</v>
      </c>
      <c r="I2626" s="55">
        <v>4103.2</v>
      </c>
      <c r="J2626" s="55">
        <v>46348.7</v>
      </c>
      <c r="K2626" s="55">
        <v>2578</v>
      </c>
      <c r="L2626" s="55">
        <v>582</v>
      </c>
      <c r="M2626" s="55">
        <v>1833.9</v>
      </c>
      <c r="N2626" s="55">
        <v>548</v>
      </c>
    </row>
    <row r="2627" spans="1:14" ht="10.050000000000001" hidden="1" customHeight="1">
      <c r="A2627" s="52" t="s">
        <v>172</v>
      </c>
      <c r="B2627" s="53">
        <v>2016</v>
      </c>
      <c r="C2627" s="52" t="s">
        <v>120</v>
      </c>
      <c r="D2627" s="54">
        <v>5</v>
      </c>
      <c r="E2627" s="55">
        <v>77516.5</v>
      </c>
      <c r="F2627" s="55">
        <v>111.6</v>
      </c>
      <c r="G2627" s="55">
        <v>77628.100000000006</v>
      </c>
      <c r="H2627" s="55">
        <v>187229.9</v>
      </c>
      <c r="I2627" s="55">
        <v>7139.7</v>
      </c>
      <c r="J2627" s="55">
        <v>194369.6</v>
      </c>
      <c r="K2627" s="55">
        <v>15951.7</v>
      </c>
      <c r="L2627" s="55">
        <v>5995.9</v>
      </c>
      <c r="M2627" s="55">
        <v>25142.799999999999</v>
      </c>
      <c r="N2627" s="55">
        <v>2334</v>
      </c>
    </row>
    <row r="2628" spans="1:14" ht="10.050000000000001" hidden="1" customHeight="1">
      <c r="A2628" s="52" t="s">
        <v>171</v>
      </c>
      <c r="B2628" s="53">
        <v>2016</v>
      </c>
      <c r="C2628" s="52" t="s">
        <v>120</v>
      </c>
      <c r="D2628" s="54">
        <v>5</v>
      </c>
      <c r="E2628" s="55">
        <v>2235148</v>
      </c>
      <c r="F2628" s="55">
        <v>2392.6</v>
      </c>
      <c r="G2628" s="55">
        <v>2237540.6</v>
      </c>
      <c r="H2628" s="55">
        <v>4363530.5</v>
      </c>
      <c r="I2628" s="55">
        <v>108085.5</v>
      </c>
      <c r="J2628" s="55">
        <v>4471616</v>
      </c>
      <c r="K2628" s="55">
        <v>712595.1</v>
      </c>
      <c r="L2628" s="55">
        <v>277652</v>
      </c>
      <c r="M2628" s="55">
        <v>1513908.7</v>
      </c>
      <c r="N2628" s="55">
        <v>52365.4</v>
      </c>
    </row>
    <row r="2629" spans="1:14" ht="10.050000000000001" hidden="1" customHeight="1">
      <c r="A2629" s="52" t="s">
        <v>300</v>
      </c>
      <c r="B2629" s="53">
        <v>2016</v>
      </c>
      <c r="C2629" s="52" t="s">
        <v>120</v>
      </c>
      <c r="D2629" s="54">
        <v>5</v>
      </c>
      <c r="E2629" s="55">
        <v>555.1</v>
      </c>
      <c r="F2629" s="55">
        <v>0</v>
      </c>
      <c r="G2629" s="55">
        <v>555.1</v>
      </c>
      <c r="H2629" s="55">
        <v>5072.3999999999996</v>
      </c>
      <c r="I2629" s="55">
        <v>87.4</v>
      </c>
      <c r="J2629" s="55">
        <v>5159.8</v>
      </c>
      <c r="K2629" s="55">
        <v>11.1</v>
      </c>
      <c r="L2629" s="55">
        <v>0</v>
      </c>
      <c r="M2629" s="55">
        <v>5.2</v>
      </c>
      <c r="N2629" s="55">
        <v>0</v>
      </c>
    </row>
    <row r="2630" spans="1:14" ht="10.050000000000001" hidden="1" customHeight="1">
      <c r="A2630" s="52" t="s">
        <v>307</v>
      </c>
      <c r="B2630" s="53">
        <v>2016</v>
      </c>
      <c r="C2630" s="52" t="s">
        <v>120</v>
      </c>
      <c r="D2630" s="54">
        <v>5</v>
      </c>
      <c r="E2630" s="55">
        <v>461486.2</v>
      </c>
      <c r="F2630" s="55">
        <v>321.8</v>
      </c>
      <c r="G2630" s="55">
        <v>461808</v>
      </c>
      <c r="H2630" s="55">
        <v>2797783.1</v>
      </c>
      <c r="I2630" s="55">
        <v>92642.9</v>
      </c>
      <c r="J2630" s="55">
        <v>2890426</v>
      </c>
      <c r="K2630" s="55">
        <v>924072.3</v>
      </c>
      <c r="L2630" s="55">
        <v>55997.3</v>
      </c>
      <c r="M2630" s="55">
        <v>301398</v>
      </c>
      <c r="N2630" s="55">
        <v>94914.6</v>
      </c>
    </row>
    <row r="2631" spans="1:14" ht="10.050000000000001" hidden="1" customHeight="1">
      <c r="A2631" s="52" t="s">
        <v>315</v>
      </c>
      <c r="B2631" s="53">
        <v>2016</v>
      </c>
      <c r="C2631" s="52" t="s">
        <v>120</v>
      </c>
      <c r="D2631" s="54">
        <v>5</v>
      </c>
      <c r="E2631" s="55">
        <v>268.3</v>
      </c>
      <c r="F2631" s="55">
        <v>0</v>
      </c>
      <c r="G2631" s="55">
        <v>268.3</v>
      </c>
      <c r="H2631" s="55">
        <v>9237.2999999999993</v>
      </c>
      <c r="I2631" s="55">
        <v>30.6</v>
      </c>
      <c r="J2631" s="55">
        <v>9267.9</v>
      </c>
      <c r="K2631" s="55">
        <v>741.7</v>
      </c>
      <c r="L2631" s="55">
        <v>0</v>
      </c>
      <c r="M2631" s="55">
        <v>126.8</v>
      </c>
      <c r="N2631" s="55">
        <v>8.4</v>
      </c>
    </row>
    <row r="2632" spans="1:14" ht="10.050000000000001" hidden="1" customHeight="1">
      <c r="A2632" s="52" t="s">
        <v>311</v>
      </c>
      <c r="B2632" s="53">
        <v>2016</v>
      </c>
      <c r="C2632" s="52" t="s">
        <v>120</v>
      </c>
      <c r="D2632" s="54">
        <v>5</v>
      </c>
      <c r="E2632" s="55">
        <v>0</v>
      </c>
      <c r="F2632" s="55">
        <v>0</v>
      </c>
      <c r="G2632" s="55">
        <v>0</v>
      </c>
      <c r="H2632" s="55">
        <v>0</v>
      </c>
      <c r="I2632" s="55">
        <v>0</v>
      </c>
      <c r="J2632" s="55">
        <v>0</v>
      </c>
      <c r="K2632" s="55">
        <v>25.5</v>
      </c>
      <c r="L2632" s="55">
        <v>0</v>
      </c>
      <c r="M2632" s="55">
        <v>0</v>
      </c>
      <c r="N2632" s="55">
        <v>10.4</v>
      </c>
    </row>
    <row r="2633" spans="1:14" ht="10.050000000000001" hidden="1" customHeight="1">
      <c r="A2633" s="52" t="s">
        <v>173</v>
      </c>
      <c r="B2633" s="53">
        <v>2016</v>
      </c>
      <c r="C2633" s="52" t="s">
        <v>120</v>
      </c>
      <c r="D2633" s="54">
        <v>5</v>
      </c>
      <c r="E2633" s="55">
        <v>295694.5</v>
      </c>
      <c r="F2633" s="55">
        <v>1932.3</v>
      </c>
      <c r="G2633" s="55">
        <v>297626.8</v>
      </c>
      <c r="H2633" s="55">
        <v>1642334.7</v>
      </c>
      <c r="I2633" s="55">
        <v>31235.9</v>
      </c>
      <c r="J2633" s="55">
        <v>1673570.6</v>
      </c>
      <c r="K2633" s="55">
        <v>131890</v>
      </c>
      <c r="L2633" s="55">
        <v>27301.1</v>
      </c>
      <c r="M2633" s="55">
        <v>192444.79999999999</v>
      </c>
      <c r="N2633" s="55">
        <v>20523.900000000001</v>
      </c>
    </row>
    <row r="2634" spans="1:14" ht="10.050000000000001" customHeight="1">
      <c r="A2634" s="52" t="s">
        <v>309</v>
      </c>
      <c r="B2634" s="53">
        <v>2016</v>
      </c>
      <c r="C2634" s="52" t="s">
        <v>120</v>
      </c>
      <c r="D2634" s="54">
        <v>5</v>
      </c>
      <c r="E2634" s="55">
        <v>4120.8</v>
      </c>
      <c r="F2634" s="55">
        <v>0</v>
      </c>
      <c r="G2634" s="55">
        <v>4120.8</v>
      </c>
      <c r="H2634" s="55">
        <v>35449.1</v>
      </c>
      <c r="I2634" s="55">
        <v>0</v>
      </c>
      <c r="J2634" s="55">
        <v>35449.1</v>
      </c>
      <c r="K2634" s="55">
        <v>2007.2</v>
      </c>
      <c r="L2634" s="55">
        <v>0</v>
      </c>
      <c r="M2634" s="55">
        <v>3692</v>
      </c>
      <c r="N2634" s="55">
        <v>0</v>
      </c>
    </row>
    <row r="2635" spans="1:14" ht="10.050000000000001" hidden="1" customHeight="1">
      <c r="A2635" s="52" t="s">
        <v>316</v>
      </c>
      <c r="B2635" s="53">
        <v>2016</v>
      </c>
      <c r="C2635" s="52" t="s">
        <v>120</v>
      </c>
      <c r="D2635" s="54">
        <v>5</v>
      </c>
      <c r="E2635" s="55">
        <v>80.400000000000006</v>
      </c>
      <c r="F2635" s="55">
        <v>0</v>
      </c>
      <c r="G2635" s="55">
        <v>80.400000000000006</v>
      </c>
      <c r="H2635" s="55">
        <v>6927.5</v>
      </c>
      <c r="I2635" s="55">
        <v>35.6</v>
      </c>
      <c r="J2635" s="55">
        <v>6963.1</v>
      </c>
      <c r="K2635" s="55">
        <v>92.9</v>
      </c>
      <c r="L2635" s="55">
        <v>2.4</v>
      </c>
      <c r="M2635" s="55">
        <v>18.8</v>
      </c>
      <c r="N2635" s="55">
        <v>0.7</v>
      </c>
    </row>
    <row r="2636" spans="1:14" ht="10.050000000000001" hidden="1" customHeight="1">
      <c r="A2636" s="52" t="s">
        <v>310</v>
      </c>
      <c r="B2636" s="53">
        <v>2016</v>
      </c>
      <c r="C2636" s="52" t="s">
        <v>120</v>
      </c>
      <c r="D2636" s="54">
        <v>5</v>
      </c>
      <c r="E2636" s="55">
        <v>1630.7</v>
      </c>
      <c r="F2636" s="55">
        <v>0</v>
      </c>
      <c r="G2636" s="55">
        <v>1630.7</v>
      </c>
      <c r="H2636" s="55">
        <v>17254.5</v>
      </c>
      <c r="I2636" s="55">
        <v>2700.1</v>
      </c>
      <c r="J2636" s="55">
        <v>19954.599999999999</v>
      </c>
      <c r="K2636" s="55">
        <v>757.1</v>
      </c>
      <c r="L2636" s="55">
        <v>109.1</v>
      </c>
      <c r="M2636" s="55">
        <v>846.8</v>
      </c>
      <c r="N2636" s="55">
        <v>91.3</v>
      </c>
    </row>
    <row r="2637" spans="1:14" ht="10.050000000000001" hidden="1" customHeight="1">
      <c r="A2637" s="52" t="s">
        <v>308</v>
      </c>
      <c r="B2637" s="53">
        <v>2016</v>
      </c>
      <c r="C2637" s="52" t="s">
        <v>120</v>
      </c>
      <c r="D2637" s="54">
        <v>5</v>
      </c>
      <c r="E2637" s="55">
        <v>2777.3</v>
      </c>
      <c r="F2637" s="55">
        <v>0</v>
      </c>
      <c r="G2637" s="55">
        <v>2777.3</v>
      </c>
      <c r="H2637" s="55">
        <v>33693.199999999997</v>
      </c>
      <c r="I2637" s="55">
        <v>1352.7</v>
      </c>
      <c r="J2637" s="55">
        <v>35045.9</v>
      </c>
      <c r="K2637" s="55">
        <v>2481.3000000000002</v>
      </c>
      <c r="L2637" s="55">
        <v>187.6</v>
      </c>
      <c r="M2637" s="55">
        <v>2144</v>
      </c>
      <c r="N2637" s="55">
        <v>102.5</v>
      </c>
    </row>
    <row r="2638" spans="1:14" ht="10.050000000000001" hidden="1" customHeight="1">
      <c r="A2638" s="52" t="s">
        <v>174</v>
      </c>
      <c r="B2638" s="53">
        <v>2016</v>
      </c>
      <c r="C2638" s="52" t="s">
        <v>120</v>
      </c>
      <c r="D2638" s="54">
        <v>5</v>
      </c>
      <c r="E2638" s="55">
        <v>19368.3</v>
      </c>
      <c r="F2638" s="55">
        <v>384.6</v>
      </c>
      <c r="G2638" s="55">
        <v>19752.900000000001</v>
      </c>
      <c r="H2638" s="55">
        <v>85371.4</v>
      </c>
      <c r="I2638" s="55">
        <v>14712.9</v>
      </c>
      <c r="J2638" s="55">
        <v>100084.3</v>
      </c>
      <c r="K2638" s="55">
        <v>40899.800000000003</v>
      </c>
      <c r="L2638" s="55">
        <v>2354.4</v>
      </c>
      <c r="M2638" s="55">
        <v>13163</v>
      </c>
      <c r="N2638" s="55">
        <v>8091.4</v>
      </c>
    </row>
    <row r="2639" spans="1:14" ht="10.050000000000001" hidden="1" customHeight="1">
      <c r="A2639" s="52" t="s">
        <v>314</v>
      </c>
      <c r="B2639" s="53">
        <v>2016</v>
      </c>
      <c r="C2639" s="52" t="s">
        <v>120</v>
      </c>
      <c r="D2639" s="54">
        <v>6</v>
      </c>
      <c r="E2639" s="55">
        <v>0</v>
      </c>
      <c r="F2639" s="55">
        <v>0</v>
      </c>
      <c r="G2639" s="55">
        <v>0</v>
      </c>
      <c r="H2639" s="55">
        <v>9.5</v>
      </c>
      <c r="I2639" s="55">
        <v>0</v>
      </c>
      <c r="J2639" s="55">
        <v>9.5</v>
      </c>
      <c r="K2639" s="55">
        <v>0</v>
      </c>
      <c r="L2639" s="55">
        <v>0</v>
      </c>
      <c r="M2639" s="55">
        <v>0</v>
      </c>
      <c r="N2639" s="55">
        <v>0</v>
      </c>
    </row>
    <row r="2640" spans="1:14" ht="10.050000000000001" hidden="1" customHeight="1">
      <c r="A2640" s="52" t="s">
        <v>306</v>
      </c>
      <c r="B2640" s="53">
        <v>2016</v>
      </c>
      <c r="C2640" s="52" t="s">
        <v>120</v>
      </c>
      <c r="D2640" s="54">
        <v>6</v>
      </c>
      <c r="E2640" s="55">
        <v>3379.2</v>
      </c>
      <c r="F2640" s="55">
        <v>-29.7</v>
      </c>
      <c r="G2640" s="55">
        <v>3349.5</v>
      </c>
      <c r="H2640" s="55">
        <v>26152.9</v>
      </c>
      <c r="I2640" s="55">
        <v>3277.3</v>
      </c>
      <c r="J2640" s="55">
        <v>29430.2</v>
      </c>
      <c r="K2640" s="55">
        <v>1191.4000000000001</v>
      </c>
      <c r="L2640" s="55">
        <v>505.1</v>
      </c>
      <c r="M2640" s="55">
        <v>1018.7</v>
      </c>
      <c r="N2640" s="55">
        <v>879.2</v>
      </c>
    </row>
    <row r="2641" spans="1:14" ht="10.050000000000001" hidden="1" customHeight="1">
      <c r="A2641" s="52" t="s">
        <v>172</v>
      </c>
      <c r="B2641" s="53">
        <v>2016</v>
      </c>
      <c r="C2641" s="52" t="s">
        <v>120</v>
      </c>
      <c r="D2641" s="54">
        <v>6</v>
      </c>
      <c r="E2641" s="55">
        <v>43186.6</v>
      </c>
      <c r="F2641" s="55">
        <v>0</v>
      </c>
      <c r="G2641" s="55">
        <v>43186.6</v>
      </c>
      <c r="H2641" s="55">
        <v>117411</v>
      </c>
      <c r="I2641" s="55">
        <v>7029.9</v>
      </c>
      <c r="J2641" s="55">
        <v>124440.9</v>
      </c>
      <c r="K2641" s="55">
        <v>14183.7</v>
      </c>
      <c r="L2641" s="55">
        <v>7633.6</v>
      </c>
      <c r="M2641" s="55">
        <v>4970.8</v>
      </c>
      <c r="N2641" s="55">
        <v>4430.3</v>
      </c>
    </row>
    <row r="2642" spans="1:14" ht="10.050000000000001" hidden="1" customHeight="1">
      <c r="A2642" s="52" t="s">
        <v>171</v>
      </c>
      <c r="B2642" s="53">
        <v>2016</v>
      </c>
      <c r="C2642" s="52" t="s">
        <v>120</v>
      </c>
      <c r="D2642" s="54">
        <v>6</v>
      </c>
      <c r="E2642" s="55">
        <v>1238618.7</v>
      </c>
      <c r="F2642" s="55">
        <v>9972.2999999999993</v>
      </c>
      <c r="G2642" s="55">
        <v>1248591</v>
      </c>
      <c r="H2642" s="55">
        <v>2291518</v>
      </c>
      <c r="I2642" s="55">
        <v>89068.2</v>
      </c>
      <c r="J2642" s="55">
        <v>2380586.2000000002</v>
      </c>
      <c r="K2642" s="55">
        <v>268690.09999999998</v>
      </c>
      <c r="L2642" s="55">
        <v>284454.09999999998</v>
      </c>
      <c r="M2642" s="55">
        <v>653545.19999999995</v>
      </c>
      <c r="N2642" s="55">
        <v>74850.899999999994</v>
      </c>
    </row>
    <row r="2643" spans="1:14" ht="10.050000000000001" hidden="1" customHeight="1">
      <c r="A2643" s="52" t="s">
        <v>300</v>
      </c>
      <c r="B2643" s="53">
        <v>2016</v>
      </c>
      <c r="C2643" s="52" t="s">
        <v>120</v>
      </c>
      <c r="D2643" s="54">
        <v>6</v>
      </c>
      <c r="E2643" s="55">
        <v>599.1</v>
      </c>
      <c r="F2643" s="55">
        <v>479.6</v>
      </c>
      <c r="G2643" s="55">
        <v>1078.7</v>
      </c>
      <c r="H2643" s="55">
        <v>4245.3</v>
      </c>
      <c r="I2643" s="55">
        <v>2.1</v>
      </c>
      <c r="J2643" s="55">
        <v>4247.3999999999996</v>
      </c>
      <c r="K2643" s="55">
        <v>0</v>
      </c>
      <c r="L2643" s="55">
        <v>0</v>
      </c>
      <c r="M2643" s="55">
        <v>11.1</v>
      </c>
      <c r="N2643" s="55">
        <v>0</v>
      </c>
    </row>
    <row r="2644" spans="1:14" ht="10.050000000000001" hidden="1" customHeight="1">
      <c r="A2644" s="52" t="s">
        <v>307</v>
      </c>
      <c r="B2644" s="53">
        <v>2016</v>
      </c>
      <c r="C2644" s="52" t="s">
        <v>120</v>
      </c>
      <c r="D2644" s="54">
        <v>6</v>
      </c>
      <c r="E2644" s="55">
        <v>631237.19999999995</v>
      </c>
      <c r="F2644" s="55">
        <v>1.4</v>
      </c>
      <c r="G2644" s="55">
        <v>631238.6</v>
      </c>
      <c r="H2644" s="55">
        <v>2174803.1</v>
      </c>
      <c r="I2644" s="55">
        <v>91950.8</v>
      </c>
      <c r="J2644" s="55">
        <v>2266753.9</v>
      </c>
      <c r="K2644" s="55">
        <v>510452.5</v>
      </c>
      <c r="L2644" s="55">
        <v>79235.399999999994</v>
      </c>
      <c r="M2644" s="55">
        <v>400280.7</v>
      </c>
      <c r="N2644" s="55">
        <v>92279.6</v>
      </c>
    </row>
    <row r="2645" spans="1:14" ht="10.050000000000001" hidden="1" customHeight="1">
      <c r="A2645" s="52" t="s">
        <v>315</v>
      </c>
      <c r="B2645" s="53">
        <v>2016</v>
      </c>
      <c r="C2645" s="52" t="s">
        <v>120</v>
      </c>
      <c r="D2645" s="54">
        <v>6</v>
      </c>
      <c r="E2645" s="55">
        <v>600.6</v>
      </c>
      <c r="F2645" s="55">
        <v>0</v>
      </c>
      <c r="G2645" s="55">
        <v>600.6</v>
      </c>
      <c r="H2645" s="55">
        <v>7143.2</v>
      </c>
      <c r="I2645" s="55">
        <v>16.899999999999999</v>
      </c>
      <c r="J2645" s="55">
        <v>7160.1</v>
      </c>
      <c r="K2645" s="55">
        <v>563</v>
      </c>
      <c r="L2645" s="55">
        <v>62.4</v>
      </c>
      <c r="M2645" s="55">
        <v>165.7</v>
      </c>
      <c r="N2645" s="55">
        <v>75.400000000000006</v>
      </c>
    </row>
    <row r="2646" spans="1:14" ht="10.050000000000001" hidden="1" customHeight="1">
      <c r="A2646" s="52" t="s">
        <v>311</v>
      </c>
      <c r="B2646" s="53">
        <v>2016</v>
      </c>
      <c r="C2646" s="52" t="s">
        <v>120</v>
      </c>
      <c r="D2646" s="54">
        <v>6</v>
      </c>
      <c r="E2646" s="55">
        <v>0</v>
      </c>
      <c r="F2646" s="55">
        <v>0</v>
      </c>
      <c r="G2646" s="55">
        <v>0</v>
      </c>
      <c r="H2646" s="55">
        <v>0</v>
      </c>
      <c r="I2646" s="55">
        <v>0</v>
      </c>
      <c r="J2646" s="55">
        <v>0</v>
      </c>
      <c r="K2646" s="55">
        <v>2</v>
      </c>
      <c r="L2646" s="55">
        <v>0</v>
      </c>
      <c r="M2646" s="55">
        <v>0</v>
      </c>
      <c r="N2646" s="55">
        <v>23.5</v>
      </c>
    </row>
    <row r="2647" spans="1:14" ht="10.050000000000001" hidden="1" customHeight="1">
      <c r="A2647" s="52" t="s">
        <v>173</v>
      </c>
      <c r="B2647" s="53">
        <v>2016</v>
      </c>
      <c r="C2647" s="52" t="s">
        <v>120</v>
      </c>
      <c r="D2647" s="54">
        <v>6</v>
      </c>
      <c r="E2647" s="55">
        <v>138964.79999999999</v>
      </c>
      <c r="F2647" s="55">
        <v>7206.8</v>
      </c>
      <c r="G2647" s="55">
        <v>146171.6</v>
      </c>
      <c r="H2647" s="55">
        <v>954623.3</v>
      </c>
      <c r="I2647" s="55">
        <v>22158.799999999999</v>
      </c>
      <c r="J2647" s="55">
        <v>976782.1</v>
      </c>
      <c r="K2647" s="55">
        <v>78613.3</v>
      </c>
      <c r="L2647" s="55">
        <v>57678.400000000001</v>
      </c>
      <c r="M2647" s="55">
        <v>67557.7</v>
      </c>
      <c r="N2647" s="55">
        <v>45229.2</v>
      </c>
    </row>
    <row r="2648" spans="1:14" ht="10.050000000000001" customHeight="1">
      <c r="A2648" s="52" t="s">
        <v>309</v>
      </c>
      <c r="B2648" s="53">
        <v>2016</v>
      </c>
      <c r="C2648" s="52" t="s">
        <v>120</v>
      </c>
      <c r="D2648" s="54">
        <v>6</v>
      </c>
      <c r="E2648" s="55">
        <v>729.1</v>
      </c>
      <c r="F2648" s="55">
        <v>0</v>
      </c>
      <c r="G2648" s="55">
        <v>729.1</v>
      </c>
      <c r="H2648" s="55">
        <v>30040.2</v>
      </c>
      <c r="I2648" s="55">
        <v>0</v>
      </c>
      <c r="J2648" s="55">
        <v>30040.2</v>
      </c>
      <c r="K2648" s="55">
        <v>1487</v>
      </c>
      <c r="L2648" s="55">
        <v>0</v>
      </c>
      <c r="M2648" s="55">
        <v>380.5</v>
      </c>
      <c r="N2648" s="55">
        <v>139.69999999999999</v>
      </c>
    </row>
    <row r="2649" spans="1:14" ht="10.050000000000001" hidden="1" customHeight="1">
      <c r="A2649" s="52" t="s">
        <v>316</v>
      </c>
      <c r="B2649" s="53">
        <v>2016</v>
      </c>
      <c r="C2649" s="52" t="s">
        <v>120</v>
      </c>
      <c r="D2649" s="54">
        <v>6</v>
      </c>
      <c r="E2649" s="55">
        <v>354.3</v>
      </c>
      <c r="F2649" s="55">
        <v>10.6</v>
      </c>
      <c r="G2649" s="55">
        <v>364.9</v>
      </c>
      <c r="H2649" s="55">
        <v>5984.6</v>
      </c>
      <c r="I2649" s="55">
        <v>32.799999999999997</v>
      </c>
      <c r="J2649" s="55">
        <v>6017.4</v>
      </c>
      <c r="K2649" s="55">
        <v>50.6</v>
      </c>
      <c r="L2649" s="55">
        <v>18.8</v>
      </c>
      <c r="M2649" s="55">
        <v>51.8</v>
      </c>
      <c r="N2649" s="55">
        <v>9.4</v>
      </c>
    </row>
    <row r="2650" spans="1:14" ht="10.050000000000001" hidden="1" customHeight="1">
      <c r="A2650" s="52" t="s">
        <v>310</v>
      </c>
      <c r="B2650" s="53">
        <v>2016</v>
      </c>
      <c r="C2650" s="52" t="s">
        <v>120</v>
      </c>
      <c r="D2650" s="54">
        <v>6</v>
      </c>
      <c r="E2650" s="55">
        <v>1286.0999999999999</v>
      </c>
      <c r="F2650" s="55">
        <v>62.1</v>
      </c>
      <c r="G2650" s="55">
        <v>1348.2</v>
      </c>
      <c r="H2650" s="55">
        <v>13690.9</v>
      </c>
      <c r="I2650" s="55">
        <v>2510.1999999999998</v>
      </c>
      <c r="J2650" s="55">
        <v>16201.1</v>
      </c>
      <c r="K2650" s="55">
        <v>329.6</v>
      </c>
      <c r="L2650" s="55">
        <v>266.2</v>
      </c>
      <c r="M2650" s="55">
        <v>421.6</v>
      </c>
      <c r="N2650" s="55">
        <v>271.89999999999998</v>
      </c>
    </row>
    <row r="2651" spans="1:14" ht="10.050000000000001" hidden="1" customHeight="1">
      <c r="A2651" s="52" t="s">
        <v>308</v>
      </c>
      <c r="B2651" s="53">
        <v>2016</v>
      </c>
      <c r="C2651" s="52" t="s">
        <v>120</v>
      </c>
      <c r="D2651" s="54">
        <v>6</v>
      </c>
      <c r="E2651" s="55">
        <v>2754.4</v>
      </c>
      <c r="F2651" s="55">
        <v>0</v>
      </c>
      <c r="G2651" s="55">
        <v>2754.4</v>
      </c>
      <c r="H2651" s="55">
        <v>26869.5</v>
      </c>
      <c r="I2651" s="55">
        <v>1352.7</v>
      </c>
      <c r="J2651" s="55">
        <v>28222.2</v>
      </c>
      <c r="K2651" s="55">
        <v>746.7</v>
      </c>
      <c r="L2651" s="55">
        <v>-2.2000000000000002</v>
      </c>
      <c r="M2651" s="55">
        <v>1223.0999999999999</v>
      </c>
      <c r="N2651" s="55">
        <v>523.4</v>
      </c>
    </row>
    <row r="2652" spans="1:14" ht="10.050000000000001" hidden="1" customHeight="1">
      <c r="A2652" s="52" t="s">
        <v>174</v>
      </c>
      <c r="B2652" s="53">
        <v>2016</v>
      </c>
      <c r="C2652" s="52" t="s">
        <v>120</v>
      </c>
      <c r="D2652" s="54">
        <v>6</v>
      </c>
      <c r="E2652" s="55">
        <v>17699.2</v>
      </c>
      <c r="F2652" s="55">
        <v>691.1</v>
      </c>
      <c r="G2652" s="55">
        <v>18390.3</v>
      </c>
      <c r="H2652" s="55">
        <v>36206.400000000001</v>
      </c>
      <c r="I2652" s="55">
        <v>13723.9</v>
      </c>
      <c r="J2652" s="55">
        <v>49930.3</v>
      </c>
      <c r="K2652" s="55">
        <v>20119.8</v>
      </c>
      <c r="L2652" s="55">
        <v>4897.3</v>
      </c>
      <c r="M2652" s="55">
        <v>9474</v>
      </c>
      <c r="N2652" s="55">
        <v>16111.4</v>
      </c>
    </row>
    <row r="2653" spans="1:14" ht="10.050000000000001" hidden="1" customHeight="1">
      <c r="A2653" s="52" t="s">
        <v>314</v>
      </c>
      <c r="B2653" s="53">
        <v>2016</v>
      </c>
      <c r="C2653" s="52" t="s">
        <v>121</v>
      </c>
      <c r="D2653" s="54">
        <v>7</v>
      </c>
      <c r="E2653" s="55">
        <v>0</v>
      </c>
      <c r="F2653" s="55">
        <v>0</v>
      </c>
      <c r="G2653" s="55">
        <v>0</v>
      </c>
      <c r="H2653" s="55">
        <v>7.4</v>
      </c>
      <c r="I2653" s="55">
        <v>0</v>
      </c>
      <c r="J2653" s="55">
        <v>7.4</v>
      </c>
      <c r="K2653" s="55">
        <v>0</v>
      </c>
      <c r="L2653" s="55">
        <v>0</v>
      </c>
      <c r="M2653" s="55">
        <v>0</v>
      </c>
      <c r="N2653" s="55">
        <v>0</v>
      </c>
    </row>
    <row r="2654" spans="1:14" ht="10.050000000000001" hidden="1" customHeight="1">
      <c r="A2654" s="52" t="s">
        <v>306</v>
      </c>
      <c r="B2654" s="53">
        <v>2016</v>
      </c>
      <c r="C2654" s="52" t="s">
        <v>121</v>
      </c>
      <c r="D2654" s="54">
        <v>7</v>
      </c>
      <c r="E2654" s="55">
        <v>57614</v>
      </c>
      <c r="F2654" s="55">
        <v>940</v>
      </c>
      <c r="G2654" s="55">
        <v>58554</v>
      </c>
      <c r="H2654" s="55">
        <v>75553.8</v>
      </c>
      <c r="I2654" s="55">
        <v>3788.7</v>
      </c>
      <c r="J2654" s="55">
        <v>79342.500000000102</v>
      </c>
      <c r="K2654" s="55">
        <v>16819</v>
      </c>
      <c r="L2654" s="55">
        <v>18108.7</v>
      </c>
      <c r="M2654" s="55">
        <v>2058.8000000000002</v>
      </c>
      <c r="N2654" s="55">
        <v>416</v>
      </c>
    </row>
    <row r="2655" spans="1:14" ht="10.050000000000001" hidden="1" customHeight="1">
      <c r="A2655" s="52" t="s">
        <v>172</v>
      </c>
      <c r="B2655" s="53">
        <v>2016</v>
      </c>
      <c r="C2655" s="52" t="s">
        <v>121</v>
      </c>
      <c r="D2655" s="54">
        <v>7</v>
      </c>
      <c r="E2655" s="55">
        <v>718209.2</v>
      </c>
      <c r="F2655" s="55">
        <v>33634.400000000001</v>
      </c>
      <c r="G2655" s="55">
        <v>751843.6</v>
      </c>
      <c r="H2655" s="55">
        <v>760756.8</v>
      </c>
      <c r="I2655" s="55">
        <v>23463.3</v>
      </c>
      <c r="J2655" s="55">
        <v>784220.1</v>
      </c>
      <c r="K2655" s="55">
        <v>395161.59999999998</v>
      </c>
      <c r="L2655" s="55">
        <v>390289.3</v>
      </c>
      <c r="M2655" s="55">
        <v>9025.7999999999993</v>
      </c>
      <c r="N2655" s="55">
        <v>285.8</v>
      </c>
    </row>
    <row r="2656" spans="1:14" ht="10.050000000000001" hidden="1" customHeight="1">
      <c r="A2656" s="52" t="s">
        <v>171</v>
      </c>
      <c r="B2656" s="53">
        <v>2016</v>
      </c>
      <c r="C2656" s="52" t="s">
        <v>121</v>
      </c>
      <c r="D2656" s="54">
        <v>7</v>
      </c>
      <c r="E2656" s="55">
        <v>7367696.4000000004</v>
      </c>
      <c r="F2656" s="55">
        <v>78045.100000000006</v>
      </c>
      <c r="G2656" s="55">
        <v>7445741.5</v>
      </c>
      <c r="H2656" s="55">
        <v>7694069.9000000004</v>
      </c>
      <c r="I2656" s="55">
        <v>147821.9</v>
      </c>
      <c r="J2656" s="55">
        <v>7841891.7999999998</v>
      </c>
      <c r="K2656" s="55">
        <v>3219284.3</v>
      </c>
      <c r="L2656" s="55">
        <v>3349743.3</v>
      </c>
      <c r="M2656" s="55">
        <v>369003.6</v>
      </c>
      <c r="N2656" s="55">
        <v>36898.699999999997</v>
      </c>
    </row>
    <row r="2657" spans="1:14" ht="10.050000000000001" hidden="1" customHeight="1">
      <c r="A2657" s="52" t="s">
        <v>300</v>
      </c>
      <c r="B2657" s="53">
        <v>2016</v>
      </c>
      <c r="C2657" s="52" t="s">
        <v>121</v>
      </c>
      <c r="D2657" s="54">
        <v>7</v>
      </c>
      <c r="E2657" s="55">
        <v>3675.6</v>
      </c>
      <c r="F2657" s="55">
        <v>0</v>
      </c>
      <c r="G2657" s="55">
        <v>3675.6</v>
      </c>
      <c r="H2657" s="55">
        <v>6670.3</v>
      </c>
      <c r="I2657" s="55">
        <v>2.1</v>
      </c>
      <c r="J2657" s="55">
        <v>6672.4</v>
      </c>
      <c r="K2657" s="55">
        <v>92.5</v>
      </c>
      <c r="L2657" s="55">
        <v>92.5</v>
      </c>
      <c r="M2657" s="55">
        <v>0</v>
      </c>
      <c r="N2657" s="55">
        <v>0</v>
      </c>
    </row>
    <row r="2658" spans="1:14" ht="10.050000000000001" hidden="1" customHeight="1">
      <c r="A2658" s="52" t="s">
        <v>307</v>
      </c>
      <c r="B2658" s="53">
        <v>2016</v>
      </c>
      <c r="C2658" s="52" t="s">
        <v>121</v>
      </c>
      <c r="D2658" s="54">
        <v>7</v>
      </c>
      <c r="E2658" s="55">
        <v>224463.4</v>
      </c>
      <c r="F2658" s="55">
        <v>0</v>
      </c>
      <c r="G2658" s="55">
        <v>224463.4</v>
      </c>
      <c r="H2658" s="55">
        <v>1587101</v>
      </c>
      <c r="I2658" s="55">
        <v>91544.9</v>
      </c>
      <c r="J2658" s="55">
        <v>1678645.9</v>
      </c>
      <c r="K2658" s="55">
        <v>391714.6</v>
      </c>
      <c r="L2658" s="55">
        <v>55291.8</v>
      </c>
      <c r="M2658" s="55">
        <v>110851.2</v>
      </c>
      <c r="N2658" s="55">
        <v>59704.6</v>
      </c>
    </row>
    <row r="2659" spans="1:14" ht="10.050000000000001" hidden="1" customHeight="1">
      <c r="A2659" s="52" t="s">
        <v>315</v>
      </c>
      <c r="B2659" s="53">
        <v>2016</v>
      </c>
      <c r="C2659" s="52" t="s">
        <v>121</v>
      </c>
      <c r="D2659" s="54">
        <v>7</v>
      </c>
      <c r="E2659" s="55">
        <v>89.9</v>
      </c>
      <c r="F2659" s="55">
        <v>0</v>
      </c>
      <c r="G2659" s="55">
        <v>89.9</v>
      </c>
      <c r="H2659" s="55">
        <v>5956.8</v>
      </c>
      <c r="I2659" s="55">
        <v>16.899999999999999</v>
      </c>
      <c r="J2659" s="55">
        <v>5973.7</v>
      </c>
      <c r="K2659" s="55">
        <v>494.7</v>
      </c>
      <c r="L2659" s="55">
        <v>0</v>
      </c>
      <c r="M2659" s="55">
        <v>68.3</v>
      </c>
      <c r="N2659" s="55">
        <v>0</v>
      </c>
    </row>
    <row r="2660" spans="1:14" ht="10.050000000000001" hidden="1" customHeight="1">
      <c r="A2660" s="52" t="s">
        <v>311</v>
      </c>
      <c r="B2660" s="53">
        <v>2016</v>
      </c>
      <c r="C2660" s="52" t="s">
        <v>121</v>
      </c>
      <c r="D2660" s="54">
        <v>7</v>
      </c>
      <c r="E2660" s="55">
        <v>191.4</v>
      </c>
      <c r="F2660" s="55">
        <v>0</v>
      </c>
      <c r="G2660" s="55">
        <v>191.4</v>
      </c>
      <c r="H2660" s="55">
        <v>269.5</v>
      </c>
      <c r="I2660" s="55">
        <v>0</v>
      </c>
      <c r="J2660" s="55">
        <v>269.5</v>
      </c>
      <c r="K2660" s="55">
        <v>0.7</v>
      </c>
      <c r="L2660" s="55">
        <v>0</v>
      </c>
      <c r="M2660" s="55">
        <v>0</v>
      </c>
      <c r="N2660" s="55">
        <v>1.3</v>
      </c>
    </row>
    <row r="2661" spans="1:14" ht="10.050000000000001" hidden="1" customHeight="1">
      <c r="A2661" s="52" t="s">
        <v>173</v>
      </c>
      <c r="B2661" s="53">
        <v>2016</v>
      </c>
      <c r="C2661" s="52" t="s">
        <v>121</v>
      </c>
      <c r="D2661" s="54">
        <v>7</v>
      </c>
      <c r="E2661" s="55">
        <v>4708545.8</v>
      </c>
      <c r="F2661" s="55">
        <v>91030.6</v>
      </c>
      <c r="G2661" s="55">
        <v>4799576.4000000004</v>
      </c>
      <c r="H2661" s="55">
        <v>4634253.5999999996</v>
      </c>
      <c r="I2661" s="55">
        <v>74498.899999999994</v>
      </c>
      <c r="J2661" s="55">
        <v>4708752.5</v>
      </c>
      <c r="K2661" s="55">
        <v>1806304.1</v>
      </c>
      <c r="L2661" s="55">
        <v>2110276.7000000002</v>
      </c>
      <c r="M2661" s="55">
        <v>339706.8</v>
      </c>
      <c r="N2661" s="55">
        <v>40297.5</v>
      </c>
    </row>
    <row r="2662" spans="1:14" ht="10.050000000000001" customHeight="1">
      <c r="A2662" s="52" t="s">
        <v>309</v>
      </c>
      <c r="B2662" s="53">
        <v>2016</v>
      </c>
      <c r="C2662" s="52" t="s">
        <v>121</v>
      </c>
      <c r="D2662" s="54">
        <v>7</v>
      </c>
      <c r="E2662" s="55">
        <v>210.5</v>
      </c>
      <c r="F2662" s="55">
        <v>0</v>
      </c>
      <c r="G2662" s="55">
        <v>210.5</v>
      </c>
      <c r="H2662" s="55">
        <v>28512</v>
      </c>
      <c r="I2662" s="55">
        <v>0</v>
      </c>
      <c r="J2662" s="55">
        <v>28512</v>
      </c>
      <c r="K2662" s="55">
        <v>1487</v>
      </c>
      <c r="L2662" s="55">
        <v>0</v>
      </c>
      <c r="M2662" s="55">
        <v>0</v>
      </c>
      <c r="N2662" s="55">
        <v>19.8</v>
      </c>
    </row>
    <row r="2663" spans="1:14" ht="10.050000000000001" hidden="1" customHeight="1">
      <c r="A2663" s="52" t="s">
        <v>316</v>
      </c>
      <c r="B2663" s="53">
        <v>2016</v>
      </c>
      <c r="C2663" s="52" t="s">
        <v>121</v>
      </c>
      <c r="D2663" s="54">
        <v>7</v>
      </c>
      <c r="E2663" s="55">
        <v>45.4</v>
      </c>
      <c r="F2663" s="55">
        <v>0</v>
      </c>
      <c r="G2663" s="55">
        <v>45.4</v>
      </c>
      <c r="H2663" s="55">
        <v>4900.1000000000004</v>
      </c>
      <c r="I2663" s="55">
        <v>39.4</v>
      </c>
      <c r="J2663" s="55">
        <v>4939.5</v>
      </c>
      <c r="K2663" s="55">
        <v>24.1</v>
      </c>
      <c r="L2663" s="55">
        <v>0</v>
      </c>
      <c r="M2663" s="55">
        <v>23.3</v>
      </c>
      <c r="N2663" s="55">
        <v>3.2</v>
      </c>
    </row>
    <row r="2664" spans="1:14" ht="10.050000000000001" hidden="1" customHeight="1">
      <c r="A2664" s="52" t="s">
        <v>310</v>
      </c>
      <c r="B2664" s="53">
        <v>2016</v>
      </c>
      <c r="C2664" s="52" t="s">
        <v>121</v>
      </c>
      <c r="D2664" s="54">
        <v>7</v>
      </c>
      <c r="E2664" s="55">
        <v>7238.8</v>
      </c>
      <c r="F2664" s="55">
        <v>290.5</v>
      </c>
      <c r="G2664" s="55">
        <v>7529.3</v>
      </c>
      <c r="H2664" s="55">
        <v>16360.1</v>
      </c>
      <c r="I2664" s="55">
        <v>2793.5</v>
      </c>
      <c r="J2664" s="55">
        <v>19153.599999999999</v>
      </c>
      <c r="K2664" s="55">
        <v>2199.4</v>
      </c>
      <c r="L2664" s="55">
        <v>2040.3</v>
      </c>
      <c r="M2664" s="55">
        <v>83.4</v>
      </c>
      <c r="N2664" s="55">
        <v>87.2</v>
      </c>
    </row>
    <row r="2665" spans="1:14" ht="10.050000000000001" hidden="1" customHeight="1">
      <c r="A2665" s="52" t="s">
        <v>308</v>
      </c>
      <c r="B2665" s="53">
        <v>2016</v>
      </c>
      <c r="C2665" s="52" t="s">
        <v>121</v>
      </c>
      <c r="D2665" s="54">
        <v>7</v>
      </c>
      <c r="E2665" s="55">
        <v>519.79999999999995</v>
      </c>
      <c r="F2665" s="55">
        <v>0</v>
      </c>
      <c r="G2665" s="55">
        <v>519.79999999999995</v>
      </c>
      <c r="H2665" s="55">
        <v>20500.099999999999</v>
      </c>
      <c r="I2665" s="55">
        <v>1280.9000000000001</v>
      </c>
      <c r="J2665" s="55">
        <v>21781</v>
      </c>
      <c r="K2665" s="55">
        <v>372</v>
      </c>
      <c r="L2665" s="55">
        <v>62.5</v>
      </c>
      <c r="M2665" s="55">
        <v>301</v>
      </c>
      <c r="N2665" s="55">
        <v>136.19999999999999</v>
      </c>
    </row>
    <row r="2666" spans="1:14" ht="10.050000000000001" hidden="1" customHeight="1">
      <c r="A2666" s="52" t="s">
        <v>174</v>
      </c>
      <c r="B2666" s="53">
        <v>2016</v>
      </c>
      <c r="C2666" s="52" t="s">
        <v>121</v>
      </c>
      <c r="D2666" s="54">
        <v>7</v>
      </c>
      <c r="E2666" s="55">
        <v>152605.5</v>
      </c>
      <c r="F2666" s="55">
        <v>8949.2999999999993</v>
      </c>
      <c r="G2666" s="55">
        <v>161554.79999999999</v>
      </c>
      <c r="H2666" s="55">
        <v>168036.6</v>
      </c>
      <c r="I2666" s="55">
        <v>21997.3</v>
      </c>
      <c r="J2666" s="55">
        <v>190033.9</v>
      </c>
      <c r="K2666" s="55">
        <v>93353.3</v>
      </c>
      <c r="L2666" s="55">
        <v>88438.9</v>
      </c>
      <c r="M2666" s="55">
        <v>3393.4</v>
      </c>
      <c r="N2666" s="55">
        <v>11603.7</v>
      </c>
    </row>
    <row r="2667" spans="1:14" ht="10.050000000000001" hidden="1" customHeight="1">
      <c r="A2667" s="52" t="s">
        <v>314</v>
      </c>
      <c r="B2667" s="53">
        <v>2016</v>
      </c>
      <c r="C2667" s="52" t="s">
        <v>121</v>
      </c>
      <c r="D2667" s="54">
        <v>8</v>
      </c>
      <c r="E2667" s="55">
        <v>49.8</v>
      </c>
      <c r="F2667" s="55">
        <v>0</v>
      </c>
      <c r="G2667" s="55">
        <v>49.8</v>
      </c>
      <c r="H2667" s="55">
        <v>28.3</v>
      </c>
      <c r="I2667" s="55">
        <v>0</v>
      </c>
      <c r="J2667" s="55">
        <v>28.3</v>
      </c>
      <c r="K2667" s="55">
        <v>0</v>
      </c>
      <c r="L2667" s="55">
        <v>0</v>
      </c>
      <c r="M2667" s="55">
        <v>0</v>
      </c>
      <c r="N2667" s="55">
        <v>0</v>
      </c>
    </row>
    <row r="2668" spans="1:14" ht="10.050000000000001" hidden="1" customHeight="1">
      <c r="A2668" s="52" t="s">
        <v>306</v>
      </c>
      <c r="B2668" s="53">
        <v>2016</v>
      </c>
      <c r="C2668" s="52" t="s">
        <v>121</v>
      </c>
      <c r="D2668" s="54">
        <v>8</v>
      </c>
      <c r="E2668" s="55">
        <v>65460.800000000003</v>
      </c>
      <c r="F2668" s="55">
        <v>1668.2</v>
      </c>
      <c r="G2668" s="55">
        <v>67129</v>
      </c>
      <c r="H2668" s="55">
        <v>126560.9</v>
      </c>
      <c r="I2668" s="55">
        <v>4506.3</v>
      </c>
      <c r="J2668" s="55">
        <v>131067.2</v>
      </c>
      <c r="K2668" s="55">
        <v>23231.200000000001</v>
      </c>
      <c r="L2668" s="55">
        <v>19256.7</v>
      </c>
      <c r="M2668" s="55">
        <v>12246.3</v>
      </c>
      <c r="N2668" s="55">
        <v>587.6</v>
      </c>
    </row>
    <row r="2669" spans="1:14" ht="10.050000000000001" hidden="1" customHeight="1">
      <c r="A2669" s="52" t="s">
        <v>172</v>
      </c>
      <c r="B2669" s="53">
        <v>2016</v>
      </c>
      <c r="C2669" s="52" t="s">
        <v>121</v>
      </c>
      <c r="D2669" s="54">
        <v>8</v>
      </c>
      <c r="E2669" s="55">
        <v>76201.600000000006</v>
      </c>
      <c r="F2669" s="55">
        <v>21613.200000000001</v>
      </c>
      <c r="G2669" s="55">
        <v>97814.8</v>
      </c>
      <c r="H2669" s="55">
        <v>747418.9</v>
      </c>
      <c r="I2669" s="55">
        <v>21525.599999999999</v>
      </c>
      <c r="J2669" s="55">
        <v>768944.5</v>
      </c>
      <c r="K2669" s="55">
        <v>412825.1</v>
      </c>
      <c r="L2669" s="55">
        <v>42832.2</v>
      </c>
      <c r="M2669" s="55">
        <v>22425.3</v>
      </c>
      <c r="N2669" s="55">
        <v>888.5</v>
      </c>
    </row>
    <row r="2670" spans="1:14" ht="10.050000000000001" hidden="1" customHeight="1">
      <c r="A2670" s="52" t="s">
        <v>171</v>
      </c>
      <c r="B2670" s="53">
        <v>2016</v>
      </c>
      <c r="C2670" s="52" t="s">
        <v>121</v>
      </c>
      <c r="D2670" s="54">
        <v>8</v>
      </c>
      <c r="E2670" s="55">
        <v>6146064.5999999996</v>
      </c>
      <c r="F2670" s="55">
        <v>185845.4</v>
      </c>
      <c r="G2670" s="55">
        <v>6331910</v>
      </c>
      <c r="H2670" s="55">
        <v>11408983.199999999</v>
      </c>
      <c r="I2670" s="55">
        <v>208222.2</v>
      </c>
      <c r="J2670" s="55">
        <v>11617205.4</v>
      </c>
      <c r="K2670" s="55">
        <v>4762303.9000000004</v>
      </c>
      <c r="L2670" s="55">
        <v>3420554.5</v>
      </c>
      <c r="M2670" s="55">
        <v>1804968.8</v>
      </c>
      <c r="N2670" s="55">
        <v>64077</v>
      </c>
    </row>
    <row r="2671" spans="1:14" ht="10.050000000000001" hidden="1" customHeight="1">
      <c r="A2671" s="52" t="s">
        <v>300</v>
      </c>
      <c r="B2671" s="53">
        <v>2016</v>
      </c>
      <c r="C2671" s="52" t="s">
        <v>121</v>
      </c>
      <c r="D2671" s="54">
        <v>8</v>
      </c>
      <c r="E2671" s="55">
        <v>3997.8</v>
      </c>
      <c r="F2671" s="55">
        <v>36.299999999999997</v>
      </c>
      <c r="G2671" s="55">
        <v>4034.1</v>
      </c>
      <c r="H2671" s="55">
        <v>10005.5</v>
      </c>
      <c r="I2671" s="55">
        <v>27</v>
      </c>
      <c r="J2671" s="55">
        <v>10032.5</v>
      </c>
      <c r="K2671" s="55">
        <v>94.5</v>
      </c>
      <c r="L2671" s="55">
        <v>98</v>
      </c>
      <c r="M2671" s="55">
        <v>93</v>
      </c>
      <c r="N2671" s="55">
        <v>3</v>
      </c>
    </row>
    <row r="2672" spans="1:14" ht="10.050000000000001" hidden="1" customHeight="1">
      <c r="A2672" s="52" t="s">
        <v>307</v>
      </c>
      <c r="B2672" s="53">
        <v>2016</v>
      </c>
      <c r="C2672" s="52" t="s">
        <v>121</v>
      </c>
      <c r="D2672" s="54">
        <v>8</v>
      </c>
      <c r="E2672" s="55">
        <v>248950.9</v>
      </c>
      <c r="F2672" s="55">
        <v>51.2</v>
      </c>
      <c r="G2672" s="55">
        <v>249002.1</v>
      </c>
      <c r="H2672" s="55">
        <v>970316.50000000105</v>
      </c>
      <c r="I2672" s="55">
        <v>80745.100000000006</v>
      </c>
      <c r="J2672" s="55">
        <v>1051061.6000000001</v>
      </c>
      <c r="K2672" s="55">
        <v>252332.6</v>
      </c>
      <c r="L2672" s="55">
        <v>19802.3</v>
      </c>
      <c r="M2672" s="55">
        <v>127766.1</v>
      </c>
      <c r="N2672" s="55">
        <v>30222.9</v>
      </c>
    </row>
    <row r="2673" spans="1:14" ht="10.050000000000001" hidden="1" customHeight="1">
      <c r="A2673" s="52" t="s">
        <v>315</v>
      </c>
      <c r="B2673" s="53">
        <v>2016</v>
      </c>
      <c r="C2673" s="52" t="s">
        <v>121</v>
      </c>
      <c r="D2673" s="54">
        <v>8</v>
      </c>
      <c r="E2673" s="55">
        <v>77</v>
      </c>
      <c r="F2673" s="55">
        <v>0</v>
      </c>
      <c r="G2673" s="55">
        <v>77</v>
      </c>
      <c r="H2673" s="55">
        <v>4662</v>
      </c>
      <c r="I2673" s="55">
        <v>16.899999999999999</v>
      </c>
      <c r="J2673" s="55">
        <v>4678.8999999999996</v>
      </c>
      <c r="K2673" s="55">
        <v>481</v>
      </c>
      <c r="L2673" s="55">
        <v>11.5</v>
      </c>
      <c r="M2673" s="55">
        <v>22.1</v>
      </c>
      <c r="N2673" s="55">
        <v>3.1</v>
      </c>
    </row>
    <row r="2674" spans="1:14" ht="10.050000000000001" hidden="1" customHeight="1">
      <c r="A2674" s="52" t="s">
        <v>311</v>
      </c>
      <c r="B2674" s="53">
        <v>2016</v>
      </c>
      <c r="C2674" s="52" t="s">
        <v>121</v>
      </c>
      <c r="D2674" s="54">
        <v>8</v>
      </c>
      <c r="E2674" s="55">
        <v>64</v>
      </c>
      <c r="F2674" s="55">
        <v>0</v>
      </c>
      <c r="G2674" s="55">
        <v>64</v>
      </c>
      <c r="H2674" s="55">
        <v>333.4</v>
      </c>
      <c r="I2674" s="55">
        <v>0</v>
      </c>
      <c r="J2674" s="55">
        <v>333.4</v>
      </c>
      <c r="K2674" s="55">
        <v>56.5</v>
      </c>
      <c r="L2674" s="55">
        <v>67.2</v>
      </c>
      <c r="M2674" s="55">
        <v>0</v>
      </c>
      <c r="N2674" s="55">
        <v>11.4</v>
      </c>
    </row>
    <row r="2675" spans="1:14" ht="10.050000000000001" hidden="1" customHeight="1">
      <c r="A2675" s="52" t="s">
        <v>173</v>
      </c>
      <c r="B2675" s="53">
        <v>2016</v>
      </c>
      <c r="C2675" s="52" t="s">
        <v>121</v>
      </c>
      <c r="D2675" s="54">
        <v>8</v>
      </c>
      <c r="E2675" s="55">
        <v>1106186.6000000001</v>
      </c>
      <c r="F2675" s="55">
        <v>20008.5</v>
      </c>
      <c r="G2675" s="55">
        <v>1126195.1000000001</v>
      </c>
      <c r="H2675" s="55">
        <v>5224689.4000000004</v>
      </c>
      <c r="I2675" s="55">
        <v>62633.599999999999</v>
      </c>
      <c r="J2675" s="55">
        <v>5287323</v>
      </c>
      <c r="K2675" s="55">
        <v>1566787.6</v>
      </c>
      <c r="L2675" s="55">
        <v>218938.3</v>
      </c>
      <c r="M2675" s="55">
        <v>403812.9</v>
      </c>
      <c r="N2675" s="55">
        <v>51030.7</v>
      </c>
    </row>
    <row r="2676" spans="1:14" ht="10.050000000000001" customHeight="1">
      <c r="A2676" s="52" t="s">
        <v>309</v>
      </c>
      <c r="B2676" s="53">
        <v>2016</v>
      </c>
      <c r="C2676" s="52" t="s">
        <v>121</v>
      </c>
      <c r="D2676" s="54">
        <v>8</v>
      </c>
      <c r="E2676" s="55">
        <v>167.9</v>
      </c>
      <c r="F2676" s="55">
        <v>0</v>
      </c>
      <c r="G2676" s="55">
        <v>167.9</v>
      </c>
      <c r="H2676" s="55">
        <v>22564.799999999999</v>
      </c>
      <c r="I2676" s="55">
        <v>0</v>
      </c>
      <c r="J2676" s="55">
        <v>22564.799999999999</v>
      </c>
      <c r="K2676" s="55">
        <v>1487</v>
      </c>
      <c r="L2676" s="55">
        <v>0</v>
      </c>
      <c r="M2676" s="55">
        <v>0</v>
      </c>
      <c r="N2676" s="55">
        <v>0</v>
      </c>
    </row>
    <row r="2677" spans="1:14" ht="10.050000000000001" hidden="1" customHeight="1">
      <c r="A2677" s="52" t="s">
        <v>316</v>
      </c>
      <c r="B2677" s="53">
        <v>2016</v>
      </c>
      <c r="C2677" s="52" t="s">
        <v>121</v>
      </c>
      <c r="D2677" s="54">
        <v>8</v>
      </c>
      <c r="E2677" s="55">
        <v>165.6</v>
      </c>
      <c r="F2677" s="55">
        <v>0</v>
      </c>
      <c r="G2677" s="55">
        <v>165.6</v>
      </c>
      <c r="H2677" s="55">
        <v>4128.6000000000004</v>
      </c>
      <c r="I2677" s="55">
        <v>39.4</v>
      </c>
      <c r="J2677" s="55">
        <v>4168</v>
      </c>
      <c r="K2677" s="55">
        <v>27.4</v>
      </c>
      <c r="L2677" s="55">
        <v>3.3</v>
      </c>
      <c r="M2677" s="55">
        <v>0</v>
      </c>
      <c r="N2677" s="55">
        <v>0</v>
      </c>
    </row>
    <row r="2678" spans="1:14" ht="10.050000000000001" hidden="1" customHeight="1">
      <c r="A2678" s="52" t="s">
        <v>310</v>
      </c>
      <c r="B2678" s="53">
        <v>2016</v>
      </c>
      <c r="C2678" s="52" t="s">
        <v>121</v>
      </c>
      <c r="D2678" s="54">
        <v>8</v>
      </c>
      <c r="E2678" s="55">
        <v>14659.4</v>
      </c>
      <c r="F2678" s="55">
        <v>379.4</v>
      </c>
      <c r="G2678" s="55">
        <v>15038.8</v>
      </c>
      <c r="H2678" s="55">
        <v>26526.5</v>
      </c>
      <c r="I2678" s="55">
        <v>2953.3</v>
      </c>
      <c r="J2678" s="55">
        <v>29479.8</v>
      </c>
      <c r="K2678" s="55">
        <v>5364.3</v>
      </c>
      <c r="L2678" s="55">
        <v>4597.8</v>
      </c>
      <c r="M2678" s="55">
        <v>1305.8</v>
      </c>
      <c r="N2678" s="55">
        <v>126.9</v>
      </c>
    </row>
    <row r="2679" spans="1:14" ht="10.050000000000001" hidden="1" customHeight="1">
      <c r="A2679" s="52" t="s">
        <v>308</v>
      </c>
      <c r="B2679" s="53">
        <v>2016</v>
      </c>
      <c r="C2679" s="52" t="s">
        <v>121</v>
      </c>
      <c r="D2679" s="54">
        <v>8</v>
      </c>
      <c r="E2679" s="55">
        <v>278.7</v>
      </c>
      <c r="F2679" s="55">
        <v>109.5</v>
      </c>
      <c r="G2679" s="55">
        <v>388.2</v>
      </c>
      <c r="H2679" s="55">
        <v>13427.3</v>
      </c>
      <c r="I2679" s="55">
        <v>1351.8</v>
      </c>
      <c r="J2679" s="55">
        <v>14779.1</v>
      </c>
      <c r="K2679" s="55">
        <v>321.3</v>
      </c>
      <c r="L2679" s="55">
        <v>0</v>
      </c>
      <c r="M2679" s="55">
        <v>50.6</v>
      </c>
      <c r="N2679" s="55">
        <v>0</v>
      </c>
    </row>
    <row r="2680" spans="1:14" ht="10.050000000000001" hidden="1" customHeight="1">
      <c r="A2680" s="52" t="s">
        <v>174</v>
      </c>
      <c r="B2680" s="53">
        <v>2016</v>
      </c>
      <c r="C2680" s="52" t="s">
        <v>121</v>
      </c>
      <c r="D2680" s="54">
        <v>8</v>
      </c>
      <c r="E2680" s="55">
        <v>195104.7</v>
      </c>
      <c r="F2680" s="55">
        <v>9455.1</v>
      </c>
      <c r="G2680" s="55">
        <v>204559.8</v>
      </c>
      <c r="H2680" s="55">
        <v>284941.3</v>
      </c>
      <c r="I2680" s="55">
        <v>27064.1</v>
      </c>
      <c r="J2680" s="55">
        <v>312005.40000000002</v>
      </c>
      <c r="K2680" s="55">
        <v>127597.7</v>
      </c>
      <c r="L2680" s="55">
        <v>66764.899999999994</v>
      </c>
      <c r="M2680" s="55">
        <v>22221.3</v>
      </c>
      <c r="N2680" s="55">
        <v>10196</v>
      </c>
    </row>
    <row r="2681" spans="1:14" ht="10.050000000000001" hidden="1" customHeight="1">
      <c r="A2681" s="52" t="s">
        <v>314</v>
      </c>
      <c r="B2681" s="53">
        <v>2016</v>
      </c>
      <c r="C2681" s="52" t="s">
        <v>121</v>
      </c>
      <c r="D2681" s="54">
        <v>9</v>
      </c>
      <c r="E2681" s="55">
        <v>0</v>
      </c>
      <c r="F2681" s="55">
        <v>0</v>
      </c>
      <c r="G2681" s="55">
        <v>0</v>
      </c>
      <c r="H2681" s="55">
        <v>27.8</v>
      </c>
      <c r="I2681" s="55">
        <v>0</v>
      </c>
      <c r="J2681" s="55">
        <v>27.8</v>
      </c>
      <c r="K2681" s="55">
        <v>0</v>
      </c>
      <c r="L2681" s="55">
        <v>0</v>
      </c>
      <c r="M2681" s="55">
        <v>0</v>
      </c>
      <c r="N2681" s="55">
        <v>0</v>
      </c>
    </row>
    <row r="2682" spans="1:14" ht="10.050000000000001" hidden="1" customHeight="1">
      <c r="A2682" s="52" t="s">
        <v>306</v>
      </c>
      <c r="B2682" s="53">
        <v>2016</v>
      </c>
      <c r="C2682" s="52" t="s">
        <v>121</v>
      </c>
      <c r="D2682" s="54">
        <v>9</v>
      </c>
      <c r="E2682" s="55">
        <v>12516.8</v>
      </c>
      <c r="F2682" s="55">
        <v>1568.5</v>
      </c>
      <c r="G2682" s="55">
        <v>14085.3</v>
      </c>
      <c r="H2682" s="55">
        <v>123905.60000000001</v>
      </c>
      <c r="I2682" s="55">
        <v>3561.9</v>
      </c>
      <c r="J2682" s="55">
        <v>127467.5</v>
      </c>
      <c r="K2682" s="55">
        <v>16764.2</v>
      </c>
      <c r="L2682" s="55">
        <v>1369.2</v>
      </c>
      <c r="M2682" s="55">
        <v>7355.9</v>
      </c>
      <c r="N2682" s="55">
        <v>480.5</v>
      </c>
    </row>
    <row r="2683" spans="1:14" ht="10.050000000000001" hidden="1" customHeight="1">
      <c r="A2683" s="52" t="s">
        <v>172</v>
      </c>
      <c r="B2683" s="53">
        <v>2016</v>
      </c>
      <c r="C2683" s="52" t="s">
        <v>121</v>
      </c>
      <c r="D2683" s="54">
        <v>9</v>
      </c>
      <c r="E2683" s="55">
        <v>82358.100000000006</v>
      </c>
      <c r="F2683" s="55">
        <v>4757.3</v>
      </c>
      <c r="G2683" s="55">
        <v>87115.4</v>
      </c>
      <c r="H2683" s="55">
        <v>706136.9</v>
      </c>
      <c r="I2683" s="55">
        <v>17167.599999999999</v>
      </c>
      <c r="J2683" s="55">
        <v>723304.5</v>
      </c>
      <c r="K2683" s="55">
        <v>359380.7</v>
      </c>
      <c r="L2683" s="55">
        <v>13908.2</v>
      </c>
      <c r="M2683" s="55">
        <v>60629.599999999999</v>
      </c>
      <c r="N2683" s="55">
        <v>6621.8</v>
      </c>
    </row>
    <row r="2684" spans="1:14" ht="10.050000000000001" hidden="1" customHeight="1">
      <c r="A2684" s="52" t="s">
        <v>171</v>
      </c>
      <c r="B2684" s="53">
        <v>2016</v>
      </c>
      <c r="C2684" s="52" t="s">
        <v>121</v>
      </c>
      <c r="D2684" s="54">
        <v>9</v>
      </c>
      <c r="E2684" s="55">
        <v>1515628.2</v>
      </c>
      <c r="F2684" s="55">
        <v>145197.9</v>
      </c>
      <c r="G2684" s="55">
        <v>1660826.1</v>
      </c>
      <c r="H2684" s="55">
        <v>10895602.4</v>
      </c>
      <c r="I2684" s="55">
        <v>167422.5</v>
      </c>
      <c r="J2684" s="55">
        <v>11063024.9</v>
      </c>
      <c r="K2684" s="55">
        <v>4041024</v>
      </c>
      <c r="L2684" s="55">
        <v>335050.40000000002</v>
      </c>
      <c r="M2684" s="55">
        <v>967758.7</v>
      </c>
      <c r="N2684" s="55">
        <v>87950.5</v>
      </c>
    </row>
    <row r="2685" spans="1:14" ht="10.050000000000001" hidden="1" customHeight="1">
      <c r="A2685" s="52" t="s">
        <v>300</v>
      </c>
      <c r="B2685" s="53">
        <v>2016</v>
      </c>
      <c r="C2685" s="52" t="s">
        <v>121</v>
      </c>
      <c r="D2685" s="54">
        <v>9</v>
      </c>
      <c r="E2685" s="55">
        <v>973.00000000000102</v>
      </c>
      <c r="F2685" s="55">
        <v>95.3</v>
      </c>
      <c r="G2685" s="55">
        <v>1068.3</v>
      </c>
      <c r="H2685" s="55">
        <v>10370.200000000001</v>
      </c>
      <c r="I2685" s="55">
        <v>47.9</v>
      </c>
      <c r="J2685" s="55">
        <v>10418.1</v>
      </c>
      <c r="K2685" s="55">
        <v>57.7</v>
      </c>
      <c r="L2685" s="55">
        <v>0</v>
      </c>
      <c r="M2685" s="55">
        <v>11</v>
      </c>
      <c r="N2685" s="55">
        <v>25.8</v>
      </c>
    </row>
    <row r="2686" spans="1:14" ht="10.050000000000001" hidden="1" customHeight="1">
      <c r="A2686" s="52" t="s">
        <v>307</v>
      </c>
      <c r="B2686" s="53">
        <v>2016</v>
      </c>
      <c r="C2686" s="52" t="s">
        <v>121</v>
      </c>
      <c r="D2686" s="54">
        <v>9</v>
      </c>
      <c r="E2686" s="55">
        <v>548469.69999999995</v>
      </c>
      <c r="F2686" s="55">
        <v>59780.3</v>
      </c>
      <c r="G2686" s="55">
        <v>608250</v>
      </c>
      <c r="H2686" s="55">
        <v>678255</v>
      </c>
      <c r="I2686" s="55">
        <v>78993.899999999994</v>
      </c>
      <c r="J2686" s="55">
        <v>757248.9</v>
      </c>
      <c r="K2686" s="55">
        <v>292953.59999999998</v>
      </c>
      <c r="L2686" s="55">
        <v>142549</v>
      </c>
      <c r="M2686" s="55">
        <v>70779.899999999994</v>
      </c>
      <c r="N2686" s="55">
        <v>31248.2</v>
      </c>
    </row>
    <row r="2687" spans="1:14" ht="10.050000000000001" hidden="1" customHeight="1">
      <c r="A2687" s="52" t="s">
        <v>315</v>
      </c>
      <c r="B2687" s="53">
        <v>2016</v>
      </c>
      <c r="C2687" s="52" t="s">
        <v>121</v>
      </c>
      <c r="D2687" s="54">
        <v>9</v>
      </c>
      <c r="E2687" s="55">
        <v>5088.2</v>
      </c>
      <c r="F2687" s="55">
        <v>0</v>
      </c>
      <c r="G2687" s="55">
        <v>5088.2</v>
      </c>
      <c r="H2687" s="55">
        <v>7956.7</v>
      </c>
      <c r="I2687" s="55">
        <v>16.899999999999999</v>
      </c>
      <c r="J2687" s="55">
        <v>7973.6</v>
      </c>
      <c r="K2687" s="55">
        <v>3481.8</v>
      </c>
      <c r="L2687" s="55">
        <v>3818.7</v>
      </c>
      <c r="M2687" s="55">
        <v>817.7</v>
      </c>
      <c r="N2687" s="55">
        <v>0</v>
      </c>
    </row>
    <row r="2688" spans="1:14" ht="10.050000000000001" hidden="1" customHeight="1">
      <c r="A2688" s="52" t="s">
        <v>311</v>
      </c>
      <c r="B2688" s="53">
        <v>2016</v>
      </c>
      <c r="C2688" s="52" t="s">
        <v>121</v>
      </c>
      <c r="D2688" s="54">
        <v>9</v>
      </c>
      <c r="E2688" s="55">
        <v>0</v>
      </c>
      <c r="F2688" s="55">
        <v>0</v>
      </c>
      <c r="G2688" s="55">
        <v>0</v>
      </c>
      <c r="H2688" s="55">
        <v>95.5</v>
      </c>
      <c r="I2688" s="55">
        <v>0</v>
      </c>
      <c r="J2688" s="55">
        <v>95.5</v>
      </c>
      <c r="K2688" s="55">
        <v>52.9</v>
      </c>
      <c r="L2688" s="55">
        <v>0</v>
      </c>
      <c r="M2688" s="55">
        <v>0</v>
      </c>
      <c r="N2688" s="55">
        <v>4.3</v>
      </c>
    </row>
    <row r="2689" spans="1:14" ht="10.050000000000001" hidden="1" customHeight="1">
      <c r="A2689" s="52" t="s">
        <v>173</v>
      </c>
      <c r="B2689" s="53">
        <v>2016</v>
      </c>
      <c r="C2689" s="52" t="s">
        <v>121</v>
      </c>
      <c r="D2689" s="54">
        <v>9</v>
      </c>
      <c r="E2689" s="55">
        <v>405488.5</v>
      </c>
      <c r="F2689" s="55">
        <v>13215.6</v>
      </c>
      <c r="G2689" s="55">
        <v>418704.1</v>
      </c>
      <c r="H2689" s="55">
        <v>5096428</v>
      </c>
      <c r="I2689" s="55">
        <v>46724.800000000003</v>
      </c>
      <c r="J2689" s="55">
        <v>5143152.8</v>
      </c>
      <c r="K2689" s="55">
        <v>1272055.7</v>
      </c>
      <c r="L2689" s="55">
        <v>79149.5</v>
      </c>
      <c r="M2689" s="55">
        <v>293111.5</v>
      </c>
      <c r="N2689" s="55">
        <v>80785.600000000006</v>
      </c>
    </row>
    <row r="2690" spans="1:14" ht="10.050000000000001" customHeight="1">
      <c r="A2690" s="52" t="s">
        <v>309</v>
      </c>
      <c r="B2690" s="53">
        <v>2016</v>
      </c>
      <c r="C2690" s="52" t="s">
        <v>121</v>
      </c>
      <c r="D2690" s="54">
        <v>9</v>
      </c>
      <c r="E2690" s="55">
        <v>4558.6000000000004</v>
      </c>
      <c r="F2690" s="55">
        <v>147.5</v>
      </c>
      <c r="G2690" s="55">
        <v>4706.1000000000004</v>
      </c>
      <c r="H2690" s="55">
        <v>22748.1</v>
      </c>
      <c r="I2690" s="55">
        <v>0</v>
      </c>
      <c r="J2690" s="55">
        <v>22748.1</v>
      </c>
      <c r="K2690" s="55">
        <v>1487</v>
      </c>
      <c r="L2690" s="55">
        <v>0</v>
      </c>
      <c r="M2690" s="55">
        <v>0</v>
      </c>
      <c r="N2690" s="55">
        <v>0</v>
      </c>
    </row>
    <row r="2691" spans="1:14" ht="10.050000000000001" hidden="1" customHeight="1">
      <c r="A2691" s="52" t="s">
        <v>316</v>
      </c>
      <c r="B2691" s="53">
        <v>2016</v>
      </c>
      <c r="C2691" s="52" t="s">
        <v>121</v>
      </c>
      <c r="D2691" s="54">
        <v>9</v>
      </c>
      <c r="E2691" s="55">
        <v>2817.2</v>
      </c>
      <c r="F2691" s="55">
        <v>55.7</v>
      </c>
      <c r="G2691" s="55">
        <v>2872.9</v>
      </c>
      <c r="H2691" s="55">
        <v>5938.9</v>
      </c>
      <c r="I2691" s="55">
        <v>95.1</v>
      </c>
      <c r="J2691" s="55">
        <v>6034</v>
      </c>
      <c r="K2691" s="55">
        <v>234.7</v>
      </c>
      <c r="L2691" s="55">
        <v>282.7</v>
      </c>
      <c r="M2691" s="55">
        <v>75.5</v>
      </c>
      <c r="N2691" s="55">
        <v>0</v>
      </c>
    </row>
    <row r="2692" spans="1:14" ht="10.050000000000001" hidden="1" customHeight="1">
      <c r="A2692" s="52" t="s">
        <v>310</v>
      </c>
      <c r="B2692" s="53">
        <v>2016</v>
      </c>
      <c r="C2692" s="52" t="s">
        <v>121</v>
      </c>
      <c r="D2692" s="54">
        <v>9</v>
      </c>
      <c r="E2692" s="55">
        <v>2845.5</v>
      </c>
      <c r="F2692" s="55">
        <v>232.9</v>
      </c>
      <c r="G2692" s="55">
        <v>3078.4</v>
      </c>
      <c r="H2692" s="55">
        <v>25923.599999999999</v>
      </c>
      <c r="I2692" s="55">
        <v>2513.1999999999998</v>
      </c>
      <c r="J2692" s="55">
        <v>28436.799999999999</v>
      </c>
      <c r="K2692" s="55">
        <v>4439.1000000000004</v>
      </c>
      <c r="L2692" s="55">
        <v>220.5</v>
      </c>
      <c r="M2692" s="55">
        <v>1065.9000000000001</v>
      </c>
      <c r="N2692" s="55">
        <v>79.900000000000006</v>
      </c>
    </row>
    <row r="2693" spans="1:14" ht="10.050000000000001" hidden="1" customHeight="1">
      <c r="A2693" s="52" t="s">
        <v>308</v>
      </c>
      <c r="B2693" s="53">
        <v>2016</v>
      </c>
      <c r="C2693" s="52" t="s">
        <v>121</v>
      </c>
      <c r="D2693" s="54">
        <v>9</v>
      </c>
      <c r="E2693" s="55">
        <v>25822.9</v>
      </c>
      <c r="F2693" s="55">
        <v>431.4</v>
      </c>
      <c r="G2693" s="55">
        <v>26254.3</v>
      </c>
      <c r="H2693" s="55">
        <v>32639.9</v>
      </c>
      <c r="I2693" s="55">
        <v>695.9</v>
      </c>
      <c r="J2693" s="55">
        <v>33335.800000000003</v>
      </c>
      <c r="K2693" s="55">
        <v>6528.7</v>
      </c>
      <c r="L2693" s="55">
        <v>6556.1</v>
      </c>
      <c r="M2693" s="55">
        <v>331.2</v>
      </c>
      <c r="N2693" s="55">
        <v>3.8</v>
      </c>
    </row>
    <row r="2694" spans="1:14" ht="10.050000000000001" hidden="1" customHeight="1">
      <c r="A2694" s="52" t="s">
        <v>174</v>
      </c>
      <c r="B2694" s="53">
        <v>2016</v>
      </c>
      <c r="C2694" s="52" t="s">
        <v>121</v>
      </c>
      <c r="D2694" s="54">
        <v>9</v>
      </c>
      <c r="E2694" s="55">
        <v>27686.1</v>
      </c>
      <c r="F2694" s="55">
        <v>10054.5</v>
      </c>
      <c r="G2694" s="55">
        <v>37740.6</v>
      </c>
      <c r="H2694" s="55">
        <v>259676.1</v>
      </c>
      <c r="I2694" s="55">
        <v>17612.900000000001</v>
      </c>
      <c r="J2694" s="55">
        <v>277289</v>
      </c>
      <c r="K2694" s="55">
        <v>107859.4</v>
      </c>
      <c r="L2694" s="55">
        <v>5153.5</v>
      </c>
      <c r="M2694" s="55">
        <v>13704.5</v>
      </c>
      <c r="N2694" s="55">
        <v>11128.2</v>
      </c>
    </row>
    <row r="2695" spans="1:14" ht="10.050000000000001" hidden="1" customHeight="1">
      <c r="A2695" s="52" t="s">
        <v>314</v>
      </c>
      <c r="B2695" s="53">
        <v>2016</v>
      </c>
      <c r="C2695" s="52" t="s">
        <v>121</v>
      </c>
      <c r="D2695" s="54">
        <v>10</v>
      </c>
      <c r="E2695" s="55">
        <v>0</v>
      </c>
      <c r="F2695" s="55">
        <v>0</v>
      </c>
      <c r="G2695" s="55">
        <v>0</v>
      </c>
      <c r="H2695" s="55">
        <v>27.8</v>
      </c>
      <c r="I2695" s="55">
        <v>0</v>
      </c>
      <c r="J2695" s="55">
        <v>27.8</v>
      </c>
      <c r="K2695" s="55">
        <v>0</v>
      </c>
      <c r="L2695" s="55">
        <v>0</v>
      </c>
      <c r="M2695" s="55">
        <v>0</v>
      </c>
      <c r="N2695" s="55">
        <v>0</v>
      </c>
    </row>
    <row r="2696" spans="1:14" ht="10.050000000000001" hidden="1" customHeight="1">
      <c r="A2696" s="52" t="s">
        <v>306</v>
      </c>
      <c r="B2696" s="53">
        <v>2016</v>
      </c>
      <c r="C2696" s="52" t="s">
        <v>121</v>
      </c>
      <c r="D2696" s="54">
        <v>10</v>
      </c>
      <c r="E2696" s="55">
        <v>6541</v>
      </c>
      <c r="F2696" s="55">
        <v>849.4</v>
      </c>
      <c r="G2696" s="55">
        <v>7390.4</v>
      </c>
      <c r="H2696" s="55">
        <v>117291.3</v>
      </c>
      <c r="I2696" s="55">
        <v>3606.2</v>
      </c>
      <c r="J2696" s="55">
        <v>120897.5</v>
      </c>
      <c r="K2696" s="55">
        <v>13287.8</v>
      </c>
      <c r="L2696" s="55">
        <v>420.1</v>
      </c>
      <c r="M2696" s="55">
        <v>3620.5</v>
      </c>
      <c r="N2696" s="55">
        <v>276.2</v>
      </c>
    </row>
    <row r="2697" spans="1:14" ht="10.050000000000001" hidden="1" customHeight="1">
      <c r="A2697" s="52" t="s">
        <v>172</v>
      </c>
      <c r="B2697" s="53">
        <v>2016</v>
      </c>
      <c r="C2697" s="52" t="s">
        <v>121</v>
      </c>
      <c r="D2697" s="54">
        <v>10</v>
      </c>
      <c r="E2697" s="55">
        <v>96719.6</v>
      </c>
      <c r="F2697" s="55">
        <v>2554.9</v>
      </c>
      <c r="G2697" s="55">
        <v>99274.5</v>
      </c>
      <c r="H2697" s="55">
        <v>690843.8</v>
      </c>
      <c r="I2697" s="55">
        <v>11104.2</v>
      </c>
      <c r="J2697" s="55">
        <v>701948</v>
      </c>
      <c r="K2697" s="55">
        <v>285198.7</v>
      </c>
      <c r="L2697" s="55">
        <v>7165.2</v>
      </c>
      <c r="M2697" s="55">
        <v>68115.600000000006</v>
      </c>
      <c r="N2697" s="55">
        <v>13332.6</v>
      </c>
    </row>
    <row r="2698" spans="1:14" ht="10.050000000000001" hidden="1" customHeight="1">
      <c r="A2698" s="52" t="s">
        <v>171</v>
      </c>
      <c r="B2698" s="53">
        <v>2016</v>
      </c>
      <c r="C2698" s="52" t="s">
        <v>121</v>
      </c>
      <c r="D2698" s="54">
        <v>10</v>
      </c>
      <c r="E2698" s="55">
        <v>973814.3</v>
      </c>
      <c r="F2698" s="55">
        <v>23459.200000000001</v>
      </c>
      <c r="G2698" s="55">
        <v>997273.5</v>
      </c>
      <c r="H2698" s="55">
        <v>10035605.6</v>
      </c>
      <c r="I2698" s="55">
        <v>133690.29999999999</v>
      </c>
      <c r="J2698" s="55">
        <v>10169295.9</v>
      </c>
      <c r="K2698" s="55">
        <v>3589270.6</v>
      </c>
      <c r="L2698" s="55">
        <v>159076.79999999999</v>
      </c>
      <c r="M2698" s="55">
        <v>567206.30000000005</v>
      </c>
      <c r="N2698" s="55">
        <v>44805.5</v>
      </c>
    </row>
    <row r="2699" spans="1:14" ht="10.050000000000001" hidden="1" customHeight="1">
      <c r="A2699" s="52" t="s">
        <v>300</v>
      </c>
      <c r="B2699" s="53">
        <v>2016</v>
      </c>
      <c r="C2699" s="52" t="s">
        <v>121</v>
      </c>
      <c r="D2699" s="54">
        <v>10</v>
      </c>
      <c r="E2699" s="55">
        <v>495.9</v>
      </c>
      <c r="F2699" s="55">
        <v>258.5</v>
      </c>
      <c r="G2699" s="55">
        <v>754.4</v>
      </c>
      <c r="H2699" s="55">
        <v>9836.9000000000106</v>
      </c>
      <c r="I2699" s="55">
        <v>173.7</v>
      </c>
      <c r="J2699" s="55">
        <v>10010.6</v>
      </c>
      <c r="K2699" s="55">
        <v>54.8</v>
      </c>
      <c r="L2699" s="55">
        <v>0</v>
      </c>
      <c r="M2699" s="55">
        <v>0</v>
      </c>
      <c r="N2699" s="55">
        <v>2.9</v>
      </c>
    </row>
    <row r="2700" spans="1:14" ht="10.050000000000001" hidden="1" customHeight="1">
      <c r="A2700" s="52" t="s">
        <v>307</v>
      </c>
      <c r="B2700" s="53">
        <v>2016</v>
      </c>
      <c r="C2700" s="52" t="s">
        <v>121</v>
      </c>
      <c r="D2700" s="54">
        <v>10</v>
      </c>
      <c r="E2700" s="55">
        <v>3681834.8</v>
      </c>
      <c r="F2700" s="55">
        <v>78199.5</v>
      </c>
      <c r="G2700" s="55">
        <v>3760034.3</v>
      </c>
      <c r="H2700" s="55">
        <v>3401054.6</v>
      </c>
      <c r="I2700" s="55">
        <v>135687.20000000001</v>
      </c>
      <c r="J2700" s="55">
        <v>3536741.8</v>
      </c>
      <c r="K2700" s="55">
        <v>1903621.9</v>
      </c>
      <c r="L2700" s="55">
        <v>1849541.9</v>
      </c>
      <c r="M2700" s="55">
        <v>175748.4</v>
      </c>
      <c r="N2700" s="55">
        <v>69006.5</v>
      </c>
    </row>
    <row r="2701" spans="1:14" ht="10.050000000000001" hidden="1" customHeight="1">
      <c r="A2701" s="52" t="s">
        <v>315</v>
      </c>
      <c r="B2701" s="53">
        <v>2016</v>
      </c>
      <c r="C2701" s="52" t="s">
        <v>121</v>
      </c>
      <c r="D2701" s="54">
        <v>10</v>
      </c>
      <c r="E2701" s="55">
        <v>7421.8</v>
      </c>
      <c r="F2701" s="55">
        <v>0</v>
      </c>
      <c r="G2701" s="55">
        <v>7421.8</v>
      </c>
      <c r="H2701" s="55">
        <v>14742.3</v>
      </c>
      <c r="I2701" s="55">
        <v>16.899999999999999</v>
      </c>
      <c r="J2701" s="55">
        <v>14759.2</v>
      </c>
      <c r="K2701" s="55">
        <v>4135.6000000000004</v>
      </c>
      <c r="L2701" s="55">
        <v>3001.7</v>
      </c>
      <c r="M2701" s="55">
        <v>2344.8000000000002</v>
      </c>
      <c r="N2701" s="55">
        <v>3.3</v>
      </c>
    </row>
    <row r="2702" spans="1:14" ht="10.050000000000001" hidden="1" customHeight="1">
      <c r="A2702" s="52" t="s">
        <v>311</v>
      </c>
      <c r="B2702" s="53">
        <v>2016</v>
      </c>
      <c r="C2702" s="52" t="s">
        <v>121</v>
      </c>
      <c r="D2702" s="54">
        <v>10</v>
      </c>
      <c r="E2702" s="55">
        <v>0</v>
      </c>
      <c r="F2702" s="55">
        <v>0</v>
      </c>
      <c r="G2702" s="55">
        <v>0</v>
      </c>
      <c r="H2702" s="55">
        <v>65</v>
      </c>
      <c r="I2702" s="55">
        <v>0</v>
      </c>
      <c r="J2702" s="55">
        <v>65</v>
      </c>
      <c r="K2702" s="55">
        <v>41.2</v>
      </c>
      <c r="L2702" s="55">
        <v>0</v>
      </c>
      <c r="M2702" s="55">
        <v>0</v>
      </c>
      <c r="N2702" s="55">
        <v>11.7</v>
      </c>
    </row>
    <row r="2703" spans="1:14" ht="10.050000000000001" hidden="1" customHeight="1">
      <c r="A2703" s="52" t="s">
        <v>173</v>
      </c>
      <c r="B2703" s="53">
        <v>2016</v>
      </c>
      <c r="C2703" s="52" t="s">
        <v>121</v>
      </c>
      <c r="D2703" s="54">
        <v>10</v>
      </c>
      <c r="E2703" s="55">
        <v>267024.2</v>
      </c>
      <c r="F2703" s="55">
        <v>16351.8</v>
      </c>
      <c r="G2703" s="55">
        <v>283376</v>
      </c>
      <c r="H2703" s="55">
        <v>4920365.2</v>
      </c>
      <c r="I2703" s="55">
        <v>50881.7</v>
      </c>
      <c r="J2703" s="55">
        <v>4971246.9000000004</v>
      </c>
      <c r="K2703" s="55">
        <v>1119420.2</v>
      </c>
      <c r="L2703" s="55">
        <v>22555.9</v>
      </c>
      <c r="M2703" s="55">
        <v>156318.20000000001</v>
      </c>
      <c r="N2703" s="55">
        <v>20211</v>
      </c>
    </row>
    <row r="2704" spans="1:14" ht="10.050000000000001" customHeight="1">
      <c r="A2704" s="52" t="s">
        <v>309</v>
      </c>
      <c r="B2704" s="53">
        <v>2016</v>
      </c>
      <c r="C2704" s="52" t="s">
        <v>121</v>
      </c>
      <c r="D2704" s="54">
        <v>10</v>
      </c>
      <c r="E2704" s="55">
        <v>30947.5</v>
      </c>
      <c r="F2704" s="55">
        <v>1196</v>
      </c>
      <c r="G2704" s="55">
        <v>32143.5</v>
      </c>
      <c r="H2704" s="55">
        <v>60915</v>
      </c>
      <c r="I2704" s="55">
        <v>0</v>
      </c>
      <c r="J2704" s="55">
        <v>60915</v>
      </c>
      <c r="K2704" s="55">
        <v>2030.7</v>
      </c>
      <c r="L2704" s="55">
        <v>543.6</v>
      </c>
      <c r="M2704" s="55">
        <v>0</v>
      </c>
      <c r="N2704" s="55">
        <v>0</v>
      </c>
    </row>
    <row r="2705" spans="1:14" ht="10.050000000000001" hidden="1" customHeight="1">
      <c r="A2705" s="52" t="s">
        <v>316</v>
      </c>
      <c r="B2705" s="53">
        <v>2016</v>
      </c>
      <c r="C2705" s="52" t="s">
        <v>121</v>
      </c>
      <c r="D2705" s="54">
        <v>10</v>
      </c>
      <c r="E2705" s="55">
        <v>6269.8</v>
      </c>
      <c r="F2705" s="55">
        <v>47.4</v>
      </c>
      <c r="G2705" s="55">
        <v>6317.2</v>
      </c>
      <c r="H2705" s="55">
        <v>11883.4</v>
      </c>
      <c r="I2705" s="55">
        <v>142.6</v>
      </c>
      <c r="J2705" s="55">
        <v>12026</v>
      </c>
      <c r="K2705" s="55">
        <v>524.70000000000005</v>
      </c>
      <c r="L2705" s="55">
        <v>363.7</v>
      </c>
      <c r="M2705" s="55">
        <v>59.6</v>
      </c>
      <c r="N2705" s="55">
        <v>10.4</v>
      </c>
    </row>
    <row r="2706" spans="1:14" ht="10.050000000000001" hidden="1" customHeight="1">
      <c r="A2706" s="52" t="s">
        <v>310</v>
      </c>
      <c r="B2706" s="53">
        <v>2016</v>
      </c>
      <c r="C2706" s="52" t="s">
        <v>121</v>
      </c>
      <c r="D2706" s="54">
        <v>10</v>
      </c>
      <c r="E2706" s="55">
        <v>1048.8</v>
      </c>
      <c r="F2706" s="55">
        <v>30.4</v>
      </c>
      <c r="G2706" s="55">
        <v>1079.2</v>
      </c>
      <c r="H2706" s="55">
        <v>24875.1</v>
      </c>
      <c r="I2706" s="55">
        <v>2100.9</v>
      </c>
      <c r="J2706" s="55">
        <v>26976</v>
      </c>
      <c r="K2706" s="55">
        <v>3853.3</v>
      </c>
      <c r="L2706" s="55">
        <v>131.19999999999999</v>
      </c>
      <c r="M2706" s="55">
        <v>667.5</v>
      </c>
      <c r="N2706" s="55">
        <v>49.3</v>
      </c>
    </row>
    <row r="2707" spans="1:14" ht="10.050000000000001" hidden="1" customHeight="1">
      <c r="A2707" s="52" t="s">
        <v>308</v>
      </c>
      <c r="B2707" s="53">
        <v>2016</v>
      </c>
      <c r="C2707" s="52" t="s">
        <v>121</v>
      </c>
      <c r="D2707" s="54">
        <v>10</v>
      </c>
      <c r="E2707" s="55">
        <v>69546.5</v>
      </c>
      <c r="F2707" s="55">
        <v>83.7</v>
      </c>
      <c r="G2707" s="55">
        <v>69630.2</v>
      </c>
      <c r="H2707" s="55">
        <v>89246.8</v>
      </c>
      <c r="I2707" s="55">
        <v>727.6</v>
      </c>
      <c r="J2707" s="55">
        <v>89974.399999999994</v>
      </c>
      <c r="K2707" s="55">
        <v>19091.3</v>
      </c>
      <c r="L2707" s="55">
        <v>18972.8</v>
      </c>
      <c r="M2707" s="55">
        <v>5815.2</v>
      </c>
      <c r="N2707" s="55">
        <v>623.9</v>
      </c>
    </row>
    <row r="2708" spans="1:14" ht="10.050000000000001" hidden="1" customHeight="1">
      <c r="A2708" s="52" t="s">
        <v>174</v>
      </c>
      <c r="B2708" s="53">
        <v>2016</v>
      </c>
      <c r="C2708" s="52" t="s">
        <v>121</v>
      </c>
      <c r="D2708" s="54">
        <v>10</v>
      </c>
      <c r="E2708" s="55">
        <v>12908.5</v>
      </c>
      <c r="F2708" s="55">
        <v>2950.2</v>
      </c>
      <c r="G2708" s="55">
        <v>15858.7</v>
      </c>
      <c r="H2708" s="55">
        <v>233450.3</v>
      </c>
      <c r="I2708" s="55">
        <v>14472</v>
      </c>
      <c r="J2708" s="55">
        <v>247922.3</v>
      </c>
      <c r="K2708" s="55">
        <v>97158.5</v>
      </c>
      <c r="L2708" s="55">
        <v>3056.6</v>
      </c>
      <c r="M2708" s="55">
        <v>6391.7</v>
      </c>
      <c r="N2708" s="55">
        <v>7854</v>
      </c>
    </row>
    <row r="2709" spans="1:14" ht="10.050000000000001" hidden="1" customHeight="1">
      <c r="A2709" s="52" t="s">
        <v>314</v>
      </c>
      <c r="B2709" s="53">
        <v>2016</v>
      </c>
      <c r="C2709" s="52" t="s">
        <v>121</v>
      </c>
      <c r="D2709" s="54">
        <v>11</v>
      </c>
      <c r="E2709" s="55">
        <v>0</v>
      </c>
      <c r="F2709" s="55">
        <v>0</v>
      </c>
      <c r="G2709" s="55">
        <v>0</v>
      </c>
      <c r="H2709" s="55">
        <v>27.8</v>
      </c>
      <c r="I2709" s="55">
        <v>0</v>
      </c>
      <c r="J2709" s="55">
        <v>27.8</v>
      </c>
      <c r="K2709" s="55">
        <v>0</v>
      </c>
      <c r="L2709" s="55">
        <v>0</v>
      </c>
      <c r="M2709" s="55">
        <v>0</v>
      </c>
      <c r="N2709" s="55">
        <v>0</v>
      </c>
    </row>
    <row r="2710" spans="1:14" ht="10.050000000000001" hidden="1" customHeight="1">
      <c r="A2710" s="52" t="s">
        <v>306</v>
      </c>
      <c r="B2710" s="53">
        <v>2016</v>
      </c>
      <c r="C2710" s="52" t="s">
        <v>121</v>
      </c>
      <c r="D2710" s="54">
        <v>11</v>
      </c>
      <c r="E2710" s="55">
        <v>4865.8999999999996</v>
      </c>
      <c r="F2710" s="55">
        <v>1692.3</v>
      </c>
      <c r="G2710" s="55">
        <v>6558.2</v>
      </c>
      <c r="H2710" s="55">
        <v>110713.60000000001</v>
      </c>
      <c r="I2710" s="55">
        <v>4801.8999999999996</v>
      </c>
      <c r="J2710" s="55">
        <v>115515.5</v>
      </c>
      <c r="K2710" s="55">
        <v>11412.9</v>
      </c>
      <c r="L2710" s="55">
        <v>818.6</v>
      </c>
      <c r="M2710" s="55">
        <v>2130.5</v>
      </c>
      <c r="N2710" s="55">
        <v>567.20000000000005</v>
      </c>
    </row>
    <row r="2711" spans="1:14" ht="10.050000000000001" hidden="1" customHeight="1">
      <c r="A2711" s="52" t="s">
        <v>172</v>
      </c>
      <c r="B2711" s="53">
        <v>2016</v>
      </c>
      <c r="C2711" s="52" t="s">
        <v>121</v>
      </c>
      <c r="D2711" s="54">
        <v>11</v>
      </c>
      <c r="E2711" s="55">
        <v>90163.7</v>
      </c>
      <c r="F2711" s="55">
        <v>815.4</v>
      </c>
      <c r="G2711" s="55">
        <v>90979.1</v>
      </c>
      <c r="H2711" s="55">
        <v>674412.2</v>
      </c>
      <c r="I2711" s="55">
        <v>8953.2999999999993</v>
      </c>
      <c r="J2711" s="55">
        <v>683365.5</v>
      </c>
      <c r="K2711" s="55">
        <v>226827.8</v>
      </c>
      <c r="L2711" s="55">
        <v>7007.2</v>
      </c>
      <c r="M2711" s="55">
        <v>51609.8</v>
      </c>
      <c r="N2711" s="55">
        <v>13769</v>
      </c>
    </row>
    <row r="2712" spans="1:14" ht="10.050000000000001" hidden="1" customHeight="1">
      <c r="A2712" s="52" t="s">
        <v>171</v>
      </c>
      <c r="B2712" s="53">
        <v>2016</v>
      </c>
      <c r="C2712" s="52" t="s">
        <v>121</v>
      </c>
      <c r="D2712" s="54">
        <v>11</v>
      </c>
      <c r="E2712" s="55">
        <v>1233034.6000000001</v>
      </c>
      <c r="F2712" s="55">
        <v>13554.1</v>
      </c>
      <c r="G2712" s="55">
        <v>1246588.7</v>
      </c>
      <c r="H2712" s="55">
        <v>9315724.6000000108</v>
      </c>
      <c r="I2712" s="55">
        <v>126213.1</v>
      </c>
      <c r="J2712" s="55">
        <v>9441937.7000000104</v>
      </c>
      <c r="K2712" s="55">
        <v>3242622.1</v>
      </c>
      <c r="L2712" s="55">
        <v>309526.5</v>
      </c>
      <c r="M2712" s="55">
        <v>621168.6</v>
      </c>
      <c r="N2712" s="55">
        <v>34993.599999999999</v>
      </c>
    </row>
    <row r="2713" spans="1:14" ht="10.050000000000001" hidden="1" customHeight="1">
      <c r="A2713" s="52" t="s">
        <v>300</v>
      </c>
      <c r="B2713" s="53">
        <v>2016</v>
      </c>
      <c r="C2713" s="52" t="s">
        <v>121</v>
      </c>
      <c r="D2713" s="54">
        <v>11</v>
      </c>
      <c r="E2713" s="55">
        <v>669.3</v>
      </c>
      <c r="F2713" s="55">
        <v>0</v>
      </c>
      <c r="G2713" s="55">
        <v>669.3</v>
      </c>
      <c r="H2713" s="55">
        <v>9423.8000000000102</v>
      </c>
      <c r="I2713" s="55">
        <v>25</v>
      </c>
      <c r="J2713" s="55">
        <v>9448.8000000000102</v>
      </c>
      <c r="K2713" s="55">
        <v>51.9</v>
      </c>
      <c r="L2713" s="55">
        <v>0</v>
      </c>
      <c r="M2713" s="55">
        <v>0</v>
      </c>
      <c r="N2713" s="55">
        <v>2.9</v>
      </c>
    </row>
    <row r="2714" spans="1:14" ht="10.050000000000001" hidden="1" customHeight="1">
      <c r="A2714" s="52" t="s">
        <v>307</v>
      </c>
      <c r="B2714" s="53">
        <v>2016</v>
      </c>
      <c r="C2714" s="52" t="s">
        <v>121</v>
      </c>
      <c r="D2714" s="54">
        <v>11</v>
      </c>
      <c r="E2714" s="55">
        <v>2138427.2999999998</v>
      </c>
      <c r="F2714" s="55">
        <v>60456.7</v>
      </c>
      <c r="G2714" s="55">
        <v>2198884</v>
      </c>
      <c r="H2714" s="55">
        <v>4568163.7</v>
      </c>
      <c r="I2714" s="55">
        <v>154747.79999999999</v>
      </c>
      <c r="J2714" s="55">
        <v>4722911.5</v>
      </c>
      <c r="K2714" s="55">
        <v>2048949.8</v>
      </c>
      <c r="L2714" s="55">
        <v>800711.2</v>
      </c>
      <c r="M2714" s="55">
        <v>561378.9</v>
      </c>
      <c r="N2714" s="55">
        <v>95631.9</v>
      </c>
    </row>
    <row r="2715" spans="1:14" ht="10.050000000000001" hidden="1" customHeight="1">
      <c r="A2715" s="52" t="s">
        <v>315</v>
      </c>
      <c r="B2715" s="53">
        <v>2016</v>
      </c>
      <c r="C2715" s="52" t="s">
        <v>121</v>
      </c>
      <c r="D2715" s="54">
        <v>11</v>
      </c>
      <c r="E2715" s="55">
        <v>3421.2</v>
      </c>
      <c r="F2715" s="55">
        <v>0</v>
      </c>
      <c r="G2715" s="55">
        <v>3421.2</v>
      </c>
      <c r="H2715" s="55">
        <v>15732.4</v>
      </c>
      <c r="I2715" s="55">
        <v>16.899999999999999</v>
      </c>
      <c r="J2715" s="55">
        <v>15749.3</v>
      </c>
      <c r="K2715" s="55">
        <v>2181.1</v>
      </c>
      <c r="L2715" s="55">
        <v>317.10000000000002</v>
      </c>
      <c r="M2715" s="55">
        <v>2271.4</v>
      </c>
      <c r="N2715" s="55">
        <v>0.1</v>
      </c>
    </row>
    <row r="2716" spans="1:14" ht="10.050000000000001" hidden="1" customHeight="1">
      <c r="A2716" s="52" t="s">
        <v>311</v>
      </c>
      <c r="B2716" s="53">
        <v>2016</v>
      </c>
      <c r="C2716" s="52" t="s">
        <v>121</v>
      </c>
      <c r="D2716" s="54">
        <v>11</v>
      </c>
      <c r="E2716" s="55">
        <v>336.5</v>
      </c>
      <c r="F2716" s="55">
        <v>0</v>
      </c>
      <c r="G2716" s="55">
        <v>336.5</v>
      </c>
      <c r="H2716" s="55">
        <v>267.2</v>
      </c>
      <c r="I2716" s="55">
        <v>0</v>
      </c>
      <c r="J2716" s="55">
        <v>267.2</v>
      </c>
      <c r="K2716" s="55">
        <v>36</v>
      </c>
      <c r="L2716" s="55">
        <v>0</v>
      </c>
      <c r="M2716" s="55">
        <v>0</v>
      </c>
      <c r="N2716" s="55">
        <v>5.2</v>
      </c>
    </row>
    <row r="2717" spans="1:14" ht="10.050000000000001" hidden="1" customHeight="1">
      <c r="A2717" s="52" t="s">
        <v>173</v>
      </c>
      <c r="B2717" s="53">
        <v>2016</v>
      </c>
      <c r="C2717" s="52" t="s">
        <v>121</v>
      </c>
      <c r="D2717" s="54">
        <v>11</v>
      </c>
      <c r="E2717" s="55">
        <v>278741.90000000002</v>
      </c>
      <c r="F2717" s="55">
        <v>19523.5</v>
      </c>
      <c r="G2717" s="55">
        <v>298265.40000000002</v>
      </c>
      <c r="H2717" s="55">
        <v>4595463.2</v>
      </c>
      <c r="I2717" s="55">
        <v>55249.1</v>
      </c>
      <c r="J2717" s="55">
        <v>4650712.3</v>
      </c>
      <c r="K2717" s="55">
        <v>967469.3</v>
      </c>
      <c r="L2717" s="55">
        <v>34993.599999999999</v>
      </c>
      <c r="M2717" s="55">
        <v>159338.1</v>
      </c>
      <c r="N2717" s="55">
        <v>27606.1</v>
      </c>
    </row>
    <row r="2718" spans="1:14" ht="10.050000000000001" customHeight="1">
      <c r="A2718" s="52" t="s">
        <v>309</v>
      </c>
      <c r="B2718" s="53">
        <v>2016</v>
      </c>
      <c r="C2718" s="52" t="s">
        <v>121</v>
      </c>
      <c r="D2718" s="54">
        <v>11</v>
      </c>
      <c r="E2718" s="55">
        <v>6223.2</v>
      </c>
      <c r="F2718" s="55">
        <v>331.4</v>
      </c>
      <c r="G2718" s="55">
        <v>6554.6</v>
      </c>
      <c r="H2718" s="55">
        <v>69627.100000000006</v>
      </c>
      <c r="I2718" s="55">
        <v>0</v>
      </c>
      <c r="J2718" s="55">
        <v>69627.100000000006</v>
      </c>
      <c r="K2718" s="55">
        <v>3080.4</v>
      </c>
      <c r="L2718" s="55">
        <v>1300</v>
      </c>
      <c r="M2718" s="55">
        <v>54</v>
      </c>
      <c r="N2718" s="55">
        <v>196.4</v>
      </c>
    </row>
    <row r="2719" spans="1:14" ht="10.050000000000001" hidden="1" customHeight="1">
      <c r="A2719" s="52" t="s">
        <v>316</v>
      </c>
      <c r="B2719" s="53">
        <v>2016</v>
      </c>
      <c r="C2719" s="52" t="s">
        <v>121</v>
      </c>
      <c r="D2719" s="54">
        <v>11</v>
      </c>
      <c r="E2719" s="55">
        <v>2542.6</v>
      </c>
      <c r="F2719" s="55">
        <v>7</v>
      </c>
      <c r="G2719" s="55">
        <v>2549.6</v>
      </c>
      <c r="H2719" s="55">
        <v>13716.4</v>
      </c>
      <c r="I2719" s="55">
        <v>148.4</v>
      </c>
      <c r="J2719" s="55">
        <v>13864.8</v>
      </c>
      <c r="K2719" s="55">
        <v>553.70000000000005</v>
      </c>
      <c r="L2719" s="55">
        <v>415.8</v>
      </c>
      <c r="M2719" s="55">
        <v>331.3</v>
      </c>
      <c r="N2719" s="55">
        <v>55.3</v>
      </c>
    </row>
    <row r="2720" spans="1:14" ht="10.050000000000001" hidden="1" customHeight="1">
      <c r="A2720" s="52" t="s">
        <v>310</v>
      </c>
      <c r="B2720" s="53">
        <v>2016</v>
      </c>
      <c r="C2720" s="52" t="s">
        <v>121</v>
      </c>
      <c r="D2720" s="54">
        <v>11</v>
      </c>
      <c r="E2720" s="55">
        <v>1413.2</v>
      </c>
      <c r="F2720" s="55">
        <v>0</v>
      </c>
      <c r="G2720" s="55">
        <v>1413.2</v>
      </c>
      <c r="H2720" s="55">
        <v>24199.3</v>
      </c>
      <c r="I2720" s="55">
        <v>2033.2</v>
      </c>
      <c r="J2720" s="55">
        <v>26232.5</v>
      </c>
      <c r="K2720" s="55">
        <v>2981.6</v>
      </c>
      <c r="L2720" s="55">
        <v>15.7</v>
      </c>
      <c r="M2720" s="55">
        <v>822.3</v>
      </c>
      <c r="N2720" s="55">
        <v>65.099999999999994</v>
      </c>
    </row>
    <row r="2721" spans="1:14" ht="10.050000000000001" hidden="1" customHeight="1">
      <c r="A2721" s="52" t="s">
        <v>308</v>
      </c>
      <c r="B2721" s="53">
        <v>2016</v>
      </c>
      <c r="C2721" s="52" t="s">
        <v>121</v>
      </c>
      <c r="D2721" s="54">
        <v>11</v>
      </c>
      <c r="E2721" s="55">
        <v>24214</v>
      </c>
      <c r="F2721" s="55">
        <v>19.5</v>
      </c>
      <c r="G2721" s="55">
        <v>24233.5</v>
      </c>
      <c r="H2721" s="55">
        <v>95792.8</v>
      </c>
      <c r="I2721" s="55">
        <v>744</v>
      </c>
      <c r="J2721" s="55">
        <v>96536.8</v>
      </c>
      <c r="K2721" s="55">
        <v>10958.7</v>
      </c>
      <c r="L2721" s="55">
        <v>3758</v>
      </c>
      <c r="M2721" s="55">
        <v>11318.9</v>
      </c>
      <c r="N2721" s="55">
        <v>510.6</v>
      </c>
    </row>
    <row r="2722" spans="1:14" ht="10.050000000000001" hidden="1" customHeight="1">
      <c r="A2722" s="52" t="s">
        <v>174</v>
      </c>
      <c r="B2722" s="53">
        <v>2016</v>
      </c>
      <c r="C2722" s="52" t="s">
        <v>121</v>
      </c>
      <c r="D2722" s="54">
        <v>11</v>
      </c>
      <c r="E2722" s="55">
        <v>11905.7</v>
      </c>
      <c r="F2722" s="55">
        <v>446.5</v>
      </c>
      <c r="G2722" s="55">
        <v>12352.2</v>
      </c>
      <c r="H2722" s="55">
        <v>203316.1</v>
      </c>
      <c r="I2722" s="55">
        <v>13382.3</v>
      </c>
      <c r="J2722" s="55">
        <v>216698.4</v>
      </c>
      <c r="K2722" s="55">
        <v>84985.8</v>
      </c>
      <c r="L2722" s="55">
        <v>3498</v>
      </c>
      <c r="M2722" s="55">
        <v>6447.7</v>
      </c>
      <c r="N2722" s="55">
        <v>8736.6</v>
      </c>
    </row>
    <row r="2723" spans="1:14" ht="10.050000000000001" hidden="1" customHeight="1">
      <c r="A2723" s="52" t="s">
        <v>314</v>
      </c>
      <c r="B2723" s="53">
        <v>2016</v>
      </c>
      <c r="C2723" s="52" t="s">
        <v>121</v>
      </c>
      <c r="D2723" s="54">
        <v>12</v>
      </c>
      <c r="E2723" s="55">
        <v>0</v>
      </c>
      <c r="F2723" s="55">
        <v>0</v>
      </c>
      <c r="G2723" s="55">
        <v>0</v>
      </c>
      <c r="H2723" s="55">
        <v>25.4</v>
      </c>
      <c r="I2723" s="55">
        <v>0</v>
      </c>
      <c r="J2723" s="55">
        <v>25.4</v>
      </c>
      <c r="K2723" s="55">
        <v>0</v>
      </c>
      <c r="L2723" s="55">
        <v>0</v>
      </c>
      <c r="M2723" s="55">
        <v>0</v>
      </c>
      <c r="N2723" s="55">
        <v>0</v>
      </c>
    </row>
    <row r="2724" spans="1:14" ht="10.050000000000001" hidden="1" customHeight="1">
      <c r="A2724" s="52" t="s">
        <v>306</v>
      </c>
      <c r="B2724" s="53">
        <v>2016</v>
      </c>
      <c r="C2724" s="52" t="s">
        <v>121</v>
      </c>
      <c r="D2724" s="54">
        <v>12</v>
      </c>
      <c r="E2724" s="55">
        <v>3840.5</v>
      </c>
      <c r="F2724" s="55">
        <v>373.5</v>
      </c>
      <c r="G2724" s="55">
        <v>4214</v>
      </c>
      <c r="H2724" s="55">
        <v>105357.5</v>
      </c>
      <c r="I2724" s="55">
        <v>3523.3</v>
      </c>
      <c r="J2724" s="55">
        <v>108880.8</v>
      </c>
      <c r="K2724" s="55">
        <v>9818.6</v>
      </c>
      <c r="L2724" s="55">
        <v>428.5</v>
      </c>
      <c r="M2724" s="55">
        <v>1570.6</v>
      </c>
      <c r="N2724" s="55">
        <v>452.2</v>
      </c>
    </row>
    <row r="2725" spans="1:14" ht="10.050000000000001" hidden="1" customHeight="1">
      <c r="A2725" s="52" t="s">
        <v>172</v>
      </c>
      <c r="B2725" s="53">
        <v>2016</v>
      </c>
      <c r="C2725" s="52" t="s">
        <v>121</v>
      </c>
      <c r="D2725" s="54">
        <v>12</v>
      </c>
      <c r="E2725" s="55">
        <v>59514.9</v>
      </c>
      <c r="F2725" s="55">
        <v>147</v>
      </c>
      <c r="G2725" s="55">
        <v>59661.9</v>
      </c>
      <c r="H2725" s="55">
        <v>649493.19999999995</v>
      </c>
      <c r="I2725" s="55">
        <v>7761.8</v>
      </c>
      <c r="J2725" s="55">
        <v>657255</v>
      </c>
      <c r="K2725" s="55">
        <v>200445.9</v>
      </c>
      <c r="L2725" s="55">
        <v>6251.6</v>
      </c>
      <c r="M2725" s="55">
        <v>28920.2</v>
      </c>
      <c r="N2725" s="55">
        <v>3712.8</v>
      </c>
    </row>
    <row r="2726" spans="1:14" ht="10.050000000000001" hidden="1" customHeight="1">
      <c r="A2726" s="52" t="s">
        <v>171</v>
      </c>
      <c r="B2726" s="53">
        <v>2016</v>
      </c>
      <c r="C2726" s="52" t="s">
        <v>121</v>
      </c>
      <c r="D2726" s="54">
        <v>12</v>
      </c>
      <c r="E2726" s="55">
        <v>1254125.7</v>
      </c>
      <c r="F2726" s="55">
        <v>10084.799999999999</v>
      </c>
      <c r="G2726" s="55">
        <v>1264210.5</v>
      </c>
      <c r="H2726" s="55">
        <v>8714997.1999999993</v>
      </c>
      <c r="I2726" s="55">
        <v>112071.2</v>
      </c>
      <c r="J2726" s="55">
        <v>8827068.4000000004</v>
      </c>
      <c r="K2726" s="55">
        <v>2838771.9</v>
      </c>
      <c r="L2726" s="55">
        <v>298210.59999999998</v>
      </c>
      <c r="M2726" s="55">
        <v>670032.5</v>
      </c>
      <c r="N2726" s="55">
        <v>32151.9</v>
      </c>
    </row>
    <row r="2727" spans="1:14" ht="10.050000000000001" hidden="1" customHeight="1">
      <c r="A2727" s="52" t="s">
        <v>300</v>
      </c>
      <c r="B2727" s="53">
        <v>2016</v>
      </c>
      <c r="C2727" s="52" t="s">
        <v>121</v>
      </c>
      <c r="D2727" s="54">
        <v>12</v>
      </c>
      <c r="E2727" s="55">
        <v>637.29999999999995</v>
      </c>
      <c r="F2727" s="55">
        <v>0</v>
      </c>
      <c r="G2727" s="55">
        <v>637.29999999999995</v>
      </c>
      <c r="H2727" s="55">
        <v>9137.5</v>
      </c>
      <c r="I2727" s="55">
        <v>25</v>
      </c>
      <c r="J2727" s="55">
        <v>9162.5</v>
      </c>
      <c r="K2727" s="55">
        <v>39.4</v>
      </c>
      <c r="L2727" s="55">
        <v>0</v>
      </c>
      <c r="M2727" s="55">
        <v>10.199999999999999</v>
      </c>
      <c r="N2727" s="55">
        <v>2.2000000000000002</v>
      </c>
    </row>
    <row r="2728" spans="1:14" ht="10.050000000000001" hidden="1" customHeight="1">
      <c r="A2728" s="52" t="s">
        <v>307</v>
      </c>
      <c r="B2728" s="53">
        <v>2016</v>
      </c>
      <c r="C2728" s="52" t="s">
        <v>121</v>
      </c>
      <c r="D2728" s="54">
        <v>12</v>
      </c>
      <c r="E2728" s="55">
        <v>574408.6</v>
      </c>
      <c r="F2728" s="55">
        <v>26253.1</v>
      </c>
      <c r="G2728" s="55">
        <v>600661.69999999995</v>
      </c>
      <c r="H2728" s="55">
        <v>4375903.2</v>
      </c>
      <c r="I2728" s="55">
        <v>134255.9</v>
      </c>
      <c r="J2728" s="55">
        <v>4510159.0999999996</v>
      </c>
      <c r="K2728" s="55">
        <v>1746045.2</v>
      </c>
      <c r="L2728" s="55">
        <v>85400.3</v>
      </c>
      <c r="M2728" s="55">
        <v>296257.90000000002</v>
      </c>
      <c r="N2728" s="55">
        <v>89316.4</v>
      </c>
    </row>
    <row r="2729" spans="1:14" ht="10.050000000000001" hidden="1" customHeight="1">
      <c r="A2729" s="52" t="s">
        <v>315</v>
      </c>
      <c r="B2729" s="53">
        <v>2016</v>
      </c>
      <c r="C2729" s="52" t="s">
        <v>121</v>
      </c>
      <c r="D2729" s="54">
        <v>12</v>
      </c>
      <c r="E2729" s="55">
        <v>808.7</v>
      </c>
      <c r="F2729" s="55">
        <v>0</v>
      </c>
      <c r="G2729" s="55">
        <v>808.7</v>
      </c>
      <c r="H2729" s="55">
        <v>15574.2</v>
      </c>
      <c r="I2729" s="55">
        <v>16.899999999999999</v>
      </c>
      <c r="J2729" s="55">
        <v>15591.1</v>
      </c>
      <c r="K2729" s="55">
        <v>1700.7</v>
      </c>
      <c r="L2729" s="55">
        <v>63.4</v>
      </c>
      <c r="M2729" s="55">
        <v>536.20000000000005</v>
      </c>
      <c r="N2729" s="55">
        <v>7.4</v>
      </c>
    </row>
    <row r="2730" spans="1:14" ht="10.050000000000001" hidden="1" customHeight="1">
      <c r="A2730" s="52" t="s">
        <v>311</v>
      </c>
      <c r="B2730" s="53">
        <v>2016</v>
      </c>
      <c r="C2730" s="52" t="s">
        <v>121</v>
      </c>
      <c r="D2730" s="54">
        <v>12</v>
      </c>
      <c r="E2730" s="55">
        <v>13.3</v>
      </c>
      <c r="F2730" s="55">
        <v>0</v>
      </c>
      <c r="G2730" s="55">
        <v>13.3</v>
      </c>
      <c r="H2730" s="55">
        <v>260.89999999999998</v>
      </c>
      <c r="I2730" s="55">
        <v>0</v>
      </c>
      <c r="J2730" s="55">
        <v>260.89999999999998</v>
      </c>
      <c r="K2730" s="55">
        <v>31.7</v>
      </c>
      <c r="L2730" s="55">
        <v>0</v>
      </c>
      <c r="M2730" s="55">
        <v>0</v>
      </c>
      <c r="N2730" s="55">
        <v>4.3</v>
      </c>
    </row>
    <row r="2731" spans="1:14" ht="10.050000000000001" hidden="1" customHeight="1">
      <c r="A2731" s="52" t="s">
        <v>173</v>
      </c>
      <c r="B2731" s="53">
        <v>2016</v>
      </c>
      <c r="C2731" s="52" t="s">
        <v>121</v>
      </c>
      <c r="D2731" s="54">
        <v>12</v>
      </c>
      <c r="E2731" s="55">
        <v>240428.5</v>
      </c>
      <c r="F2731" s="55">
        <v>11031.4</v>
      </c>
      <c r="G2731" s="55">
        <v>251459.9</v>
      </c>
      <c r="H2731" s="55">
        <v>4190893.7</v>
      </c>
      <c r="I2731" s="55">
        <v>51785.5</v>
      </c>
      <c r="J2731" s="55">
        <v>4242679.2</v>
      </c>
      <c r="K2731" s="55">
        <v>846127.7</v>
      </c>
      <c r="L2731" s="55">
        <v>40649.9</v>
      </c>
      <c r="M2731" s="55">
        <v>138962.70000000001</v>
      </c>
      <c r="N2731" s="55">
        <v>22979.7</v>
      </c>
    </row>
    <row r="2732" spans="1:14" ht="10.050000000000001" customHeight="1">
      <c r="A2732" s="52" t="s">
        <v>309</v>
      </c>
      <c r="B2732" s="53">
        <v>2016</v>
      </c>
      <c r="C2732" s="52" t="s">
        <v>121</v>
      </c>
      <c r="D2732" s="54">
        <v>12</v>
      </c>
      <c r="E2732" s="55">
        <v>695.6</v>
      </c>
      <c r="F2732" s="55">
        <v>0</v>
      </c>
      <c r="G2732" s="55">
        <v>695.6</v>
      </c>
      <c r="H2732" s="55">
        <v>68263</v>
      </c>
      <c r="I2732" s="55">
        <v>0</v>
      </c>
      <c r="J2732" s="55">
        <v>68263</v>
      </c>
      <c r="K2732" s="55">
        <v>1794.6</v>
      </c>
      <c r="L2732" s="55">
        <v>0</v>
      </c>
      <c r="M2732" s="55">
        <v>120</v>
      </c>
      <c r="N2732" s="55">
        <v>1165.7</v>
      </c>
    </row>
    <row r="2733" spans="1:14" ht="10.050000000000001" hidden="1" customHeight="1">
      <c r="A2733" s="52" t="s">
        <v>316</v>
      </c>
      <c r="B2733" s="53">
        <v>2016</v>
      </c>
      <c r="C2733" s="52" t="s">
        <v>121</v>
      </c>
      <c r="D2733" s="54">
        <v>12</v>
      </c>
      <c r="E2733" s="55">
        <v>702.5</v>
      </c>
      <c r="F2733" s="55">
        <v>7.7</v>
      </c>
      <c r="G2733" s="55">
        <v>710.2</v>
      </c>
      <c r="H2733" s="55">
        <v>13483.4</v>
      </c>
      <c r="I2733" s="55">
        <v>156.1</v>
      </c>
      <c r="J2733" s="55">
        <v>13639.5</v>
      </c>
      <c r="K2733" s="55">
        <v>448.2</v>
      </c>
      <c r="L2733" s="55">
        <v>56.9</v>
      </c>
      <c r="M2733" s="55">
        <v>160.1</v>
      </c>
      <c r="N2733" s="55">
        <v>2.5</v>
      </c>
    </row>
    <row r="2734" spans="1:14" ht="10.050000000000001" hidden="1" customHeight="1">
      <c r="A2734" s="52" t="s">
        <v>310</v>
      </c>
      <c r="B2734" s="53">
        <v>2016</v>
      </c>
      <c r="C2734" s="52" t="s">
        <v>121</v>
      </c>
      <c r="D2734" s="54">
        <v>12</v>
      </c>
      <c r="E2734" s="55">
        <v>880.4</v>
      </c>
      <c r="F2734" s="55">
        <v>0</v>
      </c>
      <c r="G2734" s="55">
        <v>880.4</v>
      </c>
      <c r="H2734" s="55">
        <v>22148.7</v>
      </c>
      <c r="I2734" s="55">
        <v>886</v>
      </c>
      <c r="J2734" s="55">
        <v>23034.7</v>
      </c>
      <c r="K2734" s="55">
        <v>2438.6</v>
      </c>
      <c r="L2734" s="55">
        <v>38.200000000000003</v>
      </c>
      <c r="M2734" s="55">
        <v>525.6</v>
      </c>
      <c r="N2734" s="55">
        <v>55.8</v>
      </c>
    </row>
    <row r="2735" spans="1:14" ht="10.050000000000001" hidden="1" customHeight="1">
      <c r="A2735" s="52" t="s">
        <v>308</v>
      </c>
      <c r="B2735" s="53">
        <v>2016</v>
      </c>
      <c r="C2735" s="52" t="s">
        <v>121</v>
      </c>
      <c r="D2735" s="54">
        <v>12</v>
      </c>
      <c r="E2735" s="55">
        <v>5910.6</v>
      </c>
      <c r="F2735" s="55">
        <v>0</v>
      </c>
      <c r="G2735" s="55">
        <v>5910.6</v>
      </c>
      <c r="H2735" s="55">
        <v>89505.4</v>
      </c>
      <c r="I2735" s="55">
        <v>742.6</v>
      </c>
      <c r="J2735" s="55">
        <v>90248</v>
      </c>
      <c r="K2735" s="55">
        <v>7578.2</v>
      </c>
      <c r="L2735" s="55">
        <v>373.4</v>
      </c>
      <c r="M2735" s="55">
        <v>3436.8</v>
      </c>
      <c r="N2735" s="55">
        <v>317.2</v>
      </c>
    </row>
    <row r="2736" spans="1:14" ht="10.050000000000001" hidden="1" customHeight="1">
      <c r="A2736" s="52" t="s">
        <v>174</v>
      </c>
      <c r="B2736" s="53">
        <v>2016</v>
      </c>
      <c r="C2736" s="52" t="s">
        <v>121</v>
      </c>
      <c r="D2736" s="54">
        <v>12</v>
      </c>
      <c r="E2736" s="55">
        <v>8459.2000000000007</v>
      </c>
      <c r="F2736" s="55">
        <v>574.20000000000005</v>
      </c>
      <c r="G2736" s="55">
        <v>9033.4</v>
      </c>
      <c r="H2736" s="55">
        <v>171969.4</v>
      </c>
      <c r="I2736" s="55">
        <v>12731.6</v>
      </c>
      <c r="J2736" s="55">
        <v>184701</v>
      </c>
      <c r="K2736" s="55">
        <v>75119.899999999994</v>
      </c>
      <c r="L2736" s="55">
        <v>1803.7</v>
      </c>
      <c r="M2736" s="55">
        <v>4001.7</v>
      </c>
      <c r="N2736" s="55">
        <v>7729.9</v>
      </c>
    </row>
    <row r="2737" spans="1:14" ht="10.050000000000001" hidden="1" customHeight="1">
      <c r="A2737" s="52" t="s">
        <v>314</v>
      </c>
      <c r="B2737" s="53">
        <v>2017</v>
      </c>
      <c r="C2737" s="52" t="s">
        <v>121</v>
      </c>
      <c r="D2737" s="54">
        <v>1</v>
      </c>
      <c r="E2737" s="55">
        <v>0</v>
      </c>
      <c r="F2737" s="55">
        <v>0</v>
      </c>
      <c r="G2737" s="55">
        <v>0</v>
      </c>
      <c r="H2737" s="55">
        <v>24.8</v>
      </c>
      <c r="I2737" s="55">
        <v>0</v>
      </c>
      <c r="J2737" s="55">
        <v>24.8</v>
      </c>
      <c r="K2737" s="55">
        <v>0</v>
      </c>
      <c r="L2737" s="55">
        <v>0</v>
      </c>
      <c r="M2737" s="55">
        <v>0</v>
      </c>
      <c r="N2737" s="55">
        <v>0</v>
      </c>
    </row>
    <row r="2738" spans="1:14" ht="10.050000000000001" hidden="1" customHeight="1">
      <c r="A2738" s="52" t="s">
        <v>306</v>
      </c>
      <c r="B2738" s="53">
        <v>2017</v>
      </c>
      <c r="C2738" s="52" t="s">
        <v>121</v>
      </c>
      <c r="D2738" s="54">
        <v>1</v>
      </c>
      <c r="E2738" s="55">
        <v>3416.2</v>
      </c>
      <c r="F2738" s="55">
        <v>134.6</v>
      </c>
      <c r="G2738" s="55">
        <v>3550.8</v>
      </c>
      <c r="H2738" s="55">
        <v>95467.6</v>
      </c>
      <c r="I2738" s="55">
        <v>3390.4</v>
      </c>
      <c r="J2738" s="55">
        <v>98858.000000000102</v>
      </c>
      <c r="K2738" s="55">
        <v>8365.1</v>
      </c>
      <c r="L2738" s="55">
        <v>429.8</v>
      </c>
      <c r="M2738" s="55">
        <v>1424.7</v>
      </c>
      <c r="N2738" s="55">
        <v>459.3</v>
      </c>
    </row>
    <row r="2739" spans="1:14" ht="10.050000000000001" hidden="1" customHeight="1">
      <c r="A2739" s="52" t="s">
        <v>172</v>
      </c>
      <c r="B2739" s="53">
        <v>2017</v>
      </c>
      <c r="C2739" s="52" t="s">
        <v>121</v>
      </c>
      <c r="D2739" s="54">
        <v>1</v>
      </c>
      <c r="E2739" s="55">
        <v>58989.2</v>
      </c>
      <c r="F2739" s="55">
        <v>332.1</v>
      </c>
      <c r="G2739" s="55">
        <v>59321.3</v>
      </c>
      <c r="H2739" s="55">
        <v>596609.69999999995</v>
      </c>
      <c r="I2739" s="55">
        <v>7824.1</v>
      </c>
      <c r="J2739" s="55">
        <v>604433.80000000005</v>
      </c>
      <c r="K2739" s="55">
        <v>177429.3</v>
      </c>
      <c r="L2739" s="55">
        <v>6270</v>
      </c>
      <c r="M2739" s="55">
        <v>24589.4</v>
      </c>
      <c r="N2739" s="55">
        <v>4698</v>
      </c>
    </row>
    <row r="2740" spans="1:14" ht="10.050000000000001" hidden="1" customHeight="1">
      <c r="A2740" s="52" t="s">
        <v>171</v>
      </c>
      <c r="B2740" s="53">
        <v>2017</v>
      </c>
      <c r="C2740" s="52" t="s">
        <v>121</v>
      </c>
      <c r="D2740" s="54">
        <v>1</v>
      </c>
      <c r="E2740" s="55">
        <v>1493415.8</v>
      </c>
      <c r="F2740" s="55">
        <v>10192.700000000001</v>
      </c>
      <c r="G2740" s="55">
        <v>1503608.5</v>
      </c>
      <c r="H2740" s="55">
        <v>8287686.7000000002</v>
      </c>
      <c r="I2740" s="55">
        <v>103129.7</v>
      </c>
      <c r="J2740" s="55">
        <v>8390816.4000000004</v>
      </c>
      <c r="K2740" s="55">
        <v>2473830.7000000002</v>
      </c>
      <c r="L2740" s="55">
        <v>402500.2</v>
      </c>
      <c r="M2740" s="55">
        <v>727845</v>
      </c>
      <c r="N2740" s="55">
        <v>39536.199999999997</v>
      </c>
    </row>
    <row r="2741" spans="1:14" ht="10.050000000000001" hidden="1" customHeight="1">
      <c r="A2741" s="52" t="s">
        <v>300</v>
      </c>
      <c r="B2741" s="53">
        <v>2017</v>
      </c>
      <c r="C2741" s="52" t="s">
        <v>121</v>
      </c>
      <c r="D2741" s="54">
        <v>1</v>
      </c>
      <c r="E2741" s="55">
        <v>582.70000000000005</v>
      </c>
      <c r="F2741" s="55">
        <v>7.6</v>
      </c>
      <c r="G2741" s="55">
        <v>590.29999999999995</v>
      </c>
      <c r="H2741" s="55">
        <v>8956.3000000000102</v>
      </c>
      <c r="I2741" s="55">
        <v>30.5</v>
      </c>
      <c r="J2741" s="55">
        <v>8986.8000000000102</v>
      </c>
      <c r="K2741" s="55">
        <v>36.4</v>
      </c>
      <c r="L2741" s="55">
        <v>0</v>
      </c>
      <c r="M2741" s="55">
        <v>3</v>
      </c>
      <c r="N2741" s="55">
        <v>0</v>
      </c>
    </row>
    <row r="2742" spans="1:14" ht="10.050000000000001" hidden="1" customHeight="1">
      <c r="A2742" s="52" t="s">
        <v>307</v>
      </c>
      <c r="B2742" s="53">
        <v>2017</v>
      </c>
      <c r="C2742" s="52" t="s">
        <v>121</v>
      </c>
      <c r="D2742" s="54">
        <v>1</v>
      </c>
      <c r="E2742" s="55">
        <v>524875.80000000005</v>
      </c>
      <c r="F2742" s="55">
        <v>8030.3</v>
      </c>
      <c r="G2742" s="55">
        <v>532906.1</v>
      </c>
      <c r="H2742" s="55">
        <v>4117275.2</v>
      </c>
      <c r="I2742" s="55">
        <v>96994.6</v>
      </c>
      <c r="J2742" s="55">
        <v>4214269.8</v>
      </c>
      <c r="K2742" s="55">
        <v>1367480.9</v>
      </c>
      <c r="L2742" s="55">
        <v>35885.199999999997</v>
      </c>
      <c r="M2742" s="55">
        <v>348505.4</v>
      </c>
      <c r="N2742" s="55">
        <v>63575.6</v>
      </c>
    </row>
    <row r="2743" spans="1:14" ht="10.050000000000001" hidden="1" customHeight="1">
      <c r="A2743" s="52" t="s">
        <v>315</v>
      </c>
      <c r="B2743" s="53">
        <v>2017</v>
      </c>
      <c r="C2743" s="52" t="s">
        <v>121</v>
      </c>
      <c r="D2743" s="54">
        <v>1</v>
      </c>
      <c r="E2743" s="55">
        <v>480.6</v>
      </c>
      <c r="F2743" s="55">
        <v>0</v>
      </c>
      <c r="G2743" s="55">
        <v>480.6</v>
      </c>
      <c r="H2743" s="55">
        <v>14028.1</v>
      </c>
      <c r="I2743" s="55">
        <v>16.899999999999999</v>
      </c>
      <c r="J2743" s="55">
        <v>14045</v>
      </c>
      <c r="K2743" s="55">
        <v>1493.6</v>
      </c>
      <c r="L2743" s="55">
        <v>0</v>
      </c>
      <c r="M2743" s="55">
        <v>207.2</v>
      </c>
      <c r="N2743" s="55">
        <v>0</v>
      </c>
    </row>
    <row r="2744" spans="1:14" ht="10.050000000000001" hidden="1" customHeight="1">
      <c r="A2744" s="52" t="s">
        <v>311</v>
      </c>
      <c r="B2744" s="53">
        <v>2017</v>
      </c>
      <c r="C2744" s="52" t="s">
        <v>121</v>
      </c>
      <c r="D2744" s="54">
        <v>1</v>
      </c>
      <c r="E2744" s="55">
        <v>4.7</v>
      </c>
      <c r="F2744" s="55">
        <v>0</v>
      </c>
      <c r="G2744" s="55">
        <v>4.7</v>
      </c>
      <c r="H2744" s="55">
        <v>170</v>
      </c>
      <c r="I2744" s="55">
        <v>0</v>
      </c>
      <c r="J2744" s="55">
        <v>170</v>
      </c>
      <c r="K2744" s="55">
        <v>19.2</v>
      </c>
      <c r="L2744" s="55">
        <v>0</v>
      </c>
      <c r="M2744" s="55">
        <v>0</v>
      </c>
      <c r="N2744" s="55">
        <v>12.5</v>
      </c>
    </row>
    <row r="2745" spans="1:14" ht="10.050000000000001" hidden="1" customHeight="1">
      <c r="A2745" s="52" t="s">
        <v>173</v>
      </c>
      <c r="B2745" s="53">
        <v>2017</v>
      </c>
      <c r="C2745" s="52" t="s">
        <v>121</v>
      </c>
      <c r="D2745" s="54">
        <v>1</v>
      </c>
      <c r="E2745" s="55">
        <v>323539</v>
      </c>
      <c r="F2745" s="55">
        <v>9900.4</v>
      </c>
      <c r="G2745" s="55">
        <v>333439.40000000002</v>
      </c>
      <c r="H2745" s="55">
        <v>3693912.1</v>
      </c>
      <c r="I2745" s="55">
        <v>46404.1</v>
      </c>
      <c r="J2745" s="55">
        <v>3740316.2</v>
      </c>
      <c r="K2745" s="55">
        <v>699416.5</v>
      </c>
      <c r="L2745" s="55">
        <v>55172.4</v>
      </c>
      <c r="M2745" s="55">
        <v>177952</v>
      </c>
      <c r="N2745" s="55">
        <v>23948.6</v>
      </c>
    </row>
    <row r="2746" spans="1:14" ht="10.050000000000001" customHeight="1">
      <c r="A2746" s="52" t="s">
        <v>309</v>
      </c>
      <c r="B2746" s="53">
        <v>2017</v>
      </c>
      <c r="C2746" s="52" t="s">
        <v>121</v>
      </c>
      <c r="D2746" s="54">
        <v>1</v>
      </c>
      <c r="E2746" s="55">
        <v>705.3</v>
      </c>
      <c r="F2746" s="55">
        <v>0</v>
      </c>
      <c r="G2746" s="55">
        <v>705.3</v>
      </c>
      <c r="H2746" s="55">
        <v>64591.8</v>
      </c>
      <c r="I2746" s="55">
        <v>0</v>
      </c>
      <c r="J2746" s="55">
        <v>64591.8</v>
      </c>
      <c r="K2746" s="55">
        <v>1584.9</v>
      </c>
      <c r="L2746" s="55">
        <v>0</v>
      </c>
      <c r="M2746" s="55">
        <v>65.900000000000006</v>
      </c>
      <c r="N2746" s="55">
        <v>143.80000000000001</v>
      </c>
    </row>
    <row r="2747" spans="1:14" ht="10.050000000000001" hidden="1" customHeight="1">
      <c r="A2747" s="52" t="s">
        <v>316</v>
      </c>
      <c r="B2747" s="53">
        <v>2017</v>
      </c>
      <c r="C2747" s="52" t="s">
        <v>121</v>
      </c>
      <c r="D2747" s="54">
        <v>1</v>
      </c>
      <c r="E2747" s="55">
        <v>367.4</v>
      </c>
      <c r="F2747" s="55">
        <v>0</v>
      </c>
      <c r="G2747" s="55">
        <v>367.4</v>
      </c>
      <c r="H2747" s="55">
        <v>12638</v>
      </c>
      <c r="I2747" s="55">
        <v>149.6</v>
      </c>
      <c r="J2747" s="55">
        <v>12787.6</v>
      </c>
      <c r="K2747" s="55">
        <v>337.6</v>
      </c>
      <c r="L2747" s="55">
        <v>30.4</v>
      </c>
      <c r="M2747" s="55">
        <v>130.69999999999999</v>
      </c>
      <c r="N2747" s="55">
        <v>9.9</v>
      </c>
    </row>
    <row r="2748" spans="1:14" ht="10.050000000000001" hidden="1" customHeight="1">
      <c r="A2748" s="52" t="s">
        <v>310</v>
      </c>
      <c r="B2748" s="53">
        <v>2017</v>
      </c>
      <c r="C2748" s="52" t="s">
        <v>121</v>
      </c>
      <c r="D2748" s="54">
        <v>1</v>
      </c>
      <c r="E2748" s="55">
        <v>872.1</v>
      </c>
      <c r="F2748" s="55">
        <v>0</v>
      </c>
      <c r="G2748" s="55">
        <v>872.1</v>
      </c>
      <c r="H2748" s="55">
        <v>21087.5</v>
      </c>
      <c r="I2748" s="55">
        <v>877.4</v>
      </c>
      <c r="J2748" s="55">
        <v>21964.9</v>
      </c>
      <c r="K2748" s="55">
        <v>2023.4</v>
      </c>
      <c r="L2748" s="55">
        <v>113.5</v>
      </c>
      <c r="M2748" s="55">
        <v>442.2</v>
      </c>
      <c r="N2748" s="55">
        <v>86.3</v>
      </c>
    </row>
    <row r="2749" spans="1:14" ht="10.050000000000001" hidden="1" customHeight="1">
      <c r="A2749" s="52" t="s">
        <v>308</v>
      </c>
      <c r="B2749" s="53">
        <v>2017</v>
      </c>
      <c r="C2749" s="52" t="s">
        <v>121</v>
      </c>
      <c r="D2749" s="54">
        <v>1</v>
      </c>
      <c r="E2749" s="55">
        <v>2907.8</v>
      </c>
      <c r="F2749" s="55">
        <v>198</v>
      </c>
      <c r="G2749" s="55">
        <v>3105.8</v>
      </c>
      <c r="H2749" s="55">
        <v>78811.199999999997</v>
      </c>
      <c r="I2749" s="55">
        <v>727.5</v>
      </c>
      <c r="J2749" s="55">
        <v>79538.7</v>
      </c>
      <c r="K2749" s="55">
        <v>5970.7</v>
      </c>
      <c r="L2749" s="55">
        <v>922.3</v>
      </c>
      <c r="M2749" s="55">
        <v>1951.3</v>
      </c>
      <c r="N2749" s="55">
        <v>578.9</v>
      </c>
    </row>
    <row r="2750" spans="1:14" ht="10.050000000000001" hidden="1" customHeight="1">
      <c r="A2750" s="52" t="s">
        <v>174</v>
      </c>
      <c r="B2750" s="53">
        <v>2017</v>
      </c>
      <c r="C2750" s="52" t="s">
        <v>121</v>
      </c>
      <c r="D2750" s="54">
        <v>1</v>
      </c>
      <c r="E2750" s="55">
        <v>11000</v>
      </c>
      <c r="F2750" s="55">
        <v>253.5</v>
      </c>
      <c r="G2750" s="55">
        <v>11253.5</v>
      </c>
      <c r="H2750" s="55">
        <v>140968.9</v>
      </c>
      <c r="I2750" s="55">
        <v>11484</v>
      </c>
      <c r="J2750" s="55">
        <v>152452.9</v>
      </c>
      <c r="K2750" s="55">
        <v>63158.3</v>
      </c>
      <c r="L2750" s="55">
        <v>2349.8000000000002</v>
      </c>
      <c r="M2750" s="55">
        <v>5671.7</v>
      </c>
      <c r="N2750" s="55">
        <v>8643.1</v>
      </c>
    </row>
    <row r="2751" spans="1:14" ht="10.050000000000001" hidden="1" customHeight="1">
      <c r="A2751" s="52" t="s">
        <v>314</v>
      </c>
      <c r="B2751" s="53">
        <v>2017</v>
      </c>
      <c r="C2751" s="52" t="s">
        <v>121</v>
      </c>
      <c r="D2751" s="54">
        <v>2</v>
      </c>
      <c r="E2751" s="55">
        <v>0</v>
      </c>
      <c r="F2751" s="55">
        <v>0</v>
      </c>
      <c r="G2751" s="55">
        <v>0</v>
      </c>
      <c r="H2751" s="55">
        <v>38.9</v>
      </c>
      <c r="I2751" s="55">
        <v>0</v>
      </c>
      <c r="J2751" s="55">
        <v>38.9</v>
      </c>
      <c r="K2751" s="55">
        <v>0</v>
      </c>
      <c r="L2751" s="55">
        <v>0</v>
      </c>
      <c r="M2751" s="55">
        <v>0</v>
      </c>
      <c r="N2751" s="55">
        <v>0</v>
      </c>
    </row>
    <row r="2752" spans="1:14" ht="10.050000000000001" hidden="1" customHeight="1">
      <c r="A2752" s="52" t="s">
        <v>306</v>
      </c>
      <c r="B2752" s="53">
        <v>2017</v>
      </c>
      <c r="C2752" s="52" t="s">
        <v>121</v>
      </c>
      <c r="D2752" s="54">
        <v>2</v>
      </c>
      <c r="E2752" s="55">
        <v>3826.2</v>
      </c>
      <c r="F2752" s="55">
        <v>286</v>
      </c>
      <c r="G2752" s="55">
        <v>4112.2</v>
      </c>
      <c r="H2752" s="55">
        <v>88326.6</v>
      </c>
      <c r="I2752" s="55">
        <v>2619.9</v>
      </c>
      <c r="J2752" s="55">
        <v>90946.5</v>
      </c>
      <c r="K2752" s="55">
        <v>6741</v>
      </c>
      <c r="L2752" s="55">
        <v>483.9</v>
      </c>
      <c r="M2752" s="55">
        <v>1665.6</v>
      </c>
      <c r="N2752" s="55">
        <v>440.4</v>
      </c>
    </row>
    <row r="2753" spans="1:14" ht="10.050000000000001" hidden="1" customHeight="1">
      <c r="A2753" s="52" t="s">
        <v>172</v>
      </c>
      <c r="B2753" s="53">
        <v>2017</v>
      </c>
      <c r="C2753" s="52" t="s">
        <v>121</v>
      </c>
      <c r="D2753" s="54">
        <v>2</v>
      </c>
      <c r="E2753" s="55">
        <v>59866.6</v>
      </c>
      <c r="F2753" s="55">
        <v>124.7</v>
      </c>
      <c r="G2753" s="55">
        <v>59991.3</v>
      </c>
      <c r="H2753" s="55">
        <v>557106.30000000005</v>
      </c>
      <c r="I2753" s="55">
        <v>7375.2</v>
      </c>
      <c r="J2753" s="55">
        <v>564481.5</v>
      </c>
      <c r="K2753" s="55">
        <v>150507.5</v>
      </c>
      <c r="L2753" s="55">
        <v>5637.7</v>
      </c>
      <c r="M2753" s="55">
        <v>27961.5</v>
      </c>
      <c r="N2753" s="55">
        <v>4597.8999999999996</v>
      </c>
    </row>
    <row r="2754" spans="1:14" ht="10.050000000000001" hidden="1" customHeight="1">
      <c r="A2754" s="52" t="s">
        <v>171</v>
      </c>
      <c r="B2754" s="53">
        <v>2017</v>
      </c>
      <c r="C2754" s="52" t="s">
        <v>121</v>
      </c>
      <c r="D2754" s="54">
        <v>2</v>
      </c>
      <c r="E2754" s="55">
        <v>1310239.3</v>
      </c>
      <c r="F2754" s="55">
        <v>4196.1000000000004</v>
      </c>
      <c r="G2754" s="55">
        <v>1314435.3999999999</v>
      </c>
      <c r="H2754" s="55">
        <v>7738381.5</v>
      </c>
      <c r="I2754" s="55">
        <v>98776.7</v>
      </c>
      <c r="J2754" s="55">
        <v>7837158.2000000002</v>
      </c>
      <c r="K2754" s="55">
        <v>2143202</v>
      </c>
      <c r="L2754" s="55">
        <v>359642.9</v>
      </c>
      <c r="M2754" s="55">
        <v>660833.69999999995</v>
      </c>
      <c r="N2754" s="55">
        <v>28031.8</v>
      </c>
    </row>
    <row r="2755" spans="1:14" ht="10.050000000000001" hidden="1" customHeight="1">
      <c r="A2755" s="52" t="s">
        <v>300</v>
      </c>
      <c r="B2755" s="53">
        <v>2017</v>
      </c>
      <c r="C2755" s="52" t="s">
        <v>121</v>
      </c>
      <c r="D2755" s="54">
        <v>2</v>
      </c>
      <c r="E2755" s="55">
        <v>626.6</v>
      </c>
      <c r="F2755" s="55">
        <v>0</v>
      </c>
      <c r="G2755" s="55">
        <v>626.6</v>
      </c>
      <c r="H2755" s="55">
        <v>8903.6</v>
      </c>
      <c r="I2755" s="55">
        <v>14.4</v>
      </c>
      <c r="J2755" s="55">
        <v>8918</v>
      </c>
      <c r="K2755" s="55">
        <v>32.799999999999997</v>
      </c>
      <c r="L2755" s="55">
        <v>0</v>
      </c>
      <c r="M2755" s="55">
        <v>0</v>
      </c>
      <c r="N2755" s="55">
        <v>3.6</v>
      </c>
    </row>
    <row r="2756" spans="1:14" ht="10.050000000000001" hidden="1" customHeight="1">
      <c r="A2756" s="52" t="s">
        <v>307</v>
      </c>
      <c r="B2756" s="53">
        <v>2017</v>
      </c>
      <c r="C2756" s="52" t="s">
        <v>121</v>
      </c>
      <c r="D2756" s="54">
        <v>2</v>
      </c>
      <c r="E2756" s="55">
        <v>331028.90000000002</v>
      </c>
      <c r="F2756" s="55">
        <v>0</v>
      </c>
      <c r="G2756" s="55">
        <v>331028.90000000002</v>
      </c>
      <c r="H2756" s="55">
        <v>3713836.6</v>
      </c>
      <c r="I2756" s="55">
        <v>67371.7</v>
      </c>
      <c r="J2756" s="55">
        <v>3781208.3</v>
      </c>
      <c r="K2756" s="55">
        <v>1237557.1000000001</v>
      </c>
      <c r="L2756" s="55">
        <v>83616.800000000003</v>
      </c>
      <c r="M2756" s="55">
        <v>167178.4</v>
      </c>
      <c r="N2756" s="55">
        <v>45054.3</v>
      </c>
    </row>
    <row r="2757" spans="1:14" ht="10.050000000000001" hidden="1" customHeight="1">
      <c r="A2757" s="52" t="s">
        <v>315</v>
      </c>
      <c r="B2757" s="53">
        <v>2017</v>
      </c>
      <c r="C2757" s="52" t="s">
        <v>121</v>
      </c>
      <c r="D2757" s="54">
        <v>2</v>
      </c>
      <c r="E2757" s="55">
        <v>302.3</v>
      </c>
      <c r="F2757" s="55">
        <v>0</v>
      </c>
      <c r="G2757" s="55">
        <v>302.3</v>
      </c>
      <c r="H2757" s="55">
        <v>13039.5</v>
      </c>
      <c r="I2757" s="55">
        <v>16.899999999999999</v>
      </c>
      <c r="J2757" s="55">
        <v>13056.4</v>
      </c>
      <c r="K2757" s="55">
        <v>1262.4000000000001</v>
      </c>
      <c r="L2757" s="55">
        <v>0.1</v>
      </c>
      <c r="M2757" s="55">
        <v>231.2</v>
      </c>
      <c r="N2757" s="55">
        <v>0</v>
      </c>
    </row>
    <row r="2758" spans="1:14" ht="10.050000000000001" hidden="1" customHeight="1">
      <c r="A2758" s="52" t="s">
        <v>311</v>
      </c>
      <c r="B2758" s="53">
        <v>2017</v>
      </c>
      <c r="C2758" s="52" t="s">
        <v>121</v>
      </c>
      <c r="D2758" s="54">
        <v>2</v>
      </c>
      <c r="E2758" s="55">
        <v>0.7</v>
      </c>
      <c r="F2758" s="55">
        <v>0</v>
      </c>
      <c r="G2758" s="55">
        <v>0.7</v>
      </c>
      <c r="H2758" s="55">
        <v>142.5</v>
      </c>
      <c r="I2758" s="55">
        <v>0</v>
      </c>
      <c r="J2758" s="55">
        <v>142.5</v>
      </c>
      <c r="K2758" s="55">
        <v>6.2</v>
      </c>
      <c r="L2758" s="55">
        <v>0</v>
      </c>
      <c r="M2758" s="55">
        <v>0</v>
      </c>
      <c r="N2758" s="55">
        <v>13.1</v>
      </c>
    </row>
    <row r="2759" spans="1:14" ht="10.050000000000001" hidden="1" customHeight="1">
      <c r="A2759" s="52" t="s">
        <v>173</v>
      </c>
      <c r="B2759" s="53">
        <v>2017</v>
      </c>
      <c r="C2759" s="52" t="s">
        <v>121</v>
      </c>
      <c r="D2759" s="54">
        <v>2</v>
      </c>
      <c r="E2759" s="55">
        <v>285928.59999999998</v>
      </c>
      <c r="F2759" s="55">
        <v>6855</v>
      </c>
      <c r="G2759" s="55">
        <v>292783.59999999998</v>
      </c>
      <c r="H2759" s="55">
        <v>3129218</v>
      </c>
      <c r="I2759" s="55">
        <v>39986.1</v>
      </c>
      <c r="J2759" s="55">
        <v>3169204.1</v>
      </c>
      <c r="K2759" s="55">
        <v>560371.6</v>
      </c>
      <c r="L2759" s="55">
        <v>39011.699999999997</v>
      </c>
      <c r="M2759" s="55">
        <v>151086.29999999999</v>
      </c>
      <c r="N2759" s="55">
        <v>26148.9</v>
      </c>
    </row>
    <row r="2760" spans="1:14" ht="10.050000000000001" customHeight="1">
      <c r="A2760" s="52" t="s">
        <v>309</v>
      </c>
      <c r="B2760" s="53">
        <v>2017</v>
      </c>
      <c r="C2760" s="52" t="s">
        <v>121</v>
      </c>
      <c r="D2760" s="54">
        <v>2</v>
      </c>
      <c r="E2760" s="55">
        <v>317.5</v>
      </c>
      <c r="F2760" s="55">
        <v>0</v>
      </c>
      <c r="G2760" s="55">
        <v>317.5</v>
      </c>
      <c r="H2760" s="55">
        <v>61267.4</v>
      </c>
      <c r="I2760" s="55">
        <v>0</v>
      </c>
      <c r="J2760" s="55">
        <v>61267.4</v>
      </c>
      <c r="K2760" s="55">
        <v>1571.3</v>
      </c>
      <c r="L2760" s="55">
        <v>0</v>
      </c>
      <c r="M2760" s="55">
        <v>0</v>
      </c>
      <c r="N2760" s="55">
        <v>13.6</v>
      </c>
    </row>
    <row r="2761" spans="1:14" ht="10.050000000000001" hidden="1" customHeight="1">
      <c r="A2761" s="52" t="s">
        <v>316</v>
      </c>
      <c r="B2761" s="53">
        <v>2017</v>
      </c>
      <c r="C2761" s="52" t="s">
        <v>121</v>
      </c>
      <c r="D2761" s="54">
        <v>2</v>
      </c>
      <c r="E2761" s="55">
        <v>307.2</v>
      </c>
      <c r="F2761" s="55">
        <v>0</v>
      </c>
      <c r="G2761" s="55">
        <v>307.2</v>
      </c>
      <c r="H2761" s="55">
        <v>11648.5</v>
      </c>
      <c r="I2761" s="55">
        <v>127</v>
      </c>
      <c r="J2761" s="55">
        <v>11775.5</v>
      </c>
      <c r="K2761" s="55">
        <v>336.8</v>
      </c>
      <c r="L2761" s="55">
        <v>48.9</v>
      </c>
      <c r="M2761" s="55">
        <v>46.5</v>
      </c>
      <c r="N2761" s="55">
        <v>3.2</v>
      </c>
    </row>
    <row r="2762" spans="1:14" ht="10.050000000000001" hidden="1" customHeight="1">
      <c r="A2762" s="52" t="s">
        <v>310</v>
      </c>
      <c r="B2762" s="53">
        <v>2017</v>
      </c>
      <c r="C2762" s="52" t="s">
        <v>121</v>
      </c>
      <c r="D2762" s="54">
        <v>2</v>
      </c>
      <c r="E2762" s="55">
        <v>683.2</v>
      </c>
      <c r="F2762" s="55">
        <v>0</v>
      </c>
      <c r="G2762" s="55">
        <v>683.2</v>
      </c>
      <c r="H2762" s="55">
        <v>19349.5</v>
      </c>
      <c r="I2762" s="55">
        <v>876.6</v>
      </c>
      <c r="J2762" s="55">
        <v>20226.099999999999</v>
      </c>
      <c r="K2762" s="55">
        <v>1730.9</v>
      </c>
      <c r="L2762" s="55">
        <v>60</v>
      </c>
      <c r="M2762" s="55">
        <v>275.39999999999998</v>
      </c>
      <c r="N2762" s="55">
        <v>77</v>
      </c>
    </row>
    <row r="2763" spans="1:14" ht="10.050000000000001" hidden="1" customHeight="1">
      <c r="A2763" s="52" t="s">
        <v>308</v>
      </c>
      <c r="B2763" s="53">
        <v>2017</v>
      </c>
      <c r="C2763" s="52" t="s">
        <v>121</v>
      </c>
      <c r="D2763" s="54">
        <v>2</v>
      </c>
      <c r="E2763" s="55">
        <v>1867.9</v>
      </c>
      <c r="F2763" s="55">
        <v>0</v>
      </c>
      <c r="G2763" s="55">
        <v>1867.9</v>
      </c>
      <c r="H2763" s="55">
        <v>68526.5</v>
      </c>
      <c r="I2763" s="55">
        <v>619.29999999999995</v>
      </c>
      <c r="J2763" s="55">
        <v>69145.8</v>
      </c>
      <c r="K2763" s="55">
        <v>4809.3999999999996</v>
      </c>
      <c r="L2763" s="55">
        <v>157.6</v>
      </c>
      <c r="M2763" s="55">
        <v>1060.5999999999999</v>
      </c>
      <c r="N2763" s="55">
        <v>270.8</v>
      </c>
    </row>
    <row r="2764" spans="1:14" ht="10.050000000000001" hidden="1" customHeight="1">
      <c r="A2764" s="52" t="s">
        <v>174</v>
      </c>
      <c r="B2764" s="53">
        <v>2017</v>
      </c>
      <c r="C2764" s="52" t="s">
        <v>121</v>
      </c>
      <c r="D2764" s="54">
        <v>2</v>
      </c>
      <c r="E2764" s="55">
        <v>9083.7999999999993</v>
      </c>
      <c r="F2764" s="55">
        <v>9</v>
      </c>
      <c r="G2764" s="55">
        <v>9092.7999999999993</v>
      </c>
      <c r="H2764" s="55">
        <v>116639.5</v>
      </c>
      <c r="I2764" s="55">
        <v>11081.4</v>
      </c>
      <c r="J2764" s="55">
        <v>127720.9</v>
      </c>
      <c r="K2764" s="55">
        <v>52693.9</v>
      </c>
      <c r="L2764" s="55">
        <v>1277.7</v>
      </c>
      <c r="M2764" s="55">
        <v>4867.1000000000004</v>
      </c>
      <c r="N2764" s="55">
        <v>6875.2</v>
      </c>
    </row>
    <row r="2765" spans="1:14" ht="10.050000000000001" hidden="1" customHeight="1">
      <c r="A2765" s="52" t="s">
        <v>314</v>
      </c>
      <c r="B2765" s="53">
        <v>2017</v>
      </c>
      <c r="C2765" s="52" t="s">
        <v>121</v>
      </c>
      <c r="D2765" s="54">
        <v>3</v>
      </c>
      <c r="E2765" s="55">
        <v>0</v>
      </c>
      <c r="F2765" s="55">
        <v>0</v>
      </c>
      <c r="G2765" s="55">
        <v>0</v>
      </c>
      <c r="H2765" s="55">
        <v>38.1</v>
      </c>
      <c r="I2765" s="55">
        <v>0</v>
      </c>
      <c r="J2765" s="55">
        <v>38.1</v>
      </c>
      <c r="K2765" s="55">
        <v>0</v>
      </c>
      <c r="L2765" s="55">
        <v>0</v>
      </c>
      <c r="M2765" s="55">
        <v>0</v>
      </c>
      <c r="N2765" s="55">
        <v>0</v>
      </c>
    </row>
    <row r="2766" spans="1:14" ht="10.050000000000001" hidden="1" customHeight="1">
      <c r="A2766" s="52" t="s">
        <v>306</v>
      </c>
      <c r="B2766" s="53">
        <v>2017</v>
      </c>
      <c r="C2766" s="52" t="s">
        <v>121</v>
      </c>
      <c r="D2766" s="54">
        <v>3</v>
      </c>
      <c r="E2766" s="55">
        <v>3306.7</v>
      </c>
      <c r="F2766" s="55">
        <v>128.4</v>
      </c>
      <c r="G2766" s="55">
        <v>3435.1</v>
      </c>
      <c r="H2766" s="55">
        <v>79055.7</v>
      </c>
      <c r="I2766" s="55">
        <v>2477.4</v>
      </c>
      <c r="J2766" s="55">
        <v>81533.100000000006</v>
      </c>
      <c r="K2766" s="55">
        <v>5035.3999999999996</v>
      </c>
      <c r="L2766" s="55">
        <v>490.2</v>
      </c>
      <c r="M2766" s="55">
        <v>1552.4</v>
      </c>
      <c r="N2766" s="55">
        <v>649.9</v>
      </c>
    </row>
    <row r="2767" spans="1:14" ht="10.050000000000001" hidden="1" customHeight="1">
      <c r="A2767" s="52" t="s">
        <v>172</v>
      </c>
      <c r="B2767" s="53">
        <v>2017</v>
      </c>
      <c r="C2767" s="52" t="s">
        <v>121</v>
      </c>
      <c r="D2767" s="54">
        <v>3</v>
      </c>
      <c r="E2767" s="55">
        <v>69158</v>
      </c>
      <c r="F2767" s="55">
        <v>121.4</v>
      </c>
      <c r="G2767" s="55">
        <v>69279.399999999994</v>
      </c>
      <c r="H2767" s="55">
        <v>464233.8</v>
      </c>
      <c r="I2767" s="55">
        <v>7237.1</v>
      </c>
      <c r="J2767" s="55">
        <v>471470.9</v>
      </c>
      <c r="K2767" s="55">
        <v>116582.7</v>
      </c>
      <c r="L2767" s="55">
        <v>3908</v>
      </c>
      <c r="M2767" s="55">
        <v>33601.699999999997</v>
      </c>
      <c r="N2767" s="55">
        <v>4231.2</v>
      </c>
    </row>
    <row r="2768" spans="1:14" ht="10.050000000000001" hidden="1" customHeight="1">
      <c r="A2768" s="52" t="s">
        <v>171</v>
      </c>
      <c r="B2768" s="53">
        <v>2017</v>
      </c>
      <c r="C2768" s="52" t="s">
        <v>121</v>
      </c>
      <c r="D2768" s="54">
        <v>3</v>
      </c>
      <c r="E2768" s="55">
        <v>1585407.6</v>
      </c>
      <c r="F2768" s="55">
        <v>1881</v>
      </c>
      <c r="G2768" s="55">
        <v>1587288.6</v>
      </c>
      <c r="H2768" s="55">
        <v>7023032.2999999998</v>
      </c>
      <c r="I2768" s="55">
        <v>88441</v>
      </c>
      <c r="J2768" s="55">
        <v>7111473.2999999998</v>
      </c>
      <c r="K2768" s="55">
        <v>1499282.4</v>
      </c>
      <c r="L2768" s="55">
        <v>302102.59999999998</v>
      </c>
      <c r="M2768" s="55">
        <v>919468.6</v>
      </c>
      <c r="N2768" s="55">
        <v>32311.599999999999</v>
      </c>
    </row>
    <row r="2769" spans="1:14" ht="10.050000000000001" hidden="1" customHeight="1">
      <c r="A2769" s="52" t="s">
        <v>300</v>
      </c>
      <c r="B2769" s="53">
        <v>2017</v>
      </c>
      <c r="C2769" s="52" t="s">
        <v>121</v>
      </c>
      <c r="D2769" s="54">
        <v>3</v>
      </c>
      <c r="E2769" s="55">
        <v>540.70000000000005</v>
      </c>
      <c r="F2769" s="55">
        <v>0</v>
      </c>
      <c r="G2769" s="55">
        <v>540.70000000000005</v>
      </c>
      <c r="H2769" s="55">
        <v>8594.6</v>
      </c>
      <c r="I2769" s="55">
        <v>14.4</v>
      </c>
      <c r="J2769" s="55">
        <v>8609</v>
      </c>
      <c r="K2769" s="55">
        <v>29.7</v>
      </c>
      <c r="L2769" s="55">
        <v>1.4</v>
      </c>
      <c r="M2769" s="55">
        <v>0</v>
      </c>
      <c r="N2769" s="55">
        <v>4.5</v>
      </c>
    </row>
    <row r="2770" spans="1:14" ht="10.050000000000001" hidden="1" customHeight="1">
      <c r="A2770" s="52" t="s">
        <v>307</v>
      </c>
      <c r="B2770" s="53">
        <v>2017</v>
      </c>
      <c r="C2770" s="52" t="s">
        <v>121</v>
      </c>
      <c r="D2770" s="54">
        <v>3</v>
      </c>
      <c r="E2770" s="55">
        <v>362937.1</v>
      </c>
      <c r="F2770" s="55">
        <v>76.900000000000006</v>
      </c>
      <c r="G2770" s="55">
        <v>363014</v>
      </c>
      <c r="H2770" s="55">
        <v>3245938.6</v>
      </c>
      <c r="I2770" s="55">
        <v>59883.3</v>
      </c>
      <c r="J2770" s="55">
        <v>3305821.9</v>
      </c>
      <c r="K2770" s="55">
        <v>1016195.1</v>
      </c>
      <c r="L2770" s="55">
        <v>39133.1</v>
      </c>
      <c r="M2770" s="55">
        <v>217538.5</v>
      </c>
      <c r="N2770" s="55">
        <v>43083.3</v>
      </c>
    </row>
    <row r="2771" spans="1:14" ht="10.050000000000001" hidden="1" customHeight="1">
      <c r="A2771" s="52" t="s">
        <v>315</v>
      </c>
      <c r="B2771" s="53">
        <v>2017</v>
      </c>
      <c r="C2771" s="52" t="s">
        <v>121</v>
      </c>
      <c r="D2771" s="54">
        <v>3</v>
      </c>
      <c r="E2771" s="55">
        <v>490.6</v>
      </c>
      <c r="F2771" s="55">
        <v>0</v>
      </c>
      <c r="G2771" s="55">
        <v>490.6</v>
      </c>
      <c r="H2771" s="55">
        <v>11977.2</v>
      </c>
      <c r="I2771" s="55">
        <v>16.899999999999999</v>
      </c>
      <c r="J2771" s="55">
        <v>11994.1</v>
      </c>
      <c r="K2771" s="55">
        <v>969</v>
      </c>
      <c r="L2771" s="55">
        <v>40.700000000000003</v>
      </c>
      <c r="M2771" s="55">
        <v>334</v>
      </c>
      <c r="N2771" s="55">
        <v>0</v>
      </c>
    </row>
    <row r="2772" spans="1:14" ht="10.050000000000001" hidden="1" customHeight="1">
      <c r="A2772" s="52" t="s">
        <v>311</v>
      </c>
      <c r="B2772" s="53">
        <v>2017</v>
      </c>
      <c r="C2772" s="52" t="s">
        <v>121</v>
      </c>
      <c r="D2772" s="54">
        <v>3</v>
      </c>
      <c r="E2772" s="55">
        <v>0</v>
      </c>
      <c r="F2772" s="55">
        <v>0</v>
      </c>
      <c r="G2772" s="55">
        <v>0</v>
      </c>
      <c r="H2772" s="55">
        <v>108.1</v>
      </c>
      <c r="I2772" s="55">
        <v>0</v>
      </c>
      <c r="J2772" s="55">
        <v>108.1</v>
      </c>
      <c r="K2772" s="55">
        <v>1.6</v>
      </c>
      <c r="L2772" s="55">
        <v>0</v>
      </c>
      <c r="M2772" s="55">
        <v>0</v>
      </c>
      <c r="N2772" s="55">
        <v>4.5999999999999996</v>
      </c>
    </row>
    <row r="2773" spans="1:14" ht="10.050000000000001" hidden="1" customHeight="1">
      <c r="A2773" s="52" t="s">
        <v>173</v>
      </c>
      <c r="B2773" s="53">
        <v>2017</v>
      </c>
      <c r="C2773" s="52" t="s">
        <v>121</v>
      </c>
      <c r="D2773" s="54">
        <v>3</v>
      </c>
      <c r="E2773" s="55">
        <v>340582.40000000002</v>
      </c>
      <c r="F2773" s="55">
        <v>2312.6999999999998</v>
      </c>
      <c r="G2773" s="55">
        <v>342895.1</v>
      </c>
      <c r="H2773" s="55">
        <v>2555254.2999999998</v>
      </c>
      <c r="I2773" s="55">
        <v>34619.300000000003</v>
      </c>
      <c r="J2773" s="55">
        <v>2589873.6</v>
      </c>
      <c r="K2773" s="55">
        <v>392589.9</v>
      </c>
      <c r="L2773" s="55">
        <v>36225.199999999997</v>
      </c>
      <c r="M2773" s="55">
        <v>178771.1</v>
      </c>
      <c r="N2773" s="55">
        <v>26889.3</v>
      </c>
    </row>
    <row r="2774" spans="1:14" ht="10.050000000000001" customHeight="1">
      <c r="A2774" s="52" t="s">
        <v>309</v>
      </c>
      <c r="B2774" s="53">
        <v>2017</v>
      </c>
      <c r="C2774" s="52" t="s">
        <v>121</v>
      </c>
      <c r="D2774" s="54">
        <v>3</v>
      </c>
      <c r="E2774" s="55">
        <v>0</v>
      </c>
      <c r="F2774" s="55">
        <v>0</v>
      </c>
      <c r="G2774" s="55">
        <v>0</v>
      </c>
      <c r="H2774" s="55">
        <v>56128.9</v>
      </c>
      <c r="I2774" s="55">
        <v>0</v>
      </c>
      <c r="J2774" s="55">
        <v>56128.9</v>
      </c>
      <c r="K2774" s="55">
        <v>1571.3</v>
      </c>
      <c r="L2774" s="55">
        <v>0</v>
      </c>
      <c r="M2774" s="55">
        <v>0</v>
      </c>
      <c r="N2774" s="55">
        <v>0</v>
      </c>
    </row>
    <row r="2775" spans="1:14" ht="10.050000000000001" hidden="1" customHeight="1">
      <c r="A2775" s="52" t="s">
        <v>316</v>
      </c>
      <c r="B2775" s="53">
        <v>2017</v>
      </c>
      <c r="C2775" s="52" t="s">
        <v>121</v>
      </c>
      <c r="D2775" s="54">
        <v>3</v>
      </c>
      <c r="E2775" s="55">
        <v>144.5</v>
      </c>
      <c r="F2775" s="55">
        <v>0</v>
      </c>
      <c r="G2775" s="55">
        <v>144.5</v>
      </c>
      <c r="H2775" s="55">
        <v>10720</v>
      </c>
      <c r="I2775" s="55">
        <v>115.1</v>
      </c>
      <c r="J2775" s="55">
        <v>10835.1</v>
      </c>
      <c r="K2775" s="55">
        <v>294.7</v>
      </c>
      <c r="L2775" s="55">
        <v>11.3</v>
      </c>
      <c r="M2775" s="55">
        <v>51.9</v>
      </c>
      <c r="N2775" s="55">
        <v>1.6</v>
      </c>
    </row>
    <row r="2776" spans="1:14" ht="10.050000000000001" hidden="1" customHeight="1">
      <c r="A2776" s="52" t="s">
        <v>310</v>
      </c>
      <c r="B2776" s="53">
        <v>2017</v>
      </c>
      <c r="C2776" s="52" t="s">
        <v>121</v>
      </c>
      <c r="D2776" s="54">
        <v>3</v>
      </c>
      <c r="E2776" s="55">
        <v>889.2</v>
      </c>
      <c r="F2776" s="55">
        <v>15</v>
      </c>
      <c r="G2776" s="55">
        <v>904.2</v>
      </c>
      <c r="H2776" s="55">
        <v>16716.900000000001</v>
      </c>
      <c r="I2776" s="55">
        <v>885.1</v>
      </c>
      <c r="J2776" s="55">
        <v>17602</v>
      </c>
      <c r="K2776" s="55">
        <v>975</v>
      </c>
      <c r="L2776" s="55">
        <v>0</v>
      </c>
      <c r="M2776" s="55">
        <v>324.7</v>
      </c>
      <c r="N2776" s="55">
        <v>431.4</v>
      </c>
    </row>
    <row r="2777" spans="1:14" ht="10.050000000000001" hidden="1" customHeight="1">
      <c r="A2777" s="52" t="s">
        <v>308</v>
      </c>
      <c r="B2777" s="53">
        <v>2017</v>
      </c>
      <c r="C2777" s="52" t="s">
        <v>121</v>
      </c>
      <c r="D2777" s="54">
        <v>3</v>
      </c>
      <c r="E2777" s="55">
        <v>1271.2</v>
      </c>
      <c r="F2777" s="55">
        <v>0</v>
      </c>
      <c r="G2777" s="55">
        <v>1271.2</v>
      </c>
      <c r="H2777" s="55">
        <v>54492.3</v>
      </c>
      <c r="I2777" s="55">
        <v>610</v>
      </c>
      <c r="J2777" s="55">
        <v>55102.3</v>
      </c>
      <c r="K2777" s="55">
        <v>3821.8</v>
      </c>
      <c r="L2777" s="55">
        <v>56.2</v>
      </c>
      <c r="M2777" s="55">
        <v>763.4</v>
      </c>
      <c r="N2777" s="55">
        <v>280.39999999999998</v>
      </c>
    </row>
    <row r="2778" spans="1:14" ht="10.050000000000001" hidden="1" customHeight="1">
      <c r="A2778" s="52" t="s">
        <v>174</v>
      </c>
      <c r="B2778" s="53">
        <v>2017</v>
      </c>
      <c r="C2778" s="52" t="s">
        <v>121</v>
      </c>
      <c r="D2778" s="54">
        <v>3</v>
      </c>
      <c r="E2778" s="55">
        <v>9176.7000000000007</v>
      </c>
      <c r="F2778" s="55">
        <v>0</v>
      </c>
      <c r="G2778" s="55">
        <v>9176.7000000000007</v>
      </c>
      <c r="H2778" s="55">
        <v>92094.8</v>
      </c>
      <c r="I2778" s="55">
        <v>10230.6</v>
      </c>
      <c r="J2778" s="55">
        <v>102325.4</v>
      </c>
      <c r="K2778" s="55">
        <v>42386.400000000001</v>
      </c>
      <c r="L2778" s="55">
        <v>1761.5</v>
      </c>
      <c r="M2778" s="55">
        <v>3910.5</v>
      </c>
      <c r="N2778" s="55">
        <v>8159.1</v>
      </c>
    </row>
    <row r="2779" spans="1:14" ht="10.050000000000001" hidden="1" customHeight="1">
      <c r="A2779" s="52" t="s">
        <v>314</v>
      </c>
      <c r="B2779" s="53">
        <v>2017</v>
      </c>
      <c r="C2779" s="52" t="s">
        <v>121</v>
      </c>
      <c r="D2779" s="54">
        <v>4</v>
      </c>
      <c r="E2779" s="55">
        <v>0</v>
      </c>
      <c r="F2779" s="55">
        <v>0</v>
      </c>
      <c r="G2779" s="55">
        <v>0</v>
      </c>
      <c r="H2779" s="55">
        <v>51.9</v>
      </c>
      <c r="I2779" s="55">
        <v>0</v>
      </c>
      <c r="J2779" s="55">
        <v>51.9</v>
      </c>
      <c r="K2779" s="55">
        <v>0</v>
      </c>
      <c r="L2779" s="55">
        <v>0</v>
      </c>
      <c r="M2779" s="55">
        <v>0</v>
      </c>
      <c r="N2779" s="55">
        <v>0</v>
      </c>
    </row>
    <row r="2780" spans="1:14" ht="10.050000000000001" hidden="1" customHeight="1">
      <c r="A2780" s="52" t="s">
        <v>306</v>
      </c>
      <c r="B2780" s="53">
        <v>2017</v>
      </c>
      <c r="C2780" s="52" t="s">
        <v>121</v>
      </c>
      <c r="D2780" s="54">
        <v>4</v>
      </c>
      <c r="E2780" s="55">
        <v>2962.7</v>
      </c>
      <c r="F2780" s="55">
        <v>44.4</v>
      </c>
      <c r="G2780" s="55">
        <v>3007.1</v>
      </c>
      <c r="H2780" s="55">
        <v>69472</v>
      </c>
      <c r="I2780" s="55">
        <v>2264.4</v>
      </c>
      <c r="J2780" s="55">
        <v>71736.399999999994</v>
      </c>
      <c r="K2780" s="55">
        <v>3476.2</v>
      </c>
      <c r="L2780" s="55">
        <v>345.5</v>
      </c>
      <c r="M2780" s="55">
        <v>1490.1</v>
      </c>
      <c r="N2780" s="55">
        <v>414.8</v>
      </c>
    </row>
    <row r="2781" spans="1:14" ht="10.050000000000001" hidden="1" customHeight="1">
      <c r="A2781" s="52" t="s">
        <v>172</v>
      </c>
      <c r="B2781" s="53">
        <v>2017</v>
      </c>
      <c r="C2781" s="52" t="s">
        <v>121</v>
      </c>
      <c r="D2781" s="54">
        <v>4</v>
      </c>
      <c r="E2781" s="55">
        <v>77388.3</v>
      </c>
      <c r="F2781" s="55">
        <v>27.1</v>
      </c>
      <c r="G2781" s="55">
        <v>77415.399999999994</v>
      </c>
      <c r="H2781" s="55">
        <v>410872.5</v>
      </c>
      <c r="I2781" s="55">
        <v>6697</v>
      </c>
      <c r="J2781" s="55">
        <v>417569.5</v>
      </c>
      <c r="K2781" s="55">
        <v>72865.399999999994</v>
      </c>
      <c r="L2781" s="55">
        <v>2250.3000000000002</v>
      </c>
      <c r="M2781" s="55">
        <v>34300.5</v>
      </c>
      <c r="N2781" s="55">
        <v>11667.3</v>
      </c>
    </row>
    <row r="2782" spans="1:14" ht="10.050000000000001" hidden="1" customHeight="1">
      <c r="A2782" s="52" t="s">
        <v>171</v>
      </c>
      <c r="B2782" s="53">
        <v>2017</v>
      </c>
      <c r="C2782" s="52" t="s">
        <v>121</v>
      </c>
      <c r="D2782" s="54">
        <v>4</v>
      </c>
      <c r="E2782" s="55">
        <v>1003600.6</v>
      </c>
      <c r="F2782" s="55">
        <v>879.6</v>
      </c>
      <c r="G2782" s="55">
        <v>1004480.2</v>
      </c>
      <c r="H2782" s="55">
        <v>5680299</v>
      </c>
      <c r="I2782" s="55">
        <v>81435</v>
      </c>
      <c r="J2782" s="55">
        <v>5761734</v>
      </c>
      <c r="K2782" s="55">
        <v>1081857.3</v>
      </c>
      <c r="L2782" s="55">
        <v>177793.5</v>
      </c>
      <c r="M2782" s="55">
        <v>574126.80000000005</v>
      </c>
      <c r="N2782" s="55">
        <v>21096.9</v>
      </c>
    </row>
    <row r="2783" spans="1:14" ht="10.050000000000001" hidden="1" customHeight="1">
      <c r="A2783" s="52" t="s">
        <v>300</v>
      </c>
      <c r="B2783" s="53">
        <v>2017</v>
      </c>
      <c r="C2783" s="52" t="s">
        <v>121</v>
      </c>
      <c r="D2783" s="54">
        <v>4</v>
      </c>
      <c r="E2783" s="55">
        <v>599.6</v>
      </c>
      <c r="F2783" s="55">
        <v>0</v>
      </c>
      <c r="G2783" s="55">
        <v>599.6</v>
      </c>
      <c r="H2783" s="55">
        <v>8202</v>
      </c>
      <c r="I2783" s="55">
        <v>14.4</v>
      </c>
      <c r="J2783" s="55">
        <v>8216.4</v>
      </c>
      <c r="K2783" s="55">
        <v>27.6</v>
      </c>
      <c r="L2783" s="55">
        <v>8.1</v>
      </c>
      <c r="M2783" s="55">
        <v>8.1</v>
      </c>
      <c r="N2783" s="55">
        <v>2.1</v>
      </c>
    </row>
    <row r="2784" spans="1:14" ht="10.050000000000001" hidden="1" customHeight="1">
      <c r="A2784" s="52" t="s">
        <v>307</v>
      </c>
      <c r="B2784" s="53">
        <v>2017</v>
      </c>
      <c r="C2784" s="52" t="s">
        <v>121</v>
      </c>
      <c r="D2784" s="54">
        <v>4</v>
      </c>
      <c r="E2784" s="55">
        <v>191408.3</v>
      </c>
      <c r="F2784" s="55">
        <v>309.3</v>
      </c>
      <c r="G2784" s="55">
        <v>191717.6</v>
      </c>
      <c r="H2784" s="55">
        <v>2708233.3</v>
      </c>
      <c r="I2784" s="55">
        <v>58670.7</v>
      </c>
      <c r="J2784" s="55">
        <v>2766904</v>
      </c>
      <c r="K2784" s="55">
        <v>892945.8</v>
      </c>
      <c r="L2784" s="55">
        <v>44271.3</v>
      </c>
      <c r="M2784" s="55">
        <v>98415.5</v>
      </c>
      <c r="N2784" s="55">
        <v>64185.3</v>
      </c>
    </row>
    <row r="2785" spans="1:14" ht="10.050000000000001" hidden="1" customHeight="1">
      <c r="A2785" s="52" t="s">
        <v>315</v>
      </c>
      <c r="B2785" s="53">
        <v>2017</v>
      </c>
      <c r="C2785" s="52" t="s">
        <v>121</v>
      </c>
      <c r="D2785" s="54">
        <v>4</v>
      </c>
      <c r="E2785" s="55">
        <v>281.3</v>
      </c>
      <c r="F2785" s="55">
        <v>0</v>
      </c>
      <c r="G2785" s="55">
        <v>281.3</v>
      </c>
      <c r="H2785" s="55">
        <v>10206.1</v>
      </c>
      <c r="I2785" s="55">
        <v>16.899999999999999</v>
      </c>
      <c r="J2785" s="55">
        <v>10223</v>
      </c>
      <c r="K2785" s="55">
        <v>911.6</v>
      </c>
      <c r="L2785" s="55">
        <v>18.7</v>
      </c>
      <c r="M2785" s="55">
        <v>74.3</v>
      </c>
      <c r="N2785" s="55">
        <v>1.8</v>
      </c>
    </row>
    <row r="2786" spans="1:14" ht="10.050000000000001" hidden="1" customHeight="1">
      <c r="A2786" s="52" t="s">
        <v>311</v>
      </c>
      <c r="B2786" s="53">
        <v>2017</v>
      </c>
      <c r="C2786" s="52" t="s">
        <v>121</v>
      </c>
      <c r="D2786" s="54">
        <v>4</v>
      </c>
      <c r="E2786" s="55">
        <v>0</v>
      </c>
      <c r="F2786" s="55">
        <v>0</v>
      </c>
      <c r="G2786" s="55">
        <v>0</v>
      </c>
      <c r="H2786" s="55">
        <v>45.1</v>
      </c>
      <c r="I2786" s="55">
        <v>0</v>
      </c>
      <c r="J2786" s="55">
        <v>45.1</v>
      </c>
      <c r="K2786" s="55">
        <v>0.8</v>
      </c>
      <c r="L2786" s="55">
        <v>0</v>
      </c>
      <c r="M2786" s="55">
        <v>0</v>
      </c>
      <c r="N2786" s="55">
        <v>0.8</v>
      </c>
    </row>
    <row r="2787" spans="1:14" ht="10.050000000000001" hidden="1" customHeight="1">
      <c r="A2787" s="52" t="s">
        <v>173</v>
      </c>
      <c r="B2787" s="53">
        <v>2017</v>
      </c>
      <c r="C2787" s="52" t="s">
        <v>121</v>
      </c>
      <c r="D2787" s="54">
        <v>4</v>
      </c>
      <c r="E2787" s="55">
        <v>242587.8</v>
      </c>
      <c r="F2787" s="55">
        <v>1756.5</v>
      </c>
      <c r="G2787" s="55">
        <v>244344.3</v>
      </c>
      <c r="H2787" s="55">
        <v>2006665.2</v>
      </c>
      <c r="I2787" s="55">
        <v>30980.3</v>
      </c>
      <c r="J2787" s="55">
        <v>2037645.5</v>
      </c>
      <c r="K2787" s="55">
        <v>268395.8</v>
      </c>
      <c r="L2787" s="55">
        <v>21909.1</v>
      </c>
      <c r="M2787" s="55">
        <v>125685.5</v>
      </c>
      <c r="N2787" s="55">
        <v>20165.2</v>
      </c>
    </row>
    <row r="2788" spans="1:14" ht="10.050000000000001" customHeight="1">
      <c r="A2788" s="52" t="s">
        <v>309</v>
      </c>
      <c r="B2788" s="53">
        <v>2017</v>
      </c>
      <c r="C2788" s="52" t="s">
        <v>121</v>
      </c>
      <c r="D2788" s="54">
        <v>4</v>
      </c>
      <c r="E2788" s="55">
        <v>3691.3</v>
      </c>
      <c r="F2788" s="55">
        <v>0</v>
      </c>
      <c r="G2788" s="55">
        <v>3691.3</v>
      </c>
      <c r="H2788" s="55">
        <v>50946.2</v>
      </c>
      <c r="I2788" s="55">
        <v>0</v>
      </c>
      <c r="J2788" s="55">
        <v>50946.2</v>
      </c>
      <c r="K2788" s="55">
        <v>1571.3</v>
      </c>
      <c r="L2788" s="55">
        <v>0</v>
      </c>
      <c r="M2788" s="55">
        <v>0</v>
      </c>
      <c r="N2788" s="55">
        <v>0</v>
      </c>
    </row>
    <row r="2789" spans="1:14" ht="10.050000000000001" hidden="1" customHeight="1">
      <c r="A2789" s="52" t="s">
        <v>316</v>
      </c>
      <c r="B2789" s="53">
        <v>2017</v>
      </c>
      <c r="C2789" s="52" t="s">
        <v>121</v>
      </c>
      <c r="D2789" s="54">
        <v>4</v>
      </c>
      <c r="E2789" s="55">
        <v>210.4</v>
      </c>
      <c r="F2789" s="55">
        <v>51.9</v>
      </c>
      <c r="G2789" s="55">
        <v>262.3</v>
      </c>
      <c r="H2789" s="55">
        <v>9978.4000000000106</v>
      </c>
      <c r="I2789" s="55">
        <v>34</v>
      </c>
      <c r="J2789" s="55">
        <v>10012.4</v>
      </c>
      <c r="K2789" s="55">
        <v>206.7</v>
      </c>
      <c r="L2789" s="55">
        <v>3.4</v>
      </c>
      <c r="M2789" s="55">
        <v>24.5</v>
      </c>
      <c r="N2789" s="55">
        <v>66.8</v>
      </c>
    </row>
    <row r="2790" spans="1:14" ht="10.050000000000001" hidden="1" customHeight="1">
      <c r="A2790" s="52" t="s">
        <v>310</v>
      </c>
      <c r="B2790" s="53">
        <v>2017</v>
      </c>
      <c r="C2790" s="52" t="s">
        <v>121</v>
      </c>
      <c r="D2790" s="54">
        <v>4</v>
      </c>
      <c r="E2790" s="55">
        <v>799.7</v>
      </c>
      <c r="F2790" s="55">
        <v>0</v>
      </c>
      <c r="G2790" s="55">
        <v>799.7</v>
      </c>
      <c r="H2790" s="55">
        <v>15144.3</v>
      </c>
      <c r="I2790" s="55">
        <v>813.4</v>
      </c>
      <c r="J2790" s="55">
        <v>15957.7</v>
      </c>
      <c r="K2790" s="55">
        <v>788.8</v>
      </c>
      <c r="L2790" s="55">
        <v>15</v>
      </c>
      <c r="M2790" s="55">
        <v>128.6</v>
      </c>
      <c r="N2790" s="55">
        <v>72.3</v>
      </c>
    </row>
    <row r="2791" spans="1:14" ht="10.050000000000001" hidden="1" customHeight="1">
      <c r="A2791" s="52" t="s">
        <v>308</v>
      </c>
      <c r="B2791" s="53">
        <v>2017</v>
      </c>
      <c r="C2791" s="52" t="s">
        <v>121</v>
      </c>
      <c r="D2791" s="54">
        <v>4</v>
      </c>
      <c r="E2791" s="55">
        <v>1557.4</v>
      </c>
      <c r="F2791" s="55">
        <v>0</v>
      </c>
      <c r="G2791" s="55">
        <v>1557.4</v>
      </c>
      <c r="H2791" s="55">
        <v>38754.300000000003</v>
      </c>
      <c r="I2791" s="55">
        <v>645.70000000000005</v>
      </c>
      <c r="J2791" s="55">
        <v>39400</v>
      </c>
      <c r="K2791" s="55">
        <v>2872.2</v>
      </c>
      <c r="L2791" s="55">
        <v>0</v>
      </c>
      <c r="M2791" s="55">
        <v>839.5</v>
      </c>
      <c r="N2791" s="55">
        <v>110.2</v>
      </c>
    </row>
    <row r="2792" spans="1:14" ht="10.050000000000001" hidden="1" customHeight="1">
      <c r="A2792" s="52" t="s">
        <v>174</v>
      </c>
      <c r="B2792" s="53">
        <v>2017</v>
      </c>
      <c r="C2792" s="52" t="s">
        <v>121</v>
      </c>
      <c r="D2792" s="54">
        <v>4</v>
      </c>
      <c r="E2792" s="55">
        <v>6192.2</v>
      </c>
      <c r="F2792" s="55">
        <v>28.8</v>
      </c>
      <c r="G2792" s="55">
        <v>6221</v>
      </c>
      <c r="H2792" s="55">
        <v>72713.600000000006</v>
      </c>
      <c r="I2792" s="55">
        <v>9792.7000000000007</v>
      </c>
      <c r="J2792" s="55">
        <v>82506.3</v>
      </c>
      <c r="K2792" s="55">
        <v>35116.800000000003</v>
      </c>
      <c r="L2792" s="55">
        <v>962</v>
      </c>
      <c r="M2792" s="55">
        <v>2921.4</v>
      </c>
      <c r="N2792" s="55">
        <v>5364.5</v>
      </c>
    </row>
    <row r="2793" spans="1:14" ht="10.050000000000001" hidden="1" customHeight="1">
      <c r="A2793" s="52" t="s">
        <v>314</v>
      </c>
      <c r="B2793" s="53">
        <v>2017</v>
      </c>
      <c r="C2793" s="52" t="s">
        <v>121</v>
      </c>
      <c r="D2793" s="54">
        <v>5</v>
      </c>
      <c r="E2793" s="55">
        <v>0</v>
      </c>
      <c r="F2793" s="55">
        <v>0</v>
      </c>
      <c r="G2793" s="55">
        <v>0</v>
      </c>
      <c r="H2793" s="55">
        <v>41.2</v>
      </c>
      <c r="I2793" s="55">
        <v>0</v>
      </c>
      <c r="J2793" s="55">
        <v>41.2</v>
      </c>
      <c r="K2793" s="55">
        <v>0</v>
      </c>
      <c r="L2793" s="55">
        <v>0</v>
      </c>
      <c r="M2793" s="55">
        <v>0</v>
      </c>
      <c r="N2793" s="55">
        <v>0</v>
      </c>
    </row>
    <row r="2794" spans="1:14" ht="10.050000000000001" hidden="1" customHeight="1">
      <c r="A2794" s="52" t="s">
        <v>306</v>
      </c>
      <c r="B2794" s="53">
        <v>2017</v>
      </c>
      <c r="C2794" s="52" t="s">
        <v>121</v>
      </c>
      <c r="D2794" s="54">
        <v>5</v>
      </c>
      <c r="E2794" s="55">
        <v>2536.1999999999998</v>
      </c>
      <c r="F2794" s="55">
        <v>48.2</v>
      </c>
      <c r="G2794" s="55">
        <v>2584.4</v>
      </c>
      <c r="H2794" s="55">
        <v>59272.3</v>
      </c>
      <c r="I2794" s="55">
        <v>1671.3</v>
      </c>
      <c r="J2794" s="55">
        <v>60943.6</v>
      </c>
      <c r="K2794" s="55">
        <v>2003.5</v>
      </c>
      <c r="L2794" s="55">
        <v>241.3</v>
      </c>
      <c r="M2794" s="55">
        <v>1236.5999999999999</v>
      </c>
      <c r="N2794" s="55">
        <v>456.5</v>
      </c>
    </row>
    <row r="2795" spans="1:14" ht="10.050000000000001" hidden="1" customHeight="1">
      <c r="A2795" s="52" t="s">
        <v>172</v>
      </c>
      <c r="B2795" s="53">
        <v>2017</v>
      </c>
      <c r="C2795" s="52" t="s">
        <v>121</v>
      </c>
      <c r="D2795" s="54">
        <v>5</v>
      </c>
      <c r="E2795" s="55">
        <v>71862.399999999994</v>
      </c>
      <c r="F2795" s="55">
        <v>-95.9</v>
      </c>
      <c r="G2795" s="55">
        <v>71766.5</v>
      </c>
      <c r="H2795" s="55">
        <v>331704.59999999998</v>
      </c>
      <c r="I2795" s="55">
        <v>6154.3</v>
      </c>
      <c r="J2795" s="55">
        <v>337858.9</v>
      </c>
      <c r="K2795" s="55">
        <v>39371.300000000003</v>
      </c>
      <c r="L2795" s="55">
        <v>1968</v>
      </c>
      <c r="M2795" s="55">
        <v>30489.599999999999</v>
      </c>
      <c r="N2795" s="55">
        <v>4972.5</v>
      </c>
    </row>
    <row r="2796" spans="1:14" ht="10.050000000000001" hidden="1" customHeight="1">
      <c r="A2796" s="52" t="s">
        <v>171</v>
      </c>
      <c r="B2796" s="53">
        <v>2017</v>
      </c>
      <c r="C2796" s="52" t="s">
        <v>121</v>
      </c>
      <c r="D2796" s="54">
        <v>5</v>
      </c>
      <c r="E2796" s="55">
        <v>1151783.8</v>
      </c>
      <c r="F2796" s="55">
        <v>-1640.9</v>
      </c>
      <c r="G2796" s="55">
        <v>1150142.8999999999</v>
      </c>
      <c r="H2796" s="55">
        <v>4363621.8</v>
      </c>
      <c r="I2796" s="55">
        <v>89400.3</v>
      </c>
      <c r="J2796" s="55">
        <v>4453022.0999999996</v>
      </c>
      <c r="K2796" s="55">
        <v>444714.7</v>
      </c>
      <c r="L2796" s="55">
        <v>163477.70000000001</v>
      </c>
      <c r="M2796" s="55">
        <v>758450.7</v>
      </c>
      <c r="N2796" s="55">
        <v>41925.4</v>
      </c>
    </row>
    <row r="2797" spans="1:14" ht="10.050000000000001" hidden="1" customHeight="1">
      <c r="A2797" s="52" t="s">
        <v>300</v>
      </c>
      <c r="B2797" s="53">
        <v>2017</v>
      </c>
      <c r="C2797" s="52" t="s">
        <v>121</v>
      </c>
      <c r="D2797" s="54">
        <v>5</v>
      </c>
      <c r="E2797" s="55">
        <v>657.9</v>
      </c>
      <c r="F2797" s="55">
        <v>0</v>
      </c>
      <c r="G2797" s="55">
        <v>657.9</v>
      </c>
      <c r="H2797" s="55">
        <v>7686.5</v>
      </c>
      <c r="I2797" s="55">
        <v>14.3</v>
      </c>
      <c r="J2797" s="55">
        <v>7700.8</v>
      </c>
      <c r="K2797" s="55">
        <v>3.5</v>
      </c>
      <c r="L2797" s="55">
        <v>0</v>
      </c>
      <c r="M2797" s="55">
        <v>21.2</v>
      </c>
      <c r="N2797" s="55">
        <v>2.9</v>
      </c>
    </row>
    <row r="2798" spans="1:14" ht="10.050000000000001" hidden="1" customHeight="1">
      <c r="A2798" s="52" t="s">
        <v>307</v>
      </c>
      <c r="B2798" s="53">
        <v>2017</v>
      </c>
      <c r="C2798" s="52" t="s">
        <v>121</v>
      </c>
      <c r="D2798" s="54">
        <v>5</v>
      </c>
      <c r="E2798" s="55">
        <v>224969.1</v>
      </c>
      <c r="F2798" s="55">
        <v>846</v>
      </c>
      <c r="G2798" s="55">
        <v>225815.1</v>
      </c>
      <c r="H2798" s="55">
        <v>2122085.1</v>
      </c>
      <c r="I2798" s="55">
        <v>56971.3</v>
      </c>
      <c r="J2798" s="55">
        <v>2179056.4</v>
      </c>
      <c r="K2798" s="55">
        <v>763812</v>
      </c>
      <c r="L2798" s="55">
        <v>40895.1</v>
      </c>
      <c r="M2798" s="55">
        <v>117152.4</v>
      </c>
      <c r="N2798" s="55">
        <v>51295</v>
      </c>
    </row>
    <row r="2799" spans="1:14" ht="10.050000000000001" hidden="1" customHeight="1">
      <c r="A2799" s="52" t="s">
        <v>315</v>
      </c>
      <c r="B2799" s="53">
        <v>2017</v>
      </c>
      <c r="C2799" s="52" t="s">
        <v>121</v>
      </c>
      <c r="D2799" s="54">
        <v>5</v>
      </c>
      <c r="E2799" s="55">
        <v>335.7</v>
      </c>
      <c r="F2799" s="55">
        <v>0</v>
      </c>
      <c r="G2799" s="55">
        <v>335.7</v>
      </c>
      <c r="H2799" s="55">
        <v>9382.2000000000007</v>
      </c>
      <c r="I2799" s="55">
        <v>16.899999999999999</v>
      </c>
      <c r="J2799" s="55">
        <v>9399.1</v>
      </c>
      <c r="K2799" s="55">
        <v>727</v>
      </c>
      <c r="L2799" s="55">
        <v>0.4</v>
      </c>
      <c r="M2799" s="55">
        <v>157.6</v>
      </c>
      <c r="N2799" s="55">
        <v>27.4</v>
      </c>
    </row>
    <row r="2800" spans="1:14" ht="10.050000000000001" hidden="1" customHeight="1">
      <c r="A2800" s="52" t="s">
        <v>311</v>
      </c>
      <c r="B2800" s="53">
        <v>2017</v>
      </c>
      <c r="C2800" s="52" t="s">
        <v>121</v>
      </c>
      <c r="D2800" s="54">
        <v>5</v>
      </c>
      <c r="E2800" s="55">
        <v>0</v>
      </c>
      <c r="F2800" s="55">
        <v>0</v>
      </c>
      <c r="G2800" s="55">
        <v>0</v>
      </c>
      <c r="H2800" s="55">
        <v>28.5</v>
      </c>
      <c r="I2800" s="55">
        <v>0</v>
      </c>
      <c r="J2800" s="55">
        <v>28.5</v>
      </c>
      <c r="K2800" s="55">
        <v>0</v>
      </c>
      <c r="L2800" s="55">
        <v>0</v>
      </c>
      <c r="M2800" s="55">
        <v>0</v>
      </c>
      <c r="N2800" s="55">
        <v>0.8</v>
      </c>
    </row>
    <row r="2801" spans="1:14" ht="10.050000000000001" hidden="1" customHeight="1">
      <c r="A2801" s="52" t="s">
        <v>173</v>
      </c>
      <c r="B2801" s="53">
        <v>2017</v>
      </c>
      <c r="C2801" s="52" t="s">
        <v>121</v>
      </c>
      <c r="D2801" s="54">
        <v>5</v>
      </c>
      <c r="E2801" s="55">
        <v>213546.9</v>
      </c>
      <c r="F2801" s="55">
        <v>-631.6</v>
      </c>
      <c r="G2801" s="55">
        <v>212915.3</v>
      </c>
      <c r="H2801" s="55">
        <v>1449942.6</v>
      </c>
      <c r="I2801" s="55">
        <v>29178.1</v>
      </c>
      <c r="J2801" s="55">
        <v>1479120.7</v>
      </c>
      <c r="K2801" s="55">
        <v>129674.7</v>
      </c>
      <c r="L2801" s="55">
        <v>16564.400000000001</v>
      </c>
      <c r="M2801" s="55">
        <v>131890</v>
      </c>
      <c r="N2801" s="55">
        <v>23202.2</v>
      </c>
    </row>
    <row r="2802" spans="1:14" ht="10.050000000000001" customHeight="1">
      <c r="A2802" s="52" t="s">
        <v>309</v>
      </c>
      <c r="B2802" s="53">
        <v>2017</v>
      </c>
      <c r="C2802" s="52" t="s">
        <v>121</v>
      </c>
      <c r="D2802" s="54">
        <v>5</v>
      </c>
      <c r="E2802" s="55">
        <v>104</v>
      </c>
      <c r="F2802" s="55">
        <v>0</v>
      </c>
      <c r="G2802" s="55">
        <v>104</v>
      </c>
      <c r="H2802" s="55">
        <v>47878.2</v>
      </c>
      <c r="I2802" s="55">
        <v>0</v>
      </c>
      <c r="J2802" s="55">
        <v>47878.2</v>
      </c>
      <c r="K2802" s="55">
        <v>1571.3</v>
      </c>
      <c r="L2802" s="55">
        <v>0</v>
      </c>
      <c r="M2802" s="55">
        <v>0</v>
      </c>
      <c r="N2802" s="55">
        <v>0</v>
      </c>
    </row>
    <row r="2803" spans="1:14" ht="10.050000000000001" hidden="1" customHeight="1">
      <c r="A2803" s="52" t="s">
        <v>316</v>
      </c>
      <c r="B2803" s="53">
        <v>2017</v>
      </c>
      <c r="C2803" s="52" t="s">
        <v>121</v>
      </c>
      <c r="D2803" s="54">
        <v>5</v>
      </c>
      <c r="E2803" s="55">
        <v>134.69999999999999</v>
      </c>
      <c r="F2803" s="55">
        <v>0</v>
      </c>
      <c r="G2803" s="55">
        <v>134.69999999999999</v>
      </c>
      <c r="H2803" s="55">
        <v>8958.7999999999993</v>
      </c>
      <c r="I2803" s="55">
        <v>26.9</v>
      </c>
      <c r="J2803" s="55">
        <v>8985.7000000000007</v>
      </c>
      <c r="K2803" s="55">
        <v>185.6</v>
      </c>
      <c r="L2803" s="55">
        <v>0</v>
      </c>
      <c r="M2803" s="55">
        <v>16.600000000000001</v>
      </c>
      <c r="N2803" s="55">
        <v>4.5999999999999996</v>
      </c>
    </row>
    <row r="2804" spans="1:14" ht="10.050000000000001" hidden="1" customHeight="1">
      <c r="A2804" s="52" t="s">
        <v>310</v>
      </c>
      <c r="B2804" s="53">
        <v>2017</v>
      </c>
      <c r="C2804" s="52" t="s">
        <v>121</v>
      </c>
      <c r="D2804" s="54">
        <v>5</v>
      </c>
      <c r="E2804" s="55">
        <v>422</v>
      </c>
      <c r="F2804" s="55">
        <v>0</v>
      </c>
      <c r="G2804" s="55">
        <v>422</v>
      </c>
      <c r="H2804" s="55">
        <v>12778</v>
      </c>
      <c r="I2804" s="55">
        <v>813.6</v>
      </c>
      <c r="J2804" s="55">
        <v>13591.6</v>
      </c>
      <c r="K2804" s="55">
        <v>597.6</v>
      </c>
      <c r="L2804" s="55">
        <v>0</v>
      </c>
      <c r="M2804" s="55">
        <v>102.6</v>
      </c>
      <c r="N2804" s="55">
        <v>88.6</v>
      </c>
    </row>
    <row r="2805" spans="1:14" ht="10.050000000000001" hidden="1" customHeight="1">
      <c r="A2805" s="52" t="s">
        <v>308</v>
      </c>
      <c r="B2805" s="53">
        <v>2017</v>
      </c>
      <c r="C2805" s="52" t="s">
        <v>121</v>
      </c>
      <c r="D2805" s="54">
        <v>5</v>
      </c>
      <c r="E2805" s="55">
        <v>893.6</v>
      </c>
      <c r="F2805" s="55">
        <v>0</v>
      </c>
      <c r="G2805" s="55">
        <v>893.6</v>
      </c>
      <c r="H2805" s="55">
        <v>29026.400000000001</v>
      </c>
      <c r="I2805" s="55">
        <v>605.20000000000005</v>
      </c>
      <c r="J2805" s="55">
        <v>29631.599999999999</v>
      </c>
      <c r="K2805" s="55">
        <v>1992.3</v>
      </c>
      <c r="L2805" s="55">
        <v>39.6</v>
      </c>
      <c r="M2805" s="55">
        <v>700.3</v>
      </c>
      <c r="N2805" s="55">
        <v>233.2</v>
      </c>
    </row>
    <row r="2806" spans="1:14" ht="10.050000000000001" hidden="1" customHeight="1">
      <c r="A2806" s="52" t="s">
        <v>174</v>
      </c>
      <c r="B2806" s="53">
        <v>2017</v>
      </c>
      <c r="C2806" s="52" t="s">
        <v>121</v>
      </c>
      <c r="D2806" s="54">
        <v>5</v>
      </c>
      <c r="E2806" s="55">
        <v>8127.3</v>
      </c>
      <c r="F2806" s="55">
        <v>42.2</v>
      </c>
      <c r="G2806" s="55">
        <v>8169.5</v>
      </c>
      <c r="H2806" s="55">
        <v>53320.9</v>
      </c>
      <c r="I2806" s="55">
        <v>9234.7000000000007</v>
      </c>
      <c r="J2806" s="55">
        <v>62555.6</v>
      </c>
      <c r="K2806" s="55">
        <v>26615.4</v>
      </c>
      <c r="L2806" s="55">
        <v>2780.7</v>
      </c>
      <c r="M2806" s="55">
        <v>4104.8</v>
      </c>
      <c r="N2806" s="55">
        <v>7123.4</v>
      </c>
    </row>
    <row r="2807" spans="1:14" ht="10.050000000000001" hidden="1" customHeight="1">
      <c r="A2807" s="52" t="s">
        <v>314</v>
      </c>
      <c r="B2807" s="53">
        <v>2017</v>
      </c>
      <c r="C2807" s="52" t="s">
        <v>121</v>
      </c>
      <c r="D2807" s="54">
        <v>6</v>
      </c>
      <c r="E2807" s="55">
        <v>0</v>
      </c>
      <c r="F2807" s="55">
        <v>0</v>
      </c>
      <c r="G2807" s="55">
        <v>0</v>
      </c>
      <c r="H2807" s="55">
        <v>38.200000000000003</v>
      </c>
      <c r="I2807" s="55">
        <v>0</v>
      </c>
      <c r="J2807" s="55">
        <v>38.200000000000003</v>
      </c>
      <c r="K2807" s="55">
        <v>0</v>
      </c>
      <c r="L2807" s="55">
        <v>0</v>
      </c>
      <c r="M2807" s="55">
        <v>0</v>
      </c>
      <c r="N2807" s="55">
        <v>0</v>
      </c>
    </row>
    <row r="2808" spans="1:14" ht="10.050000000000001" hidden="1" customHeight="1">
      <c r="A2808" s="52" t="s">
        <v>306</v>
      </c>
      <c r="B2808" s="53">
        <v>2017</v>
      </c>
      <c r="C2808" s="52" t="s">
        <v>121</v>
      </c>
      <c r="D2808" s="54">
        <v>6</v>
      </c>
      <c r="E2808" s="55">
        <v>3255.3</v>
      </c>
      <c r="F2808" s="55">
        <v>-73.400000000000006</v>
      </c>
      <c r="G2808" s="55">
        <v>3181.9</v>
      </c>
      <c r="H2808" s="55">
        <v>44164.3</v>
      </c>
      <c r="I2808" s="55">
        <v>777.7</v>
      </c>
      <c r="J2808" s="55">
        <v>44942</v>
      </c>
      <c r="K2808" s="55">
        <v>1396.5</v>
      </c>
      <c r="L2808" s="55">
        <v>800.3</v>
      </c>
      <c r="M2808" s="55">
        <v>712.1</v>
      </c>
      <c r="N2808" s="55">
        <v>748.4</v>
      </c>
    </row>
    <row r="2809" spans="1:14" ht="10.050000000000001" hidden="1" customHeight="1">
      <c r="A2809" s="52" t="s">
        <v>172</v>
      </c>
      <c r="B2809" s="53">
        <v>2017</v>
      </c>
      <c r="C2809" s="52" t="s">
        <v>121</v>
      </c>
      <c r="D2809" s="54">
        <v>6</v>
      </c>
      <c r="E2809" s="55">
        <v>53211.9</v>
      </c>
      <c r="F2809" s="55">
        <v>133</v>
      </c>
      <c r="G2809" s="55">
        <v>53344.9</v>
      </c>
      <c r="H2809" s="55">
        <v>240847.1</v>
      </c>
      <c r="I2809" s="55">
        <v>3285.7</v>
      </c>
      <c r="J2809" s="55">
        <v>244132.8</v>
      </c>
      <c r="K2809" s="55">
        <v>29438.5</v>
      </c>
      <c r="L2809" s="55">
        <v>17213.599999999999</v>
      </c>
      <c r="M2809" s="55">
        <v>11100</v>
      </c>
      <c r="N2809" s="55">
        <v>16073.4</v>
      </c>
    </row>
    <row r="2810" spans="1:14" ht="10.050000000000001" hidden="1" customHeight="1">
      <c r="A2810" s="52" t="s">
        <v>171</v>
      </c>
      <c r="B2810" s="53">
        <v>2017</v>
      </c>
      <c r="C2810" s="52" t="s">
        <v>121</v>
      </c>
      <c r="D2810" s="54">
        <v>6</v>
      </c>
      <c r="E2810" s="55">
        <v>681352.1</v>
      </c>
      <c r="F2810" s="55">
        <v>3692.3</v>
      </c>
      <c r="G2810" s="55">
        <v>685044.4</v>
      </c>
      <c r="H2810" s="55">
        <v>2188303.1</v>
      </c>
      <c r="I2810" s="55">
        <v>27780.2</v>
      </c>
      <c r="J2810" s="55">
        <v>2216083.2999999998</v>
      </c>
      <c r="K2810" s="55">
        <v>187708.4</v>
      </c>
      <c r="L2810" s="55">
        <v>152642.29999999999</v>
      </c>
      <c r="M2810" s="55">
        <v>344034.3</v>
      </c>
      <c r="N2810" s="55">
        <v>65949.3</v>
      </c>
    </row>
    <row r="2811" spans="1:14" ht="10.050000000000001" hidden="1" customHeight="1">
      <c r="A2811" s="52" t="s">
        <v>300</v>
      </c>
      <c r="B2811" s="53">
        <v>2017</v>
      </c>
      <c r="C2811" s="52" t="s">
        <v>121</v>
      </c>
      <c r="D2811" s="54">
        <v>6</v>
      </c>
      <c r="E2811" s="55">
        <v>1401.9</v>
      </c>
      <c r="F2811" s="55">
        <v>280.2</v>
      </c>
      <c r="G2811" s="55">
        <v>1682.1</v>
      </c>
      <c r="H2811" s="55">
        <v>6135.6</v>
      </c>
      <c r="I2811" s="55">
        <v>13.7</v>
      </c>
      <c r="J2811" s="55">
        <v>6149.3</v>
      </c>
      <c r="K2811" s="55">
        <v>2.8</v>
      </c>
      <c r="L2811" s="55">
        <v>0</v>
      </c>
      <c r="M2811" s="55">
        <v>0</v>
      </c>
      <c r="N2811" s="55">
        <v>0.8</v>
      </c>
    </row>
    <row r="2812" spans="1:14" ht="10.050000000000001" hidden="1" customHeight="1">
      <c r="A2812" s="52" t="s">
        <v>307</v>
      </c>
      <c r="B2812" s="53">
        <v>2017</v>
      </c>
      <c r="C2812" s="52" t="s">
        <v>121</v>
      </c>
      <c r="D2812" s="54">
        <v>6</v>
      </c>
      <c r="E2812" s="55">
        <v>452071.4</v>
      </c>
      <c r="F2812" s="55">
        <v>0</v>
      </c>
      <c r="G2812" s="55">
        <v>452071.4</v>
      </c>
      <c r="H2812" s="55">
        <v>1698854.4</v>
      </c>
      <c r="I2812" s="55">
        <v>41034.6</v>
      </c>
      <c r="J2812" s="55">
        <v>1739889</v>
      </c>
      <c r="K2812" s="55">
        <v>430077.8</v>
      </c>
      <c r="L2812" s="55">
        <v>35574.5</v>
      </c>
      <c r="M2812" s="55">
        <v>295134.40000000002</v>
      </c>
      <c r="N2812" s="55">
        <v>74556.7</v>
      </c>
    </row>
    <row r="2813" spans="1:14" ht="10.050000000000001" hidden="1" customHeight="1">
      <c r="A2813" s="52" t="s">
        <v>315</v>
      </c>
      <c r="B2813" s="53">
        <v>2017</v>
      </c>
      <c r="C2813" s="52" t="s">
        <v>121</v>
      </c>
      <c r="D2813" s="54">
        <v>6</v>
      </c>
      <c r="E2813" s="55">
        <v>1028.5999999999999</v>
      </c>
      <c r="F2813" s="55">
        <v>0</v>
      </c>
      <c r="G2813" s="55">
        <v>1028.5999999999999</v>
      </c>
      <c r="H2813" s="55">
        <v>7767.3</v>
      </c>
      <c r="I2813" s="55">
        <v>16.899999999999999</v>
      </c>
      <c r="J2813" s="55">
        <v>7784.2</v>
      </c>
      <c r="K2813" s="55">
        <v>225.4</v>
      </c>
      <c r="L2813" s="55">
        <v>54.3</v>
      </c>
      <c r="M2813" s="55">
        <v>476.2</v>
      </c>
      <c r="N2813" s="55">
        <v>79.7</v>
      </c>
    </row>
    <row r="2814" spans="1:14" ht="10.050000000000001" hidden="1" customHeight="1">
      <c r="A2814" s="52" t="s">
        <v>311</v>
      </c>
      <c r="B2814" s="53">
        <v>2017</v>
      </c>
      <c r="C2814" s="52" t="s">
        <v>121</v>
      </c>
      <c r="D2814" s="54">
        <v>6</v>
      </c>
      <c r="E2814" s="55">
        <v>56.7</v>
      </c>
      <c r="F2814" s="55">
        <v>0</v>
      </c>
      <c r="G2814" s="55">
        <v>56.7</v>
      </c>
      <c r="H2814" s="55">
        <v>26.9</v>
      </c>
      <c r="I2814" s="55">
        <v>0</v>
      </c>
      <c r="J2814" s="55">
        <v>26.9</v>
      </c>
      <c r="K2814" s="55">
        <v>0</v>
      </c>
      <c r="L2814" s="55">
        <v>0</v>
      </c>
      <c r="M2814" s="55">
        <v>0</v>
      </c>
      <c r="N2814" s="55">
        <v>0</v>
      </c>
    </row>
    <row r="2815" spans="1:14" ht="10.050000000000001" hidden="1" customHeight="1">
      <c r="A2815" s="52" t="s">
        <v>173</v>
      </c>
      <c r="B2815" s="53">
        <v>2017</v>
      </c>
      <c r="C2815" s="52" t="s">
        <v>121</v>
      </c>
      <c r="D2815" s="54">
        <v>6</v>
      </c>
      <c r="E2815" s="55">
        <v>142911</v>
      </c>
      <c r="F2815" s="55">
        <v>2397.3000000000002</v>
      </c>
      <c r="G2815" s="55">
        <v>145308.29999999999</v>
      </c>
      <c r="H2815" s="55">
        <v>719443.09999999905</v>
      </c>
      <c r="I2815" s="55">
        <v>11338.4</v>
      </c>
      <c r="J2815" s="55">
        <v>730781.49999999895</v>
      </c>
      <c r="K2815" s="55">
        <v>79911.100000000006</v>
      </c>
      <c r="L2815" s="55">
        <v>56036.5</v>
      </c>
      <c r="M2815" s="55">
        <v>66913.3</v>
      </c>
      <c r="N2815" s="55">
        <v>42179</v>
      </c>
    </row>
    <row r="2816" spans="1:14" ht="10.050000000000001" customHeight="1">
      <c r="A2816" s="52" t="s">
        <v>309</v>
      </c>
      <c r="B2816" s="53">
        <v>2017</v>
      </c>
      <c r="C2816" s="52" t="s">
        <v>121</v>
      </c>
      <c r="D2816" s="54">
        <v>6</v>
      </c>
      <c r="E2816" s="55">
        <v>20766.900000000001</v>
      </c>
      <c r="F2816" s="55">
        <v>0</v>
      </c>
      <c r="G2816" s="55">
        <v>20766.900000000001</v>
      </c>
      <c r="H2816" s="55">
        <v>46956.9</v>
      </c>
      <c r="I2816" s="55">
        <v>0</v>
      </c>
      <c r="J2816" s="55">
        <v>46956.9</v>
      </c>
      <c r="K2816" s="55">
        <v>1571.3</v>
      </c>
      <c r="L2816" s="55">
        <v>0</v>
      </c>
      <c r="M2816" s="55">
        <v>0</v>
      </c>
      <c r="N2816" s="55">
        <v>0</v>
      </c>
    </row>
    <row r="2817" spans="1:14" ht="10.050000000000001" hidden="1" customHeight="1">
      <c r="A2817" s="52" t="s">
        <v>316</v>
      </c>
      <c r="B2817" s="53">
        <v>2017</v>
      </c>
      <c r="C2817" s="52" t="s">
        <v>121</v>
      </c>
      <c r="D2817" s="54">
        <v>6</v>
      </c>
      <c r="E2817" s="55">
        <v>500.7</v>
      </c>
      <c r="F2817" s="55">
        <v>34.9</v>
      </c>
      <c r="G2817" s="55">
        <v>535.6</v>
      </c>
      <c r="H2817" s="55">
        <v>7720.7</v>
      </c>
      <c r="I2817" s="55">
        <v>26.5</v>
      </c>
      <c r="J2817" s="55">
        <v>7747.2</v>
      </c>
      <c r="K2817" s="55">
        <v>130.6</v>
      </c>
      <c r="L2817" s="55">
        <v>11.4</v>
      </c>
      <c r="M2817" s="55">
        <v>25</v>
      </c>
      <c r="N2817" s="55">
        <v>41.5</v>
      </c>
    </row>
    <row r="2818" spans="1:14" ht="10.050000000000001" hidden="1" customHeight="1">
      <c r="A2818" s="52" t="s">
        <v>310</v>
      </c>
      <c r="B2818" s="53">
        <v>2017</v>
      </c>
      <c r="C2818" s="52" t="s">
        <v>121</v>
      </c>
      <c r="D2818" s="54">
        <v>6</v>
      </c>
      <c r="E2818" s="55">
        <v>888.1</v>
      </c>
      <c r="F2818" s="55">
        <v>14.7</v>
      </c>
      <c r="G2818" s="55">
        <v>902.8</v>
      </c>
      <c r="H2818" s="55">
        <v>9173.3000000000102</v>
      </c>
      <c r="I2818" s="55">
        <v>447.6</v>
      </c>
      <c r="J2818" s="55">
        <v>9620.9000000000106</v>
      </c>
      <c r="K2818" s="55">
        <v>374.4</v>
      </c>
      <c r="L2818" s="55">
        <v>193.6</v>
      </c>
      <c r="M2818" s="55">
        <v>236</v>
      </c>
      <c r="N2818" s="55">
        <v>182.2</v>
      </c>
    </row>
    <row r="2819" spans="1:14" ht="10.050000000000001" hidden="1" customHeight="1">
      <c r="A2819" s="52" t="s">
        <v>308</v>
      </c>
      <c r="B2819" s="53">
        <v>2017</v>
      </c>
      <c r="C2819" s="52" t="s">
        <v>121</v>
      </c>
      <c r="D2819" s="54">
        <v>6</v>
      </c>
      <c r="E2819" s="55">
        <v>1718.9</v>
      </c>
      <c r="F2819" s="55">
        <v>0</v>
      </c>
      <c r="G2819" s="55">
        <v>1718.9</v>
      </c>
      <c r="H2819" s="55">
        <v>20958.099999999999</v>
      </c>
      <c r="I2819" s="55">
        <v>486.2</v>
      </c>
      <c r="J2819" s="55">
        <v>21444.3</v>
      </c>
      <c r="K2819" s="55">
        <v>497.2</v>
      </c>
      <c r="L2819" s="55">
        <v>24.9</v>
      </c>
      <c r="M2819" s="55">
        <v>993.1</v>
      </c>
      <c r="N2819" s="55">
        <v>527.1</v>
      </c>
    </row>
    <row r="2820" spans="1:14" ht="10.050000000000001" hidden="1" customHeight="1">
      <c r="A2820" s="52" t="s">
        <v>174</v>
      </c>
      <c r="B2820" s="53">
        <v>2017</v>
      </c>
      <c r="C2820" s="52" t="s">
        <v>121</v>
      </c>
      <c r="D2820" s="54">
        <v>6</v>
      </c>
      <c r="E2820" s="55">
        <v>12094.3</v>
      </c>
      <c r="F2820" s="55">
        <v>123.1</v>
      </c>
      <c r="G2820" s="55">
        <v>12217.4</v>
      </c>
      <c r="H2820" s="55">
        <v>28916.799999999999</v>
      </c>
      <c r="I2820" s="55">
        <v>4709.1000000000004</v>
      </c>
      <c r="J2820" s="55">
        <v>33625.9</v>
      </c>
      <c r="K2820" s="55">
        <v>15178.7</v>
      </c>
      <c r="L2820" s="55">
        <v>1519.5</v>
      </c>
      <c r="M2820" s="55">
        <v>5003</v>
      </c>
      <c r="N2820" s="55">
        <v>7995.9</v>
      </c>
    </row>
    <row r="2821" spans="1:14" ht="10.050000000000001" hidden="1" customHeight="1">
      <c r="A2821" s="52" t="s">
        <v>314</v>
      </c>
      <c r="B2821" s="53">
        <v>2017</v>
      </c>
      <c r="C2821" s="52" t="s">
        <v>122</v>
      </c>
      <c r="D2821" s="54">
        <v>7</v>
      </c>
      <c r="E2821" s="55">
        <v>35.299999999999997</v>
      </c>
      <c r="F2821" s="55">
        <v>0</v>
      </c>
      <c r="G2821" s="55">
        <v>35.299999999999997</v>
      </c>
      <c r="H2821" s="55">
        <v>62</v>
      </c>
      <c r="I2821" s="55">
        <v>0</v>
      </c>
      <c r="J2821" s="55">
        <v>62</v>
      </c>
      <c r="K2821" s="55">
        <v>17.5</v>
      </c>
      <c r="L2821" s="55">
        <v>17.5</v>
      </c>
      <c r="M2821" s="55">
        <v>0</v>
      </c>
      <c r="N2821" s="55">
        <v>0</v>
      </c>
    </row>
    <row r="2822" spans="1:14" ht="10.050000000000001" hidden="1" customHeight="1">
      <c r="A2822" s="52" t="s">
        <v>306</v>
      </c>
      <c r="B2822" s="53">
        <v>2017</v>
      </c>
      <c r="C2822" s="52" t="s">
        <v>122</v>
      </c>
      <c r="D2822" s="54">
        <v>7</v>
      </c>
      <c r="E2822" s="55">
        <v>162229.79999999999</v>
      </c>
      <c r="F2822" s="55">
        <v>2157.1</v>
      </c>
      <c r="G2822" s="55">
        <v>164386.9</v>
      </c>
      <c r="H2822" s="55">
        <v>191878.9</v>
      </c>
      <c r="I2822" s="55">
        <v>2340.3000000000002</v>
      </c>
      <c r="J2822" s="55">
        <v>194219.2</v>
      </c>
      <c r="K2822" s="55">
        <v>57800.7</v>
      </c>
      <c r="L2822" s="55">
        <v>68904.800000000003</v>
      </c>
      <c r="M2822" s="55">
        <v>11633.8</v>
      </c>
      <c r="N2822" s="55">
        <v>827.3</v>
      </c>
    </row>
    <row r="2823" spans="1:14" ht="10.050000000000001" hidden="1" customHeight="1">
      <c r="A2823" s="52" t="s">
        <v>172</v>
      </c>
      <c r="B2823" s="53">
        <v>2017</v>
      </c>
      <c r="C2823" s="52" t="s">
        <v>122</v>
      </c>
      <c r="D2823" s="54">
        <v>7</v>
      </c>
      <c r="E2823" s="55">
        <v>934661.10000000102</v>
      </c>
      <c r="F2823" s="55">
        <v>55685.9</v>
      </c>
      <c r="G2823" s="55">
        <v>990347.00000000105</v>
      </c>
      <c r="H2823" s="55">
        <v>1079533.8999999999</v>
      </c>
      <c r="I2823" s="55">
        <v>21250.1</v>
      </c>
      <c r="J2823" s="55">
        <v>1100784</v>
      </c>
      <c r="K2823" s="55">
        <v>484883.1</v>
      </c>
      <c r="L2823" s="55">
        <v>500649</v>
      </c>
      <c r="M2823" s="55">
        <v>44277.2</v>
      </c>
      <c r="N2823" s="55">
        <v>927.7</v>
      </c>
    </row>
    <row r="2824" spans="1:14" ht="10.050000000000001" hidden="1" customHeight="1">
      <c r="A2824" s="52" t="s">
        <v>171</v>
      </c>
      <c r="B2824" s="53">
        <v>2017</v>
      </c>
      <c r="C2824" s="52" t="s">
        <v>122</v>
      </c>
      <c r="D2824" s="54">
        <v>7</v>
      </c>
      <c r="E2824" s="55">
        <v>13670407.800000001</v>
      </c>
      <c r="F2824" s="55">
        <v>149055</v>
      </c>
      <c r="G2824" s="55">
        <v>13819462.800000001</v>
      </c>
      <c r="H2824" s="55">
        <v>13751650.699999999</v>
      </c>
      <c r="I2824" s="55">
        <v>141245.6</v>
      </c>
      <c r="J2824" s="55">
        <v>13892896.300000001</v>
      </c>
      <c r="K2824" s="55">
        <v>6588428.8000000101</v>
      </c>
      <c r="L2824" s="55">
        <v>7813329.7000000002</v>
      </c>
      <c r="M2824" s="55">
        <v>1368943</v>
      </c>
      <c r="N2824" s="55">
        <v>38726.9</v>
      </c>
    </row>
    <row r="2825" spans="1:14" ht="10.050000000000001" hidden="1" customHeight="1">
      <c r="A2825" s="52" t="s">
        <v>300</v>
      </c>
      <c r="B2825" s="53">
        <v>2017</v>
      </c>
      <c r="C2825" s="52" t="s">
        <v>122</v>
      </c>
      <c r="D2825" s="54">
        <v>7</v>
      </c>
      <c r="E2825" s="55">
        <v>4619.6000000000004</v>
      </c>
      <c r="F2825" s="55">
        <v>75.3</v>
      </c>
      <c r="G2825" s="55">
        <v>4694.8999999999996</v>
      </c>
      <c r="H2825" s="55">
        <v>10883.6</v>
      </c>
      <c r="I2825" s="55">
        <v>89</v>
      </c>
      <c r="J2825" s="55">
        <v>10972.6</v>
      </c>
      <c r="K2825" s="55">
        <v>306.10000000000002</v>
      </c>
      <c r="L2825" s="55">
        <v>308.5</v>
      </c>
      <c r="M2825" s="55">
        <v>0</v>
      </c>
      <c r="N2825" s="55">
        <v>5.2</v>
      </c>
    </row>
    <row r="2826" spans="1:14" ht="10.050000000000001" hidden="1" customHeight="1">
      <c r="A2826" s="52" t="s">
        <v>307</v>
      </c>
      <c r="B2826" s="53">
        <v>2017</v>
      </c>
      <c r="C2826" s="52" t="s">
        <v>122</v>
      </c>
      <c r="D2826" s="54">
        <v>7</v>
      </c>
      <c r="E2826" s="55">
        <v>155776.29999999999</v>
      </c>
      <c r="F2826" s="55">
        <v>0</v>
      </c>
      <c r="G2826" s="55">
        <v>155776.29999999999</v>
      </c>
      <c r="H2826" s="55">
        <v>1254289.1000000001</v>
      </c>
      <c r="I2826" s="55">
        <v>39919.1</v>
      </c>
      <c r="J2826" s="55">
        <v>1294208.2</v>
      </c>
      <c r="K2826" s="55">
        <v>359791.9</v>
      </c>
      <c r="L2826" s="55">
        <v>27847.200000000001</v>
      </c>
      <c r="M2826" s="55">
        <v>69431.5</v>
      </c>
      <c r="N2826" s="55">
        <v>28526.3</v>
      </c>
    </row>
    <row r="2827" spans="1:14" ht="10.050000000000001" hidden="1" customHeight="1">
      <c r="A2827" s="52" t="s">
        <v>315</v>
      </c>
      <c r="B2827" s="53">
        <v>2017</v>
      </c>
      <c r="C2827" s="52" t="s">
        <v>122</v>
      </c>
      <c r="D2827" s="54">
        <v>7</v>
      </c>
      <c r="E2827" s="55">
        <v>122</v>
      </c>
      <c r="F2827" s="55">
        <v>0</v>
      </c>
      <c r="G2827" s="55">
        <v>122</v>
      </c>
      <c r="H2827" s="55">
        <v>6274.2</v>
      </c>
      <c r="I2827" s="55">
        <v>16.899999999999999</v>
      </c>
      <c r="J2827" s="55">
        <v>6291.1</v>
      </c>
      <c r="K2827" s="55">
        <v>275.7</v>
      </c>
      <c r="L2827" s="55">
        <v>61.7</v>
      </c>
      <c r="M2827" s="55">
        <v>11.3</v>
      </c>
      <c r="N2827" s="55">
        <v>0.1</v>
      </c>
    </row>
    <row r="2828" spans="1:14" ht="10.050000000000001" hidden="1" customHeight="1">
      <c r="A2828" s="52" t="s">
        <v>311</v>
      </c>
      <c r="B2828" s="53">
        <v>2017</v>
      </c>
      <c r="C2828" s="52" t="s">
        <v>122</v>
      </c>
      <c r="D2828" s="54">
        <v>7</v>
      </c>
      <c r="E2828" s="55">
        <v>891.2</v>
      </c>
      <c r="F2828" s="55">
        <v>0</v>
      </c>
      <c r="G2828" s="55">
        <v>891.2</v>
      </c>
      <c r="H2828" s="55">
        <v>1304.0999999999999</v>
      </c>
      <c r="I2828" s="55">
        <v>0</v>
      </c>
      <c r="J2828" s="55">
        <v>1304.0999999999999</v>
      </c>
      <c r="K2828" s="55">
        <v>119.3</v>
      </c>
      <c r="L2828" s="55">
        <v>127.2</v>
      </c>
      <c r="M2828" s="55">
        <v>0</v>
      </c>
      <c r="N2828" s="55">
        <v>7.9</v>
      </c>
    </row>
    <row r="2829" spans="1:14" ht="10.050000000000001" hidden="1" customHeight="1">
      <c r="A2829" s="52" t="s">
        <v>173</v>
      </c>
      <c r="B2829" s="53">
        <v>2017</v>
      </c>
      <c r="C2829" s="52" t="s">
        <v>122</v>
      </c>
      <c r="D2829" s="54">
        <v>7</v>
      </c>
      <c r="E2829" s="55">
        <v>6005152.5999999996</v>
      </c>
      <c r="F2829" s="55">
        <v>103912.4</v>
      </c>
      <c r="G2829" s="55">
        <v>6109065</v>
      </c>
      <c r="H2829" s="55">
        <v>6078701.4000000004</v>
      </c>
      <c r="I2829" s="55">
        <v>65552.5</v>
      </c>
      <c r="J2829" s="55">
        <v>6144253.9000000004</v>
      </c>
      <c r="K2829" s="55">
        <v>2048165.4</v>
      </c>
      <c r="L2829" s="55">
        <v>2840259.7</v>
      </c>
      <c r="M2829" s="55">
        <v>824537.8</v>
      </c>
      <c r="N2829" s="55">
        <v>42155.8</v>
      </c>
    </row>
    <row r="2830" spans="1:14" ht="10.050000000000001" customHeight="1">
      <c r="A2830" s="52" t="s">
        <v>309</v>
      </c>
      <c r="B2830" s="53">
        <v>2017</v>
      </c>
      <c r="C2830" s="52" t="s">
        <v>122</v>
      </c>
      <c r="D2830" s="54">
        <v>7</v>
      </c>
      <c r="E2830" s="55">
        <v>689.7</v>
      </c>
      <c r="F2830" s="55">
        <v>0</v>
      </c>
      <c r="G2830" s="55">
        <v>689.7</v>
      </c>
      <c r="H2830" s="55">
        <v>43007.6</v>
      </c>
      <c r="I2830" s="55">
        <v>0</v>
      </c>
      <c r="J2830" s="55">
        <v>43007.6</v>
      </c>
      <c r="K2830" s="55">
        <v>1571.3</v>
      </c>
      <c r="L2830" s="55">
        <v>251.7</v>
      </c>
      <c r="M2830" s="55">
        <v>251.7</v>
      </c>
      <c r="N2830" s="55">
        <v>0</v>
      </c>
    </row>
    <row r="2831" spans="1:14" ht="10.050000000000001" hidden="1" customHeight="1">
      <c r="A2831" s="52" t="s">
        <v>316</v>
      </c>
      <c r="B2831" s="53">
        <v>2017</v>
      </c>
      <c r="C2831" s="52" t="s">
        <v>122</v>
      </c>
      <c r="D2831" s="54">
        <v>7</v>
      </c>
      <c r="E2831" s="55">
        <v>4.9000000000000004</v>
      </c>
      <c r="F2831" s="55">
        <v>0</v>
      </c>
      <c r="G2831" s="55">
        <v>4.9000000000000004</v>
      </c>
      <c r="H2831" s="55">
        <v>6843.4</v>
      </c>
      <c r="I2831" s="55">
        <v>26.5</v>
      </c>
      <c r="J2831" s="55">
        <v>6869.9</v>
      </c>
      <c r="K2831" s="55">
        <v>144.4</v>
      </c>
      <c r="L2831" s="55">
        <v>28.1</v>
      </c>
      <c r="M2831" s="55">
        <v>0</v>
      </c>
      <c r="N2831" s="55">
        <v>14.1</v>
      </c>
    </row>
    <row r="2832" spans="1:14" ht="10.050000000000001" hidden="1" customHeight="1">
      <c r="A2832" s="52" t="s">
        <v>310</v>
      </c>
      <c r="B2832" s="53">
        <v>2017</v>
      </c>
      <c r="C2832" s="52" t="s">
        <v>122</v>
      </c>
      <c r="D2832" s="54">
        <v>7</v>
      </c>
      <c r="E2832" s="55">
        <v>12762.1</v>
      </c>
      <c r="F2832" s="55">
        <v>531.29999999999995</v>
      </c>
      <c r="G2832" s="55">
        <v>13293.4</v>
      </c>
      <c r="H2832" s="55">
        <v>18427.7</v>
      </c>
      <c r="I2832" s="55">
        <v>918</v>
      </c>
      <c r="J2832" s="55">
        <v>19345.7</v>
      </c>
      <c r="K2832" s="55">
        <v>7146</v>
      </c>
      <c r="L2832" s="55">
        <v>7502.8</v>
      </c>
      <c r="M2832" s="55">
        <v>722.3</v>
      </c>
      <c r="N2832" s="55">
        <v>7.6</v>
      </c>
    </row>
    <row r="2833" spans="1:14" ht="10.050000000000001" hidden="1" customHeight="1">
      <c r="A2833" s="52" t="s">
        <v>308</v>
      </c>
      <c r="B2833" s="53">
        <v>2017</v>
      </c>
      <c r="C2833" s="52" t="s">
        <v>122</v>
      </c>
      <c r="D2833" s="54">
        <v>7</v>
      </c>
      <c r="E2833" s="55">
        <v>272.5</v>
      </c>
      <c r="F2833" s="55">
        <v>0</v>
      </c>
      <c r="G2833" s="55">
        <v>272.5</v>
      </c>
      <c r="H2833" s="55">
        <v>14258.8</v>
      </c>
      <c r="I2833" s="55">
        <v>486.2</v>
      </c>
      <c r="J2833" s="55">
        <v>14745</v>
      </c>
      <c r="K2833" s="55">
        <v>388.7</v>
      </c>
      <c r="L2833" s="55">
        <v>43.7</v>
      </c>
      <c r="M2833" s="55">
        <v>56.8</v>
      </c>
      <c r="N2833" s="55">
        <v>95.5</v>
      </c>
    </row>
    <row r="2834" spans="1:14" ht="10.050000000000001" hidden="1" customHeight="1">
      <c r="A2834" s="52" t="s">
        <v>174</v>
      </c>
      <c r="B2834" s="53">
        <v>2017</v>
      </c>
      <c r="C2834" s="52" t="s">
        <v>122</v>
      </c>
      <c r="D2834" s="54">
        <v>7</v>
      </c>
      <c r="E2834" s="55">
        <v>267385.59999999998</v>
      </c>
      <c r="F2834" s="55">
        <v>11610.2</v>
      </c>
      <c r="G2834" s="55">
        <v>278995.8</v>
      </c>
      <c r="H2834" s="55">
        <v>261648.1</v>
      </c>
      <c r="I2834" s="55">
        <v>15487.5</v>
      </c>
      <c r="J2834" s="55">
        <v>277135.59999999998</v>
      </c>
      <c r="K2834" s="55">
        <v>147405.1</v>
      </c>
      <c r="L2834" s="55">
        <v>158645.29999999999</v>
      </c>
      <c r="M2834" s="55">
        <v>17104.2</v>
      </c>
      <c r="N2834" s="55">
        <v>9174.5000000000091</v>
      </c>
    </row>
    <row r="2835" spans="1:14" ht="10.050000000000001" hidden="1" customHeight="1">
      <c r="A2835" s="52" t="s">
        <v>314</v>
      </c>
      <c r="B2835" s="53">
        <v>2017</v>
      </c>
      <c r="C2835" s="52" t="s">
        <v>122</v>
      </c>
      <c r="D2835" s="54">
        <v>8</v>
      </c>
      <c r="E2835" s="55">
        <v>0</v>
      </c>
      <c r="F2835" s="55">
        <v>0</v>
      </c>
      <c r="G2835" s="55">
        <v>0</v>
      </c>
      <c r="H2835" s="55">
        <v>54.7</v>
      </c>
      <c r="I2835" s="55">
        <v>0</v>
      </c>
      <c r="J2835" s="55">
        <v>54.7</v>
      </c>
      <c r="K2835" s="55">
        <v>23</v>
      </c>
      <c r="L2835" s="55">
        <v>5.5</v>
      </c>
      <c r="M2835" s="55">
        <v>0</v>
      </c>
      <c r="N2835" s="55">
        <v>0</v>
      </c>
    </row>
    <row r="2836" spans="1:14" ht="10.050000000000001" hidden="1" customHeight="1">
      <c r="A2836" s="52" t="s">
        <v>306</v>
      </c>
      <c r="B2836" s="53">
        <v>2017</v>
      </c>
      <c r="C2836" s="52" t="s">
        <v>122</v>
      </c>
      <c r="D2836" s="54">
        <v>8</v>
      </c>
      <c r="E2836" s="55">
        <v>64418.2</v>
      </c>
      <c r="F2836" s="55">
        <v>2136.3000000000002</v>
      </c>
      <c r="G2836" s="55">
        <v>66554.5</v>
      </c>
      <c r="H2836" s="55">
        <v>241546.9</v>
      </c>
      <c r="I2836" s="55">
        <v>3156.2</v>
      </c>
      <c r="J2836" s="55">
        <v>244703.1</v>
      </c>
      <c r="K2836" s="55">
        <v>48518.9</v>
      </c>
      <c r="L2836" s="55">
        <v>13054</v>
      </c>
      <c r="M2836" s="55">
        <v>21435</v>
      </c>
      <c r="N2836" s="55">
        <v>928.7</v>
      </c>
    </row>
    <row r="2837" spans="1:14" ht="10.050000000000001" hidden="1" customHeight="1">
      <c r="A2837" s="52" t="s">
        <v>172</v>
      </c>
      <c r="B2837" s="53">
        <v>2017</v>
      </c>
      <c r="C2837" s="52" t="s">
        <v>122</v>
      </c>
      <c r="D2837" s="54">
        <v>8</v>
      </c>
      <c r="E2837" s="55">
        <v>76559.399999999994</v>
      </c>
      <c r="F2837" s="55">
        <v>2865.9</v>
      </c>
      <c r="G2837" s="55">
        <v>79425.3</v>
      </c>
      <c r="H2837" s="55">
        <v>1048562.5</v>
      </c>
      <c r="I2837" s="55">
        <v>21297.599999999999</v>
      </c>
      <c r="J2837" s="55">
        <v>1069860.1000000001</v>
      </c>
      <c r="K2837" s="55">
        <v>452321.8</v>
      </c>
      <c r="L2837" s="55">
        <v>14968.1</v>
      </c>
      <c r="M2837" s="55">
        <v>43324.1</v>
      </c>
      <c r="N2837" s="55">
        <v>3930.8</v>
      </c>
    </row>
    <row r="2838" spans="1:14" ht="10.050000000000001" hidden="1" customHeight="1">
      <c r="A2838" s="52" t="s">
        <v>171</v>
      </c>
      <c r="B2838" s="53">
        <v>2017</v>
      </c>
      <c r="C2838" s="52" t="s">
        <v>122</v>
      </c>
      <c r="D2838" s="54">
        <v>8</v>
      </c>
      <c r="E2838" s="55">
        <v>3641161.6</v>
      </c>
      <c r="F2838" s="55">
        <v>155964.5</v>
      </c>
      <c r="G2838" s="55">
        <v>3797126.1</v>
      </c>
      <c r="H2838" s="55">
        <v>14349038.199999999</v>
      </c>
      <c r="I2838" s="55">
        <v>169999.1</v>
      </c>
      <c r="J2838" s="55">
        <v>14519037.300000001</v>
      </c>
      <c r="K2838" s="55">
        <v>6380824.9000000004</v>
      </c>
      <c r="L2838" s="55">
        <v>1383778.5</v>
      </c>
      <c r="M2838" s="55">
        <v>1475134.5</v>
      </c>
      <c r="N2838" s="55">
        <v>116918.39999999999</v>
      </c>
    </row>
    <row r="2839" spans="1:14" ht="10.050000000000001" hidden="1" customHeight="1">
      <c r="A2839" s="52" t="s">
        <v>300</v>
      </c>
      <c r="B2839" s="53">
        <v>2017</v>
      </c>
      <c r="C2839" s="52" t="s">
        <v>122</v>
      </c>
      <c r="D2839" s="54">
        <v>8</v>
      </c>
      <c r="E2839" s="55">
        <v>2604.4</v>
      </c>
      <c r="F2839" s="55">
        <v>306.7</v>
      </c>
      <c r="G2839" s="55">
        <v>2911.1</v>
      </c>
      <c r="H2839" s="55">
        <v>12389.5</v>
      </c>
      <c r="I2839" s="55">
        <v>350.8</v>
      </c>
      <c r="J2839" s="55">
        <v>12740.3</v>
      </c>
      <c r="K2839" s="55">
        <v>132.6</v>
      </c>
      <c r="L2839" s="55">
        <v>232.6</v>
      </c>
      <c r="M2839" s="55">
        <v>250.7</v>
      </c>
      <c r="N2839" s="55">
        <v>8.3000000000000007</v>
      </c>
    </row>
    <row r="2840" spans="1:14" ht="10.050000000000001" hidden="1" customHeight="1">
      <c r="A2840" s="52" t="s">
        <v>307</v>
      </c>
      <c r="B2840" s="53">
        <v>2017</v>
      </c>
      <c r="C2840" s="52" t="s">
        <v>122</v>
      </c>
      <c r="D2840" s="54">
        <v>8</v>
      </c>
      <c r="E2840" s="55">
        <v>217905.4</v>
      </c>
      <c r="F2840" s="55">
        <v>3505.2</v>
      </c>
      <c r="G2840" s="55">
        <v>221410.6</v>
      </c>
      <c r="H2840" s="55">
        <v>726873.4</v>
      </c>
      <c r="I2840" s="55">
        <v>42430.7</v>
      </c>
      <c r="J2840" s="55">
        <v>769304.1</v>
      </c>
      <c r="K2840" s="55">
        <v>233235.7</v>
      </c>
      <c r="L2840" s="55">
        <v>22775.200000000001</v>
      </c>
      <c r="M2840" s="55">
        <v>113752.9</v>
      </c>
      <c r="N2840" s="55">
        <v>34527.300000000003</v>
      </c>
    </row>
    <row r="2841" spans="1:14" ht="10.050000000000001" hidden="1" customHeight="1">
      <c r="A2841" s="52" t="s">
        <v>315</v>
      </c>
      <c r="B2841" s="53">
        <v>2017</v>
      </c>
      <c r="C2841" s="52" t="s">
        <v>122</v>
      </c>
      <c r="D2841" s="54">
        <v>8</v>
      </c>
      <c r="E2841" s="55">
        <v>318.10000000000002</v>
      </c>
      <c r="F2841" s="55">
        <v>0</v>
      </c>
      <c r="G2841" s="55">
        <v>318.10000000000002</v>
      </c>
      <c r="H2841" s="55">
        <v>5861</v>
      </c>
      <c r="I2841" s="55">
        <v>16.899999999999999</v>
      </c>
      <c r="J2841" s="55">
        <v>5877.9</v>
      </c>
      <c r="K2841" s="55">
        <v>1459.8</v>
      </c>
      <c r="L2841" s="55">
        <v>1256</v>
      </c>
      <c r="M2841" s="55">
        <v>71.900000000000006</v>
      </c>
      <c r="N2841" s="55">
        <v>0</v>
      </c>
    </row>
    <row r="2842" spans="1:14" ht="10.050000000000001" hidden="1" customHeight="1">
      <c r="A2842" s="52" t="s">
        <v>311</v>
      </c>
      <c r="B2842" s="53">
        <v>2017</v>
      </c>
      <c r="C2842" s="52" t="s">
        <v>122</v>
      </c>
      <c r="D2842" s="54">
        <v>8</v>
      </c>
      <c r="E2842" s="55">
        <v>220.6</v>
      </c>
      <c r="F2842" s="55">
        <v>0</v>
      </c>
      <c r="G2842" s="55">
        <v>220.6</v>
      </c>
      <c r="H2842" s="55">
        <v>1121.4000000000001</v>
      </c>
      <c r="I2842" s="55">
        <v>0</v>
      </c>
      <c r="J2842" s="55">
        <v>1121.4000000000001</v>
      </c>
      <c r="K2842" s="55">
        <v>118.7</v>
      </c>
      <c r="L2842" s="55">
        <v>42.9</v>
      </c>
      <c r="M2842" s="55">
        <v>0</v>
      </c>
      <c r="N2842" s="55">
        <v>43.6</v>
      </c>
    </row>
    <row r="2843" spans="1:14" ht="10.050000000000001" hidden="1" customHeight="1">
      <c r="A2843" s="52" t="s">
        <v>173</v>
      </c>
      <c r="B2843" s="53">
        <v>2017</v>
      </c>
      <c r="C2843" s="52" t="s">
        <v>122</v>
      </c>
      <c r="D2843" s="54">
        <v>8</v>
      </c>
      <c r="E2843" s="55">
        <v>699531.5</v>
      </c>
      <c r="F2843" s="55">
        <v>15350.2</v>
      </c>
      <c r="G2843" s="55">
        <v>714881.7</v>
      </c>
      <c r="H2843" s="55">
        <v>6058812.7999999998</v>
      </c>
      <c r="I2843" s="55">
        <v>61750.400000000001</v>
      </c>
      <c r="J2843" s="55">
        <v>6120563.2000000002</v>
      </c>
      <c r="K2843" s="55">
        <v>1669633.4</v>
      </c>
      <c r="L2843" s="55">
        <v>113489.60000000001</v>
      </c>
      <c r="M2843" s="55">
        <v>419097.8</v>
      </c>
      <c r="N2843" s="55">
        <v>73101.5</v>
      </c>
    </row>
    <row r="2844" spans="1:14" ht="10.050000000000001" customHeight="1">
      <c r="A2844" s="52" t="s">
        <v>309</v>
      </c>
      <c r="B2844" s="53">
        <v>2017</v>
      </c>
      <c r="C2844" s="52" t="s">
        <v>122</v>
      </c>
      <c r="D2844" s="54">
        <v>8</v>
      </c>
      <c r="E2844" s="55">
        <v>0</v>
      </c>
      <c r="F2844" s="55">
        <v>0</v>
      </c>
      <c r="G2844" s="55">
        <v>0</v>
      </c>
      <c r="H2844" s="55">
        <v>34502.5</v>
      </c>
      <c r="I2844" s="55">
        <v>0</v>
      </c>
      <c r="J2844" s="55">
        <v>34502.5</v>
      </c>
      <c r="K2844" s="55">
        <v>1571.3</v>
      </c>
      <c r="L2844" s="55">
        <v>0</v>
      </c>
      <c r="M2844" s="55">
        <v>0</v>
      </c>
      <c r="N2844" s="55">
        <v>0</v>
      </c>
    </row>
    <row r="2845" spans="1:14" ht="10.050000000000001" hidden="1" customHeight="1">
      <c r="A2845" s="52" t="s">
        <v>316</v>
      </c>
      <c r="B2845" s="53">
        <v>2017</v>
      </c>
      <c r="C2845" s="52" t="s">
        <v>122</v>
      </c>
      <c r="D2845" s="54">
        <v>8</v>
      </c>
      <c r="E2845" s="55">
        <v>221.5</v>
      </c>
      <c r="F2845" s="55">
        <v>0</v>
      </c>
      <c r="G2845" s="55">
        <v>221.5</v>
      </c>
      <c r="H2845" s="55">
        <v>6120.2</v>
      </c>
      <c r="I2845" s="55">
        <v>26.5</v>
      </c>
      <c r="J2845" s="55">
        <v>6146.7</v>
      </c>
      <c r="K2845" s="55">
        <v>159.69999999999999</v>
      </c>
      <c r="L2845" s="55">
        <v>18.600000000000001</v>
      </c>
      <c r="M2845" s="55">
        <v>0</v>
      </c>
      <c r="N2845" s="55">
        <v>3.3</v>
      </c>
    </row>
    <row r="2846" spans="1:14" ht="10.050000000000001" hidden="1" customHeight="1">
      <c r="A2846" s="52" t="s">
        <v>310</v>
      </c>
      <c r="B2846" s="53">
        <v>2017</v>
      </c>
      <c r="C2846" s="52" t="s">
        <v>122</v>
      </c>
      <c r="D2846" s="54">
        <v>8</v>
      </c>
      <c r="E2846" s="55">
        <v>9217.1</v>
      </c>
      <c r="F2846" s="55">
        <v>495.6</v>
      </c>
      <c r="G2846" s="55">
        <v>9712.7000000000007</v>
      </c>
      <c r="H2846" s="55">
        <v>24012</v>
      </c>
      <c r="I2846" s="55">
        <v>1485.3</v>
      </c>
      <c r="J2846" s="55">
        <v>25497.3</v>
      </c>
      <c r="K2846" s="55">
        <v>7645.6</v>
      </c>
      <c r="L2846" s="55">
        <v>2267.3000000000002</v>
      </c>
      <c r="M2846" s="55">
        <v>1596.3</v>
      </c>
      <c r="N2846" s="55">
        <v>171.1</v>
      </c>
    </row>
    <row r="2847" spans="1:14" ht="10.050000000000001" hidden="1" customHeight="1">
      <c r="A2847" s="52" t="s">
        <v>308</v>
      </c>
      <c r="B2847" s="53">
        <v>2017</v>
      </c>
      <c r="C2847" s="52" t="s">
        <v>122</v>
      </c>
      <c r="D2847" s="54">
        <v>8</v>
      </c>
      <c r="E2847" s="55">
        <v>225.8</v>
      </c>
      <c r="F2847" s="55">
        <v>27.7</v>
      </c>
      <c r="G2847" s="55">
        <v>253.5</v>
      </c>
      <c r="H2847" s="55">
        <v>9480.5</v>
      </c>
      <c r="I2847" s="55">
        <v>521.70000000000005</v>
      </c>
      <c r="J2847" s="55">
        <v>10002.200000000001</v>
      </c>
      <c r="K2847" s="55">
        <v>247.5</v>
      </c>
      <c r="L2847" s="55">
        <v>0.1</v>
      </c>
      <c r="M2847" s="55">
        <v>0</v>
      </c>
      <c r="N2847" s="55">
        <v>141.30000000000001</v>
      </c>
    </row>
    <row r="2848" spans="1:14" ht="10.050000000000001" hidden="1" customHeight="1">
      <c r="A2848" s="52" t="s">
        <v>174</v>
      </c>
      <c r="B2848" s="53">
        <v>2017</v>
      </c>
      <c r="C2848" s="52" t="s">
        <v>122</v>
      </c>
      <c r="D2848" s="54">
        <v>8</v>
      </c>
      <c r="E2848" s="55">
        <v>177639.6</v>
      </c>
      <c r="F2848" s="55">
        <v>12214.5</v>
      </c>
      <c r="G2848" s="55">
        <v>189854.1</v>
      </c>
      <c r="H2848" s="55">
        <v>369981.7</v>
      </c>
      <c r="I2848" s="55">
        <v>20473.2</v>
      </c>
      <c r="J2848" s="55">
        <v>390454.9</v>
      </c>
      <c r="K2848" s="55">
        <v>162843.6</v>
      </c>
      <c r="L2848" s="55">
        <v>48613.2</v>
      </c>
      <c r="M2848" s="55">
        <v>24728.3</v>
      </c>
      <c r="N2848" s="55">
        <v>8484.5</v>
      </c>
    </row>
    <row r="2849" spans="1:14" ht="10.050000000000001" hidden="1" customHeight="1">
      <c r="A2849" s="52" t="s">
        <v>314</v>
      </c>
      <c r="B2849" s="53">
        <v>2017</v>
      </c>
      <c r="C2849" s="52" t="s">
        <v>122</v>
      </c>
      <c r="D2849" s="54">
        <v>9</v>
      </c>
      <c r="E2849" s="55">
        <v>18.2</v>
      </c>
      <c r="F2849" s="55">
        <v>0</v>
      </c>
      <c r="G2849" s="55">
        <v>18.2</v>
      </c>
      <c r="H2849" s="55">
        <v>65.900000000000006</v>
      </c>
      <c r="I2849" s="55">
        <v>0</v>
      </c>
      <c r="J2849" s="55">
        <v>65.900000000000006</v>
      </c>
      <c r="K2849" s="55">
        <v>23</v>
      </c>
      <c r="L2849" s="55">
        <v>0</v>
      </c>
      <c r="M2849" s="55">
        <v>0</v>
      </c>
      <c r="N2849" s="55">
        <v>0</v>
      </c>
    </row>
    <row r="2850" spans="1:14" ht="10.050000000000001" hidden="1" customHeight="1">
      <c r="A2850" s="52" t="s">
        <v>306</v>
      </c>
      <c r="B2850" s="53">
        <v>2017</v>
      </c>
      <c r="C2850" s="52" t="s">
        <v>122</v>
      </c>
      <c r="D2850" s="54">
        <v>9</v>
      </c>
      <c r="E2850" s="55">
        <v>17756.900000000001</v>
      </c>
      <c r="F2850" s="55">
        <v>1256.8</v>
      </c>
      <c r="G2850" s="55">
        <v>19013.7</v>
      </c>
      <c r="H2850" s="55">
        <v>242347.2</v>
      </c>
      <c r="I2850" s="55">
        <v>3180.5</v>
      </c>
      <c r="J2850" s="55">
        <v>245527.7</v>
      </c>
      <c r="K2850" s="55">
        <v>38195.599999999999</v>
      </c>
      <c r="L2850" s="55">
        <v>2551.9</v>
      </c>
      <c r="M2850" s="55">
        <v>11705.4</v>
      </c>
      <c r="N2850" s="55">
        <v>1169.5</v>
      </c>
    </row>
    <row r="2851" spans="1:14" ht="10.050000000000001" hidden="1" customHeight="1">
      <c r="A2851" s="52" t="s">
        <v>172</v>
      </c>
      <c r="B2851" s="53">
        <v>2017</v>
      </c>
      <c r="C2851" s="52" t="s">
        <v>122</v>
      </c>
      <c r="D2851" s="54">
        <v>9</v>
      </c>
      <c r="E2851" s="55">
        <v>88386.8</v>
      </c>
      <c r="F2851" s="55">
        <v>8230.7999999999993</v>
      </c>
      <c r="G2851" s="55">
        <v>96617.600000000006</v>
      </c>
      <c r="H2851" s="55">
        <v>1024052.7</v>
      </c>
      <c r="I2851" s="55">
        <v>21969.4</v>
      </c>
      <c r="J2851" s="55">
        <v>1046022.1</v>
      </c>
      <c r="K2851" s="55">
        <v>403387.3</v>
      </c>
      <c r="L2851" s="55">
        <v>13151.6</v>
      </c>
      <c r="M2851" s="55">
        <v>58321.1</v>
      </c>
      <c r="N2851" s="55">
        <v>3764.5</v>
      </c>
    </row>
    <row r="2852" spans="1:14" ht="10.050000000000001" hidden="1" customHeight="1">
      <c r="A2852" s="52" t="s">
        <v>171</v>
      </c>
      <c r="B2852" s="53">
        <v>2017</v>
      </c>
      <c r="C2852" s="52" t="s">
        <v>122</v>
      </c>
      <c r="D2852" s="54">
        <v>9</v>
      </c>
      <c r="E2852" s="55">
        <v>1541942.9</v>
      </c>
      <c r="F2852" s="55">
        <v>116636.2</v>
      </c>
      <c r="G2852" s="55">
        <v>1658579.1</v>
      </c>
      <c r="H2852" s="55">
        <v>13579088.9</v>
      </c>
      <c r="I2852" s="55">
        <v>169292.7</v>
      </c>
      <c r="J2852" s="55">
        <v>13748381.6</v>
      </c>
      <c r="K2852" s="55">
        <v>5624937.2000000002</v>
      </c>
      <c r="L2852" s="55">
        <v>372860.5</v>
      </c>
      <c r="M2852" s="55">
        <v>1069678.5</v>
      </c>
      <c r="N2852" s="55">
        <v>58803.4</v>
      </c>
    </row>
    <row r="2853" spans="1:14" ht="10.050000000000001" hidden="1" customHeight="1">
      <c r="A2853" s="52" t="s">
        <v>300</v>
      </c>
      <c r="B2853" s="53">
        <v>2017</v>
      </c>
      <c r="C2853" s="52" t="s">
        <v>122</v>
      </c>
      <c r="D2853" s="54">
        <v>9</v>
      </c>
      <c r="E2853" s="55">
        <v>1161.0999999999999</v>
      </c>
      <c r="F2853" s="55">
        <v>217.3</v>
      </c>
      <c r="G2853" s="55">
        <v>1378.4</v>
      </c>
      <c r="H2853" s="55">
        <v>13007.3</v>
      </c>
      <c r="I2853" s="55">
        <v>552.70000000000005</v>
      </c>
      <c r="J2853" s="55">
        <v>13560</v>
      </c>
      <c r="K2853" s="55">
        <v>96.9</v>
      </c>
      <c r="L2853" s="55">
        <v>13.2</v>
      </c>
      <c r="M2853" s="55">
        <v>39.799999999999997</v>
      </c>
      <c r="N2853" s="55">
        <v>9.1999999999999993</v>
      </c>
    </row>
    <row r="2854" spans="1:14" ht="10.050000000000001" hidden="1" customHeight="1">
      <c r="A2854" s="52" t="s">
        <v>307</v>
      </c>
      <c r="B2854" s="53">
        <v>2017</v>
      </c>
      <c r="C2854" s="52" t="s">
        <v>122</v>
      </c>
      <c r="D2854" s="54">
        <v>9</v>
      </c>
      <c r="E2854" s="55">
        <v>979699.50000000105</v>
      </c>
      <c r="F2854" s="55">
        <v>72742.8</v>
      </c>
      <c r="G2854" s="55">
        <v>1052442.3</v>
      </c>
      <c r="H2854" s="55">
        <v>968547.60000000102</v>
      </c>
      <c r="I2854" s="55">
        <v>90130.7</v>
      </c>
      <c r="J2854" s="55">
        <v>1058678.3</v>
      </c>
      <c r="K2854" s="55">
        <v>480894.1</v>
      </c>
      <c r="L2854" s="55">
        <v>351770.4</v>
      </c>
      <c r="M2854" s="55">
        <v>73009.5</v>
      </c>
      <c r="N2854" s="55">
        <v>31328.6</v>
      </c>
    </row>
    <row r="2855" spans="1:14" ht="10.050000000000001" hidden="1" customHeight="1">
      <c r="A2855" s="52" t="s">
        <v>315</v>
      </c>
      <c r="B2855" s="53">
        <v>2017</v>
      </c>
      <c r="C2855" s="52" t="s">
        <v>122</v>
      </c>
      <c r="D2855" s="54">
        <v>9</v>
      </c>
      <c r="E2855" s="55">
        <v>22532</v>
      </c>
      <c r="F2855" s="55">
        <v>0</v>
      </c>
      <c r="G2855" s="55">
        <v>22532</v>
      </c>
      <c r="H2855" s="55">
        <v>26446.1</v>
      </c>
      <c r="I2855" s="55">
        <v>16.899999999999999</v>
      </c>
      <c r="J2855" s="55">
        <v>26463</v>
      </c>
      <c r="K2855" s="55">
        <v>14646.7</v>
      </c>
      <c r="L2855" s="55">
        <v>16629.400000000001</v>
      </c>
      <c r="M2855" s="55">
        <v>3439.4</v>
      </c>
      <c r="N2855" s="55">
        <v>3.1</v>
      </c>
    </row>
    <row r="2856" spans="1:14" ht="10.050000000000001" hidden="1" customHeight="1">
      <c r="A2856" s="52" t="s">
        <v>311</v>
      </c>
      <c r="B2856" s="53">
        <v>2017</v>
      </c>
      <c r="C2856" s="52" t="s">
        <v>122</v>
      </c>
      <c r="D2856" s="54">
        <v>9</v>
      </c>
      <c r="E2856" s="55">
        <v>162.4</v>
      </c>
      <c r="F2856" s="55">
        <v>0</v>
      </c>
      <c r="G2856" s="55">
        <v>162.4</v>
      </c>
      <c r="H2856" s="55">
        <v>1103.0999999999999</v>
      </c>
      <c r="I2856" s="55">
        <v>0</v>
      </c>
      <c r="J2856" s="55">
        <v>1103.0999999999999</v>
      </c>
      <c r="K2856" s="55">
        <v>99.4</v>
      </c>
      <c r="L2856" s="55">
        <v>0</v>
      </c>
      <c r="M2856" s="55">
        <v>7.3</v>
      </c>
      <c r="N2856" s="55">
        <v>12</v>
      </c>
    </row>
    <row r="2857" spans="1:14" ht="10.050000000000001" hidden="1" customHeight="1">
      <c r="A2857" s="52" t="s">
        <v>173</v>
      </c>
      <c r="B2857" s="53">
        <v>2017</v>
      </c>
      <c r="C2857" s="52" t="s">
        <v>122</v>
      </c>
      <c r="D2857" s="54">
        <v>9</v>
      </c>
      <c r="E2857" s="55">
        <v>401310.9</v>
      </c>
      <c r="F2857" s="55">
        <v>12033.8</v>
      </c>
      <c r="G2857" s="55">
        <v>413344.7</v>
      </c>
      <c r="H2857" s="55">
        <v>5766415.2999999998</v>
      </c>
      <c r="I2857" s="55">
        <v>50976.2</v>
      </c>
      <c r="J2857" s="55">
        <v>5817391.5</v>
      </c>
      <c r="K2857" s="55">
        <v>1388544.3</v>
      </c>
      <c r="L2857" s="55">
        <v>57954.9</v>
      </c>
      <c r="M2857" s="55">
        <v>296655.8</v>
      </c>
      <c r="N2857" s="55">
        <v>42370.400000000001</v>
      </c>
    </row>
    <row r="2858" spans="1:14" ht="10.050000000000001" customHeight="1">
      <c r="A2858" s="52" t="s">
        <v>309</v>
      </c>
      <c r="B2858" s="53">
        <v>2017</v>
      </c>
      <c r="C2858" s="52" t="s">
        <v>122</v>
      </c>
      <c r="D2858" s="54">
        <v>9</v>
      </c>
      <c r="E2858" s="55">
        <v>16907.5</v>
      </c>
      <c r="F2858" s="55">
        <v>0</v>
      </c>
      <c r="G2858" s="55">
        <v>16907.5</v>
      </c>
      <c r="H2858" s="55">
        <v>46032.4</v>
      </c>
      <c r="I2858" s="55">
        <v>0</v>
      </c>
      <c r="J2858" s="55">
        <v>46032.4</v>
      </c>
      <c r="K2858" s="55">
        <v>2701.1</v>
      </c>
      <c r="L2858" s="55">
        <v>1246.3</v>
      </c>
      <c r="M2858" s="55">
        <v>0</v>
      </c>
      <c r="N2858" s="55">
        <v>116.5</v>
      </c>
    </row>
    <row r="2859" spans="1:14" ht="10.050000000000001" hidden="1" customHeight="1">
      <c r="A2859" s="52" t="s">
        <v>316</v>
      </c>
      <c r="B2859" s="53">
        <v>2017</v>
      </c>
      <c r="C2859" s="52" t="s">
        <v>122</v>
      </c>
      <c r="D2859" s="54">
        <v>9</v>
      </c>
      <c r="E2859" s="55">
        <v>3620.3</v>
      </c>
      <c r="F2859" s="55">
        <v>26.8</v>
      </c>
      <c r="G2859" s="55">
        <v>3647.1</v>
      </c>
      <c r="H2859" s="55">
        <v>8462.5</v>
      </c>
      <c r="I2859" s="55">
        <v>53.3</v>
      </c>
      <c r="J2859" s="55">
        <v>8515.8000000000102</v>
      </c>
      <c r="K2859" s="55">
        <v>552.5</v>
      </c>
      <c r="L2859" s="55">
        <v>437.3</v>
      </c>
      <c r="M2859" s="55">
        <v>44.5</v>
      </c>
      <c r="N2859" s="55">
        <v>0</v>
      </c>
    </row>
    <row r="2860" spans="1:14" ht="10.050000000000001" hidden="1" customHeight="1">
      <c r="A2860" s="52" t="s">
        <v>310</v>
      </c>
      <c r="B2860" s="53">
        <v>2017</v>
      </c>
      <c r="C2860" s="52" t="s">
        <v>122</v>
      </c>
      <c r="D2860" s="54">
        <v>9</v>
      </c>
      <c r="E2860" s="55">
        <v>3479.1</v>
      </c>
      <c r="F2860" s="55">
        <v>206.4</v>
      </c>
      <c r="G2860" s="55">
        <v>3685.5</v>
      </c>
      <c r="H2860" s="55">
        <v>23134.1</v>
      </c>
      <c r="I2860" s="55">
        <v>968.2</v>
      </c>
      <c r="J2860" s="55">
        <v>24102.3</v>
      </c>
      <c r="K2860" s="55">
        <v>5479</v>
      </c>
      <c r="L2860" s="55">
        <v>215.4</v>
      </c>
      <c r="M2860" s="55">
        <v>2135.5</v>
      </c>
      <c r="N2860" s="55">
        <v>246.4</v>
      </c>
    </row>
    <row r="2861" spans="1:14" ht="10.050000000000001" hidden="1" customHeight="1">
      <c r="A2861" s="52" t="s">
        <v>308</v>
      </c>
      <c r="B2861" s="53">
        <v>2017</v>
      </c>
      <c r="C2861" s="52" t="s">
        <v>122</v>
      </c>
      <c r="D2861" s="54">
        <v>9</v>
      </c>
      <c r="E2861" s="55">
        <v>38578.1</v>
      </c>
      <c r="F2861" s="55">
        <v>40.299999999999997</v>
      </c>
      <c r="G2861" s="55">
        <v>38618.400000000001</v>
      </c>
      <c r="H2861" s="55">
        <v>42572.5</v>
      </c>
      <c r="I2861" s="55">
        <v>617.6</v>
      </c>
      <c r="J2861" s="55">
        <v>43190.1</v>
      </c>
      <c r="K2861" s="55">
        <v>12221.1</v>
      </c>
      <c r="L2861" s="55">
        <v>14407.4</v>
      </c>
      <c r="M2861" s="55">
        <v>2254</v>
      </c>
      <c r="N2861" s="55">
        <v>180</v>
      </c>
    </row>
    <row r="2862" spans="1:14" ht="10.050000000000001" hidden="1" customHeight="1">
      <c r="A2862" s="52" t="s">
        <v>174</v>
      </c>
      <c r="B2862" s="53">
        <v>2017</v>
      </c>
      <c r="C2862" s="52" t="s">
        <v>122</v>
      </c>
      <c r="D2862" s="54">
        <v>9</v>
      </c>
      <c r="E2862" s="55">
        <v>33669.1</v>
      </c>
      <c r="F2862" s="55">
        <v>8050.5</v>
      </c>
      <c r="G2862" s="55">
        <v>41719.599999999999</v>
      </c>
      <c r="H2862" s="55">
        <v>341354.4</v>
      </c>
      <c r="I2862" s="55">
        <v>18285.3</v>
      </c>
      <c r="J2862" s="55">
        <v>359639.7</v>
      </c>
      <c r="K2862" s="55">
        <v>142003.70000000001</v>
      </c>
      <c r="L2862" s="55">
        <v>6436.00000000001</v>
      </c>
      <c r="M2862" s="55">
        <v>16113</v>
      </c>
      <c r="N2862" s="55">
        <v>11010.5</v>
      </c>
    </row>
    <row r="2863" spans="1:14" ht="10.050000000000001" hidden="1" customHeight="1">
      <c r="A2863" s="52" t="s">
        <v>314</v>
      </c>
      <c r="B2863" s="53">
        <v>2017</v>
      </c>
      <c r="C2863" s="52" t="s">
        <v>122</v>
      </c>
      <c r="D2863" s="54">
        <v>10</v>
      </c>
      <c r="E2863" s="55">
        <v>0</v>
      </c>
      <c r="F2863" s="55">
        <v>0</v>
      </c>
      <c r="G2863" s="55">
        <v>0</v>
      </c>
      <c r="H2863" s="55">
        <v>55.8</v>
      </c>
      <c r="I2863" s="55">
        <v>0</v>
      </c>
      <c r="J2863" s="55">
        <v>55.8</v>
      </c>
      <c r="K2863" s="55">
        <v>23</v>
      </c>
      <c r="L2863" s="55">
        <v>0</v>
      </c>
      <c r="M2863" s="55">
        <v>0</v>
      </c>
      <c r="N2863" s="55">
        <v>0</v>
      </c>
    </row>
    <row r="2864" spans="1:14" ht="10.050000000000001" hidden="1" customHeight="1">
      <c r="A2864" s="52" t="s">
        <v>306</v>
      </c>
      <c r="B2864" s="53">
        <v>2017</v>
      </c>
      <c r="C2864" s="52" t="s">
        <v>122</v>
      </c>
      <c r="D2864" s="54">
        <v>10</v>
      </c>
      <c r="E2864" s="55">
        <v>7999.7</v>
      </c>
      <c r="F2864" s="55">
        <v>1200.7</v>
      </c>
      <c r="G2864" s="55">
        <v>9200.4</v>
      </c>
      <c r="H2864" s="55">
        <v>229686.1</v>
      </c>
      <c r="I2864" s="55">
        <v>3372.4</v>
      </c>
      <c r="J2864" s="55">
        <v>233058.5</v>
      </c>
      <c r="K2864" s="55">
        <v>34123.5</v>
      </c>
      <c r="L2864" s="55">
        <v>544.79999999999995</v>
      </c>
      <c r="M2864" s="55">
        <v>4000.7</v>
      </c>
      <c r="N2864" s="55">
        <v>617.5</v>
      </c>
    </row>
    <row r="2865" spans="1:14" ht="10.050000000000001" hidden="1" customHeight="1">
      <c r="A2865" s="52" t="s">
        <v>172</v>
      </c>
      <c r="B2865" s="53">
        <v>2017</v>
      </c>
      <c r="C2865" s="52" t="s">
        <v>122</v>
      </c>
      <c r="D2865" s="54">
        <v>10</v>
      </c>
      <c r="E2865" s="55">
        <v>51585</v>
      </c>
      <c r="F2865" s="55">
        <v>3135.9</v>
      </c>
      <c r="G2865" s="55">
        <v>54720.9</v>
      </c>
      <c r="H2865" s="55">
        <v>958490.1</v>
      </c>
      <c r="I2865" s="55">
        <v>14672.5</v>
      </c>
      <c r="J2865" s="55">
        <v>973162.6</v>
      </c>
      <c r="K2865" s="55">
        <v>373645.1</v>
      </c>
      <c r="L2865" s="55">
        <v>14981.6</v>
      </c>
      <c r="M2865" s="55">
        <v>40115.5</v>
      </c>
      <c r="N2865" s="55">
        <v>4615</v>
      </c>
    </row>
    <row r="2866" spans="1:14" ht="10.050000000000001" hidden="1" customHeight="1">
      <c r="A2866" s="52" t="s">
        <v>171</v>
      </c>
      <c r="B2866" s="53">
        <v>2017</v>
      </c>
      <c r="C2866" s="52" t="s">
        <v>122</v>
      </c>
      <c r="D2866" s="54">
        <v>10</v>
      </c>
      <c r="E2866" s="55">
        <v>855015.30000000098</v>
      </c>
      <c r="F2866" s="55">
        <v>35994.9</v>
      </c>
      <c r="G2866" s="55">
        <v>891010.200000001</v>
      </c>
      <c r="H2866" s="55">
        <v>12133861.699999999</v>
      </c>
      <c r="I2866" s="55">
        <v>144317.6</v>
      </c>
      <c r="J2866" s="55">
        <v>12278179.300000001</v>
      </c>
      <c r="K2866" s="55">
        <v>5225540</v>
      </c>
      <c r="L2866" s="55">
        <v>148424.29999999999</v>
      </c>
      <c r="M2866" s="55">
        <v>513848.7</v>
      </c>
      <c r="N2866" s="55">
        <v>33796.199999999997</v>
      </c>
    </row>
    <row r="2867" spans="1:14" ht="10.050000000000001" hidden="1" customHeight="1">
      <c r="A2867" s="52" t="s">
        <v>300</v>
      </c>
      <c r="B2867" s="53">
        <v>2017</v>
      </c>
      <c r="C2867" s="52" t="s">
        <v>122</v>
      </c>
      <c r="D2867" s="54">
        <v>10</v>
      </c>
      <c r="E2867" s="55">
        <v>632.4</v>
      </c>
      <c r="F2867" s="55">
        <v>108.9</v>
      </c>
      <c r="G2867" s="55">
        <v>741.3</v>
      </c>
      <c r="H2867" s="55">
        <v>12080.8</v>
      </c>
      <c r="I2867" s="55">
        <v>559.20000000000005</v>
      </c>
      <c r="J2867" s="55">
        <v>12640</v>
      </c>
      <c r="K2867" s="55">
        <v>87.7</v>
      </c>
      <c r="L2867" s="55">
        <v>22.1</v>
      </c>
      <c r="M2867" s="55">
        <v>22.1</v>
      </c>
      <c r="N2867" s="55">
        <v>9.1</v>
      </c>
    </row>
    <row r="2868" spans="1:14" ht="10.050000000000001" hidden="1" customHeight="1">
      <c r="A2868" s="52" t="s">
        <v>307</v>
      </c>
      <c r="B2868" s="53">
        <v>2017</v>
      </c>
      <c r="C2868" s="52" t="s">
        <v>122</v>
      </c>
      <c r="D2868" s="54">
        <v>10</v>
      </c>
      <c r="E2868" s="55">
        <v>5564196.0999999996</v>
      </c>
      <c r="F2868" s="55">
        <v>55716.5</v>
      </c>
      <c r="G2868" s="55">
        <v>5619912.5999999996</v>
      </c>
      <c r="H2868" s="55">
        <v>5435038.5999999996</v>
      </c>
      <c r="I2868" s="55">
        <v>119591.9</v>
      </c>
      <c r="J2868" s="55">
        <v>5554630.5</v>
      </c>
      <c r="K2868" s="55">
        <v>2873618.6</v>
      </c>
      <c r="L2868" s="55">
        <v>2936541.5</v>
      </c>
      <c r="M2868" s="55">
        <v>466931.6</v>
      </c>
      <c r="N2868" s="55">
        <v>86907.4</v>
      </c>
    </row>
    <row r="2869" spans="1:14" ht="10.050000000000001" hidden="1" customHeight="1">
      <c r="A2869" s="52" t="s">
        <v>315</v>
      </c>
      <c r="B2869" s="53">
        <v>2017</v>
      </c>
      <c r="C2869" s="52" t="s">
        <v>122</v>
      </c>
      <c r="D2869" s="54">
        <v>10</v>
      </c>
      <c r="E2869" s="55">
        <v>25134.3</v>
      </c>
      <c r="F2869" s="55">
        <v>0</v>
      </c>
      <c r="G2869" s="55">
        <v>25134.3</v>
      </c>
      <c r="H2869" s="55">
        <v>48689.8</v>
      </c>
      <c r="I2869" s="55">
        <v>16.899999999999999</v>
      </c>
      <c r="J2869" s="55">
        <v>48706.7</v>
      </c>
      <c r="K2869" s="55">
        <v>7750.2</v>
      </c>
      <c r="L2869" s="55">
        <v>4357.8999999999996</v>
      </c>
      <c r="M2869" s="55">
        <v>11104.3</v>
      </c>
      <c r="N2869" s="55">
        <v>149.5</v>
      </c>
    </row>
    <row r="2870" spans="1:14" ht="10.050000000000001" hidden="1" customHeight="1">
      <c r="A2870" s="52" t="s">
        <v>311</v>
      </c>
      <c r="B2870" s="53">
        <v>2017</v>
      </c>
      <c r="C2870" s="52" t="s">
        <v>122</v>
      </c>
      <c r="D2870" s="54">
        <v>10</v>
      </c>
      <c r="E2870" s="55">
        <v>77.099999999999994</v>
      </c>
      <c r="F2870" s="55">
        <v>0</v>
      </c>
      <c r="G2870" s="55">
        <v>77.099999999999994</v>
      </c>
      <c r="H2870" s="55">
        <v>1072.2</v>
      </c>
      <c r="I2870" s="55">
        <v>0</v>
      </c>
      <c r="J2870" s="55">
        <v>1072.2</v>
      </c>
      <c r="K2870" s="55">
        <v>93.4</v>
      </c>
      <c r="L2870" s="55">
        <v>0</v>
      </c>
      <c r="M2870" s="55">
        <v>0</v>
      </c>
      <c r="N2870" s="55">
        <v>6</v>
      </c>
    </row>
    <row r="2871" spans="1:14" ht="10.050000000000001" hidden="1" customHeight="1">
      <c r="A2871" s="52" t="s">
        <v>173</v>
      </c>
      <c r="B2871" s="53">
        <v>2017</v>
      </c>
      <c r="C2871" s="52" t="s">
        <v>122</v>
      </c>
      <c r="D2871" s="54">
        <v>10</v>
      </c>
      <c r="E2871" s="55">
        <v>331594.3</v>
      </c>
      <c r="F2871" s="55">
        <v>17969.599999999999</v>
      </c>
      <c r="G2871" s="55">
        <v>349563.9</v>
      </c>
      <c r="H2871" s="55">
        <v>5369138.5999999996</v>
      </c>
      <c r="I2871" s="55">
        <v>54724.7</v>
      </c>
      <c r="J2871" s="55">
        <v>5423863.2999999998</v>
      </c>
      <c r="K2871" s="55">
        <v>1175718</v>
      </c>
      <c r="L2871" s="55">
        <v>42425</v>
      </c>
      <c r="M2871" s="55">
        <v>221427.7</v>
      </c>
      <c r="N2871" s="55">
        <v>33598.800000000003</v>
      </c>
    </row>
    <row r="2872" spans="1:14" ht="10.050000000000001" customHeight="1">
      <c r="A2872" s="52" t="s">
        <v>309</v>
      </c>
      <c r="B2872" s="53">
        <v>2017</v>
      </c>
      <c r="C2872" s="52" t="s">
        <v>122</v>
      </c>
      <c r="D2872" s="54">
        <v>10</v>
      </c>
      <c r="E2872" s="55">
        <v>48405.5</v>
      </c>
      <c r="F2872" s="55">
        <v>0</v>
      </c>
      <c r="G2872" s="55">
        <v>48405.5</v>
      </c>
      <c r="H2872" s="55">
        <v>92813.5</v>
      </c>
      <c r="I2872" s="55">
        <v>0</v>
      </c>
      <c r="J2872" s="55">
        <v>92813.5</v>
      </c>
      <c r="K2872" s="55">
        <v>6246.5</v>
      </c>
      <c r="L2872" s="55">
        <v>4202.8999999999996</v>
      </c>
      <c r="M2872" s="55">
        <v>657.5</v>
      </c>
      <c r="N2872" s="55">
        <v>0</v>
      </c>
    </row>
    <row r="2873" spans="1:14" ht="10.050000000000001" hidden="1" customHeight="1">
      <c r="A2873" s="52" t="s">
        <v>316</v>
      </c>
      <c r="B2873" s="53">
        <v>2017</v>
      </c>
      <c r="C2873" s="52" t="s">
        <v>122</v>
      </c>
      <c r="D2873" s="54">
        <v>10</v>
      </c>
      <c r="E2873" s="55">
        <v>15663.2</v>
      </c>
      <c r="F2873" s="55">
        <v>66.900000000000006</v>
      </c>
      <c r="G2873" s="55">
        <v>15730.1</v>
      </c>
      <c r="H2873" s="55">
        <v>23551.599999999999</v>
      </c>
      <c r="I2873" s="55">
        <v>120.1</v>
      </c>
      <c r="J2873" s="55">
        <v>23671.7</v>
      </c>
      <c r="K2873" s="55">
        <v>2056.9</v>
      </c>
      <c r="L2873" s="55">
        <v>1935.8</v>
      </c>
      <c r="M2873" s="55">
        <v>419.7</v>
      </c>
      <c r="N2873" s="55">
        <v>11.7</v>
      </c>
    </row>
    <row r="2874" spans="1:14" ht="10.050000000000001" hidden="1" customHeight="1">
      <c r="A2874" s="52" t="s">
        <v>310</v>
      </c>
      <c r="B2874" s="53">
        <v>2017</v>
      </c>
      <c r="C2874" s="52" t="s">
        <v>122</v>
      </c>
      <c r="D2874" s="54">
        <v>10</v>
      </c>
      <c r="E2874" s="55">
        <v>1978.1</v>
      </c>
      <c r="F2874" s="55">
        <v>0</v>
      </c>
      <c r="G2874" s="55">
        <v>1978.1</v>
      </c>
      <c r="H2874" s="55">
        <v>21832.3</v>
      </c>
      <c r="I2874" s="55">
        <v>807.9</v>
      </c>
      <c r="J2874" s="55">
        <v>22640.2</v>
      </c>
      <c r="K2874" s="55">
        <v>3939.3</v>
      </c>
      <c r="L2874" s="55">
        <v>57.4</v>
      </c>
      <c r="M2874" s="55">
        <v>1448.3</v>
      </c>
      <c r="N2874" s="55">
        <v>148.80000000000001</v>
      </c>
    </row>
    <row r="2875" spans="1:14" ht="10.050000000000001" hidden="1" customHeight="1">
      <c r="A2875" s="52" t="s">
        <v>308</v>
      </c>
      <c r="B2875" s="53">
        <v>2017</v>
      </c>
      <c r="C2875" s="52" t="s">
        <v>122</v>
      </c>
      <c r="D2875" s="54">
        <v>10</v>
      </c>
      <c r="E2875" s="55">
        <v>109883.9</v>
      </c>
      <c r="F2875" s="55">
        <v>80</v>
      </c>
      <c r="G2875" s="55">
        <v>109963.9</v>
      </c>
      <c r="H2875" s="55">
        <v>129423.2</v>
      </c>
      <c r="I2875" s="55">
        <v>625.79999999999995</v>
      </c>
      <c r="J2875" s="55">
        <v>130049</v>
      </c>
      <c r="K2875" s="55">
        <v>43691.7</v>
      </c>
      <c r="L2875" s="55">
        <v>49387.199999999997</v>
      </c>
      <c r="M2875" s="55">
        <v>17604.099999999999</v>
      </c>
      <c r="N2875" s="55">
        <v>341.4</v>
      </c>
    </row>
    <row r="2876" spans="1:14" ht="10.050000000000001" hidden="1" customHeight="1">
      <c r="A2876" s="52" t="s">
        <v>174</v>
      </c>
      <c r="B2876" s="53">
        <v>2017</v>
      </c>
      <c r="C2876" s="52" t="s">
        <v>122</v>
      </c>
      <c r="D2876" s="54">
        <v>10</v>
      </c>
      <c r="E2876" s="55">
        <v>17337.5</v>
      </c>
      <c r="F2876" s="55">
        <v>3556</v>
      </c>
      <c r="G2876" s="55">
        <v>20893.5</v>
      </c>
      <c r="H2876" s="55">
        <v>298633.3</v>
      </c>
      <c r="I2876" s="55">
        <v>15696.2</v>
      </c>
      <c r="J2876" s="55">
        <v>314329.5</v>
      </c>
      <c r="K2876" s="55">
        <v>127494.7</v>
      </c>
      <c r="L2876" s="55">
        <v>3177.1</v>
      </c>
      <c r="M2876" s="55">
        <v>8784.7999999999993</v>
      </c>
      <c r="N2876" s="55">
        <v>8900.5000000000091</v>
      </c>
    </row>
    <row r="2877" spans="1:14" ht="10.050000000000001" hidden="1" customHeight="1">
      <c r="A2877" s="52" t="s">
        <v>314</v>
      </c>
      <c r="B2877" s="53">
        <v>2017</v>
      </c>
      <c r="C2877" s="52" t="s">
        <v>122</v>
      </c>
      <c r="D2877" s="54">
        <v>11</v>
      </c>
      <c r="E2877" s="55">
        <v>0</v>
      </c>
      <c r="F2877" s="55">
        <v>0</v>
      </c>
      <c r="G2877" s="55">
        <v>0</v>
      </c>
      <c r="H2877" s="55">
        <v>73.900000000000006</v>
      </c>
      <c r="I2877" s="55">
        <v>0</v>
      </c>
      <c r="J2877" s="55">
        <v>73.900000000000006</v>
      </c>
      <c r="K2877" s="55">
        <v>23</v>
      </c>
      <c r="L2877" s="55">
        <v>0</v>
      </c>
      <c r="M2877" s="55">
        <v>0</v>
      </c>
      <c r="N2877" s="55">
        <v>0</v>
      </c>
    </row>
    <row r="2878" spans="1:14" ht="10.050000000000001" hidden="1" customHeight="1">
      <c r="A2878" s="52" t="s">
        <v>306</v>
      </c>
      <c r="B2878" s="53">
        <v>2017</v>
      </c>
      <c r="C2878" s="52" t="s">
        <v>122</v>
      </c>
      <c r="D2878" s="54">
        <v>11</v>
      </c>
      <c r="E2878" s="55">
        <v>9350.9</v>
      </c>
      <c r="F2878" s="55">
        <v>1463.7</v>
      </c>
      <c r="G2878" s="55">
        <v>10814.6</v>
      </c>
      <c r="H2878" s="55">
        <v>215421</v>
      </c>
      <c r="I2878" s="55">
        <v>4273</v>
      </c>
      <c r="J2878" s="55">
        <v>219694</v>
      </c>
      <c r="K2878" s="55">
        <v>29897.7</v>
      </c>
      <c r="L2878" s="55">
        <v>869</v>
      </c>
      <c r="M2878" s="55">
        <v>4642.3999999999996</v>
      </c>
      <c r="N2878" s="55">
        <v>451.8</v>
      </c>
    </row>
    <row r="2879" spans="1:14" ht="10.050000000000001" hidden="1" customHeight="1">
      <c r="A2879" s="52" t="s">
        <v>172</v>
      </c>
      <c r="B2879" s="53">
        <v>2017</v>
      </c>
      <c r="C2879" s="52" t="s">
        <v>122</v>
      </c>
      <c r="D2879" s="54">
        <v>11</v>
      </c>
      <c r="E2879" s="55">
        <v>102289.3</v>
      </c>
      <c r="F2879" s="55">
        <v>1390.2</v>
      </c>
      <c r="G2879" s="55">
        <v>103679.5</v>
      </c>
      <c r="H2879" s="55">
        <v>923169.2</v>
      </c>
      <c r="I2879" s="55">
        <v>12881.7</v>
      </c>
      <c r="J2879" s="55">
        <v>936050.9</v>
      </c>
      <c r="K2879" s="55">
        <v>311485.5</v>
      </c>
      <c r="L2879" s="55">
        <v>14910.7</v>
      </c>
      <c r="M2879" s="55">
        <v>72699.8</v>
      </c>
      <c r="N2879" s="55">
        <v>4370.2</v>
      </c>
    </row>
    <row r="2880" spans="1:14" ht="10.050000000000001" hidden="1" customHeight="1">
      <c r="A2880" s="52" t="s">
        <v>171</v>
      </c>
      <c r="B2880" s="53">
        <v>2017</v>
      </c>
      <c r="C2880" s="52" t="s">
        <v>122</v>
      </c>
      <c r="D2880" s="54">
        <v>11</v>
      </c>
      <c r="E2880" s="55">
        <v>1205607.1000000001</v>
      </c>
      <c r="F2880" s="55">
        <v>51944</v>
      </c>
      <c r="G2880" s="55">
        <v>1257551.1000000001</v>
      </c>
      <c r="H2880" s="55">
        <v>10599433</v>
      </c>
      <c r="I2880" s="55">
        <v>141130</v>
      </c>
      <c r="J2880" s="55">
        <v>10740563</v>
      </c>
      <c r="K2880" s="55">
        <v>4851184.8</v>
      </c>
      <c r="L2880" s="55">
        <v>312377.2</v>
      </c>
      <c r="M2880" s="55">
        <v>637232.80000000005</v>
      </c>
      <c r="N2880" s="55">
        <v>50181.8</v>
      </c>
    </row>
    <row r="2881" spans="1:14" ht="10.050000000000001" hidden="1" customHeight="1">
      <c r="A2881" s="52" t="s">
        <v>300</v>
      </c>
      <c r="B2881" s="53">
        <v>2017</v>
      </c>
      <c r="C2881" s="52" t="s">
        <v>122</v>
      </c>
      <c r="D2881" s="54">
        <v>11</v>
      </c>
      <c r="E2881" s="55">
        <v>868.7</v>
      </c>
      <c r="F2881" s="55">
        <v>32</v>
      </c>
      <c r="G2881" s="55">
        <v>900.7</v>
      </c>
      <c r="H2881" s="55">
        <v>11709.5</v>
      </c>
      <c r="I2881" s="55">
        <v>407.5</v>
      </c>
      <c r="J2881" s="55">
        <v>12117</v>
      </c>
      <c r="K2881" s="55">
        <v>83.7</v>
      </c>
      <c r="L2881" s="55">
        <v>2.5</v>
      </c>
      <c r="M2881" s="55">
        <v>0</v>
      </c>
      <c r="N2881" s="55">
        <v>6.5</v>
      </c>
    </row>
    <row r="2882" spans="1:14" ht="10.050000000000001" hidden="1" customHeight="1">
      <c r="A2882" s="52" t="s">
        <v>307</v>
      </c>
      <c r="B2882" s="53">
        <v>2017</v>
      </c>
      <c r="C2882" s="52" t="s">
        <v>122</v>
      </c>
      <c r="D2882" s="54">
        <v>11</v>
      </c>
      <c r="E2882" s="55">
        <v>1828308.4</v>
      </c>
      <c r="F2882" s="55">
        <v>38217.699999999997</v>
      </c>
      <c r="G2882" s="55">
        <v>1866526.1</v>
      </c>
      <c r="H2882" s="55">
        <v>6161169.0999999996</v>
      </c>
      <c r="I2882" s="55">
        <v>120877</v>
      </c>
      <c r="J2882" s="55">
        <v>6282046.0999999996</v>
      </c>
      <c r="K2882" s="55">
        <v>2581960.7999999998</v>
      </c>
      <c r="L2882" s="55">
        <v>625908.4</v>
      </c>
      <c r="M2882" s="55">
        <v>788402.6</v>
      </c>
      <c r="N2882" s="55">
        <v>131035.1</v>
      </c>
    </row>
    <row r="2883" spans="1:14" ht="10.050000000000001" hidden="1" customHeight="1">
      <c r="A2883" s="52" t="s">
        <v>315</v>
      </c>
      <c r="B2883" s="53">
        <v>2017</v>
      </c>
      <c r="C2883" s="52" t="s">
        <v>122</v>
      </c>
      <c r="D2883" s="54">
        <v>11</v>
      </c>
      <c r="E2883" s="55">
        <v>3651.3</v>
      </c>
      <c r="F2883" s="55">
        <v>0</v>
      </c>
      <c r="G2883" s="55">
        <v>3651.3</v>
      </c>
      <c r="H2883" s="55">
        <v>49261.5</v>
      </c>
      <c r="I2883" s="55">
        <v>16.899999999999999</v>
      </c>
      <c r="J2883" s="55">
        <v>49278.400000000001</v>
      </c>
      <c r="K2883" s="55">
        <v>5409.8</v>
      </c>
      <c r="L2883" s="55">
        <v>522.5</v>
      </c>
      <c r="M2883" s="55">
        <v>2807.1</v>
      </c>
      <c r="N2883" s="55">
        <v>56.2</v>
      </c>
    </row>
    <row r="2884" spans="1:14" ht="10.050000000000001" hidden="1" customHeight="1">
      <c r="A2884" s="52" t="s">
        <v>311</v>
      </c>
      <c r="B2884" s="53">
        <v>2017</v>
      </c>
      <c r="C2884" s="52" t="s">
        <v>122</v>
      </c>
      <c r="D2884" s="54">
        <v>11</v>
      </c>
      <c r="E2884" s="55">
        <v>274.89999999999998</v>
      </c>
      <c r="F2884" s="55">
        <v>0</v>
      </c>
      <c r="G2884" s="55">
        <v>274.89999999999998</v>
      </c>
      <c r="H2884" s="55">
        <v>764.8</v>
      </c>
      <c r="I2884" s="55">
        <v>0</v>
      </c>
      <c r="J2884" s="55">
        <v>764.8</v>
      </c>
      <c r="K2884" s="55">
        <v>89.3</v>
      </c>
      <c r="L2884" s="55">
        <v>0</v>
      </c>
      <c r="M2884" s="55">
        <v>0</v>
      </c>
      <c r="N2884" s="55">
        <v>4.0999999999999996</v>
      </c>
    </row>
    <row r="2885" spans="1:14" ht="10.050000000000001" hidden="1" customHeight="1">
      <c r="A2885" s="52" t="s">
        <v>173</v>
      </c>
      <c r="B2885" s="53">
        <v>2017</v>
      </c>
      <c r="C2885" s="52" t="s">
        <v>122</v>
      </c>
      <c r="D2885" s="54">
        <v>11</v>
      </c>
      <c r="E2885" s="55">
        <v>340479.4</v>
      </c>
      <c r="F2885" s="55">
        <v>24620.6</v>
      </c>
      <c r="G2885" s="55">
        <v>365100</v>
      </c>
      <c r="H2885" s="55">
        <v>4903093.8</v>
      </c>
      <c r="I2885" s="55">
        <v>58018.9</v>
      </c>
      <c r="J2885" s="55">
        <v>4961112.7</v>
      </c>
      <c r="K2885" s="55">
        <v>1019407.8</v>
      </c>
      <c r="L2885" s="55">
        <v>55466.8</v>
      </c>
      <c r="M2885" s="55">
        <v>182209.7</v>
      </c>
      <c r="N2885" s="55">
        <v>29895.7</v>
      </c>
    </row>
    <row r="2886" spans="1:14" ht="10.050000000000001" customHeight="1">
      <c r="A2886" s="52" t="s">
        <v>309</v>
      </c>
      <c r="B2886" s="53">
        <v>2017</v>
      </c>
      <c r="C2886" s="52" t="s">
        <v>122</v>
      </c>
      <c r="D2886" s="54">
        <v>11</v>
      </c>
      <c r="E2886" s="55">
        <v>1882.2</v>
      </c>
      <c r="F2886" s="55">
        <v>0</v>
      </c>
      <c r="G2886" s="55">
        <v>1882.2</v>
      </c>
      <c r="H2886" s="55">
        <v>90850.9</v>
      </c>
      <c r="I2886" s="55">
        <v>0</v>
      </c>
      <c r="J2886" s="55">
        <v>90850.9</v>
      </c>
      <c r="K2886" s="55">
        <v>5591.5</v>
      </c>
      <c r="L2886" s="55">
        <v>197.1</v>
      </c>
      <c r="M2886" s="55">
        <v>300</v>
      </c>
      <c r="N2886" s="55">
        <v>552.1</v>
      </c>
    </row>
    <row r="2887" spans="1:14" ht="10.050000000000001" hidden="1" customHeight="1">
      <c r="A2887" s="52" t="s">
        <v>316</v>
      </c>
      <c r="B2887" s="53">
        <v>2017</v>
      </c>
      <c r="C2887" s="52" t="s">
        <v>122</v>
      </c>
      <c r="D2887" s="54">
        <v>11</v>
      </c>
      <c r="E2887" s="55">
        <v>6220.7</v>
      </c>
      <c r="F2887" s="55">
        <v>54.8</v>
      </c>
      <c r="G2887" s="55">
        <v>6275.5</v>
      </c>
      <c r="H2887" s="55">
        <v>28452.1</v>
      </c>
      <c r="I2887" s="55">
        <v>175</v>
      </c>
      <c r="J2887" s="55">
        <v>28627.1</v>
      </c>
      <c r="K2887" s="55">
        <v>2373.4</v>
      </c>
      <c r="L2887" s="55">
        <v>1261.2</v>
      </c>
      <c r="M2887" s="55">
        <v>881.7</v>
      </c>
      <c r="N2887" s="55">
        <v>63</v>
      </c>
    </row>
    <row r="2888" spans="1:14" ht="10.050000000000001" hidden="1" customHeight="1">
      <c r="A2888" s="52" t="s">
        <v>310</v>
      </c>
      <c r="B2888" s="53">
        <v>2017</v>
      </c>
      <c r="C2888" s="52" t="s">
        <v>122</v>
      </c>
      <c r="D2888" s="54">
        <v>11</v>
      </c>
      <c r="E2888" s="55">
        <v>1601</v>
      </c>
      <c r="F2888" s="55">
        <v>0</v>
      </c>
      <c r="G2888" s="55">
        <v>1601</v>
      </c>
      <c r="H2888" s="55">
        <v>19901.2</v>
      </c>
      <c r="I2888" s="55">
        <v>725.8</v>
      </c>
      <c r="J2888" s="55">
        <v>20627</v>
      </c>
      <c r="K2888" s="55">
        <v>3111.2</v>
      </c>
      <c r="L2888" s="55">
        <v>26.5</v>
      </c>
      <c r="M2888" s="55">
        <v>782.5</v>
      </c>
      <c r="N2888" s="55">
        <v>72.3</v>
      </c>
    </row>
    <row r="2889" spans="1:14" ht="10.050000000000001" hidden="1" customHeight="1">
      <c r="A2889" s="52" t="s">
        <v>308</v>
      </c>
      <c r="B2889" s="53">
        <v>2017</v>
      </c>
      <c r="C2889" s="52" t="s">
        <v>122</v>
      </c>
      <c r="D2889" s="54">
        <v>11</v>
      </c>
      <c r="E2889" s="55">
        <v>30577.7</v>
      </c>
      <c r="F2889" s="55">
        <v>10</v>
      </c>
      <c r="G2889" s="55">
        <v>30587.7</v>
      </c>
      <c r="H2889" s="55">
        <v>143912.5</v>
      </c>
      <c r="I2889" s="55">
        <v>623.79999999999995</v>
      </c>
      <c r="J2889" s="55">
        <v>144536.29999999999</v>
      </c>
      <c r="K2889" s="55">
        <v>25886</v>
      </c>
      <c r="L2889" s="55">
        <v>4095</v>
      </c>
      <c r="M2889" s="55">
        <v>18432.8</v>
      </c>
      <c r="N2889" s="55">
        <v>3468.3</v>
      </c>
    </row>
    <row r="2890" spans="1:14" ht="10.050000000000001" hidden="1" customHeight="1">
      <c r="A2890" s="52" t="s">
        <v>174</v>
      </c>
      <c r="B2890" s="53">
        <v>2017</v>
      </c>
      <c r="C2890" s="52" t="s">
        <v>122</v>
      </c>
      <c r="D2890" s="54">
        <v>11</v>
      </c>
      <c r="E2890" s="55">
        <v>16073.2</v>
      </c>
      <c r="F2890" s="55">
        <v>1476.7</v>
      </c>
      <c r="G2890" s="55">
        <v>17549.900000000001</v>
      </c>
      <c r="H2890" s="55">
        <v>263020.59999999998</v>
      </c>
      <c r="I2890" s="55">
        <v>14625.3</v>
      </c>
      <c r="J2890" s="55">
        <v>277645.90000000002</v>
      </c>
      <c r="K2890" s="55">
        <v>114359</v>
      </c>
      <c r="L2890" s="55">
        <v>2172.5</v>
      </c>
      <c r="M2890" s="55">
        <v>6932.1</v>
      </c>
      <c r="N2890" s="55">
        <v>8382.2000000000007</v>
      </c>
    </row>
    <row r="2891" spans="1:14" ht="10.050000000000001" hidden="1" customHeight="1">
      <c r="A2891" s="52" t="s">
        <v>314</v>
      </c>
      <c r="B2891" s="53">
        <v>2017</v>
      </c>
      <c r="C2891" s="52" t="s">
        <v>122</v>
      </c>
      <c r="D2891" s="54">
        <v>12</v>
      </c>
      <c r="E2891" s="55">
        <v>0</v>
      </c>
      <c r="F2891" s="55">
        <v>0</v>
      </c>
      <c r="G2891" s="55">
        <v>0</v>
      </c>
      <c r="H2891" s="55">
        <v>63.7</v>
      </c>
      <c r="I2891" s="55">
        <v>0</v>
      </c>
      <c r="J2891" s="55">
        <v>63.7</v>
      </c>
      <c r="K2891" s="55">
        <v>23</v>
      </c>
      <c r="L2891" s="55">
        <v>0</v>
      </c>
      <c r="M2891" s="55">
        <v>0</v>
      </c>
      <c r="N2891" s="55">
        <v>0</v>
      </c>
    </row>
    <row r="2892" spans="1:14" ht="10.050000000000001" hidden="1" customHeight="1">
      <c r="A2892" s="52" t="s">
        <v>306</v>
      </c>
      <c r="B2892" s="53">
        <v>2017</v>
      </c>
      <c r="C2892" s="52" t="s">
        <v>122</v>
      </c>
      <c r="D2892" s="54">
        <v>12</v>
      </c>
      <c r="E2892" s="55">
        <v>5902.3</v>
      </c>
      <c r="F2892" s="55">
        <v>968.4</v>
      </c>
      <c r="G2892" s="55">
        <v>6870.7</v>
      </c>
      <c r="H2892" s="55">
        <v>202724.9</v>
      </c>
      <c r="I2892" s="55">
        <v>4357.8999999999996</v>
      </c>
      <c r="J2892" s="55">
        <v>207082.8</v>
      </c>
      <c r="K2892" s="55">
        <v>26783.7</v>
      </c>
      <c r="L2892" s="55">
        <v>539.70000000000005</v>
      </c>
      <c r="M2892" s="55">
        <v>2862.1</v>
      </c>
      <c r="N2892" s="55">
        <v>792.1</v>
      </c>
    </row>
    <row r="2893" spans="1:14" ht="10.050000000000001" hidden="1" customHeight="1">
      <c r="A2893" s="52" t="s">
        <v>172</v>
      </c>
      <c r="B2893" s="53">
        <v>2017</v>
      </c>
      <c r="C2893" s="52" t="s">
        <v>122</v>
      </c>
      <c r="D2893" s="54">
        <v>12</v>
      </c>
      <c r="E2893" s="55">
        <v>89986.9</v>
      </c>
      <c r="F2893" s="55">
        <v>1182.8</v>
      </c>
      <c r="G2893" s="55">
        <v>91169.7</v>
      </c>
      <c r="H2893" s="55">
        <v>911404.9</v>
      </c>
      <c r="I2893" s="55">
        <v>13191.5</v>
      </c>
      <c r="J2893" s="55">
        <v>924596.40000000095</v>
      </c>
      <c r="K2893" s="55">
        <v>266158.59999999998</v>
      </c>
      <c r="L2893" s="55">
        <v>15662.6</v>
      </c>
      <c r="M2893" s="55">
        <v>51401.3</v>
      </c>
      <c r="N2893" s="55">
        <v>9588.2999999999993</v>
      </c>
    </row>
    <row r="2894" spans="1:14" ht="10.050000000000001" hidden="1" customHeight="1">
      <c r="A2894" s="52" t="s">
        <v>171</v>
      </c>
      <c r="B2894" s="53">
        <v>2017</v>
      </c>
      <c r="C2894" s="52" t="s">
        <v>122</v>
      </c>
      <c r="D2894" s="54">
        <v>12</v>
      </c>
      <c r="E2894" s="55">
        <v>1348816.6</v>
      </c>
      <c r="F2894" s="55">
        <v>26326.2</v>
      </c>
      <c r="G2894" s="55">
        <v>1375142.8</v>
      </c>
      <c r="H2894" s="55">
        <v>9593721.1000000108</v>
      </c>
      <c r="I2894" s="55">
        <v>130051.3</v>
      </c>
      <c r="J2894" s="55">
        <v>9723772.4000000004</v>
      </c>
      <c r="K2894" s="55">
        <v>4320176</v>
      </c>
      <c r="L2894" s="55">
        <v>360105.1</v>
      </c>
      <c r="M2894" s="55">
        <v>817445.2</v>
      </c>
      <c r="N2894" s="55">
        <v>73668.899999999994</v>
      </c>
    </row>
    <row r="2895" spans="1:14" ht="10.050000000000001" hidden="1" customHeight="1">
      <c r="A2895" s="52" t="s">
        <v>300</v>
      </c>
      <c r="B2895" s="53">
        <v>2017</v>
      </c>
      <c r="C2895" s="52" t="s">
        <v>122</v>
      </c>
      <c r="D2895" s="54">
        <v>12</v>
      </c>
      <c r="E2895" s="55">
        <v>941.5</v>
      </c>
      <c r="F2895" s="55">
        <v>44.4</v>
      </c>
      <c r="G2895" s="55">
        <v>985.9</v>
      </c>
      <c r="H2895" s="55">
        <v>11555.1</v>
      </c>
      <c r="I2895" s="55">
        <v>283</v>
      </c>
      <c r="J2895" s="55">
        <v>11838.1</v>
      </c>
      <c r="K2895" s="55">
        <v>77.5</v>
      </c>
      <c r="L2895" s="55">
        <v>0</v>
      </c>
      <c r="M2895" s="55">
        <v>0</v>
      </c>
      <c r="N2895" s="55">
        <v>6.2</v>
      </c>
    </row>
    <row r="2896" spans="1:14" ht="10.050000000000001" hidden="1" customHeight="1">
      <c r="A2896" s="52" t="s">
        <v>307</v>
      </c>
      <c r="B2896" s="53">
        <v>2017</v>
      </c>
      <c r="C2896" s="52" t="s">
        <v>122</v>
      </c>
      <c r="D2896" s="54">
        <v>12</v>
      </c>
      <c r="E2896" s="55">
        <v>510993.7</v>
      </c>
      <c r="F2896" s="55">
        <v>5948.2</v>
      </c>
      <c r="G2896" s="55">
        <v>516941.9</v>
      </c>
      <c r="H2896" s="55">
        <v>5785926.2999999998</v>
      </c>
      <c r="I2896" s="55">
        <v>95908.6</v>
      </c>
      <c r="J2896" s="55">
        <v>5881834.9000000004</v>
      </c>
      <c r="K2896" s="55">
        <v>2283048.2999999998</v>
      </c>
      <c r="L2896" s="55">
        <v>89885.1</v>
      </c>
      <c r="M2896" s="55">
        <v>295052.90000000002</v>
      </c>
      <c r="N2896" s="55">
        <v>92389.9</v>
      </c>
    </row>
    <row r="2897" spans="1:14" ht="10.050000000000001" hidden="1" customHeight="1">
      <c r="A2897" s="52" t="s">
        <v>315</v>
      </c>
      <c r="B2897" s="53">
        <v>2017</v>
      </c>
      <c r="C2897" s="52" t="s">
        <v>122</v>
      </c>
      <c r="D2897" s="54">
        <v>12</v>
      </c>
      <c r="E2897" s="55">
        <v>2399.6999999999998</v>
      </c>
      <c r="F2897" s="55">
        <v>0</v>
      </c>
      <c r="G2897" s="55">
        <v>2399.6999999999998</v>
      </c>
      <c r="H2897" s="55">
        <v>46848.4</v>
      </c>
      <c r="I2897" s="55">
        <v>16.899999999999999</v>
      </c>
      <c r="J2897" s="55">
        <v>46865.3</v>
      </c>
      <c r="K2897" s="55">
        <v>3204.2</v>
      </c>
      <c r="L2897" s="55">
        <v>31.5</v>
      </c>
      <c r="M2897" s="55">
        <v>2009.4</v>
      </c>
      <c r="N2897" s="55">
        <v>227.8</v>
      </c>
    </row>
    <row r="2898" spans="1:14" ht="10.050000000000001" hidden="1" customHeight="1">
      <c r="A2898" s="52" t="s">
        <v>311</v>
      </c>
      <c r="B2898" s="53">
        <v>2017</v>
      </c>
      <c r="C2898" s="52" t="s">
        <v>122</v>
      </c>
      <c r="D2898" s="54">
        <v>12</v>
      </c>
      <c r="E2898" s="55">
        <v>313.8</v>
      </c>
      <c r="F2898" s="55">
        <v>0</v>
      </c>
      <c r="G2898" s="55">
        <v>313.8</v>
      </c>
      <c r="H2898" s="55">
        <v>696.4</v>
      </c>
      <c r="I2898" s="55">
        <v>0</v>
      </c>
      <c r="J2898" s="55">
        <v>696.4</v>
      </c>
      <c r="K2898" s="55">
        <v>75.099999999999994</v>
      </c>
      <c r="L2898" s="55">
        <v>0</v>
      </c>
      <c r="M2898" s="55">
        <v>0</v>
      </c>
      <c r="N2898" s="55">
        <v>14.2</v>
      </c>
    </row>
    <row r="2899" spans="1:14" ht="10.050000000000001" hidden="1" customHeight="1">
      <c r="A2899" s="52" t="s">
        <v>173</v>
      </c>
      <c r="B2899" s="53">
        <v>2017</v>
      </c>
      <c r="C2899" s="52" t="s">
        <v>122</v>
      </c>
      <c r="D2899" s="54">
        <v>12</v>
      </c>
      <c r="E2899" s="55">
        <v>325128</v>
      </c>
      <c r="F2899" s="55">
        <v>11603.7</v>
      </c>
      <c r="G2899" s="55">
        <v>336731.7</v>
      </c>
      <c r="H2899" s="55">
        <v>4661222.2</v>
      </c>
      <c r="I2899" s="55">
        <v>53820.2</v>
      </c>
      <c r="J2899" s="55">
        <v>4715042.4000000004</v>
      </c>
      <c r="K2899" s="55">
        <v>849383.7</v>
      </c>
      <c r="L2899" s="55">
        <v>49592.5</v>
      </c>
      <c r="M2899" s="55">
        <v>194895.9</v>
      </c>
      <c r="N2899" s="55">
        <v>25008.9</v>
      </c>
    </row>
    <row r="2900" spans="1:14" ht="10.050000000000001" customHeight="1">
      <c r="A2900" s="52" t="s">
        <v>309</v>
      </c>
      <c r="B2900" s="53">
        <v>2017</v>
      </c>
      <c r="C2900" s="52" t="s">
        <v>122</v>
      </c>
      <c r="D2900" s="54">
        <v>12</v>
      </c>
      <c r="E2900" s="55">
        <v>1168.4000000000001</v>
      </c>
      <c r="F2900" s="55">
        <v>0</v>
      </c>
      <c r="G2900" s="55">
        <v>1168.4000000000001</v>
      </c>
      <c r="H2900" s="55">
        <v>87365</v>
      </c>
      <c r="I2900" s="55">
        <v>0</v>
      </c>
      <c r="J2900" s="55">
        <v>87365</v>
      </c>
      <c r="K2900" s="55">
        <v>4719.8999999999996</v>
      </c>
      <c r="L2900" s="55">
        <v>0</v>
      </c>
      <c r="M2900" s="55">
        <v>554.5</v>
      </c>
      <c r="N2900" s="55">
        <v>317.10000000000002</v>
      </c>
    </row>
    <row r="2901" spans="1:14" ht="10.050000000000001" hidden="1" customHeight="1">
      <c r="A2901" s="52" t="s">
        <v>316</v>
      </c>
      <c r="B2901" s="53">
        <v>2017</v>
      </c>
      <c r="C2901" s="52" t="s">
        <v>122</v>
      </c>
      <c r="D2901" s="54">
        <v>12</v>
      </c>
      <c r="E2901" s="55">
        <v>1163.2</v>
      </c>
      <c r="F2901" s="55">
        <v>104</v>
      </c>
      <c r="G2901" s="55">
        <v>1267.2</v>
      </c>
      <c r="H2901" s="55">
        <v>28120.400000000001</v>
      </c>
      <c r="I2901" s="55">
        <v>187.4</v>
      </c>
      <c r="J2901" s="55">
        <v>28307.8</v>
      </c>
      <c r="K2901" s="55">
        <v>1984.9</v>
      </c>
      <c r="L2901" s="55">
        <v>96.3</v>
      </c>
      <c r="M2901" s="55">
        <v>281.2</v>
      </c>
      <c r="N2901" s="55">
        <v>203.6</v>
      </c>
    </row>
    <row r="2902" spans="1:14" ht="10.050000000000001" hidden="1" customHeight="1">
      <c r="A2902" s="52" t="s">
        <v>310</v>
      </c>
      <c r="B2902" s="53">
        <v>2017</v>
      </c>
      <c r="C2902" s="52" t="s">
        <v>122</v>
      </c>
      <c r="D2902" s="54">
        <v>12</v>
      </c>
      <c r="E2902" s="55">
        <v>1261</v>
      </c>
      <c r="F2902" s="55">
        <v>77.099999999999994</v>
      </c>
      <c r="G2902" s="55">
        <v>1338.1</v>
      </c>
      <c r="H2902" s="55">
        <v>18050.599999999999</v>
      </c>
      <c r="I2902" s="55">
        <v>567.20000000000005</v>
      </c>
      <c r="J2902" s="55">
        <v>18617.8</v>
      </c>
      <c r="K2902" s="55">
        <v>2673.1</v>
      </c>
      <c r="L2902" s="55">
        <v>186.5</v>
      </c>
      <c r="M2902" s="55">
        <v>510.6</v>
      </c>
      <c r="N2902" s="55">
        <v>113.9</v>
      </c>
    </row>
    <row r="2903" spans="1:14" ht="10.050000000000001" hidden="1" customHeight="1">
      <c r="A2903" s="52" t="s">
        <v>308</v>
      </c>
      <c r="B2903" s="53">
        <v>2017</v>
      </c>
      <c r="C2903" s="52" t="s">
        <v>122</v>
      </c>
      <c r="D2903" s="54">
        <v>12</v>
      </c>
      <c r="E2903" s="55">
        <v>8419.5</v>
      </c>
      <c r="F2903" s="55">
        <v>1</v>
      </c>
      <c r="G2903" s="55">
        <v>8420.5</v>
      </c>
      <c r="H2903" s="55">
        <v>135598.79999999999</v>
      </c>
      <c r="I2903" s="55">
        <v>606.9</v>
      </c>
      <c r="J2903" s="55">
        <v>136205.70000000001</v>
      </c>
      <c r="K2903" s="55">
        <v>17541.8</v>
      </c>
      <c r="L2903" s="55">
        <v>280.60000000000002</v>
      </c>
      <c r="M2903" s="55">
        <v>6606.8</v>
      </c>
      <c r="N2903" s="55">
        <v>2018.1</v>
      </c>
    </row>
    <row r="2904" spans="1:14" ht="10.050000000000001" hidden="1" customHeight="1">
      <c r="A2904" s="52" t="s">
        <v>174</v>
      </c>
      <c r="B2904" s="53">
        <v>2017</v>
      </c>
      <c r="C2904" s="52" t="s">
        <v>122</v>
      </c>
      <c r="D2904" s="54">
        <v>12</v>
      </c>
      <c r="E2904" s="55">
        <v>13651.4</v>
      </c>
      <c r="F2904" s="55">
        <v>876.4</v>
      </c>
      <c r="G2904" s="55">
        <v>14527.8</v>
      </c>
      <c r="H2904" s="55">
        <v>232591.8</v>
      </c>
      <c r="I2904" s="55">
        <v>12806.5</v>
      </c>
      <c r="J2904" s="55">
        <v>245398.3</v>
      </c>
      <c r="K2904" s="55">
        <v>99897.600000000093</v>
      </c>
      <c r="L2904" s="55">
        <v>2472.8000000000002</v>
      </c>
      <c r="M2904" s="55">
        <v>7101.8</v>
      </c>
      <c r="N2904" s="55">
        <v>9834.1</v>
      </c>
    </row>
    <row r="2905" spans="1:14" ht="10.050000000000001" hidden="1" customHeight="1">
      <c r="A2905" s="52" t="s">
        <v>314</v>
      </c>
      <c r="B2905" s="53">
        <v>2018</v>
      </c>
      <c r="C2905" s="52" t="s">
        <v>122</v>
      </c>
      <c r="D2905" s="54">
        <v>1</v>
      </c>
      <c r="E2905" s="55">
        <v>19.5</v>
      </c>
      <c r="F2905" s="55">
        <v>0</v>
      </c>
      <c r="G2905" s="55">
        <v>19.5</v>
      </c>
      <c r="H2905" s="55">
        <v>95</v>
      </c>
      <c r="I2905" s="55">
        <v>0</v>
      </c>
      <c r="J2905" s="55">
        <v>95</v>
      </c>
      <c r="K2905" s="55">
        <v>3.5</v>
      </c>
      <c r="L2905" s="55">
        <v>0</v>
      </c>
      <c r="M2905" s="55">
        <v>19.5</v>
      </c>
      <c r="N2905" s="55">
        <v>0</v>
      </c>
    </row>
    <row r="2906" spans="1:14" ht="10.050000000000001" hidden="1" customHeight="1">
      <c r="A2906" s="52" t="s">
        <v>306</v>
      </c>
      <c r="B2906" s="53">
        <v>2018</v>
      </c>
      <c r="C2906" s="52" t="s">
        <v>122</v>
      </c>
      <c r="D2906" s="54">
        <v>1</v>
      </c>
      <c r="E2906" s="55">
        <v>7969.3</v>
      </c>
      <c r="F2906" s="55">
        <v>657.9</v>
      </c>
      <c r="G2906" s="55">
        <v>8627.2000000000007</v>
      </c>
      <c r="H2906" s="55">
        <v>188892.9</v>
      </c>
      <c r="I2906" s="55">
        <v>3684.8</v>
      </c>
      <c r="J2906" s="55">
        <v>192577.7</v>
      </c>
      <c r="K2906" s="55">
        <v>21877</v>
      </c>
      <c r="L2906" s="55">
        <v>793</v>
      </c>
      <c r="M2906" s="55">
        <v>5232.8999999999996</v>
      </c>
      <c r="N2906" s="55">
        <v>466.5</v>
      </c>
    </row>
    <row r="2907" spans="1:14" ht="10.050000000000001" hidden="1" customHeight="1">
      <c r="A2907" s="52" t="s">
        <v>172</v>
      </c>
      <c r="B2907" s="53">
        <v>2018</v>
      </c>
      <c r="C2907" s="52" t="s">
        <v>122</v>
      </c>
      <c r="D2907" s="54">
        <v>1</v>
      </c>
      <c r="E2907" s="55">
        <v>92230.6</v>
      </c>
      <c r="F2907" s="55">
        <v>432.7</v>
      </c>
      <c r="G2907" s="55">
        <v>92663.3</v>
      </c>
      <c r="H2907" s="55">
        <v>860419.3</v>
      </c>
      <c r="I2907" s="55">
        <v>12055.1</v>
      </c>
      <c r="J2907" s="55">
        <v>872474.4</v>
      </c>
      <c r="K2907" s="55">
        <v>220917.4</v>
      </c>
      <c r="L2907" s="55">
        <v>12394.2</v>
      </c>
      <c r="M2907" s="55">
        <v>53603.199999999997</v>
      </c>
      <c r="N2907" s="55">
        <v>4032.6</v>
      </c>
    </row>
    <row r="2908" spans="1:14" ht="10.050000000000001" hidden="1" customHeight="1">
      <c r="A2908" s="52" t="s">
        <v>171</v>
      </c>
      <c r="B2908" s="53">
        <v>2018</v>
      </c>
      <c r="C2908" s="52" t="s">
        <v>122</v>
      </c>
      <c r="D2908" s="54">
        <v>1</v>
      </c>
      <c r="E2908" s="55">
        <v>1559761</v>
      </c>
      <c r="F2908" s="55">
        <v>18278.8</v>
      </c>
      <c r="G2908" s="55">
        <v>1578039.8</v>
      </c>
      <c r="H2908" s="55">
        <v>8416941.5</v>
      </c>
      <c r="I2908" s="55">
        <v>123360.7</v>
      </c>
      <c r="J2908" s="55">
        <v>8540302.1999999993</v>
      </c>
      <c r="K2908" s="55">
        <v>3914631.9</v>
      </c>
      <c r="L2908" s="55">
        <v>435747.2</v>
      </c>
      <c r="M2908" s="55">
        <v>796207.8</v>
      </c>
      <c r="N2908" s="55">
        <v>45010.7</v>
      </c>
    </row>
    <row r="2909" spans="1:14" ht="10.050000000000001" hidden="1" customHeight="1">
      <c r="A2909" s="52" t="s">
        <v>300</v>
      </c>
      <c r="B2909" s="53">
        <v>2018</v>
      </c>
      <c r="C2909" s="52" t="s">
        <v>122</v>
      </c>
      <c r="D2909" s="54">
        <v>1</v>
      </c>
      <c r="E2909" s="55">
        <v>816.2</v>
      </c>
      <c r="F2909" s="55">
        <v>0</v>
      </c>
      <c r="G2909" s="55">
        <v>816.2</v>
      </c>
      <c r="H2909" s="55">
        <v>10956.4</v>
      </c>
      <c r="I2909" s="55">
        <v>236.8</v>
      </c>
      <c r="J2909" s="55">
        <v>11193.2</v>
      </c>
      <c r="K2909" s="55">
        <v>68.3</v>
      </c>
      <c r="L2909" s="55">
        <v>0</v>
      </c>
      <c r="M2909" s="55">
        <v>0</v>
      </c>
      <c r="N2909" s="55">
        <v>9.3000000000000007</v>
      </c>
    </row>
    <row r="2910" spans="1:14" ht="10.050000000000001" hidden="1" customHeight="1">
      <c r="A2910" s="52" t="s">
        <v>307</v>
      </c>
      <c r="B2910" s="53">
        <v>2018</v>
      </c>
      <c r="C2910" s="52" t="s">
        <v>122</v>
      </c>
      <c r="D2910" s="54">
        <v>1</v>
      </c>
      <c r="E2910" s="55">
        <v>476425.4</v>
      </c>
      <c r="F2910" s="55">
        <v>42865.5</v>
      </c>
      <c r="G2910" s="55">
        <v>519290.9</v>
      </c>
      <c r="H2910" s="55">
        <v>5409223.9000000004</v>
      </c>
      <c r="I2910" s="55">
        <v>69887.8</v>
      </c>
      <c r="J2910" s="55">
        <v>5479111.7000000002</v>
      </c>
      <c r="K2910" s="55">
        <v>1949117.5</v>
      </c>
      <c r="L2910" s="55">
        <v>57554.3</v>
      </c>
      <c r="M2910" s="55">
        <v>311009.59999999998</v>
      </c>
      <c r="N2910" s="55">
        <v>77491.3</v>
      </c>
    </row>
    <row r="2911" spans="1:14" ht="10.050000000000001" hidden="1" customHeight="1">
      <c r="A2911" s="52" t="s">
        <v>315</v>
      </c>
      <c r="B2911" s="53">
        <v>2018</v>
      </c>
      <c r="C2911" s="52" t="s">
        <v>122</v>
      </c>
      <c r="D2911" s="54">
        <v>1</v>
      </c>
      <c r="E2911" s="55">
        <v>1592.1</v>
      </c>
      <c r="F2911" s="55">
        <v>0</v>
      </c>
      <c r="G2911" s="55">
        <v>1592.1</v>
      </c>
      <c r="H2911" s="55">
        <v>43740.1</v>
      </c>
      <c r="I2911" s="55">
        <v>16.899999999999999</v>
      </c>
      <c r="J2911" s="55">
        <v>43757</v>
      </c>
      <c r="K2911" s="55">
        <v>2200.3000000000002</v>
      </c>
      <c r="L2911" s="55">
        <v>159.1</v>
      </c>
      <c r="M2911" s="55">
        <v>1162.9000000000001</v>
      </c>
      <c r="N2911" s="55">
        <v>0</v>
      </c>
    </row>
    <row r="2912" spans="1:14" ht="10.050000000000001" hidden="1" customHeight="1">
      <c r="A2912" s="52" t="s">
        <v>311</v>
      </c>
      <c r="B2912" s="53">
        <v>2018</v>
      </c>
      <c r="C2912" s="52" t="s">
        <v>122</v>
      </c>
      <c r="D2912" s="54">
        <v>1</v>
      </c>
      <c r="E2912" s="55">
        <v>218.4</v>
      </c>
      <c r="F2912" s="55">
        <v>0</v>
      </c>
      <c r="G2912" s="55">
        <v>218.4</v>
      </c>
      <c r="H2912" s="55">
        <v>497.6</v>
      </c>
      <c r="I2912" s="55">
        <v>0</v>
      </c>
      <c r="J2912" s="55">
        <v>497.6</v>
      </c>
      <c r="K2912" s="55">
        <v>62.9</v>
      </c>
      <c r="L2912" s="55">
        <v>0</v>
      </c>
      <c r="M2912" s="55">
        <v>7</v>
      </c>
      <c r="N2912" s="55">
        <v>5.2</v>
      </c>
    </row>
    <row r="2913" spans="1:14" ht="10.050000000000001" hidden="1" customHeight="1">
      <c r="A2913" s="52" t="s">
        <v>173</v>
      </c>
      <c r="B2913" s="53">
        <v>2018</v>
      </c>
      <c r="C2913" s="52" t="s">
        <v>122</v>
      </c>
      <c r="D2913" s="54">
        <v>1</v>
      </c>
      <c r="E2913" s="55">
        <v>329677.3</v>
      </c>
      <c r="F2913" s="55">
        <v>13626.4</v>
      </c>
      <c r="G2913" s="55">
        <v>343303.7</v>
      </c>
      <c r="H2913" s="55">
        <v>4028854.6</v>
      </c>
      <c r="I2913" s="55">
        <v>46290.3</v>
      </c>
      <c r="J2913" s="55">
        <v>4075144.9</v>
      </c>
      <c r="K2913" s="55">
        <v>706908.4</v>
      </c>
      <c r="L2913" s="55">
        <v>56454.400000000001</v>
      </c>
      <c r="M2913" s="55">
        <v>175266.5</v>
      </c>
      <c r="N2913" s="55">
        <v>23735.8</v>
      </c>
    </row>
    <row r="2914" spans="1:14" ht="10.050000000000001" customHeight="1">
      <c r="A2914" s="52" t="s">
        <v>309</v>
      </c>
      <c r="B2914" s="53">
        <v>2018</v>
      </c>
      <c r="C2914" s="52" t="s">
        <v>122</v>
      </c>
      <c r="D2914" s="54">
        <v>1</v>
      </c>
      <c r="E2914" s="55">
        <v>1307.0999999999999</v>
      </c>
      <c r="F2914" s="55">
        <v>0</v>
      </c>
      <c r="G2914" s="55">
        <v>1307.0999999999999</v>
      </c>
      <c r="H2914" s="55">
        <v>75288.100000000006</v>
      </c>
      <c r="I2914" s="55">
        <v>0</v>
      </c>
      <c r="J2914" s="55">
        <v>75288.100000000006</v>
      </c>
      <c r="K2914" s="55">
        <v>4163.2</v>
      </c>
      <c r="L2914" s="55">
        <v>0</v>
      </c>
      <c r="M2914" s="55">
        <v>385</v>
      </c>
      <c r="N2914" s="55">
        <v>171.7</v>
      </c>
    </row>
    <row r="2915" spans="1:14" ht="10.050000000000001" hidden="1" customHeight="1">
      <c r="A2915" s="52" t="s">
        <v>316</v>
      </c>
      <c r="B2915" s="53">
        <v>2018</v>
      </c>
      <c r="C2915" s="52" t="s">
        <v>122</v>
      </c>
      <c r="D2915" s="54">
        <v>1</v>
      </c>
      <c r="E2915" s="55">
        <v>658.9</v>
      </c>
      <c r="F2915" s="55">
        <v>0</v>
      </c>
      <c r="G2915" s="55">
        <v>658.9</v>
      </c>
      <c r="H2915" s="55">
        <v>27876.400000000001</v>
      </c>
      <c r="I2915" s="55">
        <v>187.4</v>
      </c>
      <c r="J2915" s="55">
        <v>28063.8</v>
      </c>
      <c r="K2915" s="55">
        <v>1797.9</v>
      </c>
      <c r="L2915" s="55">
        <v>194.7</v>
      </c>
      <c r="M2915" s="55">
        <v>361.1</v>
      </c>
      <c r="N2915" s="55">
        <v>21.1</v>
      </c>
    </row>
    <row r="2916" spans="1:14" ht="10.050000000000001" hidden="1" customHeight="1">
      <c r="A2916" s="52" t="s">
        <v>310</v>
      </c>
      <c r="B2916" s="53">
        <v>2018</v>
      </c>
      <c r="C2916" s="52" t="s">
        <v>122</v>
      </c>
      <c r="D2916" s="54">
        <v>1</v>
      </c>
      <c r="E2916" s="55">
        <v>987.1</v>
      </c>
      <c r="F2916" s="55">
        <v>48</v>
      </c>
      <c r="G2916" s="55">
        <v>1035.0999999999999</v>
      </c>
      <c r="H2916" s="55">
        <v>16862.2</v>
      </c>
      <c r="I2916" s="55">
        <v>390</v>
      </c>
      <c r="J2916" s="55">
        <v>17252.2</v>
      </c>
      <c r="K2916" s="55">
        <v>2460.6</v>
      </c>
      <c r="L2916" s="55">
        <v>113</v>
      </c>
      <c r="M2916" s="55">
        <v>229.8</v>
      </c>
      <c r="N2916" s="55">
        <v>95.5</v>
      </c>
    </row>
    <row r="2917" spans="1:14" ht="10.050000000000001" hidden="1" customHeight="1">
      <c r="A2917" s="52" t="s">
        <v>308</v>
      </c>
      <c r="B2917" s="53">
        <v>2018</v>
      </c>
      <c r="C2917" s="52" t="s">
        <v>122</v>
      </c>
      <c r="D2917" s="54">
        <v>1</v>
      </c>
      <c r="E2917" s="55">
        <v>5405.2</v>
      </c>
      <c r="F2917" s="55">
        <v>142.5</v>
      </c>
      <c r="G2917" s="55">
        <v>5547.7</v>
      </c>
      <c r="H2917" s="55">
        <v>121551.6</v>
      </c>
      <c r="I2917" s="55">
        <v>633.79999999999995</v>
      </c>
      <c r="J2917" s="55">
        <v>122185.4</v>
      </c>
      <c r="K2917" s="55">
        <v>14508.9</v>
      </c>
      <c r="L2917" s="55">
        <v>1550.1</v>
      </c>
      <c r="M2917" s="55">
        <v>4273</v>
      </c>
      <c r="N2917" s="55">
        <v>310.2</v>
      </c>
    </row>
    <row r="2918" spans="1:14" ht="10.050000000000001" hidden="1" customHeight="1">
      <c r="A2918" s="52" t="s">
        <v>174</v>
      </c>
      <c r="B2918" s="53">
        <v>2018</v>
      </c>
      <c r="C2918" s="52" t="s">
        <v>122</v>
      </c>
      <c r="D2918" s="54">
        <v>1</v>
      </c>
      <c r="E2918" s="55">
        <v>12673</v>
      </c>
      <c r="F2918" s="55">
        <v>381.9</v>
      </c>
      <c r="G2918" s="55">
        <v>13054.9</v>
      </c>
      <c r="H2918" s="55">
        <v>197505.3</v>
      </c>
      <c r="I2918" s="55">
        <v>10147.4</v>
      </c>
      <c r="J2918" s="55">
        <v>207652.7</v>
      </c>
      <c r="K2918" s="55">
        <v>88481.9</v>
      </c>
      <c r="L2918" s="55">
        <v>2905.9</v>
      </c>
      <c r="M2918" s="55">
        <v>6964.4</v>
      </c>
      <c r="N2918" s="55">
        <v>7481.6</v>
      </c>
    </row>
    <row r="2919" spans="1:14" ht="10.050000000000001" hidden="1" customHeight="1">
      <c r="A2919" s="52" t="s">
        <v>314</v>
      </c>
      <c r="B2919" s="53">
        <v>2018</v>
      </c>
      <c r="C2919" s="52" t="s">
        <v>122</v>
      </c>
      <c r="D2919" s="54">
        <v>2</v>
      </c>
      <c r="E2919" s="55">
        <v>0</v>
      </c>
      <c r="F2919" s="55">
        <v>0</v>
      </c>
      <c r="G2919" s="55">
        <v>0</v>
      </c>
      <c r="H2919" s="55">
        <v>85.1</v>
      </c>
      <c r="I2919" s="55">
        <v>0</v>
      </c>
      <c r="J2919" s="55">
        <v>85.1</v>
      </c>
      <c r="K2919" s="55">
        <v>3.5</v>
      </c>
      <c r="L2919" s="55">
        <v>0</v>
      </c>
      <c r="M2919" s="55">
        <v>0</v>
      </c>
      <c r="N2919" s="55">
        <v>0</v>
      </c>
    </row>
    <row r="2920" spans="1:14" ht="10.050000000000001" hidden="1" customHeight="1">
      <c r="A2920" s="52" t="s">
        <v>306</v>
      </c>
      <c r="B2920" s="53">
        <v>2018</v>
      </c>
      <c r="C2920" s="52" t="s">
        <v>122</v>
      </c>
      <c r="D2920" s="54">
        <v>2</v>
      </c>
      <c r="E2920" s="55">
        <v>6107.3</v>
      </c>
      <c r="F2920" s="55">
        <v>452</v>
      </c>
      <c r="G2920" s="55">
        <v>6559.3</v>
      </c>
      <c r="H2920" s="55">
        <v>173934.5</v>
      </c>
      <c r="I2920" s="55">
        <v>3002.9</v>
      </c>
      <c r="J2920" s="55">
        <v>176937.4</v>
      </c>
      <c r="K2920" s="55">
        <v>18509.900000000001</v>
      </c>
      <c r="L2920" s="55">
        <v>455.2</v>
      </c>
      <c r="M2920" s="55">
        <v>3341</v>
      </c>
      <c r="N2920" s="55">
        <v>481.7</v>
      </c>
    </row>
    <row r="2921" spans="1:14" ht="10.050000000000001" hidden="1" customHeight="1">
      <c r="A2921" s="52" t="s">
        <v>172</v>
      </c>
      <c r="B2921" s="53">
        <v>2018</v>
      </c>
      <c r="C2921" s="52" t="s">
        <v>122</v>
      </c>
      <c r="D2921" s="54">
        <v>2</v>
      </c>
      <c r="E2921" s="55">
        <v>100813.9</v>
      </c>
      <c r="F2921" s="55">
        <v>285.89999999999998</v>
      </c>
      <c r="G2921" s="55">
        <v>101099.8</v>
      </c>
      <c r="H2921" s="55">
        <v>831831.3</v>
      </c>
      <c r="I2921" s="55">
        <v>10308.299999999999</v>
      </c>
      <c r="J2921" s="55">
        <v>842139.6</v>
      </c>
      <c r="K2921" s="55">
        <v>191012.3</v>
      </c>
      <c r="L2921" s="55">
        <v>17713.2</v>
      </c>
      <c r="M2921" s="55">
        <v>46813.2</v>
      </c>
      <c r="N2921" s="55">
        <v>805</v>
      </c>
    </row>
    <row r="2922" spans="1:14" ht="10.050000000000001" hidden="1" customHeight="1">
      <c r="A2922" s="52" t="s">
        <v>171</v>
      </c>
      <c r="B2922" s="53">
        <v>2018</v>
      </c>
      <c r="C2922" s="52" t="s">
        <v>122</v>
      </c>
      <c r="D2922" s="54">
        <v>2</v>
      </c>
      <c r="E2922" s="55">
        <v>1849832.1</v>
      </c>
      <c r="F2922" s="55">
        <v>5170.8999999999996</v>
      </c>
      <c r="G2922" s="55">
        <v>1855003</v>
      </c>
      <c r="H2922" s="55">
        <v>7413925.7000000002</v>
      </c>
      <c r="I2922" s="55">
        <v>101573.1</v>
      </c>
      <c r="J2922" s="55">
        <v>7515498.7999999998</v>
      </c>
      <c r="K2922" s="55">
        <v>3342713.5</v>
      </c>
      <c r="L2922" s="55">
        <v>448577.1</v>
      </c>
      <c r="M2922" s="55">
        <v>968254.3</v>
      </c>
      <c r="N2922" s="55">
        <v>46532.7</v>
      </c>
    </row>
    <row r="2923" spans="1:14" ht="10.050000000000001" hidden="1" customHeight="1">
      <c r="A2923" s="52" t="s">
        <v>300</v>
      </c>
      <c r="B2923" s="53">
        <v>2018</v>
      </c>
      <c r="C2923" s="52" t="s">
        <v>122</v>
      </c>
      <c r="D2923" s="54">
        <v>2</v>
      </c>
      <c r="E2923" s="55">
        <v>833.4</v>
      </c>
      <c r="F2923" s="55">
        <v>20</v>
      </c>
      <c r="G2923" s="55">
        <v>853.4</v>
      </c>
      <c r="H2923" s="55">
        <v>10622.7</v>
      </c>
      <c r="I2923" s="55">
        <v>244.2</v>
      </c>
      <c r="J2923" s="55">
        <v>10866.9</v>
      </c>
      <c r="K2923" s="55">
        <v>58.6</v>
      </c>
      <c r="L2923" s="55">
        <v>0</v>
      </c>
      <c r="M2923" s="55">
        <v>0</v>
      </c>
      <c r="N2923" s="55">
        <v>9.6</v>
      </c>
    </row>
    <row r="2924" spans="1:14" ht="10.050000000000001" hidden="1" customHeight="1">
      <c r="A2924" s="52" t="s">
        <v>307</v>
      </c>
      <c r="B2924" s="53">
        <v>2018</v>
      </c>
      <c r="C2924" s="52" t="s">
        <v>122</v>
      </c>
      <c r="D2924" s="54">
        <v>2</v>
      </c>
      <c r="E2924" s="55">
        <v>334381.2</v>
      </c>
      <c r="F2924" s="55">
        <v>0</v>
      </c>
      <c r="G2924" s="55">
        <v>334381.2</v>
      </c>
      <c r="H2924" s="55">
        <v>4826250.2</v>
      </c>
      <c r="I2924" s="55">
        <v>54507</v>
      </c>
      <c r="J2924" s="55">
        <v>4880757.2</v>
      </c>
      <c r="K2924" s="55">
        <v>1663571.4</v>
      </c>
      <c r="L2924" s="55">
        <v>38712.199999999997</v>
      </c>
      <c r="M2924" s="55">
        <v>166657.29999999999</v>
      </c>
      <c r="N2924" s="55">
        <v>113612.8</v>
      </c>
    </row>
    <row r="2925" spans="1:14" ht="10.050000000000001" hidden="1" customHeight="1">
      <c r="A2925" s="52" t="s">
        <v>315</v>
      </c>
      <c r="B2925" s="53">
        <v>2018</v>
      </c>
      <c r="C2925" s="52" t="s">
        <v>122</v>
      </c>
      <c r="D2925" s="54">
        <v>2</v>
      </c>
      <c r="E2925" s="55">
        <v>499.6</v>
      </c>
      <c r="F2925" s="55">
        <v>0</v>
      </c>
      <c r="G2925" s="55">
        <v>499.6</v>
      </c>
      <c r="H2925" s="55">
        <v>40504.699999999997</v>
      </c>
      <c r="I2925" s="55">
        <v>16.899999999999999</v>
      </c>
      <c r="J2925" s="55">
        <v>40521.599999999999</v>
      </c>
      <c r="K2925" s="55">
        <v>1922.3</v>
      </c>
      <c r="L2925" s="55">
        <v>43.3</v>
      </c>
      <c r="M2925" s="55">
        <v>321.39999999999998</v>
      </c>
      <c r="N2925" s="55">
        <v>0</v>
      </c>
    </row>
    <row r="2926" spans="1:14" ht="10.050000000000001" hidden="1" customHeight="1">
      <c r="A2926" s="52" t="s">
        <v>311</v>
      </c>
      <c r="B2926" s="53">
        <v>2018</v>
      </c>
      <c r="C2926" s="52" t="s">
        <v>122</v>
      </c>
      <c r="D2926" s="54">
        <v>2</v>
      </c>
      <c r="E2926" s="55">
        <v>195.5</v>
      </c>
      <c r="F2926" s="55">
        <v>0</v>
      </c>
      <c r="G2926" s="55">
        <v>195.5</v>
      </c>
      <c r="H2926" s="55">
        <v>358.7</v>
      </c>
      <c r="I2926" s="55">
        <v>0</v>
      </c>
      <c r="J2926" s="55">
        <v>358.7</v>
      </c>
      <c r="K2926" s="55">
        <v>54.1</v>
      </c>
      <c r="L2926" s="55">
        <v>0</v>
      </c>
      <c r="M2926" s="55">
        <v>4.0999999999999996</v>
      </c>
      <c r="N2926" s="55">
        <v>4.7</v>
      </c>
    </row>
    <row r="2927" spans="1:14" ht="10.050000000000001" hidden="1" customHeight="1">
      <c r="A2927" s="52" t="s">
        <v>173</v>
      </c>
      <c r="B2927" s="53">
        <v>2018</v>
      </c>
      <c r="C2927" s="52" t="s">
        <v>122</v>
      </c>
      <c r="D2927" s="54">
        <v>2</v>
      </c>
      <c r="E2927" s="55">
        <v>319451.40000000002</v>
      </c>
      <c r="F2927" s="55">
        <v>6783</v>
      </c>
      <c r="G2927" s="55">
        <v>326234.40000000002</v>
      </c>
      <c r="H2927" s="55">
        <v>3556167.4</v>
      </c>
      <c r="I2927" s="55">
        <v>39908.1</v>
      </c>
      <c r="J2927" s="55">
        <v>3596075.5</v>
      </c>
      <c r="K2927" s="55">
        <v>558730</v>
      </c>
      <c r="L2927" s="55">
        <v>42015.9</v>
      </c>
      <c r="M2927" s="55">
        <v>158024.5</v>
      </c>
      <c r="N2927" s="55">
        <v>31617.200000000001</v>
      </c>
    </row>
    <row r="2928" spans="1:14" ht="10.050000000000001" customHeight="1">
      <c r="A2928" s="52" t="s">
        <v>309</v>
      </c>
      <c r="B2928" s="53">
        <v>2018</v>
      </c>
      <c r="C2928" s="52" t="s">
        <v>122</v>
      </c>
      <c r="D2928" s="54">
        <v>2</v>
      </c>
      <c r="E2928" s="55">
        <v>1684</v>
      </c>
      <c r="F2928" s="55">
        <v>0</v>
      </c>
      <c r="G2928" s="55">
        <v>1684</v>
      </c>
      <c r="H2928" s="55">
        <v>75486.7</v>
      </c>
      <c r="I2928" s="55">
        <v>0</v>
      </c>
      <c r="J2928" s="55">
        <v>75486.7</v>
      </c>
      <c r="K2928" s="55">
        <v>4524.2</v>
      </c>
      <c r="L2928" s="55">
        <v>1607.1</v>
      </c>
      <c r="M2928" s="55">
        <v>1246</v>
      </c>
      <c r="N2928" s="55">
        <v>0</v>
      </c>
    </row>
    <row r="2929" spans="1:14" ht="10.050000000000001" hidden="1" customHeight="1">
      <c r="A2929" s="52" t="s">
        <v>316</v>
      </c>
      <c r="B2929" s="53">
        <v>2018</v>
      </c>
      <c r="C2929" s="52" t="s">
        <v>122</v>
      </c>
      <c r="D2929" s="54">
        <v>2</v>
      </c>
      <c r="E2929" s="55">
        <v>425.2</v>
      </c>
      <c r="F2929" s="55">
        <v>13.5</v>
      </c>
      <c r="G2929" s="55">
        <v>438.7</v>
      </c>
      <c r="H2929" s="55">
        <v>26171.3</v>
      </c>
      <c r="I2929" s="55">
        <v>200.9</v>
      </c>
      <c r="J2929" s="55">
        <v>26372.2</v>
      </c>
      <c r="K2929" s="55">
        <v>1654.4</v>
      </c>
      <c r="L2929" s="55">
        <v>57.9</v>
      </c>
      <c r="M2929" s="55">
        <v>169.3</v>
      </c>
      <c r="N2929" s="55">
        <v>32.200000000000003</v>
      </c>
    </row>
    <row r="2930" spans="1:14" ht="10.050000000000001" hidden="1" customHeight="1">
      <c r="A2930" s="52" t="s">
        <v>310</v>
      </c>
      <c r="B2930" s="53">
        <v>2018</v>
      </c>
      <c r="C2930" s="52" t="s">
        <v>122</v>
      </c>
      <c r="D2930" s="54">
        <v>2</v>
      </c>
      <c r="E2930" s="55">
        <v>1412</v>
      </c>
      <c r="F2930" s="55">
        <v>0</v>
      </c>
      <c r="G2930" s="55">
        <v>1412</v>
      </c>
      <c r="H2930" s="55">
        <v>15966.3</v>
      </c>
      <c r="I2930" s="55">
        <v>495.4</v>
      </c>
      <c r="J2930" s="55">
        <v>16461.7</v>
      </c>
      <c r="K2930" s="55">
        <v>1765.7</v>
      </c>
      <c r="L2930" s="55">
        <v>117.4</v>
      </c>
      <c r="M2930" s="55">
        <v>776.9</v>
      </c>
      <c r="N2930" s="55">
        <v>35.5</v>
      </c>
    </row>
    <row r="2931" spans="1:14" ht="10.050000000000001" hidden="1" customHeight="1">
      <c r="A2931" s="52" t="s">
        <v>308</v>
      </c>
      <c r="B2931" s="53">
        <v>2018</v>
      </c>
      <c r="C2931" s="52" t="s">
        <v>122</v>
      </c>
      <c r="D2931" s="54">
        <v>2</v>
      </c>
      <c r="E2931" s="55">
        <v>3565</v>
      </c>
      <c r="F2931" s="55">
        <v>0</v>
      </c>
      <c r="G2931" s="55">
        <v>3565</v>
      </c>
      <c r="H2931" s="55">
        <v>103460.9</v>
      </c>
      <c r="I2931" s="55">
        <v>565.79999999999995</v>
      </c>
      <c r="J2931" s="55">
        <v>104026.7</v>
      </c>
      <c r="K2931" s="55">
        <v>11257.1</v>
      </c>
      <c r="L2931" s="55">
        <v>-0.4</v>
      </c>
      <c r="M2931" s="55">
        <v>3052.9</v>
      </c>
      <c r="N2931" s="55">
        <v>198.6</v>
      </c>
    </row>
    <row r="2932" spans="1:14" ht="10.050000000000001" hidden="1" customHeight="1">
      <c r="A2932" s="52" t="s">
        <v>174</v>
      </c>
      <c r="B2932" s="53">
        <v>2018</v>
      </c>
      <c r="C2932" s="52" t="s">
        <v>122</v>
      </c>
      <c r="D2932" s="54">
        <v>2</v>
      </c>
      <c r="E2932" s="55">
        <v>11557.8</v>
      </c>
      <c r="F2932" s="55">
        <v>63.4</v>
      </c>
      <c r="G2932" s="55">
        <v>11621.2</v>
      </c>
      <c r="H2932" s="55">
        <v>165921.70000000001</v>
      </c>
      <c r="I2932" s="55">
        <v>9613.5</v>
      </c>
      <c r="J2932" s="55">
        <v>175535.2</v>
      </c>
      <c r="K2932" s="55">
        <v>76418.600000000006</v>
      </c>
      <c r="L2932" s="55">
        <v>1561.3</v>
      </c>
      <c r="M2932" s="55">
        <v>5895.6</v>
      </c>
      <c r="N2932" s="55">
        <v>7872.8</v>
      </c>
    </row>
    <row r="2933" spans="1:14" ht="10.050000000000001" hidden="1" customHeight="1">
      <c r="A2933" s="52" t="s">
        <v>314</v>
      </c>
      <c r="B2933" s="53">
        <v>2018</v>
      </c>
      <c r="C2933" s="52" t="s">
        <v>122</v>
      </c>
      <c r="D2933" s="54">
        <v>3</v>
      </c>
      <c r="E2933" s="55">
        <v>0</v>
      </c>
      <c r="F2933" s="55">
        <v>0</v>
      </c>
      <c r="G2933" s="55">
        <v>0</v>
      </c>
      <c r="H2933" s="55">
        <v>71.3</v>
      </c>
      <c r="I2933" s="55">
        <v>0</v>
      </c>
      <c r="J2933" s="55">
        <v>71.3</v>
      </c>
      <c r="K2933" s="55">
        <v>3.5</v>
      </c>
      <c r="L2933" s="55">
        <v>0</v>
      </c>
      <c r="M2933" s="55">
        <v>0</v>
      </c>
      <c r="N2933" s="55">
        <v>0</v>
      </c>
    </row>
    <row r="2934" spans="1:14" ht="10.050000000000001" hidden="1" customHeight="1">
      <c r="A2934" s="52" t="s">
        <v>306</v>
      </c>
      <c r="B2934" s="53">
        <v>2018</v>
      </c>
      <c r="C2934" s="52" t="s">
        <v>122</v>
      </c>
      <c r="D2934" s="54">
        <v>3</v>
      </c>
      <c r="E2934" s="55">
        <v>6667.1</v>
      </c>
      <c r="F2934" s="55">
        <v>51.7</v>
      </c>
      <c r="G2934" s="55">
        <v>6718.8</v>
      </c>
      <c r="H2934" s="55">
        <v>153386</v>
      </c>
      <c r="I2934" s="55">
        <v>2735.7</v>
      </c>
      <c r="J2934" s="55">
        <v>156121.70000000001</v>
      </c>
      <c r="K2934" s="55">
        <v>15432.4</v>
      </c>
      <c r="L2934" s="55">
        <v>993.9</v>
      </c>
      <c r="M2934" s="55">
        <v>3419</v>
      </c>
      <c r="N2934" s="55">
        <v>702.8</v>
      </c>
    </row>
    <row r="2935" spans="1:14" ht="10.050000000000001" hidden="1" customHeight="1">
      <c r="A2935" s="52" t="s">
        <v>172</v>
      </c>
      <c r="B2935" s="53">
        <v>2018</v>
      </c>
      <c r="C2935" s="52" t="s">
        <v>122</v>
      </c>
      <c r="D2935" s="54">
        <v>3</v>
      </c>
      <c r="E2935" s="55">
        <v>126145.60000000001</v>
      </c>
      <c r="F2935" s="55">
        <v>234.1</v>
      </c>
      <c r="G2935" s="55">
        <v>126379.7</v>
      </c>
      <c r="H2935" s="55">
        <v>749918.7</v>
      </c>
      <c r="I2935" s="55">
        <v>8230.1</v>
      </c>
      <c r="J2935" s="55">
        <v>758148.8</v>
      </c>
      <c r="K2935" s="55">
        <v>135502.9</v>
      </c>
      <c r="L2935" s="55">
        <v>12641.4</v>
      </c>
      <c r="M2935" s="55">
        <v>65752</v>
      </c>
      <c r="N2935" s="55">
        <v>2424.3000000000002</v>
      </c>
    </row>
    <row r="2936" spans="1:14" ht="10.050000000000001" hidden="1" customHeight="1">
      <c r="A2936" s="52" t="s">
        <v>171</v>
      </c>
      <c r="B2936" s="53">
        <v>2018</v>
      </c>
      <c r="C2936" s="52" t="s">
        <v>122</v>
      </c>
      <c r="D2936" s="54">
        <v>3</v>
      </c>
      <c r="E2936" s="55">
        <v>2421087</v>
      </c>
      <c r="F2936" s="55">
        <v>3294.4</v>
      </c>
      <c r="G2936" s="55">
        <v>2424381.4</v>
      </c>
      <c r="H2936" s="55">
        <v>6671222.7999999998</v>
      </c>
      <c r="I2936" s="55">
        <v>84815.6</v>
      </c>
      <c r="J2936" s="55">
        <v>6756038.4000000004</v>
      </c>
      <c r="K2936" s="55">
        <v>2269623.4</v>
      </c>
      <c r="L2936" s="55">
        <v>413258.1</v>
      </c>
      <c r="M2936" s="55">
        <v>1444015.4</v>
      </c>
      <c r="N2936" s="55">
        <v>47858.400000000001</v>
      </c>
    </row>
    <row r="2937" spans="1:14" ht="10.050000000000001" hidden="1" customHeight="1">
      <c r="A2937" s="52" t="s">
        <v>300</v>
      </c>
      <c r="B2937" s="53">
        <v>2018</v>
      </c>
      <c r="C2937" s="52" t="s">
        <v>122</v>
      </c>
      <c r="D2937" s="54">
        <v>3</v>
      </c>
      <c r="E2937" s="55">
        <v>602.6</v>
      </c>
      <c r="F2937" s="55">
        <v>0</v>
      </c>
      <c r="G2937" s="55">
        <v>602.6</v>
      </c>
      <c r="H2937" s="55">
        <v>9957.2999999999993</v>
      </c>
      <c r="I2937" s="55">
        <v>281.8</v>
      </c>
      <c r="J2937" s="55">
        <v>10239.1</v>
      </c>
      <c r="K2937" s="55">
        <v>52.1</v>
      </c>
      <c r="L2937" s="55">
        <v>0</v>
      </c>
      <c r="M2937" s="55">
        <v>0</v>
      </c>
      <c r="N2937" s="55">
        <v>6.6</v>
      </c>
    </row>
    <row r="2938" spans="1:14" ht="10.050000000000001" hidden="1" customHeight="1">
      <c r="A2938" s="52" t="s">
        <v>307</v>
      </c>
      <c r="B2938" s="53">
        <v>2018</v>
      </c>
      <c r="C2938" s="52" t="s">
        <v>122</v>
      </c>
      <c r="D2938" s="54">
        <v>3</v>
      </c>
      <c r="E2938" s="55">
        <v>459125</v>
      </c>
      <c r="F2938" s="55">
        <v>0</v>
      </c>
      <c r="G2938" s="55">
        <v>459125</v>
      </c>
      <c r="H2938" s="55">
        <v>4353764.4000000004</v>
      </c>
      <c r="I2938" s="55">
        <v>53975.8</v>
      </c>
      <c r="J2938" s="55">
        <v>4407740.2</v>
      </c>
      <c r="K2938" s="55">
        <v>1370907.6</v>
      </c>
      <c r="L2938" s="55">
        <v>44995.3</v>
      </c>
      <c r="M2938" s="55">
        <v>302543.8</v>
      </c>
      <c r="N2938" s="55">
        <v>78884.899999999994</v>
      </c>
    </row>
    <row r="2939" spans="1:14" ht="10.050000000000001" hidden="1" customHeight="1">
      <c r="A2939" s="52" t="s">
        <v>315</v>
      </c>
      <c r="B2939" s="53">
        <v>2018</v>
      </c>
      <c r="C2939" s="52" t="s">
        <v>122</v>
      </c>
      <c r="D2939" s="54">
        <v>3</v>
      </c>
      <c r="E2939" s="55">
        <v>558.5</v>
      </c>
      <c r="F2939" s="55">
        <v>0</v>
      </c>
      <c r="G2939" s="55">
        <v>558.5</v>
      </c>
      <c r="H2939" s="55">
        <v>37343.199999999997</v>
      </c>
      <c r="I2939" s="55">
        <v>16.899999999999999</v>
      </c>
      <c r="J2939" s="55">
        <v>37360.1</v>
      </c>
      <c r="K2939" s="55">
        <v>1692.8</v>
      </c>
      <c r="L2939" s="55">
        <v>150</v>
      </c>
      <c r="M2939" s="55">
        <v>377.4</v>
      </c>
      <c r="N2939" s="55">
        <v>2.1</v>
      </c>
    </row>
    <row r="2940" spans="1:14" ht="10.050000000000001" hidden="1" customHeight="1">
      <c r="A2940" s="52" t="s">
        <v>311</v>
      </c>
      <c r="B2940" s="53">
        <v>2018</v>
      </c>
      <c r="C2940" s="52" t="s">
        <v>122</v>
      </c>
      <c r="D2940" s="54">
        <v>3</v>
      </c>
      <c r="E2940" s="55">
        <v>85.6</v>
      </c>
      <c r="F2940" s="55">
        <v>0</v>
      </c>
      <c r="G2940" s="55">
        <v>85.6</v>
      </c>
      <c r="H2940" s="55">
        <v>320.2</v>
      </c>
      <c r="I2940" s="55">
        <v>0</v>
      </c>
      <c r="J2940" s="55">
        <v>320.2</v>
      </c>
      <c r="K2940" s="55">
        <v>44.8</v>
      </c>
      <c r="L2940" s="55">
        <v>0</v>
      </c>
      <c r="M2940" s="55">
        <v>4.3</v>
      </c>
      <c r="N2940" s="55">
        <v>5</v>
      </c>
    </row>
    <row r="2941" spans="1:14" ht="10.050000000000001" hidden="1" customHeight="1">
      <c r="A2941" s="52" t="s">
        <v>173</v>
      </c>
      <c r="B2941" s="53">
        <v>2018</v>
      </c>
      <c r="C2941" s="52" t="s">
        <v>122</v>
      </c>
      <c r="D2941" s="54">
        <v>3</v>
      </c>
      <c r="E2941" s="55">
        <v>339770.2</v>
      </c>
      <c r="F2941" s="55">
        <v>3183.2</v>
      </c>
      <c r="G2941" s="55">
        <v>342953.4</v>
      </c>
      <c r="H2941" s="55">
        <v>3008784.9</v>
      </c>
      <c r="I2941" s="55">
        <v>33898.199999999997</v>
      </c>
      <c r="J2941" s="55">
        <v>3042683.1</v>
      </c>
      <c r="K2941" s="55">
        <v>366584</v>
      </c>
      <c r="L2941" s="55">
        <v>35466.800000000003</v>
      </c>
      <c r="M2941" s="55">
        <v>201387.5</v>
      </c>
      <c r="N2941" s="55">
        <v>26846.2</v>
      </c>
    </row>
    <row r="2942" spans="1:14" ht="10.050000000000001" customHeight="1">
      <c r="A2942" s="52" t="s">
        <v>309</v>
      </c>
      <c r="B2942" s="53">
        <v>2018</v>
      </c>
      <c r="C2942" s="52" t="s">
        <v>122</v>
      </c>
      <c r="D2942" s="54">
        <v>3</v>
      </c>
      <c r="E2942" s="55">
        <v>1258.5999999999999</v>
      </c>
      <c r="F2942" s="55">
        <v>0</v>
      </c>
      <c r="G2942" s="55">
        <v>1258.5999999999999</v>
      </c>
      <c r="H2942" s="55">
        <v>74005.600000000006</v>
      </c>
      <c r="I2942" s="55">
        <v>0</v>
      </c>
      <c r="J2942" s="55">
        <v>74005.600000000006</v>
      </c>
      <c r="K2942" s="55">
        <v>3703.7</v>
      </c>
      <c r="L2942" s="55">
        <v>0</v>
      </c>
      <c r="M2942" s="55">
        <v>815</v>
      </c>
      <c r="N2942" s="55">
        <v>5.5</v>
      </c>
    </row>
    <row r="2943" spans="1:14" ht="10.050000000000001" hidden="1" customHeight="1">
      <c r="A2943" s="52" t="s">
        <v>316</v>
      </c>
      <c r="B2943" s="53">
        <v>2018</v>
      </c>
      <c r="C2943" s="52" t="s">
        <v>122</v>
      </c>
      <c r="D2943" s="54">
        <v>3</v>
      </c>
      <c r="E2943" s="55">
        <v>435.2</v>
      </c>
      <c r="F2943" s="55">
        <v>0</v>
      </c>
      <c r="G2943" s="55">
        <v>435.2</v>
      </c>
      <c r="H2943" s="55">
        <v>25509.8</v>
      </c>
      <c r="I2943" s="55">
        <v>200.9</v>
      </c>
      <c r="J2943" s="55">
        <v>25710.7</v>
      </c>
      <c r="K2943" s="55">
        <v>1474.9</v>
      </c>
      <c r="L2943" s="55">
        <v>25.2</v>
      </c>
      <c r="M2943" s="55">
        <v>176</v>
      </c>
      <c r="N2943" s="55">
        <v>28.5</v>
      </c>
    </row>
    <row r="2944" spans="1:14" ht="10.050000000000001" hidden="1" customHeight="1">
      <c r="A2944" s="52" t="s">
        <v>310</v>
      </c>
      <c r="B2944" s="53">
        <v>2018</v>
      </c>
      <c r="C2944" s="52" t="s">
        <v>122</v>
      </c>
      <c r="D2944" s="54">
        <v>3</v>
      </c>
      <c r="E2944" s="55">
        <v>899.8</v>
      </c>
      <c r="F2944" s="55">
        <v>0</v>
      </c>
      <c r="G2944" s="55">
        <v>899.8</v>
      </c>
      <c r="H2944" s="55">
        <v>14306.7</v>
      </c>
      <c r="I2944" s="55">
        <v>739.1</v>
      </c>
      <c r="J2944" s="55">
        <v>15045.8</v>
      </c>
      <c r="K2944" s="55">
        <v>1360.7</v>
      </c>
      <c r="L2944" s="55">
        <v>7.4</v>
      </c>
      <c r="M2944" s="55">
        <v>326.5</v>
      </c>
      <c r="N2944" s="55">
        <v>85.9</v>
      </c>
    </row>
    <row r="2945" spans="1:14" ht="10.050000000000001" hidden="1" customHeight="1">
      <c r="A2945" s="52" t="s">
        <v>308</v>
      </c>
      <c r="B2945" s="53">
        <v>2018</v>
      </c>
      <c r="C2945" s="52" t="s">
        <v>122</v>
      </c>
      <c r="D2945" s="54">
        <v>3</v>
      </c>
      <c r="E2945" s="55">
        <v>3098.6</v>
      </c>
      <c r="F2945" s="55">
        <v>0</v>
      </c>
      <c r="G2945" s="55">
        <v>3098.6</v>
      </c>
      <c r="H2945" s="55">
        <v>79684.7</v>
      </c>
      <c r="I2945" s="55">
        <v>499.9</v>
      </c>
      <c r="J2945" s="55">
        <v>80184.600000000006</v>
      </c>
      <c r="K2945" s="55">
        <v>8794</v>
      </c>
      <c r="L2945" s="55">
        <v>62.4</v>
      </c>
      <c r="M2945" s="55">
        <v>2370.9</v>
      </c>
      <c r="N2945" s="55">
        <v>182.4</v>
      </c>
    </row>
    <row r="2946" spans="1:14" ht="10.050000000000001" hidden="1" customHeight="1">
      <c r="A2946" s="52" t="s">
        <v>174</v>
      </c>
      <c r="B2946" s="53">
        <v>2018</v>
      </c>
      <c r="C2946" s="52" t="s">
        <v>122</v>
      </c>
      <c r="D2946" s="54">
        <v>3</v>
      </c>
      <c r="E2946" s="55">
        <v>13445.5</v>
      </c>
      <c r="F2946" s="55">
        <v>217.2</v>
      </c>
      <c r="G2946" s="55">
        <v>13662.7</v>
      </c>
      <c r="H2946" s="55">
        <v>133821.20000000001</v>
      </c>
      <c r="I2946" s="55">
        <v>9079.7000000000007</v>
      </c>
      <c r="J2946" s="55">
        <v>142900.9</v>
      </c>
      <c r="K2946" s="55">
        <v>63058.3</v>
      </c>
      <c r="L2946" s="55">
        <v>1065.9000000000001</v>
      </c>
      <c r="M2946" s="55">
        <v>6164.5</v>
      </c>
      <c r="N2946" s="55">
        <v>8437.5</v>
      </c>
    </row>
    <row r="2947" spans="1:14" ht="10.050000000000001" hidden="1" customHeight="1">
      <c r="A2947" s="52" t="s">
        <v>314</v>
      </c>
      <c r="B2947" s="53">
        <v>2018</v>
      </c>
      <c r="C2947" s="52" t="s">
        <v>122</v>
      </c>
      <c r="D2947" s="54">
        <v>4</v>
      </c>
      <c r="E2947" s="55">
        <v>0</v>
      </c>
      <c r="F2947" s="55">
        <v>0</v>
      </c>
      <c r="G2947" s="55">
        <v>0</v>
      </c>
      <c r="H2947" s="55">
        <v>87.5</v>
      </c>
      <c r="I2947" s="55">
        <v>0</v>
      </c>
      <c r="J2947" s="55">
        <v>87.5</v>
      </c>
      <c r="K2947" s="55">
        <v>3.5</v>
      </c>
      <c r="L2947" s="55">
        <v>0</v>
      </c>
      <c r="M2947" s="55">
        <v>0</v>
      </c>
      <c r="N2947" s="55">
        <v>0</v>
      </c>
    </row>
    <row r="2948" spans="1:14" ht="10.050000000000001" hidden="1" customHeight="1">
      <c r="A2948" s="52" t="s">
        <v>306</v>
      </c>
      <c r="B2948" s="53">
        <v>2018</v>
      </c>
      <c r="C2948" s="52" t="s">
        <v>122</v>
      </c>
      <c r="D2948" s="54">
        <v>4</v>
      </c>
      <c r="E2948" s="55">
        <v>8622.7000000000007</v>
      </c>
      <c r="F2948" s="55">
        <v>31.4</v>
      </c>
      <c r="G2948" s="55">
        <v>8654.1</v>
      </c>
      <c r="H2948" s="55">
        <v>135470.20000000001</v>
      </c>
      <c r="I2948" s="55">
        <v>2496</v>
      </c>
      <c r="J2948" s="55">
        <v>137966.20000000001</v>
      </c>
      <c r="K2948" s="55">
        <v>9969.6</v>
      </c>
      <c r="L2948" s="55">
        <v>75.900000000000006</v>
      </c>
      <c r="M2948" s="55">
        <v>5173.5</v>
      </c>
      <c r="N2948" s="55">
        <v>371.6</v>
      </c>
    </row>
    <row r="2949" spans="1:14" ht="10.050000000000001" hidden="1" customHeight="1">
      <c r="A2949" s="52" t="s">
        <v>172</v>
      </c>
      <c r="B2949" s="53">
        <v>2018</v>
      </c>
      <c r="C2949" s="52" t="s">
        <v>122</v>
      </c>
      <c r="D2949" s="54">
        <v>4</v>
      </c>
      <c r="E2949" s="55">
        <v>96093</v>
      </c>
      <c r="F2949" s="55">
        <v>13</v>
      </c>
      <c r="G2949" s="55">
        <v>96106</v>
      </c>
      <c r="H2949" s="55">
        <v>689663.1</v>
      </c>
      <c r="I2949" s="55">
        <v>6688</v>
      </c>
      <c r="J2949" s="55">
        <v>696351.1</v>
      </c>
      <c r="K2949" s="55">
        <v>83669.3</v>
      </c>
      <c r="L2949" s="55">
        <v>6762.1</v>
      </c>
      <c r="M2949" s="55">
        <v>55224.9</v>
      </c>
      <c r="N2949" s="55">
        <v>3370.8</v>
      </c>
    </row>
    <row r="2950" spans="1:14" ht="10.050000000000001" hidden="1" customHeight="1">
      <c r="A2950" s="52" t="s">
        <v>171</v>
      </c>
      <c r="B2950" s="53">
        <v>2018</v>
      </c>
      <c r="C2950" s="52" t="s">
        <v>122</v>
      </c>
      <c r="D2950" s="54">
        <v>4</v>
      </c>
      <c r="E2950" s="55">
        <v>1747862.9</v>
      </c>
      <c r="F2950" s="55">
        <v>3936.8</v>
      </c>
      <c r="G2950" s="55">
        <v>1751799.7</v>
      </c>
      <c r="H2950" s="55">
        <v>5376388</v>
      </c>
      <c r="I2950" s="55">
        <v>81357.7</v>
      </c>
      <c r="J2950" s="55">
        <v>5457745.7000000002</v>
      </c>
      <c r="K2950" s="55">
        <v>1434544.7</v>
      </c>
      <c r="L2950" s="55">
        <v>253285.1</v>
      </c>
      <c r="M2950" s="55">
        <v>1044502.1</v>
      </c>
      <c r="N2950" s="55">
        <v>40130.9</v>
      </c>
    </row>
    <row r="2951" spans="1:14" ht="10.050000000000001" hidden="1" customHeight="1">
      <c r="A2951" s="52" t="s">
        <v>300</v>
      </c>
      <c r="B2951" s="53">
        <v>2018</v>
      </c>
      <c r="C2951" s="52" t="s">
        <v>122</v>
      </c>
      <c r="D2951" s="54">
        <v>4</v>
      </c>
      <c r="E2951" s="55">
        <v>770.6</v>
      </c>
      <c r="F2951" s="55">
        <v>0</v>
      </c>
      <c r="G2951" s="55">
        <v>770.6</v>
      </c>
      <c r="H2951" s="55">
        <v>9564.2999999999993</v>
      </c>
      <c r="I2951" s="55">
        <v>277.89999999999998</v>
      </c>
      <c r="J2951" s="55">
        <v>9842.2000000000007</v>
      </c>
      <c r="K2951" s="55">
        <v>62.2</v>
      </c>
      <c r="L2951" s="55">
        <v>0</v>
      </c>
      <c r="M2951" s="55">
        <v>0</v>
      </c>
      <c r="N2951" s="55">
        <v>15.7</v>
      </c>
    </row>
    <row r="2952" spans="1:14" ht="10.050000000000001" hidden="1" customHeight="1">
      <c r="A2952" s="52" t="s">
        <v>307</v>
      </c>
      <c r="B2952" s="53">
        <v>2018</v>
      </c>
      <c r="C2952" s="52" t="s">
        <v>122</v>
      </c>
      <c r="D2952" s="54">
        <v>4</v>
      </c>
      <c r="E2952" s="55">
        <v>320466</v>
      </c>
      <c r="F2952" s="55">
        <v>574.29999999999995</v>
      </c>
      <c r="G2952" s="55">
        <v>321040.3</v>
      </c>
      <c r="H2952" s="55">
        <v>3766603.5</v>
      </c>
      <c r="I2952" s="55">
        <v>51238.7</v>
      </c>
      <c r="J2952" s="55">
        <v>3817842.2</v>
      </c>
      <c r="K2952" s="55">
        <v>1115883.8999999999</v>
      </c>
      <c r="L2952" s="55">
        <v>43634.7</v>
      </c>
      <c r="M2952" s="55">
        <v>191394</v>
      </c>
      <c r="N2952" s="55">
        <v>63735.7</v>
      </c>
    </row>
    <row r="2953" spans="1:14" ht="10.050000000000001" hidden="1" customHeight="1">
      <c r="A2953" s="52" t="s">
        <v>315</v>
      </c>
      <c r="B2953" s="53">
        <v>2018</v>
      </c>
      <c r="C2953" s="52" t="s">
        <v>122</v>
      </c>
      <c r="D2953" s="54">
        <v>4</v>
      </c>
      <c r="E2953" s="55">
        <v>668.9</v>
      </c>
      <c r="F2953" s="55">
        <v>0</v>
      </c>
      <c r="G2953" s="55">
        <v>668.9</v>
      </c>
      <c r="H2953" s="55">
        <v>33710.300000000003</v>
      </c>
      <c r="I2953" s="55">
        <v>16.899999999999999</v>
      </c>
      <c r="J2953" s="55">
        <v>33727.199999999997</v>
      </c>
      <c r="K2953" s="55">
        <v>1400.3</v>
      </c>
      <c r="L2953" s="55">
        <v>0</v>
      </c>
      <c r="M2953" s="55">
        <v>292.5</v>
      </c>
      <c r="N2953" s="55">
        <v>0</v>
      </c>
    </row>
    <row r="2954" spans="1:14" ht="10.050000000000001" hidden="1" customHeight="1">
      <c r="A2954" s="52" t="s">
        <v>311</v>
      </c>
      <c r="B2954" s="53">
        <v>2018</v>
      </c>
      <c r="C2954" s="52" t="s">
        <v>122</v>
      </c>
      <c r="D2954" s="54">
        <v>4</v>
      </c>
      <c r="E2954" s="55">
        <v>24.5</v>
      </c>
      <c r="F2954" s="55">
        <v>0</v>
      </c>
      <c r="G2954" s="55">
        <v>24.5</v>
      </c>
      <c r="H2954" s="55">
        <v>304.5</v>
      </c>
      <c r="I2954" s="55">
        <v>0</v>
      </c>
      <c r="J2954" s="55">
        <v>304.5</v>
      </c>
      <c r="K2954" s="55">
        <v>31.5</v>
      </c>
      <c r="L2954" s="55">
        <v>0</v>
      </c>
      <c r="M2954" s="55">
        <v>4.9000000000000004</v>
      </c>
      <c r="N2954" s="55">
        <v>8.4</v>
      </c>
    </row>
    <row r="2955" spans="1:14" ht="10.050000000000001" hidden="1" customHeight="1">
      <c r="A2955" s="52" t="s">
        <v>173</v>
      </c>
      <c r="B2955" s="53">
        <v>2018</v>
      </c>
      <c r="C2955" s="52" t="s">
        <v>122</v>
      </c>
      <c r="D2955" s="54">
        <v>4</v>
      </c>
      <c r="E2955" s="55">
        <v>276671</v>
      </c>
      <c r="F2955" s="55">
        <v>4816.6000000000004</v>
      </c>
      <c r="G2955" s="55">
        <v>281487.59999999998</v>
      </c>
      <c r="H2955" s="55">
        <v>2379717.6</v>
      </c>
      <c r="I2955" s="55">
        <v>29626.7</v>
      </c>
      <c r="J2955" s="55">
        <v>2409344.2999999998</v>
      </c>
      <c r="K2955" s="55">
        <v>215433</v>
      </c>
      <c r="L2955" s="55">
        <v>25820.799999999999</v>
      </c>
      <c r="M2955" s="55">
        <v>155132</v>
      </c>
      <c r="N2955" s="55">
        <v>21917.8</v>
      </c>
    </row>
    <row r="2956" spans="1:14" ht="10.050000000000001" customHeight="1">
      <c r="A2956" s="52" t="s">
        <v>309</v>
      </c>
      <c r="B2956" s="53">
        <v>2018</v>
      </c>
      <c r="C2956" s="52" t="s">
        <v>122</v>
      </c>
      <c r="D2956" s="54">
        <v>4</v>
      </c>
      <c r="E2956" s="55">
        <v>1031.8</v>
      </c>
      <c r="F2956" s="55">
        <v>0</v>
      </c>
      <c r="G2956" s="55">
        <v>1031.8</v>
      </c>
      <c r="H2956" s="55">
        <v>70283.8</v>
      </c>
      <c r="I2956" s="55">
        <v>0</v>
      </c>
      <c r="J2956" s="55">
        <v>70283.8</v>
      </c>
      <c r="K2956" s="55">
        <v>3185.8</v>
      </c>
      <c r="L2956" s="55">
        <v>0</v>
      </c>
      <c r="M2956" s="55">
        <v>518</v>
      </c>
      <c r="N2956" s="55">
        <v>0</v>
      </c>
    </row>
    <row r="2957" spans="1:14" ht="10.050000000000001" hidden="1" customHeight="1">
      <c r="A2957" s="52" t="s">
        <v>316</v>
      </c>
      <c r="B2957" s="53">
        <v>2018</v>
      </c>
      <c r="C2957" s="52" t="s">
        <v>122</v>
      </c>
      <c r="D2957" s="54">
        <v>4</v>
      </c>
      <c r="E2957" s="55">
        <v>411.4</v>
      </c>
      <c r="F2957" s="55">
        <v>13.9</v>
      </c>
      <c r="G2957" s="55">
        <v>425.3</v>
      </c>
      <c r="H2957" s="55">
        <v>23709.1</v>
      </c>
      <c r="I2957" s="55">
        <v>209.1</v>
      </c>
      <c r="J2957" s="55">
        <v>23918.2</v>
      </c>
      <c r="K2957" s="55">
        <v>1245.3</v>
      </c>
      <c r="L2957" s="55">
        <v>13.7</v>
      </c>
      <c r="M2957" s="55">
        <v>202.2</v>
      </c>
      <c r="N2957" s="55">
        <v>41.1</v>
      </c>
    </row>
    <row r="2958" spans="1:14" ht="10.050000000000001" hidden="1" customHeight="1">
      <c r="A2958" s="52" t="s">
        <v>310</v>
      </c>
      <c r="B2958" s="53">
        <v>2018</v>
      </c>
      <c r="C2958" s="52" t="s">
        <v>122</v>
      </c>
      <c r="D2958" s="54">
        <v>4</v>
      </c>
      <c r="E2958" s="55">
        <v>724.7</v>
      </c>
      <c r="F2958" s="55">
        <v>0</v>
      </c>
      <c r="G2958" s="55">
        <v>724.7</v>
      </c>
      <c r="H2958" s="55">
        <v>12658.9</v>
      </c>
      <c r="I2958" s="55">
        <v>681.2</v>
      </c>
      <c r="J2958" s="55">
        <v>13340.1</v>
      </c>
      <c r="K2958" s="55">
        <v>1231.9000000000001</v>
      </c>
      <c r="L2958" s="55">
        <v>82</v>
      </c>
      <c r="M2958" s="55">
        <v>150.69999999999999</v>
      </c>
      <c r="N2958" s="55">
        <v>60.1</v>
      </c>
    </row>
    <row r="2959" spans="1:14" ht="10.050000000000001" hidden="1" customHeight="1">
      <c r="A2959" s="52" t="s">
        <v>308</v>
      </c>
      <c r="B2959" s="53">
        <v>2018</v>
      </c>
      <c r="C2959" s="52" t="s">
        <v>122</v>
      </c>
      <c r="D2959" s="54">
        <v>4</v>
      </c>
      <c r="E2959" s="55">
        <v>4223.7</v>
      </c>
      <c r="F2959" s="55">
        <v>0</v>
      </c>
      <c r="G2959" s="55">
        <v>4223.7</v>
      </c>
      <c r="H2959" s="55">
        <v>60098.1</v>
      </c>
      <c r="I2959" s="55">
        <v>384.3</v>
      </c>
      <c r="J2959" s="55">
        <v>60482.400000000001</v>
      </c>
      <c r="K2959" s="55">
        <v>5671</v>
      </c>
      <c r="L2959" s="55">
        <v>272.7</v>
      </c>
      <c r="M2959" s="55">
        <v>2790.1</v>
      </c>
      <c r="N2959" s="55">
        <v>605.6</v>
      </c>
    </row>
    <row r="2960" spans="1:14" ht="10.050000000000001" hidden="1" customHeight="1">
      <c r="A2960" s="52" t="s">
        <v>174</v>
      </c>
      <c r="B2960" s="53">
        <v>2018</v>
      </c>
      <c r="C2960" s="52" t="s">
        <v>122</v>
      </c>
      <c r="D2960" s="54">
        <v>4</v>
      </c>
      <c r="E2960" s="55">
        <v>12709.5</v>
      </c>
      <c r="F2960" s="55">
        <v>0</v>
      </c>
      <c r="G2960" s="55">
        <v>12709.5</v>
      </c>
      <c r="H2960" s="55">
        <v>109054.39999999999</v>
      </c>
      <c r="I2960" s="55">
        <v>8750</v>
      </c>
      <c r="J2960" s="55">
        <v>117804.4</v>
      </c>
      <c r="K2960" s="55">
        <v>51407.9</v>
      </c>
      <c r="L2960" s="55">
        <v>1908.4</v>
      </c>
      <c r="M2960" s="55">
        <v>7583.9</v>
      </c>
      <c r="N2960" s="55">
        <v>6390.2</v>
      </c>
    </row>
    <row r="2961" spans="1:14" ht="10.050000000000001" hidden="1" customHeight="1">
      <c r="A2961" s="52" t="s">
        <v>314</v>
      </c>
      <c r="B2961" s="53">
        <v>2018</v>
      </c>
      <c r="C2961" s="52" t="s">
        <v>122</v>
      </c>
      <c r="D2961" s="54">
        <v>5</v>
      </c>
      <c r="E2961" s="55">
        <v>0</v>
      </c>
      <c r="F2961" s="55">
        <v>0</v>
      </c>
      <c r="G2961" s="55">
        <v>0</v>
      </c>
      <c r="H2961" s="55">
        <v>78.400000000000006</v>
      </c>
      <c r="I2961" s="55">
        <v>0</v>
      </c>
      <c r="J2961" s="55">
        <v>78.400000000000006</v>
      </c>
      <c r="K2961" s="55">
        <v>3.5</v>
      </c>
      <c r="L2961" s="55">
        <v>0</v>
      </c>
      <c r="M2961" s="55">
        <v>0</v>
      </c>
      <c r="N2961" s="55">
        <v>0</v>
      </c>
    </row>
    <row r="2962" spans="1:14" ht="10.050000000000001" hidden="1" customHeight="1">
      <c r="A2962" s="52" t="s">
        <v>306</v>
      </c>
      <c r="B2962" s="53">
        <v>2018</v>
      </c>
      <c r="C2962" s="52" t="s">
        <v>122</v>
      </c>
      <c r="D2962" s="54">
        <v>5</v>
      </c>
      <c r="E2962" s="55">
        <v>7756.3</v>
      </c>
      <c r="F2962" s="55">
        <v>0</v>
      </c>
      <c r="G2962" s="55">
        <v>7756.3</v>
      </c>
      <c r="H2962" s="55">
        <v>117154.1</v>
      </c>
      <c r="I2962" s="55">
        <v>1961.4</v>
      </c>
      <c r="J2962" s="55">
        <v>119115.5</v>
      </c>
      <c r="K2962" s="55">
        <v>5715.1</v>
      </c>
      <c r="L2962" s="55">
        <v>700.5</v>
      </c>
      <c r="M2962" s="55">
        <v>4411.3999999999996</v>
      </c>
      <c r="N2962" s="55">
        <v>541.5</v>
      </c>
    </row>
    <row r="2963" spans="1:14" ht="10.050000000000001" hidden="1" customHeight="1">
      <c r="A2963" s="52" t="s">
        <v>172</v>
      </c>
      <c r="B2963" s="53">
        <v>2018</v>
      </c>
      <c r="C2963" s="52" t="s">
        <v>122</v>
      </c>
      <c r="D2963" s="54">
        <v>5</v>
      </c>
      <c r="E2963" s="55">
        <v>69500</v>
      </c>
      <c r="F2963" s="55">
        <v>232.1</v>
      </c>
      <c r="G2963" s="55">
        <v>69732.100000000006</v>
      </c>
      <c r="H2963" s="55">
        <v>538121.6</v>
      </c>
      <c r="I2963" s="55">
        <v>6156.1</v>
      </c>
      <c r="J2963" s="55">
        <v>544277.69999999995</v>
      </c>
      <c r="K2963" s="55">
        <v>57461.1</v>
      </c>
      <c r="L2963" s="55">
        <v>6392.6</v>
      </c>
      <c r="M2963" s="55">
        <v>29515.200000000001</v>
      </c>
      <c r="N2963" s="55">
        <v>3085.6</v>
      </c>
    </row>
    <row r="2964" spans="1:14" ht="10.050000000000001" hidden="1" customHeight="1">
      <c r="A2964" s="52" t="s">
        <v>171</v>
      </c>
      <c r="B2964" s="53">
        <v>2018</v>
      </c>
      <c r="C2964" s="52" t="s">
        <v>122</v>
      </c>
      <c r="D2964" s="54">
        <v>5</v>
      </c>
      <c r="E2964" s="55">
        <v>1971828.2</v>
      </c>
      <c r="F2964" s="55">
        <v>2806.6</v>
      </c>
      <c r="G2964" s="55">
        <v>1974634.8</v>
      </c>
      <c r="H2964" s="55">
        <v>4379170.2</v>
      </c>
      <c r="I2964" s="55">
        <v>76762.899999999994</v>
      </c>
      <c r="J2964" s="55">
        <v>4455933.0999999996</v>
      </c>
      <c r="K2964" s="55">
        <v>471603.5</v>
      </c>
      <c r="L2964" s="55">
        <v>268960.59999999998</v>
      </c>
      <c r="M2964" s="55">
        <v>1199532.7</v>
      </c>
      <c r="N2964" s="55">
        <v>32971.699999999997</v>
      </c>
    </row>
    <row r="2965" spans="1:14" ht="10.050000000000001" hidden="1" customHeight="1">
      <c r="A2965" s="52" t="s">
        <v>300</v>
      </c>
      <c r="B2965" s="53">
        <v>2018</v>
      </c>
      <c r="C2965" s="52" t="s">
        <v>122</v>
      </c>
      <c r="D2965" s="54">
        <v>5</v>
      </c>
      <c r="E2965" s="55">
        <v>713.3</v>
      </c>
      <c r="F2965" s="55">
        <v>0</v>
      </c>
      <c r="G2965" s="55">
        <v>713.3</v>
      </c>
      <c r="H2965" s="55">
        <v>9698.1</v>
      </c>
      <c r="I2965" s="55">
        <v>270.89999999999998</v>
      </c>
      <c r="J2965" s="55">
        <v>9969</v>
      </c>
      <c r="K2965" s="55">
        <v>11.9</v>
      </c>
      <c r="L2965" s="55">
        <v>0</v>
      </c>
      <c r="M2965" s="55">
        <v>21</v>
      </c>
      <c r="N2965" s="55">
        <v>3.5</v>
      </c>
    </row>
    <row r="2966" spans="1:14" ht="10.050000000000001" hidden="1" customHeight="1">
      <c r="A2966" s="52" t="s">
        <v>307</v>
      </c>
      <c r="B2966" s="53">
        <v>2018</v>
      </c>
      <c r="C2966" s="52" t="s">
        <v>122</v>
      </c>
      <c r="D2966" s="54">
        <v>5</v>
      </c>
      <c r="E2966" s="55">
        <v>365096.6</v>
      </c>
      <c r="F2966" s="55">
        <v>0</v>
      </c>
      <c r="G2966" s="55">
        <v>365096.6</v>
      </c>
      <c r="H2966" s="55">
        <v>3082164.5</v>
      </c>
      <c r="I2966" s="55">
        <v>50429.8</v>
      </c>
      <c r="J2966" s="55">
        <v>3132594.3</v>
      </c>
      <c r="K2966" s="55">
        <v>891637.7</v>
      </c>
      <c r="L2966" s="55">
        <v>61446.7</v>
      </c>
      <c r="M2966" s="55">
        <v>218188</v>
      </c>
      <c r="N2966" s="55">
        <v>64707.4</v>
      </c>
    </row>
    <row r="2967" spans="1:14" ht="10.050000000000001" hidden="1" customHeight="1">
      <c r="A2967" s="52" t="s">
        <v>315</v>
      </c>
      <c r="B2967" s="53">
        <v>2018</v>
      </c>
      <c r="C2967" s="52" t="s">
        <v>122</v>
      </c>
      <c r="D2967" s="54">
        <v>5</v>
      </c>
      <c r="E2967" s="55">
        <v>1024.4000000000001</v>
      </c>
      <c r="F2967" s="55">
        <v>0</v>
      </c>
      <c r="G2967" s="55">
        <v>1024.4000000000001</v>
      </c>
      <c r="H2967" s="55">
        <v>31482</v>
      </c>
      <c r="I2967" s="55">
        <v>16.899999999999999</v>
      </c>
      <c r="J2967" s="55">
        <v>31498.9</v>
      </c>
      <c r="K2967" s="55">
        <v>919.2</v>
      </c>
      <c r="L2967" s="55">
        <v>250.9</v>
      </c>
      <c r="M2967" s="55">
        <v>740.5</v>
      </c>
      <c r="N2967" s="55">
        <v>7.8</v>
      </c>
    </row>
    <row r="2968" spans="1:14" ht="10.050000000000001" hidden="1" customHeight="1">
      <c r="A2968" s="52" t="s">
        <v>311</v>
      </c>
      <c r="B2968" s="53">
        <v>2018</v>
      </c>
      <c r="C2968" s="52" t="s">
        <v>122</v>
      </c>
      <c r="D2968" s="54">
        <v>5</v>
      </c>
      <c r="E2968" s="55">
        <v>0</v>
      </c>
      <c r="F2968" s="55">
        <v>0</v>
      </c>
      <c r="G2968" s="55">
        <v>0</v>
      </c>
      <c r="H2968" s="55">
        <v>325.7</v>
      </c>
      <c r="I2968" s="55">
        <v>0</v>
      </c>
      <c r="J2968" s="55">
        <v>325.7</v>
      </c>
      <c r="K2968" s="55">
        <v>31.5</v>
      </c>
      <c r="L2968" s="55">
        <v>0</v>
      </c>
      <c r="M2968" s="55">
        <v>0</v>
      </c>
      <c r="N2968" s="55">
        <v>0</v>
      </c>
    </row>
    <row r="2969" spans="1:14" ht="10.050000000000001" hidden="1" customHeight="1">
      <c r="A2969" s="52" t="s">
        <v>173</v>
      </c>
      <c r="B2969" s="53">
        <v>2018</v>
      </c>
      <c r="C2969" s="52" t="s">
        <v>122</v>
      </c>
      <c r="D2969" s="54">
        <v>5</v>
      </c>
      <c r="E2969" s="55">
        <v>215915.7</v>
      </c>
      <c r="F2969" s="55">
        <v>774.3</v>
      </c>
      <c r="G2969" s="55">
        <v>216690</v>
      </c>
      <c r="H2969" s="55">
        <v>1853222.5</v>
      </c>
      <c r="I2969" s="55">
        <v>26754.2</v>
      </c>
      <c r="J2969" s="55">
        <v>1879976.7</v>
      </c>
      <c r="K2969" s="55">
        <v>104297.8</v>
      </c>
      <c r="L2969" s="55">
        <v>15987.7</v>
      </c>
      <c r="M2969" s="55">
        <v>107032.7</v>
      </c>
      <c r="N2969" s="55">
        <v>20199.2</v>
      </c>
    </row>
    <row r="2970" spans="1:14" ht="10.050000000000001" customHeight="1">
      <c r="A2970" s="52" t="s">
        <v>309</v>
      </c>
      <c r="B2970" s="53">
        <v>2018</v>
      </c>
      <c r="C2970" s="52" t="s">
        <v>122</v>
      </c>
      <c r="D2970" s="54">
        <v>5</v>
      </c>
      <c r="E2970" s="55">
        <v>1811.9</v>
      </c>
      <c r="F2970" s="55">
        <v>0</v>
      </c>
      <c r="G2970" s="55">
        <v>1811.9</v>
      </c>
      <c r="H2970" s="55">
        <v>45953.5</v>
      </c>
      <c r="I2970" s="55">
        <v>0</v>
      </c>
      <c r="J2970" s="55">
        <v>45953.5</v>
      </c>
      <c r="K2970" s="55">
        <v>1378.5</v>
      </c>
      <c r="L2970" s="55">
        <v>0</v>
      </c>
      <c r="M2970" s="55">
        <v>1807.3</v>
      </c>
      <c r="N2970" s="55">
        <v>0</v>
      </c>
    </row>
    <row r="2971" spans="1:14" ht="10.050000000000001" hidden="1" customHeight="1">
      <c r="A2971" s="52" t="s">
        <v>316</v>
      </c>
      <c r="B2971" s="53">
        <v>2018</v>
      </c>
      <c r="C2971" s="52" t="s">
        <v>122</v>
      </c>
      <c r="D2971" s="54">
        <v>5</v>
      </c>
      <c r="E2971" s="55">
        <v>502.5</v>
      </c>
      <c r="F2971" s="55">
        <v>0</v>
      </c>
      <c r="G2971" s="55">
        <v>502.5</v>
      </c>
      <c r="H2971" s="55">
        <v>22886.9</v>
      </c>
      <c r="I2971" s="55">
        <v>180.2</v>
      </c>
      <c r="J2971" s="55">
        <v>23067.1</v>
      </c>
      <c r="K2971" s="55">
        <v>975.4</v>
      </c>
      <c r="L2971" s="55">
        <v>0</v>
      </c>
      <c r="M2971" s="55">
        <v>220</v>
      </c>
      <c r="N2971" s="55">
        <v>49.9</v>
      </c>
    </row>
    <row r="2972" spans="1:14" ht="10.050000000000001" hidden="1" customHeight="1">
      <c r="A2972" s="52" t="s">
        <v>310</v>
      </c>
      <c r="B2972" s="53">
        <v>2018</v>
      </c>
      <c r="C2972" s="52" t="s">
        <v>122</v>
      </c>
      <c r="D2972" s="54">
        <v>5</v>
      </c>
      <c r="E2972" s="55">
        <v>881.5</v>
      </c>
      <c r="F2972" s="55">
        <v>0</v>
      </c>
      <c r="G2972" s="55">
        <v>881.5</v>
      </c>
      <c r="H2972" s="55">
        <v>11000.4</v>
      </c>
      <c r="I2972" s="55">
        <v>667.2</v>
      </c>
      <c r="J2972" s="55">
        <v>11667.6</v>
      </c>
      <c r="K2972" s="55">
        <v>688.2</v>
      </c>
      <c r="L2972" s="55">
        <v>61.5</v>
      </c>
      <c r="M2972" s="55">
        <v>312.89999999999998</v>
      </c>
      <c r="N2972" s="55">
        <v>292.2</v>
      </c>
    </row>
    <row r="2973" spans="1:14" ht="10.050000000000001" hidden="1" customHeight="1">
      <c r="A2973" s="52" t="s">
        <v>308</v>
      </c>
      <c r="B2973" s="53">
        <v>2018</v>
      </c>
      <c r="C2973" s="52" t="s">
        <v>122</v>
      </c>
      <c r="D2973" s="54">
        <v>5</v>
      </c>
      <c r="E2973" s="55">
        <v>3136.7</v>
      </c>
      <c r="F2973" s="55">
        <v>0</v>
      </c>
      <c r="G2973" s="55">
        <v>3136.7</v>
      </c>
      <c r="H2973" s="55">
        <v>40309</v>
      </c>
      <c r="I2973" s="55">
        <v>384.1</v>
      </c>
      <c r="J2973" s="55">
        <v>40693.1</v>
      </c>
      <c r="K2973" s="55">
        <v>3022.1</v>
      </c>
      <c r="L2973" s="55">
        <v>101.2</v>
      </c>
      <c r="M2973" s="55">
        <v>2432</v>
      </c>
      <c r="N2973" s="55">
        <v>317.89999999999998</v>
      </c>
    </row>
    <row r="2974" spans="1:14" ht="10.050000000000001" hidden="1" customHeight="1">
      <c r="A2974" s="52" t="s">
        <v>174</v>
      </c>
      <c r="B2974" s="53">
        <v>2018</v>
      </c>
      <c r="C2974" s="52" t="s">
        <v>122</v>
      </c>
      <c r="D2974" s="54">
        <v>5</v>
      </c>
      <c r="E2974" s="55">
        <v>15802.9</v>
      </c>
      <c r="F2974" s="55">
        <v>84.3</v>
      </c>
      <c r="G2974" s="55">
        <v>15887.2</v>
      </c>
      <c r="H2974" s="55">
        <v>84005.2</v>
      </c>
      <c r="I2974" s="55">
        <v>8585.2999999999993</v>
      </c>
      <c r="J2974" s="55">
        <v>92590.5</v>
      </c>
      <c r="K2974" s="55">
        <v>36700.800000000003</v>
      </c>
      <c r="L2974" s="55">
        <v>1744.1</v>
      </c>
      <c r="M2974" s="55">
        <v>7516.8</v>
      </c>
      <c r="N2974" s="55">
        <v>9004.7000000000007</v>
      </c>
    </row>
    <row r="2975" spans="1:14" ht="10.050000000000001" hidden="1" customHeight="1">
      <c r="A2975" s="52" t="s">
        <v>314</v>
      </c>
      <c r="B2975" s="53">
        <v>2018</v>
      </c>
      <c r="C2975" s="52" t="s">
        <v>122</v>
      </c>
      <c r="D2975" s="54">
        <v>6</v>
      </c>
      <c r="E2975" s="55">
        <v>0</v>
      </c>
      <c r="F2975" s="55">
        <v>0</v>
      </c>
      <c r="G2975" s="55">
        <v>0</v>
      </c>
      <c r="H2975" s="55">
        <v>70.5</v>
      </c>
      <c r="I2975" s="55">
        <v>0</v>
      </c>
      <c r="J2975" s="55">
        <v>70.5</v>
      </c>
      <c r="K2975" s="55">
        <v>7.9</v>
      </c>
      <c r="L2975" s="55">
        <v>4.4000000000000004</v>
      </c>
      <c r="M2975" s="55">
        <v>0</v>
      </c>
      <c r="N2975" s="55">
        <v>0</v>
      </c>
    </row>
    <row r="2976" spans="1:14" ht="10.050000000000001" hidden="1" customHeight="1">
      <c r="A2976" s="52" t="s">
        <v>306</v>
      </c>
      <c r="B2976" s="53">
        <v>2018</v>
      </c>
      <c r="C2976" s="52" t="s">
        <v>122</v>
      </c>
      <c r="D2976" s="54">
        <v>6</v>
      </c>
      <c r="E2976" s="55">
        <v>7851.2</v>
      </c>
      <c r="F2976" s="55">
        <v>1486.7</v>
      </c>
      <c r="G2976" s="55">
        <v>9337.9</v>
      </c>
      <c r="H2976" s="55">
        <v>85798.8</v>
      </c>
      <c r="I2976" s="55">
        <v>994.2</v>
      </c>
      <c r="J2976" s="55">
        <v>86793</v>
      </c>
      <c r="K2976" s="55">
        <v>2890.6</v>
      </c>
      <c r="L2976" s="55">
        <v>875.7</v>
      </c>
      <c r="M2976" s="55">
        <v>1969.1</v>
      </c>
      <c r="N2976" s="55">
        <v>1742.8</v>
      </c>
    </row>
    <row r="2977" spans="1:14" ht="10.050000000000001" hidden="1" customHeight="1">
      <c r="A2977" s="52" t="s">
        <v>172</v>
      </c>
      <c r="B2977" s="53">
        <v>2018</v>
      </c>
      <c r="C2977" s="52" t="s">
        <v>122</v>
      </c>
      <c r="D2977" s="54">
        <v>6</v>
      </c>
      <c r="E2977" s="55">
        <v>60623.8</v>
      </c>
      <c r="F2977" s="55">
        <v>23.1</v>
      </c>
      <c r="G2977" s="55">
        <v>60646.9</v>
      </c>
      <c r="H2977" s="55">
        <v>336514.6</v>
      </c>
      <c r="I2977" s="55">
        <v>4591.1000000000004</v>
      </c>
      <c r="J2977" s="55">
        <v>341105.7</v>
      </c>
      <c r="K2977" s="55">
        <v>54826.6</v>
      </c>
      <c r="L2977" s="55">
        <v>12440</v>
      </c>
      <c r="M2977" s="55">
        <v>12681.5</v>
      </c>
      <c r="N2977" s="55">
        <v>2392.5</v>
      </c>
    </row>
    <row r="2978" spans="1:14" ht="10.050000000000001" hidden="1" customHeight="1">
      <c r="A2978" s="52" t="s">
        <v>171</v>
      </c>
      <c r="B2978" s="53">
        <v>2018</v>
      </c>
      <c r="C2978" s="52" t="s">
        <v>122</v>
      </c>
      <c r="D2978" s="54">
        <v>6</v>
      </c>
      <c r="E2978" s="55">
        <v>914372.9</v>
      </c>
      <c r="F2978" s="55">
        <v>7608.9</v>
      </c>
      <c r="G2978" s="55">
        <v>921981.80000000098</v>
      </c>
      <c r="H2978" s="55">
        <v>2179881.5</v>
      </c>
      <c r="I2978" s="55">
        <v>43956.800000000003</v>
      </c>
      <c r="J2978" s="55">
        <v>2223838.2999999998</v>
      </c>
      <c r="K2978" s="55">
        <v>179037</v>
      </c>
      <c r="L2978" s="55">
        <v>194824.8</v>
      </c>
      <c r="M2978" s="55">
        <v>402711</v>
      </c>
      <c r="N2978" s="55">
        <v>85077.2</v>
      </c>
    </row>
    <row r="2979" spans="1:14" ht="10.050000000000001" hidden="1" customHeight="1">
      <c r="A2979" s="52" t="s">
        <v>300</v>
      </c>
      <c r="B2979" s="53">
        <v>2018</v>
      </c>
      <c r="C2979" s="52" t="s">
        <v>122</v>
      </c>
      <c r="D2979" s="54">
        <v>6</v>
      </c>
      <c r="E2979" s="55">
        <v>1679.2</v>
      </c>
      <c r="F2979" s="55">
        <v>708.1</v>
      </c>
      <c r="G2979" s="55">
        <v>2387.3000000000002</v>
      </c>
      <c r="H2979" s="55">
        <v>8487.7999999999993</v>
      </c>
      <c r="I2979" s="55">
        <v>182.7</v>
      </c>
      <c r="J2979" s="55">
        <v>8670.5</v>
      </c>
      <c r="K2979" s="55">
        <v>6.9</v>
      </c>
      <c r="L2979" s="55">
        <v>12.8</v>
      </c>
      <c r="M2979" s="55">
        <v>12.8</v>
      </c>
      <c r="N2979" s="55">
        <v>5</v>
      </c>
    </row>
    <row r="2980" spans="1:14" ht="10.050000000000001" hidden="1" customHeight="1">
      <c r="A2980" s="52" t="s">
        <v>307</v>
      </c>
      <c r="B2980" s="53">
        <v>2018</v>
      </c>
      <c r="C2980" s="52" t="s">
        <v>122</v>
      </c>
      <c r="D2980" s="54">
        <v>6</v>
      </c>
      <c r="E2980" s="55">
        <v>573977.59999999998</v>
      </c>
      <c r="F2980" s="55">
        <v>0</v>
      </c>
      <c r="G2980" s="55">
        <v>573977.59999999998</v>
      </c>
      <c r="H2980" s="55">
        <v>2340786.2000000002</v>
      </c>
      <c r="I2980" s="55">
        <v>36257.699999999997</v>
      </c>
      <c r="J2980" s="55">
        <v>2377043.9</v>
      </c>
      <c r="K2980" s="55">
        <v>499803</v>
      </c>
      <c r="L2980" s="55">
        <v>70037</v>
      </c>
      <c r="M2980" s="55">
        <v>376218.2</v>
      </c>
      <c r="N2980" s="55">
        <v>86264.5</v>
      </c>
    </row>
    <row r="2981" spans="1:14" ht="10.050000000000001" hidden="1" customHeight="1">
      <c r="A2981" s="52" t="s">
        <v>315</v>
      </c>
      <c r="B2981" s="53">
        <v>2018</v>
      </c>
      <c r="C2981" s="52" t="s">
        <v>122</v>
      </c>
      <c r="D2981" s="54">
        <v>6</v>
      </c>
      <c r="E2981" s="55">
        <v>802.3</v>
      </c>
      <c r="F2981" s="55">
        <v>0</v>
      </c>
      <c r="G2981" s="55">
        <v>802.3</v>
      </c>
      <c r="H2981" s="55">
        <v>28277.1</v>
      </c>
      <c r="I2981" s="55">
        <v>16.899999999999999</v>
      </c>
      <c r="J2981" s="55">
        <v>28294</v>
      </c>
      <c r="K2981" s="55">
        <v>371.8</v>
      </c>
      <c r="L2981" s="55">
        <v>167.9</v>
      </c>
      <c r="M2981" s="55">
        <v>461</v>
      </c>
      <c r="N2981" s="55">
        <v>254.4</v>
      </c>
    </row>
    <row r="2982" spans="1:14" ht="10.050000000000001" hidden="1" customHeight="1">
      <c r="A2982" s="52" t="s">
        <v>311</v>
      </c>
      <c r="B2982" s="53">
        <v>2018</v>
      </c>
      <c r="C2982" s="52" t="s">
        <v>122</v>
      </c>
      <c r="D2982" s="54">
        <v>6</v>
      </c>
      <c r="E2982" s="55">
        <v>86.1</v>
      </c>
      <c r="F2982" s="55">
        <v>0</v>
      </c>
      <c r="G2982" s="55">
        <v>86.1</v>
      </c>
      <c r="H2982" s="55">
        <v>282.8</v>
      </c>
      <c r="I2982" s="55">
        <v>0</v>
      </c>
      <c r="J2982" s="55">
        <v>282.8</v>
      </c>
      <c r="K2982" s="55">
        <v>21.3</v>
      </c>
      <c r="L2982" s="55">
        <v>0</v>
      </c>
      <c r="M2982" s="55">
        <v>0.3</v>
      </c>
      <c r="N2982" s="55">
        <v>9.9</v>
      </c>
    </row>
    <row r="2983" spans="1:14" ht="10.050000000000001" hidden="1" customHeight="1">
      <c r="A2983" s="52" t="s">
        <v>173</v>
      </c>
      <c r="B2983" s="53">
        <v>2018</v>
      </c>
      <c r="C2983" s="52" t="s">
        <v>122</v>
      </c>
      <c r="D2983" s="54">
        <v>6</v>
      </c>
      <c r="E2983" s="55">
        <v>133371.29999999999</v>
      </c>
      <c r="F2983" s="55">
        <v>3264.2</v>
      </c>
      <c r="G2983" s="55">
        <v>136635.5</v>
      </c>
      <c r="H2983" s="55">
        <v>1202724.6000000001</v>
      </c>
      <c r="I2983" s="55">
        <v>13539.7</v>
      </c>
      <c r="J2983" s="55">
        <v>1216264.3</v>
      </c>
      <c r="K2983" s="55">
        <v>390655.4</v>
      </c>
      <c r="L2983" s="55">
        <v>366622.2</v>
      </c>
      <c r="M2983" s="55">
        <v>43229</v>
      </c>
      <c r="N2983" s="55">
        <v>42812.4</v>
      </c>
    </row>
    <row r="2984" spans="1:14" ht="10.050000000000001" customHeight="1">
      <c r="A2984" s="52" t="s">
        <v>309</v>
      </c>
      <c r="B2984" s="53">
        <v>2018</v>
      </c>
      <c r="C2984" s="52" t="s">
        <v>122</v>
      </c>
      <c r="D2984" s="54">
        <v>6</v>
      </c>
      <c r="E2984" s="55">
        <v>433</v>
      </c>
      <c r="F2984" s="55">
        <v>1981.6</v>
      </c>
      <c r="G2984" s="55">
        <v>2414.6</v>
      </c>
      <c r="H2984" s="55">
        <v>59101.1</v>
      </c>
      <c r="I2984" s="55">
        <v>0</v>
      </c>
      <c r="J2984" s="55">
        <v>59101.1</v>
      </c>
      <c r="K2984" s="55">
        <v>933.4</v>
      </c>
      <c r="L2984" s="55">
        <v>0</v>
      </c>
      <c r="M2984" s="55">
        <v>433</v>
      </c>
      <c r="N2984" s="55">
        <v>12.1</v>
      </c>
    </row>
    <row r="2985" spans="1:14" ht="10.050000000000001" hidden="1" customHeight="1">
      <c r="A2985" s="52" t="s">
        <v>316</v>
      </c>
      <c r="B2985" s="53">
        <v>2018</v>
      </c>
      <c r="C2985" s="52" t="s">
        <v>122</v>
      </c>
      <c r="D2985" s="54">
        <v>6</v>
      </c>
      <c r="E2985" s="55">
        <v>1153</v>
      </c>
      <c r="F2985" s="55">
        <v>0</v>
      </c>
      <c r="G2985" s="55">
        <v>1153</v>
      </c>
      <c r="H2985" s="55">
        <v>20530.7</v>
      </c>
      <c r="I2985" s="55">
        <v>84</v>
      </c>
      <c r="J2985" s="55">
        <v>20614.7</v>
      </c>
      <c r="K2985" s="55">
        <v>520.70000000000005</v>
      </c>
      <c r="L2985" s="55">
        <v>98.2</v>
      </c>
      <c r="M2985" s="55">
        <v>242.5</v>
      </c>
      <c r="N2985" s="55">
        <v>310.39999999999998</v>
      </c>
    </row>
    <row r="2986" spans="1:14" ht="10.050000000000001" hidden="1" customHeight="1">
      <c r="A2986" s="52" t="s">
        <v>310</v>
      </c>
      <c r="B2986" s="53">
        <v>2018</v>
      </c>
      <c r="C2986" s="52" t="s">
        <v>122</v>
      </c>
      <c r="D2986" s="54">
        <v>6</v>
      </c>
      <c r="E2986" s="55">
        <v>883.5</v>
      </c>
      <c r="F2986" s="55">
        <v>1541.7</v>
      </c>
      <c r="G2986" s="55">
        <v>2425.1999999999998</v>
      </c>
      <c r="H2986" s="55">
        <v>7922.8</v>
      </c>
      <c r="I2986" s="55">
        <v>530.29999999999995</v>
      </c>
      <c r="J2986" s="55">
        <v>8453.1</v>
      </c>
      <c r="K2986" s="55">
        <v>352.8</v>
      </c>
      <c r="L2986" s="55">
        <v>291.3</v>
      </c>
      <c r="M2986" s="55">
        <v>268.10000000000002</v>
      </c>
      <c r="N2986" s="55">
        <v>358.6</v>
      </c>
    </row>
    <row r="2987" spans="1:14" ht="10.050000000000001" hidden="1" customHeight="1">
      <c r="A2987" s="52" t="s">
        <v>308</v>
      </c>
      <c r="B2987" s="53">
        <v>2018</v>
      </c>
      <c r="C2987" s="52" t="s">
        <v>122</v>
      </c>
      <c r="D2987" s="54">
        <v>6</v>
      </c>
      <c r="E2987" s="55">
        <v>3748.2</v>
      </c>
      <c r="F2987" s="55">
        <v>529.70000000000005</v>
      </c>
      <c r="G2987" s="55">
        <v>4277.8999999999996</v>
      </c>
      <c r="H2987" s="55">
        <v>26974.1</v>
      </c>
      <c r="I2987" s="55">
        <v>384.1</v>
      </c>
      <c r="J2987" s="55">
        <v>27358.2</v>
      </c>
      <c r="K2987" s="55">
        <v>1488.2</v>
      </c>
      <c r="L2987" s="55">
        <v>935.9</v>
      </c>
      <c r="M2987" s="55">
        <v>1570.8</v>
      </c>
      <c r="N2987" s="55">
        <v>899.2</v>
      </c>
    </row>
    <row r="2988" spans="1:14" ht="10.050000000000001" hidden="1" customHeight="1">
      <c r="A2988" s="52" t="s">
        <v>174</v>
      </c>
      <c r="B2988" s="53">
        <v>2018</v>
      </c>
      <c r="C2988" s="52" t="s">
        <v>122</v>
      </c>
      <c r="D2988" s="54">
        <v>6</v>
      </c>
      <c r="E2988" s="55">
        <v>21402.799999999999</v>
      </c>
      <c r="F2988" s="55">
        <v>201.3</v>
      </c>
      <c r="G2988" s="55">
        <v>21604.1</v>
      </c>
      <c r="H2988" s="55">
        <v>49449.8</v>
      </c>
      <c r="I2988" s="55">
        <v>6261.2</v>
      </c>
      <c r="J2988" s="55">
        <v>55711</v>
      </c>
      <c r="K2988" s="55">
        <v>19037.900000000001</v>
      </c>
      <c r="L2988" s="55">
        <v>2154.8000000000002</v>
      </c>
      <c r="M2988" s="55">
        <v>9471.7999999999993</v>
      </c>
      <c r="N2988" s="55">
        <v>10550.2</v>
      </c>
    </row>
    <row r="2989" spans="1:14" ht="10.050000000000001" hidden="1" customHeight="1">
      <c r="A2989" s="52" t="s">
        <v>314</v>
      </c>
      <c r="B2989" s="53">
        <v>2018</v>
      </c>
      <c r="C2989" s="52" t="s">
        <v>123</v>
      </c>
      <c r="D2989" s="54">
        <v>7</v>
      </c>
      <c r="E2989" s="55">
        <v>15.8</v>
      </c>
      <c r="F2989" s="55">
        <v>0</v>
      </c>
      <c r="G2989" s="55">
        <v>15.8</v>
      </c>
      <c r="H2989" s="55">
        <v>62.6</v>
      </c>
      <c r="I2989" s="55">
        <v>0</v>
      </c>
      <c r="J2989" s="55">
        <v>62.6</v>
      </c>
      <c r="K2989" s="55">
        <v>26</v>
      </c>
      <c r="L2989" s="55">
        <v>18.100000000000001</v>
      </c>
      <c r="M2989" s="55">
        <v>0</v>
      </c>
      <c r="N2989" s="55">
        <v>0</v>
      </c>
    </row>
    <row r="2990" spans="1:14" ht="10.050000000000001" hidden="1" customHeight="1">
      <c r="A2990" s="52" t="s">
        <v>306</v>
      </c>
      <c r="B2990" s="53">
        <v>2018</v>
      </c>
      <c r="C2990" s="52" t="s">
        <v>123</v>
      </c>
      <c r="D2990" s="54">
        <v>7</v>
      </c>
      <c r="E2990" s="55">
        <v>132777.5</v>
      </c>
      <c r="F2990" s="55">
        <v>1974.4</v>
      </c>
      <c r="G2990" s="55">
        <v>134751.9</v>
      </c>
      <c r="H2990" s="55">
        <v>200072.5</v>
      </c>
      <c r="I2990" s="55">
        <v>2501</v>
      </c>
      <c r="J2990" s="55">
        <v>202573.5</v>
      </c>
      <c r="K2990" s="55">
        <v>48264.1</v>
      </c>
      <c r="L2990" s="55">
        <v>57316.7</v>
      </c>
      <c r="M2990" s="55">
        <v>11389.1</v>
      </c>
      <c r="N2990" s="55">
        <v>487.5</v>
      </c>
    </row>
    <row r="2991" spans="1:14" ht="10.050000000000001" hidden="1" customHeight="1">
      <c r="A2991" s="52" t="s">
        <v>172</v>
      </c>
      <c r="B2991" s="53">
        <v>2018</v>
      </c>
      <c r="C2991" s="52" t="s">
        <v>123</v>
      </c>
      <c r="D2991" s="54">
        <v>7</v>
      </c>
      <c r="E2991" s="55">
        <v>742025.1</v>
      </c>
      <c r="F2991" s="55">
        <v>32687.200000000001</v>
      </c>
      <c r="G2991" s="55">
        <v>774712.3</v>
      </c>
      <c r="H2991" s="55">
        <v>1015557.1</v>
      </c>
      <c r="I2991" s="55">
        <v>14671.9</v>
      </c>
      <c r="J2991" s="55">
        <v>1030229</v>
      </c>
      <c r="K2991" s="55">
        <v>461777.1</v>
      </c>
      <c r="L2991" s="55">
        <v>470388</v>
      </c>
      <c r="M2991" s="55">
        <v>62260.2</v>
      </c>
      <c r="N2991" s="55">
        <v>668</v>
      </c>
    </row>
    <row r="2992" spans="1:14" ht="10.050000000000001" hidden="1" customHeight="1">
      <c r="A2992" s="52" t="s">
        <v>171</v>
      </c>
      <c r="B2992" s="53">
        <v>2018</v>
      </c>
      <c r="C2992" s="52" t="s">
        <v>123</v>
      </c>
      <c r="D2992" s="54">
        <v>7</v>
      </c>
      <c r="E2992" s="55">
        <v>14123679.4</v>
      </c>
      <c r="F2992" s="55">
        <v>129079.3</v>
      </c>
      <c r="G2992" s="55">
        <v>14252758.699999999</v>
      </c>
      <c r="H2992" s="55">
        <v>13888207</v>
      </c>
      <c r="I2992" s="55">
        <v>133291</v>
      </c>
      <c r="J2992" s="55">
        <v>14021498</v>
      </c>
      <c r="K2992" s="55">
        <v>6237709.9000000004</v>
      </c>
      <c r="L2992" s="55">
        <v>7880836.0000000102</v>
      </c>
      <c r="M2992" s="55">
        <v>1778201.6000000001</v>
      </c>
      <c r="N2992" s="55">
        <v>44530.9</v>
      </c>
    </row>
    <row r="2993" spans="1:14" ht="10.050000000000001" hidden="1" customHeight="1">
      <c r="A2993" s="52" t="s">
        <v>300</v>
      </c>
      <c r="B2993" s="53">
        <v>2018</v>
      </c>
      <c r="C2993" s="52" t="s">
        <v>123</v>
      </c>
      <c r="D2993" s="54">
        <v>7</v>
      </c>
      <c r="E2993" s="55">
        <v>3300.3</v>
      </c>
      <c r="F2993" s="55">
        <v>103.2</v>
      </c>
      <c r="G2993" s="55">
        <v>3403.5</v>
      </c>
      <c r="H2993" s="55">
        <v>11556.5</v>
      </c>
      <c r="I2993" s="55">
        <v>260.10000000000002</v>
      </c>
      <c r="J2993" s="55">
        <v>11816.6</v>
      </c>
      <c r="K2993" s="55">
        <v>212.2</v>
      </c>
      <c r="L2993" s="55">
        <v>213.1</v>
      </c>
      <c r="M2993" s="55">
        <v>0</v>
      </c>
      <c r="N2993" s="55">
        <v>7.8</v>
      </c>
    </row>
    <row r="2994" spans="1:14" ht="10.050000000000001" hidden="1" customHeight="1">
      <c r="A2994" s="52" t="s">
        <v>307</v>
      </c>
      <c r="B2994" s="53">
        <v>2018</v>
      </c>
      <c r="C2994" s="52" t="s">
        <v>123</v>
      </c>
      <c r="D2994" s="54">
        <v>7</v>
      </c>
      <c r="E2994" s="55">
        <v>214402.3</v>
      </c>
      <c r="F2994" s="55">
        <v>0</v>
      </c>
      <c r="G2994" s="55">
        <v>214402.3</v>
      </c>
      <c r="H2994" s="55">
        <v>1776404.2</v>
      </c>
      <c r="I2994" s="55">
        <v>44985.599999999999</v>
      </c>
      <c r="J2994" s="55">
        <v>1821389.8</v>
      </c>
      <c r="K2994" s="55">
        <v>406596.3</v>
      </c>
      <c r="L2994" s="55">
        <v>43956</v>
      </c>
      <c r="M2994" s="55">
        <v>96095.2</v>
      </c>
      <c r="N2994" s="55">
        <v>39718.300000000003</v>
      </c>
    </row>
    <row r="2995" spans="1:14" ht="10.050000000000001" hidden="1" customHeight="1">
      <c r="A2995" s="52" t="s">
        <v>315</v>
      </c>
      <c r="B2995" s="53">
        <v>2018</v>
      </c>
      <c r="C2995" s="52" t="s">
        <v>123</v>
      </c>
      <c r="D2995" s="54">
        <v>7</v>
      </c>
      <c r="E2995" s="55">
        <v>214.5</v>
      </c>
      <c r="F2995" s="55">
        <v>0</v>
      </c>
      <c r="G2995" s="55">
        <v>214.5</v>
      </c>
      <c r="H2995" s="55">
        <v>23709.1</v>
      </c>
      <c r="I2995" s="55">
        <v>16.899999999999999</v>
      </c>
      <c r="J2995" s="55">
        <v>23726</v>
      </c>
      <c r="K2995" s="55">
        <v>391.3</v>
      </c>
      <c r="L2995" s="55">
        <v>20.5</v>
      </c>
      <c r="M2995" s="55">
        <v>1</v>
      </c>
      <c r="N2995" s="55">
        <v>0</v>
      </c>
    </row>
    <row r="2996" spans="1:14" ht="10.050000000000001" hidden="1" customHeight="1">
      <c r="A2996" s="52" t="s">
        <v>311</v>
      </c>
      <c r="B2996" s="53">
        <v>2018</v>
      </c>
      <c r="C2996" s="52" t="s">
        <v>123</v>
      </c>
      <c r="D2996" s="54">
        <v>7</v>
      </c>
      <c r="E2996" s="55">
        <v>593.5</v>
      </c>
      <c r="F2996" s="55">
        <v>0</v>
      </c>
      <c r="G2996" s="55">
        <v>593.5</v>
      </c>
      <c r="H2996" s="55">
        <v>840.3</v>
      </c>
      <c r="I2996" s="55">
        <v>0</v>
      </c>
      <c r="J2996" s="55">
        <v>840.3</v>
      </c>
      <c r="K2996" s="55">
        <v>160.69999999999999</v>
      </c>
      <c r="L2996" s="55">
        <v>154</v>
      </c>
      <c r="M2996" s="55">
        <v>0</v>
      </c>
      <c r="N2996" s="55">
        <v>14.7</v>
      </c>
    </row>
    <row r="2997" spans="1:14" ht="10.050000000000001" hidden="1" customHeight="1">
      <c r="A2997" s="52" t="s">
        <v>173</v>
      </c>
      <c r="B2997" s="53">
        <v>2018</v>
      </c>
      <c r="C2997" s="52" t="s">
        <v>123</v>
      </c>
      <c r="D2997" s="54">
        <v>7</v>
      </c>
      <c r="E2997" s="55">
        <v>5800823</v>
      </c>
      <c r="F2997" s="55">
        <v>94190.600000000093</v>
      </c>
      <c r="G2997" s="55">
        <v>5895013.5999999996</v>
      </c>
      <c r="H2997" s="55">
        <v>6058227.2000000002</v>
      </c>
      <c r="I2997" s="55">
        <v>66473.899999999994</v>
      </c>
      <c r="J2997" s="55">
        <v>6124701.0999999996</v>
      </c>
      <c r="K2997" s="55">
        <v>1629711.4</v>
      </c>
      <c r="L2997" s="55">
        <v>2690673.7</v>
      </c>
      <c r="M2997" s="55">
        <v>1421459</v>
      </c>
      <c r="N2997" s="55">
        <v>24221.599999999999</v>
      </c>
    </row>
    <row r="2998" spans="1:14" ht="10.050000000000001" customHeight="1">
      <c r="A2998" s="52" t="s">
        <v>309</v>
      </c>
      <c r="B2998" s="53">
        <v>2018</v>
      </c>
      <c r="C2998" s="52" t="s">
        <v>123</v>
      </c>
      <c r="D2998" s="54">
        <v>7</v>
      </c>
      <c r="E2998" s="55">
        <v>457.4</v>
      </c>
      <c r="F2998" s="55">
        <v>0</v>
      </c>
      <c r="G2998" s="55">
        <v>457.4</v>
      </c>
      <c r="H2998" s="55">
        <v>46323</v>
      </c>
      <c r="I2998" s="55">
        <v>0</v>
      </c>
      <c r="J2998" s="55">
        <v>46323</v>
      </c>
      <c r="K2998" s="55">
        <v>362.9</v>
      </c>
      <c r="L2998" s="55">
        <v>0</v>
      </c>
      <c r="M2998" s="55">
        <v>0</v>
      </c>
      <c r="N2998" s="55">
        <v>0</v>
      </c>
    </row>
    <row r="2999" spans="1:14" ht="10.050000000000001" hidden="1" customHeight="1">
      <c r="A2999" s="52" t="s">
        <v>316</v>
      </c>
      <c r="B2999" s="53">
        <v>2018</v>
      </c>
      <c r="C2999" s="52" t="s">
        <v>123</v>
      </c>
      <c r="D2999" s="54">
        <v>7</v>
      </c>
      <c r="E2999" s="55">
        <v>81.400000000000006</v>
      </c>
      <c r="F2999" s="55">
        <v>0</v>
      </c>
      <c r="G2999" s="55">
        <v>81.400000000000006</v>
      </c>
      <c r="H2999" s="55">
        <v>18814.3</v>
      </c>
      <c r="I2999" s="55">
        <v>79.5</v>
      </c>
      <c r="J2999" s="55">
        <v>18893.8</v>
      </c>
      <c r="K2999" s="55">
        <v>510.9</v>
      </c>
      <c r="L2999" s="55">
        <v>17.5</v>
      </c>
      <c r="M2999" s="55">
        <v>24.3</v>
      </c>
      <c r="N2999" s="55">
        <v>3</v>
      </c>
    </row>
    <row r="3000" spans="1:14" ht="10.050000000000001" hidden="1" customHeight="1">
      <c r="A3000" s="52" t="s">
        <v>310</v>
      </c>
      <c r="B3000" s="53">
        <v>2018</v>
      </c>
      <c r="C3000" s="52" t="s">
        <v>123</v>
      </c>
      <c r="D3000" s="54">
        <v>7</v>
      </c>
      <c r="E3000" s="55">
        <v>15984.6</v>
      </c>
      <c r="F3000" s="55">
        <v>380.7</v>
      </c>
      <c r="G3000" s="55">
        <v>16365.3</v>
      </c>
      <c r="H3000" s="55">
        <v>20087.3</v>
      </c>
      <c r="I3000" s="55">
        <v>811.1</v>
      </c>
      <c r="J3000" s="55">
        <v>20898.400000000001</v>
      </c>
      <c r="K3000" s="55">
        <v>7947.6</v>
      </c>
      <c r="L3000" s="55">
        <v>8703.8000000000102</v>
      </c>
      <c r="M3000" s="55">
        <v>1071.2</v>
      </c>
      <c r="N3000" s="55">
        <v>37.5</v>
      </c>
    </row>
    <row r="3001" spans="1:14" ht="10.050000000000001" hidden="1" customHeight="1">
      <c r="A3001" s="52" t="s">
        <v>308</v>
      </c>
      <c r="B3001" s="53">
        <v>2018</v>
      </c>
      <c r="C3001" s="52" t="s">
        <v>123</v>
      </c>
      <c r="D3001" s="54">
        <v>7</v>
      </c>
      <c r="E3001" s="55">
        <v>678.5</v>
      </c>
      <c r="F3001" s="55">
        <v>0</v>
      </c>
      <c r="G3001" s="55">
        <v>678.5</v>
      </c>
      <c r="H3001" s="55">
        <v>19133</v>
      </c>
      <c r="I3001" s="55">
        <v>383.9</v>
      </c>
      <c r="J3001" s="55">
        <v>19516.900000000001</v>
      </c>
      <c r="K3001" s="55">
        <v>1172.0999999999999</v>
      </c>
      <c r="L3001" s="55">
        <v>0</v>
      </c>
      <c r="M3001" s="55">
        <v>312.3</v>
      </c>
      <c r="N3001" s="55">
        <v>3.7</v>
      </c>
    </row>
    <row r="3002" spans="1:14" ht="10.050000000000001" hidden="1" customHeight="1">
      <c r="A3002" s="52" t="s">
        <v>174</v>
      </c>
      <c r="B3002" s="53">
        <v>2018</v>
      </c>
      <c r="C3002" s="52" t="s">
        <v>123</v>
      </c>
      <c r="D3002" s="54">
        <v>7</v>
      </c>
      <c r="E3002" s="55">
        <v>272154.5</v>
      </c>
      <c r="F3002" s="55">
        <v>11282</v>
      </c>
      <c r="G3002" s="55">
        <v>283436.5</v>
      </c>
      <c r="H3002" s="55">
        <v>276160.8</v>
      </c>
      <c r="I3002" s="55">
        <v>16448.099999999999</v>
      </c>
      <c r="J3002" s="55">
        <v>292608.90000000002</v>
      </c>
      <c r="K3002" s="55">
        <v>139886</v>
      </c>
      <c r="L3002" s="55">
        <v>148007.20000000001</v>
      </c>
      <c r="M3002" s="55">
        <v>16795.900000000001</v>
      </c>
      <c r="N3002" s="55">
        <v>9246.2000000000007</v>
      </c>
    </row>
    <row r="3003" spans="1:14" ht="10.050000000000001" hidden="1" customHeight="1">
      <c r="A3003" s="52" t="s">
        <v>314</v>
      </c>
      <c r="B3003" s="53">
        <v>2018</v>
      </c>
      <c r="C3003" s="52" t="s">
        <v>123</v>
      </c>
      <c r="D3003" s="54">
        <v>8</v>
      </c>
      <c r="E3003" s="55">
        <v>0</v>
      </c>
      <c r="F3003" s="55">
        <v>0</v>
      </c>
      <c r="G3003" s="55">
        <v>0</v>
      </c>
      <c r="H3003" s="55">
        <v>83.1</v>
      </c>
      <c r="I3003" s="55">
        <v>0</v>
      </c>
      <c r="J3003" s="55">
        <v>83.1</v>
      </c>
      <c r="K3003" s="55">
        <v>26</v>
      </c>
      <c r="L3003" s="55">
        <v>0</v>
      </c>
      <c r="M3003" s="55">
        <v>0</v>
      </c>
      <c r="N3003" s="55">
        <v>0</v>
      </c>
    </row>
    <row r="3004" spans="1:14" ht="10.050000000000001" hidden="1" customHeight="1">
      <c r="A3004" s="52" t="s">
        <v>306</v>
      </c>
      <c r="B3004" s="53">
        <v>2018</v>
      </c>
      <c r="C3004" s="52" t="s">
        <v>123</v>
      </c>
      <c r="D3004" s="54">
        <v>8</v>
      </c>
      <c r="E3004" s="55">
        <v>41092.699999999997</v>
      </c>
      <c r="F3004" s="55">
        <v>1810.3</v>
      </c>
      <c r="G3004" s="55">
        <v>42903</v>
      </c>
      <c r="H3004" s="55">
        <v>221668.5</v>
      </c>
      <c r="I3004" s="55">
        <v>3166.9</v>
      </c>
      <c r="J3004" s="55">
        <v>224835.4</v>
      </c>
      <c r="K3004" s="55">
        <v>36953.800000000003</v>
      </c>
      <c r="L3004" s="55">
        <v>7683.7</v>
      </c>
      <c r="M3004" s="55">
        <v>18441.2</v>
      </c>
      <c r="N3004" s="55">
        <v>552.4</v>
      </c>
    </row>
    <row r="3005" spans="1:14" ht="10.050000000000001" hidden="1" customHeight="1">
      <c r="A3005" s="52" t="s">
        <v>172</v>
      </c>
      <c r="B3005" s="53">
        <v>2018</v>
      </c>
      <c r="C3005" s="52" t="s">
        <v>123</v>
      </c>
      <c r="D3005" s="54">
        <v>8</v>
      </c>
      <c r="E3005" s="55">
        <v>79292.399999999994</v>
      </c>
      <c r="F3005" s="55">
        <v>1057.3</v>
      </c>
      <c r="G3005" s="55">
        <v>80349.7</v>
      </c>
      <c r="H3005" s="55">
        <v>1023953</v>
      </c>
      <c r="I3005" s="55">
        <v>14186.6</v>
      </c>
      <c r="J3005" s="55">
        <v>1038139.6</v>
      </c>
      <c r="K3005" s="55">
        <v>426633.4</v>
      </c>
      <c r="L3005" s="55">
        <v>19636</v>
      </c>
      <c r="M3005" s="55">
        <v>40293.300000000003</v>
      </c>
      <c r="N3005" s="55">
        <v>14970.6</v>
      </c>
    </row>
    <row r="3006" spans="1:14" ht="10.050000000000001" hidden="1" customHeight="1">
      <c r="A3006" s="52" t="s">
        <v>171</v>
      </c>
      <c r="B3006" s="53">
        <v>2018</v>
      </c>
      <c r="C3006" s="52" t="s">
        <v>123</v>
      </c>
      <c r="D3006" s="54">
        <v>8</v>
      </c>
      <c r="E3006" s="55">
        <v>2825750.8</v>
      </c>
      <c r="F3006" s="55">
        <v>145656.79999999999</v>
      </c>
      <c r="G3006" s="55">
        <v>2971407.6</v>
      </c>
      <c r="H3006" s="55">
        <v>13929592.5</v>
      </c>
      <c r="I3006" s="55">
        <v>148803.5</v>
      </c>
      <c r="J3006" s="55">
        <v>14078396</v>
      </c>
      <c r="K3006" s="55">
        <v>4719921.5999999996</v>
      </c>
      <c r="L3006" s="55">
        <v>444714.9</v>
      </c>
      <c r="M3006" s="55">
        <v>1894549.2</v>
      </c>
      <c r="N3006" s="55">
        <v>61830.3</v>
      </c>
    </row>
    <row r="3007" spans="1:14" ht="10.050000000000001" hidden="1" customHeight="1">
      <c r="A3007" s="52" t="s">
        <v>300</v>
      </c>
      <c r="B3007" s="53">
        <v>2018</v>
      </c>
      <c r="C3007" s="52" t="s">
        <v>123</v>
      </c>
      <c r="D3007" s="54">
        <v>8</v>
      </c>
      <c r="E3007" s="55">
        <v>1877</v>
      </c>
      <c r="F3007" s="55">
        <v>314.8</v>
      </c>
      <c r="G3007" s="55">
        <v>2191.8000000000002</v>
      </c>
      <c r="H3007" s="55">
        <v>12507.5</v>
      </c>
      <c r="I3007" s="55">
        <v>450.9</v>
      </c>
      <c r="J3007" s="55">
        <v>12958.4</v>
      </c>
      <c r="K3007" s="55">
        <v>142.19999999999999</v>
      </c>
      <c r="L3007" s="55">
        <v>76.8</v>
      </c>
      <c r="M3007" s="55">
        <v>66</v>
      </c>
      <c r="N3007" s="55">
        <v>14.4</v>
      </c>
    </row>
    <row r="3008" spans="1:14" ht="10.050000000000001" hidden="1" customHeight="1">
      <c r="A3008" s="52" t="s">
        <v>307</v>
      </c>
      <c r="B3008" s="53">
        <v>2018</v>
      </c>
      <c r="C3008" s="52" t="s">
        <v>123</v>
      </c>
      <c r="D3008" s="54">
        <v>8</v>
      </c>
      <c r="E3008" s="55">
        <v>306986.2</v>
      </c>
      <c r="F3008" s="55">
        <v>2718.2</v>
      </c>
      <c r="G3008" s="55">
        <v>309704.40000000002</v>
      </c>
      <c r="H3008" s="55">
        <v>1181450.8</v>
      </c>
      <c r="I3008" s="55">
        <v>45241.2</v>
      </c>
      <c r="J3008" s="55">
        <v>1226692</v>
      </c>
      <c r="K3008" s="55">
        <v>256143.4</v>
      </c>
      <c r="L3008" s="55">
        <v>35228</v>
      </c>
      <c r="M3008" s="55">
        <v>147674.1</v>
      </c>
      <c r="N3008" s="55">
        <v>37666.1</v>
      </c>
    </row>
    <row r="3009" spans="1:14" ht="10.050000000000001" hidden="1" customHeight="1">
      <c r="A3009" s="52" t="s">
        <v>315</v>
      </c>
      <c r="B3009" s="53">
        <v>2018</v>
      </c>
      <c r="C3009" s="52" t="s">
        <v>123</v>
      </c>
      <c r="D3009" s="54">
        <v>8</v>
      </c>
      <c r="E3009" s="55">
        <v>485.7</v>
      </c>
      <c r="F3009" s="55">
        <v>0</v>
      </c>
      <c r="G3009" s="55">
        <v>485.7</v>
      </c>
      <c r="H3009" s="55">
        <v>20247.099999999999</v>
      </c>
      <c r="I3009" s="55">
        <v>16.899999999999999</v>
      </c>
      <c r="J3009" s="55">
        <v>20264</v>
      </c>
      <c r="K3009" s="55">
        <v>1623.7</v>
      </c>
      <c r="L3009" s="55">
        <v>1238.8</v>
      </c>
      <c r="M3009" s="55">
        <v>0</v>
      </c>
      <c r="N3009" s="55">
        <v>6.3</v>
      </c>
    </row>
    <row r="3010" spans="1:14" ht="10.050000000000001" hidden="1" customHeight="1">
      <c r="A3010" s="52" t="s">
        <v>311</v>
      </c>
      <c r="B3010" s="53">
        <v>2018</v>
      </c>
      <c r="C3010" s="52" t="s">
        <v>123</v>
      </c>
      <c r="D3010" s="54">
        <v>8</v>
      </c>
      <c r="E3010" s="55">
        <v>422.8</v>
      </c>
      <c r="F3010" s="55">
        <v>0</v>
      </c>
      <c r="G3010" s="55">
        <v>422.8</v>
      </c>
      <c r="H3010" s="55">
        <v>1141.5999999999999</v>
      </c>
      <c r="I3010" s="55">
        <v>0</v>
      </c>
      <c r="J3010" s="55">
        <v>1141.5999999999999</v>
      </c>
      <c r="K3010" s="55">
        <v>159.9</v>
      </c>
      <c r="L3010" s="55">
        <v>5.2</v>
      </c>
      <c r="M3010" s="55">
        <v>0</v>
      </c>
      <c r="N3010" s="55">
        <v>6</v>
      </c>
    </row>
    <row r="3011" spans="1:14" ht="10.050000000000001" hidden="1" customHeight="1">
      <c r="A3011" s="52" t="s">
        <v>173</v>
      </c>
      <c r="B3011" s="53">
        <v>2018</v>
      </c>
      <c r="C3011" s="52" t="s">
        <v>123</v>
      </c>
      <c r="D3011" s="54">
        <v>8</v>
      </c>
      <c r="E3011" s="55">
        <v>886225.3</v>
      </c>
      <c r="F3011" s="55">
        <v>16226.3</v>
      </c>
      <c r="G3011" s="55">
        <v>902451.6</v>
      </c>
      <c r="H3011" s="55">
        <v>6135529.5999999996</v>
      </c>
      <c r="I3011" s="55">
        <v>53949.4</v>
      </c>
      <c r="J3011" s="55">
        <v>6189479</v>
      </c>
      <c r="K3011" s="55">
        <v>1039799.5</v>
      </c>
      <c r="L3011" s="55">
        <v>96108.4</v>
      </c>
      <c r="M3011" s="55">
        <v>635595.80000000005</v>
      </c>
      <c r="N3011" s="55">
        <v>48473.4</v>
      </c>
    </row>
    <row r="3012" spans="1:14" ht="10.050000000000001" customHeight="1">
      <c r="A3012" s="52" t="s">
        <v>309</v>
      </c>
      <c r="B3012" s="53">
        <v>2018</v>
      </c>
      <c r="C3012" s="52" t="s">
        <v>123</v>
      </c>
      <c r="D3012" s="54">
        <v>8</v>
      </c>
      <c r="E3012" s="55">
        <v>0</v>
      </c>
      <c r="F3012" s="55">
        <v>0</v>
      </c>
      <c r="G3012" s="55">
        <v>0</v>
      </c>
      <c r="H3012" s="55">
        <v>41078</v>
      </c>
      <c r="I3012" s="55">
        <v>0</v>
      </c>
      <c r="J3012" s="55">
        <v>41078</v>
      </c>
      <c r="K3012" s="55">
        <v>595.9</v>
      </c>
      <c r="L3012" s="55">
        <v>0</v>
      </c>
      <c r="M3012" s="55">
        <v>0</v>
      </c>
      <c r="N3012" s="55">
        <v>337.5</v>
      </c>
    </row>
    <row r="3013" spans="1:14" ht="10.050000000000001" hidden="1" customHeight="1">
      <c r="A3013" s="52" t="s">
        <v>316</v>
      </c>
      <c r="B3013" s="53">
        <v>2018</v>
      </c>
      <c r="C3013" s="52" t="s">
        <v>123</v>
      </c>
      <c r="D3013" s="54">
        <v>8</v>
      </c>
      <c r="E3013" s="55">
        <v>137</v>
      </c>
      <c r="F3013" s="55">
        <v>0.6</v>
      </c>
      <c r="G3013" s="55">
        <v>137.6</v>
      </c>
      <c r="H3013" s="55">
        <v>17870.2</v>
      </c>
      <c r="I3013" s="55">
        <v>80.099999999999994</v>
      </c>
      <c r="J3013" s="55">
        <v>17950.3</v>
      </c>
      <c r="K3013" s="55">
        <v>509.7</v>
      </c>
      <c r="L3013" s="55">
        <v>23.2</v>
      </c>
      <c r="M3013" s="55">
        <v>22.8</v>
      </c>
      <c r="N3013" s="55">
        <v>1.7</v>
      </c>
    </row>
    <row r="3014" spans="1:14" ht="10.050000000000001" hidden="1" customHeight="1">
      <c r="A3014" s="52" t="s">
        <v>310</v>
      </c>
      <c r="B3014" s="53">
        <v>2018</v>
      </c>
      <c r="C3014" s="52" t="s">
        <v>123</v>
      </c>
      <c r="D3014" s="54">
        <v>8</v>
      </c>
      <c r="E3014" s="55">
        <v>7514.1000000000104</v>
      </c>
      <c r="F3014" s="55">
        <v>576.79999999999995</v>
      </c>
      <c r="G3014" s="55">
        <v>8090.9</v>
      </c>
      <c r="H3014" s="55">
        <v>24567.200000000001</v>
      </c>
      <c r="I3014" s="55">
        <v>862.5</v>
      </c>
      <c r="J3014" s="55">
        <v>25429.7</v>
      </c>
      <c r="K3014" s="55">
        <v>6156</v>
      </c>
      <c r="L3014" s="55">
        <v>806.4</v>
      </c>
      <c r="M3014" s="55">
        <v>2471.4</v>
      </c>
      <c r="N3014" s="55">
        <v>127</v>
      </c>
    </row>
    <row r="3015" spans="1:14" ht="10.050000000000001" hidden="1" customHeight="1">
      <c r="A3015" s="52" t="s">
        <v>308</v>
      </c>
      <c r="B3015" s="53">
        <v>2018</v>
      </c>
      <c r="C3015" s="52" t="s">
        <v>123</v>
      </c>
      <c r="D3015" s="54">
        <v>8</v>
      </c>
      <c r="E3015" s="55">
        <v>482.4</v>
      </c>
      <c r="F3015" s="55">
        <v>5.9</v>
      </c>
      <c r="G3015" s="55">
        <v>488.3</v>
      </c>
      <c r="H3015" s="55">
        <v>12746.8</v>
      </c>
      <c r="I3015" s="55">
        <v>389.8</v>
      </c>
      <c r="J3015" s="55">
        <v>13136.6</v>
      </c>
      <c r="K3015" s="55">
        <v>1100.8</v>
      </c>
      <c r="L3015" s="55">
        <v>0</v>
      </c>
      <c r="M3015" s="55">
        <v>71.3</v>
      </c>
      <c r="N3015" s="55">
        <v>0</v>
      </c>
    </row>
    <row r="3016" spans="1:14" ht="10.050000000000001" hidden="1" customHeight="1">
      <c r="A3016" s="52" t="s">
        <v>174</v>
      </c>
      <c r="B3016" s="53">
        <v>2018</v>
      </c>
      <c r="C3016" s="52" t="s">
        <v>123</v>
      </c>
      <c r="D3016" s="54">
        <v>8</v>
      </c>
      <c r="E3016" s="55">
        <v>89728.2</v>
      </c>
      <c r="F3016" s="55">
        <v>7740.9</v>
      </c>
      <c r="G3016" s="55">
        <v>97469.100000000093</v>
      </c>
      <c r="H3016" s="55">
        <v>315201.40000000002</v>
      </c>
      <c r="I3016" s="55">
        <v>18827.900000000001</v>
      </c>
      <c r="J3016" s="55">
        <v>334029.3</v>
      </c>
      <c r="K3016" s="55">
        <v>119366.3</v>
      </c>
      <c r="L3016" s="55">
        <v>18423.3</v>
      </c>
      <c r="M3016" s="55">
        <v>28634.400000000001</v>
      </c>
      <c r="N3016" s="55">
        <v>10228.299999999999</v>
      </c>
    </row>
    <row r="3017" spans="1:14" ht="10.050000000000001" hidden="1" customHeight="1">
      <c r="A3017" s="52" t="s">
        <v>314</v>
      </c>
      <c r="B3017" s="53">
        <v>2018</v>
      </c>
      <c r="C3017" s="52" t="s">
        <v>123</v>
      </c>
      <c r="D3017" s="54">
        <v>9</v>
      </c>
      <c r="E3017" s="55">
        <v>0</v>
      </c>
      <c r="F3017" s="55">
        <v>0</v>
      </c>
      <c r="G3017" s="55">
        <v>0</v>
      </c>
      <c r="H3017" s="55">
        <v>77</v>
      </c>
      <c r="I3017" s="55">
        <v>0</v>
      </c>
      <c r="J3017" s="55">
        <v>77</v>
      </c>
      <c r="K3017" s="55">
        <v>26</v>
      </c>
      <c r="L3017" s="55">
        <v>0</v>
      </c>
      <c r="M3017" s="55">
        <v>0</v>
      </c>
      <c r="N3017" s="55">
        <v>0</v>
      </c>
    </row>
    <row r="3018" spans="1:14" ht="10.050000000000001" hidden="1" customHeight="1">
      <c r="A3018" s="52" t="s">
        <v>306</v>
      </c>
      <c r="B3018" s="53">
        <v>2018</v>
      </c>
      <c r="C3018" s="52" t="s">
        <v>123</v>
      </c>
      <c r="D3018" s="54">
        <v>9</v>
      </c>
      <c r="E3018" s="55">
        <v>14376.6</v>
      </c>
      <c r="F3018" s="55">
        <v>1774.9</v>
      </c>
      <c r="G3018" s="55">
        <v>16151.5</v>
      </c>
      <c r="H3018" s="55">
        <v>215767.8</v>
      </c>
      <c r="I3018" s="55">
        <v>3194.1</v>
      </c>
      <c r="J3018" s="55">
        <v>218961.9</v>
      </c>
      <c r="K3018" s="55">
        <v>27319.7</v>
      </c>
      <c r="L3018" s="55">
        <v>1774.6</v>
      </c>
      <c r="M3018" s="55">
        <v>10319.6</v>
      </c>
      <c r="N3018" s="55">
        <v>798.2</v>
      </c>
    </row>
    <row r="3019" spans="1:14" ht="10.050000000000001" hidden="1" customHeight="1">
      <c r="A3019" s="52" t="s">
        <v>172</v>
      </c>
      <c r="B3019" s="53">
        <v>2018</v>
      </c>
      <c r="C3019" s="52" t="s">
        <v>123</v>
      </c>
      <c r="D3019" s="54">
        <v>9</v>
      </c>
      <c r="E3019" s="55">
        <v>96643.7</v>
      </c>
      <c r="F3019" s="55">
        <v>4138.3</v>
      </c>
      <c r="G3019" s="55">
        <v>100782</v>
      </c>
      <c r="H3019" s="55">
        <v>1002998.1</v>
      </c>
      <c r="I3019" s="55">
        <v>14953.9</v>
      </c>
      <c r="J3019" s="55">
        <v>1017952</v>
      </c>
      <c r="K3019" s="55">
        <v>397177.1</v>
      </c>
      <c r="L3019" s="55">
        <v>52027.6</v>
      </c>
      <c r="M3019" s="55">
        <v>72681.3</v>
      </c>
      <c r="N3019" s="55">
        <v>8802.4</v>
      </c>
    </row>
    <row r="3020" spans="1:14" ht="10.050000000000001" hidden="1" customHeight="1">
      <c r="A3020" s="52" t="s">
        <v>171</v>
      </c>
      <c r="B3020" s="53">
        <v>2018</v>
      </c>
      <c r="C3020" s="52" t="s">
        <v>123</v>
      </c>
      <c r="D3020" s="54">
        <v>9</v>
      </c>
      <c r="E3020" s="55">
        <v>1742547.6</v>
      </c>
      <c r="F3020" s="55">
        <v>115002.6</v>
      </c>
      <c r="G3020" s="55">
        <v>1857550.2</v>
      </c>
      <c r="H3020" s="55">
        <v>13230686</v>
      </c>
      <c r="I3020" s="55">
        <v>138085.9</v>
      </c>
      <c r="J3020" s="55">
        <v>13368771.9</v>
      </c>
      <c r="K3020" s="55">
        <v>3938823.7</v>
      </c>
      <c r="L3020" s="55">
        <v>328400.59999999998</v>
      </c>
      <c r="M3020" s="55">
        <v>1052412.8999999999</v>
      </c>
      <c r="N3020" s="55">
        <v>57013.9</v>
      </c>
    </row>
    <row r="3021" spans="1:14" ht="10.050000000000001" hidden="1" customHeight="1">
      <c r="A3021" s="52" t="s">
        <v>300</v>
      </c>
      <c r="B3021" s="53">
        <v>2018</v>
      </c>
      <c r="C3021" s="52" t="s">
        <v>123</v>
      </c>
      <c r="D3021" s="54">
        <v>9</v>
      </c>
      <c r="E3021" s="55">
        <v>541.1</v>
      </c>
      <c r="F3021" s="55">
        <v>274.8</v>
      </c>
      <c r="G3021" s="55">
        <v>815.9</v>
      </c>
      <c r="H3021" s="55">
        <v>12257.7</v>
      </c>
      <c r="I3021" s="55">
        <v>548.6</v>
      </c>
      <c r="J3021" s="55">
        <v>12806.3</v>
      </c>
      <c r="K3021" s="55">
        <v>129.5</v>
      </c>
      <c r="L3021" s="55">
        <v>10.4</v>
      </c>
      <c r="M3021" s="55">
        <v>15.2</v>
      </c>
      <c r="N3021" s="55">
        <v>7.9</v>
      </c>
    </row>
    <row r="3022" spans="1:14" ht="10.050000000000001" hidden="1" customHeight="1">
      <c r="A3022" s="52" t="s">
        <v>307</v>
      </c>
      <c r="B3022" s="53">
        <v>2018</v>
      </c>
      <c r="C3022" s="52" t="s">
        <v>123</v>
      </c>
      <c r="D3022" s="54">
        <v>9</v>
      </c>
      <c r="E3022" s="55">
        <v>2066961.9</v>
      </c>
      <c r="F3022" s="55">
        <v>60624.800000000003</v>
      </c>
      <c r="G3022" s="55">
        <v>2127586.7000000002</v>
      </c>
      <c r="H3022" s="55">
        <v>2379131.9</v>
      </c>
      <c r="I3022" s="55">
        <v>82096.899999999994</v>
      </c>
      <c r="J3022" s="55">
        <v>2461228.7999999998</v>
      </c>
      <c r="K3022" s="55">
        <v>1128463.6000000001</v>
      </c>
      <c r="L3022" s="55">
        <v>1040486</v>
      </c>
      <c r="M3022" s="55">
        <v>133928.79999999999</v>
      </c>
      <c r="N3022" s="55">
        <v>37629.1</v>
      </c>
    </row>
    <row r="3023" spans="1:14" ht="10.050000000000001" hidden="1" customHeight="1">
      <c r="A3023" s="52" t="s">
        <v>315</v>
      </c>
      <c r="B3023" s="53">
        <v>2018</v>
      </c>
      <c r="C3023" s="52" t="s">
        <v>123</v>
      </c>
      <c r="D3023" s="54">
        <v>9</v>
      </c>
      <c r="E3023" s="55">
        <v>11597.1</v>
      </c>
      <c r="F3023" s="55">
        <v>0</v>
      </c>
      <c r="G3023" s="55">
        <v>11597.1</v>
      </c>
      <c r="H3023" s="55">
        <v>27862.2</v>
      </c>
      <c r="I3023" s="55">
        <v>16.899999999999999</v>
      </c>
      <c r="J3023" s="55">
        <v>27879.1</v>
      </c>
      <c r="K3023" s="55">
        <v>5805.8</v>
      </c>
      <c r="L3023" s="55">
        <v>8056.2</v>
      </c>
      <c r="M3023" s="55">
        <v>3850.2</v>
      </c>
      <c r="N3023" s="55">
        <v>12.8</v>
      </c>
    </row>
    <row r="3024" spans="1:14" ht="10.050000000000001" hidden="1" customHeight="1">
      <c r="A3024" s="52" t="s">
        <v>311</v>
      </c>
      <c r="B3024" s="53">
        <v>2018</v>
      </c>
      <c r="C3024" s="52" t="s">
        <v>123</v>
      </c>
      <c r="D3024" s="54">
        <v>9</v>
      </c>
      <c r="E3024" s="55">
        <v>68.8</v>
      </c>
      <c r="F3024" s="55">
        <v>0</v>
      </c>
      <c r="G3024" s="55">
        <v>68.8</v>
      </c>
      <c r="H3024" s="55">
        <v>1160.5999999999999</v>
      </c>
      <c r="I3024" s="55">
        <v>0</v>
      </c>
      <c r="J3024" s="55">
        <v>1160.5999999999999</v>
      </c>
      <c r="K3024" s="55">
        <v>138.6</v>
      </c>
      <c r="L3024" s="55">
        <v>0</v>
      </c>
      <c r="M3024" s="55">
        <v>4.8</v>
      </c>
      <c r="N3024" s="55">
        <v>16.5</v>
      </c>
    </row>
    <row r="3025" spans="1:14" ht="10.050000000000001" hidden="1" customHeight="1">
      <c r="A3025" s="52" t="s">
        <v>173</v>
      </c>
      <c r="B3025" s="53">
        <v>2018</v>
      </c>
      <c r="C3025" s="52" t="s">
        <v>123</v>
      </c>
      <c r="D3025" s="54">
        <v>9</v>
      </c>
      <c r="E3025" s="55">
        <v>385841.1</v>
      </c>
      <c r="F3025" s="55">
        <v>13585.4</v>
      </c>
      <c r="G3025" s="55">
        <v>399426.5</v>
      </c>
      <c r="H3025" s="55">
        <v>5977805.9000000004</v>
      </c>
      <c r="I3025" s="55">
        <v>45293.5</v>
      </c>
      <c r="J3025" s="55">
        <v>6023099.4000000004</v>
      </c>
      <c r="K3025" s="55">
        <v>842072.7</v>
      </c>
      <c r="L3025" s="55">
        <v>48894</v>
      </c>
      <c r="M3025" s="55">
        <v>221291.1</v>
      </c>
      <c r="N3025" s="55">
        <v>25162.6</v>
      </c>
    </row>
    <row r="3026" spans="1:14" ht="10.050000000000001" customHeight="1">
      <c r="A3026" s="52" t="s">
        <v>309</v>
      </c>
      <c r="B3026" s="53">
        <v>2018</v>
      </c>
      <c r="C3026" s="52" t="s">
        <v>123</v>
      </c>
      <c r="D3026" s="54">
        <v>9</v>
      </c>
      <c r="E3026" s="55">
        <v>16199.7</v>
      </c>
      <c r="F3026" s="55">
        <v>0</v>
      </c>
      <c r="G3026" s="55">
        <v>16199.7</v>
      </c>
      <c r="H3026" s="55">
        <v>47513.5</v>
      </c>
      <c r="I3026" s="55">
        <v>0</v>
      </c>
      <c r="J3026" s="55">
        <v>47513.5</v>
      </c>
      <c r="K3026" s="55">
        <v>595.9</v>
      </c>
      <c r="L3026" s="55">
        <v>2139.9</v>
      </c>
      <c r="M3026" s="55">
        <v>2139.9</v>
      </c>
      <c r="N3026" s="55">
        <v>0</v>
      </c>
    </row>
    <row r="3027" spans="1:14" ht="10.050000000000001" hidden="1" customHeight="1">
      <c r="A3027" s="52" t="s">
        <v>316</v>
      </c>
      <c r="B3027" s="53">
        <v>2018</v>
      </c>
      <c r="C3027" s="52" t="s">
        <v>123</v>
      </c>
      <c r="D3027" s="54">
        <v>9</v>
      </c>
      <c r="E3027" s="55">
        <v>2372.1</v>
      </c>
      <c r="F3027" s="55">
        <v>36.299999999999997</v>
      </c>
      <c r="G3027" s="55">
        <v>2408.4</v>
      </c>
      <c r="H3027" s="55">
        <v>18496.400000000001</v>
      </c>
      <c r="I3027" s="55">
        <v>118.8</v>
      </c>
      <c r="J3027" s="55">
        <v>18615.2</v>
      </c>
      <c r="K3027" s="55">
        <v>724.5</v>
      </c>
      <c r="L3027" s="55">
        <v>293.39999999999998</v>
      </c>
      <c r="M3027" s="55">
        <v>61</v>
      </c>
      <c r="N3027" s="55">
        <v>17.8</v>
      </c>
    </row>
    <row r="3028" spans="1:14" ht="10.050000000000001" hidden="1" customHeight="1">
      <c r="A3028" s="52" t="s">
        <v>310</v>
      </c>
      <c r="B3028" s="53">
        <v>2018</v>
      </c>
      <c r="C3028" s="52" t="s">
        <v>123</v>
      </c>
      <c r="D3028" s="54">
        <v>9</v>
      </c>
      <c r="E3028" s="55">
        <v>2622.9</v>
      </c>
      <c r="F3028" s="55">
        <v>210.4</v>
      </c>
      <c r="G3028" s="55">
        <v>2833.3</v>
      </c>
      <c r="H3028" s="55">
        <v>23769.3</v>
      </c>
      <c r="I3028" s="55">
        <v>380.9</v>
      </c>
      <c r="J3028" s="55">
        <v>24150.2</v>
      </c>
      <c r="K3028" s="55">
        <v>5399.2</v>
      </c>
      <c r="L3028" s="55">
        <v>535.79999999999995</v>
      </c>
      <c r="M3028" s="55">
        <v>1155.9000000000001</v>
      </c>
      <c r="N3028" s="55">
        <v>136.69999999999999</v>
      </c>
    </row>
    <row r="3029" spans="1:14" ht="10.050000000000001" hidden="1" customHeight="1">
      <c r="A3029" s="52" t="s">
        <v>308</v>
      </c>
      <c r="B3029" s="53">
        <v>2018</v>
      </c>
      <c r="C3029" s="52" t="s">
        <v>123</v>
      </c>
      <c r="D3029" s="54">
        <v>9</v>
      </c>
      <c r="E3029" s="55">
        <v>51033.9</v>
      </c>
      <c r="F3029" s="55">
        <v>90.8</v>
      </c>
      <c r="G3029" s="55">
        <v>51124.7</v>
      </c>
      <c r="H3029" s="55">
        <v>57676.9</v>
      </c>
      <c r="I3029" s="55">
        <v>484.3</v>
      </c>
      <c r="J3029" s="55">
        <v>58161.2</v>
      </c>
      <c r="K3029" s="55">
        <v>26932.5</v>
      </c>
      <c r="L3029" s="55">
        <v>29292.1</v>
      </c>
      <c r="M3029" s="55">
        <v>3432.2</v>
      </c>
      <c r="N3029" s="55">
        <v>0</v>
      </c>
    </row>
    <row r="3030" spans="1:14" ht="10.050000000000001" hidden="1" customHeight="1">
      <c r="A3030" s="52" t="s">
        <v>174</v>
      </c>
      <c r="B3030" s="53">
        <v>2018</v>
      </c>
      <c r="C3030" s="52" t="s">
        <v>123</v>
      </c>
      <c r="D3030" s="54">
        <v>9</v>
      </c>
      <c r="E3030" s="55">
        <v>20945.400000000001</v>
      </c>
      <c r="F3030" s="55">
        <v>8614.7999999999993</v>
      </c>
      <c r="G3030" s="55">
        <v>29560.2</v>
      </c>
      <c r="H3030" s="55">
        <v>289413.40000000002</v>
      </c>
      <c r="I3030" s="55">
        <v>15654.2</v>
      </c>
      <c r="J3030" s="55">
        <v>305067.59999999998</v>
      </c>
      <c r="K3030" s="55">
        <v>105245.9</v>
      </c>
      <c r="L3030" s="55">
        <v>4083.1</v>
      </c>
      <c r="M3030" s="55">
        <v>9722.4</v>
      </c>
      <c r="N3030" s="55">
        <v>8518.7999999999993</v>
      </c>
    </row>
    <row r="3031" spans="1:14" ht="10.050000000000001" hidden="1" customHeight="1">
      <c r="A3031" s="52" t="s">
        <v>314</v>
      </c>
      <c r="B3031" s="53">
        <v>2018</v>
      </c>
      <c r="C3031" s="52" t="s">
        <v>123</v>
      </c>
      <c r="D3031" s="54">
        <v>10</v>
      </c>
      <c r="E3031" s="55">
        <v>0</v>
      </c>
      <c r="F3031" s="55">
        <v>0</v>
      </c>
      <c r="G3031" s="55">
        <v>0</v>
      </c>
      <c r="H3031" s="55">
        <v>70.099999999999994</v>
      </c>
      <c r="I3031" s="55">
        <v>0</v>
      </c>
      <c r="J3031" s="55">
        <v>70.099999999999994</v>
      </c>
      <c r="K3031" s="55">
        <v>26</v>
      </c>
      <c r="L3031" s="55">
        <v>0</v>
      </c>
      <c r="M3031" s="55">
        <v>0</v>
      </c>
      <c r="N3031" s="55">
        <v>0</v>
      </c>
    </row>
    <row r="3032" spans="1:14" ht="10.050000000000001" hidden="1" customHeight="1">
      <c r="A3032" s="52" t="s">
        <v>306</v>
      </c>
      <c r="B3032" s="53">
        <v>2018</v>
      </c>
      <c r="C3032" s="52" t="s">
        <v>123</v>
      </c>
      <c r="D3032" s="54">
        <v>10</v>
      </c>
      <c r="E3032" s="55">
        <v>9481</v>
      </c>
      <c r="F3032" s="55">
        <v>2094.5</v>
      </c>
      <c r="G3032" s="55">
        <v>11575.5</v>
      </c>
      <c r="H3032" s="55">
        <v>198849.2</v>
      </c>
      <c r="I3032" s="55">
        <v>3456.1</v>
      </c>
      <c r="J3032" s="55">
        <v>202305.3</v>
      </c>
      <c r="K3032" s="55">
        <v>22733.200000000001</v>
      </c>
      <c r="L3032" s="55">
        <v>1792.9</v>
      </c>
      <c r="M3032" s="55">
        <v>5646</v>
      </c>
      <c r="N3032" s="55">
        <v>741.2</v>
      </c>
    </row>
    <row r="3033" spans="1:14" ht="10.050000000000001" hidden="1" customHeight="1">
      <c r="A3033" s="52" t="s">
        <v>172</v>
      </c>
      <c r="B3033" s="53">
        <v>2018</v>
      </c>
      <c r="C3033" s="52" t="s">
        <v>123</v>
      </c>
      <c r="D3033" s="54">
        <v>10</v>
      </c>
      <c r="E3033" s="55">
        <v>77228.399999999994</v>
      </c>
      <c r="F3033" s="55">
        <v>6846.4</v>
      </c>
      <c r="G3033" s="55">
        <v>84074.8</v>
      </c>
      <c r="H3033" s="55">
        <v>980025.6</v>
      </c>
      <c r="I3033" s="55">
        <v>10519.6</v>
      </c>
      <c r="J3033" s="55">
        <v>990545.2</v>
      </c>
      <c r="K3033" s="55">
        <v>351136.3</v>
      </c>
      <c r="L3033" s="55">
        <v>12980.2</v>
      </c>
      <c r="M3033" s="55">
        <v>47833.8</v>
      </c>
      <c r="N3033" s="55">
        <v>11187.6</v>
      </c>
    </row>
    <row r="3034" spans="1:14" ht="10.050000000000001" hidden="1" customHeight="1">
      <c r="A3034" s="52" t="s">
        <v>171</v>
      </c>
      <c r="B3034" s="53">
        <v>2018</v>
      </c>
      <c r="C3034" s="52" t="s">
        <v>123</v>
      </c>
      <c r="D3034" s="54">
        <v>10</v>
      </c>
      <c r="E3034" s="55">
        <v>951716.8</v>
      </c>
      <c r="F3034" s="55">
        <v>47209.599999999999</v>
      </c>
      <c r="G3034" s="55">
        <v>998926.4</v>
      </c>
      <c r="H3034" s="55">
        <v>11660259.1</v>
      </c>
      <c r="I3034" s="55">
        <v>115527.7</v>
      </c>
      <c r="J3034" s="55">
        <v>11775786.800000001</v>
      </c>
      <c r="K3034" s="55">
        <v>3611044.4</v>
      </c>
      <c r="L3034" s="55">
        <v>186344.5</v>
      </c>
      <c r="M3034" s="55">
        <v>480228.9</v>
      </c>
      <c r="N3034" s="55">
        <v>34287.4</v>
      </c>
    </row>
    <row r="3035" spans="1:14" ht="10.050000000000001" hidden="1" customHeight="1">
      <c r="A3035" s="52" t="s">
        <v>300</v>
      </c>
      <c r="B3035" s="53">
        <v>2018</v>
      </c>
      <c r="C3035" s="52" t="s">
        <v>123</v>
      </c>
      <c r="D3035" s="54">
        <v>10</v>
      </c>
      <c r="E3035" s="55">
        <v>616.4</v>
      </c>
      <c r="F3035" s="55">
        <v>0</v>
      </c>
      <c r="G3035" s="55">
        <v>616.4</v>
      </c>
      <c r="H3035" s="55">
        <v>11802.7</v>
      </c>
      <c r="I3035" s="55">
        <v>514.1</v>
      </c>
      <c r="J3035" s="55">
        <v>12316.8</v>
      </c>
      <c r="K3035" s="55">
        <v>116</v>
      </c>
      <c r="L3035" s="55">
        <v>0</v>
      </c>
      <c r="M3035" s="55">
        <v>0</v>
      </c>
      <c r="N3035" s="55">
        <v>26.5</v>
      </c>
    </row>
    <row r="3036" spans="1:14" ht="10.050000000000001" hidden="1" customHeight="1">
      <c r="A3036" s="52" t="s">
        <v>307</v>
      </c>
      <c r="B3036" s="53">
        <v>2018</v>
      </c>
      <c r="C3036" s="52" t="s">
        <v>123</v>
      </c>
      <c r="D3036" s="54">
        <v>10</v>
      </c>
      <c r="E3036" s="55">
        <v>3948406.4</v>
      </c>
      <c r="F3036" s="55">
        <v>74699.199999999997</v>
      </c>
      <c r="G3036" s="55">
        <v>4023105.6</v>
      </c>
      <c r="H3036" s="55">
        <v>5322140.9000000004</v>
      </c>
      <c r="I3036" s="55">
        <v>128612.6</v>
      </c>
      <c r="J3036" s="55">
        <v>5450753.5</v>
      </c>
      <c r="K3036" s="55">
        <v>2564898.7000000002</v>
      </c>
      <c r="L3036" s="55">
        <v>2036071.2</v>
      </c>
      <c r="M3036" s="55">
        <v>500762.5</v>
      </c>
      <c r="N3036" s="55">
        <v>98396.800000000003</v>
      </c>
    </row>
    <row r="3037" spans="1:14" ht="10.050000000000001" hidden="1" customHeight="1">
      <c r="A3037" s="52" t="s">
        <v>315</v>
      </c>
      <c r="B3037" s="53">
        <v>2018</v>
      </c>
      <c r="C3037" s="52" t="s">
        <v>123</v>
      </c>
      <c r="D3037" s="54">
        <v>10</v>
      </c>
      <c r="E3037" s="55">
        <v>6108.6</v>
      </c>
      <c r="F3037" s="55">
        <v>0</v>
      </c>
      <c r="G3037" s="55">
        <v>6108.6</v>
      </c>
      <c r="H3037" s="55">
        <v>29568.3</v>
      </c>
      <c r="I3037" s="55">
        <v>16.899999999999999</v>
      </c>
      <c r="J3037" s="55">
        <v>29585.200000000001</v>
      </c>
      <c r="K3037" s="55">
        <v>4257.3</v>
      </c>
      <c r="L3037" s="55">
        <v>2176.1999999999998</v>
      </c>
      <c r="M3037" s="55">
        <v>3725.5</v>
      </c>
      <c r="N3037" s="55">
        <v>0.7</v>
      </c>
    </row>
    <row r="3038" spans="1:14" ht="10.050000000000001" hidden="1" customHeight="1">
      <c r="A3038" s="52" t="s">
        <v>311</v>
      </c>
      <c r="B3038" s="53">
        <v>2018</v>
      </c>
      <c r="C3038" s="52" t="s">
        <v>123</v>
      </c>
      <c r="D3038" s="54">
        <v>10</v>
      </c>
      <c r="E3038" s="55">
        <v>16.100000000000001</v>
      </c>
      <c r="F3038" s="55">
        <v>0</v>
      </c>
      <c r="G3038" s="55">
        <v>16.100000000000001</v>
      </c>
      <c r="H3038" s="55">
        <v>1137.7</v>
      </c>
      <c r="I3038" s="55">
        <v>0</v>
      </c>
      <c r="J3038" s="55">
        <v>1137.7</v>
      </c>
      <c r="K3038" s="55">
        <v>122.5</v>
      </c>
      <c r="L3038" s="55">
        <v>0</v>
      </c>
      <c r="M3038" s="55">
        <v>0</v>
      </c>
      <c r="N3038" s="55">
        <v>16.100000000000001</v>
      </c>
    </row>
    <row r="3039" spans="1:14" ht="10.050000000000001" hidden="1" customHeight="1">
      <c r="A3039" s="52" t="s">
        <v>173</v>
      </c>
      <c r="B3039" s="53">
        <v>2018</v>
      </c>
      <c r="C3039" s="52" t="s">
        <v>123</v>
      </c>
      <c r="D3039" s="54">
        <v>10</v>
      </c>
      <c r="E3039" s="55">
        <v>222002.3</v>
      </c>
      <c r="F3039" s="55">
        <v>19004.2</v>
      </c>
      <c r="G3039" s="55">
        <v>241006.5</v>
      </c>
      <c r="H3039" s="55">
        <v>5566625.5999999996</v>
      </c>
      <c r="I3039" s="55">
        <v>45414.8</v>
      </c>
      <c r="J3039" s="55">
        <v>5612040.4000000004</v>
      </c>
      <c r="K3039" s="55">
        <v>734271</v>
      </c>
      <c r="L3039" s="55">
        <v>30442.400000000001</v>
      </c>
      <c r="M3039" s="55">
        <v>114246.9</v>
      </c>
      <c r="N3039" s="55">
        <v>23524.9</v>
      </c>
    </row>
    <row r="3040" spans="1:14" ht="10.050000000000001" customHeight="1">
      <c r="A3040" s="52" t="s">
        <v>309</v>
      </c>
      <c r="B3040" s="53">
        <v>2018</v>
      </c>
      <c r="C3040" s="52" t="s">
        <v>123</v>
      </c>
      <c r="D3040" s="54">
        <v>10</v>
      </c>
      <c r="E3040" s="55">
        <v>32164</v>
      </c>
      <c r="F3040" s="55">
        <v>0</v>
      </c>
      <c r="G3040" s="55">
        <v>32164</v>
      </c>
      <c r="H3040" s="55">
        <v>59562.1</v>
      </c>
      <c r="I3040" s="55">
        <v>0</v>
      </c>
      <c r="J3040" s="55">
        <v>59562.1</v>
      </c>
      <c r="K3040" s="55">
        <v>595.9</v>
      </c>
      <c r="L3040" s="55">
        <v>0</v>
      </c>
      <c r="M3040" s="55">
        <v>0</v>
      </c>
      <c r="N3040" s="55">
        <v>0</v>
      </c>
    </row>
    <row r="3041" spans="1:14" ht="10.050000000000001" hidden="1" customHeight="1">
      <c r="A3041" s="52" t="s">
        <v>316</v>
      </c>
      <c r="B3041" s="53">
        <v>2018</v>
      </c>
      <c r="C3041" s="52" t="s">
        <v>123</v>
      </c>
      <c r="D3041" s="54">
        <v>10</v>
      </c>
      <c r="E3041" s="55">
        <v>7842.6</v>
      </c>
      <c r="F3041" s="55">
        <v>98.7</v>
      </c>
      <c r="G3041" s="55">
        <v>7941.3</v>
      </c>
      <c r="H3041" s="55">
        <v>24723</v>
      </c>
      <c r="I3041" s="55">
        <v>213.3</v>
      </c>
      <c r="J3041" s="55">
        <v>24936.3</v>
      </c>
      <c r="K3041" s="55">
        <v>1625.3</v>
      </c>
      <c r="L3041" s="55">
        <v>1179.7</v>
      </c>
      <c r="M3041" s="55">
        <v>251.2</v>
      </c>
      <c r="N3041" s="55">
        <v>35.9</v>
      </c>
    </row>
    <row r="3042" spans="1:14" ht="10.050000000000001" hidden="1" customHeight="1">
      <c r="A3042" s="52" t="s">
        <v>310</v>
      </c>
      <c r="B3042" s="53">
        <v>2018</v>
      </c>
      <c r="C3042" s="52" t="s">
        <v>123</v>
      </c>
      <c r="D3042" s="54">
        <v>10</v>
      </c>
      <c r="E3042" s="55">
        <v>2497.1</v>
      </c>
      <c r="F3042" s="55">
        <v>9</v>
      </c>
      <c r="G3042" s="55">
        <v>2506.1</v>
      </c>
      <c r="H3042" s="55">
        <v>23112.3</v>
      </c>
      <c r="I3042" s="55">
        <v>265.60000000000002</v>
      </c>
      <c r="J3042" s="55">
        <v>23377.9</v>
      </c>
      <c r="K3042" s="55">
        <v>3611.5</v>
      </c>
      <c r="L3042" s="55">
        <v>45.7</v>
      </c>
      <c r="M3042" s="55">
        <v>1770.4</v>
      </c>
      <c r="N3042" s="55">
        <v>62.8</v>
      </c>
    </row>
    <row r="3043" spans="1:14" ht="10.050000000000001" hidden="1" customHeight="1">
      <c r="A3043" s="52" t="s">
        <v>308</v>
      </c>
      <c r="B3043" s="53">
        <v>2018</v>
      </c>
      <c r="C3043" s="52" t="s">
        <v>123</v>
      </c>
      <c r="D3043" s="54">
        <v>10</v>
      </c>
      <c r="E3043" s="55">
        <v>88480.2</v>
      </c>
      <c r="F3043" s="55">
        <v>61</v>
      </c>
      <c r="G3043" s="55">
        <v>88541.2</v>
      </c>
      <c r="H3043" s="55">
        <v>122534</v>
      </c>
      <c r="I3043" s="55">
        <v>467.2</v>
      </c>
      <c r="J3043" s="55">
        <v>123001.2</v>
      </c>
      <c r="K3043" s="55">
        <v>33115.599999999999</v>
      </c>
      <c r="L3043" s="55">
        <v>25625.8</v>
      </c>
      <c r="M3043" s="55">
        <v>19049.099999999999</v>
      </c>
      <c r="N3043" s="55">
        <v>393.8</v>
      </c>
    </row>
    <row r="3044" spans="1:14" ht="10.050000000000001" hidden="1" customHeight="1">
      <c r="A3044" s="52" t="s">
        <v>174</v>
      </c>
      <c r="B3044" s="53">
        <v>2018</v>
      </c>
      <c r="C3044" s="52" t="s">
        <v>123</v>
      </c>
      <c r="D3044" s="54">
        <v>10</v>
      </c>
      <c r="E3044" s="55">
        <v>15619.2</v>
      </c>
      <c r="F3044" s="55">
        <v>3402.2</v>
      </c>
      <c r="G3044" s="55">
        <v>19021.400000000001</v>
      </c>
      <c r="H3044" s="55">
        <v>262112.7</v>
      </c>
      <c r="I3044" s="55">
        <v>11493.4</v>
      </c>
      <c r="J3044" s="55">
        <v>273606.09999999998</v>
      </c>
      <c r="K3044" s="55">
        <v>92540.1</v>
      </c>
      <c r="L3044" s="55">
        <v>3387.9</v>
      </c>
      <c r="M3044" s="55">
        <v>5980.7</v>
      </c>
      <c r="N3044" s="55">
        <v>10208.200000000001</v>
      </c>
    </row>
    <row r="3045" spans="1:14" ht="10.050000000000001" hidden="1" customHeight="1">
      <c r="A3045" s="52" t="s">
        <v>314</v>
      </c>
      <c r="B3045" s="53">
        <v>2018</v>
      </c>
      <c r="C3045" s="52" t="s">
        <v>123</v>
      </c>
      <c r="D3045" s="54">
        <v>11</v>
      </c>
      <c r="E3045" s="55">
        <v>0</v>
      </c>
      <c r="F3045" s="55">
        <v>0</v>
      </c>
      <c r="G3045" s="55">
        <v>0</v>
      </c>
      <c r="H3045" s="55">
        <v>61.3</v>
      </c>
      <c r="I3045" s="55">
        <v>0</v>
      </c>
      <c r="J3045" s="55">
        <v>61.3</v>
      </c>
      <c r="K3045" s="55">
        <v>26</v>
      </c>
      <c r="L3045" s="55">
        <v>0</v>
      </c>
      <c r="M3045" s="55">
        <v>0</v>
      </c>
      <c r="N3045" s="55">
        <v>0</v>
      </c>
    </row>
    <row r="3046" spans="1:14" ht="10.050000000000001" hidden="1" customHeight="1">
      <c r="A3046" s="52" t="s">
        <v>306</v>
      </c>
      <c r="B3046" s="53">
        <v>2018</v>
      </c>
      <c r="C3046" s="52" t="s">
        <v>123</v>
      </c>
      <c r="D3046" s="54">
        <v>11</v>
      </c>
      <c r="E3046" s="55">
        <v>7599.3</v>
      </c>
      <c r="F3046" s="55">
        <v>1847.1</v>
      </c>
      <c r="G3046" s="55">
        <v>9446.4</v>
      </c>
      <c r="H3046" s="55">
        <v>182848.4</v>
      </c>
      <c r="I3046" s="55">
        <v>4660.3999999999996</v>
      </c>
      <c r="J3046" s="55">
        <v>187508.8</v>
      </c>
      <c r="K3046" s="55">
        <v>19909</v>
      </c>
      <c r="L3046" s="55">
        <v>1887.2</v>
      </c>
      <c r="M3046" s="55">
        <v>4127.7</v>
      </c>
      <c r="N3046" s="55">
        <v>595.9</v>
      </c>
    </row>
    <row r="3047" spans="1:14" ht="10.050000000000001" hidden="1" customHeight="1">
      <c r="A3047" s="52" t="s">
        <v>172</v>
      </c>
      <c r="B3047" s="53">
        <v>2018</v>
      </c>
      <c r="C3047" s="52" t="s">
        <v>123</v>
      </c>
      <c r="D3047" s="54">
        <v>11</v>
      </c>
      <c r="E3047" s="55">
        <v>98470.6</v>
      </c>
      <c r="F3047" s="55">
        <v>824.1</v>
      </c>
      <c r="G3047" s="55">
        <v>99294.7</v>
      </c>
      <c r="H3047" s="55">
        <v>939437.2</v>
      </c>
      <c r="I3047" s="55">
        <v>9529.9</v>
      </c>
      <c r="J3047" s="55">
        <v>948967.1</v>
      </c>
      <c r="K3047" s="55">
        <v>288790.09999999998</v>
      </c>
      <c r="L3047" s="55">
        <v>10811.2</v>
      </c>
      <c r="M3047" s="55">
        <v>66514.7</v>
      </c>
      <c r="N3047" s="55">
        <v>6665.3</v>
      </c>
    </row>
    <row r="3048" spans="1:14" ht="10.050000000000001" hidden="1" customHeight="1">
      <c r="A3048" s="52" t="s">
        <v>171</v>
      </c>
      <c r="B3048" s="53">
        <v>2018</v>
      </c>
      <c r="C3048" s="52" t="s">
        <v>123</v>
      </c>
      <c r="D3048" s="54">
        <v>11</v>
      </c>
      <c r="E3048" s="55">
        <v>1159824.7</v>
      </c>
      <c r="F3048" s="55">
        <v>25582.400000000001</v>
      </c>
      <c r="G3048" s="55">
        <v>1185407.1000000001</v>
      </c>
      <c r="H3048" s="55">
        <v>10334303.800000001</v>
      </c>
      <c r="I3048" s="55">
        <v>107774.39999999999</v>
      </c>
      <c r="J3048" s="55">
        <v>10442078.199999999</v>
      </c>
      <c r="K3048" s="55">
        <v>3420446.1</v>
      </c>
      <c r="L3048" s="55">
        <v>359510.3</v>
      </c>
      <c r="M3048" s="55">
        <v>512596.7</v>
      </c>
      <c r="N3048" s="55">
        <v>35132.5</v>
      </c>
    </row>
    <row r="3049" spans="1:14" ht="10.050000000000001" hidden="1" customHeight="1">
      <c r="A3049" s="52" t="s">
        <v>300</v>
      </c>
      <c r="B3049" s="53">
        <v>2018</v>
      </c>
      <c r="C3049" s="52" t="s">
        <v>123</v>
      </c>
      <c r="D3049" s="54">
        <v>11</v>
      </c>
      <c r="E3049" s="55">
        <v>738.1</v>
      </c>
      <c r="F3049" s="55">
        <v>47.8</v>
      </c>
      <c r="G3049" s="55">
        <v>785.9</v>
      </c>
      <c r="H3049" s="55">
        <v>11157.1</v>
      </c>
      <c r="I3049" s="55">
        <v>546.70000000000005</v>
      </c>
      <c r="J3049" s="55">
        <v>11703.8</v>
      </c>
      <c r="K3049" s="55">
        <v>100.9</v>
      </c>
      <c r="L3049" s="55">
        <v>6.1</v>
      </c>
      <c r="M3049" s="55">
        <v>0</v>
      </c>
      <c r="N3049" s="55">
        <v>8.1</v>
      </c>
    </row>
    <row r="3050" spans="1:14" ht="10.050000000000001" hidden="1" customHeight="1">
      <c r="A3050" s="52" t="s">
        <v>307</v>
      </c>
      <c r="B3050" s="53">
        <v>2018</v>
      </c>
      <c r="C3050" s="52" t="s">
        <v>123</v>
      </c>
      <c r="D3050" s="54">
        <v>11</v>
      </c>
      <c r="E3050" s="55">
        <v>1118597.8999999999</v>
      </c>
      <c r="F3050" s="55">
        <v>55651.8</v>
      </c>
      <c r="G3050" s="55">
        <v>1174249.7</v>
      </c>
      <c r="H3050" s="55">
        <v>5499770.7000000002</v>
      </c>
      <c r="I3050" s="55">
        <v>150130.20000000001</v>
      </c>
      <c r="J3050" s="55">
        <v>5649900.9000000004</v>
      </c>
      <c r="K3050" s="55">
        <v>2132836</v>
      </c>
      <c r="L3050" s="55">
        <v>253922.2</v>
      </c>
      <c r="M3050" s="55">
        <v>589075.69999999995</v>
      </c>
      <c r="N3050" s="55">
        <v>97135.4</v>
      </c>
    </row>
    <row r="3051" spans="1:14" ht="10.050000000000001" hidden="1" customHeight="1">
      <c r="A3051" s="52" t="s">
        <v>315</v>
      </c>
      <c r="B3051" s="53">
        <v>2018</v>
      </c>
      <c r="C3051" s="52" t="s">
        <v>123</v>
      </c>
      <c r="D3051" s="54">
        <v>11</v>
      </c>
      <c r="E3051" s="55">
        <v>2448.8000000000002</v>
      </c>
      <c r="F3051" s="55">
        <v>0</v>
      </c>
      <c r="G3051" s="55">
        <v>2448.8000000000002</v>
      </c>
      <c r="H3051" s="55">
        <v>28331.8</v>
      </c>
      <c r="I3051" s="55">
        <v>16.899999999999999</v>
      </c>
      <c r="J3051" s="55">
        <v>28348.7</v>
      </c>
      <c r="K3051" s="55">
        <v>2512.8000000000002</v>
      </c>
      <c r="L3051" s="55">
        <v>200.2</v>
      </c>
      <c r="M3051" s="55">
        <v>1955.9</v>
      </c>
      <c r="N3051" s="55">
        <v>5.3</v>
      </c>
    </row>
    <row r="3052" spans="1:14" ht="10.050000000000001" hidden="1" customHeight="1">
      <c r="A3052" s="52" t="s">
        <v>311</v>
      </c>
      <c r="B3052" s="53">
        <v>2018</v>
      </c>
      <c r="C3052" s="52" t="s">
        <v>123</v>
      </c>
      <c r="D3052" s="54">
        <v>11</v>
      </c>
      <c r="E3052" s="55">
        <v>0</v>
      </c>
      <c r="F3052" s="55">
        <v>0</v>
      </c>
      <c r="G3052" s="55">
        <v>0</v>
      </c>
      <c r="H3052" s="55">
        <v>1097</v>
      </c>
      <c r="I3052" s="55">
        <v>0</v>
      </c>
      <c r="J3052" s="55">
        <v>1097</v>
      </c>
      <c r="K3052" s="55">
        <v>111.1</v>
      </c>
      <c r="L3052" s="55">
        <v>0</v>
      </c>
      <c r="M3052" s="55">
        <v>0</v>
      </c>
      <c r="N3052" s="55">
        <v>11.4</v>
      </c>
    </row>
    <row r="3053" spans="1:14" ht="10.050000000000001" hidden="1" customHeight="1">
      <c r="A3053" s="52" t="s">
        <v>173</v>
      </c>
      <c r="B3053" s="53">
        <v>2018</v>
      </c>
      <c r="C3053" s="52" t="s">
        <v>123</v>
      </c>
      <c r="D3053" s="54">
        <v>11</v>
      </c>
      <c r="E3053" s="55">
        <v>265026.5</v>
      </c>
      <c r="F3053" s="55">
        <v>22849.200000000001</v>
      </c>
      <c r="G3053" s="55">
        <v>287875.7</v>
      </c>
      <c r="H3053" s="55">
        <v>5186228.0999999996</v>
      </c>
      <c r="I3053" s="55">
        <v>46129.599999999999</v>
      </c>
      <c r="J3053" s="55">
        <v>5232357.7</v>
      </c>
      <c r="K3053" s="55">
        <v>638367.19999999995</v>
      </c>
      <c r="L3053" s="55">
        <v>52236.9</v>
      </c>
      <c r="M3053" s="55">
        <v>116346.4</v>
      </c>
      <c r="N3053" s="55">
        <v>31445.9</v>
      </c>
    </row>
    <row r="3054" spans="1:14" ht="10.050000000000001" customHeight="1">
      <c r="A3054" s="52" t="s">
        <v>309</v>
      </c>
      <c r="B3054" s="53">
        <v>2018</v>
      </c>
      <c r="C3054" s="52" t="s">
        <v>123</v>
      </c>
      <c r="D3054" s="54">
        <v>11</v>
      </c>
      <c r="E3054" s="55">
        <v>9040.7000000000007</v>
      </c>
      <c r="F3054" s="55">
        <v>0</v>
      </c>
      <c r="G3054" s="55">
        <v>9040.7000000000007</v>
      </c>
      <c r="H3054" s="55">
        <v>64791.199999999997</v>
      </c>
      <c r="I3054" s="55">
        <v>0</v>
      </c>
      <c r="J3054" s="55">
        <v>64791.199999999997</v>
      </c>
      <c r="K3054" s="55">
        <v>587</v>
      </c>
      <c r="L3054" s="55">
        <v>800</v>
      </c>
      <c r="M3054" s="55">
        <v>783.5</v>
      </c>
      <c r="N3054" s="55">
        <v>25.4</v>
      </c>
    </row>
    <row r="3055" spans="1:14" ht="10.050000000000001" hidden="1" customHeight="1">
      <c r="A3055" s="52" t="s">
        <v>316</v>
      </c>
      <c r="B3055" s="53">
        <v>2018</v>
      </c>
      <c r="C3055" s="52" t="s">
        <v>123</v>
      </c>
      <c r="D3055" s="54">
        <v>11</v>
      </c>
      <c r="E3055" s="55">
        <v>2486.3000000000002</v>
      </c>
      <c r="F3055" s="55">
        <v>0</v>
      </c>
      <c r="G3055" s="55">
        <v>2486.3000000000002</v>
      </c>
      <c r="H3055" s="55">
        <v>25576.9</v>
      </c>
      <c r="I3055" s="55">
        <v>213.3</v>
      </c>
      <c r="J3055" s="55">
        <v>25790.2</v>
      </c>
      <c r="K3055" s="55">
        <v>1451.2</v>
      </c>
      <c r="L3055" s="55">
        <v>252</v>
      </c>
      <c r="M3055" s="55">
        <v>485.6</v>
      </c>
      <c r="N3055" s="55">
        <v>79.2</v>
      </c>
    </row>
    <row r="3056" spans="1:14" ht="10.050000000000001" hidden="1" customHeight="1">
      <c r="A3056" s="52" t="s">
        <v>310</v>
      </c>
      <c r="B3056" s="53">
        <v>2018</v>
      </c>
      <c r="C3056" s="52" t="s">
        <v>123</v>
      </c>
      <c r="D3056" s="54">
        <v>11</v>
      </c>
      <c r="E3056" s="55">
        <v>2102.9</v>
      </c>
      <c r="F3056" s="55">
        <v>144.6</v>
      </c>
      <c r="G3056" s="55">
        <v>2247.5</v>
      </c>
      <c r="H3056" s="55">
        <v>22185.3</v>
      </c>
      <c r="I3056" s="55">
        <v>329.8</v>
      </c>
      <c r="J3056" s="55">
        <v>22515.1</v>
      </c>
      <c r="K3056" s="55">
        <v>3010.4</v>
      </c>
      <c r="L3056" s="55">
        <v>60</v>
      </c>
      <c r="M3056" s="55">
        <v>569</v>
      </c>
      <c r="N3056" s="55">
        <v>92.2</v>
      </c>
    </row>
    <row r="3057" spans="1:14" ht="10.050000000000001" hidden="1" customHeight="1">
      <c r="A3057" s="52" t="s">
        <v>308</v>
      </c>
      <c r="B3057" s="53">
        <v>2018</v>
      </c>
      <c r="C3057" s="52" t="s">
        <v>123</v>
      </c>
      <c r="D3057" s="54">
        <v>11</v>
      </c>
      <c r="E3057" s="55">
        <v>28305.4</v>
      </c>
      <c r="F3057" s="55">
        <v>11</v>
      </c>
      <c r="G3057" s="55">
        <v>28316.400000000001</v>
      </c>
      <c r="H3057" s="55">
        <v>124496</v>
      </c>
      <c r="I3057" s="55">
        <v>463.9</v>
      </c>
      <c r="J3057" s="55">
        <v>124959.9</v>
      </c>
      <c r="K3057" s="55">
        <v>18589.2</v>
      </c>
      <c r="L3057" s="55">
        <v>3071</v>
      </c>
      <c r="M3057" s="55">
        <v>17209.900000000001</v>
      </c>
      <c r="N3057" s="55">
        <v>387.2</v>
      </c>
    </row>
    <row r="3058" spans="1:14" ht="10.050000000000001" hidden="1" customHeight="1">
      <c r="A3058" s="52" t="s">
        <v>174</v>
      </c>
      <c r="B3058" s="53">
        <v>2018</v>
      </c>
      <c r="C3058" s="52" t="s">
        <v>123</v>
      </c>
      <c r="D3058" s="54">
        <v>11</v>
      </c>
      <c r="E3058" s="55">
        <v>10988.7</v>
      </c>
      <c r="F3058" s="55">
        <v>803</v>
      </c>
      <c r="G3058" s="55">
        <v>11791.7</v>
      </c>
      <c r="H3058" s="55">
        <v>234484.5</v>
      </c>
      <c r="I3058" s="55">
        <v>10186.1</v>
      </c>
      <c r="J3058" s="55">
        <v>244670.6</v>
      </c>
      <c r="K3058" s="55">
        <v>81901.2</v>
      </c>
      <c r="L3058" s="55">
        <v>2127.5</v>
      </c>
      <c r="M3058" s="55">
        <v>4693</v>
      </c>
      <c r="N3058" s="55">
        <v>8167.8</v>
      </c>
    </row>
    <row r="3059" spans="1:14" ht="10.050000000000001" hidden="1" customHeight="1">
      <c r="A3059" s="52" t="s">
        <v>314</v>
      </c>
      <c r="B3059" s="53">
        <v>2018</v>
      </c>
      <c r="C3059" s="52" t="s">
        <v>123</v>
      </c>
      <c r="D3059" s="54">
        <v>12</v>
      </c>
      <c r="E3059" s="55">
        <v>18.100000000000001</v>
      </c>
      <c r="F3059" s="55">
        <v>0</v>
      </c>
      <c r="G3059" s="55">
        <v>18.100000000000001</v>
      </c>
      <c r="H3059" s="55">
        <v>96.7</v>
      </c>
      <c r="I3059" s="55">
        <v>0</v>
      </c>
      <c r="J3059" s="55">
        <v>96.7</v>
      </c>
      <c r="K3059" s="55">
        <v>7.9</v>
      </c>
      <c r="L3059" s="55">
        <v>0</v>
      </c>
      <c r="M3059" s="55">
        <v>18.100000000000001</v>
      </c>
      <c r="N3059" s="55">
        <v>0</v>
      </c>
    </row>
    <row r="3060" spans="1:14" ht="10.050000000000001" hidden="1" customHeight="1">
      <c r="A3060" s="52" t="s">
        <v>306</v>
      </c>
      <c r="B3060" s="53">
        <v>2018</v>
      </c>
      <c r="C3060" s="52" t="s">
        <v>123</v>
      </c>
      <c r="D3060" s="54">
        <v>12</v>
      </c>
      <c r="E3060" s="55">
        <v>6818.8</v>
      </c>
      <c r="F3060" s="55">
        <v>642.9</v>
      </c>
      <c r="G3060" s="55">
        <v>7461.7</v>
      </c>
      <c r="H3060" s="55">
        <v>168089.9</v>
      </c>
      <c r="I3060" s="55">
        <v>4688</v>
      </c>
      <c r="J3060" s="55">
        <v>172777.9</v>
      </c>
      <c r="K3060" s="55">
        <v>17061.3</v>
      </c>
      <c r="L3060" s="55">
        <v>1017.7</v>
      </c>
      <c r="M3060" s="55">
        <v>3203.6</v>
      </c>
      <c r="N3060" s="55">
        <v>647.5</v>
      </c>
    </row>
    <row r="3061" spans="1:14" ht="10.050000000000001" hidden="1" customHeight="1">
      <c r="A3061" s="52" t="s">
        <v>172</v>
      </c>
      <c r="B3061" s="53">
        <v>2018</v>
      </c>
      <c r="C3061" s="52" t="s">
        <v>123</v>
      </c>
      <c r="D3061" s="54">
        <v>12</v>
      </c>
      <c r="E3061" s="55">
        <v>101124.4</v>
      </c>
      <c r="F3061" s="55">
        <v>247.7</v>
      </c>
      <c r="G3061" s="55">
        <v>101372.1</v>
      </c>
      <c r="H3061" s="55">
        <v>937122.9</v>
      </c>
      <c r="I3061" s="55">
        <v>8395.6</v>
      </c>
      <c r="J3061" s="55">
        <v>945518.5</v>
      </c>
      <c r="K3061" s="55">
        <v>235198.4</v>
      </c>
      <c r="L3061" s="55">
        <v>12327.2</v>
      </c>
      <c r="M3061" s="55">
        <v>64219.7</v>
      </c>
      <c r="N3061" s="55">
        <v>1677.1</v>
      </c>
    </row>
    <row r="3062" spans="1:14" ht="10.050000000000001" hidden="1" customHeight="1">
      <c r="A3062" s="52" t="s">
        <v>171</v>
      </c>
      <c r="B3062" s="53">
        <v>2018</v>
      </c>
      <c r="C3062" s="52" t="s">
        <v>123</v>
      </c>
      <c r="D3062" s="54">
        <v>12</v>
      </c>
      <c r="E3062" s="55">
        <v>1606292.5</v>
      </c>
      <c r="F3062" s="55">
        <v>15759.1</v>
      </c>
      <c r="G3062" s="55">
        <v>1622051.6</v>
      </c>
      <c r="H3062" s="55">
        <v>9645433</v>
      </c>
      <c r="I3062" s="55">
        <v>97698.8</v>
      </c>
      <c r="J3062" s="55">
        <v>9743131.8000000007</v>
      </c>
      <c r="K3062" s="55">
        <v>2852445.8</v>
      </c>
      <c r="L3062" s="55">
        <v>384414.6</v>
      </c>
      <c r="M3062" s="55">
        <v>908299.2</v>
      </c>
      <c r="N3062" s="55">
        <v>33281.5</v>
      </c>
    </row>
    <row r="3063" spans="1:14" ht="10.050000000000001" hidden="1" customHeight="1">
      <c r="A3063" s="52" t="s">
        <v>300</v>
      </c>
      <c r="B3063" s="53">
        <v>2018</v>
      </c>
      <c r="C3063" s="52" t="s">
        <v>123</v>
      </c>
      <c r="D3063" s="54">
        <v>12</v>
      </c>
      <c r="E3063" s="55">
        <v>538.70000000000005</v>
      </c>
      <c r="F3063" s="55">
        <v>37.5</v>
      </c>
      <c r="G3063" s="55">
        <v>576.20000000000005</v>
      </c>
      <c r="H3063" s="55">
        <v>11223.6</v>
      </c>
      <c r="I3063" s="55">
        <v>394.2</v>
      </c>
      <c r="J3063" s="55">
        <v>11617.8</v>
      </c>
      <c r="K3063" s="55">
        <v>96.6</v>
      </c>
      <c r="L3063" s="55">
        <v>0</v>
      </c>
      <c r="M3063" s="55">
        <v>0.7</v>
      </c>
      <c r="N3063" s="55">
        <v>3.6</v>
      </c>
    </row>
    <row r="3064" spans="1:14" ht="10.050000000000001" hidden="1" customHeight="1">
      <c r="A3064" s="52" t="s">
        <v>307</v>
      </c>
      <c r="B3064" s="53">
        <v>2018</v>
      </c>
      <c r="C3064" s="52" t="s">
        <v>123</v>
      </c>
      <c r="D3064" s="54">
        <v>12</v>
      </c>
      <c r="E3064" s="55">
        <v>426219.2</v>
      </c>
      <c r="F3064" s="55">
        <v>7062.6</v>
      </c>
      <c r="G3064" s="55">
        <v>433281.8</v>
      </c>
      <c r="H3064" s="55">
        <v>5133013.0999999996</v>
      </c>
      <c r="I3064" s="55">
        <v>120170</v>
      </c>
      <c r="J3064" s="55">
        <v>5253183.0999999996</v>
      </c>
      <c r="K3064" s="55">
        <v>1859816.3</v>
      </c>
      <c r="L3064" s="55">
        <v>47085.1</v>
      </c>
      <c r="M3064" s="55">
        <v>257642.1</v>
      </c>
      <c r="N3064" s="55">
        <v>61629.4</v>
      </c>
    </row>
    <row r="3065" spans="1:14" ht="10.050000000000001" hidden="1" customHeight="1">
      <c r="A3065" s="52" t="s">
        <v>315</v>
      </c>
      <c r="B3065" s="53">
        <v>2018</v>
      </c>
      <c r="C3065" s="52" t="s">
        <v>123</v>
      </c>
      <c r="D3065" s="54">
        <v>12</v>
      </c>
      <c r="E3065" s="55">
        <v>778.7</v>
      </c>
      <c r="F3065" s="55">
        <v>0</v>
      </c>
      <c r="G3065" s="55">
        <v>778.7</v>
      </c>
      <c r="H3065" s="55">
        <v>25862.5</v>
      </c>
      <c r="I3065" s="55">
        <v>16.899999999999999</v>
      </c>
      <c r="J3065" s="55">
        <v>25879.4</v>
      </c>
      <c r="K3065" s="55">
        <v>2082.3000000000002</v>
      </c>
      <c r="L3065" s="55">
        <v>57.2</v>
      </c>
      <c r="M3065" s="55">
        <v>430.7</v>
      </c>
      <c r="N3065" s="55">
        <v>49.7</v>
      </c>
    </row>
    <row r="3066" spans="1:14" ht="10.050000000000001" hidden="1" customHeight="1">
      <c r="A3066" s="52" t="s">
        <v>311</v>
      </c>
      <c r="B3066" s="53">
        <v>2018</v>
      </c>
      <c r="C3066" s="52" t="s">
        <v>123</v>
      </c>
      <c r="D3066" s="54">
        <v>12</v>
      </c>
      <c r="E3066" s="55">
        <v>0</v>
      </c>
      <c r="F3066" s="55">
        <v>0</v>
      </c>
      <c r="G3066" s="55">
        <v>0</v>
      </c>
      <c r="H3066" s="55">
        <v>1027.9000000000001</v>
      </c>
      <c r="I3066" s="55">
        <v>0</v>
      </c>
      <c r="J3066" s="55">
        <v>1027.9000000000001</v>
      </c>
      <c r="K3066" s="55">
        <v>96.8</v>
      </c>
      <c r="L3066" s="55">
        <v>0</v>
      </c>
      <c r="M3066" s="55">
        <v>0</v>
      </c>
      <c r="N3066" s="55">
        <v>14.3</v>
      </c>
    </row>
    <row r="3067" spans="1:14" ht="10.050000000000001" hidden="1" customHeight="1">
      <c r="A3067" s="52" t="s">
        <v>173</v>
      </c>
      <c r="B3067" s="53">
        <v>2018</v>
      </c>
      <c r="C3067" s="52" t="s">
        <v>123</v>
      </c>
      <c r="D3067" s="54">
        <v>12</v>
      </c>
      <c r="E3067" s="55">
        <v>272737.09999999998</v>
      </c>
      <c r="F3067" s="55">
        <v>11128.3</v>
      </c>
      <c r="G3067" s="55">
        <v>283865.40000000002</v>
      </c>
      <c r="H3067" s="55">
        <v>4911068.9000000004</v>
      </c>
      <c r="I3067" s="55">
        <v>42593.5</v>
      </c>
      <c r="J3067" s="55">
        <v>4953662.4000000004</v>
      </c>
      <c r="K3067" s="55">
        <v>541389</v>
      </c>
      <c r="L3067" s="55">
        <v>59955.1</v>
      </c>
      <c r="M3067" s="55">
        <v>135405.9</v>
      </c>
      <c r="N3067" s="55">
        <v>20672.900000000001</v>
      </c>
    </row>
    <row r="3068" spans="1:14" ht="10.050000000000001" customHeight="1">
      <c r="A3068" s="52" t="s">
        <v>309</v>
      </c>
      <c r="B3068" s="53">
        <v>2018</v>
      </c>
      <c r="C3068" s="52" t="s">
        <v>123</v>
      </c>
      <c r="D3068" s="54">
        <v>12</v>
      </c>
      <c r="E3068" s="55">
        <v>1175.5999999999999</v>
      </c>
      <c r="F3068" s="55">
        <v>0</v>
      </c>
      <c r="G3068" s="55">
        <v>1175.5999999999999</v>
      </c>
      <c r="H3068" s="55">
        <v>60055</v>
      </c>
      <c r="I3068" s="55">
        <v>0</v>
      </c>
      <c r="J3068" s="55">
        <v>60055</v>
      </c>
      <c r="K3068" s="55">
        <v>587</v>
      </c>
      <c r="L3068" s="55">
        <v>0</v>
      </c>
      <c r="M3068" s="55">
        <v>0</v>
      </c>
      <c r="N3068" s="55">
        <v>0</v>
      </c>
    </row>
    <row r="3069" spans="1:14" ht="10.050000000000001" hidden="1" customHeight="1">
      <c r="A3069" s="52" t="s">
        <v>316</v>
      </c>
      <c r="B3069" s="53">
        <v>2018</v>
      </c>
      <c r="C3069" s="52" t="s">
        <v>123</v>
      </c>
      <c r="D3069" s="54">
        <v>12</v>
      </c>
      <c r="E3069" s="55">
        <v>1019.1</v>
      </c>
      <c r="F3069" s="55">
        <v>0</v>
      </c>
      <c r="G3069" s="55">
        <v>1019.1</v>
      </c>
      <c r="H3069" s="55">
        <v>25364.1</v>
      </c>
      <c r="I3069" s="55">
        <v>213.3</v>
      </c>
      <c r="J3069" s="55">
        <v>25577.4</v>
      </c>
      <c r="K3069" s="55">
        <v>1219.0999999999999</v>
      </c>
      <c r="L3069" s="55">
        <v>176.3</v>
      </c>
      <c r="M3069" s="55">
        <v>172.7</v>
      </c>
      <c r="N3069" s="55">
        <v>232.3</v>
      </c>
    </row>
    <row r="3070" spans="1:14" ht="10.050000000000001" hidden="1" customHeight="1">
      <c r="A3070" s="52" t="s">
        <v>310</v>
      </c>
      <c r="B3070" s="53">
        <v>2018</v>
      </c>
      <c r="C3070" s="52" t="s">
        <v>123</v>
      </c>
      <c r="D3070" s="54">
        <v>12</v>
      </c>
      <c r="E3070" s="55">
        <v>1423.3</v>
      </c>
      <c r="F3070" s="55">
        <v>25.3</v>
      </c>
      <c r="G3070" s="55">
        <v>1448.6</v>
      </c>
      <c r="H3070" s="55">
        <v>21333.1</v>
      </c>
      <c r="I3070" s="55">
        <v>272.39999999999998</v>
      </c>
      <c r="J3070" s="55">
        <v>21605.5</v>
      </c>
      <c r="K3070" s="55">
        <v>2418.5</v>
      </c>
      <c r="L3070" s="55">
        <v>167.2</v>
      </c>
      <c r="M3070" s="55">
        <v>626.5</v>
      </c>
      <c r="N3070" s="55">
        <v>132.69999999999999</v>
      </c>
    </row>
    <row r="3071" spans="1:14" ht="10.050000000000001" hidden="1" customHeight="1">
      <c r="A3071" s="52" t="s">
        <v>308</v>
      </c>
      <c r="B3071" s="53">
        <v>2018</v>
      </c>
      <c r="C3071" s="52" t="s">
        <v>123</v>
      </c>
      <c r="D3071" s="54">
        <v>12</v>
      </c>
      <c r="E3071" s="55">
        <v>6568.8</v>
      </c>
      <c r="F3071" s="55">
        <v>200.7</v>
      </c>
      <c r="G3071" s="55">
        <v>6769.5</v>
      </c>
      <c r="H3071" s="55">
        <v>118535.7</v>
      </c>
      <c r="I3071" s="55">
        <v>625.9</v>
      </c>
      <c r="J3071" s="55">
        <v>119161.60000000001</v>
      </c>
      <c r="K3071" s="55">
        <v>12167.7</v>
      </c>
      <c r="L3071" s="55">
        <v>413.4</v>
      </c>
      <c r="M3071" s="55">
        <v>5110.1000000000004</v>
      </c>
      <c r="N3071" s="55">
        <v>1730.8</v>
      </c>
    </row>
    <row r="3072" spans="1:14" ht="10.050000000000001" hidden="1" customHeight="1">
      <c r="A3072" s="52" t="s">
        <v>174</v>
      </c>
      <c r="B3072" s="53">
        <v>2018</v>
      </c>
      <c r="C3072" s="52" t="s">
        <v>123</v>
      </c>
      <c r="D3072" s="54">
        <v>12</v>
      </c>
      <c r="E3072" s="55">
        <v>10669</v>
      </c>
      <c r="F3072" s="55">
        <v>313.8</v>
      </c>
      <c r="G3072" s="55">
        <v>10982.8</v>
      </c>
      <c r="H3072" s="55">
        <v>215016.2</v>
      </c>
      <c r="I3072" s="55">
        <v>8568.5</v>
      </c>
      <c r="J3072" s="55">
        <v>223584.7</v>
      </c>
      <c r="K3072" s="55">
        <v>72118</v>
      </c>
      <c r="L3072" s="55">
        <v>1884.1</v>
      </c>
      <c r="M3072" s="55">
        <v>4975</v>
      </c>
      <c r="N3072" s="55">
        <v>6827</v>
      </c>
    </row>
    <row r="3073" spans="1:14" ht="10.050000000000001" hidden="1" customHeight="1">
      <c r="A3073" s="52" t="s">
        <v>314</v>
      </c>
      <c r="B3073" s="53">
        <v>2019</v>
      </c>
      <c r="C3073" s="52" t="s">
        <v>123</v>
      </c>
      <c r="D3073" s="54">
        <v>1</v>
      </c>
      <c r="E3073" s="55">
        <v>0</v>
      </c>
      <c r="F3073" s="55">
        <v>0</v>
      </c>
      <c r="G3073" s="55">
        <v>0</v>
      </c>
      <c r="H3073" s="55">
        <v>89.5</v>
      </c>
      <c r="I3073" s="55">
        <v>0</v>
      </c>
      <c r="J3073" s="55">
        <v>89.5</v>
      </c>
      <c r="K3073" s="55">
        <v>7.9</v>
      </c>
      <c r="L3073" s="55">
        <v>0</v>
      </c>
      <c r="M3073" s="55">
        <v>0</v>
      </c>
      <c r="N3073" s="55">
        <v>0</v>
      </c>
    </row>
    <row r="3074" spans="1:14" ht="10.050000000000001" hidden="1" customHeight="1">
      <c r="A3074" s="52" t="s">
        <v>306</v>
      </c>
      <c r="B3074" s="53">
        <v>2019</v>
      </c>
      <c r="C3074" s="52" t="s">
        <v>123</v>
      </c>
      <c r="D3074" s="54">
        <v>1</v>
      </c>
      <c r="E3074" s="55">
        <v>6936.3</v>
      </c>
      <c r="F3074" s="55">
        <v>389.1</v>
      </c>
      <c r="G3074" s="55">
        <v>7325.4</v>
      </c>
      <c r="H3074" s="55">
        <v>150024.6</v>
      </c>
      <c r="I3074" s="55">
        <v>4025.3</v>
      </c>
      <c r="J3074" s="55">
        <v>154049.9</v>
      </c>
      <c r="K3074" s="55">
        <v>14489.8</v>
      </c>
      <c r="L3074" s="55">
        <v>907.5</v>
      </c>
      <c r="M3074" s="55">
        <v>3015.2</v>
      </c>
      <c r="N3074" s="55">
        <v>477.4</v>
      </c>
    </row>
    <row r="3075" spans="1:14" ht="10.050000000000001" hidden="1" customHeight="1">
      <c r="A3075" s="52" t="s">
        <v>172</v>
      </c>
      <c r="B3075" s="53">
        <v>2019</v>
      </c>
      <c r="C3075" s="52" t="s">
        <v>123</v>
      </c>
      <c r="D3075" s="54">
        <v>1</v>
      </c>
      <c r="E3075" s="55">
        <v>101082</v>
      </c>
      <c r="F3075" s="55">
        <v>1502.4</v>
      </c>
      <c r="G3075" s="55">
        <v>102584.4</v>
      </c>
      <c r="H3075" s="55">
        <v>840848.8</v>
      </c>
      <c r="I3075" s="55">
        <v>7684.8</v>
      </c>
      <c r="J3075" s="55">
        <v>848533.6</v>
      </c>
      <c r="K3075" s="55">
        <v>188998.7</v>
      </c>
      <c r="L3075" s="55">
        <v>13924.9</v>
      </c>
      <c r="M3075" s="55">
        <v>49823.7</v>
      </c>
      <c r="N3075" s="55">
        <v>10300.299999999999</v>
      </c>
    </row>
    <row r="3076" spans="1:14" ht="10.050000000000001" hidden="1" customHeight="1">
      <c r="A3076" s="52" t="s">
        <v>171</v>
      </c>
      <c r="B3076" s="53">
        <v>2019</v>
      </c>
      <c r="C3076" s="52" t="s">
        <v>123</v>
      </c>
      <c r="D3076" s="54">
        <v>1</v>
      </c>
      <c r="E3076" s="55">
        <v>1490295.8</v>
      </c>
      <c r="F3076" s="55">
        <v>11520.8</v>
      </c>
      <c r="G3076" s="55">
        <v>1501816.6</v>
      </c>
      <c r="H3076" s="55">
        <v>8691956.5</v>
      </c>
      <c r="I3076" s="55">
        <v>76204</v>
      </c>
      <c r="J3076" s="55">
        <v>8768160.5</v>
      </c>
      <c r="K3076" s="55">
        <v>2636231.7000000002</v>
      </c>
      <c r="L3076" s="55">
        <v>425871.7</v>
      </c>
      <c r="M3076" s="55">
        <v>603404.1</v>
      </c>
      <c r="N3076" s="55">
        <v>46910.6</v>
      </c>
    </row>
    <row r="3077" spans="1:14" ht="10.050000000000001" hidden="1" customHeight="1">
      <c r="A3077" s="52" t="s">
        <v>300</v>
      </c>
      <c r="B3077" s="53">
        <v>2019</v>
      </c>
      <c r="C3077" s="52" t="s">
        <v>123</v>
      </c>
      <c r="D3077" s="54">
        <v>1</v>
      </c>
      <c r="E3077" s="55">
        <v>326.3</v>
      </c>
      <c r="F3077" s="55">
        <v>132.9</v>
      </c>
      <c r="G3077" s="55">
        <v>459.2</v>
      </c>
      <c r="H3077" s="55">
        <v>10597.7</v>
      </c>
      <c r="I3077" s="55">
        <v>370.4</v>
      </c>
      <c r="J3077" s="55">
        <v>10968.1</v>
      </c>
      <c r="K3077" s="55">
        <v>100.4</v>
      </c>
      <c r="L3077" s="55">
        <v>0</v>
      </c>
      <c r="M3077" s="55">
        <v>0</v>
      </c>
      <c r="N3077" s="55">
        <v>9.1999999999999993</v>
      </c>
    </row>
    <row r="3078" spans="1:14" ht="10.050000000000001" hidden="1" customHeight="1">
      <c r="A3078" s="52" t="s">
        <v>307</v>
      </c>
      <c r="B3078" s="53">
        <v>2019</v>
      </c>
      <c r="C3078" s="52" t="s">
        <v>123</v>
      </c>
      <c r="D3078" s="54">
        <v>1</v>
      </c>
      <c r="E3078" s="55">
        <v>500694</v>
      </c>
      <c r="F3078" s="55">
        <v>3141.9</v>
      </c>
      <c r="G3078" s="55">
        <v>503835.9</v>
      </c>
      <c r="H3078" s="55">
        <v>4762874</v>
      </c>
      <c r="I3078" s="55">
        <v>76283.7</v>
      </c>
      <c r="J3078" s="55">
        <v>4839157.7</v>
      </c>
      <c r="K3078" s="55">
        <v>1466712.8</v>
      </c>
      <c r="L3078" s="55">
        <v>60097.1</v>
      </c>
      <c r="M3078" s="55">
        <v>334835.09999999998</v>
      </c>
      <c r="N3078" s="55">
        <v>117262.3</v>
      </c>
    </row>
    <row r="3079" spans="1:14" ht="10.050000000000001" hidden="1" customHeight="1">
      <c r="A3079" s="52" t="s">
        <v>315</v>
      </c>
      <c r="B3079" s="53">
        <v>2019</v>
      </c>
      <c r="C3079" s="52" t="s">
        <v>123</v>
      </c>
      <c r="D3079" s="54">
        <v>1</v>
      </c>
      <c r="E3079" s="55">
        <v>798.9</v>
      </c>
      <c r="F3079" s="55">
        <v>0</v>
      </c>
      <c r="G3079" s="55">
        <v>798.9</v>
      </c>
      <c r="H3079" s="55">
        <v>21992.400000000001</v>
      </c>
      <c r="I3079" s="55">
        <v>16.899999999999999</v>
      </c>
      <c r="J3079" s="55">
        <v>22009.3</v>
      </c>
      <c r="K3079" s="55">
        <v>2038</v>
      </c>
      <c r="L3079" s="55">
        <v>108.2</v>
      </c>
      <c r="M3079" s="55">
        <v>156.80000000000001</v>
      </c>
      <c r="N3079" s="55">
        <v>2.7</v>
      </c>
    </row>
    <row r="3080" spans="1:14" ht="10.050000000000001" hidden="1" customHeight="1">
      <c r="A3080" s="52" t="s">
        <v>311</v>
      </c>
      <c r="B3080" s="53">
        <v>2019</v>
      </c>
      <c r="C3080" s="52" t="s">
        <v>123</v>
      </c>
      <c r="D3080" s="54">
        <v>1</v>
      </c>
      <c r="E3080" s="55">
        <v>29.4</v>
      </c>
      <c r="F3080" s="55">
        <v>0</v>
      </c>
      <c r="G3080" s="55">
        <v>29.4</v>
      </c>
      <c r="H3080" s="55">
        <v>827.1</v>
      </c>
      <c r="I3080" s="55">
        <v>0</v>
      </c>
      <c r="J3080" s="55">
        <v>827.1</v>
      </c>
      <c r="K3080" s="55">
        <v>84.4</v>
      </c>
      <c r="L3080" s="55">
        <v>0</v>
      </c>
      <c r="M3080" s="55">
        <v>0</v>
      </c>
      <c r="N3080" s="55">
        <v>12.4</v>
      </c>
    </row>
    <row r="3081" spans="1:14" ht="10.050000000000001" hidden="1" customHeight="1">
      <c r="A3081" s="52" t="s">
        <v>173</v>
      </c>
      <c r="B3081" s="53">
        <v>2019</v>
      </c>
      <c r="C3081" s="52" t="s">
        <v>123</v>
      </c>
      <c r="D3081" s="54">
        <v>1</v>
      </c>
      <c r="E3081" s="55">
        <v>306752.90000000002</v>
      </c>
      <c r="F3081" s="55">
        <v>15090.2</v>
      </c>
      <c r="G3081" s="55">
        <v>321843.09999999998</v>
      </c>
      <c r="H3081" s="55">
        <v>4396095.3</v>
      </c>
      <c r="I3081" s="55">
        <v>32934.6</v>
      </c>
      <c r="J3081" s="55">
        <v>4429029.9000000004</v>
      </c>
      <c r="K3081" s="55">
        <v>458615</v>
      </c>
      <c r="L3081" s="55">
        <v>52599.9</v>
      </c>
      <c r="M3081" s="55">
        <v>106692.5</v>
      </c>
      <c r="N3081" s="55">
        <v>28809.200000000001</v>
      </c>
    </row>
    <row r="3082" spans="1:14" ht="10.050000000000001" customHeight="1">
      <c r="A3082" s="52" t="s">
        <v>309</v>
      </c>
      <c r="B3082" s="53">
        <v>2019</v>
      </c>
      <c r="C3082" s="52" t="s">
        <v>123</v>
      </c>
      <c r="D3082" s="54">
        <v>1</v>
      </c>
      <c r="E3082" s="55">
        <v>539.4</v>
      </c>
      <c r="F3082" s="55">
        <v>0</v>
      </c>
      <c r="G3082" s="55">
        <v>539.4</v>
      </c>
      <c r="H3082" s="55">
        <v>51035.199999999997</v>
      </c>
      <c r="I3082" s="55">
        <v>0</v>
      </c>
      <c r="J3082" s="55">
        <v>51035.199999999997</v>
      </c>
      <c r="K3082" s="55">
        <v>587</v>
      </c>
      <c r="L3082" s="55">
        <v>0</v>
      </c>
      <c r="M3082" s="55">
        <v>0</v>
      </c>
      <c r="N3082" s="55">
        <v>0</v>
      </c>
    </row>
    <row r="3083" spans="1:14" ht="10.050000000000001" hidden="1" customHeight="1">
      <c r="A3083" s="52" t="s">
        <v>316</v>
      </c>
      <c r="B3083" s="53">
        <v>2019</v>
      </c>
      <c r="C3083" s="52" t="s">
        <v>123</v>
      </c>
      <c r="D3083" s="54">
        <v>1</v>
      </c>
      <c r="E3083" s="55">
        <v>473.4</v>
      </c>
      <c r="F3083" s="55">
        <v>0</v>
      </c>
      <c r="G3083" s="55">
        <v>473.4</v>
      </c>
      <c r="H3083" s="55">
        <v>23409.7</v>
      </c>
      <c r="I3083" s="55">
        <v>213.3</v>
      </c>
      <c r="J3083" s="55">
        <v>23623</v>
      </c>
      <c r="K3083" s="55">
        <v>967.3</v>
      </c>
      <c r="L3083" s="55">
        <v>31.6</v>
      </c>
      <c r="M3083" s="55">
        <v>126.9</v>
      </c>
      <c r="N3083" s="55">
        <v>156.69999999999999</v>
      </c>
    </row>
    <row r="3084" spans="1:14" ht="10.050000000000001" hidden="1" customHeight="1">
      <c r="A3084" s="52" t="s">
        <v>310</v>
      </c>
      <c r="B3084" s="53">
        <v>2019</v>
      </c>
      <c r="C3084" s="52" t="s">
        <v>123</v>
      </c>
      <c r="D3084" s="54">
        <v>1</v>
      </c>
      <c r="E3084" s="55">
        <v>1079.5999999999999</v>
      </c>
      <c r="F3084" s="55">
        <v>0</v>
      </c>
      <c r="G3084" s="55">
        <v>1079.5999999999999</v>
      </c>
      <c r="H3084" s="55">
        <v>19275.8</v>
      </c>
      <c r="I3084" s="55">
        <v>253.6</v>
      </c>
      <c r="J3084" s="55">
        <v>19529.400000000001</v>
      </c>
      <c r="K3084" s="55">
        <v>2014.4</v>
      </c>
      <c r="L3084" s="55">
        <v>102.9</v>
      </c>
      <c r="M3084" s="55">
        <v>353.7</v>
      </c>
      <c r="N3084" s="55">
        <v>153.4</v>
      </c>
    </row>
    <row r="3085" spans="1:14" ht="10.050000000000001" hidden="1" customHeight="1">
      <c r="A3085" s="52" t="s">
        <v>308</v>
      </c>
      <c r="B3085" s="53">
        <v>2019</v>
      </c>
      <c r="C3085" s="52" t="s">
        <v>123</v>
      </c>
      <c r="D3085" s="54">
        <v>1</v>
      </c>
      <c r="E3085" s="55">
        <v>4468.1000000000004</v>
      </c>
      <c r="F3085" s="55">
        <v>2</v>
      </c>
      <c r="G3085" s="55">
        <v>4470.1000000000004</v>
      </c>
      <c r="H3085" s="55">
        <v>106843.3</v>
      </c>
      <c r="I3085" s="55">
        <v>561.79999999999995</v>
      </c>
      <c r="J3085" s="55">
        <v>107405.1</v>
      </c>
      <c r="K3085" s="55">
        <v>9216.1</v>
      </c>
      <c r="L3085" s="55">
        <v>173.8</v>
      </c>
      <c r="M3085" s="55">
        <v>2470.4</v>
      </c>
      <c r="N3085" s="55">
        <v>655</v>
      </c>
    </row>
    <row r="3086" spans="1:14" ht="10.050000000000001" hidden="1" customHeight="1">
      <c r="A3086" s="52" t="s">
        <v>174</v>
      </c>
      <c r="B3086" s="53">
        <v>2019</v>
      </c>
      <c r="C3086" s="52" t="s">
        <v>123</v>
      </c>
      <c r="D3086" s="54">
        <v>1</v>
      </c>
      <c r="E3086" s="55">
        <v>9012.5000000000091</v>
      </c>
      <c r="F3086" s="55">
        <v>102.2</v>
      </c>
      <c r="G3086" s="55">
        <v>9114.7000000000007</v>
      </c>
      <c r="H3086" s="55">
        <v>188496.8</v>
      </c>
      <c r="I3086" s="55">
        <v>7006.4</v>
      </c>
      <c r="J3086" s="55">
        <v>195503.2</v>
      </c>
      <c r="K3086" s="55">
        <v>61920.2</v>
      </c>
      <c r="L3086" s="55">
        <v>2494.8000000000002</v>
      </c>
      <c r="M3086" s="55">
        <v>4120.3</v>
      </c>
      <c r="N3086" s="55">
        <v>8695.7999999999993</v>
      </c>
    </row>
    <row r="3087" spans="1:14" ht="10.050000000000001" hidden="1" customHeight="1">
      <c r="A3087" s="52" t="s">
        <v>314</v>
      </c>
      <c r="B3087" s="53">
        <v>2019</v>
      </c>
      <c r="C3087" s="52" t="s">
        <v>123</v>
      </c>
      <c r="D3087" s="54">
        <v>2</v>
      </c>
      <c r="E3087" s="55">
        <v>0</v>
      </c>
      <c r="F3087" s="55">
        <v>0</v>
      </c>
      <c r="G3087" s="55">
        <v>0</v>
      </c>
      <c r="H3087" s="55">
        <v>82.8</v>
      </c>
      <c r="I3087" s="55">
        <v>0</v>
      </c>
      <c r="J3087" s="55">
        <v>82.8</v>
      </c>
      <c r="K3087" s="55">
        <v>7.9</v>
      </c>
      <c r="L3087" s="55">
        <v>0</v>
      </c>
      <c r="M3087" s="55">
        <v>0</v>
      </c>
      <c r="N3087" s="55">
        <v>0</v>
      </c>
    </row>
    <row r="3088" spans="1:14" ht="10.050000000000001" hidden="1" customHeight="1">
      <c r="A3088" s="52" t="s">
        <v>306</v>
      </c>
      <c r="B3088" s="53">
        <v>2019</v>
      </c>
      <c r="C3088" s="52" t="s">
        <v>123</v>
      </c>
      <c r="D3088" s="54">
        <v>2</v>
      </c>
      <c r="E3088" s="55">
        <v>4640.3999999999996</v>
      </c>
      <c r="F3088" s="55">
        <v>217.4</v>
      </c>
      <c r="G3088" s="55">
        <v>4857.8</v>
      </c>
      <c r="H3088" s="55">
        <v>132451.29999999999</v>
      </c>
      <c r="I3088" s="55">
        <v>3269.5</v>
      </c>
      <c r="J3088" s="55">
        <v>135720.79999999999</v>
      </c>
      <c r="K3088" s="55">
        <v>12682.7</v>
      </c>
      <c r="L3088" s="55">
        <v>857.5</v>
      </c>
      <c r="M3088" s="55">
        <v>1989.9</v>
      </c>
      <c r="N3088" s="55">
        <v>687.6</v>
      </c>
    </row>
    <row r="3089" spans="1:14" ht="10.050000000000001" hidden="1" customHeight="1">
      <c r="A3089" s="52" t="s">
        <v>172</v>
      </c>
      <c r="B3089" s="53">
        <v>2019</v>
      </c>
      <c r="C3089" s="52" t="s">
        <v>123</v>
      </c>
      <c r="D3089" s="54">
        <v>2</v>
      </c>
      <c r="E3089" s="55">
        <v>99277.4</v>
      </c>
      <c r="F3089" s="55">
        <v>41.6</v>
      </c>
      <c r="G3089" s="55">
        <v>99319</v>
      </c>
      <c r="H3089" s="55">
        <v>761641.1</v>
      </c>
      <c r="I3089" s="55">
        <v>7593.2</v>
      </c>
      <c r="J3089" s="55">
        <v>769234.3</v>
      </c>
      <c r="K3089" s="55">
        <v>157678.6</v>
      </c>
      <c r="L3089" s="55">
        <v>17889.8</v>
      </c>
      <c r="M3089" s="55">
        <v>45421.3</v>
      </c>
      <c r="N3089" s="55">
        <v>3788.8</v>
      </c>
    </row>
    <row r="3090" spans="1:14" ht="10.050000000000001" hidden="1" customHeight="1">
      <c r="A3090" s="52" t="s">
        <v>171</v>
      </c>
      <c r="B3090" s="53">
        <v>2019</v>
      </c>
      <c r="C3090" s="52" t="s">
        <v>123</v>
      </c>
      <c r="D3090" s="54">
        <v>2</v>
      </c>
      <c r="E3090" s="55">
        <v>1429914.7</v>
      </c>
      <c r="F3090" s="55">
        <v>4602.3999999999996</v>
      </c>
      <c r="G3090" s="55">
        <v>1434517.1</v>
      </c>
      <c r="H3090" s="55">
        <v>7463321.0999999996</v>
      </c>
      <c r="I3090" s="55">
        <v>71915.199999999997</v>
      </c>
      <c r="J3090" s="55">
        <v>7535236.2999999998</v>
      </c>
      <c r="K3090" s="55">
        <v>2353417.1</v>
      </c>
      <c r="L3090" s="55">
        <v>383021.1</v>
      </c>
      <c r="M3090" s="55">
        <v>617373.80000000005</v>
      </c>
      <c r="N3090" s="55">
        <v>40172.800000000003</v>
      </c>
    </row>
    <row r="3091" spans="1:14" ht="10.050000000000001" hidden="1" customHeight="1">
      <c r="A3091" s="52" t="s">
        <v>300</v>
      </c>
      <c r="B3091" s="53">
        <v>2019</v>
      </c>
      <c r="C3091" s="52" t="s">
        <v>123</v>
      </c>
      <c r="D3091" s="54">
        <v>2</v>
      </c>
      <c r="E3091" s="55">
        <v>661.2</v>
      </c>
      <c r="F3091" s="55">
        <v>82.6</v>
      </c>
      <c r="G3091" s="55">
        <v>743.8</v>
      </c>
      <c r="H3091" s="55">
        <v>9632.9000000000106</v>
      </c>
      <c r="I3091" s="55">
        <v>292.8</v>
      </c>
      <c r="J3091" s="55">
        <v>9925.7000000000007</v>
      </c>
      <c r="K3091" s="55">
        <v>59.8</v>
      </c>
      <c r="L3091" s="55">
        <v>3.6</v>
      </c>
      <c r="M3091" s="55">
        <v>23.6</v>
      </c>
      <c r="N3091" s="55">
        <v>7.5</v>
      </c>
    </row>
    <row r="3092" spans="1:14" ht="10.050000000000001" hidden="1" customHeight="1">
      <c r="A3092" s="52" t="s">
        <v>307</v>
      </c>
      <c r="B3092" s="53">
        <v>2019</v>
      </c>
      <c r="C3092" s="52" t="s">
        <v>123</v>
      </c>
      <c r="D3092" s="54">
        <v>2</v>
      </c>
      <c r="E3092" s="55">
        <v>322096.59999999998</v>
      </c>
      <c r="F3092" s="55">
        <v>1149.5999999999999</v>
      </c>
      <c r="G3092" s="55">
        <v>323246.2</v>
      </c>
      <c r="H3092" s="55">
        <v>4234011</v>
      </c>
      <c r="I3092" s="55">
        <v>60276</v>
      </c>
      <c r="J3092" s="55">
        <v>4294287</v>
      </c>
      <c r="K3092" s="55">
        <v>1302372.8999999999</v>
      </c>
      <c r="L3092" s="55">
        <v>47998.9</v>
      </c>
      <c r="M3092" s="55">
        <v>150414.39999999999</v>
      </c>
      <c r="N3092" s="55">
        <v>60638.9</v>
      </c>
    </row>
    <row r="3093" spans="1:14" ht="10.050000000000001" hidden="1" customHeight="1">
      <c r="A3093" s="52" t="s">
        <v>315</v>
      </c>
      <c r="B3093" s="53">
        <v>2019</v>
      </c>
      <c r="C3093" s="52" t="s">
        <v>123</v>
      </c>
      <c r="D3093" s="54">
        <v>2</v>
      </c>
      <c r="E3093" s="55">
        <v>932.2</v>
      </c>
      <c r="F3093" s="55">
        <v>0</v>
      </c>
      <c r="G3093" s="55">
        <v>932.2</v>
      </c>
      <c r="H3093" s="55">
        <v>17593.7</v>
      </c>
      <c r="I3093" s="55">
        <v>16.899999999999999</v>
      </c>
      <c r="J3093" s="55">
        <v>17610.599999999999</v>
      </c>
      <c r="K3093" s="55">
        <v>1663.1</v>
      </c>
      <c r="L3093" s="55">
        <v>56.9</v>
      </c>
      <c r="M3093" s="55">
        <v>420.2</v>
      </c>
      <c r="N3093" s="55">
        <v>4.5</v>
      </c>
    </row>
    <row r="3094" spans="1:14" ht="10.050000000000001" hidden="1" customHeight="1">
      <c r="A3094" s="52" t="s">
        <v>311</v>
      </c>
      <c r="B3094" s="53">
        <v>2019</v>
      </c>
      <c r="C3094" s="52" t="s">
        <v>123</v>
      </c>
      <c r="D3094" s="54">
        <v>2</v>
      </c>
      <c r="E3094" s="55">
        <v>37.299999999999997</v>
      </c>
      <c r="F3094" s="55">
        <v>0</v>
      </c>
      <c r="G3094" s="55">
        <v>37.299999999999997</v>
      </c>
      <c r="H3094" s="55">
        <v>634.1</v>
      </c>
      <c r="I3094" s="55">
        <v>0</v>
      </c>
      <c r="J3094" s="55">
        <v>634.1</v>
      </c>
      <c r="K3094" s="55">
        <v>59.3</v>
      </c>
      <c r="L3094" s="55">
        <v>0</v>
      </c>
      <c r="M3094" s="55">
        <v>0</v>
      </c>
      <c r="N3094" s="55">
        <v>25.1</v>
      </c>
    </row>
    <row r="3095" spans="1:14" ht="10.050000000000001" hidden="1" customHeight="1">
      <c r="A3095" s="52" t="s">
        <v>173</v>
      </c>
      <c r="B3095" s="53">
        <v>2019</v>
      </c>
      <c r="C3095" s="52" t="s">
        <v>123</v>
      </c>
      <c r="D3095" s="54">
        <v>2</v>
      </c>
      <c r="E3095" s="55">
        <v>230952.2</v>
      </c>
      <c r="F3095" s="55">
        <v>7418.4</v>
      </c>
      <c r="G3095" s="55">
        <v>238370.6</v>
      </c>
      <c r="H3095" s="55">
        <v>3907462.6</v>
      </c>
      <c r="I3095" s="55">
        <v>26515.5</v>
      </c>
      <c r="J3095" s="55">
        <v>3933978.1</v>
      </c>
      <c r="K3095" s="55">
        <v>375767.7</v>
      </c>
      <c r="L3095" s="55">
        <v>26245.5</v>
      </c>
      <c r="M3095" s="55">
        <v>87843.1</v>
      </c>
      <c r="N3095" s="55">
        <v>21171.599999999999</v>
      </c>
    </row>
    <row r="3096" spans="1:14" ht="10.050000000000001" customHeight="1">
      <c r="A3096" s="52" t="s">
        <v>309</v>
      </c>
      <c r="B3096" s="53">
        <v>2019</v>
      </c>
      <c r="C3096" s="52" t="s">
        <v>123</v>
      </c>
      <c r="D3096" s="54">
        <v>2</v>
      </c>
      <c r="E3096" s="55">
        <v>794.4</v>
      </c>
      <c r="F3096" s="55">
        <v>0</v>
      </c>
      <c r="G3096" s="55">
        <v>794.4</v>
      </c>
      <c r="H3096" s="55">
        <v>45511.9</v>
      </c>
      <c r="I3096" s="55">
        <v>0</v>
      </c>
      <c r="J3096" s="55">
        <v>45511.9</v>
      </c>
      <c r="K3096" s="55">
        <v>587</v>
      </c>
      <c r="L3096" s="55">
        <v>0</v>
      </c>
      <c r="M3096" s="55">
        <v>0</v>
      </c>
      <c r="N3096" s="55">
        <v>0</v>
      </c>
    </row>
    <row r="3097" spans="1:14" ht="10.050000000000001" hidden="1" customHeight="1">
      <c r="A3097" s="52" t="s">
        <v>316</v>
      </c>
      <c r="B3097" s="53">
        <v>2019</v>
      </c>
      <c r="C3097" s="52" t="s">
        <v>123</v>
      </c>
      <c r="D3097" s="54">
        <v>2</v>
      </c>
      <c r="E3097" s="55">
        <v>347.8</v>
      </c>
      <c r="F3097" s="55">
        <v>0</v>
      </c>
      <c r="G3097" s="55">
        <v>347.8</v>
      </c>
      <c r="H3097" s="55">
        <v>22971.1</v>
      </c>
      <c r="I3097" s="55">
        <v>216.7</v>
      </c>
      <c r="J3097" s="55">
        <v>23187.8</v>
      </c>
      <c r="K3097" s="55">
        <v>862.4</v>
      </c>
      <c r="L3097" s="55">
        <v>109.9</v>
      </c>
      <c r="M3097" s="55">
        <v>57.4</v>
      </c>
      <c r="N3097" s="55">
        <v>160.5</v>
      </c>
    </row>
    <row r="3098" spans="1:14" ht="10.050000000000001" hidden="1" customHeight="1">
      <c r="A3098" s="52" t="s">
        <v>310</v>
      </c>
      <c r="B3098" s="53">
        <v>2019</v>
      </c>
      <c r="C3098" s="52" t="s">
        <v>123</v>
      </c>
      <c r="D3098" s="54">
        <v>2</v>
      </c>
      <c r="E3098" s="55">
        <v>1246.0999999999999</v>
      </c>
      <c r="F3098" s="55">
        <v>0</v>
      </c>
      <c r="G3098" s="55">
        <v>1246.0999999999999</v>
      </c>
      <c r="H3098" s="55">
        <v>17548.599999999999</v>
      </c>
      <c r="I3098" s="55">
        <v>232.9</v>
      </c>
      <c r="J3098" s="55">
        <v>17781.5</v>
      </c>
      <c r="K3098" s="55">
        <v>1681.3</v>
      </c>
      <c r="L3098" s="55">
        <v>152.5</v>
      </c>
      <c r="M3098" s="55">
        <v>369.8</v>
      </c>
      <c r="N3098" s="55">
        <v>115.9</v>
      </c>
    </row>
    <row r="3099" spans="1:14" ht="10.050000000000001" hidden="1" customHeight="1">
      <c r="A3099" s="52" t="s">
        <v>308</v>
      </c>
      <c r="B3099" s="53">
        <v>2019</v>
      </c>
      <c r="C3099" s="52" t="s">
        <v>123</v>
      </c>
      <c r="D3099" s="54">
        <v>2</v>
      </c>
      <c r="E3099" s="55">
        <v>2549.6999999999998</v>
      </c>
      <c r="F3099" s="55">
        <v>136.5</v>
      </c>
      <c r="G3099" s="55">
        <v>2686.2</v>
      </c>
      <c r="H3099" s="55">
        <v>91432.7</v>
      </c>
      <c r="I3099" s="55">
        <v>412.2</v>
      </c>
      <c r="J3099" s="55">
        <v>91844.9</v>
      </c>
      <c r="K3099" s="55">
        <v>7726.5</v>
      </c>
      <c r="L3099" s="55">
        <v>52.5</v>
      </c>
      <c r="M3099" s="55">
        <v>1328.5</v>
      </c>
      <c r="N3099" s="55">
        <v>213.5</v>
      </c>
    </row>
    <row r="3100" spans="1:14" ht="10.050000000000001" hidden="1" customHeight="1">
      <c r="A3100" s="52" t="s">
        <v>174</v>
      </c>
      <c r="B3100" s="53">
        <v>2019</v>
      </c>
      <c r="C3100" s="52" t="s">
        <v>123</v>
      </c>
      <c r="D3100" s="54">
        <v>2</v>
      </c>
      <c r="E3100" s="55">
        <v>8136</v>
      </c>
      <c r="F3100" s="55">
        <v>68.5</v>
      </c>
      <c r="G3100" s="55">
        <v>8204.5</v>
      </c>
      <c r="H3100" s="55">
        <v>163419.20000000001</v>
      </c>
      <c r="I3100" s="55">
        <v>6564.3</v>
      </c>
      <c r="J3100" s="55">
        <v>169983.5</v>
      </c>
      <c r="K3100" s="55">
        <v>52337.1</v>
      </c>
      <c r="L3100" s="55">
        <v>1106.0999999999999</v>
      </c>
      <c r="M3100" s="55">
        <v>3644.7</v>
      </c>
      <c r="N3100" s="55">
        <v>7136.2</v>
      </c>
    </row>
    <row r="3101" spans="1:14" ht="10.050000000000001" hidden="1" customHeight="1">
      <c r="A3101" s="52" t="s">
        <v>314</v>
      </c>
      <c r="B3101" s="53">
        <v>2019</v>
      </c>
      <c r="C3101" s="52" t="s">
        <v>123</v>
      </c>
      <c r="D3101" s="54">
        <v>3</v>
      </c>
      <c r="E3101" s="55">
        <v>0.5</v>
      </c>
      <c r="F3101" s="55">
        <v>0</v>
      </c>
      <c r="G3101" s="55">
        <v>0.5</v>
      </c>
      <c r="H3101" s="55">
        <v>99.7</v>
      </c>
      <c r="I3101" s="55">
        <v>0</v>
      </c>
      <c r="J3101" s="55">
        <v>99.7</v>
      </c>
      <c r="K3101" s="55">
        <v>7.9</v>
      </c>
      <c r="L3101" s="55">
        <v>0</v>
      </c>
      <c r="M3101" s="55">
        <v>0</v>
      </c>
      <c r="N3101" s="55">
        <v>0</v>
      </c>
    </row>
    <row r="3102" spans="1:14" ht="10.050000000000001" hidden="1" customHeight="1">
      <c r="A3102" s="52" t="s">
        <v>306</v>
      </c>
      <c r="B3102" s="53">
        <v>2019</v>
      </c>
      <c r="C3102" s="52" t="s">
        <v>123</v>
      </c>
      <c r="D3102" s="54">
        <v>3</v>
      </c>
      <c r="E3102" s="55">
        <v>6409.9</v>
      </c>
      <c r="F3102" s="55">
        <v>142</v>
      </c>
      <c r="G3102" s="55">
        <v>6551.9</v>
      </c>
      <c r="H3102" s="55">
        <v>112066</v>
      </c>
      <c r="I3102" s="55">
        <v>2465.6999999999998</v>
      </c>
      <c r="J3102" s="55">
        <v>114531.7</v>
      </c>
      <c r="K3102" s="55">
        <v>10128.5</v>
      </c>
      <c r="L3102" s="55">
        <v>947.5</v>
      </c>
      <c r="M3102" s="55">
        <v>3068.6</v>
      </c>
      <c r="N3102" s="55">
        <v>444.7</v>
      </c>
    </row>
    <row r="3103" spans="1:14" ht="10.050000000000001" hidden="1" customHeight="1">
      <c r="A3103" s="52" t="s">
        <v>172</v>
      </c>
      <c r="B3103" s="53">
        <v>2019</v>
      </c>
      <c r="C3103" s="52" t="s">
        <v>123</v>
      </c>
      <c r="D3103" s="54">
        <v>3</v>
      </c>
      <c r="E3103" s="55">
        <v>128061.7</v>
      </c>
      <c r="F3103" s="55">
        <v>1009.9</v>
      </c>
      <c r="G3103" s="55">
        <v>129071.6</v>
      </c>
      <c r="H3103" s="55">
        <v>677541.5</v>
      </c>
      <c r="I3103" s="55">
        <v>5522</v>
      </c>
      <c r="J3103" s="55">
        <v>683063.5</v>
      </c>
      <c r="K3103" s="55">
        <v>108318.1</v>
      </c>
      <c r="L3103" s="55">
        <v>16152.6</v>
      </c>
      <c r="M3103" s="55">
        <v>64118.8</v>
      </c>
      <c r="N3103" s="55">
        <v>1477.5</v>
      </c>
    </row>
    <row r="3104" spans="1:14" ht="10.050000000000001" hidden="1" customHeight="1">
      <c r="A3104" s="52" t="s">
        <v>171</v>
      </c>
      <c r="B3104" s="53">
        <v>2019</v>
      </c>
      <c r="C3104" s="52" t="s">
        <v>123</v>
      </c>
      <c r="D3104" s="54">
        <v>3</v>
      </c>
      <c r="E3104" s="55">
        <v>1964412</v>
      </c>
      <c r="F3104" s="55">
        <v>8308.9</v>
      </c>
      <c r="G3104" s="55">
        <v>1972720.9</v>
      </c>
      <c r="H3104" s="55">
        <v>6330720.5999999903</v>
      </c>
      <c r="I3104" s="55">
        <v>63104.9</v>
      </c>
      <c r="J3104" s="55">
        <v>6393825.5</v>
      </c>
      <c r="K3104" s="55">
        <v>1601828.6</v>
      </c>
      <c r="L3104" s="55">
        <v>325777.90000000002</v>
      </c>
      <c r="M3104" s="55">
        <v>1038526.6</v>
      </c>
      <c r="N3104" s="55">
        <v>45847.7</v>
      </c>
    </row>
    <row r="3105" spans="1:14" ht="10.050000000000001" hidden="1" customHeight="1">
      <c r="A3105" s="52" t="s">
        <v>300</v>
      </c>
      <c r="B3105" s="53">
        <v>2019</v>
      </c>
      <c r="C3105" s="52" t="s">
        <v>123</v>
      </c>
      <c r="D3105" s="54">
        <v>3</v>
      </c>
      <c r="E3105" s="55">
        <v>825.2</v>
      </c>
      <c r="F3105" s="55">
        <v>80</v>
      </c>
      <c r="G3105" s="55">
        <v>905.2</v>
      </c>
      <c r="H3105" s="55">
        <v>8542.4</v>
      </c>
      <c r="I3105" s="55">
        <v>292.7</v>
      </c>
      <c r="J3105" s="55">
        <v>8835.1</v>
      </c>
      <c r="K3105" s="55">
        <v>27.2</v>
      </c>
      <c r="L3105" s="55">
        <v>0</v>
      </c>
      <c r="M3105" s="55">
        <v>1</v>
      </c>
      <c r="N3105" s="55">
        <v>44.7</v>
      </c>
    </row>
    <row r="3106" spans="1:14" ht="10.050000000000001" hidden="1" customHeight="1">
      <c r="A3106" s="52" t="s">
        <v>307</v>
      </c>
      <c r="B3106" s="53">
        <v>2019</v>
      </c>
      <c r="C3106" s="52" t="s">
        <v>123</v>
      </c>
      <c r="D3106" s="54">
        <v>3</v>
      </c>
      <c r="E3106" s="55">
        <v>346020.1</v>
      </c>
      <c r="F3106" s="55">
        <v>416.4</v>
      </c>
      <c r="G3106" s="55">
        <v>346436.5</v>
      </c>
      <c r="H3106" s="55">
        <v>3693621.9</v>
      </c>
      <c r="I3106" s="55">
        <v>56722.400000000001</v>
      </c>
      <c r="J3106" s="55">
        <v>3750344.3</v>
      </c>
      <c r="K3106" s="55">
        <v>1094786.8999999999</v>
      </c>
      <c r="L3106" s="55">
        <v>64336.800000000003</v>
      </c>
      <c r="M3106" s="55">
        <v>185359.4</v>
      </c>
      <c r="N3106" s="55">
        <v>86985.400000000096</v>
      </c>
    </row>
    <row r="3107" spans="1:14" ht="10.050000000000001" hidden="1" customHeight="1">
      <c r="A3107" s="52" t="s">
        <v>315</v>
      </c>
      <c r="B3107" s="53">
        <v>2019</v>
      </c>
      <c r="C3107" s="52" t="s">
        <v>123</v>
      </c>
      <c r="D3107" s="54">
        <v>3</v>
      </c>
      <c r="E3107" s="55">
        <v>1033.8</v>
      </c>
      <c r="F3107" s="55">
        <v>0</v>
      </c>
      <c r="G3107" s="55">
        <v>1033.8</v>
      </c>
      <c r="H3107" s="55">
        <v>12366.9</v>
      </c>
      <c r="I3107" s="55">
        <v>16.899999999999999</v>
      </c>
      <c r="J3107" s="55">
        <v>12383.8</v>
      </c>
      <c r="K3107" s="55">
        <v>1181.8</v>
      </c>
      <c r="L3107" s="55">
        <v>80.5</v>
      </c>
      <c r="M3107" s="55">
        <v>347.2</v>
      </c>
      <c r="N3107" s="55">
        <v>214.7</v>
      </c>
    </row>
    <row r="3108" spans="1:14" ht="10.050000000000001" hidden="1" customHeight="1">
      <c r="A3108" s="52" t="s">
        <v>311</v>
      </c>
      <c r="B3108" s="53">
        <v>2019</v>
      </c>
      <c r="C3108" s="52" t="s">
        <v>123</v>
      </c>
      <c r="D3108" s="54">
        <v>3</v>
      </c>
      <c r="E3108" s="55">
        <v>4</v>
      </c>
      <c r="F3108" s="55">
        <v>0</v>
      </c>
      <c r="G3108" s="55">
        <v>4</v>
      </c>
      <c r="H3108" s="55">
        <v>614.5</v>
      </c>
      <c r="I3108" s="55">
        <v>0</v>
      </c>
      <c r="J3108" s="55">
        <v>614.5</v>
      </c>
      <c r="K3108" s="55">
        <v>45.7</v>
      </c>
      <c r="L3108" s="55">
        <v>6.2</v>
      </c>
      <c r="M3108" s="55">
        <v>0</v>
      </c>
      <c r="N3108" s="55">
        <v>19.899999999999999</v>
      </c>
    </row>
    <row r="3109" spans="1:14" ht="10.050000000000001" hidden="1" customHeight="1">
      <c r="A3109" s="52" t="s">
        <v>173</v>
      </c>
      <c r="B3109" s="53">
        <v>2019</v>
      </c>
      <c r="C3109" s="52" t="s">
        <v>123</v>
      </c>
      <c r="D3109" s="54">
        <v>3</v>
      </c>
      <c r="E3109" s="55">
        <v>225722</v>
      </c>
      <c r="F3109" s="55">
        <v>3370.8</v>
      </c>
      <c r="G3109" s="55">
        <v>229092.8</v>
      </c>
      <c r="H3109" s="55">
        <v>3271869.2</v>
      </c>
      <c r="I3109" s="55">
        <v>19898.900000000001</v>
      </c>
      <c r="J3109" s="55">
        <v>3291768.1</v>
      </c>
      <c r="K3109" s="55">
        <v>287449.59999999998</v>
      </c>
      <c r="L3109" s="55">
        <v>27434.1</v>
      </c>
      <c r="M3109" s="55">
        <v>93037.7</v>
      </c>
      <c r="N3109" s="55">
        <v>23778.5</v>
      </c>
    </row>
    <row r="3110" spans="1:14" ht="10.050000000000001" customHeight="1">
      <c r="A3110" s="52" t="s">
        <v>309</v>
      </c>
      <c r="B3110" s="53">
        <v>2019</v>
      </c>
      <c r="C3110" s="52" t="s">
        <v>123</v>
      </c>
      <c r="D3110" s="54">
        <v>3</v>
      </c>
      <c r="E3110" s="55">
        <v>1136.4000000000001</v>
      </c>
      <c r="F3110" s="55">
        <v>0</v>
      </c>
      <c r="G3110" s="55">
        <v>1136.4000000000001</v>
      </c>
      <c r="H3110" s="55">
        <v>39423</v>
      </c>
      <c r="I3110" s="55">
        <v>0</v>
      </c>
      <c r="J3110" s="55">
        <v>39423</v>
      </c>
      <c r="K3110" s="55">
        <v>587</v>
      </c>
      <c r="L3110" s="55">
        <v>0</v>
      </c>
      <c r="M3110" s="55">
        <v>0</v>
      </c>
      <c r="N3110" s="55">
        <v>0</v>
      </c>
    </row>
    <row r="3111" spans="1:14" ht="10.050000000000001" hidden="1" customHeight="1">
      <c r="A3111" s="52" t="s">
        <v>316</v>
      </c>
      <c r="B3111" s="53">
        <v>2019</v>
      </c>
      <c r="C3111" s="52" t="s">
        <v>123</v>
      </c>
      <c r="D3111" s="54">
        <v>3</v>
      </c>
      <c r="E3111" s="55">
        <v>566.79999999999995</v>
      </c>
      <c r="F3111" s="55">
        <v>0</v>
      </c>
      <c r="G3111" s="55">
        <v>566.79999999999995</v>
      </c>
      <c r="H3111" s="55">
        <v>21460.799999999999</v>
      </c>
      <c r="I3111" s="55">
        <v>221.8</v>
      </c>
      <c r="J3111" s="55">
        <v>21682.6</v>
      </c>
      <c r="K3111" s="55">
        <v>702</v>
      </c>
      <c r="L3111" s="55">
        <v>14.1</v>
      </c>
      <c r="M3111" s="55">
        <v>167.8</v>
      </c>
      <c r="N3111" s="55">
        <v>6.7</v>
      </c>
    </row>
    <row r="3112" spans="1:14" ht="10.050000000000001" hidden="1" customHeight="1">
      <c r="A3112" s="52" t="s">
        <v>310</v>
      </c>
      <c r="B3112" s="53">
        <v>2019</v>
      </c>
      <c r="C3112" s="52" t="s">
        <v>123</v>
      </c>
      <c r="D3112" s="54">
        <v>3</v>
      </c>
      <c r="E3112" s="55">
        <v>1137.5</v>
      </c>
      <c r="F3112" s="55">
        <v>133.19999999999999</v>
      </c>
      <c r="G3112" s="55">
        <v>1270.7</v>
      </c>
      <c r="H3112" s="55">
        <v>16007.6</v>
      </c>
      <c r="I3112" s="55">
        <v>228.2</v>
      </c>
      <c r="J3112" s="55">
        <v>16235.8</v>
      </c>
      <c r="K3112" s="55">
        <v>1136.5999999999999</v>
      </c>
      <c r="L3112" s="55">
        <v>30.5</v>
      </c>
      <c r="M3112" s="55">
        <v>454.2</v>
      </c>
      <c r="N3112" s="55">
        <v>120.6</v>
      </c>
    </row>
    <row r="3113" spans="1:14" ht="10.050000000000001" hidden="1" customHeight="1">
      <c r="A3113" s="52" t="s">
        <v>308</v>
      </c>
      <c r="B3113" s="53">
        <v>2019</v>
      </c>
      <c r="C3113" s="52" t="s">
        <v>123</v>
      </c>
      <c r="D3113" s="54">
        <v>3</v>
      </c>
      <c r="E3113" s="55">
        <v>1799.6</v>
      </c>
      <c r="F3113" s="55">
        <v>0</v>
      </c>
      <c r="G3113" s="55">
        <v>1799.6</v>
      </c>
      <c r="H3113" s="55">
        <v>78338.600000000006</v>
      </c>
      <c r="I3113" s="55">
        <v>306.3</v>
      </c>
      <c r="J3113" s="55">
        <v>78644.899999999994</v>
      </c>
      <c r="K3113" s="55">
        <v>6615.2</v>
      </c>
      <c r="L3113" s="55">
        <v>95.5</v>
      </c>
      <c r="M3113" s="55">
        <v>889.5</v>
      </c>
      <c r="N3113" s="55">
        <v>340</v>
      </c>
    </row>
    <row r="3114" spans="1:14" ht="10.050000000000001" hidden="1" customHeight="1">
      <c r="A3114" s="52" t="s">
        <v>174</v>
      </c>
      <c r="B3114" s="53">
        <v>2019</v>
      </c>
      <c r="C3114" s="52" t="s">
        <v>123</v>
      </c>
      <c r="D3114" s="54">
        <v>3</v>
      </c>
      <c r="E3114" s="55">
        <v>7606.5</v>
      </c>
      <c r="F3114" s="55">
        <v>150.80000000000001</v>
      </c>
      <c r="G3114" s="55">
        <v>7757.3</v>
      </c>
      <c r="H3114" s="55">
        <v>138356.79999999999</v>
      </c>
      <c r="I3114" s="55">
        <v>6221.8</v>
      </c>
      <c r="J3114" s="55">
        <v>144578.6</v>
      </c>
      <c r="K3114" s="55">
        <v>46479.199999999997</v>
      </c>
      <c r="L3114" s="55">
        <v>2563.1</v>
      </c>
      <c r="M3114" s="55">
        <v>2904.2</v>
      </c>
      <c r="N3114" s="55">
        <v>5652.8</v>
      </c>
    </row>
    <row r="3115" spans="1:14" ht="10.050000000000001" hidden="1" customHeight="1">
      <c r="A3115" s="52" t="s">
        <v>314</v>
      </c>
      <c r="B3115" s="53">
        <v>2019</v>
      </c>
      <c r="C3115" s="52" t="s">
        <v>123</v>
      </c>
      <c r="D3115" s="54">
        <v>4</v>
      </c>
      <c r="E3115" s="55">
        <v>0</v>
      </c>
      <c r="F3115" s="55">
        <v>0</v>
      </c>
      <c r="G3115" s="55">
        <v>0</v>
      </c>
      <c r="H3115" s="55">
        <v>91.1</v>
      </c>
      <c r="I3115" s="55">
        <v>0</v>
      </c>
      <c r="J3115" s="55">
        <v>91.1</v>
      </c>
      <c r="K3115" s="55">
        <v>7.9</v>
      </c>
      <c r="L3115" s="55">
        <v>0</v>
      </c>
      <c r="M3115" s="55">
        <v>0</v>
      </c>
      <c r="N3115" s="55">
        <v>0</v>
      </c>
    </row>
    <row r="3116" spans="1:14" ht="10.050000000000001" hidden="1" customHeight="1">
      <c r="A3116" s="52" t="s">
        <v>306</v>
      </c>
      <c r="B3116" s="53">
        <v>2019</v>
      </c>
      <c r="C3116" s="52" t="s">
        <v>123</v>
      </c>
      <c r="D3116" s="54">
        <v>4</v>
      </c>
      <c r="E3116" s="55">
        <v>6043.2</v>
      </c>
      <c r="F3116" s="55">
        <v>69.2</v>
      </c>
      <c r="G3116" s="55">
        <v>6112.4</v>
      </c>
      <c r="H3116" s="55">
        <v>92164.9</v>
      </c>
      <c r="I3116" s="55">
        <v>2173.1</v>
      </c>
      <c r="J3116" s="55">
        <v>94338</v>
      </c>
      <c r="K3116" s="55">
        <v>7145.7</v>
      </c>
      <c r="L3116" s="55">
        <v>843</v>
      </c>
      <c r="M3116" s="55">
        <v>3339.5</v>
      </c>
      <c r="N3116" s="55">
        <v>503.8</v>
      </c>
    </row>
    <row r="3117" spans="1:14" ht="10.050000000000001" hidden="1" customHeight="1">
      <c r="A3117" s="52" t="s">
        <v>172</v>
      </c>
      <c r="B3117" s="53">
        <v>2019</v>
      </c>
      <c r="C3117" s="52" t="s">
        <v>123</v>
      </c>
      <c r="D3117" s="54">
        <v>4</v>
      </c>
      <c r="E3117" s="55">
        <v>82926.399999999994</v>
      </c>
      <c r="F3117" s="55">
        <v>131.6</v>
      </c>
      <c r="G3117" s="55">
        <v>83058</v>
      </c>
      <c r="H3117" s="55">
        <v>560270.9</v>
      </c>
      <c r="I3117" s="55">
        <v>5029.8999999999996</v>
      </c>
      <c r="J3117" s="55">
        <v>565300.80000000005</v>
      </c>
      <c r="K3117" s="55">
        <v>78636.600000000006</v>
      </c>
      <c r="L3117" s="55">
        <v>10680.3</v>
      </c>
      <c r="M3117" s="55">
        <v>38635.5</v>
      </c>
      <c r="N3117" s="55">
        <v>2215.5</v>
      </c>
    </row>
    <row r="3118" spans="1:14" ht="10.050000000000001" hidden="1" customHeight="1">
      <c r="A3118" s="52" t="s">
        <v>171</v>
      </c>
      <c r="B3118" s="53">
        <v>2019</v>
      </c>
      <c r="C3118" s="52" t="s">
        <v>123</v>
      </c>
      <c r="D3118" s="54">
        <v>4</v>
      </c>
      <c r="E3118" s="55">
        <v>1378919.1</v>
      </c>
      <c r="F3118" s="55">
        <v>2769.6</v>
      </c>
      <c r="G3118" s="55">
        <v>1381688.7</v>
      </c>
      <c r="H3118" s="55">
        <v>4580355.5</v>
      </c>
      <c r="I3118" s="55">
        <v>60227.5</v>
      </c>
      <c r="J3118" s="55">
        <v>4640583</v>
      </c>
      <c r="K3118" s="55">
        <v>1035815.9</v>
      </c>
      <c r="L3118" s="55">
        <v>216011.7</v>
      </c>
      <c r="M3118" s="55">
        <v>728681.6</v>
      </c>
      <c r="N3118" s="55">
        <v>47642.6</v>
      </c>
    </row>
    <row r="3119" spans="1:14" ht="10.050000000000001" hidden="1" customHeight="1">
      <c r="A3119" s="52" t="s">
        <v>300</v>
      </c>
      <c r="B3119" s="53">
        <v>2019</v>
      </c>
      <c r="C3119" s="52" t="s">
        <v>123</v>
      </c>
      <c r="D3119" s="54">
        <v>4</v>
      </c>
      <c r="E3119" s="55">
        <v>434.9</v>
      </c>
      <c r="F3119" s="55">
        <v>0</v>
      </c>
      <c r="G3119" s="55">
        <v>434.9</v>
      </c>
      <c r="H3119" s="55">
        <v>7893.8</v>
      </c>
      <c r="I3119" s="55">
        <v>288.8</v>
      </c>
      <c r="J3119" s="55">
        <v>8182.6</v>
      </c>
      <c r="K3119" s="55">
        <v>39.700000000000003</v>
      </c>
      <c r="L3119" s="55">
        <v>21</v>
      </c>
      <c r="M3119" s="55">
        <v>0</v>
      </c>
      <c r="N3119" s="55">
        <v>8.5</v>
      </c>
    </row>
    <row r="3120" spans="1:14" ht="10.050000000000001" hidden="1" customHeight="1">
      <c r="A3120" s="52" t="s">
        <v>307</v>
      </c>
      <c r="B3120" s="53">
        <v>2019</v>
      </c>
      <c r="C3120" s="52" t="s">
        <v>123</v>
      </c>
      <c r="D3120" s="54">
        <v>4</v>
      </c>
      <c r="E3120" s="55">
        <v>228867.6</v>
      </c>
      <c r="F3120" s="55">
        <v>181.9</v>
      </c>
      <c r="G3120" s="55">
        <v>229049.5</v>
      </c>
      <c r="H3120" s="55">
        <v>3016451.2</v>
      </c>
      <c r="I3120" s="55">
        <v>53895.1</v>
      </c>
      <c r="J3120" s="55">
        <v>3070346.3</v>
      </c>
      <c r="K3120" s="55">
        <v>956874</v>
      </c>
      <c r="L3120" s="55">
        <v>29988.2</v>
      </c>
      <c r="M3120" s="55">
        <v>118263.9</v>
      </c>
      <c r="N3120" s="55">
        <v>48455.3</v>
      </c>
    </row>
    <row r="3121" spans="1:14" ht="10.050000000000001" hidden="1" customHeight="1">
      <c r="A3121" s="52" t="s">
        <v>315</v>
      </c>
      <c r="B3121" s="53">
        <v>2019</v>
      </c>
      <c r="C3121" s="52" t="s">
        <v>123</v>
      </c>
      <c r="D3121" s="54">
        <v>4</v>
      </c>
      <c r="E3121" s="55">
        <v>618</v>
      </c>
      <c r="F3121" s="55">
        <v>0</v>
      </c>
      <c r="G3121" s="55">
        <v>618</v>
      </c>
      <c r="H3121" s="55">
        <v>9667.6</v>
      </c>
      <c r="I3121" s="55">
        <v>16.899999999999999</v>
      </c>
      <c r="J3121" s="55">
        <v>9684.5</v>
      </c>
      <c r="K3121" s="55">
        <v>688.8</v>
      </c>
      <c r="L3121" s="55">
        <v>29.5</v>
      </c>
      <c r="M3121" s="55">
        <v>522.5</v>
      </c>
      <c r="N3121" s="55">
        <v>0</v>
      </c>
    </row>
    <row r="3122" spans="1:14" ht="10.050000000000001" hidden="1" customHeight="1">
      <c r="A3122" s="52" t="s">
        <v>311</v>
      </c>
      <c r="B3122" s="53">
        <v>2019</v>
      </c>
      <c r="C3122" s="52" t="s">
        <v>123</v>
      </c>
      <c r="D3122" s="54">
        <v>4</v>
      </c>
      <c r="E3122" s="55">
        <v>83.2</v>
      </c>
      <c r="F3122" s="55">
        <v>0</v>
      </c>
      <c r="G3122" s="55">
        <v>83.2</v>
      </c>
      <c r="H3122" s="55">
        <v>465.1</v>
      </c>
      <c r="I3122" s="55">
        <v>0</v>
      </c>
      <c r="J3122" s="55">
        <v>465.1</v>
      </c>
      <c r="K3122" s="55">
        <v>33.4</v>
      </c>
      <c r="L3122" s="55">
        <v>0</v>
      </c>
      <c r="M3122" s="55">
        <v>0.6</v>
      </c>
      <c r="N3122" s="55">
        <v>11.8</v>
      </c>
    </row>
    <row r="3123" spans="1:14" ht="10.050000000000001" hidden="1" customHeight="1">
      <c r="A3123" s="52" t="s">
        <v>173</v>
      </c>
      <c r="B3123" s="53">
        <v>2019</v>
      </c>
      <c r="C3123" s="52" t="s">
        <v>123</v>
      </c>
      <c r="D3123" s="54">
        <v>4</v>
      </c>
      <c r="E3123" s="55">
        <v>205019.3</v>
      </c>
      <c r="F3123" s="55">
        <v>2763</v>
      </c>
      <c r="G3123" s="55">
        <v>207782.3</v>
      </c>
      <c r="H3123" s="55">
        <v>2533250.1</v>
      </c>
      <c r="I3123" s="55">
        <v>17787.2</v>
      </c>
      <c r="J3123" s="55">
        <v>2551037.2999999998</v>
      </c>
      <c r="K3123" s="55">
        <v>181077.6</v>
      </c>
      <c r="L3123" s="55">
        <v>14851.5</v>
      </c>
      <c r="M3123" s="55">
        <v>90706.4</v>
      </c>
      <c r="N3123" s="55">
        <v>29979.5</v>
      </c>
    </row>
    <row r="3124" spans="1:14" ht="10.050000000000001" customHeight="1">
      <c r="A3124" s="52" t="s">
        <v>309</v>
      </c>
      <c r="B3124" s="53">
        <v>2019</v>
      </c>
      <c r="C3124" s="52" t="s">
        <v>123</v>
      </c>
      <c r="D3124" s="54">
        <v>4</v>
      </c>
      <c r="E3124" s="55">
        <v>464.3</v>
      </c>
      <c r="F3124" s="55">
        <v>0</v>
      </c>
      <c r="G3124" s="55">
        <v>464.3</v>
      </c>
      <c r="H3124" s="55">
        <v>31989.4</v>
      </c>
      <c r="I3124" s="55">
        <v>0</v>
      </c>
      <c r="J3124" s="55">
        <v>31989.4</v>
      </c>
      <c r="K3124" s="55">
        <v>587</v>
      </c>
      <c r="L3124" s="55">
        <v>0</v>
      </c>
      <c r="M3124" s="55">
        <v>0</v>
      </c>
      <c r="N3124" s="55">
        <v>0</v>
      </c>
    </row>
    <row r="3125" spans="1:14" ht="10.050000000000001" hidden="1" customHeight="1">
      <c r="A3125" s="52" t="s">
        <v>316</v>
      </c>
      <c r="B3125" s="53">
        <v>2019</v>
      </c>
      <c r="C3125" s="52" t="s">
        <v>123</v>
      </c>
      <c r="D3125" s="54">
        <v>4</v>
      </c>
      <c r="E3125" s="55">
        <v>397.7</v>
      </c>
      <c r="F3125" s="55">
        <v>120.2</v>
      </c>
      <c r="G3125" s="55">
        <v>517.9</v>
      </c>
      <c r="H3125" s="55">
        <v>20352.7</v>
      </c>
      <c r="I3125" s="55">
        <v>198.1</v>
      </c>
      <c r="J3125" s="55">
        <v>20550.8</v>
      </c>
      <c r="K3125" s="55">
        <v>549.1</v>
      </c>
      <c r="L3125" s="55">
        <v>66.5</v>
      </c>
      <c r="M3125" s="55">
        <v>67.400000000000006</v>
      </c>
      <c r="N3125" s="55">
        <v>5.3</v>
      </c>
    </row>
    <row r="3126" spans="1:14" ht="10.050000000000001" hidden="1" customHeight="1">
      <c r="A3126" s="52" t="s">
        <v>310</v>
      </c>
      <c r="B3126" s="53">
        <v>2019</v>
      </c>
      <c r="C3126" s="52" t="s">
        <v>123</v>
      </c>
      <c r="D3126" s="54">
        <v>4</v>
      </c>
      <c r="E3126" s="55">
        <v>667.6</v>
      </c>
      <c r="F3126" s="55">
        <v>0</v>
      </c>
      <c r="G3126" s="55">
        <v>667.6</v>
      </c>
      <c r="H3126" s="55">
        <v>14242.1</v>
      </c>
      <c r="I3126" s="55">
        <v>218.1</v>
      </c>
      <c r="J3126" s="55">
        <v>14460.2</v>
      </c>
      <c r="K3126" s="55">
        <v>917.8</v>
      </c>
      <c r="L3126" s="55">
        <v>73.7</v>
      </c>
      <c r="M3126" s="55">
        <v>256.2</v>
      </c>
      <c r="N3126" s="55">
        <v>36.4</v>
      </c>
    </row>
    <row r="3127" spans="1:14" ht="10.050000000000001" hidden="1" customHeight="1">
      <c r="A3127" s="52" t="s">
        <v>308</v>
      </c>
      <c r="B3127" s="53">
        <v>2019</v>
      </c>
      <c r="C3127" s="52" t="s">
        <v>123</v>
      </c>
      <c r="D3127" s="54">
        <v>4</v>
      </c>
      <c r="E3127" s="55">
        <v>1360.5</v>
      </c>
      <c r="F3127" s="55">
        <v>0</v>
      </c>
      <c r="G3127" s="55">
        <v>1360.5</v>
      </c>
      <c r="H3127" s="55">
        <v>62050.6</v>
      </c>
      <c r="I3127" s="55">
        <v>306.3</v>
      </c>
      <c r="J3127" s="55">
        <v>62356.9</v>
      </c>
      <c r="K3127" s="55">
        <v>5226.6000000000004</v>
      </c>
      <c r="L3127" s="55">
        <v>56.8</v>
      </c>
      <c r="M3127" s="55">
        <v>977</v>
      </c>
      <c r="N3127" s="55">
        <v>468.8</v>
      </c>
    </row>
    <row r="3128" spans="1:14" ht="10.050000000000001" hidden="1" customHeight="1">
      <c r="A3128" s="52" t="s">
        <v>174</v>
      </c>
      <c r="B3128" s="53">
        <v>2019</v>
      </c>
      <c r="C3128" s="52" t="s">
        <v>123</v>
      </c>
      <c r="D3128" s="54">
        <v>4</v>
      </c>
      <c r="E3128" s="55">
        <v>8303.4</v>
      </c>
      <c r="F3128" s="55">
        <v>14.2</v>
      </c>
      <c r="G3128" s="55">
        <v>8317.6</v>
      </c>
      <c r="H3128" s="55">
        <v>109428.3</v>
      </c>
      <c r="I3128" s="55">
        <v>6112.4</v>
      </c>
      <c r="J3128" s="55">
        <v>115540.7</v>
      </c>
      <c r="K3128" s="55">
        <v>37422.199999999997</v>
      </c>
      <c r="L3128" s="55">
        <v>813.4</v>
      </c>
      <c r="M3128" s="55">
        <v>4177.2</v>
      </c>
      <c r="N3128" s="55">
        <v>5791</v>
      </c>
    </row>
    <row r="3129" spans="1:14" ht="10.050000000000001" hidden="1" customHeight="1">
      <c r="A3129" s="52" t="s">
        <v>314</v>
      </c>
      <c r="B3129" s="53">
        <v>2019</v>
      </c>
      <c r="C3129" s="52" t="s">
        <v>123</v>
      </c>
      <c r="D3129" s="54">
        <v>5</v>
      </c>
      <c r="E3129" s="55">
        <v>0</v>
      </c>
      <c r="F3129" s="55">
        <v>0</v>
      </c>
      <c r="G3129" s="55">
        <v>0</v>
      </c>
      <c r="H3129" s="55">
        <v>79.900000000000006</v>
      </c>
      <c r="I3129" s="55">
        <v>0</v>
      </c>
      <c r="J3129" s="55">
        <v>79.900000000000006</v>
      </c>
      <c r="K3129" s="55">
        <v>7.9</v>
      </c>
      <c r="L3129" s="55">
        <v>0</v>
      </c>
      <c r="M3129" s="55">
        <v>0</v>
      </c>
      <c r="N3129" s="55">
        <v>0</v>
      </c>
    </row>
    <row r="3130" spans="1:14" ht="10.050000000000001" hidden="1" customHeight="1">
      <c r="A3130" s="52" t="s">
        <v>306</v>
      </c>
      <c r="B3130" s="53">
        <v>2019</v>
      </c>
      <c r="C3130" s="52" t="s">
        <v>123</v>
      </c>
      <c r="D3130" s="54">
        <v>5</v>
      </c>
      <c r="E3130" s="55">
        <v>5646.4</v>
      </c>
      <c r="F3130" s="55">
        <v>0</v>
      </c>
      <c r="G3130" s="55">
        <v>5646.4</v>
      </c>
      <c r="H3130" s="55">
        <v>73599.899999999994</v>
      </c>
      <c r="I3130" s="55">
        <v>1843.5</v>
      </c>
      <c r="J3130" s="55">
        <v>75443.399999999994</v>
      </c>
      <c r="K3130" s="55">
        <v>4205</v>
      </c>
      <c r="L3130" s="55">
        <v>458</v>
      </c>
      <c r="M3130" s="55">
        <v>2805.7</v>
      </c>
      <c r="N3130" s="55">
        <v>613.1</v>
      </c>
    </row>
    <row r="3131" spans="1:14" ht="10.050000000000001" hidden="1" customHeight="1">
      <c r="A3131" s="52" t="s">
        <v>172</v>
      </c>
      <c r="B3131" s="53">
        <v>2019</v>
      </c>
      <c r="C3131" s="52" t="s">
        <v>123</v>
      </c>
      <c r="D3131" s="54">
        <v>5</v>
      </c>
      <c r="E3131" s="55">
        <v>69993.899999999994</v>
      </c>
      <c r="F3131" s="55">
        <v>129.80000000000001</v>
      </c>
      <c r="G3131" s="55">
        <v>70123.7</v>
      </c>
      <c r="H3131" s="55">
        <v>385488.6</v>
      </c>
      <c r="I3131" s="55">
        <v>4620.8</v>
      </c>
      <c r="J3131" s="55">
        <v>390109.4</v>
      </c>
      <c r="K3131" s="55">
        <v>65544.800000000003</v>
      </c>
      <c r="L3131" s="55">
        <v>14264.6</v>
      </c>
      <c r="M3131" s="55">
        <v>24851.4</v>
      </c>
      <c r="N3131" s="55">
        <v>2494.4</v>
      </c>
    </row>
    <row r="3132" spans="1:14" ht="10.050000000000001" hidden="1" customHeight="1">
      <c r="A3132" s="52" t="s">
        <v>171</v>
      </c>
      <c r="B3132" s="53">
        <v>2019</v>
      </c>
      <c r="C3132" s="52" t="s">
        <v>123</v>
      </c>
      <c r="D3132" s="54">
        <v>5</v>
      </c>
      <c r="E3132" s="55">
        <v>1388710.9</v>
      </c>
      <c r="F3132" s="55">
        <v>1655.2</v>
      </c>
      <c r="G3132" s="55">
        <v>1390366.1</v>
      </c>
      <c r="H3132" s="55">
        <v>3347834.8</v>
      </c>
      <c r="I3132" s="55">
        <v>49373.7</v>
      </c>
      <c r="J3132" s="55">
        <v>3397208.5</v>
      </c>
      <c r="K3132" s="55">
        <v>341818.1</v>
      </c>
      <c r="L3132" s="55">
        <v>178527.9</v>
      </c>
      <c r="M3132" s="55">
        <v>844214</v>
      </c>
      <c r="N3132" s="55">
        <v>28099.1</v>
      </c>
    </row>
    <row r="3133" spans="1:14" ht="10.050000000000001" hidden="1" customHeight="1">
      <c r="A3133" s="52" t="s">
        <v>300</v>
      </c>
      <c r="B3133" s="53">
        <v>2019</v>
      </c>
      <c r="C3133" s="52" t="s">
        <v>123</v>
      </c>
      <c r="D3133" s="54">
        <v>5</v>
      </c>
      <c r="E3133" s="55">
        <v>482.9</v>
      </c>
      <c r="F3133" s="55">
        <v>0</v>
      </c>
      <c r="G3133" s="55">
        <v>482.9</v>
      </c>
      <c r="H3133" s="55">
        <v>7258.4</v>
      </c>
      <c r="I3133" s="55">
        <v>285</v>
      </c>
      <c r="J3133" s="55">
        <v>7543.4</v>
      </c>
      <c r="K3133" s="55">
        <v>28.1</v>
      </c>
      <c r="L3133" s="55">
        <v>0</v>
      </c>
      <c r="M3133" s="55">
        <v>1.5</v>
      </c>
      <c r="N3133" s="55">
        <v>10.1</v>
      </c>
    </row>
    <row r="3134" spans="1:14" ht="10.050000000000001" hidden="1" customHeight="1">
      <c r="A3134" s="52" t="s">
        <v>307</v>
      </c>
      <c r="B3134" s="53">
        <v>2019</v>
      </c>
      <c r="C3134" s="52" t="s">
        <v>123</v>
      </c>
      <c r="D3134" s="54">
        <v>5</v>
      </c>
      <c r="E3134" s="55">
        <v>299049.90000000002</v>
      </c>
      <c r="F3134" s="55">
        <v>0</v>
      </c>
      <c r="G3134" s="55">
        <v>299049.90000000002</v>
      </c>
      <c r="H3134" s="55">
        <v>2354621.5</v>
      </c>
      <c r="I3134" s="55">
        <v>53677.8</v>
      </c>
      <c r="J3134" s="55">
        <v>2408299.2999999998</v>
      </c>
      <c r="K3134" s="55">
        <v>754781.4</v>
      </c>
      <c r="L3134" s="55">
        <v>33040.400000000001</v>
      </c>
      <c r="M3134" s="55">
        <v>172562.3</v>
      </c>
      <c r="N3134" s="55">
        <v>62576.4</v>
      </c>
    </row>
    <row r="3135" spans="1:14" ht="10.050000000000001" hidden="1" customHeight="1">
      <c r="A3135" s="52" t="s">
        <v>315</v>
      </c>
      <c r="B3135" s="53">
        <v>2019</v>
      </c>
      <c r="C3135" s="52" t="s">
        <v>123</v>
      </c>
      <c r="D3135" s="54">
        <v>5</v>
      </c>
      <c r="E3135" s="55">
        <v>91.1</v>
      </c>
      <c r="F3135" s="55">
        <v>0</v>
      </c>
      <c r="G3135" s="55">
        <v>91.1</v>
      </c>
      <c r="H3135" s="55">
        <v>6518.3</v>
      </c>
      <c r="I3135" s="55">
        <v>16.899999999999999</v>
      </c>
      <c r="J3135" s="55">
        <v>6535.2</v>
      </c>
      <c r="K3135" s="55">
        <v>589.4</v>
      </c>
      <c r="L3135" s="55">
        <v>11.6</v>
      </c>
      <c r="M3135" s="55">
        <v>83.7</v>
      </c>
      <c r="N3135" s="55">
        <v>27.3</v>
      </c>
    </row>
    <row r="3136" spans="1:14" ht="10.050000000000001" hidden="1" customHeight="1">
      <c r="A3136" s="52" t="s">
        <v>311</v>
      </c>
      <c r="B3136" s="53">
        <v>2019</v>
      </c>
      <c r="C3136" s="52" t="s">
        <v>123</v>
      </c>
      <c r="D3136" s="54">
        <v>5</v>
      </c>
      <c r="E3136" s="55">
        <v>24.2</v>
      </c>
      <c r="F3136" s="55">
        <v>0</v>
      </c>
      <c r="G3136" s="55">
        <v>24.2</v>
      </c>
      <c r="H3136" s="55">
        <v>458.8</v>
      </c>
      <c r="I3136" s="55">
        <v>0</v>
      </c>
      <c r="J3136" s="55">
        <v>458.8</v>
      </c>
      <c r="K3136" s="55">
        <v>31.1</v>
      </c>
      <c r="L3136" s="55">
        <v>0</v>
      </c>
      <c r="M3136" s="55">
        <v>0</v>
      </c>
      <c r="N3136" s="55">
        <v>2.2999999999999998</v>
      </c>
    </row>
    <row r="3137" spans="1:14" ht="10.050000000000001" hidden="1" customHeight="1">
      <c r="A3137" s="52" t="s">
        <v>173</v>
      </c>
      <c r="B3137" s="53">
        <v>2019</v>
      </c>
      <c r="C3137" s="52" t="s">
        <v>123</v>
      </c>
      <c r="D3137" s="54">
        <v>5</v>
      </c>
      <c r="E3137" s="55">
        <v>163111.5</v>
      </c>
      <c r="F3137" s="55">
        <v>601.20000000000005</v>
      </c>
      <c r="G3137" s="55">
        <v>163712.70000000001</v>
      </c>
      <c r="H3137" s="55">
        <v>1899248.9</v>
      </c>
      <c r="I3137" s="55">
        <v>14739.6</v>
      </c>
      <c r="J3137" s="55">
        <v>1913988.5</v>
      </c>
      <c r="K3137" s="55">
        <v>98383.500000000102</v>
      </c>
      <c r="L3137" s="55">
        <v>24130.400000000001</v>
      </c>
      <c r="M3137" s="55">
        <v>87963.6</v>
      </c>
      <c r="N3137" s="55">
        <v>20323.900000000001</v>
      </c>
    </row>
    <row r="3138" spans="1:14" ht="10.050000000000001" customHeight="1">
      <c r="A3138" s="52" t="s">
        <v>309</v>
      </c>
      <c r="B3138" s="53">
        <v>2019</v>
      </c>
      <c r="C3138" s="52" t="s">
        <v>123</v>
      </c>
      <c r="D3138" s="54">
        <v>5</v>
      </c>
      <c r="E3138" s="55">
        <v>1252</v>
      </c>
      <c r="F3138" s="55">
        <v>0</v>
      </c>
      <c r="G3138" s="55">
        <v>1252</v>
      </c>
      <c r="H3138" s="55">
        <v>43002.3</v>
      </c>
      <c r="I3138" s="55">
        <v>0</v>
      </c>
      <c r="J3138" s="55">
        <v>43002.3</v>
      </c>
      <c r="K3138" s="55">
        <v>561</v>
      </c>
      <c r="L3138" s="55">
        <v>0</v>
      </c>
      <c r="M3138" s="55">
        <v>26</v>
      </c>
      <c r="N3138" s="55">
        <v>0</v>
      </c>
    </row>
    <row r="3139" spans="1:14" ht="10.050000000000001" hidden="1" customHeight="1">
      <c r="A3139" s="52" t="s">
        <v>316</v>
      </c>
      <c r="B3139" s="53">
        <v>2019</v>
      </c>
      <c r="C3139" s="52" t="s">
        <v>123</v>
      </c>
      <c r="D3139" s="54">
        <v>5</v>
      </c>
      <c r="E3139" s="55">
        <v>353.8</v>
      </c>
      <c r="F3139" s="55">
        <v>3.3</v>
      </c>
      <c r="G3139" s="55">
        <v>357.1</v>
      </c>
      <c r="H3139" s="55">
        <v>19075</v>
      </c>
      <c r="I3139" s="55">
        <v>193.7</v>
      </c>
      <c r="J3139" s="55">
        <v>19268.7</v>
      </c>
      <c r="K3139" s="55">
        <v>451</v>
      </c>
      <c r="L3139" s="55">
        <v>0.7</v>
      </c>
      <c r="M3139" s="55">
        <v>87.7</v>
      </c>
      <c r="N3139" s="55">
        <v>11</v>
      </c>
    </row>
    <row r="3140" spans="1:14" ht="10.050000000000001" hidden="1" customHeight="1">
      <c r="A3140" s="52" t="s">
        <v>310</v>
      </c>
      <c r="B3140" s="53">
        <v>2019</v>
      </c>
      <c r="C3140" s="52" t="s">
        <v>123</v>
      </c>
      <c r="D3140" s="54">
        <v>5</v>
      </c>
      <c r="E3140" s="55">
        <v>643.79999999999995</v>
      </c>
      <c r="F3140" s="55">
        <v>179.4</v>
      </c>
      <c r="G3140" s="55">
        <v>823.2</v>
      </c>
      <c r="H3140" s="55">
        <v>11998.4</v>
      </c>
      <c r="I3140" s="55">
        <v>216.2</v>
      </c>
      <c r="J3140" s="55">
        <v>12214.6</v>
      </c>
      <c r="K3140" s="55">
        <v>641.9</v>
      </c>
      <c r="L3140" s="55">
        <v>23.9</v>
      </c>
      <c r="M3140" s="55">
        <v>215.4</v>
      </c>
      <c r="N3140" s="55">
        <v>88.8</v>
      </c>
    </row>
    <row r="3141" spans="1:14" ht="10.050000000000001" hidden="1" customHeight="1">
      <c r="A3141" s="52" t="s">
        <v>308</v>
      </c>
      <c r="B3141" s="53">
        <v>2019</v>
      </c>
      <c r="C3141" s="52" t="s">
        <v>123</v>
      </c>
      <c r="D3141" s="54">
        <v>5</v>
      </c>
      <c r="E3141" s="55">
        <v>1694.5</v>
      </c>
      <c r="F3141" s="55">
        <v>0</v>
      </c>
      <c r="G3141" s="55">
        <v>1694.5</v>
      </c>
      <c r="H3141" s="55">
        <v>47998.8</v>
      </c>
      <c r="I3141" s="55">
        <v>254.7</v>
      </c>
      <c r="J3141" s="55">
        <v>48253.5</v>
      </c>
      <c r="K3141" s="55">
        <v>3214.8</v>
      </c>
      <c r="L3141" s="55">
        <v>59</v>
      </c>
      <c r="M3141" s="55">
        <v>1289.0999999999999</v>
      </c>
      <c r="N3141" s="55">
        <v>781.8</v>
      </c>
    </row>
    <row r="3142" spans="1:14" ht="10.050000000000001" hidden="1" customHeight="1">
      <c r="A3142" s="52" t="s">
        <v>174</v>
      </c>
      <c r="B3142" s="53">
        <v>2019</v>
      </c>
      <c r="C3142" s="52" t="s">
        <v>123</v>
      </c>
      <c r="D3142" s="54">
        <v>5</v>
      </c>
      <c r="E3142" s="55">
        <v>8144</v>
      </c>
      <c r="F3142" s="55">
        <v>-84.5</v>
      </c>
      <c r="G3142" s="55">
        <v>8059.5</v>
      </c>
      <c r="H3142" s="55">
        <v>79169.7</v>
      </c>
      <c r="I3142" s="55">
        <v>6067.9</v>
      </c>
      <c r="J3142" s="55">
        <v>85237.6</v>
      </c>
      <c r="K3142" s="55">
        <v>28397.7</v>
      </c>
      <c r="L3142" s="55">
        <v>870.6</v>
      </c>
      <c r="M3142" s="55">
        <v>4571</v>
      </c>
      <c r="N3142" s="55">
        <v>5568.6</v>
      </c>
    </row>
    <row r="3143" spans="1:14" ht="10.050000000000001" hidden="1" customHeight="1">
      <c r="A3143" s="52" t="s">
        <v>314</v>
      </c>
      <c r="B3143" s="53">
        <v>2019</v>
      </c>
      <c r="C3143" s="52" t="s">
        <v>123</v>
      </c>
      <c r="D3143" s="54">
        <v>6</v>
      </c>
      <c r="E3143" s="55">
        <v>0</v>
      </c>
      <c r="F3143" s="55">
        <v>0</v>
      </c>
      <c r="G3143" s="55">
        <v>0</v>
      </c>
      <c r="H3143" s="55">
        <v>57.4</v>
      </c>
      <c r="I3143" s="55">
        <v>0</v>
      </c>
      <c r="J3143" s="55">
        <v>57.4</v>
      </c>
      <c r="K3143" s="55">
        <v>7.9</v>
      </c>
      <c r="L3143" s="55">
        <v>0</v>
      </c>
      <c r="M3143" s="55">
        <v>0</v>
      </c>
      <c r="N3143" s="55">
        <v>0</v>
      </c>
    </row>
    <row r="3144" spans="1:14" ht="10.050000000000001" hidden="1" customHeight="1">
      <c r="A3144" s="52" t="s">
        <v>306</v>
      </c>
      <c r="B3144" s="53">
        <v>2019</v>
      </c>
      <c r="C3144" s="52" t="s">
        <v>123</v>
      </c>
      <c r="D3144" s="54">
        <v>6</v>
      </c>
      <c r="E3144" s="55">
        <v>4522.2</v>
      </c>
      <c r="F3144" s="55">
        <v>39.200000000000003</v>
      </c>
      <c r="G3144" s="55">
        <v>4561.3999999999996</v>
      </c>
      <c r="H3144" s="55">
        <v>49493.8</v>
      </c>
      <c r="I3144" s="55">
        <v>1215</v>
      </c>
      <c r="J3144" s="55">
        <v>50708.800000000003</v>
      </c>
      <c r="K3144" s="55">
        <v>1944.3</v>
      </c>
      <c r="L3144" s="55">
        <v>587.9</v>
      </c>
      <c r="M3144" s="55">
        <v>1822</v>
      </c>
      <c r="N3144" s="55">
        <v>1063.8</v>
      </c>
    </row>
    <row r="3145" spans="1:14" ht="10.050000000000001" hidden="1" customHeight="1">
      <c r="A3145" s="52" t="s">
        <v>172</v>
      </c>
      <c r="B3145" s="53">
        <v>2019</v>
      </c>
      <c r="C3145" s="52" t="s">
        <v>123</v>
      </c>
      <c r="D3145" s="54">
        <v>6</v>
      </c>
      <c r="E3145" s="55">
        <v>46049.1</v>
      </c>
      <c r="F3145" s="55">
        <v>0</v>
      </c>
      <c r="G3145" s="55">
        <v>46049.1</v>
      </c>
      <c r="H3145" s="55">
        <v>264890.40000000002</v>
      </c>
      <c r="I3145" s="55">
        <v>3871.1</v>
      </c>
      <c r="J3145" s="55">
        <v>268761.5</v>
      </c>
      <c r="K3145" s="55">
        <v>60872.1</v>
      </c>
      <c r="L3145" s="55">
        <v>14566.4</v>
      </c>
      <c r="M3145" s="55">
        <v>12939.8</v>
      </c>
      <c r="N3145" s="55">
        <v>5856.7</v>
      </c>
    </row>
    <row r="3146" spans="1:14" ht="10.050000000000001" hidden="1" customHeight="1">
      <c r="A3146" s="52" t="s">
        <v>171</v>
      </c>
      <c r="B3146" s="53">
        <v>2019</v>
      </c>
      <c r="C3146" s="52" t="s">
        <v>123</v>
      </c>
      <c r="D3146" s="54">
        <v>6</v>
      </c>
      <c r="E3146" s="55">
        <v>618177</v>
      </c>
      <c r="F3146" s="55">
        <v>1084.5</v>
      </c>
      <c r="G3146" s="55">
        <v>619261.5</v>
      </c>
      <c r="H3146" s="55">
        <v>1813247.4</v>
      </c>
      <c r="I3146" s="55">
        <v>34932.800000000003</v>
      </c>
      <c r="J3146" s="55">
        <v>1848180.2</v>
      </c>
      <c r="K3146" s="55">
        <v>129650.8</v>
      </c>
      <c r="L3146" s="55">
        <v>119856.7</v>
      </c>
      <c r="M3146" s="55">
        <v>266891.09999999998</v>
      </c>
      <c r="N3146" s="55">
        <v>72972.3</v>
      </c>
    </row>
    <row r="3147" spans="1:14" ht="10.050000000000001" hidden="1" customHeight="1">
      <c r="A3147" s="52" t="s">
        <v>300</v>
      </c>
      <c r="B3147" s="53">
        <v>2019</v>
      </c>
      <c r="C3147" s="52" t="s">
        <v>123</v>
      </c>
      <c r="D3147" s="54">
        <v>6</v>
      </c>
      <c r="E3147" s="55">
        <v>1317.8</v>
      </c>
      <c r="F3147" s="55">
        <v>0</v>
      </c>
      <c r="G3147" s="55">
        <v>1317.8</v>
      </c>
      <c r="H3147" s="55">
        <v>5809.3</v>
      </c>
      <c r="I3147" s="55">
        <v>73.7</v>
      </c>
      <c r="J3147" s="55">
        <v>5883</v>
      </c>
      <c r="K3147" s="55">
        <v>21.7</v>
      </c>
      <c r="L3147" s="55">
        <v>27.9</v>
      </c>
      <c r="M3147" s="55">
        <v>27.9</v>
      </c>
      <c r="N3147" s="55">
        <v>6.4</v>
      </c>
    </row>
    <row r="3148" spans="1:14" ht="10.050000000000001" hidden="1" customHeight="1">
      <c r="A3148" s="52" t="s">
        <v>307</v>
      </c>
      <c r="B3148" s="53">
        <v>2019</v>
      </c>
      <c r="C3148" s="52" t="s">
        <v>123</v>
      </c>
      <c r="D3148" s="54">
        <v>6</v>
      </c>
      <c r="E3148" s="55">
        <v>503551.5</v>
      </c>
      <c r="F3148" s="55">
        <v>8592</v>
      </c>
      <c r="G3148" s="55">
        <v>512143.5</v>
      </c>
      <c r="H3148" s="55">
        <v>1853934.7</v>
      </c>
      <c r="I3148" s="55">
        <v>52462.7</v>
      </c>
      <c r="J3148" s="55">
        <v>1906397.4</v>
      </c>
      <c r="K3148" s="55">
        <v>431229.2</v>
      </c>
      <c r="L3148" s="55">
        <v>62064.3</v>
      </c>
      <c r="M3148" s="55">
        <v>321820.2</v>
      </c>
      <c r="N3148" s="55">
        <v>65227.4</v>
      </c>
    </row>
    <row r="3149" spans="1:14" ht="10.050000000000001" hidden="1" customHeight="1">
      <c r="A3149" s="52" t="s">
        <v>315</v>
      </c>
      <c r="B3149" s="53">
        <v>2019</v>
      </c>
      <c r="C3149" s="52" t="s">
        <v>123</v>
      </c>
      <c r="D3149" s="54">
        <v>6</v>
      </c>
      <c r="E3149" s="55">
        <v>971.1</v>
      </c>
      <c r="F3149" s="55">
        <v>0</v>
      </c>
      <c r="G3149" s="55">
        <v>971.1</v>
      </c>
      <c r="H3149" s="55">
        <v>4187.7</v>
      </c>
      <c r="I3149" s="55">
        <v>16.899999999999999</v>
      </c>
      <c r="J3149" s="55">
        <v>4204.6000000000004</v>
      </c>
      <c r="K3149" s="55">
        <v>164.6</v>
      </c>
      <c r="L3149" s="55">
        <v>89.8</v>
      </c>
      <c r="M3149" s="55">
        <v>439.7</v>
      </c>
      <c r="N3149" s="55">
        <v>75</v>
      </c>
    </row>
    <row r="3150" spans="1:14" ht="10.050000000000001" hidden="1" customHeight="1">
      <c r="A3150" s="52" t="s">
        <v>311</v>
      </c>
      <c r="B3150" s="53">
        <v>2019</v>
      </c>
      <c r="C3150" s="52" t="s">
        <v>123</v>
      </c>
      <c r="D3150" s="54">
        <v>6</v>
      </c>
      <c r="E3150" s="55">
        <v>45</v>
      </c>
      <c r="F3150" s="55">
        <v>0</v>
      </c>
      <c r="G3150" s="55">
        <v>45</v>
      </c>
      <c r="H3150" s="55">
        <v>335</v>
      </c>
      <c r="I3150" s="55">
        <v>0</v>
      </c>
      <c r="J3150" s="55">
        <v>335</v>
      </c>
      <c r="K3150" s="55">
        <v>5.5</v>
      </c>
      <c r="L3150" s="55">
        <v>0</v>
      </c>
      <c r="M3150" s="55">
        <v>25.6</v>
      </c>
      <c r="N3150" s="55">
        <v>0</v>
      </c>
    </row>
    <row r="3151" spans="1:14" ht="10.050000000000001" hidden="1" customHeight="1">
      <c r="A3151" s="52" t="s">
        <v>173</v>
      </c>
      <c r="B3151" s="53">
        <v>2019</v>
      </c>
      <c r="C3151" s="52" t="s">
        <v>123</v>
      </c>
      <c r="D3151" s="54">
        <v>6</v>
      </c>
      <c r="E3151" s="55">
        <v>88451.7</v>
      </c>
      <c r="F3151" s="55">
        <v>647</v>
      </c>
      <c r="G3151" s="55">
        <v>89098.7</v>
      </c>
      <c r="H3151" s="55">
        <v>1041816.7</v>
      </c>
      <c r="I3151" s="55">
        <v>9880.7000000000007</v>
      </c>
      <c r="J3151" s="55">
        <v>1051697.3999999999</v>
      </c>
      <c r="K3151" s="55">
        <v>57031.1</v>
      </c>
      <c r="L3151" s="55">
        <v>21264.9</v>
      </c>
      <c r="M3151" s="55">
        <v>34654.6</v>
      </c>
      <c r="N3151" s="55">
        <v>32781.1</v>
      </c>
    </row>
    <row r="3152" spans="1:14" ht="10.050000000000001" customHeight="1">
      <c r="A3152" s="52" t="s">
        <v>309</v>
      </c>
      <c r="B3152" s="53">
        <v>2019</v>
      </c>
      <c r="C3152" s="52" t="s">
        <v>123</v>
      </c>
      <c r="D3152" s="54">
        <v>6</v>
      </c>
      <c r="E3152" s="55">
        <v>2569</v>
      </c>
      <c r="F3152" s="55">
        <v>1678.5</v>
      </c>
      <c r="G3152" s="55">
        <v>4247.5</v>
      </c>
      <c r="H3152" s="55">
        <v>40368.5</v>
      </c>
      <c r="I3152" s="55">
        <v>0</v>
      </c>
      <c r="J3152" s="55">
        <v>40368.5</v>
      </c>
      <c r="K3152" s="55">
        <v>0</v>
      </c>
      <c r="L3152" s="55">
        <v>0</v>
      </c>
      <c r="M3152" s="55">
        <v>561</v>
      </c>
      <c r="N3152" s="55">
        <v>0</v>
      </c>
    </row>
    <row r="3153" spans="1:14" ht="10.050000000000001" hidden="1" customHeight="1">
      <c r="A3153" s="52" t="s">
        <v>316</v>
      </c>
      <c r="B3153" s="53">
        <v>2019</v>
      </c>
      <c r="C3153" s="52" t="s">
        <v>123</v>
      </c>
      <c r="D3153" s="54">
        <v>6</v>
      </c>
      <c r="E3153" s="55">
        <v>600.6</v>
      </c>
      <c r="F3153" s="55">
        <v>5.0999999999999996</v>
      </c>
      <c r="G3153" s="55">
        <v>605.70000000000005</v>
      </c>
      <c r="H3153" s="55">
        <v>16059.6</v>
      </c>
      <c r="I3153" s="55">
        <v>60.2</v>
      </c>
      <c r="J3153" s="55">
        <v>16119.8</v>
      </c>
      <c r="K3153" s="55">
        <v>393.5</v>
      </c>
      <c r="L3153" s="55">
        <v>22.7</v>
      </c>
      <c r="M3153" s="55">
        <v>210.9</v>
      </c>
      <c r="N3153" s="55">
        <v>18.100000000000001</v>
      </c>
    </row>
    <row r="3154" spans="1:14" ht="10.050000000000001" hidden="1" customHeight="1">
      <c r="A3154" s="52" t="s">
        <v>310</v>
      </c>
      <c r="B3154" s="53">
        <v>2019</v>
      </c>
      <c r="C3154" s="52" t="s">
        <v>123</v>
      </c>
      <c r="D3154" s="54">
        <v>6</v>
      </c>
      <c r="E3154" s="55">
        <v>547.29999999999995</v>
      </c>
      <c r="F3154" s="55">
        <v>178.4</v>
      </c>
      <c r="G3154" s="55">
        <v>725.7</v>
      </c>
      <c r="H3154" s="55">
        <v>8867.9</v>
      </c>
      <c r="I3154" s="55">
        <v>117.3</v>
      </c>
      <c r="J3154" s="55">
        <v>8985.2000000000007</v>
      </c>
      <c r="K3154" s="55">
        <v>177.1</v>
      </c>
      <c r="L3154" s="55">
        <v>82.7</v>
      </c>
      <c r="M3154" s="55">
        <v>291.60000000000002</v>
      </c>
      <c r="N3154" s="55">
        <v>251.5</v>
      </c>
    </row>
    <row r="3155" spans="1:14" ht="10.050000000000001" hidden="1" customHeight="1">
      <c r="A3155" s="52" t="s">
        <v>308</v>
      </c>
      <c r="B3155" s="53">
        <v>2019</v>
      </c>
      <c r="C3155" s="52" t="s">
        <v>123</v>
      </c>
      <c r="D3155" s="54">
        <v>6</v>
      </c>
      <c r="E3155" s="55">
        <v>2091.4</v>
      </c>
      <c r="F3155" s="55">
        <v>395</v>
      </c>
      <c r="G3155" s="55">
        <v>2486.4</v>
      </c>
      <c r="H3155" s="55">
        <v>35073.699999999997</v>
      </c>
      <c r="I3155" s="55">
        <v>254.7</v>
      </c>
      <c r="J3155" s="55">
        <v>35328.400000000001</v>
      </c>
      <c r="K3155" s="55">
        <v>1234.2</v>
      </c>
      <c r="L3155" s="55">
        <v>271.8</v>
      </c>
      <c r="M3155" s="55">
        <v>1373.5</v>
      </c>
      <c r="N3155" s="55">
        <v>878.6</v>
      </c>
    </row>
    <row r="3156" spans="1:14" ht="10.050000000000001" hidden="1" customHeight="1">
      <c r="A3156" s="52" t="s">
        <v>174</v>
      </c>
      <c r="B3156" s="53">
        <v>2019</v>
      </c>
      <c r="C3156" s="52" t="s">
        <v>123</v>
      </c>
      <c r="D3156" s="54">
        <v>6</v>
      </c>
      <c r="E3156" s="55">
        <v>10544.9</v>
      </c>
      <c r="F3156" s="55">
        <v>42.6</v>
      </c>
      <c r="G3156" s="55">
        <v>10587.5</v>
      </c>
      <c r="H3156" s="55">
        <v>42241.8</v>
      </c>
      <c r="I3156" s="55">
        <v>5298.2</v>
      </c>
      <c r="J3156" s="55">
        <v>47540</v>
      </c>
      <c r="K3156" s="55">
        <v>15123.3</v>
      </c>
      <c r="L3156" s="55">
        <v>2254.1999999999998</v>
      </c>
      <c r="M3156" s="55">
        <v>5149.6000000000004</v>
      </c>
      <c r="N3156" s="55">
        <v>10490.5</v>
      </c>
    </row>
    <row r="3157" spans="1:14" ht="10.050000000000001" hidden="1" customHeight="1">
      <c r="A3157" s="52" t="s">
        <v>314</v>
      </c>
      <c r="B3157" s="53">
        <v>2019</v>
      </c>
      <c r="C3157" s="52" t="s">
        <v>124</v>
      </c>
      <c r="D3157" s="54">
        <v>7</v>
      </c>
      <c r="E3157" s="55">
        <v>33.1</v>
      </c>
      <c r="F3157" s="55">
        <v>0</v>
      </c>
      <c r="G3157" s="55">
        <v>33.1</v>
      </c>
      <c r="H3157" s="55">
        <v>51.2</v>
      </c>
      <c r="I3157" s="55">
        <v>0</v>
      </c>
      <c r="J3157" s="55">
        <v>51.2</v>
      </c>
      <c r="K3157" s="55">
        <v>7.9</v>
      </c>
      <c r="L3157" s="55">
        <v>0</v>
      </c>
      <c r="M3157" s="55">
        <v>0</v>
      </c>
      <c r="N3157" s="55">
        <v>0</v>
      </c>
    </row>
    <row r="3158" spans="1:14" ht="10.050000000000001" hidden="1" customHeight="1">
      <c r="A3158" s="52" t="s">
        <v>306</v>
      </c>
      <c r="B3158" s="53">
        <v>2019</v>
      </c>
      <c r="C3158" s="52" t="s">
        <v>124</v>
      </c>
      <c r="D3158" s="54">
        <v>7</v>
      </c>
      <c r="E3158" s="55">
        <v>110646.39999999999</v>
      </c>
      <c r="F3158" s="55">
        <v>1470.8</v>
      </c>
      <c r="G3158" s="55">
        <v>112117.2</v>
      </c>
      <c r="H3158" s="55">
        <v>138385.1</v>
      </c>
      <c r="I3158" s="55">
        <v>2200.1</v>
      </c>
      <c r="J3158" s="55">
        <v>140585.20000000001</v>
      </c>
      <c r="K3158" s="55">
        <v>41756.800000000003</v>
      </c>
      <c r="L3158" s="55">
        <v>45802.5</v>
      </c>
      <c r="M3158" s="55">
        <v>5209.3999999999996</v>
      </c>
      <c r="N3158" s="55">
        <v>668.2</v>
      </c>
    </row>
    <row r="3159" spans="1:14" ht="10.050000000000001" hidden="1" customHeight="1">
      <c r="A3159" s="52" t="s">
        <v>172</v>
      </c>
      <c r="B3159" s="53">
        <v>2019</v>
      </c>
      <c r="C3159" s="52" t="s">
        <v>124</v>
      </c>
      <c r="D3159" s="54">
        <v>7</v>
      </c>
      <c r="E3159" s="55">
        <v>730868</v>
      </c>
      <c r="F3159" s="55">
        <v>31731.5</v>
      </c>
      <c r="G3159" s="55">
        <v>762599.5</v>
      </c>
      <c r="H3159" s="55">
        <v>900059.5</v>
      </c>
      <c r="I3159" s="55">
        <v>12301.6</v>
      </c>
      <c r="J3159" s="55">
        <v>912361.1</v>
      </c>
      <c r="K3159" s="55">
        <v>346736.5</v>
      </c>
      <c r="L3159" s="55">
        <v>375524.3</v>
      </c>
      <c r="M3159" s="55">
        <v>88700.7</v>
      </c>
      <c r="N3159" s="55">
        <v>840.9</v>
      </c>
    </row>
    <row r="3160" spans="1:14" ht="10.050000000000001" hidden="1" customHeight="1">
      <c r="A3160" s="52" t="s">
        <v>171</v>
      </c>
      <c r="B3160" s="53">
        <v>2019</v>
      </c>
      <c r="C3160" s="52" t="s">
        <v>124</v>
      </c>
      <c r="D3160" s="54">
        <v>7</v>
      </c>
      <c r="E3160" s="55">
        <v>14568343.699999999</v>
      </c>
      <c r="F3160" s="55">
        <v>120005.9</v>
      </c>
      <c r="G3160" s="55">
        <v>14688349.6</v>
      </c>
      <c r="H3160" s="55">
        <v>13922825.6</v>
      </c>
      <c r="I3160" s="55">
        <v>117547</v>
      </c>
      <c r="J3160" s="55">
        <v>14040372.6</v>
      </c>
      <c r="K3160" s="55">
        <v>7501735.5999999996</v>
      </c>
      <c r="L3160" s="55">
        <v>8714434.0999999996</v>
      </c>
      <c r="M3160" s="55">
        <v>1282720.3</v>
      </c>
      <c r="N3160" s="55">
        <v>54711.6</v>
      </c>
    </row>
    <row r="3161" spans="1:14" ht="10.050000000000001" hidden="1" customHeight="1">
      <c r="A3161" s="52" t="s">
        <v>300</v>
      </c>
      <c r="B3161" s="53">
        <v>2019</v>
      </c>
      <c r="C3161" s="52" t="s">
        <v>124</v>
      </c>
      <c r="D3161" s="54">
        <v>7</v>
      </c>
      <c r="E3161" s="55">
        <v>5615.5</v>
      </c>
      <c r="F3161" s="55">
        <v>186.7</v>
      </c>
      <c r="G3161" s="55">
        <v>5802.2</v>
      </c>
      <c r="H3161" s="55">
        <v>10357.799999999999</v>
      </c>
      <c r="I3161" s="55">
        <v>225.5</v>
      </c>
      <c r="J3161" s="55">
        <v>10583.3</v>
      </c>
      <c r="K3161" s="55">
        <v>293.89999999999998</v>
      </c>
      <c r="L3161" s="55">
        <v>286.39999999999998</v>
      </c>
      <c r="M3161" s="55">
        <v>0</v>
      </c>
      <c r="N3161" s="55">
        <v>14.3</v>
      </c>
    </row>
    <row r="3162" spans="1:14" ht="10.050000000000001" hidden="1" customHeight="1">
      <c r="A3162" s="52" t="s">
        <v>307</v>
      </c>
      <c r="B3162" s="53">
        <v>2019</v>
      </c>
      <c r="C3162" s="52" t="s">
        <v>124</v>
      </c>
      <c r="D3162" s="54">
        <v>7</v>
      </c>
      <c r="E3162" s="55">
        <v>192092.5</v>
      </c>
      <c r="F3162" s="55">
        <v>0</v>
      </c>
      <c r="G3162" s="55">
        <v>192092.5</v>
      </c>
      <c r="H3162" s="55">
        <v>1318701.5</v>
      </c>
      <c r="I3162" s="55">
        <v>46653.1</v>
      </c>
      <c r="J3162" s="55">
        <v>1365354.6</v>
      </c>
      <c r="K3162" s="55">
        <v>352201.4</v>
      </c>
      <c r="L3162" s="55">
        <v>54944.3</v>
      </c>
      <c r="M3162" s="55">
        <v>100445.6</v>
      </c>
      <c r="N3162" s="55">
        <v>33223.699999999997</v>
      </c>
    </row>
    <row r="3163" spans="1:14" ht="10.050000000000001" hidden="1" customHeight="1">
      <c r="A3163" s="52" t="s">
        <v>315</v>
      </c>
      <c r="B3163" s="53">
        <v>2019</v>
      </c>
      <c r="C3163" s="52" t="s">
        <v>124</v>
      </c>
      <c r="D3163" s="54">
        <v>7</v>
      </c>
      <c r="E3163" s="55">
        <v>216.5</v>
      </c>
      <c r="F3163" s="55">
        <v>0</v>
      </c>
      <c r="G3163" s="55">
        <v>216.5</v>
      </c>
      <c r="H3163" s="55">
        <v>2527.6999999999998</v>
      </c>
      <c r="I3163" s="55">
        <v>16.899999999999999</v>
      </c>
      <c r="J3163" s="55">
        <v>2544.6</v>
      </c>
      <c r="K3163" s="55">
        <v>164.6</v>
      </c>
      <c r="L3163" s="55">
        <v>0</v>
      </c>
      <c r="M3163" s="55">
        <v>0</v>
      </c>
      <c r="N3163" s="55">
        <v>0</v>
      </c>
    </row>
    <row r="3164" spans="1:14" ht="10.050000000000001" hidden="1" customHeight="1">
      <c r="A3164" s="52" t="s">
        <v>311</v>
      </c>
      <c r="B3164" s="53">
        <v>2019</v>
      </c>
      <c r="C3164" s="52" t="s">
        <v>124</v>
      </c>
      <c r="D3164" s="54">
        <v>7</v>
      </c>
      <c r="E3164" s="55">
        <v>2590.1</v>
      </c>
      <c r="F3164" s="55">
        <v>0</v>
      </c>
      <c r="G3164" s="55">
        <v>2590.1</v>
      </c>
      <c r="H3164" s="55">
        <v>2731.8</v>
      </c>
      <c r="I3164" s="55">
        <v>0</v>
      </c>
      <c r="J3164" s="55">
        <v>2731.8</v>
      </c>
      <c r="K3164" s="55">
        <v>447.4</v>
      </c>
      <c r="L3164" s="55">
        <v>470.7</v>
      </c>
      <c r="M3164" s="55">
        <v>0</v>
      </c>
      <c r="N3164" s="55">
        <v>28.8</v>
      </c>
    </row>
    <row r="3165" spans="1:14" ht="10.050000000000001" hidden="1" customHeight="1">
      <c r="A3165" s="52" t="s">
        <v>173</v>
      </c>
      <c r="B3165" s="53">
        <v>2019</v>
      </c>
      <c r="C3165" s="52" t="s">
        <v>124</v>
      </c>
      <c r="D3165" s="54">
        <v>7</v>
      </c>
      <c r="E3165" s="55">
        <v>6879400.3000000101</v>
      </c>
      <c r="F3165" s="55">
        <v>108167.3</v>
      </c>
      <c r="G3165" s="55">
        <v>6987567.6000000099</v>
      </c>
      <c r="H3165" s="55">
        <v>6783230</v>
      </c>
      <c r="I3165" s="55">
        <v>67529.5</v>
      </c>
      <c r="J3165" s="55">
        <v>6850759.5</v>
      </c>
      <c r="K3165" s="55">
        <v>2486034.1</v>
      </c>
      <c r="L3165" s="55">
        <v>3237076.3</v>
      </c>
      <c r="M3165" s="55">
        <v>758427.5</v>
      </c>
      <c r="N3165" s="55">
        <v>42892.2</v>
      </c>
    </row>
    <row r="3166" spans="1:14" ht="10.050000000000001" customHeight="1">
      <c r="A3166" s="52" t="s">
        <v>309</v>
      </c>
      <c r="B3166" s="53">
        <v>2019</v>
      </c>
      <c r="C3166" s="52" t="s">
        <v>124</v>
      </c>
      <c r="D3166" s="54">
        <v>7</v>
      </c>
      <c r="E3166" s="55">
        <v>0</v>
      </c>
      <c r="F3166" s="55">
        <v>0</v>
      </c>
      <c r="G3166" s="55">
        <v>0</v>
      </c>
      <c r="H3166" s="55">
        <v>34071.800000000003</v>
      </c>
      <c r="I3166" s="55">
        <v>0</v>
      </c>
      <c r="J3166" s="55">
        <v>34071.800000000003</v>
      </c>
      <c r="K3166" s="55">
        <v>0</v>
      </c>
      <c r="L3166" s="55">
        <v>0</v>
      </c>
      <c r="M3166" s="55">
        <v>0</v>
      </c>
      <c r="N3166" s="55">
        <v>0</v>
      </c>
    </row>
    <row r="3167" spans="1:14" ht="10.050000000000001" hidden="1" customHeight="1">
      <c r="A3167" s="52" t="s">
        <v>316</v>
      </c>
      <c r="B3167" s="53">
        <v>2019</v>
      </c>
      <c r="C3167" s="52" t="s">
        <v>124</v>
      </c>
      <c r="D3167" s="54">
        <v>7</v>
      </c>
      <c r="E3167" s="55">
        <v>120.9</v>
      </c>
      <c r="F3167" s="55">
        <v>1.1000000000000001</v>
      </c>
      <c r="G3167" s="55">
        <v>122</v>
      </c>
      <c r="H3167" s="55">
        <v>14440</v>
      </c>
      <c r="I3167" s="55">
        <v>58.5</v>
      </c>
      <c r="J3167" s="55">
        <v>14498.5</v>
      </c>
      <c r="K3167" s="55">
        <v>238.7</v>
      </c>
      <c r="L3167" s="55">
        <v>6.2</v>
      </c>
      <c r="M3167" s="55">
        <v>0</v>
      </c>
      <c r="N3167" s="55">
        <v>12</v>
      </c>
    </row>
    <row r="3168" spans="1:14" ht="10.050000000000001" hidden="1" customHeight="1">
      <c r="A3168" s="52" t="s">
        <v>310</v>
      </c>
      <c r="B3168" s="53">
        <v>2019</v>
      </c>
      <c r="C3168" s="52" t="s">
        <v>124</v>
      </c>
      <c r="D3168" s="54">
        <v>7</v>
      </c>
      <c r="E3168" s="55">
        <v>24735.200000000001</v>
      </c>
      <c r="F3168" s="55">
        <v>244.6</v>
      </c>
      <c r="G3168" s="55">
        <v>24979.8</v>
      </c>
      <c r="H3168" s="55">
        <v>30269.8</v>
      </c>
      <c r="I3168" s="55">
        <v>354.8</v>
      </c>
      <c r="J3168" s="55">
        <v>30624.6</v>
      </c>
      <c r="K3168" s="55">
        <v>9541.7999999999993</v>
      </c>
      <c r="L3168" s="55">
        <v>10197.200000000001</v>
      </c>
      <c r="M3168" s="55">
        <v>804.8</v>
      </c>
      <c r="N3168" s="55">
        <v>27.6</v>
      </c>
    </row>
    <row r="3169" spans="1:14" ht="10.050000000000001" hidden="1" customHeight="1">
      <c r="A3169" s="52" t="s">
        <v>308</v>
      </c>
      <c r="B3169" s="53">
        <v>2019</v>
      </c>
      <c r="C3169" s="52" t="s">
        <v>124</v>
      </c>
      <c r="D3169" s="54">
        <v>7</v>
      </c>
      <c r="E3169" s="55">
        <v>466.5</v>
      </c>
      <c r="F3169" s="55">
        <v>0</v>
      </c>
      <c r="G3169" s="55">
        <v>466.5</v>
      </c>
      <c r="H3169" s="55">
        <v>22407.3</v>
      </c>
      <c r="I3169" s="55">
        <v>224.8</v>
      </c>
      <c r="J3169" s="55">
        <v>22632.1</v>
      </c>
      <c r="K3169" s="55">
        <v>774.8</v>
      </c>
      <c r="L3169" s="55">
        <v>17.3</v>
      </c>
      <c r="M3169" s="55">
        <v>460.9</v>
      </c>
      <c r="N3169" s="55">
        <v>15.7</v>
      </c>
    </row>
    <row r="3170" spans="1:14" ht="10.050000000000001" hidden="1" customHeight="1">
      <c r="A3170" s="52" t="s">
        <v>174</v>
      </c>
      <c r="B3170" s="53">
        <v>2019</v>
      </c>
      <c r="C3170" s="52" t="s">
        <v>124</v>
      </c>
      <c r="D3170" s="54">
        <v>7</v>
      </c>
      <c r="E3170" s="55">
        <v>324990.7</v>
      </c>
      <c r="F3170" s="55">
        <v>11950.2</v>
      </c>
      <c r="G3170" s="55">
        <v>336940.9</v>
      </c>
      <c r="H3170" s="55">
        <v>327842.3</v>
      </c>
      <c r="I3170" s="55">
        <v>16569.400000000001</v>
      </c>
      <c r="J3170" s="55">
        <v>344411.7</v>
      </c>
      <c r="K3170" s="55">
        <v>190767.2</v>
      </c>
      <c r="L3170" s="55">
        <v>206019.20000000001</v>
      </c>
      <c r="M3170" s="55">
        <v>17446.099999999999</v>
      </c>
      <c r="N3170" s="55">
        <v>11672.4</v>
      </c>
    </row>
    <row r="3171" spans="1:14" ht="10.050000000000001" hidden="1" customHeight="1">
      <c r="A3171" s="52" t="s">
        <v>314</v>
      </c>
      <c r="B3171" s="53">
        <v>2019</v>
      </c>
      <c r="C3171" s="52" t="s">
        <v>124</v>
      </c>
      <c r="D3171" s="54">
        <v>8</v>
      </c>
      <c r="E3171" s="55">
        <v>0</v>
      </c>
      <c r="F3171" s="55">
        <v>0</v>
      </c>
      <c r="G3171" s="55">
        <v>0</v>
      </c>
      <c r="H3171" s="55">
        <v>52.8</v>
      </c>
      <c r="I3171" s="55">
        <v>0</v>
      </c>
      <c r="J3171" s="55">
        <v>52.8</v>
      </c>
      <c r="K3171" s="55">
        <v>7.9</v>
      </c>
      <c r="L3171" s="55">
        <v>0</v>
      </c>
      <c r="M3171" s="55">
        <v>0</v>
      </c>
      <c r="N3171" s="55">
        <v>0</v>
      </c>
    </row>
    <row r="3172" spans="1:14" ht="10.050000000000001" hidden="1" customHeight="1">
      <c r="A3172" s="52" t="s">
        <v>306</v>
      </c>
      <c r="B3172" s="53">
        <v>2019</v>
      </c>
      <c r="C3172" s="52" t="s">
        <v>124</v>
      </c>
      <c r="D3172" s="54">
        <v>8</v>
      </c>
      <c r="E3172" s="55">
        <v>56922.1</v>
      </c>
      <c r="F3172" s="55">
        <v>1474.6</v>
      </c>
      <c r="G3172" s="55">
        <v>58396.7</v>
      </c>
      <c r="H3172" s="55">
        <v>172726.9</v>
      </c>
      <c r="I3172" s="55">
        <v>3502.1</v>
      </c>
      <c r="J3172" s="55">
        <v>176229</v>
      </c>
      <c r="K3172" s="55">
        <v>33473.1</v>
      </c>
      <c r="L3172" s="55">
        <v>11318.9</v>
      </c>
      <c r="M3172" s="55">
        <v>19077.099999999999</v>
      </c>
      <c r="N3172" s="55">
        <v>572.4</v>
      </c>
    </row>
    <row r="3173" spans="1:14" ht="10.050000000000001" hidden="1" customHeight="1">
      <c r="A3173" s="52" t="s">
        <v>172</v>
      </c>
      <c r="B3173" s="53">
        <v>2019</v>
      </c>
      <c r="C3173" s="52" t="s">
        <v>124</v>
      </c>
      <c r="D3173" s="54">
        <v>8</v>
      </c>
      <c r="E3173" s="55">
        <v>93976.1</v>
      </c>
      <c r="F3173" s="55">
        <v>1135</v>
      </c>
      <c r="G3173" s="55">
        <v>95111.1</v>
      </c>
      <c r="H3173" s="55">
        <v>877661.00000000105</v>
      </c>
      <c r="I3173" s="55">
        <v>13537.7</v>
      </c>
      <c r="J3173" s="55">
        <v>891198.700000001</v>
      </c>
      <c r="K3173" s="55">
        <v>285611.90000000002</v>
      </c>
      <c r="L3173" s="55">
        <v>12223.9</v>
      </c>
      <c r="M3173" s="55">
        <v>71242</v>
      </c>
      <c r="N3173" s="55">
        <v>2106.4</v>
      </c>
    </row>
    <row r="3174" spans="1:14" ht="10.050000000000001" hidden="1" customHeight="1">
      <c r="A3174" s="52" t="s">
        <v>171</v>
      </c>
      <c r="B3174" s="53">
        <v>2019</v>
      </c>
      <c r="C3174" s="52" t="s">
        <v>124</v>
      </c>
      <c r="D3174" s="54">
        <v>8</v>
      </c>
      <c r="E3174" s="55">
        <v>4042492.3</v>
      </c>
      <c r="F3174" s="55">
        <v>143646.1</v>
      </c>
      <c r="G3174" s="55">
        <v>4186138.4</v>
      </c>
      <c r="H3174" s="55">
        <v>15080830.6</v>
      </c>
      <c r="I3174" s="55">
        <v>146500.20000000001</v>
      </c>
      <c r="J3174" s="55">
        <v>15227330.800000001</v>
      </c>
      <c r="K3174" s="55">
        <v>7072836.5999999996</v>
      </c>
      <c r="L3174" s="55">
        <v>1857278.2</v>
      </c>
      <c r="M3174" s="55">
        <v>2145759.2000000002</v>
      </c>
      <c r="N3174" s="55">
        <v>126261.7</v>
      </c>
    </row>
    <row r="3175" spans="1:14" ht="10.050000000000001" hidden="1" customHeight="1">
      <c r="A3175" s="52" t="s">
        <v>300</v>
      </c>
      <c r="B3175" s="53">
        <v>2019</v>
      </c>
      <c r="C3175" s="52" t="s">
        <v>124</v>
      </c>
      <c r="D3175" s="54">
        <v>8</v>
      </c>
      <c r="E3175" s="55">
        <v>3099.2</v>
      </c>
      <c r="F3175" s="55">
        <v>274.10000000000002</v>
      </c>
      <c r="G3175" s="55">
        <v>3373.3</v>
      </c>
      <c r="H3175" s="55">
        <v>12724.6</v>
      </c>
      <c r="I3175" s="55">
        <v>475.2</v>
      </c>
      <c r="J3175" s="55">
        <v>13199.8</v>
      </c>
      <c r="K3175" s="55">
        <v>429</v>
      </c>
      <c r="L3175" s="55">
        <v>304.10000000000002</v>
      </c>
      <c r="M3175" s="55">
        <v>140.19999999999999</v>
      </c>
      <c r="N3175" s="55">
        <v>28.8</v>
      </c>
    </row>
    <row r="3176" spans="1:14" ht="10.050000000000001" hidden="1" customHeight="1">
      <c r="A3176" s="52" t="s">
        <v>307</v>
      </c>
      <c r="B3176" s="53">
        <v>2019</v>
      </c>
      <c r="C3176" s="52" t="s">
        <v>124</v>
      </c>
      <c r="D3176" s="54">
        <v>8</v>
      </c>
      <c r="E3176" s="55">
        <v>259361.3</v>
      </c>
      <c r="F3176" s="55">
        <v>52</v>
      </c>
      <c r="G3176" s="55">
        <v>259413.3</v>
      </c>
      <c r="H3176" s="55">
        <v>858427.7</v>
      </c>
      <c r="I3176" s="55">
        <v>51113.1</v>
      </c>
      <c r="J3176" s="55">
        <v>909540.8</v>
      </c>
      <c r="K3176" s="55">
        <v>213587.9</v>
      </c>
      <c r="L3176" s="55">
        <v>23086.6</v>
      </c>
      <c r="M3176" s="55">
        <v>130393</v>
      </c>
      <c r="N3176" s="55">
        <v>31422</v>
      </c>
    </row>
    <row r="3177" spans="1:14" ht="10.050000000000001" hidden="1" customHeight="1">
      <c r="A3177" s="52" t="s">
        <v>315</v>
      </c>
      <c r="B3177" s="53">
        <v>2019</v>
      </c>
      <c r="C3177" s="52" t="s">
        <v>124</v>
      </c>
      <c r="D3177" s="54">
        <v>8</v>
      </c>
      <c r="E3177" s="55">
        <v>115</v>
      </c>
      <c r="F3177" s="55">
        <v>0</v>
      </c>
      <c r="G3177" s="55">
        <v>115</v>
      </c>
      <c r="H3177" s="55">
        <v>1390.9</v>
      </c>
      <c r="I3177" s="55">
        <v>16.899999999999999</v>
      </c>
      <c r="J3177" s="55">
        <v>1407.8</v>
      </c>
      <c r="K3177" s="55">
        <v>235.8</v>
      </c>
      <c r="L3177" s="55">
        <v>71.2</v>
      </c>
      <c r="M3177" s="55">
        <v>0</v>
      </c>
      <c r="N3177" s="55">
        <v>0</v>
      </c>
    </row>
    <row r="3178" spans="1:14" ht="10.050000000000001" hidden="1" customHeight="1">
      <c r="A3178" s="52" t="s">
        <v>311</v>
      </c>
      <c r="B3178" s="53">
        <v>2019</v>
      </c>
      <c r="C3178" s="52" t="s">
        <v>124</v>
      </c>
      <c r="D3178" s="54">
        <v>8</v>
      </c>
      <c r="E3178" s="55">
        <v>463.1</v>
      </c>
      <c r="F3178" s="55">
        <v>0</v>
      </c>
      <c r="G3178" s="55">
        <v>463.1</v>
      </c>
      <c r="H3178" s="55">
        <v>2874.4</v>
      </c>
      <c r="I3178" s="55">
        <v>0</v>
      </c>
      <c r="J3178" s="55">
        <v>2874.4</v>
      </c>
      <c r="K3178" s="55">
        <v>525.29999999999995</v>
      </c>
      <c r="L3178" s="55">
        <v>113.9</v>
      </c>
      <c r="M3178" s="55">
        <v>14.5</v>
      </c>
      <c r="N3178" s="55">
        <v>21.5</v>
      </c>
    </row>
    <row r="3179" spans="1:14" ht="10.050000000000001" hidden="1" customHeight="1">
      <c r="A3179" s="52" t="s">
        <v>173</v>
      </c>
      <c r="B3179" s="53">
        <v>2019</v>
      </c>
      <c r="C3179" s="52" t="s">
        <v>124</v>
      </c>
      <c r="D3179" s="54">
        <v>8</v>
      </c>
      <c r="E3179" s="55">
        <v>887043.5</v>
      </c>
      <c r="F3179" s="55">
        <v>12260</v>
      </c>
      <c r="G3179" s="55">
        <v>899303.5</v>
      </c>
      <c r="H3179" s="55">
        <v>6766979.0999999996</v>
      </c>
      <c r="I3179" s="55">
        <v>56297.3</v>
      </c>
      <c r="J3179" s="55">
        <v>6823276.4000000004</v>
      </c>
      <c r="K3179" s="55">
        <v>1951436</v>
      </c>
      <c r="L3179" s="55">
        <v>129583.3</v>
      </c>
      <c r="M3179" s="55">
        <v>596871.1</v>
      </c>
      <c r="N3179" s="55">
        <v>64413.599999999999</v>
      </c>
    </row>
    <row r="3180" spans="1:14" ht="10.050000000000001" customHeight="1">
      <c r="A3180" s="52" t="s">
        <v>309</v>
      </c>
      <c r="B3180" s="53">
        <v>2019</v>
      </c>
      <c r="C3180" s="52" t="s">
        <v>124</v>
      </c>
      <c r="D3180" s="54">
        <v>8</v>
      </c>
      <c r="E3180" s="55">
        <v>0</v>
      </c>
      <c r="F3180" s="55">
        <v>0</v>
      </c>
      <c r="G3180" s="55">
        <v>0</v>
      </c>
      <c r="H3180" s="55">
        <v>29319.4</v>
      </c>
      <c r="I3180" s="55">
        <v>0</v>
      </c>
      <c r="J3180" s="55">
        <v>29319.4</v>
      </c>
      <c r="K3180" s="55">
        <v>0</v>
      </c>
      <c r="L3180" s="55">
        <v>0</v>
      </c>
      <c r="M3180" s="55">
        <v>0</v>
      </c>
      <c r="N3180" s="55">
        <v>0</v>
      </c>
    </row>
    <row r="3181" spans="1:14" ht="10.050000000000001" hidden="1" customHeight="1">
      <c r="A3181" s="52" t="s">
        <v>316</v>
      </c>
      <c r="B3181" s="53">
        <v>2019</v>
      </c>
      <c r="C3181" s="52" t="s">
        <v>124</v>
      </c>
      <c r="D3181" s="54">
        <v>8</v>
      </c>
      <c r="E3181" s="55">
        <v>4.3</v>
      </c>
      <c r="F3181" s="55">
        <v>0</v>
      </c>
      <c r="G3181" s="55">
        <v>4.3</v>
      </c>
      <c r="H3181" s="55">
        <v>13423.1</v>
      </c>
      <c r="I3181" s="55">
        <v>58.5</v>
      </c>
      <c r="J3181" s="55">
        <v>13481.6</v>
      </c>
      <c r="K3181" s="55">
        <v>237.8</v>
      </c>
      <c r="L3181" s="55">
        <v>0</v>
      </c>
      <c r="M3181" s="55">
        <v>0</v>
      </c>
      <c r="N3181" s="55">
        <v>1</v>
      </c>
    </row>
    <row r="3182" spans="1:14" ht="10.050000000000001" hidden="1" customHeight="1">
      <c r="A3182" s="52" t="s">
        <v>310</v>
      </c>
      <c r="B3182" s="53">
        <v>2019</v>
      </c>
      <c r="C3182" s="52" t="s">
        <v>124</v>
      </c>
      <c r="D3182" s="54">
        <v>8</v>
      </c>
      <c r="E3182" s="55">
        <v>10959</v>
      </c>
      <c r="F3182" s="55">
        <v>1468.9</v>
      </c>
      <c r="G3182" s="55">
        <v>12427.9</v>
      </c>
      <c r="H3182" s="55">
        <v>36841.5</v>
      </c>
      <c r="I3182" s="55">
        <v>780</v>
      </c>
      <c r="J3182" s="55">
        <v>37621.5</v>
      </c>
      <c r="K3182" s="55">
        <v>9405.0000000000091</v>
      </c>
      <c r="L3182" s="55">
        <v>2320.1</v>
      </c>
      <c r="M3182" s="55">
        <v>2357.1999999999998</v>
      </c>
      <c r="N3182" s="55">
        <v>99.8</v>
      </c>
    </row>
    <row r="3183" spans="1:14" ht="10.050000000000001" hidden="1" customHeight="1">
      <c r="A3183" s="52" t="s">
        <v>308</v>
      </c>
      <c r="B3183" s="53">
        <v>2019</v>
      </c>
      <c r="C3183" s="52" t="s">
        <v>124</v>
      </c>
      <c r="D3183" s="54">
        <v>8</v>
      </c>
      <c r="E3183" s="55">
        <v>365.7</v>
      </c>
      <c r="F3183" s="55">
        <v>7.7</v>
      </c>
      <c r="G3183" s="55">
        <v>373.4</v>
      </c>
      <c r="H3183" s="55">
        <v>15438.4</v>
      </c>
      <c r="I3183" s="55">
        <v>248.6</v>
      </c>
      <c r="J3183" s="55">
        <v>15687</v>
      </c>
      <c r="K3183" s="55">
        <v>494.3</v>
      </c>
      <c r="L3183" s="55">
        <v>0</v>
      </c>
      <c r="M3183" s="55">
        <v>217.2</v>
      </c>
      <c r="N3183" s="55">
        <v>63.4</v>
      </c>
    </row>
    <row r="3184" spans="1:14" ht="10.050000000000001" hidden="1" customHeight="1">
      <c r="A3184" s="52" t="s">
        <v>174</v>
      </c>
      <c r="B3184" s="53">
        <v>2019</v>
      </c>
      <c r="C3184" s="52" t="s">
        <v>124</v>
      </c>
      <c r="D3184" s="54">
        <v>8</v>
      </c>
      <c r="E3184" s="55">
        <v>171902.4</v>
      </c>
      <c r="F3184" s="55">
        <v>9296.9</v>
      </c>
      <c r="G3184" s="55">
        <v>181199.3</v>
      </c>
      <c r="H3184" s="55">
        <v>424616.2</v>
      </c>
      <c r="I3184" s="55">
        <v>19628.2</v>
      </c>
      <c r="J3184" s="55">
        <v>444244.4</v>
      </c>
      <c r="K3184" s="55">
        <v>184170.2</v>
      </c>
      <c r="L3184" s="55">
        <v>39338.800000000003</v>
      </c>
      <c r="M3184" s="55">
        <v>34491.199999999997</v>
      </c>
      <c r="N3184" s="55">
        <v>11413.9</v>
      </c>
    </row>
    <row r="3185" spans="1:14" ht="10.050000000000001" hidden="1" customHeight="1">
      <c r="A3185" s="52" t="s">
        <v>314</v>
      </c>
      <c r="B3185" s="53">
        <v>2019</v>
      </c>
      <c r="C3185" s="52" t="s">
        <v>124</v>
      </c>
      <c r="D3185" s="54">
        <v>9</v>
      </c>
      <c r="E3185" s="55">
        <v>0</v>
      </c>
      <c r="F3185" s="55">
        <v>0</v>
      </c>
      <c r="G3185" s="55">
        <v>0</v>
      </c>
      <c r="H3185" s="55">
        <v>50.8</v>
      </c>
      <c r="I3185" s="55">
        <v>0</v>
      </c>
      <c r="J3185" s="55">
        <v>50.8</v>
      </c>
      <c r="K3185" s="55">
        <v>7.9</v>
      </c>
      <c r="L3185" s="55">
        <v>0</v>
      </c>
      <c r="M3185" s="55">
        <v>0</v>
      </c>
      <c r="N3185" s="55">
        <v>0</v>
      </c>
    </row>
    <row r="3186" spans="1:14" ht="10.050000000000001" hidden="1" customHeight="1">
      <c r="A3186" s="52" t="s">
        <v>306</v>
      </c>
      <c r="B3186" s="53">
        <v>2019</v>
      </c>
      <c r="C3186" s="52" t="s">
        <v>124</v>
      </c>
      <c r="D3186" s="54">
        <v>9</v>
      </c>
      <c r="E3186" s="55">
        <v>17145.099999999999</v>
      </c>
      <c r="F3186" s="55">
        <v>1416.8</v>
      </c>
      <c r="G3186" s="55">
        <v>18561.900000000001</v>
      </c>
      <c r="H3186" s="55">
        <v>165351.79999999999</v>
      </c>
      <c r="I3186" s="55">
        <v>3269.8</v>
      </c>
      <c r="J3186" s="55">
        <v>168621.6</v>
      </c>
      <c r="K3186" s="55">
        <v>24770.9</v>
      </c>
      <c r="L3186" s="55">
        <v>2148.6</v>
      </c>
      <c r="M3186" s="55">
        <v>10299.9</v>
      </c>
      <c r="N3186" s="55">
        <v>552.9</v>
      </c>
    </row>
    <row r="3187" spans="1:14" ht="10.050000000000001" hidden="1" customHeight="1">
      <c r="A3187" s="52" t="s">
        <v>172</v>
      </c>
      <c r="B3187" s="53">
        <v>2019</v>
      </c>
      <c r="C3187" s="52" t="s">
        <v>124</v>
      </c>
      <c r="D3187" s="54">
        <v>9</v>
      </c>
      <c r="E3187" s="55">
        <v>105708.7</v>
      </c>
      <c r="F3187" s="55">
        <v>3368.5</v>
      </c>
      <c r="G3187" s="55">
        <v>109077.2</v>
      </c>
      <c r="H3187" s="55">
        <v>816868.6</v>
      </c>
      <c r="I3187" s="55">
        <v>13328.3</v>
      </c>
      <c r="J3187" s="55">
        <v>830196.9</v>
      </c>
      <c r="K3187" s="55">
        <v>231782.6</v>
      </c>
      <c r="L3187" s="55">
        <v>29545.4</v>
      </c>
      <c r="M3187" s="55">
        <v>79352</v>
      </c>
      <c r="N3187" s="55">
        <v>4023</v>
      </c>
    </row>
    <row r="3188" spans="1:14" ht="10.050000000000001" hidden="1" customHeight="1">
      <c r="A3188" s="52" t="s">
        <v>171</v>
      </c>
      <c r="B3188" s="53">
        <v>2019</v>
      </c>
      <c r="C3188" s="52" t="s">
        <v>124</v>
      </c>
      <c r="D3188" s="54">
        <v>9</v>
      </c>
      <c r="E3188" s="55">
        <v>2106396.2000000002</v>
      </c>
      <c r="F3188" s="55">
        <v>128216.9</v>
      </c>
      <c r="G3188" s="55">
        <v>2234613.1</v>
      </c>
      <c r="H3188" s="55">
        <v>14472957.199999999</v>
      </c>
      <c r="I3188" s="55">
        <v>151991.9</v>
      </c>
      <c r="J3188" s="55">
        <v>14624949.1</v>
      </c>
      <c r="K3188" s="55">
        <v>5995076.7000000002</v>
      </c>
      <c r="L3188" s="55">
        <v>403127.2</v>
      </c>
      <c r="M3188" s="55">
        <v>1425253.7</v>
      </c>
      <c r="N3188" s="55">
        <v>57374.5</v>
      </c>
    </row>
    <row r="3189" spans="1:14" ht="10.050000000000001" hidden="1" customHeight="1">
      <c r="A3189" s="52" t="s">
        <v>300</v>
      </c>
      <c r="B3189" s="53">
        <v>2019</v>
      </c>
      <c r="C3189" s="52" t="s">
        <v>124</v>
      </c>
      <c r="D3189" s="54">
        <v>9</v>
      </c>
      <c r="E3189" s="55">
        <v>1068.5</v>
      </c>
      <c r="F3189" s="55">
        <v>126.1</v>
      </c>
      <c r="G3189" s="55">
        <v>1194.5999999999999</v>
      </c>
      <c r="H3189" s="55">
        <v>12273.6</v>
      </c>
      <c r="I3189" s="55">
        <v>470.3</v>
      </c>
      <c r="J3189" s="55">
        <v>12743.9</v>
      </c>
      <c r="K3189" s="55">
        <v>376.9</v>
      </c>
      <c r="L3189" s="55">
        <v>108.9</v>
      </c>
      <c r="M3189" s="55">
        <v>163.69999999999999</v>
      </c>
      <c r="N3189" s="55">
        <v>13.5</v>
      </c>
    </row>
    <row r="3190" spans="1:14" ht="10.050000000000001" hidden="1" customHeight="1">
      <c r="A3190" s="52" t="s">
        <v>307</v>
      </c>
      <c r="B3190" s="53">
        <v>2019</v>
      </c>
      <c r="C3190" s="52" t="s">
        <v>124</v>
      </c>
      <c r="D3190" s="54">
        <v>9</v>
      </c>
      <c r="E3190" s="55">
        <v>423353.3</v>
      </c>
      <c r="F3190" s="55">
        <v>56346.6</v>
      </c>
      <c r="G3190" s="55">
        <v>479699.9</v>
      </c>
      <c r="H3190" s="55">
        <v>583974.19999999995</v>
      </c>
      <c r="I3190" s="55">
        <v>85931</v>
      </c>
      <c r="J3190" s="55">
        <v>669905.19999999995</v>
      </c>
      <c r="K3190" s="55">
        <v>277109.2</v>
      </c>
      <c r="L3190" s="55">
        <v>162845.6</v>
      </c>
      <c r="M3190" s="55">
        <v>60593.2</v>
      </c>
      <c r="N3190" s="55">
        <v>38125.1</v>
      </c>
    </row>
    <row r="3191" spans="1:14" ht="10.050000000000001" hidden="1" customHeight="1">
      <c r="A3191" s="52" t="s">
        <v>315</v>
      </c>
      <c r="B3191" s="53">
        <v>2019</v>
      </c>
      <c r="C3191" s="52" t="s">
        <v>124</v>
      </c>
      <c r="D3191" s="54">
        <v>9</v>
      </c>
      <c r="E3191" s="55">
        <v>9252.2000000000007</v>
      </c>
      <c r="F3191" s="55">
        <v>0</v>
      </c>
      <c r="G3191" s="55">
        <v>9252.2000000000007</v>
      </c>
      <c r="H3191" s="55">
        <v>8133.8</v>
      </c>
      <c r="I3191" s="55">
        <v>16.899999999999999</v>
      </c>
      <c r="J3191" s="55">
        <v>8150.7</v>
      </c>
      <c r="K3191" s="55">
        <v>6948.4</v>
      </c>
      <c r="L3191" s="55">
        <v>8942.5</v>
      </c>
      <c r="M3191" s="55">
        <v>2213.8000000000002</v>
      </c>
      <c r="N3191" s="55">
        <v>0</v>
      </c>
    </row>
    <row r="3192" spans="1:14" ht="10.050000000000001" hidden="1" customHeight="1">
      <c r="A3192" s="52" t="s">
        <v>311</v>
      </c>
      <c r="B3192" s="53">
        <v>2019</v>
      </c>
      <c r="C3192" s="52" t="s">
        <v>124</v>
      </c>
      <c r="D3192" s="54">
        <v>9</v>
      </c>
      <c r="E3192" s="55">
        <v>128.69999999999999</v>
      </c>
      <c r="F3192" s="55">
        <v>0</v>
      </c>
      <c r="G3192" s="55">
        <v>128.69999999999999</v>
      </c>
      <c r="H3192" s="55">
        <v>2180.5</v>
      </c>
      <c r="I3192" s="55">
        <v>0</v>
      </c>
      <c r="J3192" s="55">
        <v>2180.5</v>
      </c>
      <c r="K3192" s="55">
        <v>724.5</v>
      </c>
      <c r="L3192" s="55">
        <v>294.3</v>
      </c>
      <c r="M3192" s="55">
        <v>0</v>
      </c>
      <c r="N3192" s="55">
        <v>95</v>
      </c>
    </row>
    <row r="3193" spans="1:14" ht="10.050000000000001" hidden="1" customHeight="1">
      <c r="A3193" s="52" t="s">
        <v>173</v>
      </c>
      <c r="B3193" s="53">
        <v>2019</v>
      </c>
      <c r="C3193" s="52" t="s">
        <v>124</v>
      </c>
      <c r="D3193" s="54">
        <v>9</v>
      </c>
      <c r="E3193" s="55">
        <v>562023.9</v>
      </c>
      <c r="F3193" s="55">
        <v>17951.400000000001</v>
      </c>
      <c r="G3193" s="55">
        <v>579975.30000000005</v>
      </c>
      <c r="H3193" s="55">
        <v>6457554.0000000102</v>
      </c>
      <c r="I3193" s="55">
        <v>50991.9</v>
      </c>
      <c r="J3193" s="55">
        <v>6508545.9000000097</v>
      </c>
      <c r="K3193" s="55">
        <v>1598348.8</v>
      </c>
      <c r="L3193" s="55">
        <v>50523.3</v>
      </c>
      <c r="M3193" s="55">
        <v>365168.7</v>
      </c>
      <c r="N3193" s="55">
        <v>38929.9</v>
      </c>
    </row>
    <row r="3194" spans="1:14" ht="10.050000000000001" customHeight="1">
      <c r="A3194" s="52" t="s">
        <v>309</v>
      </c>
      <c r="B3194" s="53">
        <v>2019</v>
      </c>
      <c r="C3194" s="52" t="s">
        <v>124</v>
      </c>
      <c r="D3194" s="54">
        <v>9</v>
      </c>
      <c r="E3194" s="55">
        <v>712.3</v>
      </c>
      <c r="F3194" s="55">
        <v>0</v>
      </c>
      <c r="G3194" s="55">
        <v>712.3</v>
      </c>
      <c r="H3194" s="55">
        <v>25887.599999999999</v>
      </c>
      <c r="I3194" s="55">
        <v>0</v>
      </c>
      <c r="J3194" s="55">
        <v>25887.599999999999</v>
      </c>
      <c r="K3194" s="55">
        <v>0</v>
      </c>
      <c r="L3194" s="55">
        <v>0</v>
      </c>
      <c r="M3194" s="55">
        <v>0</v>
      </c>
      <c r="N3194" s="55">
        <v>0</v>
      </c>
    </row>
    <row r="3195" spans="1:14" ht="10.050000000000001" hidden="1" customHeight="1">
      <c r="A3195" s="52" t="s">
        <v>316</v>
      </c>
      <c r="B3195" s="53">
        <v>2019</v>
      </c>
      <c r="C3195" s="52" t="s">
        <v>124</v>
      </c>
      <c r="D3195" s="54">
        <v>9</v>
      </c>
      <c r="E3195" s="55">
        <v>1720.7</v>
      </c>
      <c r="F3195" s="55">
        <v>0.4</v>
      </c>
      <c r="G3195" s="55">
        <v>1721.1</v>
      </c>
      <c r="H3195" s="55">
        <v>13678.3</v>
      </c>
      <c r="I3195" s="55">
        <v>58.7</v>
      </c>
      <c r="J3195" s="55">
        <v>13737</v>
      </c>
      <c r="K3195" s="55">
        <v>302.7</v>
      </c>
      <c r="L3195" s="55">
        <v>127.8</v>
      </c>
      <c r="M3195" s="55">
        <v>50.9</v>
      </c>
      <c r="N3195" s="55">
        <v>12</v>
      </c>
    </row>
    <row r="3196" spans="1:14" ht="10.050000000000001" hidden="1" customHeight="1">
      <c r="A3196" s="52" t="s">
        <v>310</v>
      </c>
      <c r="B3196" s="53">
        <v>2019</v>
      </c>
      <c r="C3196" s="52" t="s">
        <v>124</v>
      </c>
      <c r="D3196" s="54">
        <v>9</v>
      </c>
      <c r="E3196" s="55">
        <v>3716.7</v>
      </c>
      <c r="F3196" s="55">
        <v>860.7</v>
      </c>
      <c r="G3196" s="55">
        <v>4577.3999999999996</v>
      </c>
      <c r="H3196" s="55">
        <v>37323.9</v>
      </c>
      <c r="I3196" s="55">
        <v>641.70000000000005</v>
      </c>
      <c r="J3196" s="55">
        <v>37965.599999999999</v>
      </c>
      <c r="K3196" s="55">
        <v>7338.7</v>
      </c>
      <c r="L3196" s="55">
        <v>461.4</v>
      </c>
      <c r="M3196" s="55">
        <v>2426.3000000000002</v>
      </c>
      <c r="N3196" s="55">
        <v>77.400000000000006</v>
      </c>
    </row>
    <row r="3197" spans="1:14" ht="10.050000000000001" hidden="1" customHeight="1">
      <c r="A3197" s="52" t="s">
        <v>308</v>
      </c>
      <c r="B3197" s="53">
        <v>2019</v>
      </c>
      <c r="C3197" s="52" t="s">
        <v>124</v>
      </c>
      <c r="D3197" s="54">
        <v>9</v>
      </c>
      <c r="E3197" s="55">
        <v>24913.599999999999</v>
      </c>
      <c r="F3197" s="55">
        <v>127.2</v>
      </c>
      <c r="G3197" s="55">
        <v>25040.799999999999</v>
      </c>
      <c r="H3197" s="55">
        <v>31824.1</v>
      </c>
      <c r="I3197" s="55">
        <v>323.7</v>
      </c>
      <c r="J3197" s="55">
        <v>32147.8</v>
      </c>
      <c r="K3197" s="55">
        <v>13339.3</v>
      </c>
      <c r="L3197" s="55">
        <v>13855.8</v>
      </c>
      <c r="M3197" s="55">
        <v>923.6</v>
      </c>
      <c r="N3197" s="55">
        <v>87.3</v>
      </c>
    </row>
    <row r="3198" spans="1:14" ht="10.050000000000001" hidden="1" customHeight="1">
      <c r="A3198" s="52" t="s">
        <v>174</v>
      </c>
      <c r="B3198" s="53">
        <v>2019</v>
      </c>
      <c r="C3198" s="52" t="s">
        <v>124</v>
      </c>
      <c r="D3198" s="54">
        <v>9</v>
      </c>
      <c r="E3198" s="55">
        <v>46342.3</v>
      </c>
      <c r="F3198" s="55">
        <v>11671.8</v>
      </c>
      <c r="G3198" s="55">
        <v>58014.1</v>
      </c>
      <c r="H3198" s="55">
        <v>408945.8</v>
      </c>
      <c r="I3198" s="55">
        <v>18209.900000000001</v>
      </c>
      <c r="J3198" s="55">
        <v>427155.7</v>
      </c>
      <c r="K3198" s="55">
        <v>157895.79999999999</v>
      </c>
      <c r="L3198" s="55">
        <v>7337.4</v>
      </c>
      <c r="M3198" s="55">
        <v>22145.200000000001</v>
      </c>
      <c r="N3198" s="55">
        <v>11332.1</v>
      </c>
    </row>
    <row r="3199" spans="1:14" ht="10.050000000000001" hidden="1" customHeight="1">
      <c r="A3199" s="52" t="s">
        <v>314</v>
      </c>
      <c r="B3199" s="53">
        <v>2019</v>
      </c>
      <c r="C3199" s="52" t="s">
        <v>124</v>
      </c>
      <c r="D3199" s="54">
        <v>10</v>
      </c>
      <c r="E3199" s="55">
        <v>0</v>
      </c>
      <c r="F3199" s="55">
        <v>0</v>
      </c>
      <c r="G3199" s="55">
        <v>0</v>
      </c>
      <c r="H3199" s="55">
        <v>65.900000000000006</v>
      </c>
      <c r="I3199" s="55">
        <v>0</v>
      </c>
      <c r="J3199" s="55">
        <v>65.900000000000006</v>
      </c>
      <c r="K3199" s="55">
        <v>7.9</v>
      </c>
      <c r="L3199" s="55">
        <v>0</v>
      </c>
      <c r="M3199" s="55">
        <v>0</v>
      </c>
      <c r="N3199" s="55">
        <v>0</v>
      </c>
    </row>
    <row r="3200" spans="1:14" ht="10.050000000000001" hidden="1" customHeight="1">
      <c r="A3200" s="52" t="s">
        <v>306</v>
      </c>
      <c r="B3200" s="53">
        <v>2019</v>
      </c>
      <c r="C3200" s="52" t="s">
        <v>124</v>
      </c>
      <c r="D3200" s="54">
        <v>10</v>
      </c>
      <c r="E3200" s="55">
        <v>7075.9</v>
      </c>
      <c r="F3200" s="55">
        <v>975.2</v>
      </c>
      <c r="G3200" s="55">
        <v>8051.1</v>
      </c>
      <c r="H3200" s="55">
        <v>146597.9</v>
      </c>
      <c r="I3200" s="55">
        <v>3450.1</v>
      </c>
      <c r="J3200" s="55">
        <v>150048</v>
      </c>
      <c r="K3200" s="55">
        <v>21532.799999999999</v>
      </c>
      <c r="L3200" s="55">
        <v>981.5</v>
      </c>
      <c r="M3200" s="55">
        <v>3489.3</v>
      </c>
      <c r="N3200" s="55">
        <v>730.4</v>
      </c>
    </row>
    <row r="3201" spans="1:14" ht="10.050000000000001" hidden="1" customHeight="1">
      <c r="A3201" s="52" t="s">
        <v>172</v>
      </c>
      <c r="B3201" s="53">
        <v>2019</v>
      </c>
      <c r="C3201" s="52" t="s">
        <v>124</v>
      </c>
      <c r="D3201" s="54">
        <v>10</v>
      </c>
      <c r="E3201" s="55">
        <v>95325.9</v>
      </c>
      <c r="F3201" s="55">
        <v>5802.1</v>
      </c>
      <c r="G3201" s="55">
        <v>101128</v>
      </c>
      <c r="H3201" s="55">
        <v>762500.9</v>
      </c>
      <c r="I3201" s="55">
        <v>10859.8</v>
      </c>
      <c r="J3201" s="55">
        <v>773360.7</v>
      </c>
      <c r="K3201" s="55">
        <v>176661.3</v>
      </c>
      <c r="L3201" s="55">
        <v>17656</v>
      </c>
      <c r="M3201" s="55">
        <v>67062.8</v>
      </c>
      <c r="N3201" s="55">
        <v>5613.6</v>
      </c>
    </row>
    <row r="3202" spans="1:14" ht="10.050000000000001" hidden="1" customHeight="1">
      <c r="A3202" s="52" t="s">
        <v>171</v>
      </c>
      <c r="B3202" s="53">
        <v>2019</v>
      </c>
      <c r="C3202" s="52" t="s">
        <v>124</v>
      </c>
      <c r="D3202" s="54">
        <v>10</v>
      </c>
      <c r="E3202" s="55">
        <v>1434100</v>
      </c>
      <c r="F3202" s="55">
        <v>47635</v>
      </c>
      <c r="G3202" s="55">
        <v>1481735</v>
      </c>
      <c r="H3202" s="55">
        <v>12932804.5</v>
      </c>
      <c r="I3202" s="55">
        <v>123609.7</v>
      </c>
      <c r="J3202" s="55">
        <v>13056414.199999999</v>
      </c>
      <c r="K3202" s="55">
        <v>5258073</v>
      </c>
      <c r="L3202" s="55">
        <v>214718.7</v>
      </c>
      <c r="M3202" s="55">
        <v>867370.3</v>
      </c>
      <c r="N3202" s="55">
        <v>82332.100000000006</v>
      </c>
    </row>
    <row r="3203" spans="1:14" ht="10.050000000000001" hidden="1" customHeight="1">
      <c r="A3203" s="52" t="s">
        <v>300</v>
      </c>
      <c r="B3203" s="53">
        <v>2019</v>
      </c>
      <c r="C3203" s="52" t="s">
        <v>124</v>
      </c>
      <c r="D3203" s="54">
        <v>10</v>
      </c>
      <c r="E3203" s="55">
        <v>1055.4000000000001</v>
      </c>
      <c r="F3203" s="55">
        <v>22.6</v>
      </c>
      <c r="G3203" s="55">
        <v>1078</v>
      </c>
      <c r="H3203" s="55">
        <v>11679.7</v>
      </c>
      <c r="I3203" s="55">
        <v>288.39999999999998</v>
      </c>
      <c r="J3203" s="55">
        <v>11968.1</v>
      </c>
      <c r="K3203" s="55">
        <v>342.6</v>
      </c>
      <c r="L3203" s="55">
        <v>22.6</v>
      </c>
      <c r="M3203" s="55">
        <v>22.6</v>
      </c>
      <c r="N3203" s="55">
        <v>21.4</v>
      </c>
    </row>
    <row r="3204" spans="1:14" ht="10.050000000000001" hidden="1" customHeight="1">
      <c r="A3204" s="52" t="s">
        <v>307</v>
      </c>
      <c r="B3204" s="53">
        <v>2019</v>
      </c>
      <c r="C3204" s="52" t="s">
        <v>124</v>
      </c>
      <c r="D3204" s="54">
        <v>10</v>
      </c>
      <c r="E3204" s="55">
        <v>3832227.1</v>
      </c>
      <c r="F3204" s="55">
        <v>89004.2</v>
      </c>
      <c r="G3204" s="55">
        <v>3921231.3</v>
      </c>
      <c r="H3204" s="55">
        <v>3513497.3</v>
      </c>
      <c r="I3204" s="55">
        <v>140860.6</v>
      </c>
      <c r="J3204" s="55">
        <v>3654357.9</v>
      </c>
      <c r="K3204" s="55">
        <v>2018308.5</v>
      </c>
      <c r="L3204" s="55">
        <v>2127292.2999999998</v>
      </c>
      <c r="M3204" s="55">
        <v>313105.59999999998</v>
      </c>
      <c r="N3204" s="55">
        <v>73994.7</v>
      </c>
    </row>
    <row r="3205" spans="1:14" ht="10.050000000000001" hidden="1" customHeight="1">
      <c r="A3205" s="52" t="s">
        <v>315</v>
      </c>
      <c r="B3205" s="53">
        <v>2019</v>
      </c>
      <c r="C3205" s="52" t="s">
        <v>124</v>
      </c>
      <c r="D3205" s="54">
        <v>10</v>
      </c>
      <c r="E3205" s="55">
        <v>13781.9</v>
      </c>
      <c r="F3205" s="55">
        <v>0</v>
      </c>
      <c r="G3205" s="55">
        <v>13781.9</v>
      </c>
      <c r="H3205" s="55">
        <v>16067.6</v>
      </c>
      <c r="I3205" s="55">
        <v>16.899999999999999</v>
      </c>
      <c r="J3205" s="55">
        <v>16084.5</v>
      </c>
      <c r="K3205" s="55">
        <v>5690.2</v>
      </c>
      <c r="L3205" s="55">
        <v>4837.8</v>
      </c>
      <c r="M3205" s="55">
        <v>6026.3</v>
      </c>
      <c r="N3205" s="55">
        <v>69.5</v>
      </c>
    </row>
    <row r="3206" spans="1:14" ht="10.050000000000001" hidden="1" customHeight="1">
      <c r="A3206" s="52" t="s">
        <v>311</v>
      </c>
      <c r="B3206" s="53">
        <v>2019</v>
      </c>
      <c r="C3206" s="52" t="s">
        <v>124</v>
      </c>
      <c r="D3206" s="54">
        <v>10</v>
      </c>
      <c r="E3206" s="55">
        <v>101</v>
      </c>
      <c r="F3206" s="55">
        <v>0</v>
      </c>
      <c r="G3206" s="55">
        <v>101</v>
      </c>
      <c r="H3206" s="55">
        <v>2179.1999999999998</v>
      </c>
      <c r="I3206" s="55">
        <v>0</v>
      </c>
      <c r="J3206" s="55">
        <v>2179.1999999999998</v>
      </c>
      <c r="K3206" s="55">
        <v>682.3</v>
      </c>
      <c r="L3206" s="55">
        <v>25.2</v>
      </c>
      <c r="M3206" s="55">
        <v>0</v>
      </c>
      <c r="N3206" s="55">
        <v>67.400000000000006</v>
      </c>
    </row>
    <row r="3207" spans="1:14" ht="10.050000000000001" hidden="1" customHeight="1">
      <c r="A3207" s="52" t="s">
        <v>173</v>
      </c>
      <c r="B3207" s="53">
        <v>2019</v>
      </c>
      <c r="C3207" s="52" t="s">
        <v>124</v>
      </c>
      <c r="D3207" s="54">
        <v>10</v>
      </c>
      <c r="E3207" s="55">
        <v>358111.2</v>
      </c>
      <c r="F3207" s="55">
        <v>16776.8</v>
      </c>
      <c r="G3207" s="55">
        <v>374888</v>
      </c>
      <c r="H3207" s="55">
        <v>5857418.7999999998</v>
      </c>
      <c r="I3207" s="55">
        <v>47292.9</v>
      </c>
      <c r="J3207" s="55">
        <v>5904711.7000000002</v>
      </c>
      <c r="K3207" s="55">
        <v>1372555.2</v>
      </c>
      <c r="L3207" s="55">
        <v>46604.2</v>
      </c>
      <c r="M3207" s="55">
        <v>233159.2</v>
      </c>
      <c r="N3207" s="55">
        <v>40402.800000000003</v>
      </c>
    </row>
    <row r="3208" spans="1:14" ht="10.050000000000001" customHeight="1">
      <c r="A3208" s="52" t="s">
        <v>309</v>
      </c>
      <c r="B3208" s="53">
        <v>2019</v>
      </c>
      <c r="C3208" s="52" t="s">
        <v>124</v>
      </c>
      <c r="D3208" s="54">
        <v>10</v>
      </c>
      <c r="E3208" s="55">
        <v>48881.7</v>
      </c>
      <c r="F3208" s="55">
        <v>0</v>
      </c>
      <c r="G3208" s="55">
        <v>48881.7</v>
      </c>
      <c r="H3208" s="55">
        <v>70639.8</v>
      </c>
      <c r="I3208" s="55">
        <v>0</v>
      </c>
      <c r="J3208" s="55">
        <v>70639.8</v>
      </c>
      <c r="K3208" s="55">
        <v>0</v>
      </c>
      <c r="L3208" s="55">
        <v>2180.5</v>
      </c>
      <c r="M3208" s="55">
        <v>2180.5</v>
      </c>
      <c r="N3208" s="55">
        <v>0</v>
      </c>
    </row>
    <row r="3209" spans="1:14" ht="10.050000000000001" hidden="1" customHeight="1">
      <c r="A3209" s="52" t="s">
        <v>316</v>
      </c>
      <c r="B3209" s="53">
        <v>2019</v>
      </c>
      <c r="C3209" s="52" t="s">
        <v>124</v>
      </c>
      <c r="D3209" s="54">
        <v>10</v>
      </c>
      <c r="E3209" s="55">
        <v>5403</v>
      </c>
      <c r="F3209" s="55">
        <v>90.1</v>
      </c>
      <c r="G3209" s="55">
        <v>5493.1</v>
      </c>
      <c r="H3209" s="55">
        <v>16965.099999999999</v>
      </c>
      <c r="I3209" s="55">
        <v>143.69999999999999</v>
      </c>
      <c r="J3209" s="55">
        <v>17108.8</v>
      </c>
      <c r="K3209" s="55">
        <v>545</v>
      </c>
      <c r="L3209" s="55">
        <v>488.8</v>
      </c>
      <c r="M3209" s="55">
        <v>202</v>
      </c>
      <c r="N3209" s="55">
        <v>44.4</v>
      </c>
    </row>
    <row r="3210" spans="1:14" ht="10.050000000000001" hidden="1" customHeight="1">
      <c r="A3210" s="52" t="s">
        <v>310</v>
      </c>
      <c r="B3210" s="53">
        <v>2019</v>
      </c>
      <c r="C3210" s="52" t="s">
        <v>124</v>
      </c>
      <c r="D3210" s="54">
        <v>10</v>
      </c>
      <c r="E3210" s="55">
        <v>3308.4</v>
      </c>
      <c r="F3210" s="55">
        <v>73.599999999999994</v>
      </c>
      <c r="G3210" s="55">
        <v>3382</v>
      </c>
      <c r="H3210" s="55">
        <v>36424.800000000003</v>
      </c>
      <c r="I3210" s="55">
        <v>508.2</v>
      </c>
      <c r="J3210" s="55">
        <v>36933</v>
      </c>
      <c r="K3210" s="55">
        <v>5464.5</v>
      </c>
      <c r="L3210" s="55">
        <v>262</v>
      </c>
      <c r="M3210" s="55">
        <v>1965.7</v>
      </c>
      <c r="N3210" s="55">
        <v>173.9</v>
      </c>
    </row>
    <row r="3211" spans="1:14" ht="10.050000000000001" hidden="1" customHeight="1">
      <c r="A3211" s="52" t="s">
        <v>308</v>
      </c>
      <c r="B3211" s="53">
        <v>2019</v>
      </c>
      <c r="C3211" s="52" t="s">
        <v>124</v>
      </c>
      <c r="D3211" s="54">
        <v>10</v>
      </c>
      <c r="E3211" s="55">
        <v>119918</v>
      </c>
      <c r="F3211" s="55">
        <v>161.9</v>
      </c>
      <c r="G3211" s="55">
        <v>120079.9</v>
      </c>
      <c r="H3211" s="55">
        <v>131412.9</v>
      </c>
      <c r="I3211" s="55">
        <v>402.4</v>
      </c>
      <c r="J3211" s="55">
        <v>131815.29999999999</v>
      </c>
      <c r="K3211" s="55">
        <v>39458.800000000003</v>
      </c>
      <c r="L3211" s="55">
        <v>41870.800000000003</v>
      </c>
      <c r="M3211" s="55">
        <v>15044.8</v>
      </c>
      <c r="N3211" s="55">
        <v>677.6</v>
      </c>
    </row>
    <row r="3212" spans="1:14" ht="10.050000000000001" hidden="1" customHeight="1">
      <c r="A3212" s="52" t="s">
        <v>174</v>
      </c>
      <c r="B3212" s="53">
        <v>2019</v>
      </c>
      <c r="C3212" s="52" t="s">
        <v>124</v>
      </c>
      <c r="D3212" s="54">
        <v>10</v>
      </c>
      <c r="E3212" s="55">
        <v>29462.7</v>
      </c>
      <c r="F3212" s="55">
        <v>2351</v>
      </c>
      <c r="G3212" s="55">
        <v>31813.7</v>
      </c>
      <c r="H3212" s="55">
        <v>375235.5</v>
      </c>
      <c r="I3212" s="55">
        <v>12992.4</v>
      </c>
      <c r="J3212" s="55">
        <v>388227.9</v>
      </c>
      <c r="K3212" s="55">
        <v>137655.29999999999</v>
      </c>
      <c r="L3212" s="55">
        <v>4073.1</v>
      </c>
      <c r="M3212" s="55">
        <v>13066.8</v>
      </c>
      <c r="N3212" s="55">
        <v>11367.5</v>
      </c>
    </row>
    <row r="3213" spans="1:14" ht="10.050000000000001" hidden="1" customHeight="1">
      <c r="A3213" s="52" t="s">
        <v>314</v>
      </c>
      <c r="B3213" s="53">
        <v>2019</v>
      </c>
      <c r="C3213" s="52" t="s">
        <v>124</v>
      </c>
      <c r="D3213" s="54">
        <v>11</v>
      </c>
      <c r="E3213" s="55">
        <v>0</v>
      </c>
      <c r="F3213" s="55">
        <v>0</v>
      </c>
      <c r="G3213" s="55">
        <v>0</v>
      </c>
      <c r="H3213" s="55">
        <v>81.5</v>
      </c>
      <c r="I3213" s="55">
        <v>0</v>
      </c>
      <c r="J3213" s="55">
        <v>81.5</v>
      </c>
      <c r="K3213" s="55">
        <v>7.9</v>
      </c>
      <c r="L3213" s="55">
        <v>0</v>
      </c>
      <c r="M3213" s="55">
        <v>0</v>
      </c>
      <c r="N3213" s="55">
        <v>0</v>
      </c>
    </row>
    <row r="3214" spans="1:14" ht="10.050000000000001" hidden="1" customHeight="1">
      <c r="A3214" s="52" t="s">
        <v>306</v>
      </c>
      <c r="B3214" s="53">
        <v>2019</v>
      </c>
      <c r="C3214" s="52" t="s">
        <v>124</v>
      </c>
      <c r="D3214" s="54">
        <v>11</v>
      </c>
      <c r="E3214" s="55">
        <v>5877.9</v>
      </c>
      <c r="F3214" s="55">
        <v>922.7</v>
      </c>
      <c r="G3214" s="55">
        <v>6800.6</v>
      </c>
      <c r="H3214" s="55">
        <v>130373.2</v>
      </c>
      <c r="I3214" s="55">
        <v>3913</v>
      </c>
      <c r="J3214" s="55">
        <v>134286.20000000001</v>
      </c>
      <c r="K3214" s="55">
        <v>18293</v>
      </c>
      <c r="L3214" s="55">
        <v>782.6</v>
      </c>
      <c r="M3214" s="55">
        <v>3105.8</v>
      </c>
      <c r="N3214" s="55">
        <v>916.5</v>
      </c>
    </row>
    <row r="3215" spans="1:14" ht="10.050000000000001" hidden="1" customHeight="1">
      <c r="A3215" s="52" t="s">
        <v>172</v>
      </c>
      <c r="B3215" s="53">
        <v>2019</v>
      </c>
      <c r="C3215" s="52" t="s">
        <v>124</v>
      </c>
      <c r="D3215" s="54">
        <v>11</v>
      </c>
      <c r="E3215" s="55">
        <v>66527.399999999994</v>
      </c>
      <c r="F3215" s="55">
        <v>1155.0999999999999</v>
      </c>
      <c r="G3215" s="55">
        <v>67682.5</v>
      </c>
      <c r="H3215" s="55">
        <v>686473.1</v>
      </c>
      <c r="I3215" s="55">
        <v>10508.2</v>
      </c>
      <c r="J3215" s="55">
        <v>696981.3</v>
      </c>
      <c r="K3215" s="55">
        <v>150368.4</v>
      </c>
      <c r="L3215" s="55">
        <v>12174.5</v>
      </c>
      <c r="M3215" s="55">
        <v>36546.699999999997</v>
      </c>
      <c r="N3215" s="55">
        <v>1541.3</v>
      </c>
    </row>
    <row r="3216" spans="1:14" ht="10.050000000000001" hidden="1" customHeight="1">
      <c r="A3216" s="52" t="s">
        <v>171</v>
      </c>
      <c r="B3216" s="53">
        <v>2019</v>
      </c>
      <c r="C3216" s="52" t="s">
        <v>124</v>
      </c>
      <c r="D3216" s="54">
        <v>11</v>
      </c>
      <c r="E3216" s="55">
        <v>1558917.3</v>
      </c>
      <c r="F3216" s="55">
        <v>41237.800000000003</v>
      </c>
      <c r="G3216" s="55">
        <v>1600155.1</v>
      </c>
      <c r="H3216" s="55">
        <v>11548770.199999999</v>
      </c>
      <c r="I3216" s="55">
        <v>114939.8</v>
      </c>
      <c r="J3216" s="55">
        <v>11663710</v>
      </c>
      <c r="K3216" s="55">
        <v>4676985.2</v>
      </c>
      <c r="L3216" s="55">
        <v>367669.9</v>
      </c>
      <c r="M3216" s="55">
        <v>855604.2</v>
      </c>
      <c r="N3216" s="55">
        <v>93664.7</v>
      </c>
    </row>
    <row r="3217" spans="1:14" ht="10.050000000000001" hidden="1" customHeight="1">
      <c r="A3217" s="52" t="s">
        <v>300</v>
      </c>
      <c r="B3217" s="53">
        <v>2019</v>
      </c>
      <c r="C3217" s="52" t="s">
        <v>124</v>
      </c>
      <c r="D3217" s="54">
        <v>11</v>
      </c>
      <c r="E3217" s="55">
        <v>1223.4000000000001</v>
      </c>
      <c r="F3217" s="55">
        <v>0</v>
      </c>
      <c r="G3217" s="55">
        <v>1223.4000000000001</v>
      </c>
      <c r="H3217" s="55">
        <v>11203.6</v>
      </c>
      <c r="I3217" s="55">
        <v>283</v>
      </c>
      <c r="J3217" s="55">
        <v>11486.6</v>
      </c>
      <c r="K3217" s="55">
        <v>204</v>
      </c>
      <c r="L3217" s="55">
        <v>6.7</v>
      </c>
      <c r="M3217" s="55">
        <v>113.6</v>
      </c>
      <c r="N3217" s="55">
        <v>31.7</v>
      </c>
    </row>
    <row r="3218" spans="1:14" ht="10.050000000000001" hidden="1" customHeight="1">
      <c r="A3218" s="52" t="s">
        <v>307</v>
      </c>
      <c r="B3218" s="53">
        <v>2019</v>
      </c>
      <c r="C3218" s="52" t="s">
        <v>124</v>
      </c>
      <c r="D3218" s="54">
        <v>11</v>
      </c>
      <c r="E3218" s="55">
        <v>2072314.6</v>
      </c>
      <c r="F3218" s="55">
        <v>70623.100000000006</v>
      </c>
      <c r="G3218" s="55">
        <v>2142937.7000000002</v>
      </c>
      <c r="H3218" s="55">
        <v>4693453.5</v>
      </c>
      <c r="I3218" s="55">
        <v>166826.20000000001</v>
      </c>
      <c r="J3218" s="55">
        <v>4860279.7</v>
      </c>
      <c r="K3218" s="55">
        <v>2156388.5</v>
      </c>
      <c r="L3218" s="55">
        <v>877485.7</v>
      </c>
      <c r="M3218" s="55">
        <v>644109.6</v>
      </c>
      <c r="N3218" s="55">
        <v>97219.199999999997</v>
      </c>
    </row>
    <row r="3219" spans="1:14" ht="10.050000000000001" hidden="1" customHeight="1">
      <c r="A3219" s="52" t="s">
        <v>315</v>
      </c>
      <c r="B3219" s="53">
        <v>2019</v>
      </c>
      <c r="C3219" s="52" t="s">
        <v>124</v>
      </c>
      <c r="D3219" s="54">
        <v>11</v>
      </c>
      <c r="E3219" s="55">
        <v>3364.4</v>
      </c>
      <c r="F3219" s="55">
        <v>0</v>
      </c>
      <c r="G3219" s="55">
        <v>3364.4</v>
      </c>
      <c r="H3219" s="55">
        <v>15809.5</v>
      </c>
      <c r="I3219" s="55">
        <v>16.899999999999999</v>
      </c>
      <c r="J3219" s="55">
        <v>15826.4</v>
      </c>
      <c r="K3219" s="55">
        <v>3052.8</v>
      </c>
      <c r="L3219" s="55">
        <v>267.2</v>
      </c>
      <c r="M3219" s="55">
        <v>2867.6</v>
      </c>
      <c r="N3219" s="55">
        <v>36.6</v>
      </c>
    </row>
    <row r="3220" spans="1:14" ht="10.050000000000001" hidden="1" customHeight="1">
      <c r="A3220" s="52" t="s">
        <v>311</v>
      </c>
      <c r="B3220" s="53">
        <v>2019</v>
      </c>
      <c r="C3220" s="52" t="s">
        <v>124</v>
      </c>
      <c r="D3220" s="54">
        <v>11</v>
      </c>
      <c r="E3220" s="55">
        <v>116.8</v>
      </c>
      <c r="F3220" s="55">
        <v>0</v>
      </c>
      <c r="G3220" s="55">
        <v>116.8</v>
      </c>
      <c r="H3220" s="55">
        <v>2246</v>
      </c>
      <c r="I3220" s="55">
        <v>0</v>
      </c>
      <c r="J3220" s="55">
        <v>2246</v>
      </c>
      <c r="K3220" s="55">
        <v>629.6</v>
      </c>
      <c r="L3220" s="55">
        <v>3.3</v>
      </c>
      <c r="M3220" s="55">
        <v>0</v>
      </c>
      <c r="N3220" s="55">
        <v>56</v>
      </c>
    </row>
    <row r="3221" spans="1:14" ht="10.050000000000001" hidden="1" customHeight="1">
      <c r="A3221" s="52" t="s">
        <v>173</v>
      </c>
      <c r="B3221" s="53">
        <v>2019</v>
      </c>
      <c r="C3221" s="52" t="s">
        <v>124</v>
      </c>
      <c r="D3221" s="54">
        <v>11</v>
      </c>
      <c r="E3221" s="55">
        <v>345185.3</v>
      </c>
      <c r="F3221" s="55">
        <v>25629.8</v>
      </c>
      <c r="G3221" s="55">
        <v>370815.1</v>
      </c>
      <c r="H3221" s="55">
        <v>5534570.9000000004</v>
      </c>
      <c r="I3221" s="55">
        <v>47319.7</v>
      </c>
      <c r="J3221" s="55">
        <v>5581890.5999999996</v>
      </c>
      <c r="K3221" s="55">
        <v>1173532.8999999999</v>
      </c>
      <c r="L3221" s="55">
        <v>37434.1</v>
      </c>
      <c r="M3221" s="55">
        <v>197865.2</v>
      </c>
      <c r="N3221" s="55">
        <v>37199.699999999997</v>
      </c>
    </row>
    <row r="3222" spans="1:14" ht="10.050000000000001" customHeight="1">
      <c r="A3222" s="52" t="s">
        <v>309</v>
      </c>
      <c r="B3222" s="53">
        <v>2019</v>
      </c>
      <c r="C3222" s="52" t="s">
        <v>124</v>
      </c>
      <c r="D3222" s="54">
        <v>11</v>
      </c>
      <c r="E3222" s="55">
        <v>12569</v>
      </c>
      <c r="F3222" s="55">
        <v>0</v>
      </c>
      <c r="G3222" s="55">
        <v>12569</v>
      </c>
      <c r="H3222" s="55">
        <v>79267.100000000006</v>
      </c>
      <c r="I3222" s="55">
        <v>0</v>
      </c>
      <c r="J3222" s="55">
        <v>79267.100000000006</v>
      </c>
      <c r="K3222" s="55">
        <v>1329.7</v>
      </c>
      <c r="L3222" s="55">
        <v>1329.7</v>
      </c>
      <c r="M3222" s="55">
        <v>0</v>
      </c>
      <c r="N3222" s="55">
        <v>0</v>
      </c>
    </row>
    <row r="3223" spans="1:14" ht="10.050000000000001" hidden="1" customHeight="1">
      <c r="A3223" s="52" t="s">
        <v>316</v>
      </c>
      <c r="B3223" s="53">
        <v>2019</v>
      </c>
      <c r="C3223" s="52" t="s">
        <v>124</v>
      </c>
      <c r="D3223" s="54">
        <v>11</v>
      </c>
      <c r="E3223" s="55">
        <v>1791.4</v>
      </c>
      <c r="F3223" s="55">
        <v>24</v>
      </c>
      <c r="G3223" s="55">
        <v>1815.4</v>
      </c>
      <c r="H3223" s="55">
        <v>16547.7</v>
      </c>
      <c r="I3223" s="55">
        <v>127.5</v>
      </c>
      <c r="J3223" s="55">
        <v>16675.2</v>
      </c>
      <c r="K3223" s="55">
        <v>490.2</v>
      </c>
      <c r="L3223" s="55">
        <v>127.1</v>
      </c>
      <c r="M3223" s="55">
        <v>149.69999999999999</v>
      </c>
      <c r="N3223" s="55">
        <v>32.4</v>
      </c>
    </row>
    <row r="3224" spans="1:14" ht="10.050000000000001" hidden="1" customHeight="1">
      <c r="A3224" s="52" t="s">
        <v>310</v>
      </c>
      <c r="B3224" s="53">
        <v>2019</v>
      </c>
      <c r="C3224" s="52" t="s">
        <v>124</v>
      </c>
      <c r="D3224" s="54">
        <v>11</v>
      </c>
      <c r="E3224" s="55">
        <v>1632.7</v>
      </c>
      <c r="F3224" s="55">
        <v>145.1</v>
      </c>
      <c r="G3224" s="55">
        <v>1777.8</v>
      </c>
      <c r="H3224" s="55">
        <v>34582.800000000003</v>
      </c>
      <c r="I3224" s="55">
        <v>510.3</v>
      </c>
      <c r="J3224" s="55">
        <v>35093.1</v>
      </c>
      <c r="K3224" s="55">
        <v>4401.2</v>
      </c>
      <c r="L3224" s="55">
        <v>116</v>
      </c>
      <c r="M3224" s="55">
        <v>840.2</v>
      </c>
      <c r="N3224" s="55">
        <v>335.8</v>
      </c>
    </row>
    <row r="3225" spans="1:14" ht="10.050000000000001" hidden="1" customHeight="1">
      <c r="A3225" s="52" t="s">
        <v>308</v>
      </c>
      <c r="B3225" s="53">
        <v>2019</v>
      </c>
      <c r="C3225" s="52" t="s">
        <v>124</v>
      </c>
      <c r="D3225" s="54">
        <v>11</v>
      </c>
      <c r="E3225" s="55">
        <v>38380.199999999997</v>
      </c>
      <c r="F3225" s="55">
        <v>37.299999999999997</v>
      </c>
      <c r="G3225" s="55">
        <v>38417.5</v>
      </c>
      <c r="H3225" s="55">
        <v>141152.79999999999</v>
      </c>
      <c r="I3225" s="55">
        <v>398.4</v>
      </c>
      <c r="J3225" s="55">
        <v>141551.20000000001</v>
      </c>
      <c r="K3225" s="55">
        <v>26320.3</v>
      </c>
      <c r="L3225" s="55">
        <v>8991.9000000000106</v>
      </c>
      <c r="M3225" s="55">
        <v>19742.599999999999</v>
      </c>
      <c r="N3225" s="55">
        <v>2397.6</v>
      </c>
    </row>
    <row r="3226" spans="1:14" ht="10.050000000000001" hidden="1" customHeight="1">
      <c r="A3226" s="52" t="s">
        <v>174</v>
      </c>
      <c r="B3226" s="53">
        <v>2019</v>
      </c>
      <c r="C3226" s="52" t="s">
        <v>124</v>
      </c>
      <c r="D3226" s="54">
        <v>11</v>
      </c>
      <c r="E3226" s="55">
        <v>19275.8</v>
      </c>
      <c r="F3226" s="55">
        <v>1577.6</v>
      </c>
      <c r="G3226" s="55">
        <v>20853.400000000001</v>
      </c>
      <c r="H3226" s="55">
        <v>344061.4</v>
      </c>
      <c r="I3226" s="55">
        <v>11803.9</v>
      </c>
      <c r="J3226" s="55">
        <v>355865.3</v>
      </c>
      <c r="K3226" s="55">
        <v>121845.9</v>
      </c>
      <c r="L3226" s="55">
        <v>3152.1</v>
      </c>
      <c r="M3226" s="55">
        <v>10067.4</v>
      </c>
      <c r="N3226" s="55">
        <v>8964.5</v>
      </c>
    </row>
    <row r="3227" spans="1:14" ht="10.050000000000001" hidden="1" customHeight="1">
      <c r="A3227" s="52" t="s">
        <v>314</v>
      </c>
      <c r="B3227" s="53">
        <v>2019</v>
      </c>
      <c r="C3227" s="52" t="s">
        <v>124</v>
      </c>
      <c r="D3227" s="54">
        <v>12</v>
      </c>
      <c r="E3227" s="55">
        <v>0</v>
      </c>
      <c r="F3227" s="55">
        <v>0</v>
      </c>
      <c r="G3227" s="55">
        <v>0</v>
      </c>
      <c r="H3227" s="55">
        <v>72.5</v>
      </c>
      <c r="I3227" s="55">
        <v>0</v>
      </c>
      <c r="J3227" s="55">
        <v>72.5</v>
      </c>
      <c r="K3227" s="55">
        <v>7.9</v>
      </c>
      <c r="L3227" s="55">
        <v>0</v>
      </c>
      <c r="M3227" s="55">
        <v>0</v>
      </c>
      <c r="N3227" s="55">
        <v>0</v>
      </c>
    </row>
    <row r="3228" spans="1:14" ht="10.050000000000001" hidden="1" customHeight="1">
      <c r="A3228" s="52" t="s">
        <v>306</v>
      </c>
      <c r="B3228" s="53">
        <v>2019</v>
      </c>
      <c r="C3228" s="52" t="s">
        <v>124</v>
      </c>
      <c r="D3228" s="54">
        <v>12</v>
      </c>
      <c r="E3228" s="55">
        <v>5728.1</v>
      </c>
      <c r="F3228" s="55">
        <v>1974.2</v>
      </c>
      <c r="G3228" s="55">
        <v>7702.3</v>
      </c>
      <c r="H3228" s="55">
        <v>114384.2</v>
      </c>
      <c r="I3228" s="55">
        <v>4234.3</v>
      </c>
      <c r="J3228" s="55">
        <v>118618.5</v>
      </c>
      <c r="K3228" s="55">
        <v>15469.8</v>
      </c>
      <c r="L3228" s="55">
        <v>559.1</v>
      </c>
      <c r="M3228" s="55">
        <v>2979.6</v>
      </c>
      <c r="N3228" s="55">
        <v>402.6</v>
      </c>
    </row>
    <row r="3229" spans="1:14" ht="10.050000000000001" hidden="1" customHeight="1">
      <c r="A3229" s="52" t="s">
        <v>172</v>
      </c>
      <c r="B3229" s="53">
        <v>2019</v>
      </c>
      <c r="C3229" s="52" t="s">
        <v>124</v>
      </c>
      <c r="D3229" s="54">
        <v>12</v>
      </c>
      <c r="E3229" s="55">
        <v>55510.7</v>
      </c>
      <c r="F3229" s="55">
        <v>811.8</v>
      </c>
      <c r="G3229" s="55">
        <v>56322.5</v>
      </c>
      <c r="H3229" s="55">
        <v>645054.9</v>
      </c>
      <c r="I3229" s="55">
        <v>10153.200000000001</v>
      </c>
      <c r="J3229" s="55">
        <v>655208.1</v>
      </c>
      <c r="K3229" s="55">
        <v>134408.9</v>
      </c>
      <c r="L3229" s="55">
        <v>11786.4</v>
      </c>
      <c r="M3229" s="55">
        <v>27809.200000000001</v>
      </c>
      <c r="N3229" s="55">
        <v>416.8</v>
      </c>
    </row>
    <row r="3230" spans="1:14" ht="10.050000000000001" hidden="1" customHeight="1">
      <c r="A3230" s="52" t="s">
        <v>171</v>
      </c>
      <c r="B3230" s="53">
        <v>2019</v>
      </c>
      <c r="C3230" s="52" t="s">
        <v>124</v>
      </c>
      <c r="D3230" s="54">
        <v>12</v>
      </c>
      <c r="E3230" s="55">
        <v>1889109.8</v>
      </c>
      <c r="F3230" s="55">
        <v>27164.5</v>
      </c>
      <c r="G3230" s="55">
        <v>1916274.3</v>
      </c>
      <c r="H3230" s="55">
        <v>10817828.699999999</v>
      </c>
      <c r="I3230" s="55">
        <v>119626.6</v>
      </c>
      <c r="J3230" s="55">
        <v>10937455.300000001</v>
      </c>
      <c r="K3230" s="55">
        <v>3888060.9</v>
      </c>
      <c r="L3230" s="55">
        <v>408851.1</v>
      </c>
      <c r="M3230" s="55">
        <v>1137126.5</v>
      </c>
      <c r="N3230" s="55">
        <v>58157.4</v>
      </c>
    </row>
    <row r="3231" spans="1:14" ht="10.050000000000001" hidden="1" customHeight="1">
      <c r="A3231" s="52" t="s">
        <v>300</v>
      </c>
      <c r="B3231" s="53">
        <v>2019</v>
      </c>
      <c r="C3231" s="52" t="s">
        <v>124</v>
      </c>
      <c r="D3231" s="54">
        <v>12</v>
      </c>
      <c r="E3231" s="55">
        <v>572.20000000000005</v>
      </c>
      <c r="F3231" s="55">
        <v>0</v>
      </c>
      <c r="G3231" s="55">
        <v>572.20000000000005</v>
      </c>
      <c r="H3231" s="55">
        <v>9963.9000000000106</v>
      </c>
      <c r="I3231" s="55">
        <v>241.7</v>
      </c>
      <c r="J3231" s="55">
        <v>10205.6</v>
      </c>
      <c r="K3231" s="55">
        <v>238.6</v>
      </c>
      <c r="L3231" s="55">
        <v>43.7</v>
      </c>
      <c r="M3231" s="55">
        <v>0</v>
      </c>
      <c r="N3231" s="55">
        <v>10.8</v>
      </c>
    </row>
    <row r="3232" spans="1:14" ht="10.050000000000001" hidden="1" customHeight="1">
      <c r="A3232" s="52" t="s">
        <v>307</v>
      </c>
      <c r="B3232" s="53">
        <v>2019</v>
      </c>
      <c r="C3232" s="52" t="s">
        <v>124</v>
      </c>
      <c r="D3232" s="54">
        <v>12</v>
      </c>
      <c r="E3232" s="55">
        <v>969449.2</v>
      </c>
      <c r="F3232" s="55">
        <v>1630.6</v>
      </c>
      <c r="G3232" s="55">
        <v>971079.8</v>
      </c>
      <c r="H3232" s="55">
        <v>4935270.2</v>
      </c>
      <c r="I3232" s="55">
        <v>144148.4</v>
      </c>
      <c r="J3232" s="55">
        <v>5079418.5999999996</v>
      </c>
      <c r="K3232" s="55">
        <v>1946711.6</v>
      </c>
      <c r="L3232" s="55">
        <v>228428.4</v>
      </c>
      <c r="M3232" s="55">
        <v>362125.9</v>
      </c>
      <c r="N3232" s="55">
        <v>75804.899999999994</v>
      </c>
    </row>
    <row r="3233" spans="1:14" ht="10.050000000000001" hidden="1" customHeight="1">
      <c r="A3233" s="52" t="s">
        <v>315</v>
      </c>
      <c r="B3233" s="53">
        <v>2019</v>
      </c>
      <c r="C3233" s="52" t="s">
        <v>124</v>
      </c>
      <c r="D3233" s="54">
        <v>12</v>
      </c>
      <c r="E3233" s="55">
        <v>1520.3</v>
      </c>
      <c r="F3233" s="55">
        <v>0</v>
      </c>
      <c r="G3233" s="55">
        <v>1520.3</v>
      </c>
      <c r="H3233" s="55">
        <v>14242.7</v>
      </c>
      <c r="I3233" s="55">
        <v>16.899999999999999</v>
      </c>
      <c r="J3233" s="55">
        <v>14259.6</v>
      </c>
      <c r="K3233" s="55">
        <v>2222.6</v>
      </c>
      <c r="L3233" s="55">
        <v>11.8</v>
      </c>
      <c r="M3233" s="55">
        <v>842.6</v>
      </c>
      <c r="N3233" s="55">
        <v>0</v>
      </c>
    </row>
    <row r="3234" spans="1:14" ht="10.050000000000001" hidden="1" customHeight="1">
      <c r="A3234" s="52" t="s">
        <v>311</v>
      </c>
      <c r="B3234" s="53">
        <v>2019</v>
      </c>
      <c r="C3234" s="52" t="s">
        <v>124</v>
      </c>
      <c r="D3234" s="54">
        <v>12</v>
      </c>
      <c r="E3234" s="55">
        <v>103.5</v>
      </c>
      <c r="F3234" s="55">
        <v>0</v>
      </c>
      <c r="G3234" s="55">
        <v>103.5</v>
      </c>
      <c r="H3234" s="55">
        <v>2184.5</v>
      </c>
      <c r="I3234" s="55">
        <v>0</v>
      </c>
      <c r="J3234" s="55">
        <v>2184.5</v>
      </c>
      <c r="K3234" s="55">
        <v>601.20000000000005</v>
      </c>
      <c r="L3234" s="55">
        <v>0</v>
      </c>
      <c r="M3234" s="55">
        <v>0</v>
      </c>
      <c r="N3234" s="55">
        <v>28.5</v>
      </c>
    </row>
    <row r="3235" spans="1:14" ht="10.050000000000001" hidden="1" customHeight="1">
      <c r="A3235" s="52" t="s">
        <v>173</v>
      </c>
      <c r="B3235" s="53">
        <v>2019</v>
      </c>
      <c r="C3235" s="52" t="s">
        <v>124</v>
      </c>
      <c r="D3235" s="54">
        <v>12</v>
      </c>
      <c r="E3235" s="55">
        <v>363672.1</v>
      </c>
      <c r="F3235" s="55">
        <v>16800.599999999999</v>
      </c>
      <c r="G3235" s="55">
        <v>380472.7</v>
      </c>
      <c r="H3235" s="55">
        <v>5191165.8</v>
      </c>
      <c r="I3235" s="55">
        <v>49683.5</v>
      </c>
      <c r="J3235" s="55">
        <v>5240849.3</v>
      </c>
      <c r="K3235" s="55">
        <v>991420</v>
      </c>
      <c r="L3235" s="55">
        <v>62090</v>
      </c>
      <c r="M3235" s="55">
        <v>210311.1</v>
      </c>
      <c r="N3235" s="55">
        <v>33288.199999999997</v>
      </c>
    </row>
    <row r="3236" spans="1:14" ht="10.050000000000001" customHeight="1">
      <c r="A3236" s="52" t="s">
        <v>309</v>
      </c>
      <c r="B3236" s="53">
        <v>2019</v>
      </c>
      <c r="C3236" s="52" t="s">
        <v>124</v>
      </c>
      <c r="D3236" s="54">
        <v>12</v>
      </c>
      <c r="E3236" s="55">
        <v>120.5</v>
      </c>
      <c r="F3236" s="55">
        <v>0</v>
      </c>
      <c r="G3236" s="55">
        <v>120.5</v>
      </c>
      <c r="H3236" s="55">
        <v>68396</v>
      </c>
      <c r="I3236" s="55">
        <v>0</v>
      </c>
      <c r="J3236" s="55">
        <v>68396</v>
      </c>
      <c r="K3236" s="55">
        <v>1329.7</v>
      </c>
      <c r="L3236" s="55">
        <v>0</v>
      </c>
      <c r="M3236" s="55">
        <v>0</v>
      </c>
      <c r="N3236" s="55">
        <v>0</v>
      </c>
    </row>
    <row r="3237" spans="1:14" ht="10.050000000000001" hidden="1" customHeight="1">
      <c r="A3237" s="52" t="s">
        <v>316</v>
      </c>
      <c r="B3237" s="53">
        <v>2019</v>
      </c>
      <c r="C3237" s="52" t="s">
        <v>124</v>
      </c>
      <c r="D3237" s="54">
        <v>12</v>
      </c>
      <c r="E3237" s="55">
        <v>915.2</v>
      </c>
      <c r="F3237" s="55">
        <v>0</v>
      </c>
      <c r="G3237" s="55">
        <v>915.2</v>
      </c>
      <c r="H3237" s="55">
        <v>15013.9</v>
      </c>
      <c r="I3237" s="55">
        <v>127.5</v>
      </c>
      <c r="J3237" s="55">
        <v>15141.4</v>
      </c>
      <c r="K3237" s="55">
        <v>444.7</v>
      </c>
      <c r="L3237" s="55">
        <v>71.8</v>
      </c>
      <c r="M3237" s="55">
        <v>73.3</v>
      </c>
      <c r="N3237" s="55">
        <v>44.9</v>
      </c>
    </row>
    <row r="3238" spans="1:14" ht="10.050000000000001" hidden="1" customHeight="1">
      <c r="A3238" s="52" t="s">
        <v>310</v>
      </c>
      <c r="B3238" s="53">
        <v>2019</v>
      </c>
      <c r="C3238" s="52" t="s">
        <v>124</v>
      </c>
      <c r="D3238" s="54">
        <v>12</v>
      </c>
      <c r="E3238" s="55">
        <v>2020.6</v>
      </c>
      <c r="F3238" s="55">
        <v>21.7</v>
      </c>
      <c r="G3238" s="55">
        <v>2042.3</v>
      </c>
      <c r="H3238" s="55">
        <v>32897.4</v>
      </c>
      <c r="I3238" s="55">
        <v>496.8</v>
      </c>
      <c r="J3238" s="55">
        <v>33394.199999999997</v>
      </c>
      <c r="K3238" s="55">
        <v>2735</v>
      </c>
      <c r="L3238" s="55">
        <v>56.5</v>
      </c>
      <c r="M3238" s="55">
        <v>1581.8</v>
      </c>
      <c r="N3238" s="55">
        <v>140.19999999999999</v>
      </c>
    </row>
    <row r="3239" spans="1:14" ht="10.050000000000001" hidden="1" customHeight="1">
      <c r="A3239" s="52" t="s">
        <v>308</v>
      </c>
      <c r="B3239" s="53">
        <v>2019</v>
      </c>
      <c r="C3239" s="52" t="s">
        <v>124</v>
      </c>
      <c r="D3239" s="54">
        <v>12</v>
      </c>
      <c r="E3239" s="55">
        <v>15013.9</v>
      </c>
      <c r="F3239" s="55">
        <v>181</v>
      </c>
      <c r="G3239" s="55">
        <v>15194.9</v>
      </c>
      <c r="H3239" s="55">
        <v>131042.8</v>
      </c>
      <c r="I3239" s="55">
        <v>398.4</v>
      </c>
      <c r="J3239" s="55">
        <v>131441.20000000001</v>
      </c>
      <c r="K3239" s="55">
        <v>19175.400000000001</v>
      </c>
      <c r="L3239" s="55">
        <v>2966.3</v>
      </c>
      <c r="M3239" s="55">
        <v>9737.6000000000095</v>
      </c>
      <c r="N3239" s="55">
        <v>392.9</v>
      </c>
    </row>
    <row r="3240" spans="1:14" ht="10.050000000000001" hidden="1" customHeight="1">
      <c r="A3240" s="52" t="s">
        <v>174</v>
      </c>
      <c r="B3240" s="53">
        <v>2019</v>
      </c>
      <c r="C3240" s="52" t="s">
        <v>124</v>
      </c>
      <c r="D3240" s="54">
        <v>12</v>
      </c>
      <c r="E3240" s="55">
        <v>17731</v>
      </c>
      <c r="F3240" s="55">
        <v>328.6</v>
      </c>
      <c r="G3240" s="55">
        <v>18059.599999999999</v>
      </c>
      <c r="H3240" s="55">
        <v>310960.5</v>
      </c>
      <c r="I3240" s="55">
        <v>11557.9</v>
      </c>
      <c r="J3240" s="55">
        <v>322518.40000000002</v>
      </c>
      <c r="K3240" s="55">
        <v>105725.5</v>
      </c>
      <c r="L3240" s="55">
        <v>3645.8</v>
      </c>
      <c r="M3240" s="55">
        <v>7784.8</v>
      </c>
      <c r="N3240" s="55">
        <v>11964</v>
      </c>
    </row>
    <row r="3241" spans="1:14" ht="10.050000000000001" hidden="1" customHeight="1">
      <c r="A3241" s="52" t="s">
        <v>314</v>
      </c>
      <c r="B3241" s="53">
        <v>2020</v>
      </c>
      <c r="C3241" s="52" t="s">
        <v>124</v>
      </c>
      <c r="D3241" s="54">
        <v>1</v>
      </c>
      <c r="E3241" s="55">
        <v>0</v>
      </c>
      <c r="F3241" s="55">
        <v>0</v>
      </c>
      <c r="G3241" s="55">
        <v>0</v>
      </c>
      <c r="H3241" s="55">
        <v>89.1</v>
      </c>
      <c r="I3241" s="55">
        <v>0</v>
      </c>
      <c r="J3241" s="55">
        <v>89.1</v>
      </c>
      <c r="K3241" s="55">
        <v>7.9</v>
      </c>
      <c r="L3241" s="55">
        <v>0</v>
      </c>
      <c r="M3241" s="55">
        <v>0</v>
      </c>
      <c r="N3241" s="55">
        <v>0</v>
      </c>
    </row>
    <row r="3242" spans="1:14" ht="10.050000000000001" hidden="1" customHeight="1">
      <c r="A3242" s="52" t="s">
        <v>306</v>
      </c>
      <c r="B3242" s="53">
        <v>2020</v>
      </c>
      <c r="C3242" s="52" t="s">
        <v>124</v>
      </c>
      <c r="D3242" s="54">
        <v>1</v>
      </c>
      <c r="E3242" s="55">
        <v>5789.7</v>
      </c>
      <c r="F3242" s="55">
        <v>824</v>
      </c>
      <c r="G3242" s="55">
        <v>6613.7</v>
      </c>
      <c r="H3242" s="55">
        <v>94535.5</v>
      </c>
      <c r="I3242" s="55">
        <v>2746.6</v>
      </c>
      <c r="J3242" s="55">
        <v>97282.1</v>
      </c>
      <c r="K3242" s="55">
        <v>13085</v>
      </c>
      <c r="L3242" s="55">
        <v>750.8</v>
      </c>
      <c r="M3242" s="55">
        <v>2536.8000000000002</v>
      </c>
      <c r="N3242" s="55">
        <v>599.4</v>
      </c>
    </row>
    <row r="3243" spans="1:14" ht="10.050000000000001" hidden="1" customHeight="1">
      <c r="A3243" s="52" t="s">
        <v>172</v>
      </c>
      <c r="B3243" s="53">
        <v>2020</v>
      </c>
      <c r="C3243" s="52" t="s">
        <v>124</v>
      </c>
      <c r="D3243" s="54">
        <v>1</v>
      </c>
      <c r="E3243" s="55">
        <v>69752.800000000003</v>
      </c>
      <c r="F3243" s="55">
        <v>858.4</v>
      </c>
      <c r="G3243" s="55">
        <v>70611.199999999997</v>
      </c>
      <c r="H3243" s="55">
        <v>573468</v>
      </c>
      <c r="I3243" s="55">
        <v>8869</v>
      </c>
      <c r="J3243" s="55">
        <v>582337</v>
      </c>
      <c r="K3243" s="55">
        <v>110831.3</v>
      </c>
      <c r="L3243" s="55">
        <v>10802.9</v>
      </c>
      <c r="M3243" s="55">
        <v>32079.599999999999</v>
      </c>
      <c r="N3243" s="55">
        <v>2300.1999999999998</v>
      </c>
    </row>
    <row r="3244" spans="1:14" ht="10.050000000000001" hidden="1" customHeight="1">
      <c r="A3244" s="52" t="s">
        <v>171</v>
      </c>
      <c r="B3244" s="53">
        <v>2020</v>
      </c>
      <c r="C3244" s="52" t="s">
        <v>124</v>
      </c>
      <c r="D3244" s="54">
        <v>1</v>
      </c>
      <c r="E3244" s="55">
        <v>2106606.2000000002</v>
      </c>
      <c r="F3244" s="55">
        <v>9646.2000000000007</v>
      </c>
      <c r="G3244" s="55">
        <v>2116252.4</v>
      </c>
      <c r="H3244" s="55">
        <v>9655613.5</v>
      </c>
      <c r="I3244" s="55">
        <v>94961.7</v>
      </c>
      <c r="J3244" s="55">
        <v>9750575.1999999993</v>
      </c>
      <c r="K3244" s="55">
        <v>3310053.2</v>
      </c>
      <c r="L3244" s="55">
        <v>531607.30000000005</v>
      </c>
      <c r="M3244" s="55">
        <v>1035562.7</v>
      </c>
      <c r="N3244" s="55">
        <v>75147.5</v>
      </c>
    </row>
    <row r="3245" spans="1:14" ht="10.050000000000001" hidden="1" customHeight="1">
      <c r="A3245" s="52" t="s">
        <v>300</v>
      </c>
      <c r="B3245" s="53">
        <v>2020</v>
      </c>
      <c r="C3245" s="52" t="s">
        <v>124</v>
      </c>
      <c r="D3245" s="54">
        <v>1</v>
      </c>
      <c r="E3245" s="55">
        <v>953.3</v>
      </c>
      <c r="F3245" s="55">
        <v>0</v>
      </c>
      <c r="G3245" s="55">
        <v>953.3</v>
      </c>
      <c r="H3245" s="55">
        <v>9285.2000000000007</v>
      </c>
      <c r="I3245" s="55">
        <v>175.6</v>
      </c>
      <c r="J3245" s="55">
        <v>9460.8000000000102</v>
      </c>
      <c r="K3245" s="55">
        <v>180.6</v>
      </c>
      <c r="L3245" s="55">
        <v>49.3</v>
      </c>
      <c r="M3245" s="55">
        <v>43.7</v>
      </c>
      <c r="N3245" s="55">
        <v>63.6</v>
      </c>
    </row>
    <row r="3246" spans="1:14" ht="10.050000000000001" hidden="1" customHeight="1">
      <c r="A3246" s="52" t="s">
        <v>307</v>
      </c>
      <c r="B3246" s="53">
        <v>2020</v>
      </c>
      <c r="C3246" s="52" t="s">
        <v>124</v>
      </c>
      <c r="D3246" s="54">
        <v>1</v>
      </c>
      <c r="E3246" s="55">
        <v>582196.6</v>
      </c>
      <c r="F3246" s="55">
        <v>3278.6</v>
      </c>
      <c r="G3246" s="55">
        <v>585475.19999999995</v>
      </c>
      <c r="H3246" s="55">
        <v>4642574.2</v>
      </c>
      <c r="I3246" s="55">
        <v>82998.7</v>
      </c>
      <c r="J3246" s="55">
        <v>4725572.9000000004</v>
      </c>
      <c r="K3246" s="55">
        <v>1579651</v>
      </c>
      <c r="L3246" s="55">
        <v>73673.600000000006</v>
      </c>
      <c r="M3246" s="55">
        <v>357951.8</v>
      </c>
      <c r="N3246" s="55">
        <v>80375.399999999994</v>
      </c>
    </row>
    <row r="3247" spans="1:14" ht="10.050000000000001" hidden="1" customHeight="1">
      <c r="A3247" s="52" t="s">
        <v>315</v>
      </c>
      <c r="B3247" s="53">
        <v>2020</v>
      </c>
      <c r="C3247" s="52" t="s">
        <v>124</v>
      </c>
      <c r="D3247" s="54">
        <v>1</v>
      </c>
      <c r="E3247" s="55">
        <v>1091</v>
      </c>
      <c r="F3247" s="55">
        <v>0</v>
      </c>
      <c r="G3247" s="55">
        <v>1091</v>
      </c>
      <c r="H3247" s="55">
        <v>12276.6</v>
      </c>
      <c r="I3247" s="55">
        <v>16.899999999999999</v>
      </c>
      <c r="J3247" s="55">
        <v>12293.5</v>
      </c>
      <c r="K3247" s="55">
        <v>1786.6</v>
      </c>
      <c r="L3247" s="55">
        <v>6.4</v>
      </c>
      <c r="M3247" s="55">
        <v>446</v>
      </c>
      <c r="N3247" s="55">
        <v>0</v>
      </c>
    </row>
    <row r="3248" spans="1:14" ht="10.050000000000001" hidden="1" customHeight="1">
      <c r="A3248" s="52" t="s">
        <v>311</v>
      </c>
      <c r="B3248" s="53">
        <v>2020</v>
      </c>
      <c r="C3248" s="52" t="s">
        <v>124</v>
      </c>
      <c r="D3248" s="54">
        <v>1</v>
      </c>
      <c r="E3248" s="55">
        <v>26.3</v>
      </c>
      <c r="F3248" s="55">
        <v>0</v>
      </c>
      <c r="G3248" s="55">
        <v>26.3</v>
      </c>
      <c r="H3248" s="55">
        <v>1872.5</v>
      </c>
      <c r="I3248" s="55">
        <v>0</v>
      </c>
      <c r="J3248" s="55">
        <v>1872.5</v>
      </c>
      <c r="K3248" s="55">
        <v>571.4</v>
      </c>
      <c r="L3248" s="55">
        <v>0</v>
      </c>
      <c r="M3248" s="55">
        <v>11.4</v>
      </c>
      <c r="N3248" s="55">
        <v>18.399999999999999</v>
      </c>
    </row>
    <row r="3249" spans="1:14" ht="10.050000000000001" hidden="1" customHeight="1">
      <c r="A3249" s="52" t="s">
        <v>173</v>
      </c>
      <c r="B3249" s="53">
        <v>2020</v>
      </c>
      <c r="C3249" s="52" t="s">
        <v>124</v>
      </c>
      <c r="D3249" s="54">
        <v>1</v>
      </c>
      <c r="E3249" s="55">
        <v>458322.7</v>
      </c>
      <c r="F3249" s="55">
        <v>22762</v>
      </c>
      <c r="G3249" s="55">
        <v>481084.7</v>
      </c>
      <c r="H3249" s="55">
        <v>4707065.5999999996</v>
      </c>
      <c r="I3249" s="55">
        <v>42157.8</v>
      </c>
      <c r="J3249" s="55">
        <v>4749223.4000000004</v>
      </c>
      <c r="K3249" s="55">
        <v>809903.7</v>
      </c>
      <c r="L3249" s="55">
        <v>64289.2</v>
      </c>
      <c r="M3249" s="55">
        <v>196321.9</v>
      </c>
      <c r="N3249" s="55">
        <v>49479.3</v>
      </c>
    </row>
    <row r="3250" spans="1:14" ht="10.050000000000001" customHeight="1">
      <c r="A3250" s="52" t="s">
        <v>309</v>
      </c>
      <c r="B3250" s="53">
        <v>2020</v>
      </c>
      <c r="C3250" s="52" t="s">
        <v>124</v>
      </c>
      <c r="D3250" s="54">
        <v>1</v>
      </c>
      <c r="E3250" s="55">
        <v>1617.9</v>
      </c>
      <c r="F3250" s="55">
        <v>0</v>
      </c>
      <c r="G3250" s="55">
        <v>1617.9</v>
      </c>
      <c r="H3250" s="55">
        <v>48044.2</v>
      </c>
      <c r="I3250" s="55">
        <v>0</v>
      </c>
      <c r="J3250" s="55">
        <v>48044.2</v>
      </c>
      <c r="K3250" s="55">
        <v>806.3</v>
      </c>
      <c r="L3250" s="55">
        <v>0</v>
      </c>
      <c r="M3250" s="55">
        <v>523.4</v>
      </c>
      <c r="N3250" s="55">
        <v>0</v>
      </c>
    </row>
    <row r="3251" spans="1:14" ht="10.050000000000001" hidden="1" customHeight="1">
      <c r="A3251" s="52" t="s">
        <v>316</v>
      </c>
      <c r="B3251" s="53">
        <v>2020</v>
      </c>
      <c r="C3251" s="52" t="s">
        <v>124</v>
      </c>
      <c r="D3251" s="54">
        <v>1</v>
      </c>
      <c r="E3251" s="55">
        <v>501.4</v>
      </c>
      <c r="F3251" s="55">
        <v>19.7</v>
      </c>
      <c r="G3251" s="55">
        <v>521.1</v>
      </c>
      <c r="H3251" s="55">
        <v>13955.4</v>
      </c>
      <c r="I3251" s="55">
        <v>152.1</v>
      </c>
      <c r="J3251" s="55">
        <v>14107.5</v>
      </c>
      <c r="K3251" s="55">
        <v>360</v>
      </c>
      <c r="L3251" s="55">
        <v>21.9</v>
      </c>
      <c r="M3251" s="55">
        <v>70.599999999999994</v>
      </c>
      <c r="N3251" s="55">
        <v>29.1</v>
      </c>
    </row>
    <row r="3252" spans="1:14" ht="10.050000000000001" hidden="1" customHeight="1">
      <c r="A3252" s="52" t="s">
        <v>310</v>
      </c>
      <c r="B3252" s="53">
        <v>2020</v>
      </c>
      <c r="C3252" s="52" t="s">
        <v>124</v>
      </c>
      <c r="D3252" s="54">
        <v>1</v>
      </c>
      <c r="E3252" s="55">
        <v>895.8</v>
      </c>
      <c r="F3252" s="55">
        <v>18.7</v>
      </c>
      <c r="G3252" s="55">
        <v>914.5</v>
      </c>
      <c r="H3252" s="55">
        <v>30828.1</v>
      </c>
      <c r="I3252" s="55">
        <v>462.1</v>
      </c>
      <c r="J3252" s="55">
        <v>31290.2</v>
      </c>
      <c r="K3252" s="55">
        <v>2287.4</v>
      </c>
      <c r="L3252" s="55">
        <v>95.4</v>
      </c>
      <c r="M3252" s="55">
        <v>356</v>
      </c>
      <c r="N3252" s="55">
        <v>187</v>
      </c>
    </row>
    <row r="3253" spans="1:14" ht="10.050000000000001" hidden="1" customHeight="1">
      <c r="A3253" s="52" t="s">
        <v>308</v>
      </c>
      <c r="B3253" s="53">
        <v>2020</v>
      </c>
      <c r="C3253" s="52" t="s">
        <v>124</v>
      </c>
      <c r="D3253" s="54">
        <v>1</v>
      </c>
      <c r="E3253" s="55">
        <v>9534.1</v>
      </c>
      <c r="F3253" s="55">
        <v>165</v>
      </c>
      <c r="G3253" s="55">
        <v>9699.1000000000095</v>
      </c>
      <c r="H3253" s="55">
        <v>118990.5</v>
      </c>
      <c r="I3253" s="55">
        <v>510.5</v>
      </c>
      <c r="J3253" s="55">
        <v>119501</v>
      </c>
      <c r="K3253" s="55">
        <v>13132.8</v>
      </c>
      <c r="L3253" s="55">
        <v>556.20000000000005</v>
      </c>
      <c r="M3253" s="55">
        <v>5719.2</v>
      </c>
      <c r="N3253" s="55">
        <v>879.9</v>
      </c>
    </row>
    <row r="3254" spans="1:14" ht="10.050000000000001" hidden="1" customHeight="1">
      <c r="A3254" s="52" t="s">
        <v>174</v>
      </c>
      <c r="B3254" s="53">
        <v>2020</v>
      </c>
      <c r="C3254" s="52" t="s">
        <v>124</v>
      </c>
      <c r="D3254" s="54">
        <v>1</v>
      </c>
      <c r="E3254" s="55">
        <v>18119.900000000001</v>
      </c>
      <c r="F3254" s="55">
        <v>97.2</v>
      </c>
      <c r="G3254" s="55">
        <v>18217.099999999999</v>
      </c>
      <c r="H3254" s="55">
        <v>266627.40000000002</v>
      </c>
      <c r="I3254" s="55">
        <v>10010.299999999999</v>
      </c>
      <c r="J3254" s="55">
        <v>276637.7</v>
      </c>
      <c r="K3254" s="55">
        <v>89433.3</v>
      </c>
      <c r="L3254" s="55">
        <v>2841.7</v>
      </c>
      <c r="M3254" s="55">
        <v>8713</v>
      </c>
      <c r="N3254" s="55">
        <v>10464.5</v>
      </c>
    </row>
    <row r="3255" spans="1:14" ht="10.050000000000001" hidden="1" customHeight="1">
      <c r="A3255" s="52" t="s">
        <v>314</v>
      </c>
      <c r="B3255" s="53">
        <v>2020</v>
      </c>
      <c r="C3255" s="52" t="s">
        <v>124</v>
      </c>
      <c r="D3255" s="54">
        <v>2</v>
      </c>
      <c r="E3255" s="55">
        <v>0</v>
      </c>
      <c r="F3255" s="55">
        <v>0</v>
      </c>
      <c r="G3255" s="55">
        <v>0</v>
      </c>
      <c r="H3255" s="55">
        <v>83.2</v>
      </c>
      <c r="I3255" s="55">
        <v>0</v>
      </c>
      <c r="J3255" s="55">
        <v>83.2</v>
      </c>
      <c r="K3255" s="55">
        <v>7.9</v>
      </c>
      <c r="L3255" s="55">
        <v>0</v>
      </c>
      <c r="M3255" s="55">
        <v>0</v>
      </c>
      <c r="N3255" s="55">
        <v>0</v>
      </c>
    </row>
    <row r="3256" spans="1:14" ht="10.050000000000001" hidden="1" customHeight="1">
      <c r="A3256" s="52" t="s">
        <v>306</v>
      </c>
      <c r="B3256" s="53">
        <v>2020</v>
      </c>
      <c r="C3256" s="52" t="s">
        <v>124</v>
      </c>
      <c r="D3256" s="54">
        <v>2</v>
      </c>
      <c r="E3256" s="55">
        <v>6749.7</v>
      </c>
      <c r="F3256" s="55">
        <v>258.10000000000002</v>
      </c>
      <c r="G3256" s="55">
        <v>7007.8</v>
      </c>
      <c r="H3256" s="55">
        <v>83179</v>
      </c>
      <c r="I3256" s="55">
        <v>1648.2</v>
      </c>
      <c r="J3256" s="55">
        <v>84827.199999999997</v>
      </c>
      <c r="K3256" s="55">
        <v>10523.4</v>
      </c>
      <c r="L3256" s="55">
        <v>1128.4000000000001</v>
      </c>
      <c r="M3256" s="55">
        <v>3187.7</v>
      </c>
      <c r="N3256" s="55">
        <v>502.7</v>
      </c>
    </row>
    <row r="3257" spans="1:14" ht="10.050000000000001" hidden="1" customHeight="1">
      <c r="A3257" s="52" t="s">
        <v>172</v>
      </c>
      <c r="B3257" s="53">
        <v>2020</v>
      </c>
      <c r="C3257" s="52" t="s">
        <v>124</v>
      </c>
      <c r="D3257" s="54">
        <v>2</v>
      </c>
      <c r="E3257" s="55">
        <v>82801.399999999994</v>
      </c>
      <c r="F3257" s="55">
        <v>88.5</v>
      </c>
      <c r="G3257" s="55">
        <v>82889.899999999994</v>
      </c>
      <c r="H3257" s="55">
        <v>505885.2</v>
      </c>
      <c r="I3257" s="55">
        <v>6703.3</v>
      </c>
      <c r="J3257" s="55">
        <v>512588.5</v>
      </c>
      <c r="K3257" s="55">
        <v>83531.899999999994</v>
      </c>
      <c r="L3257" s="55">
        <v>12913.1</v>
      </c>
      <c r="M3257" s="55">
        <v>38954.1</v>
      </c>
      <c r="N3257" s="55">
        <v>1259.3</v>
      </c>
    </row>
    <row r="3258" spans="1:14" ht="10.050000000000001" hidden="1" customHeight="1">
      <c r="A3258" s="52" t="s">
        <v>171</v>
      </c>
      <c r="B3258" s="53">
        <v>2020</v>
      </c>
      <c r="C3258" s="52" t="s">
        <v>124</v>
      </c>
      <c r="D3258" s="54">
        <v>2</v>
      </c>
      <c r="E3258" s="55">
        <v>1912346.6</v>
      </c>
      <c r="F3258" s="55">
        <v>8641.6</v>
      </c>
      <c r="G3258" s="55">
        <v>1920988.2</v>
      </c>
      <c r="H3258" s="55">
        <v>8395977.6000000108</v>
      </c>
      <c r="I3258" s="55">
        <v>85015.5</v>
      </c>
      <c r="J3258" s="55">
        <v>8480993.1000000108</v>
      </c>
      <c r="K3258" s="55">
        <v>2909414.6</v>
      </c>
      <c r="L3258" s="55">
        <v>474356.5</v>
      </c>
      <c r="M3258" s="55">
        <v>828282.6</v>
      </c>
      <c r="N3258" s="55">
        <v>46822.2</v>
      </c>
    </row>
    <row r="3259" spans="1:14" ht="10.050000000000001" hidden="1" customHeight="1">
      <c r="A3259" s="52" t="s">
        <v>300</v>
      </c>
      <c r="B3259" s="53">
        <v>2020</v>
      </c>
      <c r="C3259" s="52" t="s">
        <v>124</v>
      </c>
      <c r="D3259" s="54">
        <v>2</v>
      </c>
      <c r="E3259" s="55">
        <v>555.20000000000005</v>
      </c>
      <c r="F3259" s="55">
        <v>0</v>
      </c>
      <c r="G3259" s="55">
        <v>555.20000000000005</v>
      </c>
      <c r="H3259" s="55">
        <v>8068.1</v>
      </c>
      <c r="I3259" s="55">
        <v>93.1</v>
      </c>
      <c r="J3259" s="55">
        <v>8161.2</v>
      </c>
      <c r="K3259" s="55">
        <v>194.6</v>
      </c>
      <c r="L3259" s="55">
        <v>33.299999999999997</v>
      </c>
      <c r="M3259" s="55">
        <v>10.199999999999999</v>
      </c>
      <c r="N3259" s="55">
        <v>9.1</v>
      </c>
    </row>
    <row r="3260" spans="1:14" ht="10.050000000000001" hidden="1" customHeight="1">
      <c r="A3260" s="52" t="s">
        <v>307</v>
      </c>
      <c r="B3260" s="53">
        <v>2020</v>
      </c>
      <c r="C3260" s="52" t="s">
        <v>124</v>
      </c>
      <c r="D3260" s="54">
        <v>2</v>
      </c>
      <c r="E3260" s="55">
        <v>367826.2</v>
      </c>
      <c r="F3260" s="55">
        <v>1458.2</v>
      </c>
      <c r="G3260" s="55">
        <v>369284.4</v>
      </c>
      <c r="H3260" s="55">
        <v>4175807.8</v>
      </c>
      <c r="I3260" s="55">
        <v>68886.8</v>
      </c>
      <c r="J3260" s="55">
        <v>4244694.5999999996</v>
      </c>
      <c r="K3260" s="55">
        <v>1379391.8</v>
      </c>
      <c r="L3260" s="55">
        <v>42776.7</v>
      </c>
      <c r="M3260" s="55">
        <v>183395.9</v>
      </c>
      <c r="N3260" s="55">
        <v>59612.800000000003</v>
      </c>
    </row>
    <row r="3261" spans="1:14" ht="10.050000000000001" hidden="1" customHeight="1">
      <c r="A3261" s="52" t="s">
        <v>315</v>
      </c>
      <c r="B3261" s="53">
        <v>2020</v>
      </c>
      <c r="C3261" s="52" t="s">
        <v>124</v>
      </c>
      <c r="D3261" s="54">
        <v>2</v>
      </c>
      <c r="E3261" s="55">
        <v>463.7</v>
      </c>
      <c r="F3261" s="55">
        <v>0</v>
      </c>
      <c r="G3261" s="55">
        <v>463.7</v>
      </c>
      <c r="H3261" s="55">
        <v>10598.5</v>
      </c>
      <c r="I3261" s="55">
        <v>16.899999999999999</v>
      </c>
      <c r="J3261" s="55">
        <v>10615.4</v>
      </c>
      <c r="K3261" s="55">
        <v>1572.7</v>
      </c>
      <c r="L3261" s="55">
        <v>35</v>
      </c>
      <c r="M3261" s="55">
        <v>251.9</v>
      </c>
      <c r="N3261" s="55">
        <v>1.2</v>
      </c>
    </row>
    <row r="3262" spans="1:14" ht="10.050000000000001" hidden="1" customHeight="1">
      <c r="A3262" s="52" t="s">
        <v>311</v>
      </c>
      <c r="B3262" s="53">
        <v>2020</v>
      </c>
      <c r="C3262" s="52" t="s">
        <v>124</v>
      </c>
      <c r="D3262" s="54">
        <v>2</v>
      </c>
      <c r="E3262" s="55">
        <v>86.3</v>
      </c>
      <c r="F3262" s="55">
        <v>0</v>
      </c>
      <c r="G3262" s="55">
        <v>86.3</v>
      </c>
      <c r="H3262" s="55">
        <v>1813.5</v>
      </c>
      <c r="I3262" s="55">
        <v>0</v>
      </c>
      <c r="J3262" s="55">
        <v>1813.5</v>
      </c>
      <c r="K3262" s="55">
        <v>547.9</v>
      </c>
      <c r="L3262" s="55">
        <v>0</v>
      </c>
      <c r="M3262" s="55">
        <v>5</v>
      </c>
      <c r="N3262" s="55">
        <v>18.600000000000001</v>
      </c>
    </row>
    <row r="3263" spans="1:14" ht="10.050000000000001" hidden="1" customHeight="1">
      <c r="A3263" s="52" t="s">
        <v>173</v>
      </c>
      <c r="B3263" s="53">
        <v>2020</v>
      </c>
      <c r="C3263" s="52" t="s">
        <v>124</v>
      </c>
      <c r="D3263" s="54">
        <v>2</v>
      </c>
      <c r="E3263" s="55">
        <v>368073.8</v>
      </c>
      <c r="F3263" s="55">
        <v>8689.5</v>
      </c>
      <c r="G3263" s="55">
        <v>376763.3</v>
      </c>
      <c r="H3263" s="55">
        <v>3985657.5</v>
      </c>
      <c r="I3263" s="55">
        <v>33753.300000000003</v>
      </c>
      <c r="J3263" s="55">
        <v>4019410.8</v>
      </c>
      <c r="K3263" s="55">
        <v>673712.3</v>
      </c>
      <c r="L3263" s="55">
        <v>56125.4</v>
      </c>
      <c r="M3263" s="55">
        <v>156914.29999999999</v>
      </c>
      <c r="N3263" s="55">
        <v>35402.6</v>
      </c>
    </row>
    <row r="3264" spans="1:14" ht="10.050000000000001" customHeight="1">
      <c r="A3264" s="52" t="s">
        <v>309</v>
      </c>
      <c r="B3264" s="53">
        <v>2020</v>
      </c>
      <c r="C3264" s="52" t="s">
        <v>124</v>
      </c>
      <c r="D3264" s="54">
        <v>2</v>
      </c>
      <c r="E3264" s="55">
        <v>1666.9</v>
      </c>
      <c r="F3264" s="55">
        <v>0</v>
      </c>
      <c r="G3264" s="55">
        <v>1666.9</v>
      </c>
      <c r="H3264" s="55">
        <v>44628.9</v>
      </c>
      <c r="I3264" s="55">
        <v>0</v>
      </c>
      <c r="J3264" s="55">
        <v>44628.9</v>
      </c>
      <c r="K3264" s="55">
        <v>1090</v>
      </c>
      <c r="L3264" s="55">
        <v>1090</v>
      </c>
      <c r="M3264" s="55">
        <v>806.3</v>
      </c>
      <c r="N3264" s="55">
        <v>0</v>
      </c>
    </row>
    <row r="3265" spans="1:14" ht="10.050000000000001" hidden="1" customHeight="1">
      <c r="A3265" s="52" t="s">
        <v>316</v>
      </c>
      <c r="B3265" s="53">
        <v>2020</v>
      </c>
      <c r="C3265" s="52" t="s">
        <v>124</v>
      </c>
      <c r="D3265" s="54">
        <v>2</v>
      </c>
      <c r="E3265" s="55">
        <v>267</v>
      </c>
      <c r="F3265" s="55">
        <v>0</v>
      </c>
      <c r="G3265" s="55">
        <v>267</v>
      </c>
      <c r="H3265" s="55">
        <v>13317.8</v>
      </c>
      <c r="I3265" s="55">
        <v>152.1</v>
      </c>
      <c r="J3265" s="55">
        <v>13469.9</v>
      </c>
      <c r="K3265" s="55">
        <v>277.3</v>
      </c>
      <c r="L3265" s="55">
        <v>18.100000000000001</v>
      </c>
      <c r="M3265" s="55">
        <v>52.5</v>
      </c>
      <c r="N3265" s="55">
        <v>48</v>
      </c>
    </row>
    <row r="3266" spans="1:14" ht="10.050000000000001" hidden="1" customHeight="1">
      <c r="A3266" s="52" t="s">
        <v>310</v>
      </c>
      <c r="B3266" s="53">
        <v>2020</v>
      </c>
      <c r="C3266" s="52" t="s">
        <v>124</v>
      </c>
      <c r="D3266" s="54">
        <v>2</v>
      </c>
      <c r="E3266" s="55">
        <v>1169.0999999999999</v>
      </c>
      <c r="F3266" s="55">
        <v>171.5</v>
      </c>
      <c r="G3266" s="55">
        <v>1340.6</v>
      </c>
      <c r="H3266" s="55">
        <v>28453.200000000001</v>
      </c>
      <c r="I3266" s="55">
        <v>383</v>
      </c>
      <c r="J3266" s="55">
        <v>28836.2</v>
      </c>
      <c r="K3266" s="55">
        <v>2004.3</v>
      </c>
      <c r="L3266" s="55">
        <v>78.2</v>
      </c>
      <c r="M3266" s="55">
        <v>198.7</v>
      </c>
      <c r="N3266" s="55">
        <v>162.5</v>
      </c>
    </row>
    <row r="3267" spans="1:14" ht="10.050000000000001" hidden="1" customHeight="1">
      <c r="A3267" s="52" t="s">
        <v>308</v>
      </c>
      <c r="B3267" s="53">
        <v>2020</v>
      </c>
      <c r="C3267" s="52" t="s">
        <v>124</v>
      </c>
      <c r="D3267" s="54">
        <v>2</v>
      </c>
      <c r="E3267" s="55">
        <v>4585.8999999999996</v>
      </c>
      <c r="F3267" s="55">
        <v>281.89999999999998</v>
      </c>
      <c r="G3267" s="55">
        <v>4867.8</v>
      </c>
      <c r="H3267" s="55">
        <v>103381.5</v>
      </c>
      <c r="I3267" s="55">
        <v>335</v>
      </c>
      <c r="J3267" s="55">
        <v>103716.5</v>
      </c>
      <c r="K3267" s="55">
        <v>9493.7999999999993</v>
      </c>
      <c r="L3267" s="55">
        <v>43.4</v>
      </c>
      <c r="M3267" s="55">
        <v>3509.6</v>
      </c>
      <c r="N3267" s="55">
        <v>172.7</v>
      </c>
    </row>
    <row r="3268" spans="1:14" ht="10.050000000000001" hidden="1" customHeight="1">
      <c r="A3268" s="52" t="s">
        <v>174</v>
      </c>
      <c r="B3268" s="53">
        <v>2020</v>
      </c>
      <c r="C3268" s="52" t="s">
        <v>124</v>
      </c>
      <c r="D3268" s="54">
        <v>2</v>
      </c>
      <c r="E3268" s="55">
        <v>13328.7</v>
      </c>
      <c r="F3268" s="55">
        <v>37.799999999999997</v>
      </c>
      <c r="G3268" s="55">
        <v>13366.5</v>
      </c>
      <c r="H3268" s="55">
        <v>232217.7</v>
      </c>
      <c r="I3268" s="55">
        <v>8836</v>
      </c>
      <c r="J3268" s="55">
        <v>241053.7</v>
      </c>
      <c r="K3268" s="55">
        <v>77282.8</v>
      </c>
      <c r="L3268" s="55">
        <v>1459.8</v>
      </c>
      <c r="M3268" s="55">
        <v>5334.6</v>
      </c>
      <c r="N3268" s="55">
        <v>8225</v>
      </c>
    </row>
    <row r="3269" spans="1:14" ht="10.050000000000001" hidden="1" customHeight="1">
      <c r="A3269" s="52" t="s">
        <v>314</v>
      </c>
      <c r="B3269" s="53">
        <v>2020</v>
      </c>
      <c r="C3269" s="52" t="s">
        <v>124</v>
      </c>
      <c r="D3269" s="54">
        <v>3</v>
      </c>
      <c r="E3269" s="55">
        <v>0</v>
      </c>
      <c r="F3269" s="55">
        <v>0</v>
      </c>
      <c r="G3269" s="55">
        <v>0</v>
      </c>
      <c r="H3269" s="55">
        <v>70.900000000000006</v>
      </c>
      <c r="I3269" s="55">
        <v>0</v>
      </c>
      <c r="J3269" s="55">
        <v>70.900000000000006</v>
      </c>
      <c r="K3269" s="55">
        <v>7.9</v>
      </c>
      <c r="L3269" s="55">
        <v>0</v>
      </c>
      <c r="M3269" s="55">
        <v>0</v>
      </c>
      <c r="N3269" s="55">
        <v>0</v>
      </c>
    </row>
    <row r="3270" spans="1:14" ht="10.050000000000001" hidden="1" customHeight="1">
      <c r="A3270" s="52" t="s">
        <v>306</v>
      </c>
      <c r="B3270" s="53">
        <v>2020</v>
      </c>
      <c r="C3270" s="52" t="s">
        <v>124</v>
      </c>
      <c r="D3270" s="54">
        <v>3</v>
      </c>
      <c r="E3270" s="55">
        <v>5305.1</v>
      </c>
      <c r="F3270" s="55">
        <v>133.6</v>
      </c>
      <c r="G3270" s="55">
        <v>5438.7</v>
      </c>
      <c r="H3270" s="55">
        <v>67476.600000000006</v>
      </c>
      <c r="I3270" s="55">
        <v>1447.4</v>
      </c>
      <c r="J3270" s="55">
        <v>68924</v>
      </c>
      <c r="K3270" s="55">
        <v>7905.8</v>
      </c>
      <c r="L3270" s="55">
        <v>759.4</v>
      </c>
      <c r="M3270" s="55">
        <v>2745.2</v>
      </c>
      <c r="N3270" s="55">
        <v>641.4</v>
      </c>
    </row>
    <row r="3271" spans="1:14" ht="10.050000000000001" hidden="1" customHeight="1">
      <c r="A3271" s="52" t="s">
        <v>172</v>
      </c>
      <c r="B3271" s="53">
        <v>2020</v>
      </c>
      <c r="C3271" s="52" t="s">
        <v>124</v>
      </c>
      <c r="D3271" s="54">
        <v>3</v>
      </c>
      <c r="E3271" s="55">
        <v>78171.600000000006</v>
      </c>
      <c r="F3271" s="55">
        <v>596.20000000000005</v>
      </c>
      <c r="G3271" s="55">
        <v>78767.8</v>
      </c>
      <c r="H3271" s="55">
        <v>398426.7</v>
      </c>
      <c r="I3271" s="55">
        <v>5806.7</v>
      </c>
      <c r="J3271" s="55">
        <v>404233.4</v>
      </c>
      <c r="K3271" s="55">
        <v>68485</v>
      </c>
      <c r="L3271" s="55">
        <v>12627.1</v>
      </c>
      <c r="M3271" s="55">
        <v>25009.9</v>
      </c>
      <c r="N3271" s="55">
        <v>2664.5</v>
      </c>
    </row>
    <row r="3272" spans="1:14" ht="10.050000000000001" hidden="1" customHeight="1">
      <c r="A3272" s="52" t="s">
        <v>171</v>
      </c>
      <c r="B3272" s="53">
        <v>2020</v>
      </c>
      <c r="C3272" s="52" t="s">
        <v>124</v>
      </c>
      <c r="D3272" s="54">
        <v>3</v>
      </c>
      <c r="E3272" s="55">
        <v>2614605.7999999998</v>
      </c>
      <c r="F3272" s="55">
        <v>5031.3999999999996</v>
      </c>
      <c r="G3272" s="55">
        <v>2619637.2000000002</v>
      </c>
      <c r="H3272" s="55">
        <v>7738350.4000000004</v>
      </c>
      <c r="I3272" s="55">
        <v>82468.7</v>
      </c>
      <c r="J3272" s="55">
        <v>7820819.0999999996</v>
      </c>
      <c r="K3272" s="55">
        <v>1704911.4</v>
      </c>
      <c r="L3272" s="55">
        <v>332545.8</v>
      </c>
      <c r="M3272" s="55">
        <v>1490075.1</v>
      </c>
      <c r="N3272" s="55">
        <v>46326.9</v>
      </c>
    </row>
    <row r="3273" spans="1:14" ht="10.050000000000001" hidden="1" customHeight="1">
      <c r="A3273" s="52" t="s">
        <v>300</v>
      </c>
      <c r="B3273" s="53">
        <v>2020</v>
      </c>
      <c r="C3273" s="52" t="s">
        <v>124</v>
      </c>
      <c r="D3273" s="54">
        <v>3</v>
      </c>
      <c r="E3273" s="55">
        <v>567.5</v>
      </c>
      <c r="F3273" s="55">
        <v>0</v>
      </c>
      <c r="G3273" s="55">
        <v>567.5</v>
      </c>
      <c r="H3273" s="55">
        <v>7505.9</v>
      </c>
      <c r="I3273" s="55">
        <v>85.2</v>
      </c>
      <c r="J3273" s="55">
        <v>7591.1</v>
      </c>
      <c r="K3273" s="55">
        <v>188.5</v>
      </c>
      <c r="L3273" s="55">
        <v>0</v>
      </c>
      <c r="M3273" s="55">
        <v>0</v>
      </c>
      <c r="N3273" s="55">
        <v>6.1</v>
      </c>
    </row>
    <row r="3274" spans="1:14" ht="10.050000000000001" hidden="1" customHeight="1">
      <c r="A3274" s="52" t="s">
        <v>307</v>
      </c>
      <c r="B3274" s="53">
        <v>2020</v>
      </c>
      <c r="C3274" s="52" t="s">
        <v>124</v>
      </c>
      <c r="D3274" s="54">
        <v>3</v>
      </c>
      <c r="E3274" s="55">
        <v>347033.2</v>
      </c>
      <c r="F3274" s="55">
        <v>816.6</v>
      </c>
      <c r="G3274" s="55">
        <v>347849.8</v>
      </c>
      <c r="H3274" s="55">
        <v>3582583.7</v>
      </c>
      <c r="I3274" s="55">
        <v>62841.3</v>
      </c>
      <c r="J3274" s="55">
        <v>3645425</v>
      </c>
      <c r="K3274" s="55">
        <v>1174267.7</v>
      </c>
      <c r="L3274" s="55">
        <v>45104.6</v>
      </c>
      <c r="M3274" s="55">
        <v>193801.4</v>
      </c>
      <c r="N3274" s="55">
        <v>55492.1</v>
      </c>
    </row>
    <row r="3275" spans="1:14" ht="10.050000000000001" hidden="1" customHeight="1">
      <c r="A3275" s="52" t="s">
        <v>315</v>
      </c>
      <c r="B3275" s="53">
        <v>2020</v>
      </c>
      <c r="C3275" s="52" t="s">
        <v>124</v>
      </c>
      <c r="D3275" s="54">
        <v>3</v>
      </c>
      <c r="E3275" s="55">
        <v>784.1</v>
      </c>
      <c r="F3275" s="55">
        <v>0</v>
      </c>
      <c r="G3275" s="55">
        <v>784.1</v>
      </c>
      <c r="H3275" s="55">
        <v>9328.2999999999993</v>
      </c>
      <c r="I3275" s="55">
        <v>16.899999999999999</v>
      </c>
      <c r="J3275" s="55">
        <v>9345.2000000000007</v>
      </c>
      <c r="K3275" s="55">
        <v>1010</v>
      </c>
      <c r="L3275" s="55">
        <v>26.5</v>
      </c>
      <c r="M3275" s="55">
        <v>533</v>
      </c>
      <c r="N3275" s="55">
        <v>64.5</v>
      </c>
    </row>
    <row r="3276" spans="1:14" ht="10.050000000000001" hidden="1" customHeight="1">
      <c r="A3276" s="52" t="s">
        <v>311</v>
      </c>
      <c r="B3276" s="53">
        <v>2020</v>
      </c>
      <c r="C3276" s="52" t="s">
        <v>124</v>
      </c>
      <c r="D3276" s="54">
        <v>3</v>
      </c>
      <c r="E3276" s="55">
        <v>76.099999999999994</v>
      </c>
      <c r="F3276" s="55">
        <v>0</v>
      </c>
      <c r="G3276" s="55">
        <v>76.099999999999994</v>
      </c>
      <c r="H3276" s="55">
        <v>1619.3</v>
      </c>
      <c r="I3276" s="55">
        <v>0</v>
      </c>
      <c r="J3276" s="55">
        <v>1619.3</v>
      </c>
      <c r="K3276" s="55">
        <v>385</v>
      </c>
      <c r="L3276" s="55">
        <v>0</v>
      </c>
      <c r="M3276" s="55">
        <v>8</v>
      </c>
      <c r="N3276" s="55">
        <v>154.69999999999999</v>
      </c>
    </row>
    <row r="3277" spans="1:14" ht="10.050000000000001" hidden="1" customHeight="1">
      <c r="A3277" s="52" t="s">
        <v>173</v>
      </c>
      <c r="B3277" s="53">
        <v>2020</v>
      </c>
      <c r="C3277" s="52" t="s">
        <v>124</v>
      </c>
      <c r="D3277" s="54">
        <v>3</v>
      </c>
      <c r="E3277" s="55">
        <v>360513</v>
      </c>
      <c r="F3277" s="55">
        <v>1537.9</v>
      </c>
      <c r="G3277" s="55">
        <v>362050.9</v>
      </c>
      <c r="H3277" s="55">
        <v>3303158.1</v>
      </c>
      <c r="I3277" s="55">
        <v>30706.7</v>
      </c>
      <c r="J3277" s="55">
        <v>3333864.8</v>
      </c>
      <c r="K3277" s="55">
        <v>478976.4</v>
      </c>
      <c r="L3277" s="55">
        <v>35333.1</v>
      </c>
      <c r="M3277" s="55">
        <v>205392.5</v>
      </c>
      <c r="N3277" s="55">
        <v>23794.799999999999</v>
      </c>
    </row>
    <row r="3278" spans="1:14" ht="10.050000000000001" customHeight="1">
      <c r="A3278" s="52" t="s">
        <v>309</v>
      </c>
      <c r="B3278" s="53">
        <v>2020</v>
      </c>
      <c r="C3278" s="52" t="s">
        <v>124</v>
      </c>
      <c r="D3278" s="54">
        <v>3</v>
      </c>
      <c r="E3278" s="55">
        <v>2469.4</v>
      </c>
      <c r="F3278" s="55">
        <v>0</v>
      </c>
      <c r="G3278" s="55">
        <v>2469.4</v>
      </c>
      <c r="H3278" s="55">
        <v>42874</v>
      </c>
      <c r="I3278" s="55">
        <v>0</v>
      </c>
      <c r="J3278" s="55">
        <v>42874</v>
      </c>
      <c r="K3278" s="55">
        <v>1090</v>
      </c>
      <c r="L3278" s="55">
        <v>0</v>
      </c>
      <c r="M3278" s="55">
        <v>0</v>
      </c>
      <c r="N3278" s="55">
        <v>0</v>
      </c>
    </row>
    <row r="3279" spans="1:14" ht="10.050000000000001" hidden="1" customHeight="1">
      <c r="A3279" s="52" t="s">
        <v>316</v>
      </c>
      <c r="B3279" s="53">
        <v>2020</v>
      </c>
      <c r="C3279" s="52" t="s">
        <v>124</v>
      </c>
      <c r="D3279" s="54">
        <v>3</v>
      </c>
      <c r="E3279" s="55">
        <v>321</v>
      </c>
      <c r="F3279" s="55">
        <v>0</v>
      </c>
      <c r="G3279" s="55">
        <v>321</v>
      </c>
      <c r="H3279" s="55">
        <v>11914.5</v>
      </c>
      <c r="I3279" s="55">
        <v>130.69999999999999</v>
      </c>
      <c r="J3279" s="55">
        <v>12045.2</v>
      </c>
      <c r="K3279" s="55">
        <v>240.2</v>
      </c>
      <c r="L3279" s="55">
        <v>6.5</v>
      </c>
      <c r="M3279" s="55">
        <v>42</v>
      </c>
      <c r="N3279" s="55">
        <v>1.5</v>
      </c>
    </row>
    <row r="3280" spans="1:14" ht="10.050000000000001" hidden="1" customHeight="1">
      <c r="A3280" s="52" t="s">
        <v>310</v>
      </c>
      <c r="B3280" s="53">
        <v>2020</v>
      </c>
      <c r="C3280" s="52" t="s">
        <v>124</v>
      </c>
      <c r="D3280" s="54">
        <v>3</v>
      </c>
      <c r="E3280" s="55">
        <v>1157</v>
      </c>
      <c r="F3280" s="55">
        <v>0</v>
      </c>
      <c r="G3280" s="55">
        <v>1157</v>
      </c>
      <c r="H3280" s="55">
        <v>26367.3</v>
      </c>
      <c r="I3280" s="55">
        <v>391.5</v>
      </c>
      <c r="J3280" s="55">
        <v>26758.799999999999</v>
      </c>
      <c r="K3280" s="55">
        <v>1702.6</v>
      </c>
      <c r="L3280" s="55">
        <v>116.4</v>
      </c>
      <c r="M3280" s="55">
        <v>349.4</v>
      </c>
      <c r="N3280" s="55">
        <v>69</v>
      </c>
    </row>
    <row r="3281" spans="1:14" ht="10.050000000000001" hidden="1" customHeight="1">
      <c r="A3281" s="52" t="s">
        <v>308</v>
      </c>
      <c r="B3281" s="53">
        <v>2020</v>
      </c>
      <c r="C3281" s="52" t="s">
        <v>124</v>
      </c>
      <c r="D3281" s="54">
        <v>3</v>
      </c>
      <c r="E3281" s="55">
        <v>3054.2</v>
      </c>
      <c r="F3281" s="55">
        <v>0</v>
      </c>
      <c r="G3281" s="55">
        <v>3054.2</v>
      </c>
      <c r="H3281" s="55">
        <v>83316.3</v>
      </c>
      <c r="I3281" s="55">
        <v>239.4</v>
      </c>
      <c r="J3281" s="55">
        <v>83555.7</v>
      </c>
      <c r="K3281" s="55">
        <v>7122.5</v>
      </c>
      <c r="L3281" s="55">
        <v>34.200000000000003</v>
      </c>
      <c r="M3281" s="55">
        <v>2121.1999999999998</v>
      </c>
      <c r="N3281" s="55">
        <v>284.2</v>
      </c>
    </row>
    <row r="3282" spans="1:14" ht="10.050000000000001" hidden="1" customHeight="1">
      <c r="A3282" s="52" t="s">
        <v>174</v>
      </c>
      <c r="B3282" s="53">
        <v>2020</v>
      </c>
      <c r="C3282" s="52" t="s">
        <v>124</v>
      </c>
      <c r="D3282" s="54">
        <v>3</v>
      </c>
      <c r="E3282" s="55">
        <v>11784.7</v>
      </c>
      <c r="F3282" s="55">
        <v>0</v>
      </c>
      <c r="G3282" s="55">
        <v>11784.7</v>
      </c>
      <c r="H3282" s="55">
        <v>197694</v>
      </c>
      <c r="I3282" s="55">
        <v>8748.2000000000007</v>
      </c>
      <c r="J3282" s="55">
        <v>206442.2</v>
      </c>
      <c r="K3282" s="55">
        <v>65921.899999999994</v>
      </c>
      <c r="L3282" s="55">
        <v>1493.2</v>
      </c>
      <c r="M3282" s="55">
        <v>4705.3999999999996</v>
      </c>
      <c r="N3282" s="55">
        <v>8381.6</v>
      </c>
    </row>
    <row r="3283" spans="1:14" ht="10.050000000000001" hidden="1" customHeight="1">
      <c r="A3283" s="52" t="s">
        <v>314</v>
      </c>
      <c r="B3283" s="53">
        <v>2020</v>
      </c>
      <c r="C3283" s="52" t="s">
        <v>124</v>
      </c>
      <c r="D3283" s="54">
        <v>4</v>
      </c>
      <c r="E3283" s="55">
        <v>0</v>
      </c>
      <c r="F3283" s="55">
        <v>0</v>
      </c>
      <c r="G3283" s="55">
        <v>0</v>
      </c>
      <c r="H3283" s="55">
        <v>84.6</v>
      </c>
      <c r="I3283" s="55">
        <v>0</v>
      </c>
      <c r="J3283" s="55">
        <v>84.6</v>
      </c>
      <c r="K3283" s="55">
        <v>7.9</v>
      </c>
      <c r="L3283" s="55">
        <v>0</v>
      </c>
      <c r="M3283" s="55">
        <v>0</v>
      </c>
      <c r="N3283" s="55">
        <v>0</v>
      </c>
    </row>
    <row r="3284" spans="1:14" ht="10.050000000000001" hidden="1" customHeight="1">
      <c r="A3284" s="52" t="s">
        <v>306</v>
      </c>
      <c r="B3284" s="53">
        <v>2020</v>
      </c>
      <c r="C3284" s="52" t="s">
        <v>124</v>
      </c>
      <c r="D3284" s="54">
        <v>4</v>
      </c>
      <c r="E3284" s="55">
        <v>4946.3999999999996</v>
      </c>
      <c r="F3284" s="55">
        <v>59.1</v>
      </c>
      <c r="G3284" s="55">
        <v>5005.5</v>
      </c>
      <c r="H3284" s="55">
        <v>55498.5</v>
      </c>
      <c r="I3284" s="55">
        <v>1331.4</v>
      </c>
      <c r="J3284" s="55">
        <v>56829.9</v>
      </c>
      <c r="K3284" s="55">
        <v>5434.1</v>
      </c>
      <c r="L3284" s="55">
        <v>947.4</v>
      </c>
      <c r="M3284" s="55">
        <v>2520.1999999999998</v>
      </c>
      <c r="N3284" s="55">
        <v>909.4</v>
      </c>
    </row>
    <row r="3285" spans="1:14" ht="10.050000000000001" hidden="1" customHeight="1">
      <c r="A3285" s="52" t="s">
        <v>172</v>
      </c>
      <c r="B3285" s="53">
        <v>2020</v>
      </c>
      <c r="C3285" s="52" t="s">
        <v>124</v>
      </c>
      <c r="D3285" s="54">
        <v>4</v>
      </c>
      <c r="E3285" s="55">
        <v>76414.2</v>
      </c>
      <c r="F3285" s="55">
        <v>40.5</v>
      </c>
      <c r="G3285" s="55">
        <v>76454.7</v>
      </c>
      <c r="H3285" s="55">
        <v>260412.4</v>
      </c>
      <c r="I3285" s="55">
        <v>5074.8</v>
      </c>
      <c r="J3285" s="55">
        <v>265487.2</v>
      </c>
      <c r="K3285" s="55">
        <v>42323.199999999997</v>
      </c>
      <c r="L3285" s="55">
        <v>5140.7</v>
      </c>
      <c r="M3285" s="55">
        <v>29634.5</v>
      </c>
      <c r="N3285" s="55">
        <v>1667.7</v>
      </c>
    </row>
    <row r="3286" spans="1:14" ht="10.050000000000001" hidden="1" customHeight="1">
      <c r="A3286" s="52" t="s">
        <v>171</v>
      </c>
      <c r="B3286" s="53">
        <v>2020</v>
      </c>
      <c r="C3286" s="52" t="s">
        <v>124</v>
      </c>
      <c r="D3286" s="54">
        <v>4</v>
      </c>
      <c r="E3286" s="55">
        <v>1712773.3</v>
      </c>
      <c r="F3286" s="55">
        <v>2576.4</v>
      </c>
      <c r="G3286" s="55">
        <v>1715349.7</v>
      </c>
      <c r="H3286" s="55">
        <v>5833602.4000000004</v>
      </c>
      <c r="I3286" s="55">
        <v>76507.899999999994</v>
      </c>
      <c r="J3286" s="55">
        <v>5910110.2999999998</v>
      </c>
      <c r="K3286" s="55">
        <v>1078122.1000000001</v>
      </c>
      <c r="L3286" s="55">
        <v>279632.90000000002</v>
      </c>
      <c r="M3286" s="55">
        <v>856722.4</v>
      </c>
      <c r="N3286" s="55">
        <v>49614.5</v>
      </c>
    </row>
    <row r="3287" spans="1:14" ht="10.050000000000001" hidden="1" customHeight="1">
      <c r="A3287" s="52" t="s">
        <v>300</v>
      </c>
      <c r="B3287" s="53">
        <v>2020</v>
      </c>
      <c r="C3287" s="52" t="s">
        <v>124</v>
      </c>
      <c r="D3287" s="54">
        <v>4</v>
      </c>
      <c r="E3287" s="55">
        <v>616.9</v>
      </c>
      <c r="F3287" s="55">
        <v>0</v>
      </c>
      <c r="G3287" s="55">
        <v>616.9</v>
      </c>
      <c r="H3287" s="55">
        <v>6737.9</v>
      </c>
      <c r="I3287" s="55">
        <v>85.2</v>
      </c>
      <c r="J3287" s="55">
        <v>6823.1</v>
      </c>
      <c r="K3287" s="55">
        <v>142.6</v>
      </c>
      <c r="L3287" s="55">
        <v>0</v>
      </c>
      <c r="M3287" s="55">
        <v>40.200000000000003</v>
      </c>
      <c r="N3287" s="55">
        <v>5.7</v>
      </c>
    </row>
    <row r="3288" spans="1:14" ht="10.050000000000001" hidden="1" customHeight="1">
      <c r="A3288" s="52" t="s">
        <v>307</v>
      </c>
      <c r="B3288" s="53">
        <v>2020</v>
      </c>
      <c r="C3288" s="52" t="s">
        <v>124</v>
      </c>
      <c r="D3288" s="54">
        <v>4</v>
      </c>
      <c r="E3288" s="55">
        <v>222247.5</v>
      </c>
      <c r="F3288" s="55">
        <v>6814.1</v>
      </c>
      <c r="G3288" s="55">
        <v>229061.6</v>
      </c>
      <c r="H3288" s="55">
        <v>2895955.7</v>
      </c>
      <c r="I3288" s="55">
        <v>61209.3</v>
      </c>
      <c r="J3288" s="55">
        <v>2957165</v>
      </c>
      <c r="K3288" s="55">
        <v>1008151.4</v>
      </c>
      <c r="L3288" s="55">
        <v>53575.8</v>
      </c>
      <c r="M3288" s="55">
        <v>110014.39999999999</v>
      </c>
      <c r="N3288" s="55">
        <v>109867.3</v>
      </c>
    </row>
    <row r="3289" spans="1:14" ht="10.050000000000001" hidden="1" customHeight="1">
      <c r="A3289" s="52" t="s">
        <v>315</v>
      </c>
      <c r="B3289" s="53">
        <v>2020</v>
      </c>
      <c r="C3289" s="52" t="s">
        <v>124</v>
      </c>
      <c r="D3289" s="54">
        <v>4</v>
      </c>
      <c r="E3289" s="55">
        <v>485</v>
      </c>
      <c r="F3289" s="55">
        <v>0</v>
      </c>
      <c r="G3289" s="55">
        <v>485</v>
      </c>
      <c r="H3289" s="55">
        <v>7611.9</v>
      </c>
      <c r="I3289" s="55">
        <v>16.899999999999999</v>
      </c>
      <c r="J3289" s="55">
        <v>7628.8</v>
      </c>
      <c r="K3289" s="55">
        <v>789.6</v>
      </c>
      <c r="L3289" s="55">
        <v>0</v>
      </c>
      <c r="M3289" s="55">
        <v>215.5</v>
      </c>
      <c r="N3289" s="55">
        <v>4.9000000000000004</v>
      </c>
    </row>
    <row r="3290" spans="1:14" ht="10.050000000000001" hidden="1" customHeight="1">
      <c r="A3290" s="52" t="s">
        <v>311</v>
      </c>
      <c r="B3290" s="53">
        <v>2020</v>
      </c>
      <c r="C3290" s="52" t="s">
        <v>124</v>
      </c>
      <c r="D3290" s="54">
        <v>4</v>
      </c>
      <c r="E3290" s="55">
        <v>88.6</v>
      </c>
      <c r="F3290" s="55">
        <v>0</v>
      </c>
      <c r="G3290" s="55">
        <v>88.6</v>
      </c>
      <c r="H3290" s="55">
        <v>1155.5</v>
      </c>
      <c r="I3290" s="55">
        <v>0</v>
      </c>
      <c r="J3290" s="55">
        <v>1155.5</v>
      </c>
      <c r="K3290" s="55">
        <v>101.3</v>
      </c>
      <c r="L3290" s="55">
        <v>0</v>
      </c>
      <c r="M3290" s="55">
        <v>1.8</v>
      </c>
      <c r="N3290" s="55">
        <v>282.10000000000002</v>
      </c>
    </row>
    <row r="3291" spans="1:14" ht="10.050000000000001" hidden="1" customHeight="1">
      <c r="A3291" s="52" t="s">
        <v>173</v>
      </c>
      <c r="B3291" s="53">
        <v>2020</v>
      </c>
      <c r="C3291" s="52" t="s">
        <v>124</v>
      </c>
      <c r="D3291" s="54">
        <v>4</v>
      </c>
      <c r="E3291" s="55">
        <v>329549.40000000002</v>
      </c>
      <c r="F3291" s="55">
        <v>3152.7</v>
      </c>
      <c r="G3291" s="55">
        <v>332702.09999999998</v>
      </c>
      <c r="H3291" s="55">
        <v>2574208.7000000002</v>
      </c>
      <c r="I3291" s="55">
        <v>27332.799999999999</v>
      </c>
      <c r="J3291" s="55">
        <v>2601541.5</v>
      </c>
      <c r="K3291" s="55">
        <v>319667.90000000002</v>
      </c>
      <c r="L3291" s="55">
        <v>33667.300000000003</v>
      </c>
      <c r="M3291" s="55">
        <v>167829.6</v>
      </c>
      <c r="N3291" s="55">
        <v>26975.8</v>
      </c>
    </row>
    <row r="3292" spans="1:14" ht="10.050000000000001" customHeight="1">
      <c r="A3292" s="52" t="s">
        <v>309</v>
      </c>
      <c r="B3292" s="53">
        <v>2020</v>
      </c>
      <c r="C3292" s="52" t="s">
        <v>124</v>
      </c>
      <c r="D3292" s="54">
        <v>4</v>
      </c>
      <c r="E3292" s="55">
        <v>376.6</v>
      </c>
      <c r="F3292" s="55">
        <v>0</v>
      </c>
      <c r="G3292" s="55">
        <v>376.6</v>
      </c>
      <c r="H3292" s="55">
        <v>34459.300000000003</v>
      </c>
      <c r="I3292" s="55">
        <v>0</v>
      </c>
      <c r="J3292" s="55">
        <v>34459.300000000003</v>
      </c>
      <c r="K3292" s="55">
        <v>1090</v>
      </c>
      <c r="L3292" s="55">
        <v>0</v>
      </c>
      <c r="M3292" s="55">
        <v>0</v>
      </c>
      <c r="N3292" s="55">
        <v>0</v>
      </c>
    </row>
    <row r="3293" spans="1:14" ht="10.050000000000001" hidden="1" customHeight="1">
      <c r="A3293" s="52" t="s">
        <v>316</v>
      </c>
      <c r="B3293" s="53">
        <v>2020</v>
      </c>
      <c r="C3293" s="52" t="s">
        <v>124</v>
      </c>
      <c r="D3293" s="54">
        <v>4</v>
      </c>
      <c r="E3293" s="55">
        <v>187.8</v>
      </c>
      <c r="F3293" s="55">
        <v>0</v>
      </c>
      <c r="G3293" s="55">
        <v>187.8</v>
      </c>
      <c r="H3293" s="55">
        <v>10942.4</v>
      </c>
      <c r="I3293" s="55">
        <v>116.4</v>
      </c>
      <c r="J3293" s="55">
        <v>11058.8</v>
      </c>
      <c r="K3293" s="55">
        <v>198.5</v>
      </c>
      <c r="L3293" s="55">
        <v>1.2</v>
      </c>
      <c r="M3293" s="55">
        <v>42.3</v>
      </c>
      <c r="N3293" s="55">
        <v>3.9</v>
      </c>
    </row>
    <row r="3294" spans="1:14" ht="10.050000000000001" hidden="1" customHeight="1">
      <c r="A3294" s="52" t="s">
        <v>310</v>
      </c>
      <c r="B3294" s="53">
        <v>2020</v>
      </c>
      <c r="C3294" s="52" t="s">
        <v>124</v>
      </c>
      <c r="D3294" s="54">
        <v>4</v>
      </c>
      <c r="E3294" s="55">
        <v>960.3</v>
      </c>
      <c r="F3294" s="55">
        <v>0</v>
      </c>
      <c r="G3294" s="55">
        <v>960.3</v>
      </c>
      <c r="H3294" s="55">
        <v>24181.4</v>
      </c>
      <c r="I3294" s="55">
        <v>363.7</v>
      </c>
      <c r="J3294" s="55">
        <v>24545.1</v>
      </c>
      <c r="K3294" s="55">
        <v>1344.8</v>
      </c>
      <c r="L3294" s="55">
        <v>44.2</v>
      </c>
      <c r="M3294" s="55">
        <v>318.2</v>
      </c>
      <c r="N3294" s="55">
        <v>83.7</v>
      </c>
    </row>
    <row r="3295" spans="1:14" ht="10.050000000000001" hidden="1" customHeight="1">
      <c r="A3295" s="52" t="s">
        <v>308</v>
      </c>
      <c r="B3295" s="53">
        <v>2020</v>
      </c>
      <c r="C3295" s="52" t="s">
        <v>124</v>
      </c>
      <c r="D3295" s="54">
        <v>4</v>
      </c>
      <c r="E3295" s="55">
        <v>2357.8000000000002</v>
      </c>
      <c r="F3295" s="55">
        <v>0</v>
      </c>
      <c r="G3295" s="55">
        <v>2357.8000000000002</v>
      </c>
      <c r="H3295" s="55">
        <v>67215.5</v>
      </c>
      <c r="I3295" s="55">
        <v>231.6</v>
      </c>
      <c r="J3295" s="55">
        <v>67447.100000000006</v>
      </c>
      <c r="K3295" s="55">
        <v>5332.1</v>
      </c>
      <c r="L3295" s="55">
        <v>0.2</v>
      </c>
      <c r="M3295" s="55">
        <v>1554.8</v>
      </c>
      <c r="N3295" s="55">
        <v>236.1</v>
      </c>
    </row>
    <row r="3296" spans="1:14" ht="10.050000000000001" hidden="1" customHeight="1">
      <c r="A3296" s="52" t="s">
        <v>174</v>
      </c>
      <c r="B3296" s="53">
        <v>2020</v>
      </c>
      <c r="C3296" s="52" t="s">
        <v>124</v>
      </c>
      <c r="D3296" s="54">
        <v>4</v>
      </c>
      <c r="E3296" s="55">
        <v>13498.2</v>
      </c>
      <c r="F3296" s="55">
        <v>40</v>
      </c>
      <c r="G3296" s="55">
        <v>13538.2</v>
      </c>
      <c r="H3296" s="55">
        <v>163562</v>
      </c>
      <c r="I3296" s="55">
        <v>8293.4</v>
      </c>
      <c r="J3296" s="55">
        <v>171855.4</v>
      </c>
      <c r="K3296" s="55">
        <v>53831.199999999997</v>
      </c>
      <c r="L3296" s="55">
        <v>1743.6</v>
      </c>
      <c r="M3296" s="55">
        <v>6721.6</v>
      </c>
      <c r="N3296" s="55">
        <v>7411.6</v>
      </c>
    </row>
    <row r="3297" spans="1:14" ht="10.050000000000001" hidden="1" customHeight="1">
      <c r="A3297" s="52" t="s">
        <v>314</v>
      </c>
      <c r="B3297" s="53">
        <v>2020</v>
      </c>
      <c r="C3297" s="52" t="s">
        <v>124</v>
      </c>
      <c r="D3297" s="54">
        <v>5</v>
      </c>
      <c r="E3297" s="55">
        <v>0</v>
      </c>
      <c r="F3297" s="55">
        <v>0</v>
      </c>
      <c r="G3297" s="55">
        <v>0</v>
      </c>
      <c r="H3297" s="55">
        <v>75.599999999999994</v>
      </c>
      <c r="I3297" s="55">
        <v>0</v>
      </c>
      <c r="J3297" s="55">
        <v>75.599999999999994</v>
      </c>
      <c r="K3297" s="55">
        <v>7.9</v>
      </c>
      <c r="L3297" s="55">
        <v>0</v>
      </c>
      <c r="M3297" s="55">
        <v>0</v>
      </c>
      <c r="N3297" s="55">
        <v>0</v>
      </c>
    </row>
    <row r="3298" spans="1:14" ht="10.050000000000001" hidden="1" customHeight="1">
      <c r="A3298" s="52" t="s">
        <v>306</v>
      </c>
      <c r="B3298" s="53">
        <v>2020</v>
      </c>
      <c r="C3298" s="52" t="s">
        <v>124</v>
      </c>
      <c r="D3298" s="54">
        <v>5</v>
      </c>
      <c r="E3298" s="55">
        <v>4424.7</v>
      </c>
      <c r="F3298" s="55">
        <v>140.5</v>
      </c>
      <c r="G3298" s="55">
        <v>4565.2</v>
      </c>
      <c r="H3298" s="55">
        <v>46114.6</v>
      </c>
      <c r="I3298" s="55">
        <v>1231.7</v>
      </c>
      <c r="J3298" s="55">
        <v>47346.3</v>
      </c>
      <c r="K3298" s="55">
        <v>3632.4</v>
      </c>
      <c r="L3298" s="55">
        <v>439.2</v>
      </c>
      <c r="M3298" s="55">
        <v>1687.9</v>
      </c>
      <c r="N3298" s="55">
        <v>592</v>
      </c>
    </row>
    <row r="3299" spans="1:14" ht="10.050000000000001" hidden="1" customHeight="1">
      <c r="A3299" s="52" t="s">
        <v>172</v>
      </c>
      <c r="B3299" s="53">
        <v>2020</v>
      </c>
      <c r="C3299" s="52" t="s">
        <v>124</v>
      </c>
      <c r="D3299" s="54">
        <v>5</v>
      </c>
      <c r="E3299" s="55">
        <v>51462.8</v>
      </c>
      <c r="F3299" s="55">
        <v>12.3</v>
      </c>
      <c r="G3299" s="55">
        <v>51475.1</v>
      </c>
      <c r="H3299" s="55">
        <v>191896.2</v>
      </c>
      <c r="I3299" s="55">
        <v>4791.3999999999996</v>
      </c>
      <c r="J3299" s="55">
        <v>196687.6</v>
      </c>
      <c r="K3299" s="55">
        <v>22292.400000000001</v>
      </c>
      <c r="L3299" s="55">
        <v>5162.2</v>
      </c>
      <c r="M3299" s="55">
        <v>22005.5</v>
      </c>
      <c r="N3299" s="55">
        <v>3285</v>
      </c>
    </row>
    <row r="3300" spans="1:14" ht="10.050000000000001" hidden="1" customHeight="1">
      <c r="A3300" s="52" t="s">
        <v>171</v>
      </c>
      <c r="B3300" s="53">
        <v>2020</v>
      </c>
      <c r="C3300" s="52" t="s">
        <v>124</v>
      </c>
      <c r="D3300" s="54">
        <v>5</v>
      </c>
      <c r="E3300" s="55">
        <v>1433906.1</v>
      </c>
      <c r="F3300" s="55">
        <v>995.2</v>
      </c>
      <c r="G3300" s="55">
        <v>1434901.3</v>
      </c>
      <c r="H3300" s="55">
        <v>4264404.2</v>
      </c>
      <c r="I3300" s="55">
        <v>64128.3</v>
      </c>
      <c r="J3300" s="55">
        <v>4328532.5</v>
      </c>
      <c r="K3300" s="55">
        <v>400391.5</v>
      </c>
      <c r="L3300" s="55">
        <v>209882.1</v>
      </c>
      <c r="M3300" s="55">
        <v>846489.5</v>
      </c>
      <c r="N3300" s="55">
        <v>42415</v>
      </c>
    </row>
    <row r="3301" spans="1:14" ht="10.050000000000001" hidden="1" customHeight="1">
      <c r="A3301" s="52" t="s">
        <v>300</v>
      </c>
      <c r="B3301" s="53">
        <v>2020</v>
      </c>
      <c r="C3301" s="52" t="s">
        <v>124</v>
      </c>
      <c r="D3301" s="54">
        <v>5</v>
      </c>
      <c r="E3301" s="55">
        <v>520.4</v>
      </c>
      <c r="F3301" s="55">
        <v>0</v>
      </c>
      <c r="G3301" s="55">
        <v>520.4</v>
      </c>
      <c r="H3301" s="55">
        <v>6217</v>
      </c>
      <c r="I3301" s="55">
        <v>83.4</v>
      </c>
      <c r="J3301" s="55">
        <v>6300.4</v>
      </c>
      <c r="K3301" s="55">
        <v>129.69999999999999</v>
      </c>
      <c r="L3301" s="55">
        <v>0</v>
      </c>
      <c r="M3301" s="55">
        <v>1.7</v>
      </c>
      <c r="N3301" s="55">
        <v>9.5</v>
      </c>
    </row>
    <row r="3302" spans="1:14" ht="10.050000000000001" hidden="1" customHeight="1">
      <c r="A3302" s="52" t="s">
        <v>307</v>
      </c>
      <c r="B3302" s="53">
        <v>2020</v>
      </c>
      <c r="C3302" s="52" t="s">
        <v>124</v>
      </c>
      <c r="D3302" s="54">
        <v>5</v>
      </c>
      <c r="E3302" s="55">
        <v>300083.20000000001</v>
      </c>
      <c r="F3302" s="55">
        <v>0</v>
      </c>
      <c r="G3302" s="55">
        <v>300083.20000000001</v>
      </c>
      <c r="H3302" s="55">
        <v>2359349.9</v>
      </c>
      <c r="I3302" s="55">
        <v>60510</v>
      </c>
      <c r="J3302" s="55">
        <v>2419859.9</v>
      </c>
      <c r="K3302" s="55">
        <v>816840</v>
      </c>
      <c r="L3302" s="55">
        <v>46922.3</v>
      </c>
      <c r="M3302" s="55">
        <v>183845.4</v>
      </c>
      <c r="N3302" s="55">
        <v>54358.1</v>
      </c>
    </row>
    <row r="3303" spans="1:14" ht="10.050000000000001" hidden="1" customHeight="1">
      <c r="A3303" s="52" t="s">
        <v>315</v>
      </c>
      <c r="B3303" s="53">
        <v>2020</v>
      </c>
      <c r="C3303" s="52" t="s">
        <v>124</v>
      </c>
      <c r="D3303" s="54">
        <v>5</v>
      </c>
      <c r="E3303" s="55">
        <v>507.8</v>
      </c>
      <c r="F3303" s="55">
        <v>0</v>
      </c>
      <c r="G3303" s="55">
        <v>507.8</v>
      </c>
      <c r="H3303" s="55">
        <v>6173.7</v>
      </c>
      <c r="I3303" s="55">
        <v>16.899999999999999</v>
      </c>
      <c r="J3303" s="55">
        <v>6190.6</v>
      </c>
      <c r="K3303" s="55">
        <v>605.6</v>
      </c>
      <c r="L3303" s="55">
        <v>52.4</v>
      </c>
      <c r="M3303" s="55">
        <v>230</v>
      </c>
      <c r="N3303" s="55">
        <v>6.4</v>
      </c>
    </row>
    <row r="3304" spans="1:14" ht="10.050000000000001" hidden="1" customHeight="1">
      <c r="A3304" s="52" t="s">
        <v>311</v>
      </c>
      <c r="B3304" s="53">
        <v>2020</v>
      </c>
      <c r="C3304" s="52" t="s">
        <v>124</v>
      </c>
      <c r="D3304" s="54">
        <v>5</v>
      </c>
      <c r="E3304" s="55">
        <v>26.4</v>
      </c>
      <c r="F3304" s="55">
        <v>0</v>
      </c>
      <c r="G3304" s="55">
        <v>26.4</v>
      </c>
      <c r="H3304" s="55">
        <v>932.6</v>
      </c>
      <c r="I3304" s="55">
        <v>0</v>
      </c>
      <c r="J3304" s="55">
        <v>932.6</v>
      </c>
      <c r="K3304" s="55">
        <v>86.4</v>
      </c>
      <c r="L3304" s="55">
        <v>0</v>
      </c>
      <c r="M3304" s="55">
        <v>0</v>
      </c>
      <c r="N3304" s="55">
        <v>14.9</v>
      </c>
    </row>
    <row r="3305" spans="1:14" ht="10.050000000000001" hidden="1" customHeight="1">
      <c r="A3305" s="52" t="s">
        <v>173</v>
      </c>
      <c r="B3305" s="53">
        <v>2020</v>
      </c>
      <c r="C3305" s="52" t="s">
        <v>124</v>
      </c>
      <c r="D3305" s="54">
        <v>5</v>
      </c>
      <c r="E3305" s="55">
        <v>243324.7</v>
      </c>
      <c r="F3305" s="55">
        <v>1053.8</v>
      </c>
      <c r="G3305" s="55">
        <v>244378.5</v>
      </c>
      <c r="H3305" s="55">
        <v>2003776.1</v>
      </c>
      <c r="I3305" s="55">
        <v>17652.099999999999</v>
      </c>
      <c r="J3305" s="55">
        <v>2021428.2</v>
      </c>
      <c r="K3305" s="55">
        <v>168218</v>
      </c>
      <c r="L3305" s="55">
        <v>27435.7</v>
      </c>
      <c r="M3305" s="55">
        <v>145450.79999999999</v>
      </c>
      <c r="N3305" s="55">
        <v>33779.599999999999</v>
      </c>
    </row>
    <row r="3306" spans="1:14" ht="10.050000000000001" customHeight="1">
      <c r="A3306" s="52" t="s">
        <v>309</v>
      </c>
      <c r="B3306" s="53">
        <v>2020</v>
      </c>
      <c r="C3306" s="52" t="s">
        <v>124</v>
      </c>
      <c r="D3306" s="54">
        <v>5</v>
      </c>
      <c r="E3306" s="55">
        <v>2141.9</v>
      </c>
      <c r="F3306" s="55">
        <v>0</v>
      </c>
      <c r="G3306" s="55">
        <v>2141.9</v>
      </c>
      <c r="H3306" s="55">
        <v>30595.8</v>
      </c>
      <c r="I3306" s="55">
        <v>0</v>
      </c>
      <c r="J3306" s="55">
        <v>30595.8</v>
      </c>
      <c r="K3306" s="55">
        <v>1090</v>
      </c>
      <c r="L3306" s="55">
        <v>0</v>
      </c>
      <c r="M3306" s="55">
        <v>0</v>
      </c>
      <c r="N3306" s="55">
        <v>0</v>
      </c>
    </row>
    <row r="3307" spans="1:14" ht="10.050000000000001" hidden="1" customHeight="1">
      <c r="A3307" s="52" t="s">
        <v>316</v>
      </c>
      <c r="B3307" s="53">
        <v>2020</v>
      </c>
      <c r="C3307" s="52" t="s">
        <v>124</v>
      </c>
      <c r="D3307" s="54">
        <v>5</v>
      </c>
      <c r="E3307" s="55">
        <v>167.1</v>
      </c>
      <c r="F3307" s="55">
        <v>0</v>
      </c>
      <c r="G3307" s="55">
        <v>167.1</v>
      </c>
      <c r="H3307" s="55">
        <v>9851.0000000000091</v>
      </c>
      <c r="I3307" s="55">
        <v>100.2</v>
      </c>
      <c r="J3307" s="55">
        <v>9951.2000000000098</v>
      </c>
      <c r="K3307" s="55">
        <v>185.1</v>
      </c>
      <c r="L3307" s="55">
        <v>5.4</v>
      </c>
      <c r="M3307" s="55">
        <v>15.4</v>
      </c>
      <c r="N3307" s="55">
        <v>2.9</v>
      </c>
    </row>
    <row r="3308" spans="1:14" ht="10.050000000000001" hidden="1" customHeight="1">
      <c r="A3308" s="52" t="s">
        <v>310</v>
      </c>
      <c r="B3308" s="53">
        <v>2020</v>
      </c>
      <c r="C3308" s="52" t="s">
        <v>124</v>
      </c>
      <c r="D3308" s="54">
        <v>5</v>
      </c>
      <c r="E3308" s="55">
        <v>446.9</v>
      </c>
      <c r="F3308" s="55">
        <v>25</v>
      </c>
      <c r="G3308" s="55">
        <v>471.9</v>
      </c>
      <c r="H3308" s="55">
        <v>21591.7</v>
      </c>
      <c r="I3308" s="55">
        <v>340.5</v>
      </c>
      <c r="J3308" s="55">
        <v>21932.2</v>
      </c>
      <c r="K3308" s="55">
        <v>1068.5999999999999</v>
      </c>
      <c r="L3308" s="55">
        <v>22.7</v>
      </c>
      <c r="M3308" s="55">
        <v>218.4</v>
      </c>
      <c r="N3308" s="55">
        <v>80.599999999999994</v>
      </c>
    </row>
    <row r="3309" spans="1:14" ht="10.050000000000001" hidden="1" customHeight="1">
      <c r="A3309" s="52" t="s">
        <v>308</v>
      </c>
      <c r="B3309" s="53">
        <v>2020</v>
      </c>
      <c r="C3309" s="52" t="s">
        <v>124</v>
      </c>
      <c r="D3309" s="54">
        <v>5</v>
      </c>
      <c r="E3309" s="55">
        <v>3043.1</v>
      </c>
      <c r="F3309" s="55">
        <v>0</v>
      </c>
      <c r="G3309" s="55">
        <v>3043.1</v>
      </c>
      <c r="H3309" s="55">
        <v>50457.1</v>
      </c>
      <c r="I3309" s="55">
        <v>231.6</v>
      </c>
      <c r="J3309" s="55">
        <v>50688.7</v>
      </c>
      <c r="K3309" s="55">
        <v>2673.5</v>
      </c>
      <c r="L3309" s="55">
        <v>5.5</v>
      </c>
      <c r="M3309" s="55">
        <v>2459.3000000000002</v>
      </c>
      <c r="N3309" s="55">
        <v>204.9</v>
      </c>
    </row>
    <row r="3310" spans="1:14" ht="10.050000000000001" hidden="1" customHeight="1">
      <c r="A3310" s="52" t="s">
        <v>174</v>
      </c>
      <c r="B3310" s="53">
        <v>2020</v>
      </c>
      <c r="C3310" s="52" t="s">
        <v>124</v>
      </c>
      <c r="D3310" s="54">
        <v>5</v>
      </c>
      <c r="E3310" s="55">
        <v>13370.9</v>
      </c>
      <c r="F3310" s="55">
        <v>143.19999999999999</v>
      </c>
      <c r="G3310" s="55">
        <v>13514.1</v>
      </c>
      <c r="H3310" s="55">
        <v>129597.8</v>
      </c>
      <c r="I3310" s="55">
        <v>7517.9</v>
      </c>
      <c r="J3310" s="55">
        <v>137115.70000000001</v>
      </c>
      <c r="K3310" s="55">
        <v>42561.5</v>
      </c>
      <c r="L3310" s="55">
        <v>2183.6999999999998</v>
      </c>
      <c r="M3310" s="55">
        <v>6498.3</v>
      </c>
      <c r="N3310" s="55">
        <v>7001.8</v>
      </c>
    </row>
    <row r="3311" spans="1:14" ht="10.050000000000001" hidden="1" customHeight="1">
      <c r="A3311" s="52" t="s">
        <v>314</v>
      </c>
      <c r="B3311" s="53">
        <v>2020</v>
      </c>
      <c r="C3311" s="52" t="s">
        <v>124</v>
      </c>
      <c r="D3311" s="54">
        <v>6</v>
      </c>
      <c r="E3311" s="55">
        <v>30.7</v>
      </c>
      <c r="F3311" s="55">
        <v>0</v>
      </c>
      <c r="G3311" s="55">
        <v>30.7</v>
      </c>
      <c r="H3311" s="55">
        <v>94.2</v>
      </c>
      <c r="I3311" s="55">
        <v>0</v>
      </c>
      <c r="J3311" s="55">
        <v>94.2</v>
      </c>
      <c r="K3311" s="55">
        <v>7.9</v>
      </c>
      <c r="L3311" s="55">
        <v>0</v>
      </c>
      <c r="M3311" s="55">
        <v>0</v>
      </c>
      <c r="N3311" s="55">
        <v>0</v>
      </c>
    </row>
    <row r="3312" spans="1:14" ht="10.050000000000001" hidden="1" customHeight="1">
      <c r="A3312" s="52" t="s">
        <v>306</v>
      </c>
      <c r="B3312" s="53">
        <v>2020</v>
      </c>
      <c r="C3312" s="52" t="s">
        <v>124</v>
      </c>
      <c r="D3312" s="54">
        <v>6</v>
      </c>
      <c r="E3312" s="55">
        <v>3950.3</v>
      </c>
      <c r="F3312" s="55">
        <v>63.8</v>
      </c>
      <c r="G3312" s="55">
        <v>4014.1</v>
      </c>
      <c r="H3312" s="55">
        <v>29789.3</v>
      </c>
      <c r="I3312" s="55">
        <v>1050</v>
      </c>
      <c r="J3312" s="55">
        <v>30839.3</v>
      </c>
      <c r="K3312" s="55">
        <v>1497.7</v>
      </c>
      <c r="L3312" s="55">
        <v>481.7</v>
      </c>
      <c r="M3312" s="55">
        <v>1816.8</v>
      </c>
      <c r="N3312" s="55">
        <v>822</v>
      </c>
    </row>
    <row r="3313" spans="1:14" ht="10.050000000000001" hidden="1" customHeight="1">
      <c r="A3313" s="52" t="s">
        <v>172</v>
      </c>
      <c r="B3313" s="53">
        <v>2020</v>
      </c>
      <c r="C3313" s="52" t="s">
        <v>124</v>
      </c>
      <c r="D3313" s="54">
        <v>6</v>
      </c>
      <c r="E3313" s="55">
        <v>27432.9</v>
      </c>
      <c r="F3313" s="55">
        <v>37.1</v>
      </c>
      <c r="G3313" s="55">
        <v>27470</v>
      </c>
      <c r="H3313" s="55">
        <v>105955.8</v>
      </c>
      <c r="I3313" s="55">
        <v>3874.3</v>
      </c>
      <c r="J3313" s="55">
        <v>109830.1</v>
      </c>
      <c r="K3313" s="55">
        <v>16253.9</v>
      </c>
      <c r="L3313" s="55">
        <v>2270.1</v>
      </c>
      <c r="M3313" s="55">
        <v>8072.8</v>
      </c>
      <c r="N3313" s="55">
        <v>144.5</v>
      </c>
    </row>
    <row r="3314" spans="1:14" ht="10.050000000000001" hidden="1" customHeight="1">
      <c r="A3314" s="52" t="s">
        <v>171</v>
      </c>
      <c r="B3314" s="53">
        <v>2020</v>
      </c>
      <c r="C3314" s="52" t="s">
        <v>124</v>
      </c>
      <c r="D3314" s="54">
        <v>6</v>
      </c>
      <c r="E3314" s="55">
        <v>602396.6</v>
      </c>
      <c r="F3314" s="55">
        <v>1244.2</v>
      </c>
      <c r="G3314" s="55">
        <v>603640.80000000005</v>
      </c>
      <c r="H3314" s="55">
        <v>2193788.1</v>
      </c>
      <c r="I3314" s="55">
        <v>53424.9</v>
      </c>
      <c r="J3314" s="55">
        <v>2247213</v>
      </c>
      <c r="K3314" s="55">
        <v>154134.79999999999</v>
      </c>
      <c r="L3314" s="55">
        <v>86071.7</v>
      </c>
      <c r="M3314" s="55">
        <v>261863.6</v>
      </c>
      <c r="N3314" s="55">
        <v>70185.3</v>
      </c>
    </row>
    <row r="3315" spans="1:14" ht="10.050000000000001" hidden="1" customHeight="1">
      <c r="A3315" s="52" t="s">
        <v>300</v>
      </c>
      <c r="B3315" s="53">
        <v>2020</v>
      </c>
      <c r="C3315" s="52" t="s">
        <v>124</v>
      </c>
      <c r="D3315" s="54">
        <v>6</v>
      </c>
      <c r="E3315" s="55">
        <v>448.9</v>
      </c>
      <c r="F3315" s="55">
        <v>505.4</v>
      </c>
      <c r="G3315" s="55">
        <v>954.3</v>
      </c>
      <c r="H3315" s="55">
        <v>3924.9</v>
      </c>
      <c r="I3315" s="55">
        <v>58.6</v>
      </c>
      <c r="J3315" s="55">
        <v>3983.5</v>
      </c>
      <c r="K3315" s="55">
        <v>101.9</v>
      </c>
      <c r="L3315" s="55">
        <v>12.6</v>
      </c>
      <c r="M3315" s="55">
        <v>33</v>
      </c>
      <c r="N3315" s="55">
        <v>7.4</v>
      </c>
    </row>
    <row r="3316" spans="1:14" ht="10.050000000000001" hidden="1" customHeight="1">
      <c r="A3316" s="52" t="s">
        <v>307</v>
      </c>
      <c r="B3316" s="53">
        <v>2020</v>
      </c>
      <c r="C3316" s="52" t="s">
        <v>124</v>
      </c>
      <c r="D3316" s="54">
        <v>6</v>
      </c>
      <c r="E3316" s="55">
        <v>545252.1</v>
      </c>
      <c r="F3316" s="55">
        <v>0</v>
      </c>
      <c r="G3316" s="55">
        <v>545252.1</v>
      </c>
      <c r="H3316" s="55">
        <v>1793201.3</v>
      </c>
      <c r="I3316" s="55">
        <v>57007</v>
      </c>
      <c r="J3316" s="55">
        <v>1850208.3</v>
      </c>
      <c r="K3316" s="55">
        <v>463755</v>
      </c>
      <c r="L3316" s="55">
        <v>61753.1</v>
      </c>
      <c r="M3316" s="55">
        <v>340414.3</v>
      </c>
      <c r="N3316" s="55">
        <v>75358.600000000006</v>
      </c>
    </row>
    <row r="3317" spans="1:14" ht="10.050000000000001" hidden="1" customHeight="1">
      <c r="A3317" s="52" t="s">
        <v>315</v>
      </c>
      <c r="B3317" s="53">
        <v>2020</v>
      </c>
      <c r="C3317" s="52" t="s">
        <v>124</v>
      </c>
      <c r="D3317" s="54">
        <v>6</v>
      </c>
      <c r="E3317" s="55">
        <v>306.60000000000002</v>
      </c>
      <c r="F3317" s="55">
        <v>0</v>
      </c>
      <c r="G3317" s="55">
        <v>306.60000000000002</v>
      </c>
      <c r="H3317" s="55">
        <v>3687.9</v>
      </c>
      <c r="I3317" s="55">
        <v>0</v>
      </c>
      <c r="J3317" s="55">
        <v>3687.9</v>
      </c>
      <c r="K3317" s="55">
        <v>381.9</v>
      </c>
      <c r="L3317" s="55">
        <v>30.4</v>
      </c>
      <c r="M3317" s="55">
        <v>139.30000000000001</v>
      </c>
      <c r="N3317" s="55">
        <v>114.9</v>
      </c>
    </row>
    <row r="3318" spans="1:14" ht="10.050000000000001" hidden="1" customHeight="1">
      <c r="A3318" s="52" t="s">
        <v>311</v>
      </c>
      <c r="B3318" s="53">
        <v>2020</v>
      </c>
      <c r="C3318" s="52" t="s">
        <v>124</v>
      </c>
      <c r="D3318" s="54">
        <v>6</v>
      </c>
      <c r="E3318" s="55">
        <v>103.5</v>
      </c>
      <c r="F3318" s="55">
        <v>0</v>
      </c>
      <c r="G3318" s="55">
        <v>103.5</v>
      </c>
      <c r="H3318" s="55">
        <v>622.29999999999995</v>
      </c>
      <c r="I3318" s="55">
        <v>0</v>
      </c>
      <c r="J3318" s="55">
        <v>622.29999999999995</v>
      </c>
      <c r="K3318" s="55">
        <v>32.5</v>
      </c>
      <c r="L3318" s="55">
        <v>0</v>
      </c>
      <c r="M3318" s="55">
        <v>4.0999999999999996</v>
      </c>
      <c r="N3318" s="55">
        <v>49.9</v>
      </c>
    </row>
    <row r="3319" spans="1:14" ht="10.050000000000001" hidden="1" customHeight="1">
      <c r="A3319" s="52" t="s">
        <v>173</v>
      </c>
      <c r="B3319" s="53">
        <v>2020</v>
      </c>
      <c r="C3319" s="52" t="s">
        <v>124</v>
      </c>
      <c r="D3319" s="54">
        <v>6</v>
      </c>
      <c r="E3319" s="55">
        <v>158163.6</v>
      </c>
      <c r="F3319" s="55">
        <v>1839.7</v>
      </c>
      <c r="G3319" s="55">
        <v>160003.29999999999</v>
      </c>
      <c r="H3319" s="55">
        <v>1092142.3999999999</v>
      </c>
      <c r="I3319" s="55">
        <v>15306.6</v>
      </c>
      <c r="J3319" s="55">
        <v>1107449</v>
      </c>
      <c r="K3319" s="55">
        <v>99676.7</v>
      </c>
      <c r="L3319" s="55">
        <v>45759.199999999997</v>
      </c>
      <c r="M3319" s="55">
        <v>70429.3</v>
      </c>
      <c r="N3319" s="55">
        <v>42606.400000000001</v>
      </c>
    </row>
    <row r="3320" spans="1:14" ht="10.050000000000001" customHeight="1">
      <c r="A3320" s="52" t="s">
        <v>309</v>
      </c>
      <c r="B3320" s="53">
        <v>2020</v>
      </c>
      <c r="C3320" s="52" t="s">
        <v>124</v>
      </c>
      <c r="D3320" s="54">
        <v>6</v>
      </c>
      <c r="E3320" s="55">
        <v>1299.5</v>
      </c>
      <c r="F3320" s="55">
        <v>1692.3</v>
      </c>
      <c r="G3320" s="55">
        <v>2991.8</v>
      </c>
      <c r="H3320" s="55">
        <v>37249.800000000003</v>
      </c>
      <c r="I3320" s="55">
        <v>973.2</v>
      </c>
      <c r="J3320" s="55">
        <v>38223</v>
      </c>
      <c r="K3320" s="55">
        <v>1090</v>
      </c>
      <c r="L3320" s="55">
        <v>0</v>
      </c>
      <c r="M3320" s="55">
        <v>0</v>
      </c>
      <c r="N3320" s="55">
        <v>0</v>
      </c>
    </row>
    <row r="3321" spans="1:14" ht="10.050000000000001" hidden="1" customHeight="1">
      <c r="A3321" s="52" t="s">
        <v>316</v>
      </c>
      <c r="B3321" s="53">
        <v>2020</v>
      </c>
      <c r="C3321" s="52" t="s">
        <v>124</v>
      </c>
      <c r="D3321" s="54">
        <v>6</v>
      </c>
      <c r="E3321" s="55">
        <v>213.7</v>
      </c>
      <c r="F3321" s="55">
        <v>7.7</v>
      </c>
      <c r="G3321" s="55">
        <v>221.4</v>
      </c>
      <c r="H3321" s="55">
        <v>6920.9</v>
      </c>
      <c r="I3321" s="55">
        <v>97.4</v>
      </c>
      <c r="J3321" s="55">
        <v>7018.3</v>
      </c>
      <c r="K3321" s="55">
        <v>29.2</v>
      </c>
      <c r="L3321" s="55">
        <v>1.5</v>
      </c>
      <c r="M3321" s="55">
        <v>47.1</v>
      </c>
      <c r="N3321" s="55">
        <v>113.3</v>
      </c>
    </row>
    <row r="3322" spans="1:14" ht="10.050000000000001" hidden="1" customHeight="1">
      <c r="A3322" s="52" t="s">
        <v>310</v>
      </c>
      <c r="B3322" s="53">
        <v>2020</v>
      </c>
      <c r="C3322" s="52" t="s">
        <v>124</v>
      </c>
      <c r="D3322" s="54">
        <v>6</v>
      </c>
      <c r="E3322" s="55">
        <v>1056.2</v>
      </c>
      <c r="F3322" s="55">
        <v>0</v>
      </c>
      <c r="G3322" s="55">
        <v>1056.2</v>
      </c>
      <c r="H3322" s="55">
        <v>16687.099999999999</v>
      </c>
      <c r="I3322" s="55">
        <v>300.60000000000002</v>
      </c>
      <c r="J3322" s="55">
        <v>16987.7</v>
      </c>
      <c r="K3322" s="55">
        <v>421.9</v>
      </c>
      <c r="L3322" s="55">
        <v>182.8</v>
      </c>
      <c r="M3322" s="55">
        <v>482.4</v>
      </c>
      <c r="N3322" s="55">
        <v>350.4</v>
      </c>
    </row>
    <row r="3323" spans="1:14" ht="10.050000000000001" hidden="1" customHeight="1">
      <c r="A3323" s="52" t="s">
        <v>308</v>
      </c>
      <c r="B3323" s="53">
        <v>2020</v>
      </c>
      <c r="C3323" s="52" t="s">
        <v>124</v>
      </c>
      <c r="D3323" s="54">
        <v>6</v>
      </c>
      <c r="E3323" s="55">
        <v>2507.3000000000002</v>
      </c>
      <c r="F3323" s="55">
        <v>0</v>
      </c>
      <c r="G3323" s="55">
        <v>2507.3000000000002</v>
      </c>
      <c r="H3323" s="55">
        <v>32857.199999999997</v>
      </c>
      <c r="I3323" s="55">
        <v>231.3</v>
      </c>
      <c r="J3323" s="55">
        <v>33088.5</v>
      </c>
      <c r="K3323" s="55">
        <v>734.4</v>
      </c>
      <c r="L3323" s="55">
        <v>568.29999999999995</v>
      </c>
      <c r="M3323" s="55">
        <v>1836.9</v>
      </c>
      <c r="N3323" s="55">
        <v>670.4</v>
      </c>
    </row>
    <row r="3324" spans="1:14" ht="10.050000000000001" hidden="1" customHeight="1">
      <c r="A3324" s="52" t="s">
        <v>174</v>
      </c>
      <c r="B3324" s="53">
        <v>2020</v>
      </c>
      <c r="C3324" s="52" t="s">
        <v>124</v>
      </c>
      <c r="D3324" s="54">
        <v>6</v>
      </c>
      <c r="E3324" s="55">
        <v>17321.099999999999</v>
      </c>
      <c r="F3324" s="55">
        <v>47.9</v>
      </c>
      <c r="G3324" s="55">
        <v>17369</v>
      </c>
      <c r="H3324" s="55">
        <v>86693.7</v>
      </c>
      <c r="I3324" s="55">
        <v>6812.4</v>
      </c>
      <c r="J3324" s="55">
        <v>93506.1</v>
      </c>
      <c r="K3324" s="55">
        <v>20876.3</v>
      </c>
      <c r="L3324" s="55">
        <v>3078.8</v>
      </c>
      <c r="M3324" s="55">
        <v>9172.4000000000106</v>
      </c>
      <c r="N3324" s="55">
        <v>16166.8</v>
      </c>
    </row>
    <row r="3325" spans="1:14" ht="10.050000000000001" hidden="1" customHeight="1">
      <c r="A3325" s="52" t="s">
        <v>314</v>
      </c>
      <c r="B3325" s="53">
        <v>2020</v>
      </c>
      <c r="C3325" s="52" t="s">
        <v>125</v>
      </c>
      <c r="D3325" s="54">
        <v>7</v>
      </c>
      <c r="E3325" s="55">
        <v>11.3</v>
      </c>
      <c r="F3325" s="55">
        <v>0</v>
      </c>
      <c r="G3325" s="55">
        <v>11.3</v>
      </c>
      <c r="H3325" s="55">
        <v>93.7</v>
      </c>
      <c r="I3325" s="55">
        <v>0</v>
      </c>
      <c r="J3325" s="55">
        <v>93.7</v>
      </c>
      <c r="K3325" s="55">
        <v>4.5</v>
      </c>
      <c r="L3325" s="55">
        <v>0</v>
      </c>
      <c r="M3325" s="55">
        <v>3.4</v>
      </c>
      <c r="N3325" s="55">
        <v>0</v>
      </c>
    </row>
    <row r="3326" spans="1:14" ht="10.050000000000001" hidden="1" customHeight="1">
      <c r="A3326" s="52" t="s">
        <v>306</v>
      </c>
      <c r="B3326" s="53">
        <v>2020</v>
      </c>
      <c r="C3326" s="52" t="s">
        <v>125</v>
      </c>
      <c r="D3326" s="54">
        <v>7</v>
      </c>
      <c r="E3326" s="55">
        <v>82198.100000000006</v>
      </c>
      <c r="F3326" s="55">
        <v>1456.6</v>
      </c>
      <c r="G3326" s="55">
        <v>83654.699999999895</v>
      </c>
      <c r="H3326" s="55">
        <v>99088.6</v>
      </c>
      <c r="I3326" s="55">
        <v>2210.6</v>
      </c>
      <c r="J3326" s="55">
        <v>101299.2</v>
      </c>
      <c r="K3326" s="55">
        <v>25588.1</v>
      </c>
      <c r="L3326" s="55">
        <v>33990.699999999997</v>
      </c>
      <c r="M3326" s="55">
        <v>9295.5</v>
      </c>
      <c r="N3326" s="55">
        <v>483.2</v>
      </c>
    </row>
    <row r="3327" spans="1:14" ht="10.050000000000001" hidden="1" customHeight="1">
      <c r="A3327" s="52" t="s">
        <v>172</v>
      </c>
      <c r="B3327" s="53">
        <v>2020</v>
      </c>
      <c r="C3327" s="52" t="s">
        <v>125</v>
      </c>
      <c r="D3327" s="54">
        <v>7</v>
      </c>
      <c r="E3327" s="55">
        <v>530301.4</v>
      </c>
      <c r="F3327" s="55">
        <v>23161.7</v>
      </c>
      <c r="G3327" s="55">
        <v>553463.1</v>
      </c>
      <c r="H3327" s="55">
        <v>554221</v>
      </c>
      <c r="I3327" s="55">
        <v>29328.2</v>
      </c>
      <c r="J3327" s="55">
        <v>583549.19999999995</v>
      </c>
      <c r="K3327" s="55">
        <v>284649.2</v>
      </c>
      <c r="L3327" s="55">
        <v>309787</v>
      </c>
      <c r="M3327" s="55">
        <v>39594.1</v>
      </c>
      <c r="N3327" s="55">
        <v>1793.4</v>
      </c>
    </row>
    <row r="3328" spans="1:14" ht="10.050000000000001" hidden="1" customHeight="1">
      <c r="A3328" s="52" t="s">
        <v>171</v>
      </c>
      <c r="B3328" s="53">
        <v>2020</v>
      </c>
      <c r="C3328" s="52" t="s">
        <v>125</v>
      </c>
      <c r="D3328" s="54">
        <v>7</v>
      </c>
      <c r="E3328" s="55">
        <v>10947244.800000001</v>
      </c>
      <c r="F3328" s="55">
        <v>101066.3</v>
      </c>
      <c r="G3328" s="55">
        <v>11048311.1</v>
      </c>
      <c r="H3328" s="55">
        <v>11062204.800000001</v>
      </c>
      <c r="I3328" s="55">
        <v>122157.2</v>
      </c>
      <c r="J3328" s="55">
        <v>11184362</v>
      </c>
      <c r="K3328" s="55">
        <v>5899292.0999999996</v>
      </c>
      <c r="L3328" s="55">
        <v>7023957</v>
      </c>
      <c r="M3328" s="55">
        <v>1228428.5</v>
      </c>
      <c r="N3328" s="55">
        <v>49222.6</v>
      </c>
    </row>
    <row r="3329" spans="1:14" ht="10.050000000000001" hidden="1" customHeight="1">
      <c r="A3329" s="52" t="s">
        <v>300</v>
      </c>
      <c r="B3329" s="53">
        <v>2020</v>
      </c>
      <c r="C3329" s="52" t="s">
        <v>125</v>
      </c>
      <c r="D3329" s="54">
        <v>7</v>
      </c>
      <c r="E3329" s="55">
        <v>6162.6</v>
      </c>
      <c r="F3329" s="55">
        <v>134.80000000000001</v>
      </c>
      <c r="G3329" s="55">
        <v>6297.4</v>
      </c>
      <c r="H3329" s="55">
        <v>8476.6</v>
      </c>
      <c r="I3329" s="55">
        <v>179.6</v>
      </c>
      <c r="J3329" s="55">
        <v>8656.2000000000007</v>
      </c>
      <c r="K3329" s="55">
        <v>422.1</v>
      </c>
      <c r="L3329" s="55">
        <v>335.3</v>
      </c>
      <c r="M3329" s="55">
        <v>0</v>
      </c>
      <c r="N3329" s="55">
        <v>15.1</v>
      </c>
    </row>
    <row r="3330" spans="1:14" ht="10.050000000000001" hidden="1" customHeight="1">
      <c r="A3330" s="52" t="s">
        <v>307</v>
      </c>
      <c r="B3330" s="53">
        <v>2020</v>
      </c>
      <c r="C3330" s="52" t="s">
        <v>125</v>
      </c>
      <c r="D3330" s="54">
        <v>7</v>
      </c>
      <c r="E3330" s="55">
        <v>254182.5</v>
      </c>
      <c r="F3330" s="55">
        <v>0</v>
      </c>
      <c r="G3330" s="55">
        <v>254182.5</v>
      </c>
      <c r="H3330" s="55">
        <v>1259884.8999999999</v>
      </c>
      <c r="I3330" s="55">
        <v>56302.8</v>
      </c>
      <c r="J3330" s="55">
        <v>1316187.7</v>
      </c>
      <c r="K3330" s="55">
        <v>340615.6</v>
      </c>
      <c r="L3330" s="55">
        <v>47871.5</v>
      </c>
      <c r="M3330" s="55">
        <v>126685.1</v>
      </c>
      <c r="N3330" s="55">
        <v>40866.9</v>
      </c>
    </row>
    <row r="3331" spans="1:14" ht="10.050000000000001" hidden="1" customHeight="1">
      <c r="A3331" s="52" t="s">
        <v>315</v>
      </c>
      <c r="B3331" s="53">
        <v>2020</v>
      </c>
      <c r="C3331" s="52" t="s">
        <v>125</v>
      </c>
      <c r="D3331" s="54">
        <v>7</v>
      </c>
      <c r="E3331" s="55">
        <v>242.4</v>
      </c>
      <c r="F3331" s="55">
        <v>0</v>
      </c>
      <c r="G3331" s="55">
        <v>242.4</v>
      </c>
      <c r="H3331" s="55">
        <v>2656.9</v>
      </c>
      <c r="I3331" s="55">
        <v>0</v>
      </c>
      <c r="J3331" s="55">
        <v>2656.9</v>
      </c>
      <c r="K3331" s="55">
        <v>223.7</v>
      </c>
      <c r="L3331" s="55">
        <v>0</v>
      </c>
      <c r="M3331" s="55">
        <v>158.19999999999999</v>
      </c>
      <c r="N3331" s="55">
        <v>0</v>
      </c>
    </row>
    <row r="3332" spans="1:14" ht="10.050000000000001" hidden="1" customHeight="1">
      <c r="A3332" s="52" t="s">
        <v>311</v>
      </c>
      <c r="B3332" s="53">
        <v>2020</v>
      </c>
      <c r="C3332" s="52" t="s">
        <v>125</v>
      </c>
      <c r="D3332" s="54">
        <v>7</v>
      </c>
      <c r="E3332" s="55">
        <v>321.7</v>
      </c>
      <c r="F3332" s="55">
        <v>0</v>
      </c>
      <c r="G3332" s="55">
        <v>321.7</v>
      </c>
      <c r="H3332" s="55">
        <v>983.1</v>
      </c>
      <c r="I3332" s="55">
        <v>0</v>
      </c>
      <c r="J3332" s="55">
        <v>983.1</v>
      </c>
      <c r="K3332" s="55">
        <v>260.10000000000002</v>
      </c>
      <c r="L3332" s="55">
        <v>227.6</v>
      </c>
      <c r="M3332" s="55">
        <v>0</v>
      </c>
      <c r="N3332" s="55">
        <v>0</v>
      </c>
    </row>
    <row r="3333" spans="1:14" ht="10.050000000000001" hidden="1" customHeight="1">
      <c r="A3333" s="52" t="s">
        <v>173</v>
      </c>
      <c r="B3333" s="53">
        <v>2020</v>
      </c>
      <c r="C3333" s="52" t="s">
        <v>125</v>
      </c>
      <c r="D3333" s="54">
        <v>7</v>
      </c>
      <c r="E3333" s="55">
        <v>4572038.3</v>
      </c>
      <c r="F3333" s="55">
        <v>87536.2</v>
      </c>
      <c r="G3333" s="55">
        <v>4659574.5</v>
      </c>
      <c r="H3333" s="55">
        <v>4603149.2</v>
      </c>
      <c r="I3333" s="55">
        <v>64659.8</v>
      </c>
      <c r="J3333" s="55">
        <v>4667809</v>
      </c>
      <c r="K3333" s="55">
        <v>1651314.9</v>
      </c>
      <c r="L3333" s="55">
        <v>2282791.6</v>
      </c>
      <c r="M3333" s="55">
        <v>675415.8</v>
      </c>
      <c r="N3333" s="55">
        <v>47181.9</v>
      </c>
    </row>
    <row r="3334" spans="1:14" ht="10.050000000000001" customHeight="1">
      <c r="A3334" s="52" t="s">
        <v>309</v>
      </c>
      <c r="B3334" s="53">
        <v>2020</v>
      </c>
      <c r="C3334" s="52" t="s">
        <v>125</v>
      </c>
      <c r="D3334" s="54">
        <v>7</v>
      </c>
      <c r="E3334" s="55">
        <v>0</v>
      </c>
      <c r="F3334" s="55">
        <v>0</v>
      </c>
      <c r="G3334" s="55">
        <v>0</v>
      </c>
      <c r="H3334" s="55">
        <v>31190.2</v>
      </c>
      <c r="I3334" s="55">
        <v>973.2</v>
      </c>
      <c r="J3334" s="55">
        <v>32163.4</v>
      </c>
      <c r="K3334" s="55">
        <v>1090</v>
      </c>
      <c r="L3334" s="55">
        <v>0</v>
      </c>
      <c r="M3334" s="55">
        <v>0</v>
      </c>
      <c r="N3334" s="55">
        <v>0</v>
      </c>
    </row>
    <row r="3335" spans="1:14" ht="10.050000000000001" hidden="1" customHeight="1">
      <c r="A3335" s="52" t="s">
        <v>316</v>
      </c>
      <c r="B3335" s="53">
        <v>2020</v>
      </c>
      <c r="C3335" s="52" t="s">
        <v>125</v>
      </c>
      <c r="D3335" s="54">
        <v>7</v>
      </c>
      <c r="E3335" s="55">
        <v>162.30000000000001</v>
      </c>
      <c r="F3335" s="55">
        <v>0</v>
      </c>
      <c r="G3335" s="55">
        <v>162.30000000000001</v>
      </c>
      <c r="H3335" s="55">
        <v>5412.2</v>
      </c>
      <c r="I3335" s="55">
        <v>72.400000000000006</v>
      </c>
      <c r="J3335" s="55">
        <v>5484.6</v>
      </c>
      <c r="K3335" s="55">
        <v>56.1</v>
      </c>
      <c r="L3335" s="55">
        <v>40.1</v>
      </c>
      <c r="M3335" s="55">
        <v>0</v>
      </c>
      <c r="N3335" s="55">
        <v>0</v>
      </c>
    </row>
    <row r="3336" spans="1:14" ht="10.050000000000001" hidden="1" customHeight="1">
      <c r="A3336" s="52" t="s">
        <v>310</v>
      </c>
      <c r="B3336" s="53">
        <v>2020</v>
      </c>
      <c r="C3336" s="52" t="s">
        <v>125</v>
      </c>
      <c r="D3336" s="54">
        <v>7</v>
      </c>
      <c r="E3336" s="55">
        <v>20764.5</v>
      </c>
      <c r="F3336" s="55">
        <v>866.8</v>
      </c>
      <c r="G3336" s="55">
        <v>21631.3</v>
      </c>
      <c r="H3336" s="55">
        <v>32027</v>
      </c>
      <c r="I3336" s="55">
        <v>1042.5</v>
      </c>
      <c r="J3336" s="55">
        <v>33069.5</v>
      </c>
      <c r="K3336" s="55">
        <v>9193.7000000000098</v>
      </c>
      <c r="L3336" s="55">
        <v>9627.2000000000007</v>
      </c>
      <c r="M3336" s="55">
        <v>603.4</v>
      </c>
      <c r="N3336" s="55">
        <v>23.9</v>
      </c>
    </row>
    <row r="3337" spans="1:14" ht="10.050000000000001" hidden="1" customHeight="1">
      <c r="A3337" s="52" t="s">
        <v>308</v>
      </c>
      <c r="B3337" s="53">
        <v>2020</v>
      </c>
      <c r="C3337" s="52" t="s">
        <v>125</v>
      </c>
      <c r="D3337" s="54">
        <v>7</v>
      </c>
      <c r="E3337" s="55">
        <v>560.9</v>
      </c>
      <c r="F3337" s="55">
        <v>0</v>
      </c>
      <c r="G3337" s="55">
        <v>560.9</v>
      </c>
      <c r="H3337" s="55">
        <v>22816.799999999999</v>
      </c>
      <c r="I3337" s="55">
        <v>231.3</v>
      </c>
      <c r="J3337" s="55">
        <v>23048.1</v>
      </c>
      <c r="K3337" s="55">
        <v>526.70000000000005</v>
      </c>
      <c r="L3337" s="55">
        <v>70.5</v>
      </c>
      <c r="M3337" s="55">
        <v>218.5</v>
      </c>
      <c r="N3337" s="55">
        <v>57.4</v>
      </c>
    </row>
    <row r="3338" spans="1:14" ht="10.050000000000001" hidden="1" customHeight="1">
      <c r="A3338" s="52" t="s">
        <v>174</v>
      </c>
      <c r="B3338" s="53">
        <v>2020</v>
      </c>
      <c r="C3338" s="52" t="s">
        <v>125</v>
      </c>
      <c r="D3338" s="54">
        <v>7</v>
      </c>
      <c r="E3338" s="55">
        <v>222972.7</v>
      </c>
      <c r="F3338" s="55">
        <v>8284.7000000000007</v>
      </c>
      <c r="G3338" s="55">
        <v>231257.4</v>
      </c>
      <c r="H3338" s="55">
        <v>256620.3</v>
      </c>
      <c r="I3338" s="55">
        <v>15019.8</v>
      </c>
      <c r="J3338" s="55">
        <v>271640.09999999998</v>
      </c>
      <c r="K3338" s="55">
        <v>136790.9</v>
      </c>
      <c r="L3338" s="55">
        <v>138795.20000000001</v>
      </c>
      <c r="M3338" s="55">
        <v>9913.7999999999993</v>
      </c>
      <c r="N3338" s="55">
        <v>9286.9</v>
      </c>
    </row>
    <row r="3339" spans="1:14" ht="10.050000000000001" hidden="1" customHeight="1">
      <c r="A3339" s="52" t="s">
        <v>314</v>
      </c>
      <c r="B3339" s="53">
        <v>2020</v>
      </c>
      <c r="C3339" s="52" t="s">
        <v>125</v>
      </c>
      <c r="D3339" s="54">
        <v>8</v>
      </c>
      <c r="E3339" s="55">
        <v>12</v>
      </c>
      <c r="F3339" s="55">
        <v>0</v>
      </c>
      <c r="G3339" s="55">
        <v>12</v>
      </c>
      <c r="H3339" s="55">
        <v>102.3</v>
      </c>
      <c r="I3339" s="55">
        <v>0</v>
      </c>
      <c r="J3339" s="55">
        <v>102.3</v>
      </c>
      <c r="K3339" s="55">
        <v>35.5</v>
      </c>
      <c r="L3339" s="55">
        <v>40.799999999999997</v>
      </c>
      <c r="M3339" s="55">
        <v>9.8000000000000007</v>
      </c>
      <c r="N3339" s="55">
        <v>0</v>
      </c>
    </row>
    <row r="3340" spans="1:14" ht="10.050000000000001" hidden="1" customHeight="1">
      <c r="A3340" s="52" t="s">
        <v>306</v>
      </c>
      <c r="B3340" s="53">
        <v>2020</v>
      </c>
      <c r="C3340" s="52" t="s">
        <v>125</v>
      </c>
      <c r="D3340" s="54">
        <v>8</v>
      </c>
      <c r="E3340" s="55">
        <v>55556.1</v>
      </c>
      <c r="F3340" s="55">
        <v>1168.8</v>
      </c>
      <c r="G3340" s="55">
        <v>56724.9</v>
      </c>
      <c r="H3340" s="55">
        <v>137864</v>
      </c>
      <c r="I3340" s="55">
        <v>2764.6</v>
      </c>
      <c r="J3340" s="55">
        <v>140628.6</v>
      </c>
      <c r="K3340" s="55">
        <v>23797.4</v>
      </c>
      <c r="L3340" s="55">
        <v>16226.5</v>
      </c>
      <c r="M3340" s="55">
        <v>17525</v>
      </c>
      <c r="N3340" s="55">
        <v>492.2</v>
      </c>
    </row>
    <row r="3341" spans="1:14" ht="10.050000000000001" hidden="1" customHeight="1">
      <c r="A3341" s="52" t="s">
        <v>172</v>
      </c>
      <c r="B3341" s="53">
        <v>2020</v>
      </c>
      <c r="C3341" s="52" t="s">
        <v>125</v>
      </c>
      <c r="D3341" s="54">
        <v>8</v>
      </c>
      <c r="E3341" s="55">
        <v>101156.6</v>
      </c>
      <c r="F3341" s="55">
        <v>61.7</v>
      </c>
      <c r="G3341" s="55">
        <v>101218.3</v>
      </c>
      <c r="H3341" s="55">
        <v>580560.4</v>
      </c>
      <c r="I3341" s="55">
        <v>26274.5</v>
      </c>
      <c r="J3341" s="55">
        <v>606834.9</v>
      </c>
      <c r="K3341" s="55">
        <v>238887.2</v>
      </c>
      <c r="L3341" s="55">
        <v>16021.6</v>
      </c>
      <c r="M3341" s="55">
        <v>59987.5</v>
      </c>
      <c r="N3341" s="55">
        <v>1796.3</v>
      </c>
    </row>
    <row r="3342" spans="1:14" ht="10.050000000000001" hidden="1" customHeight="1">
      <c r="A3342" s="52" t="s">
        <v>171</v>
      </c>
      <c r="B3342" s="53">
        <v>2020</v>
      </c>
      <c r="C3342" s="52" t="s">
        <v>125</v>
      </c>
      <c r="D3342" s="54">
        <v>8</v>
      </c>
      <c r="E3342" s="55">
        <v>2356724.4</v>
      </c>
      <c r="F3342" s="55">
        <v>122005.9</v>
      </c>
      <c r="G3342" s="55">
        <v>2478730.2999999998</v>
      </c>
      <c r="H3342" s="55">
        <v>11071672.4</v>
      </c>
      <c r="I3342" s="55">
        <v>131238.39999999999</v>
      </c>
      <c r="J3342" s="55">
        <v>11202910.800000001</v>
      </c>
      <c r="K3342" s="55">
        <v>4913425.3</v>
      </c>
      <c r="L3342" s="55">
        <v>549234.1</v>
      </c>
      <c r="M3342" s="55">
        <v>1475167.2</v>
      </c>
      <c r="N3342" s="55">
        <v>52391.4</v>
      </c>
    </row>
    <row r="3343" spans="1:14" ht="10.050000000000001" hidden="1" customHeight="1">
      <c r="A3343" s="52" t="s">
        <v>300</v>
      </c>
      <c r="B3343" s="53">
        <v>2020</v>
      </c>
      <c r="C3343" s="52" t="s">
        <v>125</v>
      </c>
      <c r="D3343" s="54">
        <v>8</v>
      </c>
      <c r="E3343" s="55">
        <v>3506.9</v>
      </c>
      <c r="F3343" s="55">
        <v>888.2</v>
      </c>
      <c r="G3343" s="55">
        <v>4395.1000000000004</v>
      </c>
      <c r="H3343" s="55">
        <v>10719.1</v>
      </c>
      <c r="I3343" s="55">
        <v>263.8</v>
      </c>
      <c r="J3343" s="55">
        <v>10982.9</v>
      </c>
      <c r="K3343" s="55">
        <v>394.7</v>
      </c>
      <c r="L3343" s="55">
        <v>110.4</v>
      </c>
      <c r="M3343" s="55">
        <v>108.6</v>
      </c>
      <c r="N3343" s="55">
        <v>29.2</v>
      </c>
    </row>
    <row r="3344" spans="1:14" ht="10.050000000000001" hidden="1" customHeight="1">
      <c r="A3344" s="52" t="s">
        <v>307</v>
      </c>
      <c r="B3344" s="53">
        <v>2020</v>
      </c>
      <c r="C3344" s="52" t="s">
        <v>125</v>
      </c>
      <c r="D3344" s="54">
        <v>8</v>
      </c>
      <c r="E3344" s="55">
        <v>314763.40000000002</v>
      </c>
      <c r="F3344" s="55">
        <v>6081.7</v>
      </c>
      <c r="G3344" s="55">
        <v>320845.09999999998</v>
      </c>
      <c r="H3344" s="55">
        <v>811634.5</v>
      </c>
      <c r="I3344" s="55">
        <v>60019.4</v>
      </c>
      <c r="J3344" s="55">
        <v>871653.9</v>
      </c>
      <c r="K3344" s="55">
        <v>185745.8</v>
      </c>
      <c r="L3344" s="55">
        <v>29180.6</v>
      </c>
      <c r="M3344" s="55">
        <v>150001.5</v>
      </c>
      <c r="N3344" s="55">
        <v>30487.200000000001</v>
      </c>
    </row>
    <row r="3345" spans="1:14" ht="10.050000000000001" hidden="1" customHeight="1">
      <c r="A3345" s="52" t="s">
        <v>315</v>
      </c>
      <c r="B3345" s="53">
        <v>2020</v>
      </c>
      <c r="C3345" s="52" t="s">
        <v>125</v>
      </c>
      <c r="D3345" s="54">
        <v>8</v>
      </c>
      <c r="E3345" s="55">
        <v>110.3</v>
      </c>
      <c r="F3345" s="55">
        <v>0</v>
      </c>
      <c r="G3345" s="55">
        <v>110.3</v>
      </c>
      <c r="H3345" s="55">
        <v>2469.6999999999998</v>
      </c>
      <c r="I3345" s="55">
        <v>0</v>
      </c>
      <c r="J3345" s="55">
        <v>2469.6999999999998</v>
      </c>
      <c r="K3345" s="55">
        <v>457.2</v>
      </c>
      <c r="L3345" s="55">
        <v>233.5</v>
      </c>
      <c r="M3345" s="55">
        <v>0</v>
      </c>
      <c r="N3345" s="55">
        <v>0</v>
      </c>
    </row>
    <row r="3346" spans="1:14" ht="10.050000000000001" hidden="1" customHeight="1">
      <c r="A3346" s="52" t="s">
        <v>311</v>
      </c>
      <c r="B3346" s="53">
        <v>2020</v>
      </c>
      <c r="C3346" s="52" t="s">
        <v>125</v>
      </c>
      <c r="D3346" s="54">
        <v>8</v>
      </c>
      <c r="E3346" s="55">
        <v>135.9</v>
      </c>
      <c r="F3346" s="55">
        <v>0</v>
      </c>
      <c r="G3346" s="55">
        <v>135.9</v>
      </c>
      <c r="H3346" s="55">
        <v>877.9</v>
      </c>
      <c r="I3346" s="55">
        <v>0</v>
      </c>
      <c r="J3346" s="55">
        <v>877.9</v>
      </c>
      <c r="K3346" s="55">
        <v>501</v>
      </c>
      <c r="L3346" s="55">
        <v>307.2</v>
      </c>
      <c r="M3346" s="55">
        <v>0</v>
      </c>
      <c r="N3346" s="55">
        <v>66.3</v>
      </c>
    </row>
    <row r="3347" spans="1:14" ht="10.050000000000001" hidden="1" customHeight="1">
      <c r="A3347" s="52" t="s">
        <v>173</v>
      </c>
      <c r="B3347" s="53">
        <v>2020</v>
      </c>
      <c r="C3347" s="52" t="s">
        <v>125</v>
      </c>
      <c r="D3347" s="54">
        <v>8</v>
      </c>
      <c r="E3347" s="55">
        <v>1043701.9</v>
      </c>
      <c r="F3347" s="55">
        <v>7455.7</v>
      </c>
      <c r="G3347" s="55">
        <v>1051157.6000000001</v>
      </c>
      <c r="H3347" s="55">
        <v>4830889.7</v>
      </c>
      <c r="I3347" s="55">
        <v>51688.800000000003</v>
      </c>
      <c r="J3347" s="55">
        <v>4882578.5</v>
      </c>
      <c r="K3347" s="55">
        <v>1392521.5</v>
      </c>
      <c r="L3347" s="55">
        <v>204488.2</v>
      </c>
      <c r="M3347" s="55">
        <v>422250.1</v>
      </c>
      <c r="N3347" s="55">
        <v>40661.199999999997</v>
      </c>
    </row>
    <row r="3348" spans="1:14" ht="10.050000000000001" customHeight="1">
      <c r="A3348" s="52" t="s">
        <v>309</v>
      </c>
      <c r="B3348" s="53">
        <v>2020</v>
      </c>
      <c r="C3348" s="52" t="s">
        <v>125</v>
      </c>
      <c r="D3348" s="54">
        <v>8</v>
      </c>
      <c r="E3348" s="55">
        <v>0</v>
      </c>
      <c r="F3348" s="55">
        <v>0</v>
      </c>
      <c r="G3348" s="55">
        <v>0</v>
      </c>
      <c r="H3348" s="55">
        <v>27942.5</v>
      </c>
      <c r="I3348" s="55">
        <v>973.2</v>
      </c>
      <c r="J3348" s="55">
        <v>28915.7</v>
      </c>
      <c r="K3348" s="55">
        <v>1090</v>
      </c>
      <c r="L3348" s="55">
        <v>0</v>
      </c>
      <c r="M3348" s="55">
        <v>0</v>
      </c>
      <c r="N3348" s="55">
        <v>0</v>
      </c>
    </row>
    <row r="3349" spans="1:14" ht="10.050000000000001" hidden="1" customHeight="1">
      <c r="A3349" s="52" t="s">
        <v>316</v>
      </c>
      <c r="B3349" s="53">
        <v>2020</v>
      </c>
      <c r="C3349" s="52" t="s">
        <v>125</v>
      </c>
      <c r="D3349" s="54">
        <v>8</v>
      </c>
      <c r="E3349" s="55">
        <v>430.2</v>
      </c>
      <c r="F3349" s="55">
        <v>0</v>
      </c>
      <c r="G3349" s="55">
        <v>430.2</v>
      </c>
      <c r="H3349" s="55">
        <v>4740</v>
      </c>
      <c r="I3349" s="55">
        <v>73.7</v>
      </c>
      <c r="J3349" s="55">
        <v>4813.7</v>
      </c>
      <c r="K3349" s="55">
        <v>50.4</v>
      </c>
      <c r="L3349" s="55">
        <v>25.5</v>
      </c>
      <c r="M3349" s="55">
        <v>31</v>
      </c>
      <c r="N3349" s="55">
        <v>0.2</v>
      </c>
    </row>
    <row r="3350" spans="1:14" ht="10.050000000000001" hidden="1" customHeight="1">
      <c r="A3350" s="52" t="s">
        <v>310</v>
      </c>
      <c r="B3350" s="53">
        <v>2020</v>
      </c>
      <c r="C3350" s="52" t="s">
        <v>125</v>
      </c>
      <c r="D3350" s="54">
        <v>8</v>
      </c>
      <c r="E3350" s="55">
        <v>8336</v>
      </c>
      <c r="F3350" s="55">
        <v>1847.8</v>
      </c>
      <c r="G3350" s="55">
        <v>10183.799999999999</v>
      </c>
      <c r="H3350" s="55">
        <v>36584.300000000003</v>
      </c>
      <c r="I3350" s="55">
        <v>1553.2</v>
      </c>
      <c r="J3350" s="55">
        <v>38137.5</v>
      </c>
      <c r="K3350" s="55">
        <v>7751.5</v>
      </c>
      <c r="L3350" s="55">
        <v>1057.8</v>
      </c>
      <c r="M3350" s="55">
        <v>2214.5</v>
      </c>
      <c r="N3350" s="55">
        <v>285.8</v>
      </c>
    </row>
    <row r="3351" spans="1:14" ht="10.050000000000001" hidden="1" customHeight="1">
      <c r="A3351" s="52" t="s">
        <v>308</v>
      </c>
      <c r="B3351" s="53">
        <v>2020</v>
      </c>
      <c r="C3351" s="52" t="s">
        <v>125</v>
      </c>
      <c r="D3351" s="54">
        <v>8</v>
      </c>
      <c r="E3351" s="55">
        <v>417.3</v>
      </c>
      <c r="F3351" s="55">
        <v>92.4</v>
      </c>
      <c r="G3351" s="55">
        <v>509.7</v>
      </c>
      <c r="H3351" s="55">
        <v>15652.3</v>
      </c>
      <c r="I3351" s="55">
        <v>331.9</v>
      </c>
      <c r="J3351" s="55">
        <v>15984.2</v>
      </c>
      <c r="K3351" s="55">
        <v>295</v>
      </c>
      <c r="L3351" s="55">
        <v>40.200000000000003</v>
      </c>
      <c r="M3351" s="55">
        <v>0.2</v>
      </c>
      <c r="N3351" s="55">
        <v>271.7</v>
      </c>
    </row>
    <row r="3352" spans="1:14" ht="10.050000000000001" hidden="1" customHeight="1">
      <c r="A3352" s="52" t="s">
        <v>174</v>
      </c>
      <c r="B3352" s="53">
        <v>2020</v>
      </c>
      <c r="C3352" s="52" t="s">
        <v>125</v>
      </c>
      <c r="D3352" s="54">
        <v>8</v>
      </c>
      <c r="E3352" s="55">
        <v>88522.100000000093</v>
      </c>
      <c r="F3352" s="55">
        <v>8633</v>
      </c>
      <c r="G3352" s="55">
        <v>97155.1</v>
      </c>
      <c r="H3352" s="55">
        <v>285157.5</v>
      </c>
      <c r="I3352" s="55">
        <v>17212.400000000001</v>
      </c>
      <c r="J3352" s="55">
        <v>302369.90000000002</v>
      </c>
      <c r="K3352" s="55">
        <v>121942.3</v>
      </c>
      <c r="L3352" s="55">
        <v>18222.099999999999</v>
      </c>
      <c r="M3352" s="55">
        <v>24875.3</v>
      </c>
      <c r="N3352" s="55">
        <v>8234</v>
      </c>
    </row>
    <row r="3353" spans="1:14" ht="10.050000000000001" hidden="1" customHeight="1">
      <c r="A3353" s="52" t="s">
        <v>314</v>
      </c>
      <c r="B3353" s="53">
        <v>2020</v>
      </c>
      <c r="C3353" s="52" t="s">
        <v>125</v>
      </c>
      <c r="D3353" s="54">
        <v>9</v>
      </c>
      <c r="E3353" s="55">
        <v>0</v>
      </c>
      <c r="F3353" s="55">
        <v>0</v>
      </c>
      <c r="G3353" s="55">
        <v>0</v>
      </c>
      <c r="H3353" s="55">
        <v>91.2</v>
      </c>
      <c r="I3353" s="55">
        <v>0</v>
      </c>
      <c r="J3353" s="55">
        <v>91.2</v>
      </c>
      <c r="K3353" s="55">
        <v>38.5</v>
      </c>
      <c r="L3353" s="55">
        <v>3</v>
      </c>
      <c r="M3353" s="55">
        <v>0</v>
      </c>
      <c r="N3353" s="55">
        <v>0</v>
      </c>
    </row>
    <row r="3354" spans="1:14" ht="10.050000000000001" hidden="1" customHeight="1">
      <c r="A3354" s="52" t="s">
        <v>306</v>
      </c>
      <c r="B3354" s="53">
        <v>2020</v>
      </c>
      <c r="C3354" s="52" t="s">
        <v>125</v>
      </c>
      <c r="D3354" s="54">
        <v>9</v>
      </c>
      <c r="E3354" s="55">
        <v>14150.6</v>
      </c>
      <c r="F3354" s="55">
        <v>2072.6999999999998</v>
      </c>
      <c r="G3354" s="55">
        <v>16223.3</v>
      </c>
      <c r="H3354" s="55">
        <v>135988.9</v>
      </c>
      <c r="I3354" s="55">
        <v>1940.9</v>
      </c>
      <c r="J3354" s="55">
        <v>137929.79999999999</v>
      </c>
      <c r="K3354" s="55">
        <v>15300</v>
      </c>
      <c r="L3354" s="55">
        <v>1619.2</v>
      </c>
      <c r="M3354" s="55">
        <v>8340.9</v>
      </c>
      <c r="N3354" s="55">
        <v>1780.2</v>
      </c>
    </row>
    <row r="3355" spans="1:14" ht="10.050000000000001" hidden="1" customHeight="1">
      <c r="A3355" s="52" t="s">
        <v>172</v>
      </c>
      <c r="B3355" s="53">
        <v>2020</v>
      </c>
      <c r="C3355" s="52" t="s">
        <v>125</v>
      </c>
      <c r="D3355" s="54">
        <v>9</v>
      </c>
      <c r="E3355" s="55">
        <v>79216.2</v>
      </c>
      <c r="F3355" s="55">
        <v>4666</v>
      </c>
      <c r="G3355" s="55">
        <v>83882.2</v>
      </c>
      <c r="H3355" s="55">
        <v>556785.80000000005</v>
      </c>
      <c r="I3355" s="55">
        <v>19106</v>
      </c>
      <c r="J3355" s="55">
        <v>575891.80000000005</v>
      </c>
      <c r="K3355" s="55">
        <v>200832.1</v>
      </c>
      <c r="L3355" s="55">
        <v>20454.599999999999</v>
      </c>
      <c r="M3355" s="55">
        <v>54267.6</v>
      </c>
      <c r="N3355" s="55">
        <v>4241.8999999999996</v>
      </c>
    </row>
    <row r="3356" spans="1:14" ht="10.050000000000001" hidden="1" customHeight="1">
      <c r="A3356" s="52" t="s">
        <v>171</v>
      </c>
      <c r="B3356" s="53">
        <v>2020</v>
      </c>
      <c r="C3356" s="52" t="s">
        <v>125</v>
      </c>
      <c r="D3356" s="54">
        <v>9</v>
      </c>
      <c r="E3356" s="55">
        <v>1979746.7</v>
      </c>
      <c r="F3356" s="55">
        <v>117791.1</v>
      </c>
      <c r="G3356" s="55">
        <v>2097537.7999999998</v>
      </c>
      <c r="H3356" s="55">
        <v>10910162.800000001</v>
      </c>
      <c r="I3356" s="55">
        <v>116425.9</v>
      </c>
      <c r="J3356" s="55">
        <v>11026588.699999999</v>
      </c>
      <c r="K3356" s="55">
        <v>3777198.8</v>
      </c>
      <c r="L3356" s="55">
        <v>336341.6</v>
      </c>
      <c r="M3356" s="55">
        <v>1403443.6</v>
      </c>
      <c r="N3356" s="55">
        <v>58987.3</v>
      </c>
    </row>
    <row r="3357" spans="1:14" ht="10.050000000000001" hidden="1" customHeight="1">
      <c r="A3357" s="52" t="s">
        <v>300</v>
      </c>
      <c r="B3357" s="53">
        <v>2020</v>
      </c>
      <c r="C3357" s="52" t="s">
        <v>125</v>
      </c>
      <c r="D3357" s="54">
        <v>9</v>
      </c>
      <c r="E3357" s="55">
        <v>1107.7</v>
      </c>
      <c r="F3357" s="55">
        <v>259.10000000000002</v>
      </c>
      <c r="G3357" s="55">
        <v>1366.8</v>
      </c>
      <c r="H3357" s="55">
        <v>9743.1</v>
      </c>
      <c r="I3357" s="55">
        <v>337.5</v>
      </c>
      <c r="J3357" s="55">
        <v>10080.6</v>
      </c>
      <c r="K3357" s="55">
        <v>311.7</v>
      </c>
      <c r="L3357" s="55">
        <v>6.7</v>
      </c>
      <c r="M3357" s="55">
        <v>68.099999999999994</v>
      </c>
      <c r="N3357" s="55">
        <v>13.3</v>
      </c>
    </row>
    <row r="3358" spans="1:14" ht="10.050000000000001" hidden="1" customHeight="1">
      <c r="A3358" s="52" t="s">
        <v>307</v>
      </c>
      <c r="B3358" s="53">
        <v>2020</v>
      </c>
      <c r="C3358" s="52" t="s">
        <v>125</v>
      </c>
      <c r="D3358" s="54">
        <v>9</v>
      </c>
      <c r="E3358" s="55">
        <v>1800261</v>
      </c>
      <c r="F3358" s="55">
        <v>70045.8</v>
      </c>
      <c r="G3358" s="55">
        <v>1870306.8</v>
      </c>
      <c r="H3358" s="55">
        <v>1865729.1</v>
      </c>
      <c r="I3358" s="55">
        <v>103233.1</v>
      </c>
      <c r="J3358" s="55">
        <v>1968962.2</v>
      </c>
      <c r="K3358" s="55">
        <v>955880.7</v>
      </c>
      <c r="L3358" s="55">
        <v>950812.9</v>
      </c>
      <c r="M3358" s="55">
        <v>109223.6</v>
      </c>
      <c r="N3358" s="55">
        <v>48467.9</v>
      </c>
    </row>
    <row r="3359" spans="1:14" ht="10.050000000000001" hidden="1" customHeight="1">
      <c r="A3359" s="52" t="s">
        <v>315</v>
      </c>
      <c r="B3359" s="53">
        <v>2020</v>
      </c>
      <c r="C3359" s="52" t="s">
        <v>125</v>
      </c>
      <c r="D3359" s="54">
        <v>9</v>
      </c>
      <c r="E3359" s="55">
        <v>20559.7</v>
      </c>
      <c r="F3359" s="55">
        <v>0</v>
      </c>
      <c r="G3359" s="55">
        <v>20559.7</v>
      </c>
      <c r="H3359" s="55">
        <v>20799.2</v>
      </c>
      <c r="I3359" s="55">
        <v>0</v>
      </c>
      <c r="J3359" s="55">
        <v>20799.2</v>
      </c>
      <c r="K3359" s="55">
        <v>19936.2</v>
      </c>
      <c r="L3359" s="55">
        <v>24027.7</v>
      </c>
      <c r="M3359" s="55">
        <v>4517.8999999999996</v>
      </c>
      <c r="N3359" s="55">
        <v>14.3</v>
      </c>
    </row>
    <row r="3360" spans="1:14" ht="10.050000000000001" hidden="1" customHeight="1">
      <c r="A3360" s="52" t="s">
        <v>311</v>
      </c>
      <c r="B3360" s="53">
        <v>2020</v>
      </c>
      <c r="C3360" s="52" t="s">
        <v>125</v>
      </c>
      <c r="D3360" s="54">
        <v>9</v>
      </c>
      <c r="E3360" s="55">
        <v>28.3</v>
      </c>
      <c r="F3360" s="55">
        <v>0</v>
      </c>
      <c r="G3360" s="55">
        <v>28.3</v>
      </c>
      <c r="H3360" s="55">
        <v>956.2</v>
      </c>
      <c r="I3360" s="55">
        <v>0</v>
      </c>
      <c r="J3360" s="55">
        <v>956.2</v>
      </c>
      <c r="K3360" s="55">
        <v>471.5</v>
      </c>
      <c r="L3360" s="55">
        <v>0</v>
      </c>
      <c r="M3360" s="55">
        <v>0</v>
      </c>
      <c r="N3360" s="55">
        <v>29.4</v>
      </c>
    </row>
    <row r="3361" spans="1:14" ht="10.050000000000001" hidden="1" customHeight="1">
      <c r="A3361" s="52" t="s">
        <v>173</v>
      </c>
      <c r="B3361" s="53">
        <v>2020</v>
      </c>
      <c r="C3361" s="52" t="s">
        <v>125</v>
      </c>
      <c r="D3361" s="54">
        <v>9</v>
      </c>
      <c r="E3361" s="55">
        <v>536562.80000000005</v>
      </c>
      <c r="F3361" s="55">
        <v>16173.6</v>
      </c>
      <c r="G3361" s="55">
        <v>552736.4</v>
      </c>
      <c r="H3361" s="55">
        <v>4719203.0999999996</v>
      </c>
      <c r="I3361" s="55">
        <v>38226.800000000003</v>
      </c>
      <c r="J3361" s="55">
        <v>4757429.9000000004</v>
      </c>
      <c r="K3361" s="55">
        <v>1050589.8</v>
      </c>
      <c r="L3361" s="55">
        <v>63656.5</v>
      </c>
      <c r="M3361" s="55">
        <v>353079.5</v>
      </c>
      <c r="N3361" s="55">
        <v>50036.5</v>
      </c>
    </row>
    <row r="3362" spans="1:14" ht="10.050000000000001" customHeight="1">
      <c r="A3362" s="52" t="s">
        <v>309</v>
      </c>
      <c r="B3362" s="53">
        <v>2020</v>
      </c>
      <c r="C3362" s="52" t="s">
        <v>125</v>
      </c>
      <c r="D3362" s="54">
        <v>9</v>
      </c>
      <c r="E3362" s="55">
        <v>4922.6000000000004</v>
      </c>
      <c r="F3362" s="55">
        <v>0</v>
      </c>
      <c r="G3362" s="55">
        <v>4922.6000000000004</v>
      </c>
      <c r="H3362" s="55">
        <v>26697</v>
      </c>
      <c r="I3362" s="55">
        <v>973.2</v>
      </c>
      <c r="J3362" s="55">
        <v>27670.2</v>
      </c>
      <c r="K3362" s="55">
        <v>1643.2</v>
      </c>
      <c r="L3362" s="55">
        <v>793.3</v>
      </c>
      <c r="M3362" s="55">
        <v>240.1</v>
      </c>
      <c r="N3362" s="55">
        <v>0</v>
      </c>
    </row>
    <row r="3363" spans="1:14" ht="10.050000000000001" hidden="1" customHeight="1">
      <c r="A3363" s="52" t="s">
        <v>316</v>
      </c>
      <c r="B3363" s="53">
        <v>2020</v>
      </c>
      <c r="C3363" s="52" t="s">
        <v>125</v>
      </c>
      <c r="D3363" s="54">
        <v>9</v>
      </c>
      <c r="E3363" s="55">
        <v>3765.5</v>
      </c>
      <c r="F3363" s="55">
        <v>0</v>
      </c>
      <c r="G3363" s="55">
        <v>3765.5</v>
      </c>
      <c r="H3363" s="55">
        <v>7400.1</v>
      </c>
      <c r="I3363" s="55">
        <v>73.7</v>
      </c>
      <c r="J3363" s="55">
        <v>7473.8</v>
      </c>
      <c r="K3363" s="55">
        <v>682.9</v>
      </c>
      <c r="L3363" s="55">
        <v>705.4</v>
      </c>
      <c r="M3363" s="55">
        <v>71.900000000000006</v>
      </c>
      <c r="N3363" s="55">
        <v>0</v>
      </c>
    </row>
    <row r="3364" spans="1:14" ht="10.050000000000001" hidden="1" customHeight="1">
      <c r="A3364" s="52" t="s">
        <v>310</v>
      </c>
      <c r="B3364" s="53">
        <v>2020</v>
      </c>
      <c r="C3364" s="52" t="s">
        <v>125</v>
      </c>
      <c r="D3364" s="54">
        <v>9</v>
      </c>
      <c r="E3364" s="55">
        <v>4029.6</v>
      </c>
      <c r="F3364" s="55">
        <v>1403.6</v>
      </c>
      <c r="G3364" s="55">
        <v>5433.2</v>
      </c>
      <c r="H3364" s="55">
        <v>36428.5</v>
      </c>
      <c r="I3364" s="55">
        <v>946.3</v>
      </c>
      <c r="J3364" s="55">
        <v>37374.800000000003</v>
      </c>
      <c r="K3364" s="55">
        <v>5787.1</v>
      </c>
      <c r="L3364" s="55">
        <v>330.8</v>
      </c>
      <c r="M3364" s="55">
        <v>1888.9</v>
      </c>
      <c r="N3364" s="55">
        <v>450.1</v>
      </c>
    </row>
    <row r="3365" spans="1:14" ht="10.050000000000001" hidden="1" customHeight="1">
      <c r="A3365" s="52" t="s">
        <v>308</v>
      </c>
      <c r="B3365" s="53">
        <v>2020</v>
      </c>
      <c r="C3365" s="52" t="s">
        <v>125</v>
      </c>
      <c r="D3365" s="54">
        <v>9</v>
      </c>
      <c r="E3365" s="55">
        <v>70670.399999999994</v>
      </c>
      <c r="F3365" s="55">
        <v>253.4</v>
      </c>
      <c r="G3365" s="55">
        <v>70923.8</v>
      </c>
      <c r="H3365" s="55">
        <v>76341.2</v>
      </c>
      <c r="I3365" s="55">
        <v>537.79999999999995</v>
      </c>
      <c r="J3365" s="55">
        <v>76879</v>
      </c>
      <c r="K3365" s="55">
        <v>26804</v>
      </c>
      <c r="L3365" s="55">
        <v>28363.599999999999</v>
      </c>
      <c r="M3365" s="55">
        <v>1770.5</v>
      </c>
      <c r="N3365" s="55">
        <v>55.5</v>
      </c>
    </row>
    <row r="3366" spans="1:14" ht="10.050000000000001" hidden="1" customHeight="1">
      <c r="A3366" s="52" t="s">
        <v>174</v>
      </c>
      <c r="B3366" s="53">
        <v>2020</v>
      </c>
      <c r="C3366" s="52" t="s">
        <v>125</v>
      </c>
      <c r="D3366" s="54">
        <v>9</v>
      </c>
      <c r="E3366" s="55">
        <v>29457.200000000001</v>
      </c>
      <c r="F3366" s="55">
        <v>10934.5</v>
      </c>
      <c r="G3366" s="55">
        <v>40391.699999999997</v>
      </c>
      <c r="H3366" s="55">
        <v>261618.6</v>
      </c>
      <c r="I3366" s="55">
        <v>14477.7</v>
      </c>
      <c r="J3366" s="55">
        <v>276096.3</v>
      </c>
      <c r="K3366" s="55">
        <v>106922.9</v>
      </c>
      <c r="L3366" s="55">
        <v>6218.3</v>
      </c>
      <c r="M3366" s="55">
        <v>14039.4</v>
      </c>
      <c r="N3366" s="55">
        <v>7418.8</v>
      </c>
    </row>
    <row r="3367" spans="1:14" ht="10.050000000000001" hidden="1" customHeight="1">
      <c r="A3367" s="52" t="s">
        <v>314</v>
      </c>
      <c r="B3367" s="53">
        <v>2020</v>
      </c>
      <c r="C3367" s="52" t="s">
        <v>125</v>
      </c>
      <c r="D3367" s="54">
        <v>10</v>
      </c>
      <c r="E3367" s="55">
        <v>0</v>
      </c>
      <c r="F3367" s="55">
        <v>0</v>
      </c>
      <c r="G3367" s="55">
        <v>0</v>
      </c>
      <c r="H3367" s="55">
        <v>110.2</v>
      </c>
      <c r="I3367" s="55">
        <v>0</v>
      </c>
      <c r="J3367" s="55">
        <v>110.2</v>
      </c>
      <c r="K3367" s="55">
        <v>38.5</v>
      </c>
      <c r="L3367" s="55">
        <v>0</v>
      </c>
      <c r="M3367" s="55">
        <v>0</v>
      </c>
      <c r="N3367" s="55">
        <v>0</v>
      </c>
    </row>
    <row r="3368" spans="1:14" ht="10.050000000000001" hidden="1" customHeight="1">
      <c r="A3368" s="52" t="s">
        <v>306</v>
      </c>
      <c r="B3368" s="53">
        <v>2020</v>
      </c>
      <c r="C3368" s="52" t="s">
        <v>125</v>
      </c>
      <c r="D3368" s="54">
        <v>10</v>
      </c>
      <c r="E3368" s="55">
        <v>6792.8000000000102</v>
      </c>
      <c r="F3368" s="55">
        <v>1007.3</v>
      </c>
      <c r="G3368" s="55">
        <v>7800.1</v>
      </c>
      <c r="H3368" s="55">
        <v>126807.4</v>
      </c>
      <c r="I3368" s="55">
        <v>2157.6</v>
      </c>
      <c r="J3368" s="55">
        <v>128965</v>
      </c>
      <c r="K3368" s="55">
        <v>11759.7</v>
      </c>
      <c r="L3368" s="55">
        <v>769.3</v>
      </c>
      <c r="M3368" s="55">
        <v>3835.4</v>
      </c>
      <c r="N3368" s="55">
        <v>449.5</v>
      </c>
    </row>
    <row r="3369" spans="1:14" ht="10.050000000000001" hidden="1" customHeight="1">
      <c r="A3369" s="52" t="s">
        <v>172</v>
      </c>
      <c r="B3369" s="53">
        <v>2020</v>
      </c>
      <c r="C3369" s="52" t="s">
        <v>125</v>
      </c>
      <c r="D3369" s="54">
        <v>10</v>
      </c>
      <c r="E3369" s="55">
        <v>67484.3</v>
      </c>
      <c r="F3369" s="55">
        <v>4332.8999999999996</v>
      </c>
      <c r="G3369" s="55">
        <v>71817.2</v>
      </c>
      <c r="H3369" s="55">
        <v>505787.4</v>
      </c>
      <c r="I3369" s="55">
        <v>10145.5</v>
      </c>
      <c r="J3369" s="55">
        <v>515932.9</v>
      </c>
      <c r="K3369" s="55">
        <v>163234.20000000001</v>
      </c>
      <c r="L3369" s="55">
        <v>7277.8</v>
      </c>
      <c r="M3369" s="55">
        <v>41857.4</v>
      </c>
      <c r="N3369" s="55">
        <v>3018.2</v>
      </c>
    </row>
    <row r="3370" spans="1:14" ht="10.050000000000001" hidden="1" customHeight="1">
      <c r="A3370" s="52" t="s">
        <v>171</v>
      </c>
      <c r="B3370" s="53">
        <v>2020</v>
      </c>
      <c r="C3370" s="52" t="s">
        <v>125</v>
      </c>
      <c r="D3370" s="54">
        <v>10</v>
      </c>
      <c r="E3370" s="55">
        <v>1562018.8</v>
      </c>
      <c r="F3370" s="55">
        <v>35233.4</v>
      </c>
      <c r="G3370" s="55">
        <v>1597252.2</v>
      </c>
      <c r="H3370" s="55">
        <v>10022456.800000001</v>
      </c>
      <c r="I3370" s="55">
        <v>91479.1</v>
      </c>
      <c r="J3370" s="55">
        <v>10113935.9</v>
      </c>
      <c r="K3370" s="55">
        <v>2938210</v>
      </c>
      <c r="L3370" s="55">
        <v>230492.79999999999</v>
      </c>
      <c r="M3370" s="55">
        <v>999169</v>
      </c>
      <c r="N3370" s="55">
        <v>70207.399999999994</v>
      </c>
    </row>
    <row r="3371" spans="1:14" ht="10.050000000000001" hidden="1" customHeight="1">
      <c r="A3371" s="52" t="s">
        <v>300</v>
      </c>
      <c r="B3371" s="53">
        <v>2020</v>
      </c>
      <c r="C3371" s="52" t="s">
        <v>125</v>
      </c>
      <c r="D3371" s="54">
        <v>10</v>
      </c>
      <c r="E3371" s="55">
        <v>847.6</v>
      </c>
      <c r="F3371" s="55">
        <v>39.700000000000003</v>
      </c>
      <c r="G3371" s="55">
        <v>887.3</v>
      </c>
      <c r="H3371" s="55">
        <v>9306.6</v>
      </c>
      <c r="I3371" s="55">
        <v>131.6</v>
      </c>
      <c r="J3371" s="55">
        <v>9438.2000000000007</v>
      </c>
      <c r="K3371" s="55">
        <v>289.5</v>
      </c>
      <c r="L3371" s="55">
        <v>7</v>
      </c>
      <c r="M3371" s="55">
        <v>7</v>
      </c>
      <c r="N3371" s="55">
        <v>22.2</v>
      </c>
    </row>
    <row r="3372" spans="1:14" ht="10.050000000000001" hidden="1" customHeight="1">
      <c r="A3372" s="52" t="s">
        <v>307</v>
      </c>
      <c r="B3372" s="53">
        <v>2020</v>
      </c>
      <c r="C3372" s="52" t="s">
        <v>125</v>
      </c>
      <c r="D3372" s="54">
        <v>10</v>
      </c>
      <c r="E3372" s="55">
        <v>3396214.9</v>
      </c>
      <c r="F3372" s="55">
        <v>69301.7</v>
      </c>
      <c r="G3372" s="55">
        <v>3465516.6</v>
      </c>
      <c r="H3372" s="55">
        <v>4142593.1</v>
      </c>
      <c r="I3372" s="55">
        <v>146426.70000000001</v>
      </c>
      <c r="J3372" s="55">
        <v>4289019.8</v>
      </c>
      <c r="K3372" s="55">
        <v>2126539.7999999998</v>
      </c>
      <c r="L3372" s="55">
        <v>1815886.8</v>
      </c>
      <c r="M3372" s="55">
        <v>563680.5</v>
      </c>
      <c r="N3372" s="55">
        <v>86804.4</v>
      </c>
    </row>
    <row r="3373" spans="1:14" ht="10.050000000000001" hidden="1" customHeight="1">
      <c r="A3373" s="52" t="s">
        <v>315</v>
      </c>
      <c r="B3373" s="53">
        <v>2020</v>
      </c>
      <c r="C3373" s="52" t="s">
        <v>125</v>
      </c>
      <c r="D3373" s="54">
        <v>10</v>
      </c>
      <c r="E3373" s="55">
        <v>27102.2</v>
      </c>
      <c r="F3373" s="55">
        <v>0</v>
      </c>
      <c r="G3373" s="55">
        <v>27102.2</v>
      </c>
      <c r="H3373" s="55">
        <v>43175.6</v>
      </c>
      <c r="I3373" s="55">
        <v>0</v>
      </c>
      <c r="J3373" s="55">
        <v>43175.6</v>
      </c>
      <c r="K3373" s="55">
        <v>17279.2</v>
      </c>
      <c r="L3373" s="55">
        <v>10937.1</v>
      </c>
      <c r="M3373" s="55">
        <v>13580</v>
      </c>
      <c r="N3373" s="55">
        <v>14.3</v>
      </c>
    </row>
    <row r="3374" spans="1:14" ht="10.050000000000001" hidden="1" customHeight="1">
      <c r="A3374" s="52" t="s">
        <v>311</v>
      </c>
      <c r="B3374" s="53">
        <v>2020</v>
      </c>
      <c r="C3374" s="52" t="s">
        <v>125</v>
      </c>
      <c r="D3374" s="54">
        <v>10</v>
      </c>
      <c r="E3374" s="55">
        <v>111.9</v>
      </c>
      <c r="F3374" s="55">
        <v>0</v>
      </c>
      <c r="G3374" s="55">
        <v>111.9</v>
      </c>
      <c r="H3374" s="55">
        <v>926.8</v>
      </c>
      <c r="I3374" s="55">
        <v>0</v>
      </c>
      <c r="J3374" s="55">
        <v>926.8</v>
      </c>
      <c r="K3374" s="55">
        <v>316</v>
      </c>
      <c r="L3374" s="55">
        <v>0</v>
      </c>
      <c r="M3374" s="55">
        <v>0</v>
      </c>
      <c r="N3374" s="55">
        <v>155.6</v>
      </c>
    </row>
    <row r="3375" spans="1:14" ht="10.050000000000001" hidden="1" customHeight="1">
      <c r="A3375" s="52" t="s">
        <v>173</v>
      </c>
      <c r="B3375" s="53">
        <v>2020</v>
      </c>
      <c r="C3375" s="52" t="s">
        <v>125</v>
      </c>
      <c r="D3375" s="54">
        <v>10</v>
      </c>
      <c r="E3375" s="55">
        <v>374723</v>
      </c>
      <c r="F3375" s="55">
        <v>16848.900000000001</v>
      </c>
      <c r="G3375" s="55">
        <v>391571.9</v>
      </c>
      <c r="H3375" s="55">
        <v>4382725.9000000004</v>
      </c>
      <c r="I3375" s="55">
        <v>37945.1</v>
      </c>
      <c r="J3375" s="55">
        <v>4420671</v>
      </c>
      <c r="K3375" s="55">
        <v>810220.4</v>
      </c>
      <c r="L3375" s="55">
        <v>38119</v>
      </c>
      <c r="M3375" s="55">
        <v>242531.9</v>
      </c>
      <c r="N3375" s="55">
        <v>37784.1</v>
      </c>
    </row>
    <row r="3376" spans="1:14" ht="10.050000000000001" customHeight="1">
      <c r="A3376" s="52" t="s">
        <v>309</v>
      </c>
      <c r="B3376" s="53">
        <v>2020</v>
      </c>
      <c r="C3376" s="52" t="s">
        <v>125</v>
      </c>
      <c r="D3376" s="54">
        <v>10</v>
      </c>
      <c r="E3376" s="55">
        <v>47836.1</v>
      </c>
      <c r="F3376" s="55">
        <v>1382</v>
      </c>
      <c r="G3376" s="55">
        <v>49218.1</v>
      </c>
      <c r="H3376" s="55">
        <v>66976</v>
      </c>
      <c r="I3376" s="55">
        <v>2355.1</v>
      </c>
      <c r="J3376" s="55">
        <v>69331.100000000006</v>
      </c>
      <c r="K3376" s="55">
        <v>6596.9</v>
      </c>
      <c r="L3376" s="55">
        <v>4955.3999999999996</v>
      </c>
      <c r="M3376" s="55">
        <v>0</v>
      </c>
      <c r="N3376" s="55">
        <v>1.8</v>
      </c>
    </row>
    <row r="3377" spans="1:14" ht="10.050000000000001" hidden="1" customHeight="1">
      <c r="A3377" s="52" t="s">
        <v>316</v>
      </c>
      <c r="B3377" s="53">
        <v>2020</v>
      </c>
      <c r="C3377" s="52" t="s">
        <v>125</v>
      </c>
      <c r="D3377" s="54">
        <v>10</v>
      </c>
      <c r="E3377" s="55">
        <v>7481.5</v>
      </c>
      <c r="F3377" s="55">
        <v>95.1</v>
      </c>
      <c r="G3377" s="55">
        <v>7576.6</v>
      </c>
      <c r="H3377" s="55">
        <v>13212.6</v>
      </c>
      <c r="I3377" s="55">
        <v>153.80000000000001</v>
      </c>
      <c r="J3377" s="55">
        <v>13366.4</v>
      </c>
      <c r="K3377" s="55">
        <v>913.5</v>
      </c>
      <c r="L3377" s="55">
        <v>911.3</v>
      </c>
      <c r="M3377" s="55">
        <v>643</v>
      </c>
      <c r="N3377" s="55">
        <v>10.5</v>
      </c>
    </row>
    <row r="3378" spans="1:14" ht="10.050000000000001" hidden="1" customHeight="1">
      <c r="A3378" s="52" t="s">
        <v>310</v>
      </c>
      <c r="B3378" s="53">
        <v>2020</v>
      </c>
      <c r="C3378" s="52" t="s">
        <v>125</v>
      </c>
      <c r="D3378" s="54">
        <v>10</v>
      </c>
      <c r="E3378" s="55">
        <v>2131</v>
      </c>
      <c r="F3378" s="55">
        <v>356.9</v>
      </c>
      <c r="G3378" s="55">
        <v>2487.9</v>
      </c>
      <c r="H3378" s="55">
        <v>34805.4</v>
      </c>
      <c r="I3378" s="55">
        <v>1178.4000000000001</v>
      </c>
      <c r="J3378" s="55">
        <v>35983.800000000003</v>
      </c>
      <c r="K3378" s="55">
        <v>4569.6000000000004</v>
      </c>
      <c r="L3378" s="55">
        <v>36</v>
      </c>
      <c r="M3378" s="55">
        <v>1211.5</v>
      </c>
      <c r="N3378" s="55">
        <v>41.8</v>
      </c>
    </row>
    <row r="3379" spans="1:14" ht="10.050000000000001" hidden="1" customHeight="1">
      <c r="A3379" s="52" t="s">
        <v>308</v>
      </c>
      <c r="B3379" s="53">
        <v>2020</v>
      </c>
      <c r="C3379" s="52" t="s">
        <v>125</v>
      </c>
      <c r="D3379" s="54">
        <v>10</v>
      </c>
      <c r="E3379" s="55">
        <v>115096.5</v>
      </c>
      <c r="F3379" s="55">
        <v>29.5</v>
      </c>
      <c r="G3379" s="55">
        <v>115126</v>
      </c>
      <c r="H3379" s="55">
        <v>164474.29999999999</v>
      </c>
      <c r="I3379" s="55">
        <v>494</v>
      </c>
      <c r="J3379" s="55">
        <v>164968.29999999999</v>
      </c>
      <c r="K3379" s="55">
        <v>50449.5</v>
      </c>
      <c r="L3379" s="55">
        <v>50890.5</v>
      </c>
      <c r="M3379" s="55">
        <v>26817.4</v>
      </c>
      <c r="N3379" s="55">
        <v>427.2</v>
      </c>
    </row>
    <row r="3380" spans="1:14" ht="10.050000000000001" hidden="1" customHeight="1">
      <c r="A3380" s="52" t="s">
        <v>174</v>
      </c>
      <c r="B3380" s="53">
        <v>2020</v>
      </c>
      <c r="C3380" s="52" t="s">
        <v>125</v>
      </c>
      <c r="D3380" s="54">
        <v>10</v>
      </c>
      <c r="E3380" s="55">
        <v>18759.7</v>
      </c>
      <c r="F3380" s="55">
        <v>2428.1</v>
      </c>
      <c r="G3380" s="55">
        <v>21187.8</v>
      </c>
      <c r="H3380" s="55">
        <v>241616.6</v>
      </c>
      <c r="I3380" s="55">
        <v>10645.6</v>
      </c>
      <c r="J3380" s="55">
        <v>252262.2</v>
      </c>
      <c r="K3380" s="55">
        <v>93091.9</v>
      </c>
      <c r="L3380" s="55">
        <v>4252.3</v>
      </c>
      <c r="M3380" s="55">
        <v>9363.2999999999993</v>
      </c>
      <c r="N3380" s="55">
        <v>8912.1</v>
      </c>
    </row>
    <row r="3381" spans="1:14" ht="10.050000000000001" hidden="1" customHeight="1">
      <c r="A3381" s="52" t="s">
        <v>314</v>
      </c>
      <c r="B3381" s="53">
        <v>2020</v>
      </c>
      <c r="C3381" s="52" t="s">
        <v>125</v>
      </c>
      <c r="D3381" s="54">
        <v>11</v>
      </c>
      <c r="E3381" s="55">
        <v>17</v>
      </c>
      <c r="F3381" s="55">
        <v>0</v>
      </c>
      <c r="G3381" s="55">
        <v>17</v>
      </c>
      <c r="H3381" s="55">
        <v>116</v>
      </c>
      <c r="I3381" s="55">
        <v>0</v>
      </c>
      <c r="J3381" s="55">
        <v>116</v>
      </c>
      <c r="K3381" s="55">
        <v>21.5</v>
      </c>
      <c r="L3381" s="55">
        <v>0</v>
      </c>
      <c r="M3381" s="55">
        <v>17</v>
      </c>
      <c r="N3381" s="55">
        <v>0</v>
      </c>
    </row>
    <row r="3382" spans="1:14" ht="10.050000000000001" hidden="1" customHeight="1">
      <c r="A3382" s="52" t="s">
        <v>306</v>
      </c>
      <c r="B3382" s="53">
        <v>2020</v>
      </c>
      <c r="C3382" s="52" t="s">
        <v>125</v>
      </c>
      <c r="D3382" s="54">
        <v>11</v>
      </c>
      <c r="E3382" s="55">
        <v>5671.9</v>
      </c>
      <c r="F3382" s="55">
        <v>967.5</v>
      </c>
      <c r="G3382" s="55">
        <v>6639.4</v>
      </c>
      <c r="H3382" s="55">
        <v>121777.8</v>
      </c>
      <c r="I3382" s="55">
        <v>2438.4</v>
      </c>
      <c r="J3382" s="55">
        <v>124216.2</v>
      </c>
      <c r="K3382" s="55">
        <v>9518.7000000000007</v>
      </c>
      <c r="L3382" s="55">
        <v>787</v>
      </c>
      <c r="M3382" s="55">
        <v>2657.5</v>
      </c>
      <c r="N3382" s="55">
        <v>276.10000000000002</v>
      </c>
    </row>
    <row r="3383" spans="1:14" ht="10.050000000000001" hidden="1" customHeight="1">
      <c r="A3383" s="52" t="s">
        <v>172</v>
      </c>
      <c r="B3383" s="53">
        <v>2020</v>
      </c>
      <c r="C3383" s="52" t="s">
        <v>125</v>
      </c>
      <c r="D3383" s="54">
        <v>11</v>
      </c>
      <c r="E3383" s="55">
        <v>55768.9</v>
      </c>
      <c r="F3383" s="55">
        <v>821.4</v>
      </c>
      <c r="G3383" s="55">
        <v>56590.3</v>
      </c>
      <c r="H3383" s="55">
        <v>449200.1</v>
      </c>
      <c r="I3383" s="55">
        <v>11203.9</v>
      </c>
      <c r="J3383" s="55">
        <v>460404</v>
      </c>
      <c r="K3383" s="55">
        <v>146774.1</v>
      </c>
      <c r="L3383" s="55">
        <v>15301.2</v>
      </c>
      <c r="M3383" s="55">
        <v>29758.9</v>
      </c>
      <c r="N3383" s="55">
        <v>2002.4</v>
      </c>
    </row>
    <row r="3384" spans="1:14" ht="10.050000000000001" hidden="1" customHeight="1">
      <c r="A3384" s="52" t="s">
        <v>171</v>
      </c>
      <c r="B3384" s="53">
        <v>2020</v>
      </c>
      <c r="C3384" s="52" t="s">
        <v>125</v>
      </c>
      <c r="D3384" s="54">
        <v>11</v>
      </c>
      <c r="E3384" s="55">
        <v>1356883.7</v>
      </c>
      <c r="F3384" s="55">
        <v>26704.7</v>
      </c>
      <c r="G3384" s="55">
        <v>1383588.4</v>
      </c>
      <c r="H3384" s="55">
        <v>8815433.0999999996</v>
      </c>
      <c r="I3384" s="55">
        <v>87809.9</v>
      </c>
      <c r="J3384" s="55">
        <v>8903243</v>
      </c>
      <c r="K3384" s="55">
        <v>2746576</v>
      </c>
      <c r="L3384" s="55">
        <v>476740.5</v>
      </c>
      <c r="M3384" s="55">
        <v>632563.5</v>
      </c>
      <c r="N3384" s="55">
        <v>35633.599999999999</v>
      </c>
    </row>
    <row r="3385" spans="1:14" ht="10.050000000000001" hidden="1" customHeight="1">
      <c r="A3385" s="52" t="s">
        <v>300</v>
      </c>
      <c r="B3385" s="53">
        <v>2020</v>
      </c>
      <c r="C3385" s="52" t="s">
        <v>125</v>
      </c>
      <c r="D3385" s="54">
        <v>11</v>
      </c>
      <c r="E3385" s="55">
        <v>1098.3</v>
      </c>
      <c r="F3385" s="55">
        <v>0</v>
      </c>
      <c r="G3385" s="55">
        <v>1098.3</v>
      </c>
      <c r="H3385" s="55">
        <v>9362.5</v>
      </c>
      <c r="I3385" s="55">
        <v>61.4</v>
      </c>
      <c r="J3385" s="55">
        <v>9423.9</v>
      </c>
      <c r="K3385" s="55">
        <v>169.6</v>
      </c>
      <c r="L3385" s="55">
        <v>0</v>
      </c>
      <c r="M3385" s="55">
        <v>55.9</v>
      </c>
      <c r="N3385" s="55">
        <v>64</v>
      </c>
    </row>
    <row r="3386" spans="1:14" ht="10.050000000000001" hidden="1" customHeight="1">
      <c r="A3386" s="52" t="s">
        <v>307</v>
      </c>
      <c r="B3386" s="53">
        <v>2020</v>
      </c>
      <c r="C3386" s="52" t="s">
        <v>125</v>
      </c>
      <c r="D3386" s="54">
        <v>11</v>
      </c>
      <c r="E3386" s="55">
        <v>1889387.4</v>
      </c>
      <c r="F3386" s="55">
        <v>57739</v>
      </c>
      <c r="G3386" s="55">
        <v>1947126.4</v>
      </c>
      <c r="H3386" s="55">
        <v>5016788.5</v>
      </c>
      <c r="I3386" s="55">
        <v>146885</v>
      </c>
      <c r="J3386" s="55">
        <v>5163673.5</v>
      </c>
      <c r="K3386" s="55">
        <v>1907072.9</v>
      </c>
      <c r="L3386" s="55">
        <v>576060.1</v>
      </c>
      <c r="M3386" s="55">
        <v>690087.6</v>
      </c>
      <c r="N3386" s="55">
        <v>100184.8</v>
      </c>
    </row>
    <row r="3387" spans="1:14" ht="10.050000000000001" hidden="1" customHeight="1">
      <c r="A3387" s="52" t="s">
        <v>315</v>
      </c>
      <c r="B3387" s="53">
        <v>2020</v>
      </c>
      <c r="C3387" s="52" t="s">
        <v>125</v>
      </c>
      <c r="D3387" s="54">
        <v>11</v>
      </c>
      <c r="E3387" s="55">
        <v>12033.7</v>
      </c>
      <c r="F3387" s="55">
        <v>0</v>
      </c>
      <c r="G3387" s="55">
        <v>12033.7</v>
      </c>
      <c r="H3387" s="55">
        <v>49700.7</v>
      </c>
      <c r="I3387" s="55">
        <v>0</v>
      </c>
      <c r="J3387" s="55">
        <v>49700.7</v>
      </c>
      <c r="K3387" s="55">
        <v>9816</v>
      </c>
      <c r="L3387" s="55">
        <v>1161</v>
      </c>
      <c r="M3387" s="55">
        <v>8142.5</v>
      </c>
      <c r="N3387" s="55">
        <v>481.5</v>
      </c>
    </row>
    <row r="3388" spans="1:14" ht="10.050000000000001" hidden="1" customHeight="1">
      <c r="A3388" s="52" t="s">
        <v>311</v>
      </c>
      <c r="B3388" s="53">
        <v>2020</v>
      </c>
      <c r="C3388" s="52" t="s">
        <v>125</v>
      </c>
      <c r="D3388" s="54">
        <v>11</v>
      </c>
      <c r="E3388" s="55">
        <v>0</v>
      </c>
      <c r="F3388" s="55">
        <v>0</v>
      </c>
      <c r="G3388" s="55">
        <v>0</v>
      </c>
      <c r="H3388" s="55">
        <v>919.7</v>
      </c>
      <c r="I3388" s="55">
        <v>0</v>
      </c>
      <c r="J3388" s="55">
        <v>919.7</v>
      </c>
      <c r="K3388" s="55">
        <v>206.2</v>
      </c>
      <c r="L3388" s="55">
        <v>2.6</v>
      </c>
      <c r="M3388" s="55">
        <v>0</v>
      </c>
      <c r="N3388" s="55">
        <v>112.4</v>
      </c>
    </row>
    <row r="3389" spans="1:14" ht="10.050000000000001" hidden="1" customHeight="1">
      <c r="A3389" s="52" t="s">
        <v>173</v>
      </c>
      <c r="B3389" s="53">
        <v>2020</v>
      </c>
      <c r="C3389" s="52" t="s">
        <v>125</v>
      </c>
      <c r="D3389" s="54">
        <v>11</v>
      </c>
      <c r="E3389" s="55">
        <v>296599.59999999998</v>
      </c>
      <c r="F3389" s="55">
        <v>19090.7</v>
      </c>
      <c r="G3389" s="55">
        <v>315690.3</v>
      </c>
      <c r="H3389" s="55">
        <v>4027970</v>
      </c>
      <c r="I3389" s="55">
        <v>41980.7</v>
      </c>
      <c r="J3389" s="55">
        <v>4069950.7</v>
      </c>
      <c r="K3389" s="55">
        <v>688233.2</v>
      </c>
      <c r="L3389" s="55">
        <v>50359.8</v>
      </c>
      <c r="M3389" s="55">
        <v>146080.6</v>
      </c>
      <c r="N3389" s="55">
        <v>25358.400000000001</v>
      </c>
    </row>
    <row r="3390" spans="1:14" ht="10.050000000000001" customHeight="1">
      <c r="A3390" s="52" t="s">
        <v>309</v>
      </c>
      <c r="B3390" s="53">
        <v>2020</v>
      </c>
      <c r="C3390" s="52" t="s">
        <v>125</v>
      </c>
      <c r="D3390" s="54">
        <v>11</v>
      </c>
      <c r="E3390" s="55">
        <v>8230.2999999999993</v>
      </c>
      <c r="F3390" s="55">
        <v>0</v>
      </c>
      <c r="G3390" s="55">
        <v>8230.2999999999993</v>
      </c>
      <c r="H3390" s="55">
        <v>68241.899999999994</v>
      </c>
      <c r="I3390" s="55">
        <v>2355.1</v>
      </c>
      <c r="J3390" s="55">
        <v>70597</v>
      </c>
      <c r="K3390" s="55">
        <v>7515.4</v>
      </c>
      <c r="L3390" s="55">
        <v>918.5</v>
      </c>
      <c r="M3390" s="55">
        <v>0</v>
      </c>
      <c r="N3390" s="55">
        <v>0</v>
      </c>
    </row>
    <row r="3391" spans="1:14" ht="10.050000000000001" hidden="1" customHeight="1">
      <c r="A3391" s="52" t="s">
        <v>316</v>
      </c>
      <c r="B3391" s="53">
        <v>2020</v>
      </c>
      <c r="C3391" s="52" t="s">
        <v>125</v>
      </c>
      <c r="D3391" s="54">
        <v>11</v>
      </c>
      <c r="E3391" s="55">
        <v>4705.5</v>
      </c>
      <c r="F3391" s="55">
        <v>25.7</v>
      </c>
      <c r="G3391" s="55">
        <v>4731.2</v>
      </c>
      <c r="H3391" s="55">
        <v>15573.2</v>
      </c>
      <c r="I3391" s="55">
        <v>141.6</v>
      </c>
      <c r="J3391" s="55">
        <v>15714.8</v>
      </c>
      <c r="K3391" s="55">
        <v>858.2</v>
      </c>
      <c r="L3391" s="55">
        <v>635.79999999999995</v>
      </c>
      <c r="M3391" s="55">
        <v>624.70000000000005</v>
      </c>
      <c r="N3391" s="55">
        <v>66.599999999999994</v>
      </c>
    </row>
    <row r="3392" spans="1:14" ht="10.050000000000001" hidden="1" customHeight="1">
      <c r="A3392" s="52" t="s">
        <v>310</v>
      </c>
      <c r="B3392" s="53">
        <v>2020</v>
      </c>
      <c r="C3392" s="52" t="s">
        <v>125</v>
      </c>
      <c r="D3392" s="54">
        <v>11</v>
      </c>
      <c r="E3392" s="55">
        <v>1435.1</v>
      </c>
      <c r="F3392" s="55">
        <v>89.5</v>
      </c>
      <c r="G3392" s="55">
        <v>1524.6</v>
      </c>
      <c r="H3392" s="55">
        <v>32731.599999999999</v>
      </c>
      <c r="I3392" s="55">
        <v>1135.4000000000001</v>
      </c>
      <c r="J3392" s="55">
        <v>33867</v>
      </c>
      <c r="K3392" s="55">
        <v>3881.4</v>
      </c>
      <c r="L3392" s="55">
        <v>143.1</v>
      </c>
      <c r="M3392" s="55">
        <v>723.1</v>
      </c>
      <c r="N3392" s="55">
        <v>65</v>
      </c>
    </row>
    <row r="3393" spans="1:14" ht="10.050000000000001" hidden="1" customHeight="1">
      <c r="A3393" s="52" t="s">
        <v>308</v>
      </c>
      <c r="B3393" s="53">
        <v>2020</v>
      </c>
      <c r="C3393" s="52" t="s">
        <v>125</v>
      </c>
      <c r="D3393" s="54">
        <v>11</v>
      </c>
      <c r="E3393" s="55">
        <v>70920.7</v>
      </c>
      <c r="F3393" s="55">
        <v>190.9</v>
      </c>
      <c r="G3393" s="55">
        <v>71111.600000000006</v>
      </c>
      <c r="H3393" s="55">
        <v>200003.3</v>
      </c>
      <c r="I3393" s="55">
        <v>552.4</v>
      </c>
      <c r="J3393" s="55">
        <v>200555.7</v>
      </c>
      <c r="K3393" s="55">
        <v>35871.199999999997</v>
      </c>
      <c r="L3393" s="55">
        <v>16474.7</v>
      </c>
      <c r="M3393" s="55">
        <v>29608.1</v>
      </c>
      <c r="N3393" s="55">
        <v>1404.7</v>
      </c>
    </row>
    <row r="3394" spans="1:14" ht="10.050000000000001" hidden="1" customHeight="1">
      <c r="A3394" s="52" t="s">
        <v>174</v>
      </c>
      <c r="B3394" s="53">
        <v>2020</v>
      </c>
      <c r="C3394" s="52" t="s">
        <v>125</v>
      </c>
      <c r="D3394" s="54">
        <v>11</v>
      </c>
      <c r="E3394" s="55">
        <v>15102.5</v>
      </c>
      <c r="F3394" s="55">
        <v>308.2</v>
      </c>
      <c r="G3394" s="55">
        <v>15410.7</v>
      </c>
      <c r="H3394" s="55">
        <v>219789.1</v>
      </c>
      <c r="I3394" s="55">
        <v>9780.1</v>
      </c>
      <c r="J3394" s="55">
        <v>229569.2</v>
      </c>
      <c r="K3394" s="55">
        <v>81440.399999999994</v>
      </c>
      <c r="L3394" s="55">
        <v>2523.1999999999998</v>
      </c>
      <c r="M3394" s="55">
        <v>6388.3</v>
      </c>
      <c r="N3394" s="55">
        <v>7239.3</v>
      </c>
    </row>
    <row r="3395" spans="1:14" ht="10.050000000000001" hidden="1" customHeight="1">
      <c r="A3395" s="52" t="s">
        <v>314</v>
      </c>
      <c r="B3395" s="53">
        <v>2020</v>
      </c>
      <c r="C3395" s="52" t="s">
        <v>125</v>
      </c>
      <c r="D3395" s="54">
        <v>12</v>
      </c>
      <c r="E3395" s="55">
        <v>0</v>
      </c>
      <c r="F3395" s="55">
        <v>0</v>
      </c>
      <c r="G3395" s="55">
        <v>0</v>
      </c>
      <c r="H3395" s="55">
        <v>108.1</v>
      </c>
      <c r="I3395" s="55">
        <v>0</v>
      </c>
      <c r="J3395" s="55">
        <v>108.1</v>
      </c>
      <c r="K3395" s="55">
        <v>21.5</v>
      </c>
      <c r="L3395" s="55">
        <v>0</v>
      </c>
      <c r="M3395" s="55">
        <v>0</v>
      </c>
      <c r="N3395" s="55">
        <v>0</v>
      </c>
    </row>
    <row r="3396" spans="1:14" ht="10.050000000000001" hidden="1" customHeight="1">
      <c r="A3396" s="52" t="s">
        <v>306</v>
      </c>
      <c r="B3396" s="53">
        <v>2020</v>
      </c>
      <c r="C3396" s="52" t="s">
        <v>125</v>
      </c>
      <c r="D3396" s="54">
        <v>12</v>
      </c>
      <c r="E3396" s="55">
        <v>4168.8999999999996</v>
      </c>
      <c r="F3396" s="55">
        <v>1190.8</v>
      </c>
      <c r="G3396" s="55">
        <v>5359.7</v>
      </c>
      <c r="H3396" s="55">
        <v>111263.3</v>
      </c>
      <c r="I3396" s="55">
        <v>2674.4</v>
      </c>
      <c r="J3396" s="55">
        <v>113937.7</v>
      </c>
      <c r="K3396" s="55">
        <v>8068.7</v>
      </c>
      <c r="L3396" s="55">
        <v>518.79999999999995</v>
      </c>
      <c r="M3396" s="55">
        <v>1545.4</v>
      </c>
      <c r="N3396" s="55">
        <v>427.5</v>
      </c>
    </row>
    <row r="3397" spans="1:14" ht="10.050000000000001" hidden="1" customHeight="1">
      <c r="A3397" s="52" t="s">
        <v>172</v>
      </c>
      <c r="B3397" s="53">
        <v>2020</v>
      </c>
      <c r="C3397" s="52" t="s">
        <v>125</v>
      </c>
      <c r="D3397" s="54">
        <v>12</v>
      </c>
      <c r="E3397" s="55">
        <v>80759.8</v>
      </c>
      <c r="F3397" s="55">
        <v>108.5</v>
      </c>
      <c r="G3397" s="55">
        <v>80868.3</v>
      </c>
      <c r="H3397" s="55">
        <v>445462</v>
      </c>
      <c r="I3397" s="55">
        <v>9787.6</v>
      </c>
      <c r="J3397" s="55">
        <v>455249.6</v>
      </c>
      <c r="K3397" s="55">
        <v>111082.1</v>
      </c>
      <c r="L3397" s="55">
        <v>16375.7</v>
      </c>
      <c r="M3397" s="55">
        <v>38583.9</v>
      </c>
      <c r="N3397" s="55">
        <v>13484.1</v>
      </c>
    </row>
    <row r="3398" spans="1:14" ht="10.050000000000001" hidden="1" customHeight="1">
      <c r="A3398" s="52" t="s">
        <v>171</v>
      </c>
      <c r="B3398" s="53">
        <v>2020</v>
      </c>
      <c r="C3398" s="52" t="s">
        <v>125</v>
      </c>
      <c r="D3398" s="54">
        <v>12</v>
      </c>
      <c r="E3398" s="55">
        <v>2040238.8</v>
      </c>
      <c r="F3398" s="55">
        <v>22078.1</v>
      </c>
      <c r="G3398" s="55">
        <v>2062316.9</v>
      </c>
      <c r="H3398" s="55">
        <v>8573723.7000000104</v>
      </c>
      <c r="I3398" s="55">
        <v>84889.1</v>
      </c>
      <c r="J3398" s="55">
        <v>8658612.8000000101</v>
      </c>
      <c r="K3398" s="55">
        <v>1946167.1</v>
      </c>
      <c r="L3398" s="55">
        <v>377708.9</v>
      </c>
      <c r="M3398" s="55">
        <v>1140412.1000000001</v>
      </c>
      <c r="N3398" s="55">
        <v>37433.800000000003</v>
      </c>
    </row>
    <row r="3399" spans="1:14" ht="10.050000000000001" hidden="1" customHeight="1">
      <c r="A3399" s="52" t="s">
        <v>300</v>
      </c>
      <c r="B3399" s="53">
        <v>2020</v>
      </c>
      <c r="C3399" s="52" t="s">
        <v>125</v>
      </c>
      <c r="D3399" s="54">
        <v>12</v>
      </c>
      <c r="E3399" s="55">
        <v>816.8</v>
      </c>
      <c r="F3399" s="55">
        <v>45.5</v>
      </c>
      <c r="G3399" s="55">
        <v>862.3</v>
      </c>
      <c r="H3399" s="55">
        <v>8209.2000000000007</v>
      </c>
      <c r="I3399" s="55">
        <v>93.8</v>
      </c>
      <c r="J3399" s="55">
        <v>8303.0000000000091</v>
      </c>
      <c r="K3399" s="55">
        <v>134.6</v>
      </c>
      <c r="L3399" s="55">
        <v>0</v>
      </c>
      <c r="M3399" s="55">
        <v>3.7</v>
      </c>
      <c r="N3399" s="55">
        <v>39.5</v>
      </c>
    </row>
    <row r="3400" spans="1:14" ht="10.050000000000001" hidden="1" customHeight="1">
      <c r="A3400" s="52" t="s">
        <v>307</v>
      </c>
      <c r="B3400" s="53">
        <v>2020</v>
      </c>
      <c r="C3400" s="52" t="s">
        <v>125</v>
      </c>
      <c r="D3400" s="54">
        <v>12</v>
      </c>
      <c r="E3400" s="55">
        <v>555785.4</v>
      </c>
      <c r="F3400" s="55">
        <v>24758.6</v>
      </c>
      <c r="G3400" s="55">
        <v>580544</v>
      </c>
      <c r="H3400" s="55">
        <v>4708163.9000000004</v>
      </c>
      <c r="I3400" s="55">
        <v>119358.5</v>
      </c>
      <c r="J3400" s="55">
        <v>4827522.4000000004</v>
      </c>
      <c r="K3400" s="55">
        <v>1599317.2</v>
      </c>
      <c r="L3400" s="55">
        <v>62089.8</v>
      </c>
      <c r="M3400" s="55">
        <v>331601.09999999998</v>
      </c>
      <c r="N3400" s="55">
        <v>68417.600000000006</v>
      </c>
    </row>
    <row r="3401" spans="1:14" ht="10.050000000000001" hidden="1" customHeight="1">
      <c r="A3401" s="52" t="s">
        <v>315</v>
      </c>
      <c r="B3401" s="53">
        <v>2020</v>
      </c>
      <c r="C3401" s="52" t="s">
        <v>125</v>
      </c>
      <c r="D3401" s="54">
        <v>12</v>
      </c>
      <c r="E3401" s="55">
        <v>3747.2</v>
      </c>
      <c r="F3401" s="55">
        <v>0</v>
      </c>
      <c r="G3401" s="55">
        <v>3747.2</v>
      </c>
      <c r="H3401" s="55">
        <v>48156</v>
      </c>
      <c r="I3401" s="55">
        <v>0</v>
      </c>
      <c r="J3401" s="55">
        <v>48156</v>
      </c>
      <c r="K3401" s="55">
        <v>7378.8</v>
      </c>
      <c r="L3401" s="55">
        <v>252.2</v>
      </c>
      <c r="M3401" s="55">
        <v>2552.9</v>
      </c>
      <c r="N3401" s="55">
        <v>136.4</v>
      </c>
    </row>
    <row r="3402" spans="1:14" ht="10.050000000000001" hidden="1" customHeight="1">
      <c r="A3402" s="52" t="s">
        <v>311</v>
      </c>
      <c r="B3402" s="53">
        <v>2020</v>
      </c>
      <c r="C3402" s="52" t="s">
        <v>125</v>
      </c>
      <c r="D3402" s="54">
        <v>12</v>
      </c>
      <c r="E3402" s="55">
        <v>109.4</v>
      </c>
      <c r="F3402" s="55">
        <v>0</v>
      </c>
      <c r="G3402" s="55">
        <v>109.4</v>
      </c>
      <c r="H3402" s="55">
        <v>793.5</v>
      </c>
      <c r="I3402" s="55">
        <v>0</v>
      </c>
      <c r="J3402" s="55">
        <v>793.5</v>
      </c>
      <c r="K3402" s="55">
        <v>158.9</v>
      </c>
      <c r="L3402" s="55">
        <v>0</v>
      </c>
      <c r="M3402" s="55">
        <v>0</v>
      </c>
      <c r="N3402" s="55">
        <v>47.3</v>
      </c>
    </row>
    <row r="3403" spans="1:14" ht="10.050000000000001" hidden="1" customHeight="1">
      <c r="A3403" s="52" t="s">
        <v>173</v>
      </c>
      <c r="B3403" s="53">
        <v>2020</v>
      </c>
      <c r="C3403" s="52" t="s">
        <v>125</v>
      </c>
      <c r="D3403" s="54">
        <v>12</v>
      </c>
      <c r="E3403" s="55">
        <v>348337.4</v>
      </c>
      <c r="F3403" s="55">
        <v>11708.3</v>
      </c>
      <c r="G3403" s="55">
        <v>360045.7</v>
      </c>
      <c r="H3403" s="55">
        <v>3742140.1</v>
      </c>
      <c r="I3403" s="55">
        <v>38598.699999999997</v>
      </c>
      <c r="J3403" s="55">
        <v>3780738.8</v>
      </c>
      <c r="K3403" s="55">
        <v>544409.9</v>
      </c>
      <c r="L3403" s="55">
        <v>66885.3</v>
      </c>
      <c r="M3403" s="55">
        <v>181791</v>
      </c>
      <c r="N3403" s="55">
        <v>28835.3</v>
      </c>
    </row>
    <row r="3404" spans="1:14" ht="10.050000000000001" customHeight="1">
      <c r="A3404" s="52" t="s">
        <v>309</v>
      </c>
      <c r="B3404" s="53">
        <v>2020</v>
      </c>
      <c r="C3404" s="52" t="s">
        <v>125</v>
      </c>
      <c r="D3404" s="54">
        <v>12</v>
      </c>
      <c r="E3404" s="55">
        <v>2835.1</v>
      </c>
      <c r="F3404" s="55">
        <v>0</v>
      </c>
      <c r="G3404" s="55">
        <v>2835.1</v>
      </c>
      <c r="H3404" s="55">
        <v>59709.5</v>
      </c>
      <c r="I3404" s="55">
        <v>2355.1</v>
      </c>
      <c r="J3404" s="55">
        <v>62064.6</v>
      </c>
      <c r="K3404" s="55">
        <v>2923.5</v>
      </c>
      <c r="L3404" s="55">
        <v>1040</v>
      </c>
      <c r="M3404" s="55">
        <v>1013.2</v>
      </c>
      <c r="N3404" s="55">
        <v>4618.7</v>
      </c>
    </row>
    <row r="3405" spans="1:14" ht="10.050000000000001" hidden="1" customHeight="1">
      <c r="A3405" s="52" t="s">
        <v>316</v>
      </c>
      <c r="B3405" s="53">
        <v>2020</v>
      </c>
      <c r="C3405" s="52" t="s">
        <v>125</v>
      </c>
      <c r="D3405" s="54">
        <v>12</v>
      </c>
      <c r="E3405" s="55">
        <v>1205.2</v>
      </c>
      <c r="F3405" s="55">
        <v>73.099999999999994</v>
      </c>
      <c r="G3405" s="55">
        <v>1278.3</v>
      </c>
      <c r="H3405" s="55">
        <v>15114.5</v>
      </c>
      <c r="I3405" s="55">
        <v>124.2</v>
      </c>
      <c r="J3405" s="55">
        <v>15238.7</v>
      </c>
      <c r="K3405" s="55">
        <v>665.4</v>
      </c>
      <c r="L3405" s="55">
        <v>67.400000000000006</v>
      </c>
      <c r="M3405" s="55">
        <v>259.2</v>
      </c>
      <c r="N3405" s="55">
        <v>0.9</v>
      </c>
    </row>
    <row r="3406" spans="1:14" ht="10.050000000000001" hidden="1" customHeight="1">
      <c r="A3406" s="52" t="s">
        <v>310</v>
      </c>
      <c r="B3406" s="53">
        <v>2020</v>
      </c>
      <c r="C3406" s="52" t="s">
        <v>125</v>
      </c>
      <c r="D3406" s="54">
        <v>12</v>
      </c>
      <c r="E3406" s="55">
        <v>1558</v>
      </c>
      <c r="F3406" s="55">
        <v>34.9</v>
      </c>
      <c r="G3406" s="55">
        <v>1592.9</v>
      </c>
      <c r="H3406" s="55">
        <v>30469.8</v>
      </c>
      <c r="I3406" s="55">
        <v>1022.7</v>
      </c>
      <c r="J3406" s="55">
        <v>31492.5</v>
      </c>
      <c r="K3406" s="55">
        <v>3287.2</v>
      </c>
      <c r="L3406" s="55">
        <v>217.5</v>
      </c>
      <c r="M3406" s="55">
        <v>773.6</v>
      </c>
      <c r="N3406" s="55">
        <v>38.200000000000003</v>
      </c>
    </row>
    <row r="3407" spans="1:14" ht="10.050000000000001" hidden="1" customHeight="1">
      <c r="A3407" s="52" t="s">
        <v>308</v>
      </c>
      <c r="B3407" s="53">
        <v>2020</v>
      </c>
      <c r="C3407" s="52" t="s">
        <v>125</v>
      </c>
      <c r="D3407" s="54">
        <v>12</v>
      </c>
      <c r="E3407" s="55">
        <v>16855.3</v>
      </c>
      <c r="F3407" s="55">
        <v>70</v>
      </c>
      <c r="G3407" s="55">
        <v>16925.3</v>
      </c>
      <c r="H3407" s="55">
        <v>184023.8</v>
      </c>
      <c r="I3407" s="55">
        <v>543.4</v>
      </c>
      <c r="J3407" s="55">
        <v>184567.2</v>
      </c>
      <c r="K3407" s="55">
        <v>22810.400000000001</v>
      </c>
      <c r="L3407" s="55">
        <v>861</v>
      </c>
      <c r="M3407" s="55">
        <v>13538</v>
      </c>
      <c r="N3407" s="55">
        <v>412.7</v>
      </c>
    </row>
    <row r="3408" spans="1:14" ht="10.050000000000001" hidden="1" customHeight="1">
      <c r="A3408" s="52" t="s">
        <v>174</v>
      </c>
      <c r="B3408" s="53">
        <v>2020</v>
      </c>
      <c r="C3408" s="52" t="s">
        <v>125</v>
      </c>
      <c r="D3408" s="54">
        <v>12</v>
      </c>
      <c r="E3408" s="55">
        <v>13679.7</v>
      </c>
      <c r="F3408" s="55">
        <v>710.9</v>
      </c>
      <c r="G3408" s="55">
        <v>14390.6</v>
      </c>
      <c r="H3408" s="55">
        <v>194903</v>
      </c>
      <c r="I3408" s="55">
        <v>9728.4</v>
      </c>
      <c r="J3408" s="55">
        <v>204631.4</v>
      </c>
      <c r="K3408" s="55">
        <v>71930.600000000006</v>
      </c>
      <c r="L3408" s="55">
        <v>2013.2</v>
      </c>
      <c r="M3408" s="55">
        <v>4771.8</v>
      </c>
      <c r="N3408" s="55">
        <v>7228.5</v>
      </c>
    </row>
    <row r="3409" spans="1:14" ht="10.050000000000001" hidden="1" customHeight="1">
      <c r="A3409" s="52" t="s">
        <v>314</v>
      </c>
      <c r="B3409" s="53">
        <v>2021</v>
      </c>
      <c r="C3409" s="52" t="s">
        <v>125</v>
      </c>
      <c r="D3409" s="54">
        <v>1</v>
      </c>
      <c r="E3409" s="55">
        <v>17</v>
      </c>
      <c r="F3409" s="55">
        <v>0</v>
      </c>
      <c r="G3409" s="55">
        <v>17</v>
      </c>
      <c r="H3409" s="55">
        <v>117.5</v>
      </c>
      <c r="I3409" s="55">
        <v>0</v>
      </c>
      <c r="J3409" s="55">
        <v>117.5</v>
      </c>
      <c r="K3409" s="55">
        <v>4.5</v>
      </c>
      <c r="L3409" s="55">
        <v>0</v>
      </c>
      <c r="M3409" s="55">
        <v>17</v>
      </c>
      <c r="N3409" s="55">
        <v>0</v>
      </c>
    </row>
    <row r="3410" spans="1:14" ht="10.050000000000001" hidden="1" customHeight="1">
      <c r="A3410" s="52" t="s">
        <v>306</v>
      </c>
      <c r="B3410" s="53">
        <v>2021</v>
      </c>
      <c r="C3410" s="52" t="s">
        <v>125</v>
      </c>
      <c r="D3410" s="54">
        <v>1</v>
      </c>
      <c r="E3410" s="55">
        <v>3567.5</v>
      </c>
      <c r="F3410" s="55">
        <v>779.3</v>
      </c>
      <c r="G3410" s="55">
        <v>4346.8</v>
      </c>
      <c r="H3410" s="55">
        <v>102312.9</v>
      </c>
      <c r="I3410" s="55">
        <v>2278.5</v>
      </c>
      <c r="J3410" s="55">
        <v>104591.4</v>
      </c>
      <c r="K3410" s="55">
        <v>6599.9</v>
      </c>
      <c r="L3410" s="55">
        <v>533.1</v>
      </c>
      <c r="M3410" s="55">
        <v>1538.4</v>
      </c>
      <c r="N3410" s="55">
        <v>479</v>
      </c>
    </row>
    <row r="3411" spans="1:14" ht="10.050000000000001" hidden="1" customHeight="1">
      <c r="A3411" s="52" t="s">
        <v>172</v>
      </c>
      <c r="B3411" s="53">
        <v>2021</v>
      </c>
      <c r="C3411" s="52" t="s">
        <v>125</v>
      </c>
      <c r="D3411" s="54">
        <v>1</v>
      </c>
      <c r="E3411" s="55">
        <v>46369.5</v>
      </c>
      <c r="F3411" s="55">
        <v>253.2</v>
      </c>
      <c r="G3411" s="55">
        <v>46622.7</v>
      </c>
      <c r="H3411" s="55">
        <v>408283.8</v>
      </c>
      <c r="I3411" s="55">
        <v>9795.7000000000007</v>
      </c>
      <c r="J3411" s="55">
        <v>418079.5</v>
      </c>
      <c r="K3411" s="55">
        <v>97356.9</v>
      </c>
      <c r="L3411" s="55">
        <v>8618.4</v>
      </c>
      <c r="M3411" s="55">
        <v>21546.6</v>
      </c>
      <c r="N3411" s="55">
        <v>797</v>
      </c>
    </row>
    <row r="3412" spans="1:14" ht="10.050000000000001" hidden="1" customHeight="1">
      <c r="A3412" s="52" t="s">
        <v>171</v>
      </c>
      <c r="B3412" s="53">
        <v>2021</v>
      </c>
      <c r="C3412" s="52" t="s">
        <v>125</v>
      </c>
      <c r="D3412" s="54">
        <v>1</v>
      </c>
      <c r="E3412" s="55">
        <v>1756290.7</v>
      </c>
      <c r="F3412" s="55">
        <v>7047.1</v>
      </c>
      <c r="G3412" s="55">
        <v>1763337.8</v>
      </c>
      <c r="H3412" s="55">
        <v>8008858</v>
      </c>
      <c r="I3412" s="55">
        <v>81842.2</v>
      </c>
      <c r="J3412" s="55">
        <v>8090700.2000000002</v>
      </c>
      <c r="K3412" s="55">
        <v>1637592.1</v>
      </c>
      <c r="L3412" s="55">
        <v>416853.9</v>
      </c>
      <c r="M3412" s="55">
        <v>689717.5</v>
      </c>
      <c r="N3412" s="55">
        <v>33173.300000000003</v>
      </c>
    </row>
    <row r="3413" spans="1:14" ht="10.050000000000001" hidden="1" customHeight="1">
      <c r="A3413" s="52" t="s">
        <v>300</v>
      </c>
      <c r="B3413" s="53">
        <v>2021</v>
      </c>
      <c r="C3413" s="52" t="s">
        <v>125</v>
      </c>
      <c r="D3413" s="54">
        <v>1</v>
      </c>
      <c r="E3413" s="55">
        <v>604.29999999999995</v>
      </c>
      <c r="F3413" s="55">
        <v>0</v>
      </c>
      <c r="G3413" s="55">
        <v>604.29999999999995</v>
      </c>
      <c r="H3413" s="55">
        <v>7315.8</v>
      </c>
      <c r="I3413" s="55">
        <v>96.5</v>
      </c>
      <c r="J3413" s="55">
        <v>7412.3</v>
      </c>
      <c r="K3413" s="55">
        <v>76.5</v>
      </c>
      <c r="L3413" s="55">
        <v>0.3</v>
      </c>
      <c r="M3413" s="55">
        <v>6.2</v>
      </c>
      <c r="N3413" s="55">
        <v>44</v>
      </c>
    </row>
    <row r="3414" spans="1:14" ht="10.050000000000001" hidden="1" customHeight="1">
      <c r="A3414" s="52" t="s">
        <v>307</v>
      </c>
      <c r="B3414" s="53">
        <v>2021</v>
      </c>
      <c r="C3414" s="52" t="s">
        <v>125</v>
      </c>
      <c r="D3414" s="54">
        <v>1</v>
      </c>
      <c r="E3414" s="55">
        <v>655651</v>
      </c>
      <c r="F3414" s="55">
        <v>21838.799999999999</v>
      </c>
      <c r="G3414" s="55">
        <v>677489.8</v>
      </c>
      <c r="H3414" s="55">
        <v>4525209.9000000004</v>
      </c>
      <c r="I3414" s="55">
        <v>85748.9</v>
      </c>
      <c r="J3414" s="55">
        <v>4610958.8</v>
      </c>
      <c r="K3414" s="55">
        <v>1082019.5</v>
      </c>
      <c r="L3414" s="55">
        <v>55630.6</v>
      </c>
      <c r="M3414" s="55">
        <v>485118.4</v>
      </c>
      <c r="N3414" s="55">
        <v>78398.600000000006</v>
      </c>
    </row>
    <row r="3415" spans="1:14" ht="10.050000000000001" hidden="1" customHeight="1">
      <c r="A3415" s="52" t="s">
        <v>315</v>
      </c>
      <c r="B3415" s="53">
        <v>2021</v>
      </c>
      <c r="C3415" s="52" t="s">
        <v>125</v>
      </c>
      <c r="D3415" s="54">
        <v>1</v>
      </c>
      <c r="E3415" s="55">
        <v>2156.5</v>
      </c>
      <c r="F3415" s="55">
        <v>0</v>
      </c>
      <c r="G3415" s="55">
        <v>2156.5</v>
      </c>
      <c r="H3415" s="55">
        <v>46077.599999999999</v>
      </c>
      <c r="I3415" s="55">
        <v>0</v>
      </c>
      <c r="J3415" s="55">
        <v>46077.599999999999</v>
      </c>
      <c r="K3415" s="55">
        <v>5667.5</v>
      </c>
      <c r="L3415" s="55">
        <v>0.8</v>
      </c>
      <c r="M3415" s="55">
        <v>1474.6</v>
      </c>
      <c r="N3415" s="55">
        <v>237.2</v>
      </c>
    </row>
    <row r="3416" spans="1:14" ht="10.050000000000001" hidden="1" customHeight="1">
      <c r="A3416" s="52" t="s">
        <v>311</v>
      </c>
      <c r="B3416" s="53">
        <v>2021</v>
      </c>
      <c r="C3416" s="52" t="s">
        <v>125</v>
      </c>
      <c r="D3416" s="54">
        <v>1</v>
      </c>
      <c r="E3416" s="55">
        <v>41.2</v>
      </c>
      <c r="F3416" s="55">
        <v>0</v>
      </c>
      <c r="G3416" s="55">
        <v>41.2</v>
      </c>
      <c r="H3416" s="55">
        <v>805.3</v>
      </c>
      <c r="I3416" s="55">
        <v>0</v>
      </c>
      <c r="J3416" s="55">
        <v>805.3</v>
      </c>
      <c r="K3416" s="55">
        <v>126.1</v>
      </c>
      <c r="L3416" s="55">
        <v>0</v>
      </c>
      <c r="M3416" s="55">
        <v>0</v>
      </c>
      <c r="N3416" s="55">
        <v>32.799999999999997</v>
      </c>
    </row>
    <row r="3417" spans="1:14" ht="10.050000000000001" hidden="1" customHeight="1">
      <c r="A3417" s="52" t="s">
        <v>173</v>
      </c>
      <c r="B3417" s="53">
        <v>2021</v>
      </c>
      <c r="C3417" s="52" t="s">
        <v>125</v>
      </c>
      <c r="D3417" s="54">
        <v>1</v>
      </c>
      <c r="E3417" s="55">
        <v>375993.4</v>
      </c>
      <c r="F3417" s="55">
        <v>12043.7</v>
      </c>
      <c r="G3417" s="55">
        <v>388037.1</v>
      </c>
      <c r="H3417" s="55">
        <v>3296695.4</v>
      </c>
      <c r="I3417" s="55">
        <v>37065.199999999997</v>
      </c>
      <c r="J3417" s="55">
        <v>3333760.6</v>
      </c>
      <c r="K3417" s="55">
        <v>442216.7</v>
      </c>
      <c r="L3417" s="55">
        <v>58387.5</v>
      </c>
      <c r="M3417" s="55">
        <v>136255.20000000001</v>
      </c>
      <c r="N3417" s="55">
        <v>23388.3</v>
      </c>
    </row>
    <row r="3418" spans="1:14" ht="10.050000000000001" customHeight="1">
      <c r="A3418" s="52" t="s">
        <v>309</v>
      </c>
      <c r="B3418" s="53">
        <v>2021</v>
      </c>
      <c r="C3418" s="52" t="s">
        <v>125</v>
      </c>
      <c r="D3418" s="54">
        <v>1</v>
      </c>
      <c r="E3418" s="55">
        <v>425.9</v>
      </c>
      <c r="F3418" s="55">
        <v>0</v>
      </c>
      <c r="G3418" s="55">
        <v>425.9</v>
      </c>
      <c r="H3418" s="55">
        <v>55144.1</v>
      </c>
      <c r="I3418" s="55">
        <v>2355.1</v>
      </c>
      <c r="J3418" s="55">
        <v>57499.199999999997</v>
      </c>
      <c r="K3418" s="55">
        <v>2809.8</v>
      </c>
      <c r="L3418" s="55">
        <v>0</v>
      </c>
      <c r="M3418" s="55">
        <v>113.7</v>
      </c>
      <c r="N3418" s="55">
        <v>0</v>
      </c>
    </row>
    <row r="3419" spans="1:14" ht="10.050000000000001" hidden="1" customHeight="1">
      <c r="A3419" s="52" t="s">
        <v>316</v>
      </c>
      <c r="B3419" s="53">
        <v>2021</v>
      </c>
      <c r="C3419" s="52" t="s">
        <v>125</v>
      </c>
      <c r="D3419" s="54">
        <v>1</v>
      </c>
      <c r="E3419" s="55">
        <v>697.7</v>
      </c>
      <c r="F3419" s="55">
        <v>0</v>
      </c>
      <c r="G3419" s="55">
        <v>697.7</v>
      </c>
      <c r="H3419" s="55">
        <v>14087.5</v>
      </c>
      <c r="I3419" s="55">
        <v>119.6</v>
      </c>
      <c r="J3419" s="55">
        <v>14207.1</v>
      </c>
      <c r="K3419" s="55">
        <v>458.3</v>
      </c>
      <c r="L3419" s="55">
        <v>57</v>
      </c>
      <c r="M3419" s="55">
        <v>227.4</v>
      </c>
      <c r="N3419" s="55">
        <v>55.8</v>
      </c>
    </row>
    <row r="3420" spans="1:14" ht="10.050000000000001" hidden="1" customHeight="1">
      <c r="A3420" s="52" t="s">
        <v>310</v>
      </c>
      <c r="B3420" s="53">
        <v>2021</v>
      </c>
      <c r="C3420" s="52" t="s">
        <v>125</v>
      </c>
      <c r="D3420" s="54">
        <v>1</v>
      </c>
      <c r="E3420" s="55">
        <v>1792.9</v>
      </c>
      <c r="F3420" s="55">
        <v>148.30000000000001</v>
      </c>
      <c r="G3420" s="55">
        <v>1941.2</v>
      </c>
      <c r="H3420" s="55">
        <v>28985.8</v>
      </c>
      <c r="I3420" s="55">
        <v>1060.8</v>
      </c>
      <c r="J3420" s="55">
        <v>30046.6</v>
      </c>
      <c r="K3420" s="55">
        <v>2813</v>
      </c>
      <c r="L3420" s="55">
        <v>189</v>
      </c>
      <c r="M3420" s="55">
        <v>595.9</v>
      </c>
      <c r="N3420" s="55">
        <v>54.7</v>
      </c>
    </row>
    <row r="3421" spans="1:14" ht="10.050000000000001" hidden="1" customHeight="1">
      <c r="A3421" s="52" t="s">
        <v>308</v>
      </c>
      <c r="B3421" s="53">
        <v>2021</v>
      </c>
      <c r="C3421" s="52" t="s">
        <v>125</v>
      </c>
      <c r="D3421" s="54">
        <v>1</v>
      </c>
      <c r="E3421" s="55">
        <v>10398</v>
      </c>
      <c r="F3421" s="55">
        <v>428.7</v>
      </c>
      <c r="G3421" s="55">
        <v>10826.7</v>
      </c>
      <c r="H3421" s="55">
        <v>165002</v>
      </c>
      <c r="I3421" s="55">
        <v>415.1</v>
      </c>
      <c r="J3421" s="55">
        <v>165417.1</v>
      </c>
      <c r="K3421" s="55">
        <v>14172.5</v>
      </c>
      <c r="L3421" s="55">
        <v>182.7</v>
      </c>
      <c r="M3421" s="55">
        <v>8136.3</v>
      </c>
      <c r="N3421" s="55">
        <v>683.7</v>
      </c>
    </row>
    <row r="3422" spans="1:14" ht="10.050000000000001" hidden="1" customHeight="1">
      <c r="A3422" s="52" t="s">
        <v>174</v>
      </c>
      <c r="B3422" s="53">
        <v>2021</v>
      </c>
      <c r="C3422" s="52" t="s">
        <v>125</v>
      </c>
      <c r="D3422" s="54">
        <v>1</v>
      </c>
      <c r="E3422" s="55">
        <v>14131.9</v>
      </c>
      <c r="F3422" s="55">
        <v>347.7</v>
      </c>
      <c r="G3422" s="55">
        <v>14479.6</v>
      </c>
      <c r="H3422" s="55">
        <v>171729.9</v>
      </c>
      <c r="I3422" s="55">
        <v>9031.6</v>
      </c>
      <c r="J3422" s="55">
        <v>180761.5</v>
      </c>
      <c r="K3422" s="55">
        <v>60476.2</v>
      </c>
      <c r="L3422" s="55">
        <v>2412.5</v>
      </c>
      <c r="M3422" s="55">
        <v>6092.3</v>
      </c>
      <c r="N3422" s="55">
        <v>7687.1</v>
      </c>
    </row>
    <row r="3423" spans="1:14" ht="10.050000000000001" hidden="1" customHeight="1">
      <c r="A3423" s="52" t="s">
        <v>314</v>
      </c>
      <c r="B3423" s="53">
        <v>2021</v>
      </c>
      <c r="C3423" s="52" t="s">
        <v>125</v>
      </c>
      <c r="D3423" s="54">
        <v>2</v>
      </c>
      <c r="E3423" s="55">
        <v>0</v>
      </c>
      <c r="F3423" s="55">
        <v>0</v>
      </c>
      <c r="G3423" s="55">
        <v>0</v>
      </c>
      <c r="H3423" s="55">
        <v>108.2</v>
      </c>
      <c r="I3423" s="55">
        <v>0</v>
      </c>
      <c r="J3423" s="55">
        <v>108.2</v>
      </c>
      <c r="K3423" s="55">
        <v>4.5</v>
      </c>
      <c r="L3423" s="55">
        <v>0</v>
      </c>
      <c r="M3423" s="55">
        <v>0</v>
      </c>
      <c r="N3423" s="55">
        <v>0</v>
      </c>
    </row>
    <row r="3424" spans="1:14" ht="10.050000000000001" hidden="1" customHeight="1">
      <c r="A3424" s="52" t="s">
        <v>306</v>
      </c>
      <c r="B3424" s="53">
        <v>2021</v>
      </c>
      <c r="C3424" s="52" t="s">
        <v>125</v>
      </c>
      <c r="D3424" s="54">
        <v>2</v>
      </c>
      <c r="E3424" s="55">
        <v>4171.3999999999996</v>
      </c>
      <c r="F3424" s="55">
        <v>107.6</v>
      </c>
      <c r="G3424" s="55">
        <v>4279</v>
      </c>
      <c r="H3424" s="55">
        <v>93526.5</v>
      </c>
      <c r="I3424" s="55">
        <v>1504.4</v>
      </c>
      <c r="J3424" s="55">
        <v>95030.899999999907</v>
      </c>
      <c r="K3424" s="55">
        <v>5672</v>
      </c>
      <c r="L3424" s="55">
        <v>471</v>
      </c>
      <c r="M3424" s="55">
        <v>1043.5999999999999</v>
      </c>
      <c r="N3424" s="55">
        <v>437.5</v>
      </c>
    </row>
    <row r="3425" spans="1:14" ht="10.050000000000001" hidden="1" customHeight="1">
      <c r="A3425" s="52" t="s">
        <v>172</v>
      </c>
      <c r="B3425" s="53">
        <v>2021</v>
      </c>
      <c r="C3425" s="52" t="s">
        <v>125</v>
      </c>
      <c r="D3425" s="54">
        <v>2</v>
      </c>
      <c r="E3425" s="55">
        <v>44941.7</v>
      </c>
      <c r="F3425" s="55">
        <v>0</v>
      </c>
      <c r="G3425" s="55">
        <v>44941.7</v>
      </c>
      <c r="H3425" s="55">
        <v>366129.5</v>
      </c>
      <c r="I3425" s="55">
        <v>7886.8</v>
      </c>
      <c r="J3425" s="55">
        <v>374016.3</v>
      </c>
      <c r="K3425" s="55">
        <v>89451.199999999997</v>
      </c>
      <c r="L3425" s="55">
        <v>10267.1</v>
      </c>
      <c r="M3425" s="55">
        <v>17433.400000000001</v>
      </c>
      <c r="N3425" s="55">
        <v>739.7</v>
      </c>
    </row>
    <row r="3426" spans="1:14" ht="10.050000000000001" hidden="1" customHeight="1">
      <c r="A3426" s="52" t="s">
        <v>171</v>
      </c>
      <c r="B3426" s="53">
        <v>2021</v>
      </c>
      <c r="C3426" s="52" t="s">
        <v>125</v>
      </c>
      <c r="D3426" s="54">
        <v>2</v>
      </c>
      <c r="E3426" s="55">
        <v>1268592.6000000001</v>
      </c>
      <c r="F3426" s="55">
        <v>3520</v>
      </c>
      <c r="G3426" s="55">
        <v>1272112.6000000001</v>
      </c>
      <c r="H3426" s="55">
        <v>6851093.0999999996</v>
      </c>
      <c r="I3426" s="55">
        <v>57658.1</v>
      </c>
      <c r="J3426" s="55">
        <v>6908751.2000000002</v>
      </c>
      <c r="K3426" s="55">
        <v>1453512.9</v>
      </c>
      <c r="L3426" s="55">
        <v>296240.09999999998</v>
      </c>
      <c r="M3426" s="55">
        <v>451290.4</v>
      </c>
      <c r="N3426" s="55">
        <v>29077.4</v>
      </c>
    </row>
    <row r="3427" spans="1:14" ht="10.050000000000001" hidden="1" customHeight="1">
      <c r="A3427" s="52" t="s">
        <v>300</v>
      </c>
      <c r="B3427" s="53">
        <v>2021</v>
      </c>
      <c r="C3427" s="52" t="s">
        <v>125</v>
      </c>
      <c r="D3427" s="54">
        <v>2</v>
      </c>
      <c r="E3427" s="55">
        <v>678.9</v>
      </c>
      <c r="F3427" s="55">
        <v>0</v>
      </c>
      <c r="G3427" s="55">
        <v>678.9</v>
      </c>
      <c r="H3427" s="55">
        <v>6293.7</v>
      </c>
      <c r="I3427" s="55">
        <v>96.9</v>
      </c>
      <c r="J3427" s="55">
        <v>6390.6</v>
      </c>
      <c r="K3427" s="55">
        <v>61.3</v>
      </c>
      <c r="L3427" s="55">
        <v>0</v>
      </c>
      <c r="M3427" s="55">
        <v>0</v>
      </c>
      <c r="N3427" s="55">
        <v>15.1</v>
      </c>
    </row>
    <row r="3428" spans="1:14" ht="10.050000000000001" hidden="1" customHeight="1">
      <c r="A3428" s="52" t="s">
        <v>307</v>
      </c>
      <c r="B3428" s="53">
        <v>2021</v>
      </c>
      <c r="C3428" s="52" t="s">
        <v>125</v>
      </c>
      <c r="D3428" s="54">
        <v>2</v>
      </c>
      <c r="E3428" s="55">
        <v>359477.4</v>
      </c>
      <c r="F3428" s="55">
        <v>1179.0999999999999</v>
      </c>
      <c r="G3428" s="55">
        <v>360656.5</v>
      </c>
      <c r="H3428" s="55">
        <v>4053156.5</v>
      </c>
      <c r="I3428" s="55">
        <v>27964.7</v>
      </c>
      <c r="J3428" s="55">
        <v>4081121.2</v>
      </c>
      <c r="K3428" s="55">
        <v>906238.8</v>
      </c>
      <c r="L3428" s="55">
        <v>50167.7</v>
      </c>
      <c r="M3428" s="55">
        <v>183565.6</v>
      </c>
      <c r="N3428" s="55">
        <v>41546.1</v>
      </c>
    </row>
    <row r="3429" spans="1:14" ht="10.050000000000001" hidden="1" customHeight="1">
      <c r="A3429" s="52" t="s">
        <v>315</v>
      </c>
      <c r="B3429" s="53">
        <v>2021</v>
      </c>
      <c r="C3429" s="52" t="s">
        <v>125</v>
      </c>
      <c r="D3429" s="54">
        <v>2</v>
      </c>
      <c r="E3429" s="55">
        <v>1805.4</v>
      </c>
      <c r="F3429" s="55">
        <v>0</v>
      </c>
      <c r="G3429" s="55">
        <v>1805.4</v>
      </c>
      <c r="H3429" s="55">
        <v>43590.400000000001</v>
      </c>
      <c r="I3429" s="55">
        <v>0</v>
      </c>
      <c r="J3429" s="55">
        <v>43590.400000000001</v>
      </c>
      <c r="K3429" s="55">
        <v>4558.7</v>
      </c>
      <c r="L3429" s="55">
        <v>24.9</v>
      </c>
      <c r="M3429" s="55">
        <v>1089.4000000000001</v>
      </c>
      <c r="N3429" s="55">
        <v>44.6</v>
      </c>
    </row>
    <row r="3430" spans="1:14" ht="10.050000000000001" hidden="1" customHeight="1">
      <c r="A3430" s="52" t="s">
        <v>311</v>
      </c>
      <c r="B3430" s="53">
        <v>2021</v>
      </c>
      <c r="C3430" s="52" t="s">
        <v>125</v>
      </c>
      <c r="D3430" s="54">
        <v>2</v>
      </c>
      <c r="E3430" s="55">
        <v>17</v>
      </c>
      <c r="F3430" s="55">
        <v>0</v>
      </c>
      <c r="G3430" s="55">
        <v>17</v>
      </c>
      <c r="H3430" s="55">
        <v>718.3</v>
      </c>
      <c r="I3430" s="55">
        <v>0</v>
      </c>
      <c r="J3430" s="55">
        <v>718.3</v>
      </c>
      <c r="K3430" s="55">
        <v>59.9</v>
      </c>
      <c r="L3430" s="55">
        <v>0</v>
      </c>
      <c r="M3430" s="55">
        <v>0</v>
      </c>
      <c r="N3430" s="55">
        <v>66.2</v>
      </c>
    </row>
    <row r="3431" spans="1:14" ht="10.050000000000001" hidden="1" customHeight="1">
      <c r="A3431" s="52" t="s">
        <v>173</v>
      </c>
      <c r="B3431" s="53">
        <v>2021</v>
      </c>
      <c r="C3431" s="52" t="s">
        <v>125</v>
      </c>
      <c r="D3431" s="54">
        <v>2</v>
      </c>
      <c r="E3431" s="55">
        <v>280913.90000000002</v>
      </c>
      <c r="F3431" s="55">
        <v>3575.1</v>
      </c>
      <c r="G3431" s="55">
        <v>284489</v>
      </c>
      <c r="H3431" s="55">
        <v>2752319.7</v>
      </c>
      <c r="I3431" s="55">
        <v>28411.1</v>
      </c>
      <c r="J3431" s="55">
        <v>2780730.8</v>
      </c>
      <c r="K3431" s="55">
        <v>356961.8</v>
      </c>
      <c r="L3431" s="55">
        <v>43458.8</v>
      </c>
      <c r="M3431" s="55">
        <v>100404.1</v>
      </c>
      <c r="N3431" s="55">
        <v>28339.7</v>
      </c>
    </row>
    <row r="3432" spans="1:14" ht="10.050000000000001" customHeight="1">
      <c r="A3432" s="52" t="s">
        <v>309</v>
      </c>
      <c r="B3432" s="53">
        <v>2021</v>
      </c>
      <c r="C3432" s="52" t="s">
        <v>125</v>
      </c>
      <c r="D3432" s="54">
        <v>2</v>
      </c>
      <c r="E3432" s="55">
        <v>709.3</v>
      </c>
      <c r="F3432" s="55">
        <v>0</v>
      </c>
      <c r="G3432" s="55">
        <v>709.3</v>
      </c>
      <c r="H3432" s="55">
        <v>51224.1</v>
      </c>
      <c r="I3432" s="55">
        <v>2355.1</v>
      </c>
      <c r="J3432" s="55">
        <v>53579.199999999997</v>
      </c>
      <c r="K3432" s="55">
        <v>2524.8000000000002</v>
      </c>
      <c r="L3432" s="55">
        <v>0</v>
      </c>
      <c r="M3432" s="55">
        <v>120.8</v>
      </c>
      <c r="N3432" s="55">
        <v>164.2</v>
      </c>
    </row>
    <row r="3433" spans="1:14" ht="10.050000000000001" hidden="1" customHeight="1">
      <c r="A3433" s="52" t="s">
        <v>316</v>
      </c>
      <c r="B3433" s="53">
        <v>2021</v>
      </c>
      <c r="C3433" s="52" t="s">
        <v>125</v>
      </c>
      <c r="D3433" s="54">
        <v>2</v>
      </c>
      <c r="E3433" s="55">
        <v>378.9</v>
      </c>
      <c r="F3433" s="55">
        <v>0</v>
      </c>
      <c r="G3433" s="55">
        <v>378.9</v>
      </c>
      <c r="H3433" s="55">
        <v>12722.7</v>
      </c>
      <c r="I3433" s="55">
        <v>52</v>
      </c>
      <c r="J3433" s="55">
        <v>12774.7</v>
      </c>
      <c r="K3433" s="55">
        <v>363.5</v>
      </c>
      <c r="L3433" s="55">
        <v>45.6</v>
      </c>
      <c r="M3433" s="55">
        <v>124.4</v>
      </c>
      <c r="N3433" s="55">
        <v>26.5</v>
      </c>
    </row>
    <row r="3434" spans="1:14" ht="10.050000000000001" hidden="1" customHeight="1">
      <c r="A3434" s="52" t="s">
        <v>310</v>
      </c>
      <c r="B3434" s="53">
        <v>2021</v>
      </c>
      <c r="C3434" s="52" t="s">
        <v>125</v>
      </c>
      <c r="D3434" s="54">
        <v>2</v>
      </c>
      <c r="E3434" s="55">
        <v>927.3</v>
      </c>
      <c r="F3434" s="55">
        <v>55.4</v>
      </c>
      <c r="G3434" s="55">
        <v>982.7</v>
      </c>
      <c r="H3434" s="55">
        <v>25796</v>
      </c>
      <c r="I3434" s="55">
        <v>1061.7</v>
      </c>
      <c r="J3434" s="55">
        <v>26857.7</v>
      </c>
      <c r="K3434" s="55">
        <v>2500.3000000000002</v>
      </c>
      <c r="L3434" s="55">
        <v>96</v>
      </c>
      <c r="M3434" s="55">
        <v>267.3</v>
      </c>
      <c r="N3434" s="55">
        <v>153.9</v>
      </c>
    </row>
    <row r="3435" spans="1:14" ht="10.050000000000001" hidden="1" customHeight="1">
      <c r="A3435" s="52" t="s">
        <v>308</v>
      </c>
      <c r="B3435" s="53">
        <v>2021</v>
      </c>
      <c r="C3435" s="52" t="s">
        <v>125</v>
      </c>
      <c r="D3435" s="54">
        <v>2</v>
      </c>
      <c r="E3435" s="55">
        <v>5312.4</v>
      </c>
      <c r="F3435" s="55">
        <v>513.4</v>
      </c>
      <c r="G3435" s="55">
        <v>5825.8</v>
      </c>
      <c r="H3435" s="55">
        <v>137798.5</v>
      </c>
      <c r="I3435" s="55">
        <v>29.3</v>
      </c>
      <c r="J3435" s="55">
        <v>137827.79999999999</v>
      </c>
      <c r="K3435" s="55">
        <v>10373.5</v>
      </c>
      <c r="L3435" s="55">
        <v>624.70000000000005</v>
      </c>
      <c r="M3435" s="55">
        <v>4173.8</v>
      </c>
      <c r="N3435" s="55">
        <v>250.2</v>
      </c>
    </row>
    <row r="3436" spans="1:14" ht="10.050000000000001" hidden="1" customHeight="1">
      <c r="A3436" s="52" t="s">
        <v>174</v>
      </c>
      <c r="B3436" s="53">
        <v>2021</v>
      </c>
      <c r="C3436" s="52" t="s">
        <v>125</v>
      </c>
      <c r="D3436" s="54">
        <v>2</v>
      </c>
      <c r="E3436" s="55">
        <v>11633.5</v>
      </c>
      <c r="F3436" s="55">
        <v>72.400000000000006</v>
      </c>
      <c r="G3436" s="55">
        <v>11705.9</v>
      </c>
      <c r="H3436" s="55">
        <v>147248.20000000001</v>
      </c>
      <c r="I3436" s="55">
        <v>6677.8</v>
      </c>
      <c r="J3436" s="55">
        <v>153926</v>
      </c>
      <c r="K3436" s="55">
        <v>50247</v>
      </c>
      <c r="L3436" s="55">
        <v>2000.2</v>
      </c>
      <c r="M3436" s="55">
        <v>4006.6</v>
      </c>
      <c r="N3436" s="55">
        <v>8360.1</v>
      </c>
    </row>
    <row r="3437" spans="1:14" ht="10.050000000000001" hidden="1" customHeight="1">
      <c r="A3437" s="52" t="s">
        <v>314</v>
      </c>
      <c r="B3437" s="53">
        <v>2021</v>
      </c>
      <c r="C3437" s="52" t="s">
        <v>125</v>
      </c>
      <c r="D3437" s="54">
        <v>3</v>
      </c>
      <c r="E3437" s="55">
        <v>0</v>
      </c>
      <c r="F3437" s="55">
        <v>0</v>
      </c>
      <c r="G3437" s="55">
        <v>0</v>
      </c>
      <c r="H3437" s="55">
        <v>97.7</v>
      </c>
      <c r="I3437" s="55">
        <v>0</v>
      </c>
      <c r="J3437" s="55">
        <v>97.7</v>
      </c>
      <c r="K3437" s="55">
        <v>4.5</v>
      </c>
      <c r="L3437" s="55">
        <v>0</v>
      </c>
      <c r="M3437" s="55">
        <v>0</v>
      </c>
      <c r="N3437" s="55">
        <v>0</v>
      </c>
    </row>
    <row r="3438" spans="1:14" ht="10.050000000000001" hidden="1" customHeight="1">
      <c r="A3438" s="52" t="s">
        <v>306</v>
      </c>
      <c r="B3438" s="53">
        <v>2021</v>
      </c>
      <c r="C3438" s="52" t="s">
        <v>125</v>
      </c>
      <c r="D3438" s="54">
        <v>3</v>
      </c>
      <c r="E3438" s="55">
        <v>3686</v>
      </c>
      <c r="F3438" s="55">
        <v>27.6</v>
      </c>
      <c r="G3438" s="55">
        <v>3713.6</v>
      </c>
      <c r="H3438" s="55">
        <v>79366.8</v>
      </c>
      <c r="I3438" s="55">
        <v>1265.5999999999999</v>
      </c>
      <c r="J3438" s="55">
        <v>80632.399999999994</v>
      </c>
      <c r="K3438" s="55">
        <v>4352.7</v>
      </c>
      <c r="L3438" s="55">
        <v>635.4</v>
      </c>
      <c r="M3438" s="55">
        <v>1485.1</v>
      </c>
      <c r="N3438" s="55">
        <v>479.3</v>
      </c>
    </row>
    <row r="3439" spans="1:14" ht="10.050000000000001" hidden="1" customHeight="1">
      <c r="A3439" s="52" t="s">
        <v>172</v>
      </c>
      <c r="B3439" s="53">
        <v>2021</v>
      </c>
      <c r="C3439" s="52" t="s">
        <v>125</v>
      </c>
      <c r="D3439" s="54">
        <v>3</v>
      </c>
      <c r="E3439" s="55">
        <v>76542.3</v>
      </c>
      <c r="F3439" s="55">
        <v>14.6</v>
      </c>
      <c r="G3439" s="55">
        <v>76556.899999999994</v>
      </c>
      <c r="H3439" s="55">
        <v>322640.3</v>
      </c>
      <c r="I3439" s="55">
        <v>5063.3</v>
      </c>
      <c r="J3439" s="55">
        <v>327703.59999999998</v>
      </c>
      <c r="K3439" s="55">
        <v>61274</v>
      </c>
      <c r="L3439" s="55">
        <v>12091.5</v>
      </c>
      <c r="M3439" s="55">
        <v>39231.1</v>
      </c>
      <c r="N3439" s="55">
        <v>1040.0999999999999</v>
      </c>
    </row>
    <row r="3440" spans="1:14" ht="10.050000000000001" hidden="1" customHeight="1">
      <c r="A3440" s="52" t="s">
        <v>171</v>
      </c>
      <c r="B3440" s="53">
        <v>2021</v>
      </c>
      <c r="C3440" s="52" t="s">
        <v>125</v>
      </c>
      <c r="D3440" s="54">
        <v>3</v>
      </c>
      <c r="E3440" s="55">
        <v>1749182.8</v>
      </c>
      <c r="F3440" s="55">
        <v>3596.8</v>
      </c>
      <c r="G3440" s="55">
        <v>1752779.6</v>
      </c>
      <c r="H3440" s="55">
        <v>5980975.9000000004</v>
      </c>
      <c r="I3440" s="55">
        <v>66815.3</v>
      </c>
      <c r="J3440" s="55">
        <v>6047791.1999999899</v>
      </c>
      <c r="K3440" s="55">
        <v>801236.8</v>
      </c>
      <c r="L3440" s="55">
        <v>237241.3</v>
      </c>
      <c r="M3440" s="55">
        <v>852653.5</v>
      </c>
      <c r="N3440" s="55">
        <v>36569.300000000003</v>
      </c>
    </row>
    <row r="3441" spans="1:14" ht="10.050000000000001" hidden="1" customHeight="1">
      <c r="A3441" s="52" t="s">
        <v>300</v>
      </c>
      <c r="B3441" s="53">
        <v>2021</v>
      </c>
      <c r="C3441" s="52" t="s">
        <v>125</v>
      </c>
      <c r="D3441" s="54">
        <v>3</v>
      </c>
      <c r="E3441" s="55">
        <v>617.79999999999995</v>
      </c>
      <c r="F3441" s="55">
        <v>0</v>
      </c>
      <c r="G3441" s="55">
        <v>617.79999999999995</v>
      </c>
      <c r="H3441" s="55">
        <v>5730.2</v>
      </c>
      <c r="I3441" s="55">
        <v>98.7</v>
      </c>
      <c r="J3441" s="55">
        <v>5828.9</v>
      </c>
      <c r="K3441" s="55">
        <v>53.8</v>
      </c>
      <c r="L3441" s="55">
        <v>0</v>
      </c>
      <c r="M3441" s="55">
        <v>2.7</v>
      </c>
      <c r="N3441" s="55">
        <v>13.3</v>
      </c>
    </row>
    <row r="3442" spans="1:14" ht="10.050000000000001" hidden="1" customHeight="1">
      <c r="A3442" s="52" t="s">
        <v>307</v>
      </c>
      <c r="B3442" s="53">
        <v>2021</v>
      </c>
      <c r="C3442" s="52" t="s">
        <v>125</v>
      </c>
      <c r="D3442" s="54">
        <v>3</v>
      </c>
      <c r="E3442" s="55">
        <v>440417</v>
      </c>
      <c r="F3442" s="55">
        <v>1456.7</v>
      </c>
      <c r="G3442" s="55">
        <v>441873.7</v>
      </c>
      <c r="H3442" s="55">
        <v>3534560.7</v>
      </c>
      <c r="I3442" s="55">
        <v>70340.100000000006</v>
      </c>
      <c r="J3442" s="55">
        <v>3604900.8</v>
      </c>
      <c r="K3442" s="55">
        <v>664548.19999999995</v>
      </c>
      <c r="L3442" s="55">
        <v>69988.100000000006</v>
      </c>
      <c r="M3442" s="55">
        <v>264287.40000000002</v>
      </c>
      <c r="N3442" s="55">
        <v>46036.2</v>
      </c>
    </row>
    <row r="3443" spans="1:14" ht="10.050000000000001" hidden="1" customHeight="1">
      <c r="A3443" s="52" t="s">
        <v>315</v>
      </c>
      <c r="B3443" s="53">
        <v>2021</v>
      </c>
      <c r="C3443" s="52" t="s">
        <v>125</v>
      </c>
      <c r="D3443" s="54">
        <v>3</v>
      </c>
      <c r="E3443" s="55">
        <v>1228.0999999999999</v>
      </c>
      <c r="F3443" s="55">
        <v>0</v>
      </c>
      <c r="G3443" s="55">
        <v>1228.0999999999999</v>
      </c>
      <c r="H3443" s="55">
        <v>39712</v>
      </c>
      <c r="I3443" s="55">
        <v>0</v>
      </c>
      <c r="J3443" s="55">
        <v>39712</v>
      </c>
      <c r="K3443" s="55">
        <v>3716.7</v>
      </c>
      <c r="L3443" s="55">
        <v>50</v>
      </c>
      <c r="M3443" s="55">
        <v>891</v>
      </c>
      <c r="N3443" s="55">
        <v>1</v>
      </c>
    </row>
    <row r="3444" spans="1:14" ht="10.050000000000001" hidden="1" customHeight="1">
      <c r="A3444" s="52" t="s">
        <v>311</v>
      </c>
      <c r="B3444" s="53">
        <v>2021</v>
      </c>
      <c r="C3444" s="52" t="s">
        <v>125</v>
      </c>
      <c r="D3444" s="54">
        <v>3</v>
      </c>
      <c r="E3444" s="55">
        <v>13</v>
      </c>
      <c r="F3444" s="55">
        <v>0</v>
      </c>
      <c r="G3444" s="55">
        <v>13</v>
      </c>
      <c r="H3444" s="55">
        <v>611.20000000000005</v>
      </c>
      <c r="I3444" s="55">
        <v>0</v>
      </c>
      <c r="J3444" s="55">
        <v>611.20000000000005</v>
      </c>
      <c r="K3444" s="55">
        <v>55.6</v>
      </c>
      <c r="L3444" s="55">
        <v>0</v>
      </c>
      <c r="M3444" s="55">
        <v>0</v>
      </c>
      <c r="N3444" s="55">
        <v>4.3</v>
      </c>
    </row>
    <row r="3445" spans="1:14" ht="10.050000000000001" hidden="1" customHeight="1">
      <c r="A3445" s="52" t="s">
        <v>173</v>
      </c>
      <c r="B3445" s="53">
        <v>2021</v>
      </c>
      <c r="C3445" s="52" t="s">
        <v>125</v>
      </c>
      <c r="D3445" s="54">
        <v>3</v>
      </c>
      <c r="E3445" s="55">
        <v>297044.5</v>
      </c>
      <c r="F3445" s="55">
        <v>2927.1</v>
      </c>
      <c r="G3445" s="55">
        <v>299971.59999999998</v>
      </c>
      <c r="H3445" s="55">
        <v>2177396.9</v>
      </c>
      <c r="I3445" s="55">
        <v>27555.4</v>
      </c>
      <c r="J3445" s="55">
        <v>2204952.2999999998</v>
      </c>
      <c r="K3445" s="55">
        <v>233343.5</v>
      </c>
      <c r="L3445" s="55">
        <v>32553.3</v>
      </c>
      <c r="M3445" s="55">
        <v>134238.9</v>
      </c>
      <c r="N3445" s="55">
        <v>21948.9</v>
      </c>
    </row>
    <row r="3446" spans="1:14" ht="10.050000000000001" customHeight="1">
      <c r="A3446" s="52" t="s">
        <v>309</v>
      </c>
      <c r="B3446" s="53">
        <v>2021</v>
      </c>
      <c r="C3446" s="52" t="s">
        <v>125</v>
      </c>
      <c r="D3446" s="54">
        <v>3</v>
      </c>
      <c r="E3446" s="55">
        <v>1498.3</v>
      </c>
      <c r="F3446" s="55">
        <v>100</v>
      </c>
      <c r="G3446" s="55">
        <v>1598.3</v>
      </c>
      <c r="H3446" s="55">
        <v>45881</v>
      </c>
      <c r="I3446" s="55">
        <v>2455.1</v>
      </c>
      <c r="J3446" s="55">
        <v>48336.1</v>
      </c>
      <c r="K3446" s="55">
        <v>2524.8000000000002</v>
      </c>
      <c r="L3446" s="55">
        <v>0</v>
      </c>
      <c r="M3446" s="55">
        <v>0</v>
      </c>
      <c r="N3446" s="55">
        <v>0</v>
      </c>
    </row>
    <row r="3447" spans="1:14" ht="10.050000000000001" hidden="1" customHeight="1">
      <c r="A3447" s="52" t="s">
        <v>316</v>
      </c>
      <c r="B3447" s="53">
        <v>2021</v>
      </c>
      <c r="C3447" s="52" t="s">
        <v>125</v>
      </c>
      <c r="D3447" s="54">
        <v>3</v>
      </c>
      <c r="E3447" s="55">
        <v>481.5</v>
      </c>
      <c r="F3447" s="55">
        <v>29.9</v>
      </c>
      <c r="G3447" s="55">
        <v>511.4</v>
      </c>
      <c r="H3447" s="55">
        <v>12014.1</v>
      </c>
      <c r="I3447" s="55">
        <v>117.5</v>
      </c>
      <c r="J3447" s="55">
        <v>12131.6</v>
      </c>
      <c r="K3447" s="55">
        <v>314.60000000000002</v>
      </c>
      <c r="L3447" s="55">
        <v>40</v>
      </c>
      <c r="M3447" s="55">
        <v>73.7</v>
      </c>
      <c r="N3447" s="55">
        <v>15.3</v>
      </c>
    </row>
    <row r="3448" spans="1:14" ht="10.050000000000001" hidden="1" customHeight="1">
      <c r="A3448" s="52" t="s">
        <v>310</v>
      </c>
      <c r="B3448" s="53">
        <v>2021</v>
      </c>
      <c r="C3448" s="52" t="s">
        <v>125</v>
      </c>
      <c r="D3448" s="54">
        <v>3</v>
      </c>
      <c r="E3448" s="55">
        <v>1675.7</v>
      </c>
      <c r="F3448" s="55">
        <v>68.7</v>
      </c>
      <c r="G3448" s="55">
        <v>1744.4</v>
      </c>
      <c r="H3448" s="55">
        <v>22693</v>
      </c>
      <c r="I3448" s="55">
        <v>1205.3</v>
      </c>
      <c r="J3448" s="55">
        <v>23898.3</v>
      </c>
      <c r="K3448" s="55">
        <v>1822.3</v>
      </c>
      <c r="L3448" s="55">
        <v>84.6</v>
      </c>
      <c r="M3448" s="55">
        <v>627.70000000000005</v>
      </c>
      <c r="N3448" s="55">
        <v>156.4</v>
      </c>
    </row>
    <row r="3449" spans="1:14" ht="10.050000000000001" hidden="1" customHeight="1">
      <c r="A3449" s="52" t="s">
        <v>308</v>
      </c>
      <c r="B3449" s="53">
        <v>2021</v>
      </c>
      <c r="C3449" s="52" t="s">
        <v>125</v>
      </c>
      <c r="D3449" s="54">
        <v>3</v>
      </c>
      <c r="E3449" s="55">
        <v>3520.5</v>
      </c>
      <c r="F3449" s="55">
        <v>0</v>
      </c>
      <c r="G3449" s="55">
        <v>3520.5</v>
      </c>
      <c r="H3449" s="55">
        <v>108020</v>
      </c>
      <c r="I3449" s="55">
        <v>853.7</v>
      </c>
      <c r="J3449" s="55">
        <v>108873.7</v>
      </c>
      <c r="K3449" s="55">
        <v>7614.2</v>
      </c>
      <c r="L3449" s="55">
        <v>377.2</v>
      </c>
      <c r="M3449" s="55">
        <v>2752.3</v>
      </c>
      <c r="N3449" s="55">
        <v>384.4</v>
      </c>
    </row>
    <row r="3450" spans="1:14" ht="10.050000000000001" hidden="1" customHeight="1">
      <c r="A3450" s="52" t="s">
        <v>174</v>
      </c>
      <c r="B3450" s="53">
        <v>2021</v>
      </c>
      <c r="C3450" s="52" t="s">
        <v>125</v>
      </c>
      <c r="D3450" s="54">
        <v>3</v>
      </c>
      <c r="E3450" s="55">
        <v>10554</v>
      </c>
      <c r="F3450" s="55">
        <v>95.6</v>
      </c>
      <c r="G3450" s="55">
        <v>10649.6</v>
      </c>
      <c r="H3450" s="55">
        <v>120509.1</v>
      </c>
      <c r="I3450" s="55">
        <v>8227.9</v>
      </c>
      <c r="J3450" s="55">
        <v>128737</v>
      </c>
      <c r="K3450" s="55">
        <v>41447.4</v>
      </c>
      <c r="L3450" s="55">
        <v>1366.6</v>
      </c>
      <c r="M3450" s="55">
        <v>3524.6</v>
      </c>
      <c r="N3450" s="55">
        <v>6772.2</v>
      </c>
    </row>
    <row r="3451" spans="1:14" ht="10.050000000000001" hidden="1" customHeight="1">
      <c r="A3451" s="52" t="s">
        <v>314</v>
      </c>
      <c r="B3451" s="53">
        <v>2021</v>
      </c>
      <c r="C3451" s="52" t="s">
        <v>125</v>
      </c>
      <c r="D3451" s="54">
        <v>4</v>
      </c>
      <c r="E3451" s="55">
        <v>0</v>
      </c>
      <c r="F3451" s="55">
        <v>0</v>
      </c>
      <c r="G3451" s="55">
        <v>0</v>
      </c>
      <c r="H3451" s="55">
        <v>115.5</v>
      </c>
      <c r="I3451" s="55">
        <v>0</v>
      </c>
      <c r="J3451" s="55">
        <v>115.5</v>
      </c>
      <c r="K3451" s="55">
        <v>4.5</v>
      </c>
      <c r="L3451" s="55">
        <v>0</v>
      </c>
      <c r="M3451" s="55">
        <v>0</v>
      </c>
      <c r="N3451" s="55">
        <v>0</v>
      </c>
    </row>
    <row r="3452" spans="1:14" ht="10.050000000000001" hidden="1" customHeight="1">
      <c r="A3452" s="52" t="s">
        <v>306</v>
      </c>
      <c r="B3452" s="53">
        <v>2021</v>
      </c>
      <c r="C3452" s="52" t="s">
        <v>125</v>
      </c>
      <c r="D3452" s="54">
        <v>4</v>
      </c>
      <c r="E3452" s="55">
        <v>2792.7</v>
      </c>
      <c r="F3452" s="55">
        <v>94.4</v>
      </c>
      <c r="G3452" s="55">
        <v>2887.1</v>
      </c>
      <c r="H3452" s="55">
        <v>66971</v>
      </c>
      <c r="I3452" s="55">
        <v>1248.7</v>
      </c>
      <c r="J3452" s="55">
        <v>68219.7</v>
      </c>
      <c r="K3452" s="55">
        <v>3135.3</v>
      </c>
      <c r="L3452" s="55">
        <v>198.6</v>
      </c>
      <c r="M3452" s="55">
        <v>1060.9000000000001</v>
      </c>
      <c r="N3452" s="55">
        <v>388.6</v>
      </c>
    </row>
    <row r="3453" spans="1:14" ht="10.050000000000001" hidden="1" customHeight="1">
      <c r="A3453" s="52" t="s">
        <v>172</v>
      </c>
      <c r="B3453" s="53">
        <v>2021</v>
      </c>
      <c r="C3453" s="52" t="s">
        <v>125</v>
      </c>
      <c r="D3453" s="54">
        <v>4</v>
      </c>
      <c r="E3453" s="55">
        <v>56207.4</v>
      </c>
      <c r="F3453" s="55">
        <v>0</v>
      </c>
      <c r="G3453" s="55">
        <v>56207.4</v>
      </c>
      <c r="H3453" s="55">
        <v>269405.3</v>
      </c>
      <c r="I3453" s="55">
        <v>4957.6000000000004</v>
      </c>
      <c r="J3453" s="55">
        <v>274362.90000000002</v>
      </c>
      <c r="K3453" s="55">
        <v>44904.3</v>
      </c>
      <c r="L3453" s="55">
        <v>7785.4</v>
      </c>
      <c r="M3453" s="55">
        <v>23335.8</v>
      </c>
      <c r="N3453" s="55">
        <v>817.3</v>
      </c>
    </row>
    <row r="3454" spans="1:14" ht="10.050000000000001" hidden="1" customHeight="1">
      <c r="A3454" s="52" t="s">
        <v>171</v>
      </c>
      <c r="B3454" s="53">
        <v>2021</v>
      </c>
      <c r="C3454" s="52" t="s">
        <v>125</v>
      </c>
      <c r="D3454" s="54">
        <v>4</v>
      </c>
      <c r="E3454" s="55">
        <v>884388.3</v>
      </c>
      <c r="F3454" s="55">
        <v>1180.5999999999999</v>
      </c>
      <c r="G3454" s="55">
        <v>885568.9</v>
      </c>
      <c r="H3454" s="55">
        <v>4670979.4000000004</v>
      </c>
      <c r="I3454" s="55">
        <v>58332.9</v>
      </c>
      <c r="J3454" s="55">
        <v>4729312.3</v>
      </c>
      <c r="K3454" s="55">
        <v>510940.6</v>
      </c>
      <c r="L3454" s="55">
        <v>118491.9</v>
      </c>
      <c r="M3454" s="55">
        <v>387348.2</v>
      </c>
      <c r="N3454" s="55">
        <v>23565.599999999999</v>
      </c>
    </row>
    <row r="3455" spans="1:14" ht="10.050000000000001" hidden="1" customHeight="1">
      <c r="A3455" s="52" t="s">
        <v>300</v>
      </c>
      <c r="B3455" s="53">
        <v>2021</v>
      </c>
      <c r="C3455" s="52" t="s">
        <v>125</v>
      </c>
      <c r="D3455" s="54">
        <v>4</v>
      </c>
      <c r="E3455" s="55">
        <v>242.3</v>
      </c>
      <c r="F3455" s="55">
        <v>0</v>
      </c>
      <c r="G3455" s="55">
        <v>242.3</v>
      </c>
      <c r="H3455" s="55">
        <v>5018.6000000000004</v>
      </c>
      <c r="I3455" s="55">
        <v>80.8</v>
      </c>
      <c r="J3455" s="55">
        <v>5099.3999999999996</v>
      </c>
      <c r="K3455" s="55">
        <v>66.7</v>
      </c>
      <c r="L3455" s="55">
        <v>47.8</v>
      </c>
      <c r="M3455" s="55">
        <v>9.3000000000000007</v>
      </c>
      <c r="N3455" s="55">
        <v>17.3</v>
      </c>
    </row>
    <row r="3456" spans="1:14" ht="10.050000000000001" hidden="1" customHeight="1">
      <c r="A3456" s="52" t="s">
        <v>307</v>
      </c>
      <c r="B3456" s="53">
        <v>2021</v>
      </c>
      <c r="C3456" s="52" t="s">
        <v>125</v>
      </c>
      <c r="D3456" s="54">
        <v>4</v>
      </c>
      <c r="E3456" s="55">
        <v>226947.6</v>
      </c>
      <c r="F3456" s="55">
        <v>0</v>
      </c>
      <c r="G3456" s="55">
        <v>226947.6</v>
      </c>
      <c r="H3456" s="55">
        <v>2730111.7</v>
      </c>
      <c r="I3456" s="55">
        <v>70034.899999999994</v>
      </c>
      <c r="J3456" s="55">
        <v>2800146.6</v>
      </c>
      <c r="K3456" s="55">
        <v>572971.9</v>
      </c>
      <c r="L3456" s="55">
        <v>61320.2</v>
      </c>
      <c r="M3456" s="55">
        <v>108703.4</v>
      </c>
      <c r="N3456" s="55">
        <v>45899.1</v>
      </c>
    </row>
    <row r="3457" spans="1:14" ht="10.050000000000001" hidden="1" customHeight="1">
      <c r="A3457" s="52" t="s">
        <v>315</v>
      </c>
      <c r="B3457" s="53">
        <v>2021</v>
      </c>
      <c r="C3457" s="52" t="s">
        <v>125</v>
      </c>
      <c r="D3457" s="54">
        <v>4</v>
      </c>
      <c r="E3457" s="55">
        <v>1792.5</v>
      </c>
      <c r="F3457" s="55">
        <v>0</v>
      </c>
      <c r="G3457" s="55">
        <v>1792.5</v>
      </c>
      <c r="H3457" s="55">
        <v>37212.699999999997</v>
      </c>
      <c r="I3457" s="55">
        <v>0</v>
      </c>
      <c r="J3457" s="55">
        <v>37212.699999999997</v>
      </c>
      <c r="K3457" s="55">
        <v>2327.1</v>
      </c>
      <c r="L3457" s="55">
        <v>87.5</v>
      </c>
      <c r="M3457" s="55">
        <v>1477.1</v>
      </c>
      <c r="N3457" s="55">
        <v>0.9</v>
      </c>
    </row>
    <row r="3458" spans="1:14" ht="10.050000000000001" hidden="1" customHeight="1">
      <c r="A3458" s="52" t="s">
        <v>311</v>
      </c>
      <c r="B3458" s="53">
        <v>2021</v>
      </c>
      <c r="C3458" s="52" t="s">
        <v>125</v>
      </c>
      <c r="D3458" s="54">
        <v>4</v>
      </c>
      <c r="E3458" s="55">
        <v>54.2</v>
      </c>
      <c r="F3458" s="55">
        <v>0</v>
      </c>
      <c r="G3458" s="55">
        <v>54.2</v>
      </c>
      <c r="H3458" s="55">
        <v>566.79999999999995</v>
      </c>
      <c r="I3458" s="55">
        <v>0</v>
      </c>
      <c r="J3458" s="55">
        <v>566.79999999999995</v>
      </c>
      <c r="K3458" s="55">
        <v>48.3</v>
      </c>
      <c r="L3458" s="55">
        <v>0</v>
      </c>
      <c r="M3458" s="55">
        <v>0</v>
      </c>
      <c r="N3458" s="55">
        <v>7.2</v>
      </c>
    </row>
    <row r="3459" spans="1:14" ht="10.050000000000001" hidden="1" customHeight="1">
      <c r="A3459" s="52" t="s">
        <v>173</v>
      </c>
      <c r="B3459" s="53">
        <v>2021</v>
      </c>
      <c r="C3459" s="52" t="s">
        <v>125</v>
      </c>
      <c r="D3459" s="54">
        <v>4</v>
      </c>
      <c r="E3459" s="55">
        <v>185865.3</v>
      </c>
      <c r="F3459" s="55">
        <v>2025.7</v>
      </c>
      <c r="G3459" s="55">
        <v>187891</v>
      </c>
      <c r="H3459" s="55">
        <v>1635031.6</v>
      </c>
      <c r="I3459" s="55">
        <v>22347.599999999999</v>
      </c>
      <c r="J3459" s="55">
        <v>1657379.2</v>
      </c>
      <c r="K3459" s="55">
        <v>160206.79999999999</v>
      </c>
      <c r="L3459" s="55">
        <v>20498.5</v>
      </c>
      <c r="M3459" s="55">
        <v>77289.899999999994</v>
      </c>
      <c r="N3459" s="55">
        <v>16688</v>
      </c>
    </row>
    <row r="3460" spans="1:14" ht="10.050000000000001" customHeight="1">
      <c r="A3460" s="52" t="s">
        <v>309</v>
      </c>
      <c r="B3460" s="53">
        <v>2021</v>
      </c>
      <c r="C3460" s="52" t="s">
        <v>125</v>
      </c>
      <c r="D3460" s="54">
        <v>4</v>
      </c>
      <c r="E3460" s="55">
        <v>508.6</v>
      </c>
      <c r="F3460" s="55">
        <v>0</v>
      </c>
      <c r="G3460" s="55">
        <v>508.6</v>
      </c>
      <c r="H3460" s="55">
        <v>39412.699999999997</v>
      </c>
      <c r="I3460" s="55">
        <v>1734.7</v>
      </c>
      <c r="J3460" s="55">
        <v>41147.4</v>
      </c>
      <c r="K3460" s="55">
        <v>2524.8000000000002</v>
      </c>
      <c r="L3460" s="55">
        <v>0</v>
      </c>
      <c r="M3460" s="55">
        <v>0</v>
      </c>
      <c r="N3460" s="55">
        <v>0</v>
      </c>
    </row>
    <row r="3461" spans="1:14" ht="10.050000000000001" hidden="1" customHeight="1">
      <c r="A3461" s="52" t="s">
        <v>316</v>
      </c>
      <c r="B3461" s="53">
        <v>2021</v>
      </c>
      <c r="C3461" s="52" t="s">
        <v>125</v>
      </c>
      <c r="D3461" s="54">
        <v>4</v>
      </c>
      <c r="E3461" s="55">
        <v>304.89999999999998</v>
      </c>
      <c r="F3461" s="55">
        <v>20.7</v>
      </c>
      <c r="G3461" s="55">
        <v>325.60000000000002</v>
      </c>
      <c r="H3461" s="55">
        <v>11068.9</v>
      </c>
      <c r="I3461" s="55">
        <v>120.3</v>
      </c>
      <c r="J3461" s="55">
        <v>11189.2</v>
      </c>
      <c r="K3461" s="55">
        <v>198.5</v>
      </c>
      <c r="L3461" s="55">
        <v>40.1</v>
      </c>
      <c r="M3461" s="55">
        <v>131.1</v>
      </c>
      <c r="N3461" s="55">
        <v>29</v>
      </c>
    </row>
    <row r="3462" spans="1:14" ht="10.050000000000001" hidden="1" customHeight="1">
      <c r="A3462" s="52" t="s">
        <v>310</v>
      </c>
      <c r="B3462" s="53">
        <v>2021</v>
      </c>
      <c r="C3462" s="52" t="s">
        <v>125</v>
      </c>
      <c r="D3462" s="54">
        <v>4</v>
      </c>
      <c r="E3462" s="55">
        <v>1216.3</v>
      </c>
      <c r="F3462" s="55">
        <v>15.3</v>
      </c>
      <c r="G3462" s="55">
        <v>1231.5999999999999</v>
      </c>
      <c r="H3462" s="55">
        <v>20225.7</v>
      </c>
      <c r="I3462" s="55">
        <v>1898.3</v>
      </c>
      <c r="J3462" s="55">
        <v>22124</v>
      </c>
      <c r="K3462" s="55">
        <v>1407.9</v>
      </c>
      <c r="L3462" s="55">
        <v>159</v>
      </c>
      <c r="M3462" s="55">
        <v>495.2</v>
      </c>
      <c r="N3462" s="55">
        <v>57.1</v>
      </c>
    </row>
    <row r="3463" spans="1:14" ht="10.050000000000001" hidden="1" customHeight="1">
      <c r="A3463" s="52" t="s">
        <v>308</v>
      </c>
      <c r="B3463" s="53">
        <v>2021</v>
      </c>
      <c r="C3463" s="52" t="s">
        <v>125</v>
      </c>
      <c r="D3463" s="54">
        <v>4</v>
      </c>
      <c r="E3463" s="55">
        <v>2280.9</v>
      </c>
      <c r="F3463" s="55">
        <v>0</v>
      </c>
      <c r="G3463" s="55">
        <v>2280.9</v>
      </c>
      <c r="H3463" s="55">
        <v>80474.5</v>
      </c>
      <c r="I3463" s="55">
        <v>853.7</v>
      </c>
      <c r="J3463" s="55">
        <v>81328.2</v>
      </c>
      <c r="K3463" s="55">
        <v>5689.6</v>
      </c>
      <c r="L3463" s="55">
        <v>43.7</v>
      </c>
      <c r="M3463" s="55">
        <v>1537</v>
      </c>
      <c r="N3463" s="55">
        <v>431.1</v>
      </c>
    </row>
    <row r="3464" spans="1:14" ht="10.050000000000001" hidden="1" customHeight="1">
      <c r="A3464" s="52" t="s">
        <v>174</v>
      </c>
      <c r="B3464" s="53">
        <v>2021</v>
      </c>
      <c r="C3464" s="52" t="s">
        <v>125</v>
      </c>
      <c r="D3464" s="54">
        <v>4</v>
      </c>
      <c r="E3464" s="55">
        <v>8141.9</v>
      </c>
      <c r="F3464" s="55">
        <v>0</v>
      </c>
      <c r="G3464" s="55">
        <v>8141.9</v>
      </c>
      <c r="H3464" s="55">
        <v>91071</v>
      </c>
      <c r="I3464" s="55">
        <v>7620.5</v>
      </c>
      <c r="J3464" s="55">
        <v>98691.5</v>
      </c>
      <c r="K3464" s="55">
        <v>34975.5</v>
      </c>
      <c r="L3464" s="55">
        <v>1238.4000000000001</v>
      </c>
      <c r="M3464" s="55">
        <v>2646</v>
      </c>
      <c r="N3464" s="55">
        <v>5198.2</v>
      </c>
    </row>
    <row r="3465" spans="1:14" ht="10.050000000000001" hidden="1" customHeight="1">
      <c r="A3465" s="52" t="s">
        <v>314</v>
      </c>
      <c r="B3465" s="53">
        <v>2021</v>
      </c>
      <c r="C3465" s="52" t="s">
        <v>125</v>
      </c>
      <c r="D3465" s="54">
        <v>5</v>
      </c>
      <c r="E3465" s="55">
        <v>0</v>
      </c>
      <c r="F3465" s="55">
        <v>0</v>
      </c>
      <c r="G3465" s="55">
        <v>0</v>
      </c>
      <c r="H3465" s="55">
        <v>107.9</v>
      </c>
      <c r="I3465" s="55">
        <v>0</v>
      </c>
      <c r="J3465" s="55">
        <v>107.9</v>
      </c>
      <c r="K3465" s="55">
        <v>4.5</v>
      </c>
      <c r="L3465" s="55">
        <v>0</v>
      </c>
      <c r="M3465" s="55">
        <v>0</v>
      </c>
      <c r="N3465" s="55">
        <v>0</v>
      </c>
    </row>
    <row r="3466" spans="1:14" ht="10.050000000000001" hidden="1" customHeight="1">
      <c r="A3466" s="52" t="s">
        <v>306</v>
      </c>
      <c r="B3466" s="53">
        <v>2021</v>
      </c>
      <c r="C3466" s="52" t="s">
        <v>125</v>
      </c>
      <c r="D3466" s="54">
        <v>5</v>
      </c>
      <c r="E3466" s="55">
        <v>2877.6</v>
      </c>
      <c r="F3466" s="55">
        <v>0</v>
      </c>
      <c r="G3466" s="55">
        <v>2877.6</v>
      </c>
      <c r="H3466" s="55">
        <v>53808.1</v>
      </c>
      <c r="I3466" s="55">
        <v>1236.0999999999999</v>
      </c>
      <c r="J3466" s="55">
        <v>55044.2</v>
      </c>
      <c r="K3466" s="55">
        <v>2220.5</v>
      </c>
      <c r="L3466" s="55">
        <v>449.6</v>
      </c>
      <c r="M3466" s="55">
        <v>981.2</v>
      </c>
      <c r="N3466" s="55">
        <v>425.3</v>
      </c>
    </row>
    <row r="3467" spans="1:14" ht="10.050000000000001" hidden="1" customHeight="1">
      <c r="A3467" s="52" t="s">
        <v>172</v>
      </c>
      <c r="B3467" s="53">
        <v>2021</v>
      </c>
      <c r="C3467" s="52" t="s">
        <v>125</v>
      </c>
      <c r="D3467" s="54">
        <v>5</v>
      </c>
      <c r="E3467" s="55">
        <v>51900.5</v>
      </c>
      <c r="F3467" s="55">
        <v>0</v>
      </c>
      <c r="G3467" s="55">
        <v>51900.5</v>
      </c>
      <c r="H3467" s="55">
        <v>201101.3</v>
      </c>
      <c r="I3467" s="55">
        <v>4660.3</v>
      </c>
      <c r="J3467" s="55">
        <v>205761.6</v>
      </c>
      <c r="K3467" s="55">
        <v>26976</v>
      </c>
      <c r="L3467" s="55">
        <v>5546.6</v>
      </c>
      <c r="M3467" s="55">
        <v>20995.599999999999</v>
      </c>
      <c r="N3467" s="55">
        <v>2479.4</v>
      </c>
    </row>
    <row r="3468" spans="1:14" ht="10.050000000000001" hidden="1" customHeight="1">
      <c r="A3468" s="52" t="s">
        <v>171</v>
      </c>
      <c r="B3468" s="53">
        <v>2021</v>
      </c>
      <c r="C3468" s="52" t="s">
        <v>125</v>
      </c>
      <c r="D3468" s="54">
        <v>5</v>
      </c>
      <c r="E3468" s="55">
        <v>671504.700000001</v>
      </c>
      <c r="F3468" s="55">
        <v>627.29999999999995</v>
      </c>
      <c r="G3468" s="55">
        <v>672132</v>
      </c>
      <c r="H3468" s="55">
        <v>3200079.8</v>
      </c>
      <c r="I3468" s="55">
        <v>54588.5</v>
      </c>
      <c r="J3468" s="55">
        <v>3254668.3</v>
      </c>
      <c r="K3468" s="55">
        <v>193553.5</v>
      </c>
      <c r="L3468" s="55">
        <v>74091.399999999994</v>
      </c>
      <c r="M3468" s="55">
        <v>335262.90000000002</v>
      </c>
      <c r="N3468" s="55">
        <v>58279.7</v>
      </c>
    </row>
    <row r="3469" spans="1:14" ht="10.050000000000001" hidden="1" customHeight="1">
      <c r="A3469" s="52" t="s">
        <v>300</v>
      </c>
      <c r="B3469" s="53">
        <v>2021</v>
      </c>
      <c r="C3469" s="52" t="s">
        <v>125</v>
      </c>
      <c r="D3469" s="54">
        <v>5</v>
      </c>
      <c r="E3469" s="55">
        <v>263.3</v>
      </c>
      <c r="F3469" s="55">
        <v>0</v>
      </c>
      <c r="G3469" s="55">
        <v>263.3</v>
      </c>
      <c r="H3469" s="55">
        <v>4364</v>
      </c>
      <c r="I3469" s="55">
        <v>79.8</v>
      </c>
      <c r="J3469" s="55">
        <v>4443.8</v>
      </c>
      <c r="K3469" s="55">
        <v>60.5</v>
      </c>
      <c r="L3469" s="55">
        <v>0</v>
      </c>
      <c r="M3469" s="55">
        <v>1</v>
      </c>
      <c r="N3469" s="55">
        <v>5.2</v>
      </c>
    </row>
    <row r="3470" spans="1:14" ht="10.050000000000001" hidden="1" customHeight="1">
      <c r="A3470" s="52" t="s">
        <v>307</v>
      </c>
      <c r="B3470" s="53">
        <v>2021</v>
      </c>
      <c r="C3470" s="52" t="s">
        <v>125</v>
      </c>
      <c r="D3470" s="54">
        <v>5</v>
      </c>
      <c r="E3470" s="55">
        <v>221448.2</v>
      </c>
      <c r="F3470" s="55">
        <v>276.10000000000002</v>
      </c>
      <c r="G3470" s="55">
        <v>221724.3</v>
      </c>
      <c r="H3470" s="55">
        <v>2072259.9</v>
      </c>
      <c r="I3470" s="55">
        <v>69954.3</v>
      </c>
      <c r="J3470" s="55">
        <v>2142214.2000000002</v>
      </c>
      <c r="K3470" s="55">
        <v>462777.7</v>
      </c>
      <c r="L3470" s="55">
        <v>39296.6</v>
      </c>
      <c r="M3470" s="55">
        <v>107953.8</v>
      </c>
      <c r="N3470" s="55">
        <v>45082.9</v>
      </c>
    </row>
    <row r="3471" spans="1:14" ht="10.050000000000001" hidden="1" customHeight="1">
      <c r="A3471" s="52" t="s">
        <v>315</v>
      </c>
      <c r="B3471" s="53">
        <v>2021</v>
      </c>
      <c r="C3471" s="52" t="s">
        <v>125</v>
      </c>
      <c r="D3471" s="54">
        <v>5</v>
      </c>
      <c r="E3471" s="55">
        <v>1389</v>
      </c>
      <c r="F3471" s="55">
        <v>0</v>
      </c>
      <c r="G3471" s="55">
        <v>1389</v>
      </c>
      <c r="H3471" s="55">
        <v>33857.5</v>
      </c>
      <c r="I3471" s="55">
        <v>0</v>
      </c>
      <c r="J3471" s="55">
        <v>33857.5</v>
      </c>
      <c r="K3471" s="55">
        <v>1311.1</v>
      </c>
      <c r="L3471" s="55">
        <v>30.9</v>
      </c>
      <c r="M3471" s="55">
        <v>878.7</v>
      </c>
      <c r="N3471" s="55">
        <v>184.7</v>
      </c>
    </row>
    <row r="3472" spans="1:14" ht="10.050000000000001" hidden="1" customHeight="1">
      <c r="A3472" s="52" t="s">
        <v>311</v>
      </c>
      <c r="B3472" s="53">
        <v>2021</v>
      </c>
      <c r="C3472" s="52" t="s">
        <v>125</v>
      </c>
      <c r="D3472" s="54">
        <v>5</v>
      </c>
      <c r="E3472" s="55">
        <v>30.4</v>
      </c>
      <c r="F3472" s="55">
        <v>0</v>
      </c>
      <c r="G3472" s="55">
        <v>30.4</v>
      </c>
      <c r="H3472" s="55">
        <v>581</v>
      </c>
      <c r="I3472" s="55">
        <v>0</v>
      </c>
      <c r="J3472" s="55">
        <v>581</v>
      </c>
      <c r="K3472" s="55">
        <v>20.5</v>
      </c>
      <c r="L3472" s="55">
        <v>0</v>
      </c>
      <c r="M3472" s="55">
        <v>0</v>
      </c>
      <c r="N3472" s="55">
        <v>27.9</v>
      </c>
    </row>
    <row r="3473" spans="1:14" ht="10.050000000000001" hidden="1" customHeight="1">
      <c r="A3473" s="52" t="s">
        <v>173</v>
      </c>
      <c r="B3473" s="53">
        <v>2021</v>
      </c>
      <c r="C3473" s="52" t="s">
        <v>125</v>
      </c>
      <c r="D3473" s="54">
        <v>5</v>
      </c>
      <c r="E3473" s="55">
        <v>127765.2</v>
      </c>
      <c r="F3473" s="55">
        <v>431.3</v>
      </c>
      <c r="G3473" s="55">
        <v>128196.5</v>
      </c>
      <c r="H3473" s="55">
        <v>1102391.1000000001</v>
      </c>
      <c r="I3473" s="55">
        <v>19578</v>
      </c>
      <c r="J3473" s="55">
        <v>1121969.1000000001</v>
      </c>
      <c r="K3473" s="55">
        <v>93653</v>
      </c>
      <c r="L3473" s="55">
        <v>13929.3</v>
      </c>
      <c r="M3473" s="55">
        <v>62064.1</v>
      </c>
      <c r="N3473" s="55">
        <v>18633.7</v>
      </c>
    </row>
    <row r="3474" spans="1:14" ht="10.050000000000001" customHeight="1">
      <c r="A3474" s="52" t="s">
        <v>309</v>
      </c>
      <c r="B3474" s="53">
        <v>2021</v>
      </c>
      <c r="C3474" s="52" t="s">
        <v>125</v>
      </c>
      <c r="D3474" s="54">
        <v>5</v>
      </c>
      <c r="E3474" s="55">
        <v>2404.6</v>
      </c>
      <c r="F3474" s="55">
        <v>0</v>
      </c>
      <c r="G3474" s="55">
        <v>2404.6</v>
      </c>
      <c r="H3474" s="55">
        <v>37372.699999999997</v>
      </c>
      <c r="I3474" s="55">
        <v>1408</v>
      </c>
      <c r="J3474" s="55">
        <v>38780.699999999997</v>
      </c>
      <c r="K3474" s="55">
        <v>876.9</v>
      </c>
      <c r="L3474" s="55">
        <v>0</v>
      </c>
      <c r="M3474" s="55">
        <v>1647.9</v>
      </c>
      <c r="N3474" s="55">
        <v>0</v>
      </c>
    </row>
    <row r="3475" spans="1:14" ht="10.050000000000001" hidden="1" customHeight="1">
      <c r="A3475" s="52" t="s">
        <v>316</v>
      </c>
      <c r="B3475" s="53">
        <v>2021</v>
      </c>
      <c r="C3475" s="52" t="s">
        <v>125</v>
      </c>
      <c r="D3475" s="54">
        <v>5</v>
      </c>
      <c r="E3475" s="55">
        <v>270.2</v>
      </c>
      <c r="F3475" s="55">
        <v>0</v>
      </c>
      <c r="G3475" s="55">
        <v>270.2</v>
      </c>
      <c r="H3475" s="55">
        <v>9875.9</v>
      </c>
      <c r="I3475" s="55">
        <v>121</v>
      </c>
      <c r="J3475" s="55">
        <v>9996.9</v>
      </c>
      <c r="K3475" s="55">
        <v>138.6</v>
      </c>
      <c r="L3475" s="55">
        <v>28.5</v>
      </c>
      <c r="M3475" s="55">
        <v>75.400000000000006</v>
      </c>
      <c r="N3475" s="55">
        <v>22.6</v>
      </c>
    </row>
    <row r="3476" spans="1:14" ht="10.050000000000001" hidden="1" customHeight="1">
      <c r="A3476" s="52" t="s">
        <v>310</v>
      </c>
      <c r="B3476" s="53">
        <v>2021</v>
      </c>
      <c r="C3476" s="52" t="s">
        <v>125</v>
      </c>
      <c r="D3476" s="54">
        <v>5</v>
      </c>
      <c r="E3476" s="55">
        <v>859.9</v>
      </c>
      <c r="F3476" s="55">
        <v>0</v>
      </c>
      <c r="G3476" s="55">
        <v>859.9</v>
      </c>
      <c r="H3476" s="55">
        <v>17610</v>
      </c>
      <c r="I3476" s="55">
        <v>1885.4</v>
      </c>
      <c r="J3476" s="55">
        <v>19495.400000000001</v>
      </c>
      <c r="K3476" s="55">
        <v>1308.9000000000001</v>
      </c>
      <c r="L3476" s="55">
        <v>133.30000000000001</v>
      </c>
      <c r="M3476" s="55">
        <v>219.1</v>
      </c>
      <c r="N3476" s="55">
        <v>34</v>
      </c>
    </row>
    <row r="3477" spans="1:14" ht="10.050000000000001" hidden="1" customHeight="1">
      <c r="A3477" s="52" t="s">
        <v>308</v>
      </c>
      <c r="B3477" s="53">
        <v>2021</v>
      </c>
      <c r="C3477" s="52" t="s">
        <v>125</v>
      </c>
      <c r="D3477" s="54">
        <v>5</v>
      </c>
      <c r="E3477" s="55">
        <v>3007.5</v>
      </c>
      <c r="F3477" s="55">
        <v>0</v>
      </c>
      <c r="G3477" s="55">
        <v>3007.5</v>
      </c>
      <c r="H3477" s="55">
        <v>53561.599999999999</v>
      </c>
      <c r="I3477" s="55">
        <v>853.7</v>
      </c>
      <c r="J3477" s="55">
        <v>54415.3</v>
      </c>
      <c r="K3477" s="55">
        <v>3224.4</v>
      </c>
      <c r="L3477" s="55">
        <v>-2.2000000000000002</v>
      </c>
      <c r="M3477" s="55">
        <v>1360.3</v>
      </c>
      <c r="N3477" s="55">
        <v>1105</v>
      </c>
    </row>
    <row r="3478" spans="1:14" ht="10.050000000000001" hidden="1" customHeight="1">
      <c r="A3478" s="52" t="s">
        <v>174</v>
      </c>
      <c r="B3478" s="53">
        <v>2021</v>
      </c>
      <c r="C3478" s="52" t="s">
        <v>125</v>
      </c>
      <c r="D3478" s="54">
        <v>5</v>
      </c>
      <c r="E3478" s="55">
        <v>6977.2</v>
      </c>
      <c r="F3478" s="55">
        <v>0</v>
      </c>
      <c r="G3478" s="55">
        <v>6977.2</v>
      </c>
      <c r="H3478" s="55">
        <v>65688.2</v>
      </c>
      <c r="I3478" s="55">
        <v>7543.2</v>
      </c>
      <c r="J3478" s="55">
        <v>73231.399999999907</v>
      </c>
      <c r="K3478" s="55">
        <v>29208</v>
      </c>
      <c r="L3478" s="55">
        <v>1815.9</v>
      </c>
      <c r="M3478" s="55">
        <v>3264.9</v>
      </c>
      <c r="N3478" s="55">
        <v>4542.6000000000004</v>
      </c>
    </row>
    <row r="3479" spans="1:14" ht="10.050000000000001" hidden="1" customHeight="1">
      <c r="A3479" s="52" t="s">
        <v>314</v>
      </c>
      <c r="B3479" s="53">
        <v>2021</v>
      </c>
      <c r="C3479" s="52" t="s">
        <v>125</v>
      </c>
      <c r="D3479" s="54">
        <v>6</v>
      </c>
      <c r="E3479" s="55">
        <v>0</v>
      </c>
      <c r="F3479" s="55">
        <v>0</v>
      </c>
      <c r="G3479" s="55">
        <v>0</v>
      </c>
      <c r="H3479" s="55">
        <v>98</v>
      </c>
      <c r="I3479" s="55">
        <v>0</v>
      </c>
      <c r="J3479" s="55">
        <v>98</v>
      </c>
      <c r="K3479" s="55">
        <v>4.5</v>
      </c>
      <c r="L3479" s="55">
        <v>0</v>
      </c>
      <c r="M3479" s="55">
        <v>0</v>
      </c>
      <c r="N3479" s="55">
        <v>0</v>
      </c>
    </row>
    <row r="3480" spans="1:14" ht="10.050000000000001" hidden="1" customHeight="1">
      <c r="A3480" s="52" t="s">
        <v>306</v>
      </c>
      <c r="B3480" s="53">
        <v>2021</v>
      </c>
      <c r="C3480" s="52" t="s">
        <v>125</v>
      </c>
      <c r="D3480" s="54">
        <v>6</v>
      </c>
      <c r="E3480" s="55">
        <v>3412.1</v>
      </c>
      <c r="F3480" s="55">
        <v>31.1</v>
      </c>
      <c r="G3480" s="55">
        <v>3443.2</v>
      </c>
      <c r="H3480" s="55">
        <v>32254.3</v>
      </c>
      <c r="I3480" s="55">
        <v>947.3</v>
      </c>
      <c r="J3480" s="55">
        <v>33201.599999999999</v>
      </c>
      <c r="K3480" s="55">
        <v>1409.7</v>
      </c>
      <c r="L3480" s="55">
        <v>1074.5999999999999</v>
      </c>
      <c r="M3480" s="55">
        <v>921.2</v>
      </c>
      <c r="N3480" s="55">
        <v>993.3</v>
      </c>
    </row>
    <row r="3481" spans="1:14" ht="10.050000000000001" hidden="1" customHeight="1">
      <c r="A3481" s="52" t="s">
        <v>172</v>
      </c>
      <c r="B3481" s="53">
        <v>2021</v>
      </c>
      <c r="C3481" s="52" t="s">
        <v>125</v>
      </c>
      <c r="D3481" s="54">
        <v>6</v>
      </c>
      <c r="E3481" s="55">
        <v>25256.799999999999</v>
      </c>
      <c r="F3481" s="55">
        <v>123.8</v>
      </c>
      <c r="G3481" s="55">
        <v>25380.6</v>
      </c>
      <c r="H3481" s="55">
        <v>95647.5</v>
      </c>
      <c r="I3481" s="55">
        <v>4284.5</v>
      </c>
      <c r="J3481" s="55">
        <v>99932</v>
      </c>
      <c r="K3481" s="55">
        <v>16175.3</v>
      </c>
      <c r="L3481" s="55">
        <v>4184.3999999999996</v>
      </c>
      <c r="M3481" s="55">
        <v>11076.9</v>
      </c>
      <c r="N3481" s="55">
        <v>3917.2</v>
      </c>
    </row>
    <row r="3482" spans="1:14" ht="10.050000000000001" hidden="1" customHeight="1">
      <c r="A3482" s="52" t="s">
        <v>171</v>
      </c>
      <c r="B3482" s="53">
        <v>2021</v>
      </c>
      <c r="C3482" s="52" t="s">
        <v>125</v>
      </c>
      <c r="D3482" s="54">
        <v>6</v>
      </c>
      <c r="E3482" s="55">
        <v>291439.59999999998</v>
      </c>
      <c r="F3482" s="55">
        <v>1335.2</v>
      </c>
      <c r="G3482" s="55">
        <v>292774.8</v>
      </c>
      <c r="H3482" s="55">
        <v>1518727.4</v>
      </c>
      <c r="I3482" s="55">
        <v>42714.8</v>
      </c>
      <c r="J3482" s="55">
        <v>1561442.2</v>
      </c>
      <c r="K3482" s="55">
        <v>70458.7</v>
      </c>
      <c r="L3482" s="55">
        <v>82071.8</v>
      </c>
      <c r="M3482" s="55">
        <v>108517.7</v>
      </c>
      <c r="N3482" s="55">
        <v>93966.6</v>
      </c>
    </row>
    <row r="3483" spans="1:14" ht="10.050000000000001" hidden="1" customHeight="1">
      <c r="A3483" s="52" t="s">
        <v>300</v>
      </c>
      <c r="B3483" s="53">
        <v>2021</v>
      </c>
      <c r="C3483" s="52" t="s">
        <v>125</v>
      </c>
      <c r="D3483" s="54">
        <v>6</v>
      </c>
      <c r="E3483" s="55">
        <v>582.4</v>
      </c>
      <c r="F3483" s="55">
        <v>0</v>
      </c>
      <c r="G3483" s="55">
        <v>582.4</v>
      </c>
      <c r="H3483" s="55">
        <v>2844.6</v>
      </c>
      <c r="I3483" s="55">
        <v>34.299999999999997</v>
      </c>
      <c r="J3483" s="55">
        <v>2878.9</v>
      </c>
      <c r="K3483" s="55">
        <v>24.2</v>
      </c>
      <c r="L3483" s="55">
        <v>4.8</v>
      </c>
      <c r="M3483" s="55">
        <v>3.4</v>
      </c>
      <c r="N3483" s="55">
        <v>37.700000000000003</v>
      </c>
    </row>
    <row r="3484" spans="1:14" ht="10.050000000000001" hidden="1" customHeight="1">
      <c r="A3484" s="52" t="s">
        <v>307</v>
      </c>
      <c r="B3484" s="53">
        <v>2021</v>
      </c>
      <c r="C3484" s="52" t="s">
        <v>125</v>
      </c>
      <c r="D3484" s="54">
        <v>6</v>
      </c>
      <c r="E3484" s="55">
        <v>451197.7</v>
      </c>
      <c r="F3484" s="55">
        <v>0</v>
      </c>
      <c r="G3484" s="55">
        <v>451197.7</v>
      </c>
      <c r="H3484" s="55">
        <v>1531103.5</v>
      </c>
      <c r="I3484" s="55">
        <v>62361.2</v>
      </c>
      <c r="J3484" s="55">
        <v>1593464.7</v>
      </c>
      <c r="K3484" s="55">
        <v>213940</v>
      </c>
      <c r="L3484" s="55">
        <v>60185.4</v>
      </c>
      <c r="M3484" s="55">
        <v>253674.1</v>
      </c>
      <c r="N3484" s="55">
        <v>55785.4</v>
      </c>
    </row>
    <row r="3485" spans="1:14" ht="10.050000000000001" hidden="1" customHeight="1">
      <c r="A3485" s="52" t="s">
        <v>315</v>
      </c>
      <c r="B3485" s="53">
        <v>2021</v>
      </c>
      <c r="C3485" s="52" t="s">
        <v>125</v>
      </c>
      <c r="D3485" s="54">
        <v>6</v>
      </c>
      <c r="E3485" s="55">
        <v>1256.9000000000001</v>
      </c>
      <c r="F3485" s="55">
        <v>0</v>
      </c>
      <c r="G3485" s="55">
        <v>1256.9000000000001</v>
      </c>
      <c r="H3485" s="55">
        <v>28269.5</v>
      </c>
      <c r="I3485" s="55">
        <v>0</v>
      </c>
      <c r="J3485" s="55">
        <v>28269.5</v>
      </c>
      <c r="K3485" s="55">
        <v>659.6</v>
      </c>
      <c r="L3485" s="55">
        <v>195.4</v>
      </c>
      <c r="M3485" s="55">
        <v>588.5</v>
      </c>
      <c r="N3485" s="55">
        <v>258.39999999999998</v>
      </c>
    </row>
    <row r="3486" spans="1:14" ht="10.050000000000001" hidden="1" customHeight="1">
      <c r="A3486" s="52" t="s">
        <v>311</v>
      </c>
      <c r="B3486" s="53">
        <v>2021</v>
      </c>
      <c r="C3486" s="52" t="s">
        <v>125</v>
      </c>
      <c r="D3486" s="54">
        <v>6</v>
      </c>
      <c r="E3486" s="55">
        <v>55</v>
      </c>
      <c r="F3486" s="55">
        <v>0</v>
      </c>
      <c r="G3486" s="55">
        <v>55</v>
      </c>
      <c r="H3486" s="55">
        <v>284.10000000000002</v>
      </c>
      <c r="I3486" s="55">
        <v>0</v>
      </c>
      <c r="J3486" s="55">
        <v>284.10000000000002</v>
      </c>
      <c r="K3486" s="55">
        <v>14.8</v>
      </c>
      <c r="L3486" s="55">
        <v>0</v>
      </c>
      <c r="M3486" s="55">
        <v>0</v>
      </c>
      <c r="N3486" s="55">
        <v>5.6</v>
      </c>
    </row>
    <row r="3487" spans="1:14" ht="10.050000000000001" hidden="1" customHeight="1">
      <c r="A3487" s="52" t="s">
        <v>173</v>
      </c>
      <c r="B3487" s="53">
        <v>2021</v>
      </c>
      <c r="C3487" s="52" t="s">
        <v>125</v>
      </c>
      <c r="D3487" s="54">
        <v>6</v>
      </c>
      <c r="E3487" s="55">
        <v>74561.2</v>
      </c>
      <c r="F3487" s="55">
        <v>2264.4</v>
      </c>
      <c r="G3487" s="55">
        <v>76825.600000000006</v>
      </c>
      <c r="H3487" s="55">
        <v>549580.5</v>
      </c>
      <c r="I3487" s="55">
        <v>13079.7</v>
      </c>
      <c r="J3487" s="55">
        <v>562660.19999999995</v>
      </c>
      <c r="K3487" s="55">
        <v>44831.199999999997</v>
      </c>
      <c r="L3487" s="55">
        <v>24132.6</v>
      </c>
      <c r="M3487" s="55">
        <v>30404.2</v>
      </c>
      <c r="N3487" s="55">
        <v>42724.800000000003</v>
      </c>
    </row>
    <row r="3488" spans="1:14" ht="10.050000000000001" customHeight="1">
      <c r="A3488" s="52" t="s">
        <v>309</v>
      </c>
      <c r="B3488" s="53">
        <v>2021</v>
      </c>
      <c r="C3488" s="52" t="s">
        <v>125</v>
      </c>
      <c r="D3488" s="54">
        <v>6</v>
      </c>
      <c r="E3488" s="55">
        <v>916.3</v>
      </c>
      <c r="F3488" s="55">
        <v>110</v>
      </c>
      <c r="G3488" s="55">
        <v>1026.3</v>
      </c>
      <c r="H3488" s="55">
        <v>29918.7</v>
      </c>
      <c r="I3488" s="55">
        <v>1010</v>
      </c>
      <c r="J3488" s="55">
        <v>30928.7</v>
      </c>
      <c r="K3488" s="55">
        <v>876.9</v>
      </c>
      <c r="L3488" s="55">
        <v>0</v>
      </c>
      <c r="M3488" s="55">
        <v>0</v>
      </c>
      <c r="N3488" s="55">
        <v>0</v>
      </c>
    </row>
    <row r="3489" spans="1:14" ht="10.050000000000001" hidden="1" customHeight="1">
      <c r="A3489" s="52" t="s">
        <v>316</v>
      </c>
      <c r="B3489" s="53">
        <v>2021</v>
      </c>
      <c r="C3489" s="52" t="s">
        <v>125</v>
      </c>
      <c r="D3489" s="54">
        <v>6</v>
      </c>
      <c r="E3489" s="55">
        <v>392.4</v>
      </c>
      <c r="F3489" s="55">
        <v>0</v>
      </c>
      <c r="G3489" s="55">
        <v>392.4</v>
      </c>
      <c r="H3489" s="55">
        <v>7724.6</v>
      </c>
      <c r="I3489" s="55">
        <v>121.2</v>
      </c>
      <c r="J3489" s="55">
        <v>7845.8</v>
      </c>
      <c r="K3489" s="55">
        <v>69.599999999999994</v>
      </c>
      <c r="L3489" s="55">
        <v>21.3</v>
      </c>
      <c r="M3489" s="55">
        <v>35.5</v>
      </c>
      <c r="N3489" s="55">
        <v>54.3</v>
      </c>
    </row>
    <row r="3490" spans="1:14" ht="10.050000000000001" hidden="1" customHeight="1">
      <c r="A3490" s="52" t="s">
        <v>310</v>
      </c>
      <c r="B3490" s="53">
        <v>2021</v>
      </c>
      <c r="C3490" s="52" t="s">
        <v>125</v>
      </c>
      <c r="D3490" s="54">
        <v>6</v>
      </c>
      <c r="E3490" s="55">
        <v>1325.9</v>
      </c>
      <c r="F3490" s="55">
        <v>0</v>
      </c>
      <c r="G3490" s="55">
        <v>1325.9</v>
      </c>
      <c r="H3490" s="55">
        <v>11021.5</v>
      </c>
      <c r="I3490" s="55">
        <v>1137.2</v>
      </c>
      <c r="J3490" s="55">
        <v>12158.7</v>
      </c>
      <c r="K3490" s="55">
        <v>388.6</v>
      </c>
      <c r="L3490" s="55">
        <v>33.799999999999997</v>
      </c>
      <c r="M3490" s="55">
        <v>306.5</v>
      </c>
      <c r="N3490" s="55">
        <v>609.20000000000005</v>
      </c>
    </row>
    <row r="3491" spans="1:14" ht="10.050000000000001" hidden="1" customHeight="1">
      <c r="A3491" s="52" t="s">
        <v>308</v>
      </c>
      <c r="B3491" s="53">
        <v>2021</v>
      </c>
      <c r="C3491" s="52" t="s">
        <v>125</v>
      </c>
      <c r="D3491" s="54">
        <v>6</v>
      </c>
      <c r="E3491" s="55">
        <v>1497.3</v>
      </c>
      <c r="F3491" s="55">
        <v>0</v>
      </c>
      <c r="G3491" s="55">
        <v>1497.3</v>
      </c>
      <c r="H3491" s="55">
        <v>23723.9</v>
      </c>
      <c r="I3491" s="55">
        <v>224.8</v>
      </c>
      <c r="J3491" s="55">
        <v>23948.7</v>
      </c>
      <c r="K3491" s="55">
        <v>944.9</v>
      </c>
      <c r="L3491" s="55">
        <v>216.5</v>
      </c>
      <c r="M3491" s="55">
        <v>813.5</v>
      </c>
      <c r="N3491" s="55">
        <v>1682.6</v>
      </c>
    </row>
    <row r="3492" spans="1:14" ht="10.050000000000001" hidden="1" customHeight="1">
      <c r="A3492" s="52" t="s">
        <v>174</v>
      </c>
      <c r="B3492" s="53">
        <v>2021</v>
      </c>
      <c r="C3492" s="52" t="s">
        <v>125</v>
      </c>
      <c r="D3492" s="54">
        <v>6</v>
      </c>
      <c r="E3492" s="55">
        <v>13732.1</v>
      </c>
      <c r="F3492" s="55">
        <v>408.8</v>
      </c>
      <c r="G3492" s="55">
        <v>14140.9</v>
      </c>
      <c r="H3492" s="55">
        <v>33644.199999999997</v>
      </c>
      <c r="I3492" s="55">
        <v>6179</v>
      </c>
      <c r="J3492" s="55">
        <v>39823.199999999997</v>
      </c>
      <c r="K3492" s="55">
        <v>17121.599999999999</v>
      </c>
      <c r="L3492" s="55">
        <v>3622.5</v>
      </c>
      <c r="M3492" s="55">
        <v>6101.2</v>
      </c>
      <c r="N3492" s="55">
        <v>9724.2000000000007</v>
      </c>
    </row>
    <row r="3493" spans="1:14" ht="10.050000000000001" hidden="1" customHeight="1">
      <c r="A3493" s="52" t="s">
        <v>314</v>
      </c>
      <c r="B3493" s="53">
        <v>2021</v>
      </c>
      <c r="C3493" s="52" t="s">
        <v>126</v>
      </c>
      <c r="D3493" s="54">
        <v>7</v>
      </c>
      <c r="E3493" s="55">
        <v>0</v>
      </c>
      <c r="F3493" s="55">
        <v>0</v>
      </c>
      <c r="G3493" s="55">
        <v>0</v>
      </c>
      <c r="H3493" s="55">
        <v>86</v>
      </c>
      <c r="I3493" s="55">
        <v>0</v>
      </c>
      <c r="J3493" s="55">
        <v>86</v>
      </c>
      <c r="K3493" s="55">
        <v>4.5</v>
      </c>
      <c r="L3493" s="55">
        <v>0</v>
      </c>
      <c r="M3493" s="55">
        <v>0</v>
      </c>
      <c r="N3493" s="55">
        <v>0</v>
      </c>
    </row>
    <row r="3494" spans="1:14" ht="10.050000000000001" hidden="1" customHeight="1">
      <c r="A3494" s="52" t="s">
        <v>306</v>
      </c>
      <c r="B3494" s="53">
        <v>2021</v>
      </c>
      <c r="C3494" s="52" t="s">
        <v>126</v>
      </c>
      <c r="D3494" s="54">
        <v>7</v>
      </c>
      <c r="E3494" s="55">
        <v>80685.5</v>
      </c>
      <c r="F3494" s="55">
        <v>1187</v>
      </c>
      <c r="G3494" s="55">
        <v>81872.5</v>
      </c>
      <c r="H3494" s="55">
        <v>97060.3</v>
      </c>
      <c r="I3494" s="55">
        <v>1920.8</v>
      </c>
      <c r="J3494" s="55">
        <v>98981.1</v>
      </c>
      <c r="K3494" s="55">
        <v>36843.4</v>
      </c>
      <c r="L3494" s="55">
        <v>40522.400000000001</v>
      </c>
      <c r="M3494" s="55">
        <v>4676.7</v>
      </c>
      <c r="N3494" s="55">
        <v>326</v>
      </c>
    </row>
    <row r="3495" spans="1:14" ht="10.050000000000001" hidden="1" customHeight="1">
      <c r="A3495" s="52" t="s">
        <v>172</v>
      </c>
      <c r="B3495" s="53">
        <v>2021</v>
      </c>
      <c r="C3495" s="52" t="s">
        <v>126</v>
      </c>
      <c r="D3495" s="54">
        <v>7</v>
      </c>
      <c r="E3495" s="55">
        <v>514662.3</v>
      </c>
      <c r="F3495" s="55">
        <v>25503.5</v>
      </c>
      <c r="G3495" s="55">
        <v>540165.80000000005</v>
      </c>
      <c r="H3495" s="55">
        <v>555431.19999999995</v>
      </c>
      <c r="I3495" s="55">
        <v>29168</v>
      </c>
      <c r="J3495" s="55">
        <v>584599.19999999995</v>
      </c>
      <c r="K3495" s="55">
        <v>415372.2</v>
      </c>
      <c r="L3495" s="55">
        <v>432243.9</v>
      </c>
      <c r="M3495" s="55">
        <v>29544</v>
      </c>
      <c r="N3495" s="55">
        <v>3435.7</v>
      </c>
    </row>
    <row r="3496" spans="1:14" ht="10.050000000000001" hidden="1" customHeight="1">
      <c r="A3496" s="52" t="s">
        <v>171</v>
      </c>
      <c r="B3496" s="53">
        <v>2021</v>
      </c>
      <c r="C3496" s="52" t="s">
        <v>126</v>
      </c>
      <c r="D3496" s="54">
        <v>7</v>
      </c>
      <c r="E3496" s="55">
        <v>9099060.6999999993</v>
      </c>
      <c r="F3496" s="55">
        <v>70014.3</v>
      </c>
      <c r="G3496" s="55">
        <v>9169075</v>
      </c>
      <c r="H3496" s="55">
        <v>8715634.0999999996</v>
      </c>
      <c r="I3496" s="55">
        <v>94456</v>
      </c>
      <c r="J3496" s="55">
        <v>8810090.0999999996</v>
      </c>
      <c r="K3496" s="55">
        <v>4020424.5</v>
      </c>
      <c r="L3496" s="55">
        <v>4738854.9000000004</v>
      </c>
      <c r="M3496" s="55">
        <v>733663.5</v>
      </c>
      <c r="N3496" s="55">
        <v>54980</v>
      </c>
    </row>
    <row r="3497" spans="1:14" ht="10.050000000000001" hidden="1" customHeight="1">
      <c r="A3497" s="52" t="s">
        <v>300</v>
      </c>
      <c r="B3497" s="53">
        <v>2021</v>
      </c>
      <c r="C3497" s="52" t="s">
        <v>126</v>
      </c>
      <c r="D3497" s="54">
        <v>7</v>
      </c>
      <c r="E3497" s="55">
        <v>6056.1</v>
      </c>
      <c r="F3497" s="55">
        <v>56.5</v>
      </c>
      <c r="G3497" s="55">
        <v>6112.6</v>
      </c>
      <c r="H3497" s="55">
        <v>8649.9</v>
      </c>
      <c r="I3497" s="55">
        <v>93.9</v>
      </c>
      <c r="J3497" s="55">
        <v>8743.7999999999993</v>
      </c>
      <c r="K3497" s="55">
        <v>687.7</v>
      </c>
      <c r="L3497" s="55">
        <v>1195.5999999999999</v>
      </c>
      <c r="M3497" s="55">
        <v>518.29999999999995</v>
      </c>
      <c r="N3497" s="55">
        <v>15.3</v>
      </c>
    </row>
    <row r="3498" spans="1:14" ht="10.050000000000001" hidden="1" customHeight="1">
      <c r="A3498" s="52" t="s">
        <v>307</v>
      </c>
      <c r="B3498" s="53">
        <v>2021</v>
      </c>
      <c r="C3498" s="52" t="s">
        <v>126</v>
      </c>
      <c r="D3498" s="54">
        <v>7</v>
      </c>
      <c r="E3498" s="55">
        <v>90344.600000000093</v>
      </c>
      <c r="F3498" s="55">
        <v>0</v>
      </c>
      <c r="G3498" s="55">
        <v>90344.600000000093</v>
      </c>
      <c r="H3498" s="55">
        <v>1110717.3999999999</v>
      </c>
      <c r="I3498" s="55">
        <v>70421.2</v>
      </c>
      <c r="J3498" s="55">
        <v>1181138.6000000001</v>
      </c>
      <c r="K3498" s="55">
        <v>175778.5</v>
      </c>
      <c r="L3498" s="55">
        <v>24451.1</v>
      </c>
      <c r="M3498" s="55">
        <v>33148.9</v>
      </c>
      <c r="N3498" s="55">
        <v>28463.599999999999</v>
      </c>
    </row>
    <row r="3499" spans="1:14" ht="10.050000000000001" hidden="1" customHeight="1">
      <c r="A3499" s="52" t="s">
        <v>315</v>
      </c>
      <c r="B3499" s="53">
        <v>2021</v>
      </c>
      <c r="C3499" s="52" t="s">
        <v>126</v>
      </c>
      <c r="D3499" s="54">
        <v>7</v>
      </c>
      <c r="E3499" s="55">
        <v>549.5</v>
      </c>
      <c r="F3499" s="55">
        <v>0</v>
      </c>
      <c r="G3499" s="55">
        <v>549.5</v>
      </c>
      <c r="H3499" s="55">
        <v>25464.1</v>
      </c>
      <c r="I3499" s="55">
        <v>0</v>
      </c>
      <c r="J3499" s="55">
        <v>25464.1</v>
      </c>
      <c r="K3499" s="55">
        <v>449.4</v>
      </c>
      <c r="L3499" s="55">
        <v>35.6</v>
      </c>
      <c r="M3499" s="55">
        <v>245.3</v>
      </c>
      <c r="N3499" s="55">
        <v>0.6</v>
      </c>
    </row>
    <row r="3500" spans="1:14" ht="10.050000000000001" hidden="1" customHeight="1">
      <c r="A3500" s="52" t="s">
        <v>311</v>
      </c>
      <c r="B3500" s="53">
        <v>2021</v>
      </c>
      <c r="C3500" s="52" t="s">
        <v>126</v>
      </c>
      <c r="D3500" s="54">
        <v>7</v>
      </c>
      <c r="E3500" s="55">
        <v>359.7</v>
      </c>
      <c r="F3500" s="55">
        <v>0</v>
      </c>
      <c r="G3500" s="55">
        <v>359.7</v>
      </c>
      <c r="H3500" s="55">
        <v>558.9</v>
      </c>
      <c r="I3500" s="55">
        <v>0</v>
      </c>
      <c r="J3500" s="55">
        <v>558.9</v>
      </c>
      <c r="K3500" s="55">
        <v>136.4</v>
      </c>
      <c r="L3500" s="55">
        <v>121.6</v>
      </c>
      <c r="M3500" s="55">
        <v>0</v>
      </c>
      <c r="N3500" s="55">
        <v>0</v>
      </c>
    </row>
    <row r="3501" spans="1:14" ht="10.050000000000001" hidden="1" customHeight="1">
      <c r="A3501" s="52" t="s">
        <v>173</v>
      </c>
      <c r="B3501" s="53">
        <v>2021</v>
      </c>
      <c r="C3501" s="52" t="s">
        <v>126</v>
      </c>
      <c r="D3501" s="54">
        <v>7</v>
      </c>
      <c r="E3501" s="55">
        <v>5164836.5</v>
      </c>
      <c r="F3501" s="55">
        <v>92835.199999999997</v>
      </c>
      <c r="G3501" s="55">
        <v>5257671.7</v>
      </c>
      <c r="H3501" s="55">
        <v>4525541</v>
      </c>
      <c r="I3501" s="55">
        <v>64880.9</v>
      </c>
      <c r="J3501" s="55">
        <v>4590421.9000000004</v>
      </c>
      <c r="K3501" s="55">
        <v>1977342.9</v>
      </c>
      <c r="L3501" s="55">
        <v>2648049.2000000002</v>
      </c>
      <c r="M3501" s="55">
        <v>678142.3</v>
      </c>
      <c r="N3501" s="55">
        <v>36738.5</v>
      </c>
    </row>
    <row r="3502" spans="1:14" ht="10.050000000000001" customHeight="1">
      <c r="A3502" s="52" t="s">
        <v>309</v>
      </c>
      <c r="B3502" s="53">
        <v>2021</v>
      </c>
      <c r="C3502" s="52" t="s">
        <v>126</v>
      </c>
      <c r="D3502" s="54">
        <v>7</v>
      </c>
      <c r="E3502" s="55">
        <v>785.8</v>
      </c>
      <c r="F3502" s="55">
        <v>0</v>
      </c>
      <c r="G3502" s="55">
        <v>785.8</v>
      </c>
      <c r="H3502" s="55">
        <v>25257.4</v>
      </c>
      <c r="I3502" s="55">
        <v>1010</v>
      </c>
      <c r="J3502" s="55">
        <v>26267.4</v>
      </c>
      <c r="K3502" s="55">
        <v>876.9</v>
      </c>
      <c r="L3502" s="55">
        <v>0</v>
      </c>
      <c r="M3502" s="55">
        <v>0</v>
      </c>
      <c r="N3502" s="55">
        <v>0</v>
      </c>
    </row>
    <row r="3503" spans="1:14" ht="10.050000000000001" hidden="1" customHeight="1">
      <c r="A3503" s="52" t="s">
        <v>316</v>
      </c>
      <c r="B3503" s="53">
        <v>2021</v>
      </c>
      <c r="C3503" s="52" t="s">
        <v>126</v>
      </c>
      <c r="D3503" s="54">
        <v>7</v>
      </c>
      <c r="E3503" s="55">
        <v>110.8</v>
      </c>
      <c r="F3503" s="55">
        <v>0</v>
      </c>
      <c r="G3503" s="55">
        <v>110.8</v>
      </c>
      <c r="H3503" s="55">
        <v>5870.7</v>
      </c>
      <c r="I3503" s="55">
        <v>103.3</v>
      </c>
      <c r="J3503" s="55">
        <v>5974</v>
      </c>
      <c r="K3503" s="55">
        <v>105.9</v>
      </c>
      <c r="L3503" s="55">
        <v>37</v>
      </c>
      <c r="M3503" s="55">
        <v>0</v>
      </c>
      <c r="N3503" s="55">
        <v>0.7</v>
      </c>
    </row>
    <row r="3504" spans="1:14" ht="10.050000000000001" hidden="1" customHeight="1">
      <c r="A3504" s="52" t="s">
        <v>310</v>
      </c>
      <c r="B3504" s="53">
        <v>2021</v>
      </c>
      <c r="C3504" s="52" t="s">
        <v>126</v>
      </c>
      <c r="D3504" s="54">
        <v>7</v>
      </c>
      <c r="E3504" s="55">
        <v>14102.8</v>
      </c>
      <c r="F3504" s="55">
        <v>353.8</v>
      </c>
      <c r="G3504" s="55">
        <v>14456.6</v>
      </c>
      <c r="H3504" s="55">
        <v>21241.1</v>
      </c>
      <c r="I3504" s="55">
        <v>1405.2</v>
      </c>
      <c r="J3504" s="55">
        <v>22646.3</v>
      </c>
      <c r="K3504" s="55">
        <v>7057.7</v>
      </c>
      <c r="L3504" s="55">
        <v>7791.7</v>
      </c>
      <c r="M3504" s="55">
        <v>999.5</v>
      </c>
      <c r="N3504" s="55">
        <v>129.1</v>
      </c>
    </row>
    <row r="3505" spans="1:14" ht="10.050000000000001" hidden="1" customHeight="1">
      <c r="A3505" s="52" t="s">
        <v>308</v>
      </c>
      <c r="B3505" s="53">
        <v>2021</v>
      </c>
      <c r="C3505" s="52" t="s">
        <v>126</v>
      </c>
      <c r="D3505" s="54">
        <v>7</v>
      </c>
      <c r="E3505" s="55">
        <v>466.9</v>
      </c>
      <c r="F3505" s="55">
        <v>0</v>
      </c>
      <c r="G3505" s="55">
        <v>466.9</v>
      </c>
      <c r="H3505" s="55">
        <v>15783.1</v>
      </c>
      <c r="I3505" s="55">
        <v>224.8</v>
      </c>
      <c r="J3505" s="55">
        <v>16007.9</v>
      </c>
      <c r="K3505" s="55">
        <v>363.4</v>
      </c>
      <c r="L3505" s="55">
        <v>37.6</v>
      </c>
      <c r="M3505" s="55">
        <v>371.6</v>
      </c>
      <c r="N3505" s="55">
        <v>245.2</v>
      </c>
    </row>
    <row r="3506" spans="1:14" ht="10.050000000000001" hidden="1" customHeight="1">
      <c r="A3506" s="52" t="s">
        <v>174</v>
      </c>
      <c r="B3506" s="53">
        <v>2021</v>
      </c>
      <c r="C3506" s="52" t="s">
        <v>126</v>
      </c>
      <c r="D3506" s="54">
        <v>7</v>
      </c>
      <c r="E3506" s="55">
        <v>185574.5</v>
      </c>
      <c r="F3506" s="55">
        <v>6708.8</v>
      </c>
      <c r="G3506" s="55">
        <v>192283.3</v>
      </c>
      <c r="H3506" s="55">
        <v>191151.7</v>
      </c>
      <c r="I3506" s="55">
        <v>11513.6</v>
      </c>
      <c r="J3506" s="55">
        <v>202665.3</v>
      </c>
      <c r="K3506" s="55">
        <v>119091.3</v>
      </c>
      <c r="L3506" s="55">
        <v>119059.2</v>
      </c>
      <c r="M3506" s="55">
        <v>9717.2000000000098</v>
      </c>
      <c r="N3506" s="55">
        <v>6197.4</v>
      </c>
    </row>
    <row r="3507" spans="1:14" ht="10.050000000000001" hidden="1" customHeight="1">
      <c r="A3507" s="52" t="s">
        <v>314</v>
      </c>
      <c r="B3507" s="53">
        <v>2021</v>
      </c>
      <c r="C3507" s="52" t="s">
        <v>126</v>
      </c>
      <c r="D3507" s="54">
        <v>8</v>
      </c>
      <c r="E3507" s="55">
        <v>28.5</v>
      </c>
      <c r="F3507" s="55">
        <v>0</v>
      </c>
      <c r="G3507" s="55">
        <v>28.5</v>
      </c>
      <c r="H3507" s="55">
        <v>109</v>
      </c>
      <c r="I3507" s="55">
        <v>0</v>
      </c>
      <c r="J3507" s="55">
        <v>109</v>
      </c>
      <c r="K3507" s="55">
        <v>25.6</v>
      </c>
      <c r="L3507" s="55">
        <v>21.1</v>
      </c>
      <c r="M3507" s="55">
        <v>0</v>
      </c>
      <c r="N3507" s="55">
        <v>0</v>
      </c>
    </row>
    <row r="3508" spans="1:14" ht="10.050000000000001" hidden="1" customHeight="1">
      <c r="A3508" s="52" t="s">
        <v>306</v>
      </c>
      <c r="B3508" s="53">
        <v>2021</v>
      </c>
      <c r="C3508" s="52" t="s">
        <v>126</v>
      </c>
      <c r="D3508" s="54">
        <v>8</v>
      </c>
      <c r="E3508" s="55">
        <v>121937</v>
      </c>
      <c r="F3508" s="55">
        <v>2103.1</v>
      </c>
      <c r="G3508" s="55">
        <v>124040.1</v>
      </c>
      <c r="H3508" s="55">
        <v>203908.6</v>
      </c>
      <c r="I3508" s="55">
        <v>2464</v>
      </c>
      <c r="J3508" s="55">
        <v>206372.6</v>
      </c>
      <c r="K3508" s="55">
        <v>44037.7</v>
      </c>
      <c r="L3508" s="55">
        <v>38213</v>
      </c>
      <c r="M3508" s="55">
        <v>29785.9</v>
      </c>
      <c r="N3508" s="55">
        <v>1189.5999999999999</v>
      </c>
    </row>
    <row r="3509" spans="1:14" ht="10.050000000000001" hidden="1" customHeight="1">
      <c r="A3509" s="52" t="s">
        <v>172</v>
      </c>
      <c r="B3509" s="53">
        <v>2021</v>
      </c>
      <c r="C3509" s="52" t="s">
        <v>126</v>
      </c>
      <c r="D3509" s="54">
        <v>8</v>
      </c>
      <c r="E3509" s="55">
        <v>158836.70000000001</v>
      </c>
      <c r="F3509" s="55">
        <v>597.5</v>
      </c>
      <c r="G3509" s="55">
        <v>159434.20000000001</v>
      </c>
      <c r="H3509" s="55">
        <v>603522.4</v>
      </c>
      <c r="I3509" s="55">
        <v>24726.3</v>
      </c>
      <c r="J3509" s="55">
        <v>628248.69999999995</v>
      </c>
      <c r="K3509" s="55">
        <v>370082.6</v>
      </c>
      <c r="L3509" s="55">
        <v>57689.3</v>
      </c>
      <c r="M3509" s="55">
        <v>97357.9</v>
      </c>
      <c r="N3509" s="55">
        <v>5620.6</v>
      </c>
    </row>
    <row r="3510" spans="1:14" ht="10.050000000000001" hidden="1" customHeight="1">
      <c r="A3510" s="52" t="s">
        <v>171</v>
      </c>
      <c r="B3510" s="53">
        <v>2021</v>
      </c>
      <c r="C3510" s="52" t="s">
        <v>126</v>
      </c>
      <c r="D3510" s="54">
        <v>8</v>
      </c>
      <c r="E3510" s="55">
        <v>7649245.2999999998</v>
      </c>
      <c r="F3510" s="55">
        <v>153624.29999999999</v>
      </c>
      <c r="G3510" s="55">
        <v>7802869.5999999996</v>
      </c>
      <c r="H3510" s="55">
        <v>13203701.300000001</v>
      </c>
      <c r="I3510" s="55">
        <v>116187.7</v>
      </c>
      <c r="J3510" s="55">
        <v>13319889</v>
      </c>
      <c r="K3510" s="55">
        <v>5674570.2000000002</v>
      </c>
      <c r="L3510" s="55">
        <v>4816721.5</v>
      </c>
      <c r="M3510" s="55">
        <v>3071401.9</v>
      </c>
      <c r="N3510" s="55">
        <v>89517.3</v>
      </c>
    </row>
    <row r="3511" spans="1:14" ht="10.050000000000001" hidden="1" customHeight="1">
      <c r="A3511" s="52" t="s">
        <v>300</v>
      </c>
      <c r="B3511" s="53">
        <v>2021</v>
      </c>
      <c r="C3511" s="52" t="s">
        <v>126</v>
      </c>
      <c r="D3511" s="54">
        <v>8</v>
      </c>
      <c r="E3511" s="55">
        <v>9592.6</v>
      </c>
      <c r="F3511" s="55">
        <v>610.20000000000005</v>
      </c>
      <c r="G3511" s="55">
        <v>10202.799999999999</v>
      </c>
      <c r="H3511" s="55">
        <v>16937.8</v>
      </c>
      <c r="I3511" s="55">
        <v>735.1</v>
      </c>
      <c r="J3511" s="55">
        <v>17672.900000000001</v>
      </c>
      <c r="K3511" s="55">
        <v>1562.6</v>
      </c>
      <c r="L3511" s="55">
        <v>1371.7</v>
      </c>
      <c r="M3511" s="55">
        <v>432.3</v>
      </c>
      <c r="N3511" s="55">
        <v>94.4</v>
      </c>
    </row>
    <row r="3512" spans="1:14" ht="10.050000000000001" hidden="1" customHeight="1">
      <c r="A3512" s="52" t="s">
        <v>307</v>
      </c>
      <c r="B3512" s="53">
        <v>2021</v>
      </c>
      <c r="C3512" s="52" t="s">
        <v>126</v>
      </c>
      <c r="D3512" s="54">
        <v>8</v>
      </c>
      <c r="E3512" s="55">
        <v>102114.9</v>
      </c>
      <c r="F3512" s="55">
        <v>1048.9000000000001</v>
      </c>
      <c r="G3512" s="55">
        <v>103163.8</v>
      </c>
      <c r="H3512" s="55">
        <v>679219.6</v>
      </c>
      <c r="I3512" s="55">
        <v>70728.5</v>
      </c>
      <c r="J3512" s="55">
        <v>749948.1</v>
      </c>
      <c r="K3512" s="55">
        <v>88741.2</v>
      </c>
      <c r="L3512" s="55">
        <v>11572.8</v>
      </c>
      <c r="M3512" s="55">
        <v>39315.699999999997</v>
      </c>
      <c r="N3512" s="55">
        <v>64205.9</v>
      </c>
    </row>
    <row r="3513" spans="1:14" ht="10.050000000000001" hidden="1" customHeight="1">
      <c r="A3513" s="52" t="s">
        <v>315</v>
      </c>
      <c r="B3513" s="53">
        <v>2021</v>
      </c>
      <c r="C3513" s="52" t="s">
        <v>126</v>
      </c>
      <c r="D3513" s="54">
        <v>8</v>
      </c>
      <c r="E3513" s="55">
        <v>185.4</v>
      </c>
      <c r="F3513" s="55">
        <v>0</v>
      </c>
      <c r="G3513" s="55">
        <v>185.4</v>
      </c>
      <c r="H3513" s="55">
        <v>22691.3</v>
      </c>
      <c r="I3513" s="55">
        <v>0</v>
      </c>
      <c r="J3513" s="55">
        <v>22691.3</v>
      </c>
      <c r="K3513" s="55">
        <v>453.1</v>
      </c>
      <c r="L3513" s="55">
        <v>37.700000000000003</v>
      </c>
      <c r="M3513" s="55">
        <v>34</v>
      </c>
      <c r="N3513" s="55">
        <v>0</v>
      </c>
    </row>
    <row r="3514" spans="1:14" ht="10.050000000000001" hidden="1" customHeight="1">
      <c r="A3514" s="52" t="s">
        <v>311</v>
      </c>
      <c r="B3514" s="53">
        <v>2021</v>
      </c>
      <c r="C3514" s="52" t="s">
        <v>126</v>
      </c>
      <c r="D3514" s="54">
        <v>8</v>
      </c>
      <c r="E3514" s="55">
        <v>596.6</v>
      </c>
      <c r="F3514" s="55">
        <v>0</v>
      </c>
      <c r="G3514" s="55">
        <v>596.6</v>
      </c>
      <c r="H3514" s="55">
        <v>955.5</v>
      </c>
      <c r="I3514" s="55">
        <v>0</v>
      </c>
      <c r="J3514" s="55">
        <v>955.5</v>
      </c>
      <c r="K3514" s="55">
        <v>535.9</v>
      </c>
      <c r="L3514" s="55">
        <v>458.9</v>
      </c>
      <c r="M3514" s="55">
        <v>0</v>
      </c>
      <c r="N3514" s="55">
        <v>59.4</v>
      </c>
    </row>
    <row r="3515" spans="1:14" ht="10.050000000000001" hidden="1" customHeight="1">
      <c r="A3515" s="52" t="s">
        <v>173</v>
      </c>
      <c r="B3515" s="53">
        <v>2021</v>
      </c>
      <c r="C3515" s="52" t="s">
        <v>126</v>
      </c>
      <c r="D3515" s="54">
        <v>8</v>
      </c>
      <c r="E3515" s="55">
        <v>1468601.2</v>
      </c>
      <c r="F3515" s="55">
        <v>15045</v>
      </c>
      <c r="G3515" s="55">
        <v>1483646.2</v>
      </c>
      <c r="H3515" s="55">
        <v>4973486.7</v>
      </c>
      <c r="I3515" s="55">
        <v>51695.7</v>
      </c>
      <c r="J3515" s="55">
        <v>5025182.4000000004</v>
      </c>
      <c r="K3515" s="55">
        <v>1312167</v>
      </c>
      <c r="L3515" s="55">
        <v>234801.3</v>
      </c>
      <c r="M3515" s="55">
        <v>865262.9</v>
      </c>
      <c r="N3515" s="55">
        <v>34666.800000000003</v>
      </c>
    </row>
    <row r="3516" spans="1:14" ht="10.050000000000001" customHeight="1">
      <c r="A3516" s="52" t="s">
        <v>309</v>
      </c>
      <c r="B3516" s="53">
        <v>2021</v>
      </c>
      <c r="C3516" s="52" t="s">
        <v>126</v>
      </c>
      <c r="D3516" s="54">
        <v>8</v>
      </c>
      <c r="E3516" s="55">
        <v>64.599999999999994</v>
      </c>
      <c r="F3516" s="55">
        <v>0</v>
      </c>
      <c r="G3516" s="55">
        <v>64.599999999999994</v>
      </c>
      <c r="H3516" s="55">
        <v>19958.7</v>
      </c>
      <c r="I3516" s="55">
        <v>1010</v>
      </c>
      <c r="J3516" s="55">
        <v>20968.7</v>
      </c>
      <c r="K3516" s="55">
        <v>876.9</v>
      </c>
      <c r="L3516" s="55">
        <v>0</v>
      </c>
      <c r="M3516" s="55">
        <v>0</v>
      </c>
      <c r="N3516" s="55">
        <v>0</v>
      </c>
    </row>
    <row r="3517" spans="1:14" ht="10.050000000000001" hidden="1" customHeight="1">
      <c r="A3517" s="52" t="s">
        <v>316</v>
      </c>
      <c r="B3517" s="53">
        <v>2021</v>
      </c>
      <c r="C3517" s="52" t="s">
        <v>126</v>
      </c>
      <c r="D3517" s="54">
        <v>8</v>
      </c>
      <c r="E3517" s="55">
        <v>239.6</v>
      </c>
      <c r="F3517" s="55">
        <v>0</v>
      </c>
      <c r="G3517" s="55">
        <v>239.6</v>
      </c>
      <c r="H3517" s="55">
        <v>5022.3999999999996</v>
      </c>
      <c r="I3517" s="55">
        <v>87.6</v>
      </c>
      <c r="J3517" s="55">
        <v>5110</v>
      </c>
      <c r="K3517" s="55">
        <v>62.4</v>
      </c>
      <c r="L3517" s="55">
        <v>17.399999999999999</v>
      </c>
      <c r="M3517" s="55">
        <v>56.3</v>
      </c>
      <c r="N3517" s="55">
        <v>4.5</v>
      </c>
    </row>
    <row r="3518" spans="1:14" ht="10.050000000000001" hidden="1" customHeight="1">
      <c r="A3518" s="52" t="s">
        <v>310</v>
      </c>
      <c r="B3518" s="53">
        <v>2021</v>
      </c>
      <c r="C3518" s="52" t="s">
        <v>126</v>
      </c>
      <c r="D3518" s="54">
        <v>8</v>
      </c>
      <c r="E3518" s="55">
        <v>35369.5</v>
      </c>
      <c r="F3518" s="55">
        <v>1668.1</v>
      </c>
      <c r="G3518" s="55">
        <v>37037.599999999999</v>
      </c>
      <c r="H3518" s="55">
        <v>50934.6</v>
      </c>
      <c r="I3518" s="55">
        <v>1902.3</v>
      </c>
      <c r="J3518" s="55">
        <v>52836.9</v>
      </c>
      <c r="K3518" s="55">
        <v>18536.2</v>
      </c>
      <c r="L3518" s="55">
        <v>19443.3</v>
      </c>
      <c r="M3518" s="55">
        <v>7761.6</v>
      </c>
      <c r="N3518" s="55">
        <v>188.6</v>
      </c>
    </row>
    <row r="3519" spans="1:14" ht="10.050000000000001" hidden="1" customHeight="1">
      <c r="A3519" s="52" t="s">
        <v>308</v>
      </c>
      <c r="B3519" s="53">
        <v>2021</v>
      </c>
      <c r="C3519" s="52" t="s">
        <v>126</v>
      </c>
      <c r="D3519" s="54">
        <v>8</v>
      </c>
      <c r="E3519" s="55">
        <v>236.3</v>
      </c>
      <c r="F3519" s="55">
        <v>13.1</v>
      </c>
      <c r="G3519" s="55">
        <v>249.4</v>
      </c>
      <c r="H3519" s="55">
        <v>10523.6</v>
      </c>
      <c r="I3519" s="55">
        <v>237</v>
      </c>
      <c r="J3519" s="55">
        <v>10760.6</v>
      </c>
      <c r="K3519" s="55">
        <v>312.89999999999998</v>
      </c>
      <c r="L3519" s="55">
        <v>0.2</v>
      </c>
      <c r="M3519" s="55">
        <v>1.1000000000000001</v>
      </c>
      <c r="N3519" s="55">
        <v>52</v>
      </c>
    </row>
    <row r="3520" spans="1:14" ht="10.050000000000001" hidden="1" customHeight="1">
      <c r="A3520" s="52" t="s">
        <v>174</v>
      </c>
      <c r="B3520" s="53">
        <v>2021</v>
      </c>
      <c r="C3520" s="52" t="s">
        <v>126</v>
      </c>
      <c r="D3520" s="54">
        <v>8</v>
      </c>
      <c r="E3520" s="55">
        <v>345899.7</v>
      </c>
      <c r="F3520" s="55">
        <v>12380.7</v>
      </c>
      <c r="G3520" s="55">
        <v>358280.4</v>
      </c>
      <c r="H3520" s="55">
        <v>477545.6</v>
      </c>
      <c r="I3520" s="55">
        <v>18047.400000000001</v>
      </c>
      <c r="J3520" s="55">
        <v>495593</v>
      </c>
      <c r="K3520" s="55">
        <v>187707.5</v>
      </c>
      <c r="L3520" s="55">
        <v>150386.79999999999</v>
      </c>
      <c r="M3520" s="55">
        <v>70154</v>
      </c>
      <c r="N3520" s="55">
        <v>11575.8</v>
      </c>
    </row>
    <row r="3521" spans="1:14" ht="10.050000000000001" hidden="1" customHeight="1">
      <c r="A3521" s="52" t="s">
        <v>314</v>
      </c>
      <c r="B3521" s="53">
        <v>2021</v>
      </c>
      <c r="C3521" s="52" t="s">
        <v>126</v>
      </c>
      <c r="D3521" s="54">
        <v>9</v>
      </c>
      <c r="E3521" s="55">
        <v>0</v>
      </c>
      <c r="F3521" s="55">
        <v>0</v>
      </c>
      <c r="G3521" s="55">
        <v>0</v>
      </c>
      <c r="H3521" s="55">
        <v>125.6</v>
      </c>
      <c r="I3521" s="55">
        <v>0</v>
      </c>
      <c r="J3521" s="55">
        <v>125.6</v>
      </c>
      <c r="K3521" s="55">
        <v>25.6</v>
      </c>
      <c r="L3521" s="55">
        <v>0</v>
      </c>
      <c r="M3521" s="55">
        <v>0</v>
      </c>
      <c r="N3521" s="55">
        <v>0</v>
      </c>
    </row>
    <row r="3522" spans="1:14" ht="10.050000000000001" hidden="1" customHeight="1">
      <c r="A3522" s="52" t="s">
        <v>306</v>
      </c>
      <c r="B3522" s="53">
        <v>2021</v>
      </c>
      <c r="C3522" s="52" t="s">
        <v>126</v>
      </c>
      <c r="D3522" s="54">
        <v>9</v>
      </c>
      <c r="E3522" s="55">
        <v>32066.2</v>
      </c>
      <c r="F3522" s="55">
        <v>2971.5</v>
      </c>
      <c r="G3522" s="55">
        <v>35037.699999999997</v>
      </c>
      <c r="H3522" s="55">
        <v>214543.9</v>
      </c>
      <c r="I3522" s="55">
        <v>2387.6999999999998</v>
      </c>
      <c r="J3522" s="55">
        <v>216931.6</v>
      </c>
      <c r="K3522" s="55">
        <v>32704.2</v>
      </c>
      <c r="L3522" s="55">
        <v>6618.6</v>
      </c>
      <c r="M3522" s="55">
        <v>16945</v>
      </c>
      <c r="N3522" s="55">
        <v>1007.7</v>
      </c>
    </row>
    <row r="3523" spans="1:14" ht="10.050000000000001" hidden="1" customHeight="1">
      <c r="A3523" s="52" t="s">
        <v>172</v>
      </c>
      <c r="B3523" s="53">
        <v>2021</v>
      </c>
      <c r="C3523" s="52" t="s">
        <v>126</v>
      </c>
      <c r="D3523" s="54">
        <v>9</v>
      </c>
      <c r="E3523" s="55">
        <v>169124.2</v>
      </c>
      <c r="F3523" s="55">
        <v>4318.5</v>
      </c>
      <c r="G3523" s="55">
        <v>173442.7</v>
      </c>
      <c r="H3523" s="55">
        <v>651268.1</v>
      </c>
      <c r="I3523" s="55">
        <v>19402.900000000001</v>
      </c>
      <c r="J3523" s="55">
        <v>670671</v>
      </c>
      <c r="K3523" s="55">
        <v>252988.79999999999</v>
      </c>
      <c r="L3523" s="55">
        <v>28468.400000000001</v>
      </c>
      <c r="M3523" s="55">
        <v>143776.70000000001</v>
      </c>
      <c r="N3523" s="55">
        <v>1785.3</v>
      </c>
    </row>
    <row r="3524" spans="1:14" ht="10.050000000000001" hidden="1" customHeight="1">
      <c r="A3524" s="52" t="s">
        <v>171</v>
      </c>
      <c r="B3524" s="53">
        <v>2021</v>
      </c>
      <c r="C3524" s="52" t="s">
        <v>126</v>
      </c>
      <c r="D3524" s="54">
        <v>9</v>
      </c>
      <c r="E3524" s="55">
        <v>3133567.3</v>
      </c>
      <c r="F3524" s="55">
        <v>110146.5</v>
      </c>
      <c r="G3524" s="55">
        <v>3243713.8</v>
      </c>
      <c r="H3524" s="55">
        <v>13221598</v>
      </c>
      <c r="I3524" s="55">
        <v>100604.7</v>
      </c>
      <c r="J3524" s="55">
        <v>13322202.699999999</v>
      </c>
      <c r="K3524" s="55">
        <v>4023915.5</v>
      </c>
      <c r="L3524" s="55">
        <v>660475.4</v>
      </c>
      <c r="M3524" s="55">
        <v>2259269.7000000002</v>
      </c>
      <c r="N3524" s="55">
        <v>49169.8</v>
      </c>
    </row>
    <row r="3525" spans="1:14" ht="10.050000000000001" hidden="1" customHeight="1">
      <c r="A3525" s="52" t="s">
        <v>300</v>
      </c>
      <c r="B3525" s="53">
        <v>2021</v>
      </c>
      <c r="C3525" s="52" t="s">
        <v>126</v>
      </c>
      <c r="D3525" s="54">
        <v>9</v>
      </c>
      <c r="E3525" s="55">
        <v>3604.1</v>
      </c>
      <c r="F3525" s="55">
        <v>672.3</v>
      </c>
      <c r="G3525" s="55">
        <v>4276.3999999999996</v>
      </c>
      <c r="H3525" s="55">
        <v>18274.8</v>
      </c>
      <c r="I3525" s="55">
        <v>820.4</v>
      </c>
      <c r="J3525" s="55">
        <v>19095.2</v>
      </c>
      <c r="K3525" s="55">
        <v>792.4</v>
      </c>
      <c r="L3525" s="55">
        <v>193.1</v>
      </c>
      <c r="M3525" s="55">
        <v>553.9</v>
      </c>
      <c r="N3525" s="55">
        <v>410.2</v>
      </c>
    </row>
    <row r="3526" spans="1:14" ht="10.050000000000001" hidden="1" customHeight="1">
      <c r="A3526" s="52" t="s">
        <v>307</v>
      </c>
      <c r="B3526" s="53">
        <v>2021</v>
      </c>
      <c r="C3526" s="52" t="s">
        <v>126</v>
      </c>
      <c r="D3526" s="54">
        <v>9</v>
      </c>
      <c r="E3526" s="55">
        <v>427848.8</v>
      </c>
      <c r="F3526" s="55">
        <v>53912.3</v>
      </c>
      <c r="G3526" s="55">
        <v>481761.1</v>
      </c>
      <c r="H3526" s="55">
        <v>534260.5</v>
      </c>
      <c r="I3526" s="55">
        <v>97892.1</v>
      </c>
      <c r="J3526" s="55">
        <v>632152.6</v>
      </c>
      <c r="K3526" s="55">
        <v>145685.5</v>
      </c>
      <c r="L3526" s="55">
        <v>130740.9</v>
      </c>
      <c r="M3526" s="55">
        <v>53537.5</v>
      </c>
      <c r="N3526" s="55">
        <v>20759.7</v>
      </c>
    </row>
    <row r="3527" spans="1:14" ht="10.050000000000001" hidden="1" customHeight="1">
      <c r="A3527" s="52" t="s">
        <v>315</v>
      </c>
      <c r="B3527" s="53">
        <v>2021</v>
      </c>
      <c r="C3527" s="52" t="s">
        <v>126</v>
      </c>
      <c r="D3527" s="54">
        <v>9</v>
      </c>
      <c r="E3527" s="55">
        <v>8889.2000000000007</v>
      </c>
      <c r="F3527" s="55">
        <v>0</v>
      </c>
      <c r="G3527" s="55">
        <v>8889.2000000000007</v>
      </c>
      <c r="H3527" s="55">
        <v>28411</v>
      </c>
      <c r="I3527" s="55">
        <v>0</v>
      </c>
      <c r="J3527" s="55">
        <v>28411</v>
      </c>
      <c r="K3527" s="55">
        <v>17336.3</v>
      </c>
      <c r="L3527" s="55">
        <v>18512.8</v>
      </c>
      <c r="M3527" s="55">
        <v>1608.7</v>
      </c>
      <c r="N3527" s="55">
        <v>4.5999999999999996</v>
      </c>
    </row>
    <row r="3528" spans="1:14" ht="10.050000000000001" hidden="1" customHeight="1">
      <c r="A3528" s="52" t="s">
        <v>311</v>
      </c>
      <c r="B3528" s="53">
        <v>2021</v>
      </c>
      <c r="C3528" s="52" t="s">
        <v>126</v>
      </c>
      <c r="D3528" s="54">
        <v>9</v>
      </c>
      <c r="E3528" s="55">
        <v>278.89999999999998</v>
      </c>
      <c r="F3528" s="55">
        <v>0</v>
      </c>
      <c r="G3528" s="55">
        <v>278.89999999999998</v>
      </c>
      <c r="H3528" s="55">
        <v>1035.9000000000001</v>
      </c>
      <c r="I3528" s="55">
        <v>0</v>
      </c>
      <c r="J3528" s="55">
        <v>1035.9000000000001</v>
      </c>
      <c r="K3528" s="55">
        <v>437.4</v>
      </c>
      <c r="L3528" s="55">
        <v>113.9</v>
      </c>
      <c r="M3528" s="55">
        <v>92.7</v>
      </c>
      <c r="N3528" s="55">
        <v>119.8</v>
      </c>
    </row>
    <row r="3529" spans="1:14" ht="10.050000000000001" hidden="1" customHeight="1">
      <c r="A3529" s="52" t="s">
        <v>173</v>
      </c>
      <c r="B3529" s="53">
        <v>2021</v>
      </c>
      <c r="C3529" s="52" t="s">
        <v>126</v>
      </c>
      <c r="D3529" s="54">
        <v>9</v>
      </c>
      <c r="E3529" s="55">
        <v>621696.6</v>
      </c>
      <c r="F3529" s="55">
        <v>12276.7</v>
      </c>
      <c r="G3529" s="55">
        <v>633973.30000000005</v>
      </c>
      <c r="H3529" s="55">
        <v>4751732.5</v>
      </c>
      <c r="I3529" s="55">
        <v>37760.300000000003</v>
      </c>
      <c r="J3529" s="55">
        <v>4789492.8</v>
      </c>
      <c r="K3529" s="55">
        <v>958181.4</v>
      </c>
      <c r="L3529" s="55">
        <v>94429.8</v>
      </c>
      <c r="M3529" s="55">
        <v>415343</v>
      </c>
      <c r="N3529" s="55">
        <v>32444.799999999999</v>
      </c>
    </row>
    <row r="3530" spans="1:14" ht="10.050000000000001" customHeight="1">
      <c r="A3530" s="52" t="s">
        <v>309</v>
      </c>
      <c r="B3530" s="53">
        <v>2021</v>
      </c>
      <c r="C3530" s="52" t="s">
        <v>126</v>
      </c>
      <c r="D3530" s="54">
        <v>9</v>
      </c>
      <c r="E3530" s="55">
        <v>4390.8999999999996</v>
      </c>
      <c r="F3530" s="55">
        <v>0</v>
      </c>
      <c r="G3530" s="55">
        <v>4390.8999999999996</v>
      </c>
      <c r="H3530" s="55">
        <v>20319.099999999999</v>
      </c>
      <c r="I3530" s="55">
        <v>1010</v>
      </c>
      <c r="J3530" s="55">
        <v>21329.1</v>
      </c>
      <c r="K3530" s="55">
        <v>970.6</v>
      </c>
      <c r="L3530" s="55">
        <v>95.3</v>
      </c>
      <c r="M3530" s="55">
        <v>1.6</v>
      </c>
      <c r="N3530" s="55">
        <v>0</v>
      </c>
    </row>
    <row r="3531" spans="1:14" ht="10.050000000000001" hidden="1" customHeight="1">
      <c r="A3531" s="52" t="s">
        <v>316</v>
      </c>
      <c r="B3531" s="53">
        <v>2021</v>
      </c>
      <c r="C3531" s="52" t="s">
        <v>126</v>
      </c>
      <c r="D3531" s="54">
        <v>9</v>
      </c>
      <c r="E3531" s="55">
        <v>7670.6</v>
      </c>
      <c r="F3531" s="55">
        <v>18.600000000000001</v>
      </c>
      <c r="G3531" s="55">
        <v>7689.2</v>
      </c>
      <c r="H3531" s="55">
        <v>11801.3</v>
      </c>
      <c r="I3531" s="55">
        <v>106.2</v>
      </c>
      <c r="J3531" s="55">
        <v>11907.5</v>
      </c>
      <c r="K3531" s="55">
        <v>1278.4000000000001</v>
      </c>
      <c r="L3531" s="55">
        <v>1391.4</v>
      </c>
      <c r="M3531" s="55">
        <v>147.80000000000001</v>
      </c>
      <c r="N3531" s="55">
        <v>28.3</v>
      </c>
    </row>
    <row r="3532" spans="1:14" ht="10.050000000000001" hidden="1" customHeight="1">
      <c r="A3532" s="52" t="s">
        <v>310</v>
      </c>
      <c r="B3532" s="53">
        <v>2021</v>
      </c>
      <c r="C3532" s="52" t="s">
        <v>126</v>
      </c>
      <c r="D3532" s="54">
        <v>9</v>
      </c>
      <c r="E3532" s="55">
        <v>11678.6</v>
      </c>
      <c r="F3532" s="55">
        <v>2165.1999999999998</v>
      </c>
      <c r="G3532" s="55">
        <v>13843.8</v>
      </c>
      <c r="H3532" s="55">
        <v>56494.8</v>
      </c>
      <c r="I3532" s="55">
        <v>1659.8</v>
      </c>
      <c r="J3532" s="55">
        <v>58154.6</v>
      </c>
      <c r="K3532" s="55">
        <v>11586.1</v>
      </c>
      <c r="L3532" s="55">
        <v>827.9</v>
      </c>
      <c r="M3532" s="55">
        <v>6798.7</v>
      </c>
      <c r="N3532" s="55">
        <v>979</v>
      </c>
    </row>
    <row r="3533" spans="1:14" ht="10.050000000000001" hidden="1" customHeight="1">
      <c r="A3533" s="52" t="s">
        <v>308</v>
      </c>
      <c r="B3533" s="53">
        <v>2021</v>
      </c>
      <c r="C3533" s="52" t="s">
        <v>126</v>
      </c>
      <c r="D3533" s="54">
        <v>9</v>
      </c>
      <c r="E3533" s="55">
        <v>10574.9</v>
      </c>
      <c r="F3533" s="55">
        <v>379.5</v>
      </c>
      <c r="G3533" s="55">
        <v>10954.4</v>
      </c>
      <c r="H3533" s="55">
        <v>16090.3</v>
      </c>
      <c r="I3533" s="55">
        <v>1186.0999999999999</v>
      </c>
      <c r="J3533" s="55">
        <v>17276.400000000001</v>
      </c>
      <c r="K3533" s="55">
        <v>1405.8</v>
      </c>
      <c r="L3533" s="55">
        <v>1261.4000000000001</v>
      </c>
      <c r="M3533" s="55">
        <v>139.9</v>
      </c>
      <c r="N3533" s="55">
        <v>0</v>
      </c>
    </row>
    <row r="3534" spans="1:14" ht="10.050000000000001" hidden="1" customHeight="1">
      <c r="A3534" s="52" t="s">
        <v>174</v>
      </c>
      <c r="B3534" s="53">
        <v>2021</v>
      </c>
      <c r="C3534" s="52" t="s">
        <v>126</v>
      </c>
      <c r="D3534" s="54">
        <v>9</v>
      </c>
      <c r="E3534" s="55">
        <v>84472.4</v>
      </c>
      <c r="F3534" s="55">
        <v>11285.5</v>
      </c>
      <c r="G3534" s="55">
        <v>95757.9</v>
      </c>
      <c r="H3534" s="55">
        <v>490123.5</v>
      </c>
      <c r="I3534" s="55">
        <v>14913.9</v>
      </c>
      <c r="J3534" s="55">
        <v>505037.4</v>
      </c>
      <c r="K3534" s="55">
        <v>155442.4</v>
      </c>
      <c r="L3534" s="55">
        <v>15797.8</v>
      </c>
      <c r="M3534" s="55">
        <v>38264.400000000001</v>
      </c>
      <c r="N3534" s="55">
        <v>9715.7999999999993</v>
      </c>
    </row>
    <row r="3535" spans="1:14" ht="10.050000000000001" hidden="1" customHeight="1">
      <c r="A3535" s="52" t="s">
        <v>314</v>
      </c>
      <c r="B3535" s="53">
        <v>2021</v>
      </c>
      <c r="C3535" s="52" t="s">
        <v>126</v>
      </c>
      <c r="D3535" s="54">
        <v>10</v>
      </c>
      <c r="E3535" s="55">
        <v>0</v>
      </c>
      <c r="F3535" s="55">
        <v>0</v>
      </c>
      <c r="G3535" s="55">
        <v>0</v>
      </c>
      <c r="H3535" s="55">
        <v>115.4</v>
      </c>
      <c r="I3535" s="55">
        <v>0</v>
      </c>
      <c r="J3535" s="55">
        <v>115.4</v>
      </c>
      <c r="K3535" s="55">
        <v>25.6</v>
      </c>
      <c r="L3535" s="55">
        <v>0</v>
      </c>
      <c r="M3535" s="55">
        <v>0</v>
      </c>
      <c r="N3535" s="55">
        <v>0</v>
      </c>
    </row>
    <row r="3536" spans="1:14" ht="10.050000000000001" hidden="1" customHeight="1">
      <c r="A3536" s="52" t="s">
        <v>306</v>
      </c>
      <c r="B3536" s="53">
        <v>2021</v>
      </c>
      <c r="C3536" s="52" t="s">
        <v>126</v>
      </c>
      <c r="D3536" s="54">
        <v>10</v>
      </c>
      <c r="E3536" s="55">
        <v>11039.2</v>
      </c>
      <c r="F3536" s="55">
        <v>1128.9000000000001</v>
      </c>
      <c r="G3536" s="55">
        <v>12168.1</v>
      </c>
      <c r="H3536" s="55">
        <v>201760.9</v>
      </c>
      <c r="I3536" s="55">
        <v>2160.4</v>
      </c>
      <c r="J3536" s="55">
        <v>203921.3</v>
      </c>
      <c r="K3536" s="55">
        <v>26237.7</v>
      </c>
      <c r="L3536" s="55">
        <v>1211.9000000000001</v>
      </c>
      <c r="M3536" s="55">
        <v>7236.1</v>
      </c>
      <c r="N3536" s="55">
        <v>447.3</v>
      </c>
    </row>
    <row r="3537" spans="1:14" ht="10.050000000000001" hidden="1" customHeight="1">
      <c r="A3537" s="52" t="s">
        <v>172</v>
      </c>
      <c r="B3537" s="53">
        <v>2021</v>
      </c>
      <c r="C3537" s="52" t="s">
        <v>126</v>
      </c>
      <c r="D3537" s="54">
        <v>10</v>
      </c>
      <c r="E3537" s="55">
        <v>98215.5</v>
      </c>
      <c r="F3537" s="55">
        <v>5948.1</v>
      </c>
      <c r="G3537" s="55">
        <v>104163.6</v>
      </c>
      <c r="H3537" s="55">
        <v>628530.5</v>
      </c>
      <c r="I3537" s="55">
        <v>9532.1</v>
      </c>
      <c r="J3537" s="55">
        <v>638062.6</v>
      </c>
      <c r="K3537" s="55">
        <v>191034.8</v>
      </c>
      <c r="L3537" s="55">
        <v>12791.8</v>
      </c>
      <c r="M3537" s="55">
        <v>71723.8</v>
      </c>
      <c r="N3537" s="55">
        <v>3022</v>
      </c>
    </row>
    <row r="3538" spans="1:14" ht="10.050000000000001" hidden="1" customHeight="1">
      <c r="A3538" s="52" t="s">
        <v>171</v>
      </c>
      <c r="B3538" s="53">
        <v>2021</v>
      </c>
      <c r="C3538" s="52" t="s">
        <v>126</v>
      </c>
      <c r="D3538" s="54">
        <v>10</v>
      </c>
      <c r="E3538" s="55">
        <v>1472927.7</v>
      </c>
      <c r="F3538" s="55">
        <v>42115.9</v>
      </c>
      <c r="G3538" s="55">
        <v>1515043.6</v>
      </c>
      <c r="H3538" s="55">
        <v>12058671.300000001</v>
      </c>
      <c r="I3538" s="55">
        <v>73497.899999999994</v>
      </c>
      <c r="J3538" s="55">
        <v>12132169.199999999</v>
      </c>
      <c r="K3538" s="55">
        <v>3301179.3</v>
      </c>
      <c r="L3538" s="55">
        <v>244023.3</v>
      </c>
      <c r="M3538" s="55">
        <v>910803.200000001</v>
      </c>
      <c r="N3538" s="55">
        <v>55785</v>
      </c>
    </row>
    <row r="3539" spans="1:14" ht="10.050000000000001" hidden="1" customHeight="1">
      <c r="A3539" s="52" t="s">
        <v>300</v>
      </c>
      <c r="B3539" s="53">
        <v>2021</v>
      </c>
      <c r="C3539" s="52" t="s">
        <v>126</v>
      </c>
      <c r="D3539" s="54">
        <v>10</v>
      </c>
      <c r="E3539" s="55">
        <v>1344.5</v>
      </c>
      <c r="F3539" s="55">
        <v>412.3</v>
      </c>
      <c r="G3539" s="55">
        <v>1756.8</v>
      </c>
      <c r="H3539" s="55">
        <v>17067.8</v>
      </c>
      <c r="I3539" s="55">
        <v>502.3</v>
      </c>
      <c r="J3539" s="55">
        <v>17570.099999999999</v>
      </c>
      <c r="K3539" s="55">
        <v>711.6</v>
      </c>
      <c r="L3539" s="55">
        <v>-0.1</v>
      </c>
      <c r="M3539" s="55">
        <v>68.5</v>
      </c>
      <c r="N3539" s="55">
        <v>25.2</v>
      </c>
    </row>
    <row r="3540" spans="1:14" ht="10.050000000000001" hidden="1" customHeight="1">
      <c r="A3540" s="52" t="s">
        <v>307</v>
      </c>
      <c r="B3540" s="53">
        <v>2021</v>
      </c>
      <c r="C3540" s="52" t="s">
        <v>126</v>
      </c>
      <c r="D3540" s="54">
        <v>10</v>
      </c>
      <c r="E3540" s="55">
        <v>4078448.8</v>
      </c>
      <c r="F3540" s="55">
        <v>81698.7</v>
      </c>
      <c r="G3540" s="55">
        <v>4160147.5</v>
      </c>
      <c r="H3540" s="55">
        <v>3682418</v>
      </c>
      <c r="I3540" s="55">
        <v>96970.4</v>
      </c>
      <c r="J3540" s="55">
        <v>3779388.4</v>
      </c>
      <c r="K3540" s="55">
        <v>2093543.5</v>
      </c>
      <c r="L3540" s="55">
        <v>2416129.5</v>
      </c>
      <c r="M3540" s="55">
        <v>396270.1</v>
      </c>
      <c r="N3540" s="55">
        <v>64814.9</v>
      </c>
    </row>
    <row r="3541" spans="1:14" ht="10.050000000000001" hidden="1" customHeight="1">
      <c r="A3541" s="52" t="s">
        <v>315</v>
      </c>
      <c r="B3541" s="53">
        <v>2021</v>
      </c>
      <c r="C3541" s="52" t="s">
        <v>126</v>
      </c>
      <c r="D3541" s="54">
        <v>10</v>
      </c>
      <c r="E3541" s="55">
        <v>17127.5</v>
      </c>
      <c r="F3541" s="55">
        <v>0</v>
      </c>
      <c r="G3541" s="55">
        <v>17127.5</v>
      </c>
      <c r="H3541" s="55">
        <v>41588.6</v>
      </c>
      <c r="I3541" s="55">
        <v>0</v>
      </c>
      <c r="J3541" s="55">
        <v>41588.6</v>
      </c>
      <c r="K3541" s="55">
        <v>14437.2</v>
      </c>
      <c r="L3541" s="55">
        <v>7435.8</v>
      </c>
      <c r="M3541" s="55">
        <v>10426.700000000001</v>
      </c>
      <c r="N3541" s="55">
        <v>15.7</v>
      </c>
    </row>
    <row r="3542" spans="1:14" ht="10.050000000000001" hidden="1" customHeight="1">
      <c r="A3542" s="52" t="s">
        <v>311</v>
      </c>
      <c r="B3542" s="53">
        <v>2021</v>
      </c>
      <c r="C3542" s="52" t="s">
        <v>126</v>
      </c>
      <c r="D3542" s="54">
        <v>10</v>
      </c>
      <c r="E3542" s="55">
        <v>22.5</v>
      </c>
      <c r="F3542" s="55">
        <v>0</v>
      </c>
      <c r="G3542" s="55">
        <v>22.5</v>
      </c>
      <c r="H3542" s="55">
        <v>1043.3</v>
      </c>
      <c r="I3542" s="55">
        <v>0</v>
      </c>
      <c r="J3542" s="55">
        <v>1043.3</v>
      </c>
      <c r="K3542" s="55">
        <v>353</v>
      </c>
      <c r="L3542" s="55">
        <v>0</v>
      </c>
      <c r="M3542" s="55">
        <v>0</v>
      </c>
      <c r="N3542" s="55">
        <v>84.3</v>
      </c>
    </row>
    <row r="3543" spans="1:14" ht="10.050000000000001" hidden="1" customHeight="1">
      <c r="A3543" s="52" t="s">
        <v>173</v>
      </c>
      <c r="B3543" s="53">
        <v>2021</v>
      </c>
      <c r="C3543" s="52" t="s">
        <v>126</v>
      </c>
      <c r="D3543" s="54">
        <v>10</v>
      </c>
      <c r="E3543" s="55">
        <v>291404.90000000002</v>
      </c>
      <c r="F3543" s="55">
        <v>12542.3</v>
      </c>
      <c r="G3543" s="55">
        <v>303947.2</v>
      </c>
      <c r="H3543" s="55">
        <v>4222162.5999999996</v>
      </c>
      <c r="I3543" s="55">
        <v>32507.9</v>
      </c>
      <c r="J3543" s="55">
        <v>4254670.5</v>
      </c>
      <c r="K3543" s="55">
        <v>777860.8</v>
      </c>
      <c r="L3543" s="55">
        <v>32800.1</v>
      </c>
      <c r="M3543" s="55">
        <v>194436.9</v>
      </c>
      <c r="N3543" s="55">
        <v>18370.599999999999</v>
      </c>
    </row>
    <row r="3544" spans="1:14" ht="10.050000000000001" customHeight="1">
      <c r="A3544" s="52" t="s">
        <v>309</v>
      </c>
      <c r="B3544" s="53">
        <v>2021</v>
      </c>
      <c r="C3544" s="52" t="s">
        <v>126</v>
      </c>
      <c r="D3544" s="54">
        <v>10</v>
      </c>
      <c r="E3544" s="55">
        <v>43922</v>
      </c>
      <c r="F3544" s="55">
        <v>736.5</v>
      </c>
      <c r="G3544" s="55">
        <v>44658.5</v>
      </c>
      <c r="H3544" s="55">
        <v>58438.7</v>
      </c>
      <c r="I3544" s="55">
        <v>1746.5</v>
      </c>
      <c r="J3544" s="55">
        <v>60185.2</v>
      </c>
      <c r="K3544" s="55">
        <v>4554.2</v>
      </c>
      <c r="L3544" s="55">
        <v>4934.7</v>
      </c>
      <c r="M3544" s="55">
        <v>1351.1</v>
      </c>
      <c r="N3544" s="55">
        <v>0</v>
      </c>
    </row>
    <row r="3545" spans="1:14" ht="10.050000000000001" hidden="1" customHeight="1">
      <c r="A3545" s="52" t="s">
        <v>316</v>
      </c>
      <c r="B3545" s="53">
        <v>2021</v>
      </c>
      <c r="C3545" s="52" t="s">
        <v>126</v>
      </c>
      <c r="D3545" s="54">
        <v>10</v>
      </c>
      <c r="E3545" s="55">
        <v>11355.1</v>
      </c>
      <c r="F3545" s="55">
        <v>120.4</v>
      </c>
      <c r="G3545" s="55">
        <v>11475.5</v>
      </c>
      <c r="H3545" s="55">
        <v>21549.200000000001</v>
      </c>
      <c r="I3545" s="55">
        <v>98.9</v>
      </c>
      <c r="J3545" s="55">
        <v>21648.1</v>
      </c>
      <c r="K3545" s="55">
        <v>1514.9</v>
      </c>
      <c r="L3545" s="55">
        <v>1445</v>
      </c>
      <c r="M3545" s="55">
        <v>1174</v>
      </c>
      <c r="N3545" s="55">
        <v>83.9</v>
      </c>
    </row>
    <row r="3546" spans="1:14" ht="10.050000000000001" hidden="1" customHeight="1">
      <c r="A3546" s="52" t="s">
        <v>310</v>
      </c>
      <c r="B3546" s="53">
        <v>2021</v>
      </c>
      <c r="C3546" s="52" t="s">
        <v>126</v>
      </c>
      <c r="D3546" s="54">
        <v>10</v>
      </c>
      <c r="E3546" s="55">
        <v>3867</v>
      </c>
      <c r="F3546" s="55">
        <v>555.4</v>
      </c>
      <c r="G3546" s="55">
        <v>4422.3999999999996</v>
      </c>
      <c r="H3546" s="55">
        <v>55566.6</v>
      </c>
      <c r="I3546" s="55">
        <v>1578.3</v>
      </c>
      <c r="J3546" s="55">
        <v>57144.9</v>
      </c>
      <c r="K3546" s="55">
        <v>9248.6</v>
      </c>
      <c r="L3546" s="55">
        <v>300.5</v>
      </c>
      <c r="M3546" s="55">
        <v>2518.3000000000002</v>
      </c>
      <c r="N3546" s="55">
        <v>120.2</v>
      </c>
    </row>
    <row r="3547" spans="1:14" ht="10.050000000000001" hidden="1" customHeight="1">
      <c r="A3547" s="52" t="s">
        <v>308</v>
      </c>
      <c r="B3547" s="53">
        <v>2021</v>
      </c>
      <c r="C3547" s="52" t="s">
        <v>126</v>
      </c>
      <c r="D3547" s="54">
        <v>10</v>
      </c>
      <c r="E3547" s="55">
        <v>143443.5</v>
      </c>
      <c r="F3547" s="55">
        <v>54.1</v>
      </c>
      <c r="G3547" s="55">
        <v>143497.60000000001</v>
      </c>
      <c r="H3547" s="55">
        <v>148050.4</v>
      </c>
      <c r="I3547" s="55">
        <v>973.8</v>
      </c>
      <c r="J3547" s="55">
        <v>149024.20000000001</v>
      </c>
      <c r="K3547" s="55">
        <v>53889.1</v>
      </c>
      <c r="L3547" s="55">
        <v>63186.9</v>
      </c>
      <c r="M3547" s="55">
        <v>10892.5</v>
      </c>
      <c r="N3547" s="55">
        <v>88.3</v>
      </c>
    </row>
    <row r="3548" spans="1:14" ht="10.050000000000001" hidden="1" customHeight="1">
      <c r="A3548" s="52" t="s">
        <v>174</v>
      </c>
      <c r="B3548" s="53">
        <v>2021</v>
      </c>
      <c r="C3548" s="52" t="s">
        <v>126</v>
      </c>
      <c r="D3548" s="54">
        <v>10</v>
      </c>
      <c r="E3548" s="55">
        <v>30355.9</v>
      </c>
      <c r="F3548" s="55">
        <v>3452.3</v>
      </c>
      <c r="G3548" s="55">
        <v>33808.199999999997</v>
      </c>
      <c r="H3548" s="55">
        <v>457059.7</v>
      </c>
      <c r="I3548" s="55">
        <v>10151.1</v>
      </c>
      <c r="J3548" s="55">
        <v>467210.8</v>
      </c>
      <c r="K3548" s="55">
        <v>135357</v>
      </c>
      <c r="L3548" s="55">
        <v>4202.1000000000004</v>
      </c>
      <c r="M3548" s="55">
        <v>16045.9</v>
      </c>
      <c r="N3548" s="55">
        <v>8256.7999999999993</v>
      </c>
    </row>
    <row r="3549" spans="1:14" ht="10.050000000000001" hidden="1" customHeight="1">
      <c r="A3549" s="52" t="s">
        <v>314</v>
      </c>
      <c r="B3549" s="53">
        <v>2021</v>
      </c>
      <c r="C3549" s="52" t="s">
        <v>126</v>
      </c>
      <c r="D3549" s="54">
        <v>11</v>
      </c>
      <c r="E3549" s="55">
        <v>0</v>
      </c>
      <c r="F3549" s="55">
        <v>0</v>
      </c>
      <c r="G3549" s="55">
        <v>0</v>
      </c>
      <c r="H3549" s="55">
        <v>109.8</v>
      </c>
      <c r="I3549" s="55">
        <v>0</v>
      </c>
      <c r="J3549" s="55">
        <v>109.8</v>
      </c>
      <c r="K3549" s="55">
        <v>25.6</v>
      </c>
      <c r="L3549" s="55">
        <v>0</v>
      </c>
      <c r="M3549" s="55">
        <v>0</v>
      </c>
      <c r="N3549" s="55">
        <v>0</v>
      </c>
    </row>
    <row r="3550" spans="1:14" ht="10.050000000000001" hidden="1" customHeight="1">
      <c r="A3550" s="52" t="s">
        <v>306</v>
      </c>
      <c r="B3550" s="53">
        <v>2021</v>
      </c>
      <c r="C3550" s="52" t="s">
        <v>126</v>
      </c>
      <c r="D3550" s="54">
        <v>11</v>
      </c>
      <c r="E3550" s="55">
        <v>9650.2000000000007</v>
      </c>
      <c r="F3550" s="55">
        <v>1581.9</v>
      </c>
      <c r="G3550" s="55">
        <v>11232.1</v>
      </c>
      <c r="H3550" s="55">
        <v>191123.20000000001</v>
      </c>
      <c r="I3550" s="55">
        <v>2707.8</v>
      </c>
      <c r="J3550" s="55">
        <v>193831</v>
      </c>
      <c r="K3550" s="55">
        <v>21845.1</v>
      </c>
      <c r="L3550" s="55">
        <v>805.5</v>
      </c>
      <c r="M3550" s="55">
        <v>4566</v>
      </c>
      <c r="N3550" s="55">
        <v>632.20000000000005</v>
      </c>
    </row>
    <row r="3551" spans="1:14" ht="10.050000000000001" hidden="1" customHeight="1">
      <c r="A3551" s="52" t="s">
        <v>172</v>
      </c>
      <c r="B3551" s="53">
        <v>2021</v>
      </c>
      <c r="C3551" s="52" t="s">
        <v>126</v>
      </c>
      <c r="D3551" s="54">
        <v>11</v>
      </c>
      <c r="E3551" s="55">
        <v>66467.399999999994</v>
      </c>
      <c r="F3551" s="55">
        <v>69.5</v>
      </c>
      <c r="G3551" s="55">
        <v>66536.899999999994</v>
      </c>
      <c r="H3551" s="55">
        <v>584473.59999999998</v>
      </c>
      <c r="I3551" s="55">
        <v>6260.1</v>
      </c>
      <c r="J3551" s="55">
        <v>590733.69999999995</v>
      </c>
      <c r="K3551" s="55">
        <v>158702.70000000001</v>
      </c>
      <c r="L3551" s="55">
        <v>12327.7</v>
      </c>
      <c r="M3551" s="55">
        <v>42345.9</v>
      </c>
      <c r="N3551" s="55">
        <v>2313.8000000000002</v>
      </c>
    </row>
    <row r="3552" spans="1:14" ht="10.050000000000001" hidden="1" customHeight="1">
      <c r="A3552" s="52" t="s">
        <v>171</v>
      </c>
      <c r="B3552" s="53">
        <v>2021</v>
      </c>
      <c r="C3552" s="52" t="s">
        <v>126</v>
      </c>
      <c r="D3552" s="54">
        <v>11</v>
      </c>
      <c r="E3552" s="55">
        <v>1465917.5</v>
      </c>
      <c r="F3552" s="55">
        <v>19899.5</v>
      </c>
      <c r="G3552" s="55">
        <v>1485817</v>
      </c>
      <c r="H3552" s="55">
        <v>10677622.1</v>
      </c>
      <c r="I3552" s="55">
        <v>64437.599999999999</v>
      </c>
      <c r="J3552" s="55">
        <v>10742059.699999999</v>
      </c>
      <c r="K3552" s="55">
        <v>2786193.1</v>
      </c>
      <c r="L3552" s="55">
        <v>337317.5</v>
      </c>
      <c r="M3552" s="55">
        <v>791807.3</v>
      </c>
      <c r="N3552" s="55">
        <v>61461</v>
      </c>
    </row>
    <row r="3553" spans="1:14" ht="10.050000000000001" hidden="1" customHeight="1">
      <c r="A3553" s="52" t="s">
        <v>300</v>
      </c>
      <c r="B3553" s="53">
        <v>2021</v>
      </c>
      <c r="C3553" s="52" t="s">
        <v>126</v>
      </c>
      <c r="D3553" s="54">
        <v>11</v>
      </c>
      <c r="E3553" s="55">
        <v>1305.3</v>
      </c>
      <c r="F3553" s="55">
        <v>135.80000000000001</v>
      </c>
      <c r="G3553" s="55">
        <v>1441.1</v>
      </c>
      <c r="H3553" s="55">
        <v>16355.6</v>
      </c>
      <c r="I3553" s="55">
        <v>447.1</v>
      </c>
      <c r="J3553" s="55">
        <v>16802.7</v>
      </c>
      <c r="K3553" s="55">
        <v>687.9</v>
      </c>
      <c r="L3553" s="55">
        <v>47.7</v>
      </c>
      <c r="M3553" s="55">
        <v>57.2</v>
      </c>
      <c r="N3553" s="55">
        <v>14.2</v>
      </c>
    </row>
    <row r="3554" spans="1:14" ht="10.050000000000001" hidden="1" customHeight="1">
      <c r="A3554" s="52" t="s">
        <v>307</v>
      </c>
      <c r="B3554" s="53">
        <v>2021</v>
      </c>
      <c r="C3554" s="52" t="s">
        <v>126</v>
      </c>
      <c r="D3554" s="54">
        <v>11</v>
      </c>
      <c r="E3554" s="55">
        <v>3627325</v>
      </c>
      <c r="F3554" s="55">
        <v>122924.3</v>
      </c>
      <c r="G3554" s="55">
        <v>3750249.3</v>
      </c>
      <c r="H3554" s="55">
        <v>5888475.5999999996</v>
      </c>
      <c r="I3554" s="55">
        <v>152505.4</v>
      </c>
      <c r="J3554" s="55">
        <v>6040981</v>
      </c>
      <c r="K3554" s="55">
        <v>2619421.2999999998</v>
      </c>
      <c r="L3554" s="55">
        <v>1823671</v>
      </c>
      <c r="M3554" s="55">
        <v>1156110.8999999999</v>
      </c>
      <c r="N3554" s="55">
        <v>148837</v>
      </c>
    </row>
    <row r="3555" spans="1:14" ht="10.050000000000001" hidden="1" customHeight="1">
      <c r="A3555" s="52" t="s">
        <v>315</v>
      </c>
      <c r="B3555" s="53">
        <v>2021</v>
      </c>
      <c r="C3555" s="52" t="s">
        <v>126</v>
      </c>
      <c r="D3555" s="54">
        <v>11</v>
      </c>
      <c r="E3555" s="55">
        <v>6574.5</v>
      </c>
      <c r="F3555" s="55">
        <v>0</v>
      </c>
      <c r="G3555" s="55">
        <v>6574.5</v>
      </c>
      <c r="H3555" s="55">
        <v>45091.1</v>
      </c>
      <c r="I3555" s="55">
        <v>0</v>
      </c>
      <c r="J3555" s="55">
        <v>45091.1</v>
      </c>
      <c r="K3555" s="55">
        <v>9456.6</v>
      </c>
      <c r="L3555" s="55">
        <v>110.1</v>
      </c>
      <c r="M3555" s="55">
        <v>4996.6000000000004</v>
      </c>
      <c r="N3555" s="55">
        <v>94.2</v>
      </c>
    </row>
    <row r="3556" spans="1:14" ht="10.050000000000001" hidden="1" customHeight="1">
      <c r="A3556" s="52" t="s">
        <v>311</v>
      </c>
      <c r="B3556" s="53">
        <v>2021</v>
      </c>
      <c r="C3556" s="52" t="s">
        <v>126</v>
      </c>
      <c r="D3556" s="54">
        <v>11</v>
      </c>
      <c r="E3556" s="55">
        <v>57.1</v>
      </c>
      <c r="F3556" s="55">
        <v>0</v>
      </c>
      <c r="G3556" s="55">
        <v>57.1</v>
      </c>
      <c r="H3556" s="55">
        <v>1051.5999999999999</v>
      </c>
      <c r="I3556" s="55">
        <v>0</v>
      </c>
      <c r="J3556" s="55">
        <v>1051.5999999999999</v>
      </c>
      <c r="K3556" s="55">
        <v>307.60000000000002</v>
      </c>
      <c r="L3556" s="55">
        <v>0</v>
      </c>
      <c r="M3556" s="55">
        <v>5.5</v>
      </c>
      <c r="N3556" s="55">
        <v>40</v>
      </c>
    </row>
    <row r="3557" spans="1:14" ht="10.050000000000001" hidden="1" customHeight="1">
      <c r="A3557" s="52" t="s">
        <v>173</v>
      </c>
      <c r="B3557" s="53">
        <v>2021</v>
      </c>
      <c r="C3557" s="52" t="s">
        <v>126</v>
      </c>
      <c r="D3557" s="54">
        <v>11</v>
      </c>
      <c r="E3557" s="55">
        <v>282460</v>
      </c>
      <c r="F3557" s="55">
        <v>24298.5</v>
      </c>
      <c r="G3557" s="55">
        <v>306758.5</v>
      </c>
      <c r="H3557" s="55">
        <v>3856122.9</v>
      </c>
      <c r="I3557" s="55">
        <v>35960.9</v>
      </c>
      <c r="J3557" s="55">
        <v>3892083.8</v>
      </c>
      <c r="K3557" s="55">
        <v>653039.69999999995</v>
      </c>
      <c r="L3557" s="55">
        <v>39470.5</v>
      </c>
      <c r="M3557" s="55">
        <v>131053.8</v>
      </c>
      <c r="N3557" s="55">
        <v>33530.199999999997</v>
      </c>
    </row>
    <row r="3558" spans="1:14" ht="10.050000000000001" customHeight="1">
      <c r="A3558" s="52" t="s">
        <v>309</v>
      </c>
      <c r="B3558" s="53">
        <v>2021</v>
      </c>
      <c r="C3558" s="52" t="s">
        <v>126</v>
      </c>
      <c r="D3558" s="54">
        <v>11</v>
      </c>
      <c r="E3558" s="55">
        <v>7352</v>
      </c>
      <c r="F3558" s="55">
        <v>0</v>
      </c>
      <c r="G3558" s="55">
        <v>7352</v>
      </c>
      <c r="H3558" s="55">
        <v>60675.3</v>
      </c>
      <c r="I3558" s="55">
        <v>1746.5</v>
      </c>
      <c r="J3558" s="55">
        <v>62421.8</v>
      </c>
      <c r="K3558" s="55">
        <v>5004.5</v>
      </c>
      <c r="L3558" s="55">
        <v>650.29999999999995</v>
      </c>
      <c r="M3558" s="55">
        <v>200</v>
      </c>
      <c r="N3558" s="55">
        <v>0</v>
      </c>
    </row>
    <row r="3559" spans="1:14" ht="10.050000000000001" hidden="1" customHeight="1">
      <c r="A3559" s="52" t="s">
        <v>316</v>
      </c>
      <c r="B3559" s="53">
        <v>2021</v>
      </c>
      <c r="C3559" s="52" t="s">
        <v>126</v>
      </c>
      <c r="D3559" s="54">
        <v>11</v>
      </c>
      <c r="E3559" s="55">
        <v>3248.5</v>
      </c>
      <c r="F3559" s="55">
        <v>48.4</v>
      </c>
      <c r="G3559" s="55">
        <v>3296.9</v>
      </c>
      <c r="H3559" s="55">
        <v>21955.4</v>
      </c>
      <c r="I3559" s="55">
        <v>119.7</v>
      </c>
      <c r="J3559" s="55">
        <v>22075.1</v>
      </c>
      <c r="K3559" s="55">
        <v>1314</v>
      </c>
      <c r="L3559" s="55">
        <v>495.4</v>
      </c>
      <c r="M3559" s="55">
        <v>527.29999999999995</v>
      </c>
      <c r="N3559" s="55">
        <v>130.19999999999999</v>
      </c>
    </row>
    <row r="3560" spans="1:14" ht="10.050000000000001" hidden="1" customHeight="1">
      <c r="A3560" s="52" t="s">
        <v>310</v>
      </c>
      <c r="B3560" s="53">
        <v>2021</v>
      </c>
      <c r="C3560" s="52" t="s">
        <v>126</v>
      </c>
      <c r="D3560" s="54">
        <v>11</v>
      </c>
      <c r="E3560" s="55">
        <v>3232.1</v>
      </c>
      <c r="F3560" s="55">
        <v>281.7</v>
      </c>
      <c r="G3560" s="55">
        <v>3513.8</v>
      </c>
      <c r="H3560" s="55">
        <v>54999.6</v>
      </c>
      <c r="I3560" s="55">
        <v>1753.7</v>
      </c>
      <c r="J3560" s="55">
        <v>56753.3</v>
      </c>
      <c r="K3560" s="55">
        <v>6856.8</v>
      </c>
      <c r="L3560" s="55">
        <v>65.3</v>
      </c>
      <c r="M3560" s="55">
        <v>2370.1999999999998</v>
      </c>
      <c r="N3560" s="55">
        <v>86.4</v>
      </c>
    </row>
    <row r="3561" spans="1:14" ht="10.050000000000001" hidden="1" customHeight="1">
      <c r="A3561" s="52" t="s">
        <v>308</v>
      </c>
      <c r="B3561" s="53">
        <v>2021</v>
      </c>
      <c r="C3561" s="52" t="s">
        <v>126</v>
      </c>
      <c r="D3561" s="54">
        <v>11</v>
      </c>
      <c r="E3561" s="55">
        <v>76409.2</v>
      </c>
      <c r="F3561" s="55">
        <v>5</v>
      </c>
      <c r="G3561" s="55">
        <v>76414.2</v>
      </c>
      <c r="H3561" s="55">
        <v>198274.2</v>
      </c>
      <c r="I3561" s="55">
        <v>944.3</v>
      </c>
      <c r="J3561" s="55">
        <v>199218.5</v>
      </c>
      <c r="K3561" s="55">
        <v>43220.1</v>
      </c>
      <c r="L3561" s="55">
        <v>26251.9</v>
      </c>
      <c r="M3561" s="55">
        <v>34864.6</v>
      </c>
      <c r="N3561" s="55">
        <v>1781.1</v>
      </c>
    </row>
    <row r="3562" spans="1:14" ht="10.050000000000001" hidden="1" customHeight="1">
      <c r="A3562" s="52" t="s">
        <v>174</v>
      </c>
      <c r="B3562" s="53">
        <v>2021</v>
      </c>
      <c r="C3562" s="52" t="s">
        <v>126</v>
      </c>
      <c r="D3562" s="54">
        <v>11</v>
      </c>
      <c r="E3562" s="55">
        <v>26224.3</v>
      </c>
      <c r="F3562" s="55">
        <v>2048.8000000000002</v>
      </c>
      <c r="G3562" s="55">
        <v>28273.1</v>
      </c>
      <c r="H3562" s="55">
        <v>433304.3</v>
      </c>
      <c r="I3562" s="55">
        <v>9713.9000000000106</v>
      </c>
      <c r="J3562" s="55">
        <v>443018.2</v>
      </c>
      <c r="K3562" s="55">
        <v>117237.1</v>
      </c>
      <c r="L3562" s="55">
        <v>4110.8</v>
      </c>
      <c r="M3562" s="55">
        <v>12262.8</v>
      </c>
      <c r="N3562" s="55">
        <v>9972.6</v>
      </c>
    </row>
    <row r="3563" spans="1:14" ht="10.050000000000001" hidden="1" customHeight="1">
      <c r="A3563" s="52" t="s">
        <v>314</v>
      </c>
      <c r="B3563" s="53">
        <v>2021</v>
      </c>
      <c r="C3563" s="52" t="s">
        <v>126</v>
      </c>
      <c r="D3563" s="54">
        <v>12</v>
      </c>
      <c r="E3563" s="55">
        <v>0</v>
      </c>
      <c r="F3563" s="55">
        <v>0</v>
      </c>
      <c r="G3563" s="55">
        <v>0</v>
      </c>
      <c r="H3563" s="55">
        <v>99.3</v>
      </c>
      <c r="I3563" s="55">
        <v>0</v>
      </c>
      <c r="J3563" s="55">
        <v>99.3</v>
      </c>
      <c r="K3563" s="55">
        <v>25.6</v>
      </c>
      <c r="L3563" s="55">
        <v>0</v>
      </c>
      <c r="M3563" s="55">
        <v>0</v>
      </c>
      <c r="N3563" s="55">
        <v>0</v>
      </c>
    </row>
    <row r="3564" spans="1:14" ht="10.050000000000001" hidden="1" customHeight="1">
      <c r="A3564" s="52" t="s">
        <v>306</v>
      </c>
      <c r="B3564" s="53">
        <v>2021</v>
      </c>
      <c r="C3564" s="52" t="s">
        <v>126</v>
      </c>
      <c r="D3564" s="54">
        <v>12</v>
      </c>
      <c r="E3564" s="55">
        <v>8529.2000000000007</v>
      </c>
      <c r="F3564" s="55">
        <v>2395.1999999999998</v>
      </c>
      <c r="G3564" s="55">
        <v>10924.4</v>
      </c>
      <c r="H3564" s="55">
        <v>177773</v>
      </c>
      <c r="I3564" s="55">
        <v>4043.2</v>
      </c>
      <c r="J3564" s="55">
        <v>181816.2</v>
      </c>
      <c r="K3564" s="55">
        <v>18264.099999999999</v>
      </c>
      <c r="L3564" s="55">
        <v>1636.6</v>
      </c>
      <c r="M3564" s="55">
        <v>4191.1000000000004</v>
      </c>
      <c r="N3564" s="55">
        <v>1026.5</v>
      </c>
    </row>
    <row r="3565" spans="1:14" ht="10.050000000000001" hidden="1" customHeight="1">
      <c r="A3565" s="52" t="s">
        <v>172</v>
      </c>
      <c r="B3565" s="53">
        <v>2021</v>
      </c>
      <c r="C3565" s="52" t="s">
        <v>126</v>
      </c>
      <c r="D3565" s="54">
        <v>12</v>
      </c>
      <c r="E3565" s="55">
        <v>70593</v>
      </c>
      <c r="F3565" s="55">
        <v>43.3</v>
      </c>
      <c r="G3565" s="55">
        <v>70636.3</v>
      </c>
      <c r="H3565" s="55">
        <v>556669.5</v>
      </c>
      <c r="I3565" s="55">
        <v>6100.7</v>
      </c>
      <c r="J3565" s="55">
        <v>562770.19999999995</v>
      </c>
      <c r="K3565" s="55">
        <v>132171.79999999999</v>
      </c>
      <c r="L3565" s="55">
        <v>13986.5</v>
      </c>
      <c r="M3565" s="55">
        <v>39462.699999999997</v>
      </c>
      <c r="N3565" s="55">
        <v>1054.2</v>
      </c>
    </row>
    <row r="3566" spans="1:14" ht="10.050000000000001" hidden="1" customHeight="1">
      <c r="A3566" s="52" t="s">
        <v>171</v>
      </c>
      <c r="B3566" s="53">
        <v>2021</v>
      </c>
      <c r="C3566" s="52" t="s">
        <v>126</v>
      </c>
      <c r="D3566" s="54">
        <v>12</v>
      </c>
      <c r="E3566" s="55">
        <v>1862642.9</v>
      </c>
      <c r="F3566" s="55">
        <v>20793.3</v>
      </c>
      <c r="G3566" s="55">
        <v>1883436.2</v>
      </c>
      <c r="H3566" s="55">
        <v>10131125.199999999</v>
      </c>
      <c r="I3566" s="55">
        <v>69328.899999999994</v>
      </c>
      <c r="J3566" s="55">
        <v>10200454.1</v>
      </c>
      <c r="K3566" s="55">
        <v>2193270.4</v>
      </c>
      <c r="L3566" s="55">
        <v>441836.9</v>
      </c>
      <c r="M3566" s="55">
        <v>994843.2</v>
      </c>
      <c r="N3566" s="55">
        <v>39917.1</v>
      </c>
    </row>
    <row r="3567" spans="1:14" ht="10.050000000000001" hidden="1" customHeight="1">
      <c r="A3567" s="52" t="s">
        <v>300</v>
      </c>
      <c r="B3567" s="53">
        <v>2021</v>
      </c>
      <c r="C3567" s="52" t="s">
        <v>126</v>
      </c>
      <c r="D3567" s="54">
        <v>12</v>
      </c>
      <c r="E3567" s="55">
        <v>1353</v>
      </c>
      <c r="F3567" s="55">
        <v>23.4</v>
      </c>
      <c r="G3567" s="55">
        <v>1376.4</v>
      </c>
      <c r="H3567" s="55">
        <v>14913.5</v>
      </c>
      <c r="I3567" s="55">
        <v>406</v>
      </c>
      <c r="J3567" s="55">
        <v>15319.5</v>
      </c>
      <c r="K3567" s="55">
        <v>573.79999999999995</v>
      </c>
      <c r="L3567" s="55">
        <v>0</v>
      </c>
      <c r="M3567" s="55">
        <v>77.400000000000006</v>
      </c>
      <c r="N3567" s="55">
        <v>36.700000000000003</v>
      </c>
    </row>
    <row r="3568" spans="1:14" ht="10.050000000000001" hidden="1" customHeight="1">
      <c r="A3568" s="52" t="s">
        <v>307</v>
      </c>
      <c r="B3568" s="53">
        <v>2021</v>
      </c>
      <c r="C3568" s="52" t="s">
        <v>126</v>
      </c>
      <c r="D3568" s="54">
        <v>12</v>
      </c>
      <c r="E3568" s="55">
        <v>1003897.9</v>
      </c>
      <c r="F3568" s="55">
        <v>13102.2</v>
      </c>
      <c r="G3568" s="55">
        <v>1017000.1</v>
      </c>
      <c r="H3568" s="55">
        <v>5778836.9000000004</v>
      </c>
      <c r="I3568" s="55">
        <v>127631.1</v>
      </c>
      <c r="J3568" s="55">
        <v>5906468</v>
      </c>
      <c r="K3568" s="55">
        <v>2136563.7000000002</v>
      </c>
      <c r="L3568" s="55">
        <v>139125.70000000001</v>
      </c>
      <c r="M3568" s="55">
        <v>537230.6</v>
      </c>
      <c r="N3568" s="55">
        <v>81818.899999999994</v>
      </c>
    </row>
    <row r="3569" spans="1:14" ht="10.050000000000001" hidden="1" customHeight="1">
      <c r="A3569" s="52" t="s">
        <v>315</v>
      </c>
      <c r="B3569" s="53">
        <v>2021</v>
      </c>
      <c r="C3569" s="52" t="s">
        <v>126</v>
      </c>
      <c r="D3569" s="54">
        <v>12</v>
      </c>
      <c r="E3569" s="55">
        <v>2943.7</v>
      </c>
      <c r="F3569" s="55">
        <v>0</v>
      </c>
      <c r="G3569" s="55">
        <v>2943.7</v>
      </c>
      <c r="H3569" s="55">
        <v>43890.7</v>
      </c>
      <c r="I3569" s="55">
        <v>0</v>
      </c>
      <c r="J3569" s="55">
        <v>43890.7</v>
      </c>
      <c r="K3569" s="55">
        <v>7252.4</v>
      </c>
      <c r="L3569" s="55">
        <v>79.400000000000006</v>
      </c>
      <c r="M3569" s="55">
        <v>2189.1999999999998</v>
      </c>
      <c r="N3569" s="55">
        <v>94.3</v>
      </c>
    </row>
    <row r="3570" spans="1:14" ht="10.050000000000001" hidden="1" customHeight="1">
      <c r="A3570" s="52" t="s">
        <v>311</v>
      </c>
      <c r="B3570" s="53">
        <v>2021</v>
      </c>
      <c r="C3570" s="52" t="s">
        <v>126</v>
      </c>
      <c r="D3570" s="54">
        <v>12</v>
      </c>
      <c r="E3570" s="55">
        <v>53.3</v>
      </c>
      <c r="F3570" s="55">
        <v>0</v>
      </c>
      <c r="G3570" s="55">
        <v>53.3</v>
      </c>
      <c r="H3570" s="55">
        <v>732.6</v>
      </c>
      <c r="I3570" s="55">
        <v>0</v>
      </c>
      <c r="J3570" s="55">
        <v>732.6</v>
      </c>
      <c r="K3570" s="55">
        <v>242.6</v>
      </c>
      <c r="L3570" s="55">
        <v>0</v>
      </c>
      <c r="M3570" s="55">
        <v>0</v>
      </c>
      <c r="N3570" s="55">
        <v>65</v>
      </c>
    </row>
    <row r="3571" spans="1:14" ht="10.050000000000001" hidden="1" customHeight="1">
      <c r="A3571" s="52" t="s">
        <v>173</v>
      </c>
      <c r="B3571" s="53">
        <v>2021</v>
      </c>
      <c r="C3571" s="52" t="s">
        <v>126</v>
      </c>
      <c r="D3571" s="54">
        <v>12</v>
      </c>
      <c r="E3571" s="55">
        <v>293361.7</v>
      </c>
      <c r="F3571" s="55">
        <v>11244.7</v>
      </c>
      <c r="G3571" s="55">
        <v>304606.40000000002</v>
      </c>
      <c r="H3571" s="55">
        <v>3582491.1</v>
      </c>
      <c r="I3571" s="55">
        <v>36251.5</v>
      </c>
      <c r="J3571" s="55">
        <v>3618742.6</v>
      </c>
      <c r="K3571" s="55">
        <v>539510.30000000005</v>
      </c>
      <c r="L3571" s="55">
        <v>53734.400000000001</v>
      </c>
      <c r="M3571" s="55">
        <v>139393.4</v>
      </c>
      <c r="N3571" s="55">
        <v>27901.599999999999</v>
      </c>
    </row>
    <row r="3572" spans="1:14" ht="10.050000000000001" customHeight="1">
      <c r="A3572" s="52" t="s">
        <v>309</v>
      </c>
      <c r="B3572" s="53">
        <v>2021</v>
      </c>
      <c r="C3572" s="52" t="s">
        <v>126</v>
      </c>
      <c r="D3572" s="54">
        <v>12</v>
      </c>
      <c r="E3572" s="55">
        <v>0.5</v>
      </c>
      <c r="F3572" s="55">
        <v>0</v>
      </c>
      <c r="G3572" s="55">
        <v>0.5</v>
      </c>
      <c r="H3572" s="55">
        <v>55572</v>
      </c>
      <c r="I3572" s="55">
        <v>1687.5</v>
      </c>
      <c r="J3572" s="55">
        <v>57259.5</v>
      </c>
      <c r="K3572" s="55">
        <v>5004</v>
      </c>
      <c r="L3572" s="55">
        <v>0</v>
      </c>
      <c r="M3572" s="55">
        <v>0.5</v>
      </c>
      <c r="N3572" s="55">
        <v>0</v>
      </c>
    </row>
    <row r="3573" spans="1:14" ht="10.050000000000001" hidden="1" customHeight="1">
      <c r="A3573" s="52" t="s">
        <v>316</v>
      </c>
      <c r="B3573" s="53">
        <v>2021</v>
      </c>
      <c r="C3573" s="52" t="s">
        <v>126</v>
      </c>
      <c r="D3573" s="54">
        <v>12</v>
      </c>
      <c r="E3573" s="55">
        <v>1234.0999999999999</v>
      </c>
      <c r="F3573" s="55">
        <v>35.200000000000003</v>
      </c>
      <c r="G3573" s="55">
        <v>1269.3</v>
      </c>
      <c r="H3573" s="55">
        <v>20741.099999999999</v>
      </c>
      <c r="I3573" s="55">
        <v>154.1</v>
      </c>
      <c r="J3573" s="55">
        <v>20895.2</v>
      </c>
      <c r="K3573" s="55">
        <v>980.5</v>
      </c>
      <c r="L3573" s="55">
        <v>110.6</v>
      </c>
      <c r="M3573" s="55">
        <v>388.7</v>
      </c>
      <c r="N3573" s="55">
        <v>55.2</v>
      </c>
    </row>
    <row r="3574" spans="1:14" ht="10.050000000000001" hidden="1" customHeight="1">
      <c r="A3574" s="52" t="s">
        <v>310</v>
      </c>
      <c r="B3574" s="53">
        <v>2021</v>
      </c>
      <c r="C3574" s="52" t="s">
        <v>126</v>
      </c>
      <c r="D3574" s="54">
        <v>12</v>
      </c>
      <c r="E3574" s="55">
        <v>2399.6</v>
      </c>
      <c r="F3574" s="55">
        <v>235.1</v>
      </c>
      <c r="G3574" s="55">
        <v>2634.7</v>
      </c>
      <c r="H3574" s="55">
        <v>52792</v>
      </c>
      <c r="I3574" s="55">
        <v>1655.6</v>
      </c>
      <c r="J3574" s="55">
        <v>54447.6</v>
      </c>
      <c r="K3574" s="55">
        <v>5475.4</v>
      </c>
      <c r="L3574" s="55">
        <v>266.2</v>
      </c>
      <c r="M3574" s="55">
        <v>1515.3</v>
      </c>
      <c r="N3574" s="55">
        <v>139.5</v>
      </c>
    </row>
    <row r="3575" spans="1:14" ht="10.050000000000001" hidden="1" customHeight="1">
      <c r="A3575" s="52" t="s">
        <v>308</v>
      </c>
      <c r="B3575" s="53">
        <v>2021</v>
      </c>
      <c r="C3575" s="52" t="s">
        <v>126</v>
      </c>
      <c r="D3575" s="54">
        <v>12</v>
      </c>
      <c r="E3575" s="55">
        <v>18258.7</v>
      </c>
      <c r="F3575" s="55">
        <v>136.1</v>
      </c>
      <c r="G3575" s="55">
        <v>18394.8</v>
      </c>
      <c r="H3575" s="55">
        <v>189009.5</v>
      </c>
      <c r="I3575" s="55">
        <v>866.9</v>
      </c>
      <c r="J3575" s="55">
        <v>189876.4</v>
      </c>
      <c r="K3575" s="55">
        <v>30158.3</v>
      </c>
      <c r="L3575" s="55">
        <v>1871.1</v>
      </c>
      <c r="M3575" s="55">
        <v>13775.6</v>
      </c>
      <c r="N3575" s="55">
        <v>1157.7</v>
      </c>
    </row>
    <row r="3576" spans="1:14" ht="10.050000000000001" hidden="1" customHeight="1">
      <c r="A3576" s="52" t="s">
        <v>174</v>
      </c>
      <c r="B3576" s="53">
        <v>2021</v>
      </c>
      <c r="C3576" s="52" t="s">
        <v>126</v>
      </c>
      <c r="D3576" s="54">
        <v>12</v>
      </c>
      <c r="E3576" s="55">
        <v>22577.8</v>
      </c>
      <c r="F3576" s="55">
        <v>738.1</v>
      </c>
      <c r="G3576" s="55">
        <v>23315.9</v>
      </c>
      <c r="H3576" s="55">
        <v>390073.7</v>
      </c>
      <c r="I3576" s="55">
        <v>10147.6</v>
      </c>
      <c r="J3576" s="55">
        <v>400221.3</v>
      </c>
      <c r="K3576" s="55">
        <v>103962.4</v>
      </c>
      <c r="L3576" s="55">
        <v>4813.3999999999996</v>
      </c>
      <c r="M3576" s="55">
        <v>9258</v>
      </c>
      <c r="N3576" s="55">
        <v>8819</v>
      </c>
    </row>
    <row r="3577" spans="1:14" ht="10.050000000000001" hidden="1" customHeight="1">
      <c r="A3577" s="52" t="s">
        <v>314</v>
      </c>
      <c r="B3577" s="53">
        <v>2022</v>
      </c>
      <c r="C3577" s="52" t="s">
        <v>126</v>
      </c>
      <c r="D3577" s="54">
        <v>1</v>
      </c>
      <c r="E3577" s="55">
        <v>21.1</v>
      </c>
      <c r="F3577" s="55">
        <v>0</v>
      </c>
      <c r="G3577" s="55">
        <v>21.1</v>
      </c>
      <c r="H3577" s="55">
        <v>112.7</v>
      </c>
      <c r="I3577" s="55">
        <v>0</v>
      </c>
      <c r="J3577" s="55">
        <v>112.7</v>
      </c>
      <c r="K3577" s="55">
        <v>4.5</v>
      </c>
      <c r="L3577" s="55">
        <v>0</v>
      </c>
      <c r="M3577" s="55">
        <v>21.1</v>
      </c>
      <c r="N3577" s="55">
        <v>0</v>
      </c>
    </row>
    <row r="3578" spans="1:14" ht="10.050000000000001" hidden="1" customHeight="1">
      <c r="A3578" s="52" t="s">
        <v>306</v>
      </c>
      <c r="B3578" s="53">
        <v>2022</v>
      </c>
      <c r="C3578" s="52" t="s">
        <v>126</v>
      </c>
      <c r="D3578" s="54">
        <v>1</v>
      </c>
      <c r="E3578" s="55">
        <v>8752</v>
      </c>
      <c r="F3578" s="55">
        <v>1174.5</v>
      </c>
      <c r="G3578" s="55">
        <v>9926.5</v>
      </c>
      <c r="H3578" s="55">
        <v>163029.9</v>
      </c>
      <c r="I3578" s="55">
        <v>3492.1</v>
      </c>
      <c r="J3578" s="55">
        <v>166522</v>
      </c>
      <c r="K3578" s="55">
        <v>14608.2</v>
      </c>
      <c r="L3578" s="55">
        <v>1494.2</v>
      </c>
      <c r="M3578" s="55">
        <v>4708.1000000000004</v>
      </c>
      <c r="N3578" s="55">
        <v>482</v>
      </c>
    </row>
    <row r="3579" spans="1:14" ht="10.050000000000001" hidden="1" customHeight="1">
      <c r="A3579" s="52" t="s">
        <v>172</v>
      </c>
      <c r="B3579" s="53">
        <v>2022</v>
      </c>
      <c r="C3579" s="52" t="s">
        <v>126</v>
      </c>
      <c r="D3579" s="54">
        <v>1</v>
      </c>
      <c r="E3579" s="55">
        <v>77082.3</v>
      </c>
      <c r="F3579" s="55">
        <v>336.8</v>
      </c>
      <c r="G3579" s="55">
        <v>77419.100000000006</v>
      </c>
      <c r="H3579" s="55">
        <v>513871.1</v>
      </c>
      <c r="I3579" s="55">
        <v>5484.6</v>
      </c>
      <c r="J3579" s="55">
        <v>519355.7</v>
      </c>
      <c r="K3579" s="55">
        <v>110890.7</v>
      </c>
      <c r="L3579" s="55">
        <v>16767.900000000001</v>
      </c>
      <c r="M3579" s="55">
        <v>36973</v>
      </c>
      <c r="N3579" s="55">
        <v>1197.7</v>
      </c>
    </row>
    <row r="3580" spans="1:14" ht="10.050000000000001" hidden="1" customHeight="1">
      <c r="A3580" s="52" t="s">
        <v>171</v>
      </c>
      <c r="B3580" s="53">
        <v>2022</v>
      </c>
      <c r="C3580" s="52" t="s">
        <v>126</v>
      </c>
      <c r="D3580" s="54">
        <v>1</v>
      </c>
      <c r="E3580" s="55">
        <v>1630873.4</v>
      </c>
      <c r="F3580" s="55">
        <v>8980.2000000000007</v>
      </c>
      <c r="G3580" s="55">
        <v>1639853.6</v>
      </c>
      <c r="H3580" s="55">
        <v>9033202.6000000108</v>
      </c>
      <c r="I3580" s="55">
        <v>52752</v>
      </c>
      <c r="J3580" s="55">
        <v>9085954.6000000108</v>
      </c>
      <c r="K3580" s="55">
        <v>2018236.3</v>
      </c>
      <c r="L3580" s="55">
        <v>464428.2</v>
      </c>
      <c r="M3580" s="55">
        <v>605532.30000000005</v>
      </c>
      <c r="N3580" s="55">
        <v>34021.599999999999</v>
      </c>
    </row>
    <row r="3581" spans="1:14" ht="10.050000000000001" hidden="1" customHeight="1">
      <c r="A3581" s="52" t="s">
        <v>300</v>
      </c>
      <c r="B3581" s="53">
        <v>2022</v>
      </c>
      <c r="C3581" s="52" t="s">
        <v>126</v>
      </c>
      <c r="D3581" s="54">
        <v>1</v>
      </c>
      <c r="E3581" s="55">
        <v>987</v>
      </c>
      <c r="F3581" s="55">
        <v>42.6</v>
      </c>
      <c r="G3581" s="55">
        <v>1029.5999999999999</v>
      </c>
      <c r="H3581" s="55">
        <v>15620.3</v>
      </c>
      <c r="I3581" s="55">
        <v>393.7</v>
      </c>
      <c r="J3581" s="55">
        <v>16014</v>
      </c>
      <c r="K3581" s="55">
        <v>561.9</v>
      </c>
      <c r="L3581" s="55">
        <v>2.9</v>
      </c>
      <c r="M3581" s="55">
        <v>5.9</v>
      </c>
      <c r="N3581" s="55">
        <v>9</v>
      </c>
    </row>
    <row r="3582" spans="1:14" ht="10.050000000000001" hidden="1" customHeight="1">
      <c r="A3582" s="52" t="s">
        <v>307</v>
      </c>
      <c r="B3582" s="53">
        <v>2022</v>
      </c>
      <c r="C3582" s="52" t="s">
        <v>126</v>
      </c>
      <c r="D3582" s="54">
        <v>1</v>
      </c>
      <c r="E3582" s="55">
        <v>818527</v>
      </c>
      <c r="F3582" s="55">
        <v>4071.6</v>
      </c>
      <c r="G3582" s="55">
        <v>822598.6</v>
      </c>
      <c r="H3582" s="55">
        <v>5503214.5</v>
      </c>
      <c r="I3582" s="55">
        <v>67223.100000000006</v>
      </c>
      <c r="J3582" s="55">
        <v>5570437.5999999996</v>
      </c>
      <c r="K3582" s="55">
        <v>1591211.7</v>
      </c>
      <c r="L3582" s="55">
        <v>79363.7</v>
      </c>
      <c r="M3582" s="55">
        <v>541934.80000000005</v>
      </c>
      <c r="N3582" s="55">
        <v>80467.3</v>
      </c>
    </row>
    <row r="3583" spans="1:14" ht="10.050000000000001" hidden="1" customHeight="1">
      <c r="A3583" s="52" t="s">
        <v>315</v>
      </c>
      <c r="B3583" s="53">
        <v>2022</v>
      </c>
      <c r="C3583" s="52" t="s">
        <v>126</v>
      </c>
      <c r="D3583" s="54">
        <v>1</v>
      </c>
      <c r="E3583" s="55">
        <v>2113.8000000000002</v>
      </c>
      <c r="F3583" s="55">
        <v>0</v>
      </c>
      <c r="G3583" s="55">
        <v>2113.8000000000002</v>
      </c>
      <c r="H3583" s="55">
        <v>40477.699999999997</v>
      </c>
      <c r="I3583" s="55">
        <v>0</v>
      </c>
      <c r="J3583" s="55">
        <v>40477.699999999997</v>
      </c>
      <c r="K3583" s="55">
        <v>6184.3</v>
      </c>
      <c r="L3583" s="55">
        <v>3.6</v>
      </c>
      <c r="M3583" s="55">
        <v>1072</v>
      </c>
      <c r="N3583" s="55">
        <v>0</v>
      </c>
    </row>
    <row r="3584" spans="1:14" ht="10.050000000000001" hidden="1" customHeight="1">
      <c r="A3584" s="52" t="s">
        <v>311</v>
      </c>
      <c r="B3584" s="53">
        <v>2022</v>
      </c>
      <c r="C3584" s="52" t="s">
        <v>126</v>
      </c>
      <c r="D3584" s="54">
        <v>1</v>
      </c>
      <c r="E3584" s="55">
        <v>438.5</v>
      </c>
      <c r="F3584" s="55">
        <v>0</v>
      </c>
      <c r="G3584" s="55">
        <v>438.5</v>
      </c>
      <c r="H3584" s="55">
        <v>703.3</v>
      </c>
      <c r="I3584" s="55">
        <v>0</v>
      </c>
      <c r="J3584" s="55">
        <v>703.3</v>
      </c>
      <c r="K3584" s="55">
        <v>193.1</v>
      </c>
      <c r="L3584" s="55">
        <v>6.1</v>
      </c>
      <c r="M3584" s="55">
        <v>0</v>
      </c>
      <c r="N3584" s="55">
        <v>55.6</v>
      </c>
    </row>
    <row r="3585" spans="1:14" ht="10.050000000000001" hidden="1" customHeight="1">
      <c r="A3585" s="52" t="s">
        <v>173</v>
      </c>
      <c r="B3585" s="53">
        <v>2022</v>
      </c>
      <c r="C3585" s="52" t="s">
        <v>126</v>
      </c>
      <c r="D3585" s="54">
        <v>1</v>
      </c>
      <c r="E3585" s="55">
        <v>342508.3</v>
      </c>
      <c r="F3585" s="55">
        <v>14867.8</v>
      </c>
      <c r="G3585" s="55">
        <v>357376.1</v>
      </c>
      <c r="H3585" s="55">
        <v>3170158.4</v>
      </c>
      <c r="I3585" s="55">
        <v>33283.599999999999</v>
      </c>
      <c r="J3585" s="55">
        <v>3203442</v>
      </c>
      <c r="K3585" s="55">
        <v>464325.5</v>
      </c>
      <c r="L3585" s="55">
        <v>72502.7</v>
      </c>
      <c r="M3585" s="55">
        <v>118190.3</v>
      </c>
      <c r="N3585" s="55">
        <v>29510.2</v>
      </c>
    </row>
    <row r="3586" spans="1:14" ht="10.050000000000001" customHeight="1">
      <c r="A3586" s="52" t="s">
        <v>309</v>
      </c>
      <c r="B3586" s="53">
        <v>2022</v>
      </c>
      <c r="C3586" s="52" t="s">
        <v>126</v>
      </c>
      <c r="D3586" s="54">
        <v>1</v>
      </c>
      <c r="E3586" s="55">
        <v>1264.0999999999999</v>
      </c>
      <c r="F3586" s="55">
        <v>0</v>
      </c>
      <c r="G3586" s="55">
        <v>1264.0999999999999</v>
      </c>
      <c r="H3586" s="55">
        <v>50076.3</v>
      </c>
      <c r="I3586" s="55">
        <v>1687.5</v>
      </c>
      <c r="J3586" s="55">
        <v>51763.8</v>
      </c>
      <c r="K3586" s="55">
        <v>4970.3</v>
      </c>
      <c r="L3586" s="55">
        <v>0</v>
      </c>
      <c r="M3586" s="55">
        <v>33.700000000000003</v>
      </c>
      <c r="N3586" s="55">
        <v>0</v>
      </c>
    </row>
    <row r="3587" spans="1:14" ht="10.050000000000001" hidden="1" customHeight="1">
      <c r="A3587" s="52" t="s">
        <v>316</v>
      </c>
      <c r="B3587" s="53">
        <v>2022</v>
      </c>
      <c r="C3587" s="52" t="s">
        <v>126</v>
      </c>
      <c r="D3587" s="54">
        <v>1</v>
      </c>
      <c r="E3587" s="55">
        <v>839.1</v>
      </c>
      <c r="F3587" s="55">
        <v>35.6</v>
      </c>
      <c r="G3587" s="55">
        <v>874.7</v>
      </c>
      <c r="H3587" s="55">
        <v>19380.2</v>
      </c>
      <c r="I3587" s="55">
        <v>154.69999999999999</v>
      </c>
      <c r="J3587" s="55">
        <v>19534.900000000001</v>
      </c>
      <c r="K3587" s="55">
        <v>571.9</v>
      </c>
      <c r="L3587" s="55">
        <v>18.8</v>
      </c>
      <c r="M3587" s="55">
        <v>368.3</v>
      </c>
      <c r="N3587" s="55">
        <v>82.8</v>
      </c>
    </row>
    <row r="3588" spans="1:14" ht="10.050000000000001" hidden="1" customHeight="1">
      <c r="A3588" s="52" t="s">
        <v>310</v>
      </c>
      <c r="B3588" s="53">
        <v>2022</v>
      </c>
      <c r="C3588" s="52" t="s">
        <v>126</v>
      </c>
      <c r="D3588" s="54">
        <v>1</v>
      </c>
      <c r="E3588" s="55">
        <v>2357</v>
      </c>
      <c r="F3588" s="55">
        <v>282.60000000000002</v>
      </c>
      <c r="G3588" s="55">
        <v>2639.6</v>
      </c>
      <c r="H3588" s="55">
        <v>50588.4</v>
      </c>
      <c r="I3588" s="55">
        <v>1622.1</v>
      </c>
      <c r="J3588" s="55">
        <v>52210.5</v>
      </c>
      <c r="K3588" s="55">
        <v>4704.8</v>
      </c>
      <c r="L3588" s="55">
        <v>291.39999999999998</v>
      </c>
      <c r="M3588" s="55">
        <v>989.4</v>
      </c>
      <c r="N3588" s="55">
        <v>82</v>
      </c>
    </row>
    <row r="3589" spans="1:14" ht="10.050000000000001" hidden="1" customHeight="1">
      <c r="A3589" s="52" t="s">
        <v>308</v>
      </c>
      <c r="B3589" s="53">
        <v>2022</v>
      </c>
      <c r="C3589" s="52" t="s">
        <v>126</v>
      </c>
      <c r="D3589" s="54">
        <v>1</v>
      </c>
      <c r="E3589" s="55">
        <v>12545.5</v>
      </c>
      <c r="F3589" s="55">
        <v>5</v>
      </c>
      <c r="G3589" s="55">
        <v>12550.5</v>
      </c>
      <c r="H3589" s="55">
        <v>169713.5</v>
      </c>
      <c r="I3589" s="55">
        <v>773</v>
      </c>
      <c r="J3589" s="55">
        <v>170486.5</v>
      </c>
      <c r="K3589" s="55">
        <v>19676.3</v>
      </c>
      <c r="L3589" s="55">
        <v>549.5</v>
      </c>
      <c r="M3589" s="55">
        <v>10005.5</v>
      </c>
      <c r="N3589" s="55">
        <v>1025.7</v>
      </c>
    </row>
    <row r="3590" spans="1:14" ht="10.050000000000001" hidden="1" customHeight="1">
      <c r="A3590" s="52" t="s">
        <v>174</v>
      </c>
      <c r="B3590" s="53">
        <v>2022</v>
      </c>
      <c r="C3590" s="52" t="s">
        <v>126</v>
      </c>
      <c r="D3590" s="54">
        <v>1</v>
      </c>
      <c r="E3590" s="55">
        <v>16947.5</v>
      </c>
      <c r="F3590" s="55">
        <v>260.2</v>
      </c>
      <c r="G3590" s="55">
        <v>17207.7</v>
      </c>
      <c r="H3590" s="55">
        <v>348512.2</v>
      </c>
      <c r="I3590" s="55">
        <v>8780.9</v>
      </c>
      <c r="J3590" s="55">
        <v>357293.1</v>
      </c>
      <c r="K3590" s="55">
        <v>91450.3</v>
      </c>
      <c r="L3590" s="55">
        <v>33032.9</v>
      </c>
      <c r="M3590" s="55">
        <v>5523</v>
      </c>
      <c r="N3590" s="55">
        <v>40188.199999999997</v>
      </c>
    </row>
    <row r="3591" spans="1:14" ht="10.050000000000001" hidden="1" customHeight="1">
      <c r="A3591" s="52" t="s">
        <v>314</v>
      </c>
      <c r="B3591" s="53">
        <v>2022</v>
      </c>
      <c r="C3591" s="52" t="s">
        <v>126</v>
      </c>
      <c r="D3591" s="54">
        <v>2</v>
      </c>
      <c r="E3591" s="55">
        <v>0</v>
      </c>
      <c r="F3591" s="55">
        <v>0</v>
      </c>
      <c r="G3591" s="55">
        <v>0</v>
      </c>
      <c r="H3591" s="55">
        <v>118.3</v>
      </c>
      <c r="I3591" s="55">
        <v>0</v>
      </c>
      <c r="J3591" s="55">
        <v>118.3</v>
      </c>
      <c r="K3591" s="55">
        <v>4.5</v>
      </c>
      <c r="L3591" s="55">
        <v>0</v>
      </c>
      <c r="M3591" s="55">
        <v>0</v>
      </c>
      <c r="N3591" s="55">
        <v>0</v>
      </c>
    </row>
    <row r="3592" spans="1:14" ht="10.050000000000001" hidden="1" customHeight="1">
      <c r="A3592" s="52" t="s">
        <v>306</v>
      </c>
      <c r="B3592" s="53">
        <v>2022</v>
      </c>
      <c r="C3592" s="52" t="s">
        <v>126</v>
      </c>
      <c r="D3592" s="54">
        <v>2</v>
      </c>
      <c r="E3592" s="55">
        <v>7775.9</v>
      </c>
      <c r="F3592" s="55">
        <v>286.89999999999998</v>
      </c>
      <c r="G3592" s="55">
        <v>8062.8</v>
      </c>
      <c r="H3592" s="55">
        <v>147512.5</v>
      </c>
      <c r="I3592" s="55">
        <v>2823.5</v>
      </c>
      <c r="J3592" s="55">
        <v>150336</v>
      </c>
      <c r="K3592" s="55">
        <v>12039.6</v>
      </c>
      <c r="L3592" s="55">
        <v>1236.7</v>
      </c>
      <c r="M3592" s="55">
        <v>3507.5</v>
      </c>
      <c r="N3592" s="55">
        <v>299.7</v>
      </c>
    </row>
    <row r="3593" spans="1:14" ht="10.050000000000001" hidden="1" customHeight="1">
      <c r="A3593" s="52" t="s">
        <v>172</v>
      </c>
      <c r="B3593" s="53">
        <v>2022</v>
      </c>
      <c r="C3593" s="52" t="s">
        <v>126</v>
      </c>
      <c r="D3593" s="54">
        <v>2</v>
      </c>
      <c r="E3593" s="55">
        <v>68741.899999999994</v>
      </c>
      <c r="F3593" s="55">
        <v>0</v>
      </c>
      <c r="G3593" s="55">
        <v>68741.899999999994</v>
      </c>
      <c r="H3593" s="55">
        <v>465940.7</v>
      </c>
      <c r="I3593" s="55">
        <v>5452.1</v>
      </c>
      <c r="J3593" s="55">
        <v>471392.8</v>
      </c>
      <c r="K3593" s="55">
        <v>95711.1</v>
      </c>
      <c r="L3593" s="55">
        <v>15652.6</v>
      </c>
      <c r="M3593" s="55">
        <v>30075</v>
      </c>
      <c r="N3593" s="55">
        <v>730.1</v>
      </c>
    </row>
    <row r="3594" spans="1:14" ht="10.050000000000001" hidden="1" customHeight="1">
      <c r="A3594" s="52" t="s">
        <v>171</v>
      </c>
      <c r="B3594" s="53">
        <v>2022</v>
      </c>
      <c r="C3594" s="52" t="s">
        <v>126</v>
      </c>
      <c r="D3594" s="54">
        <v>2</v>
      </c>
      <c r="E3594" s="55">
        <v>1447483</v>
      </c>
      <c r="F3594" s="55">
        <v>5058</v>
      </c>
      <c r="G3594" s="55">
        <v>1452541</v>
      </c>
      <c r="H3594" s="55">
        <v>7791361.8000000101</v>
      </c>
      <c r="I3594" s="55">
        <v>52983.6</v>
      </c>
      <c r="J3594" s="55">
        <v>7844345.4000000097</v>
      </c>
      <c r="K3594" s="55">
        <v>1714561.3</v>
      </c>
      <c r="L3594" s="55">
        <v>311534.59999999998</v>
      </c>
      <c r="M3594" s="55">
        <v>584061.6</v>
      </c>
      <c r="N3594" s="55">
        <v>30870</v>
      </c>
    </row>
    <row r="3595" spans="1:14" ht="10.050000000000001" hidden="1" customHeight="1">
      <c r="A3595" s="52" t="s">
        <v>300</v>
      </c>
      <c r="B3595" s="53">
        <v>2022</v>
      </c>
      <c r="C3595" s="52" t="s">
        <v>126</v>
      </c>
      <c r="D3595" s="54">
        <v>2</v>
      </c>
      <c r="E3595" s="55">
        <v>1145.5999999999999</v>
      </c>
      <c r="F3595" s="55">
        <v>98.8</v>
      </c>
      <c r="G3595" s="55">
        <v>1244.4000000000001</v>
      </c>
      <c r="H3595" s="55">
        <v>15622.9</v>
      </c>
      <c r="I3595" s="55">
        <v>411.6</v>
      </c>
      <c r="J3595" s="55">
        <v>16034.5</v>
      </c>
      <c r="K3595" s="55">
        <v>469.5</v>
      </c>
      <c r="L3595" s="55">
        <v>8.6999999999999993</v>
      </c>
      <c r="M3595" s="55">
        <v>14.5</v>
      </c>
      <c r="N3595" s="55">
        <v>31.6</v>
      </c>
    </row>
    <row r="3596" spans="1:14" ht="10.050000000000001" hidden="1" customHeight="1">
      <c r="A3596" s="52" t="s">
        <v>307</v>
      </c>
      <c r="B3596" s="53">
        <v>2022</v>
      </c>
      <c r="C3596" s="52" t="s">
        <v>126</v>
      </c>
      <c r="D3596" s="54">
        <v>2</v>
      </c>
      <c r="E3596" s="55">
        <v>527386.4</v>
      </c>
      <c r="F3596" s="55">
        <v>2983</v>
      </c>
      <c r="G3596" s="55">
        <v>530369.4</v>
      </c>
      <c r="H3596" s="55">
        <v>4986606.0999999996</v>
      </c>
      <c r="I3596" s="55">
        <v>47801.1</v>
      </c>
      <c r="J3596" s="55">
        <v>5034407.2</v>
      </c>
      <c r="K3596" s="55">
        <v>1288944.1000000001</v>
      </c>
      <c r="L3596" s="55">
        <v>52202.3</v>
      </c>
      <c r="M3596" s="55">
        <v>286914.8</v>
      </c>
      <c r="N3596" s="55">
        <v>64806.8</v>
      </c>
    </row>
    <row r="3597" spans="1:14" ht="10.050000000000001" hidden="1" customHeight="1">
      <c r="A3597" s="52" t="s">
        <v>315</v>
      </c>
      <c r="B3597" s="53">
        <v>2022</v>
      </c>
      <c r="C3597" s="52" t="s">
        <v>126</v>
      </c>
      <c r="D3597" s="54">
        <v>2</v>
      </c>
      <c r="E3597" s="55">
        <v>1364.3</v>
      </c>
      <c r="F3597" s="55">
        <v>0</v>
      </c>
      <c r="G3597" s="55">
        <v>1364.3</v>
      </c>
      <c r="H3597" s="55">
        <v>36696.9</v>
      </c>
      <c r="I3597" s="55">
        <v>0</v>
      </c>
      <c r="J3597" s="55">
        <v>36696.9</v>
      </c>
      <c r="K3597" s="55">
        <v>5340.6</v>
      </c>
      <c r="L3597" s="55">
        <v>32.1</v>
      </c>
      <c r="M3597" s="55">
        <v>856.1</v>
      </c>
      <c r="N3597" s="55">
        <v>19.5</v>
      </c>
    </row>
    <row r="3598" spans="1:14" ht="10.050000000000001" hidden="1" customHeight="1">
      <c r="A3598" s="52" t="s">
        <v>311</v>
      </c>
      <c r="B3598" s="53">
        <v>2022</v>
      </c>
      <c r="C3598" s="52" t="s">
        <v>126</v>
      </c>
      <c r="D3598" s="54">
        <v>2</v>
      </c>
      <c r="E3598" s="55">
        <v>152.19999999999999</v>
      </c>
      <c r="F3598" s="55">
        <v>0</v>
      </c>
      <c r="G3598" s="55">
        <v>152.19999999999999</v>
      </c>
      <c r="H3598" s="55">
        <v>728</v>
      </c>
      <c r="I3598" s="55">
        <v>0</v>
      </c>
      <c r="J3598" s="55">
        <v>728</v>
      </c>
      <c r="K3598" s="55">
        <v>149.1</v>
      </c>
      <c r="L3598" s="55">
        <v>0</v>
      </c>
      <c r="M3598" s="55">
        <v>0</v>
      </c>
      <c r="N3598" s="55">
        <v>44</v>
      </c>
    </row>
    <row r="3599" spans="1:14" ht="10.050000000000001" hidden="1" customHeight="1">
      <c r="A3599" s="52" t="s">
        <v>173</v>
      </c>
      <c r="B3599" s="53">
        <v>2022</v>
      </c>
      <c r="C3599" s="52" t="s">
        <v>126</v>
      </c>
      <c r="D3599" s="54">
        <v>2</v>
      </c>
      <c r="E3599" s="55">
        <v>298604.5</v>
      </c>
      <c r="F3599" s="55">
        <v>6858.7</v>
      </c>
      <c r="G3599" s="55">
        <v>305463.2</v>
      </c>
      <c r="H3599" s="55">
        <v>2786297.3</v>
      </c>
      <c r="I3599" s="55">
        <v>28884.400000000001</v>
      </c>
      <c r="J3599" s="55">
        <v>2815181.7</v>
      </c>
      <c r="K3599" s="55">
        <v>366795.9</v>
      </c>
      <c r="L3599" s="55">
        <v>34683.300000000003</v>
      </c>
      <c r="M3599" s="55">
        <v>115664.2</v>
      </c>
      <c r="N3599" s="55">
        <v>16295.8</v>
      </c>
    </row>
    <row r="3600" spans="1:14" ht="10.050000000000001" customHeight="1">
      <c r="A3600" s="52" t="s">
        <v>309</v>
      </c>
      <c r="B3600" s="53">
        <v>2022</v>
      </c>
      <c r="C3600" s="52" t="s">
        <v>126</v>
      </c>
      <c r="D3600" s="54">
        <v>2</v>
      </c>
      <c r="E3600" s="55">
        <v>799.6</v>
      </c>
      <c r="F3600" s="55">
        <v>0</v>
      </c>
      <c r="G3600" s="55">
        <v>799.6</v>
      </c>
      <c r="H3600" s="55">
        <v>46527.6</v>
      </c>
      <c r="I3600" s="55">
        <v>1612.5</v>
      </c>
      <c r="J3600" s="55">
        <v>48140.1</v>
      </c>
      <c r="K3600" s="55">
        <v>1541.3</v>
      </c>
      <c r="L3600" s="55">
        <v>0</v>
      </c>
      <c r="M3600" s="55">
        <v>0</v>
      </c>
      <c r="N3600" s="55">
        <v>3429</v>
      </c>
    </row>
    <row r="3601" spans="1:14" ht="10.050000000000001" hidden="1" customHeight="1">
      <c r="A3601" s="52" t="s">
        <v>316</v>
      </c>
      <c r="B3601" s="53">
        <v>2022</v>
      </c>
      <c r="C3601" s="52" t="s">
        <v>126</v>
      </c>
      <c r="D3601" s="54">
        <v>2</v>
      </c>
      <c r="E3601" s="55">
        <v>710.7</v>
      </c>
      <c r="F3601" s="55">
        <v>65.7</v>
      </c>
      <c r="G3601" s="55">
        <v>776.4</v>
      </c>
      <c r="H3601" s="55">
        <v>17808.7</v>
      </c>
      <c r="I3601" s="55">
        <v>158.19999999999999</v>
      </c>
      <c r="J3601" s="55">
        <v>17966.900000000001</v>
      </c>
      <c r="K3601" s="55">
        <v>551.9</v>
      </c>
      <c r="L3601" s="55">
        <v>79.8</v>
      </c>
      <c r="M3601" s="55">
        <v>83.6</v>
      </c>
      <c r="N3601" s="55">
        <v>15.2</v>
      </c>
    </row>
    <row r="3602" spans="1:14" ht="10.050000000000001" hidden="1" customHeight="1">
      <c r="A3602" s="52" t="s">
        <v>310</v>
      </c>
      <c r="B3602" s="53">
        <v>2022</v>
      </c>
      <c r="C3602" s="52" t="s">
        <v>126</v>
      </c>
      <c r="D3602" s="54">
        <v>2</v>
      </c>
      <c r="E3602" s="55">
        <v>2464.1</v>
      </c>
      <c r="F3602" s="55">
        <v>196.8</v>
      </c>
      <c r="G3602" s="55">
        <v>2660.9</v>
      </c>
      <c r="H3602" s="55">
        <v>48121.7</v>
      </c>
      <c r="I3602" s="55">
        <v>1644.8</v>
      </c>
      <c r="J3602" s="55">
        <v>49766.5</v>
      </c>
      <c r="K3602" s="55">
        <v>4116.8999999999996</v>
      </c>
      <c r="L3602" s="55">
        <v>393.5</v>
      </c>
      <c r="M3602" s="55">
        <v>870.1</v>
      </c>
      <c r="N3602" s="55">
        <v>127.7</v>
      </c>
    </row>
    <row r="3603" spans="1:14" ht="10.050000000000001" hidden="1" customHeight="1">
      <c r="A3603" s="52" t="s">
        <v>308</v>
      </c>
      <c r="B3603" s="53">
        <v>2022</v>
      </c>
      <c r="C3603" s="52" t="s">
        <v>126</v>
      </c>
      <c r="D3603" s="54">
        <v>2</v>
      </c>
      <c r="E3603" s="55">
        <v>5867.9</v>
      </c>
      <c r="F3603" s="55">
        <v>1199.5</v>
      </c>
      <c r="G3603" s="55">
        <v>7067.4</v>
      </c>
      <c r="H3603" s="55">
        <v>144471.20000000001</v>
      </c>
      <c r="I3603" s="55">
        <v>762.5</v>
      </c>
      <c r="J3603" s="55">
        <v>145233.70000000001</v>
      </c>
      <c r="K3603" s="55">
        <v>14204</v>
      </c>
      <c r="L3603" s="55">
        <v>114</v>
      </c>
      <c r="M3603" s="55">
        <v>4991</v>
      </c>
      <c r="N3603" s="55">
        <v>565.1</v>
      </c>
    </row>
    <row r="3604" spans="1:14" ht="10.050000000000001" hidden="1" customHeight="1">
      <c r="A3604" s="52" t="s">
        <v>174</v>
      </c>
      <c r="B3604" s="53">
        <v>2022</v>
      </c>
      <c r="C3604" s="52" t="s">
        <v>126</v>
      </c>
      <c r="D3604" s="54">
        <v>2</v>
      </c>
      <c r="E3604" s="55">
        <v>13373.9</v>
      </c>
      <c r="F3604" s="55">
        <v>308</v>
      </c>
      <c r="G3604" s="55">
        <v>13681.9</v>
      </c>
      <c r="H3604" s="55">
        <v>302784.3</v>
      </c>
      <c r="I3604" s="55">
        <v>8713.1</v>
      </c>
      <c r="J3604" s="55">
        <v>311497.40000000002</v>
      </c>
      <c r="K3604" s="55">
        <v>80612.7</v>
      </c>
      <c r="L3604" s="55">
        <v>2572.1999999999998</v>
      </c>
      <c r="M3604" s="55">
        <v>5281.7</v>
      </c>
      <c r="N3604" s="55">
        <v>7817.1</v>
      </c>
    </row>
    <row r="3605" spans="1:14" ht="10.050000000000001" hidden="1" customHeight="1">
      <c r="A3605" s="52" t="s">
        <v>314</v>
      </c>
      <c r="B3605" s="53">
        <v>2022</v>
      </c>
      <c r="C3605" s="52" t="s">
        <v>126</v>
      </c>
      <c r="D3605" s="54">
        <v>3</v>
      </c>
      <c r="E3605" s="55">
        <v>1.3</v>
      </c>
      <c r="F3605" s="55">
        <v>0</v>
      </c>
      <c r="G3605" s="55">
        <v>1.3</v>
      </c>
      <c r="H3605" s="55">
        <v>84</v>
      </c>
      <c r="I3605" s="55">
        <v>0</v>
      </c>
      <c r="J3605" s="55">
        <v>84</v>
      </c>
      <c r="K3605" s="55">
        <v>4.5</v>
      </c>
      <c r="L3605" s="55">
        <v>0</v>
      </c>
      <c r="M3605" s="55">
        <v>0</v>
      </c>
      <c r="N3605" s="55">
        <v>0</v>
      </c>
    </row>
    <row r="3606" spans="1:14" ht="10.050000000000001" hidden="1" customHeight="1">
      <c r="A3606" s="52" t="s">
        <v>306</v>
      </c>
      <c r="B3606" s="53">
        <v>2022</v>
      </c>
      <c r="C3606" s="52" t="s">
        <v>126</v>
      </c>
      <c r="D3606" s="54">
        <v>3</v>
      </c>
      <c r="E3606" s="55">
        <v>7059.3</v>
      </c>
      <c r="F3606" s="55">
        <v>205.9</v>
      </c>
      <c r="G3606" s="55">
        <v>7265.2</v>
      </c>
      <c r="H3606" s="55">
        <v>124497.2</v>
      </c>
      <c r="I3606" s="55">
        <v>2280.4</v>
      </c>
      <c r="J3606" s="55">
        <v>126777.60000000001</v>
      </c>
      <c r="K3606" s="55">
        <v>9014.4000000000106</v>
      </c>
      <c r="L3606" s="55">
        <v>801.7</v>
      </c>
      <c r="M3606" s="55">
        <v>3449.9</v>
      </c>
      <c r="N3606" s="55">
        <v>387.4</v>
      </c>
    </row>
    <row r="3607" spans="1:14" ht="10.050000000000001" hidden="1" customHeight="1">
      <c r="A3607" s="52" t="s">
        <v>172</v>
      </c>
      <c r="B3607" s="53">
        <v>2022</v>
      </c>
      <c r="C3607" s="52" t="s">
        <v>126</v>
      </c>
      <c r="D3607" s="54">
        <v>3</v>
      </c>
      <c r="E3607" s="55">
        <v>87423.5</v>
      </c>
      <c r="F3607" s="55">
        <v>131.30000000000001</v>
      </c>
      <c r="G3607" s="55">
        <v>87554.8</v>
      </c>
      <c r="H3607" s="55">
        <v>348641.3</v>
      </c>
      <c r="I3607" s="55">
        <v>4887.8</v>
      </c>
      <c r="J3607" s="55">
        <v>353529.1</v>
      </c>
      <c r="K3607" s="55">
        <v>54840</v>
      </c>
      <c r="L3607" s="55">
        <v>15359.4</v>
      </c>
      <c r="M3607" s="55">
        <v>51208.4</v>
      </c>
      <c r="N3607" s="55">
        <v>5002.2</v>
      </c>
    </row>
    <row r="3608" spans="1:14" ht="10.050000000000001" hidden="1" customHeight="1">
      <c r="A3608" s="52" t="s">
        <v>171</v>
      </c>
      <c r="B3608" s="53">
        <v>2022</v>
      </c>
      <c r="C3608" s="52" t="s">
        <v>126</v>
      </c>
      <c r="D3608" s="54">
        <v>3</v>
      </c>
      <c r="E3608" s="55">
        <v>1783844.7</v>
      </c>
      <c r="F3608" s="55">
        <v>2633</v>
      </c>
      <c r="G3608" s="55">
        <v>1786477.7</v>
      </c>
      <c r="H3608" s="55">
        <v>6992554.2000000002</v>
      </c>
      <c r="I3608" s="55">
        <v>46981.8</v>
      </c>
      <c r="J3608" s="55">
        <v>7039536</v>
      </c>
      <c r="K3608" s="55">
        <v>1007188.3</v>
      </c>
      <c r="L3608" s="55">
        <v>280487.5</v>
      </c>
      <c r="M3608" s="55">
        <v>949174</v>
      </c>
      <c r="N3608" s="55">
        <v>36141.9</v>
      </c>
    </row>
    <row r="3609" spans="1:14" ht="10.050000000000001" hidden="1" customHeight="1">
      <c r="A3609" s="52" t="s">
        <v>300</v>
      </c>
      <c r="B3609" s="53">
        <v>2022</v>
      </c>
      <c r="C3609" s="52" t="s">
        <v>126</v>
      </c>
      <c r="D3609" s="54">
        <v>3</v>
      </c>
      <c r="E3609" s="55">
        <v>980.6</v>
      </c>
      <c r="F3609" s="55">
        <v>12.2</v>
      </c>
      <c r="G3609" s="55">
        <v>992.8</v>
      </c>
      <c r="H3609" s="55">
        <v>15260.2</v>
      </c>
      <c r="I3609" s="55">
        <v>323.5</v>
      </c>
      <c r="J3609" s="55">
        <v>15583.7</v>
      </c>
      <c r="K3609" s="55">
        <v>427.9</v>
      </c>
      <c r="L3609" s="55">
        <v>42.1</v>
      </c>
      <c r="M3609" s="55">
        <v>76</v>
      </c>
      <c r="N3609" s="55">
        <v>7.7</v>
      </c>
    </row>
    <row r="3610" spans="1:14" ht="10.050000000000001" hidden="1" customHeight="1">
      <c r="A3610" s="52" t="s">
        <v>307</v>
      </c>
      <c r="B3610" s="53">
        <v>2022</v>
      </c>
      <c r="C3610" s="52" t="s">
        <v>126</v>
      </c>
      <c r="D3610" s="54">
        <v>3</v>
      </c>
      <c r="E3610" s="55">
        <v>592343.1</v>
      </c>
      <c r="F3610" s="55">
        <v>3306.4</v>
      </c>
      <c r="G3610" s="55">
        <v>595649.5</v>
      </c>
      <c r="H3610" s="55">
        <v>4214172.5999999996</v>
      </c>
      <c r="I3610" s="55">
        <v>38472.9</v>
      </c>
      <c r="J3610" s="55">
        <v>4252645.5</v>
      </c>
      <c r="K3610" s="55">
        <v>962552.4</v>
      </c>
      <c r="L3610" s="55">
        <v>91478.9</v>
      </c>
      <c r="M3610" s="55">
        <v>347907</v>
      </c>
      <c r="N3610" s="55">
        <v>68952.899999999994</v>
      </c>
    </row>
    <row r="3611" spans="1:14" ht="10.050000000000001" hidden="1" customHeight="1">
      <c r="A3611" s="52" t="s">
        <v>315</v>
      </c>
      <c r="B3611" s="53">
        <v>2022</v>
      </c>
      <c r="C3611" s="52" t="s">
        <v>126</v>
      </c>
      <c r="D3611" s="54">
        <v>3</v>
      </c>
      <c r="E3611" s="55">
        <v>2016.9</v>
      </c>
      <c r="F3611" s="55">
        <v>0</v>
      </c>
      <c r="G3611" s="55">
        <v>2016.9</v>
      </c>
      <c r="H3611" s="55">
        <v>33969.300000000003</v>
      </c>
      <c r="I3611" s="55">
        <v>0</v>
      </c>
      <c r="J3611" s="55">
        <v>33969.300000000003</v>
      </c>
      <c r="K3611" s="55">
        <v>3930.7</v>
      </c>
      <c r="L3611" s="55">
        <v>1.2</v>
      </c>
      <c r="M3611" s="55">
        <v>1316.9</v>
      </c>
      <c r="N3611" s="55">
        <v>94.1</v>
      </c>
    </row>
    <row r="3612" spans="1:14" ht="10.050000000000001" hidden="1" customHeight="1">
      <c r="A3612" s="52" t="s">
        <v>311</v>
      </c>
      <c r="B3612" s="53">
        <v>2022</v>
      </c>
      <c r="C3612" s="52" t="s">
        <v>126</v>
      </c>
      <c r="D3612" s="54">
        <v>3</v>
      </c>
      <c r="E3612" s="55">
        <v>48</v>
      </c>
      <c r="F3612" s="55">
        <v>0</v>
      </c>
      <c r="G3612" s="55">
        <v>48</v>
      </c>
      <c r="H3612" s="55">
        <v>657.7</v>
      </c>
      <c r="I3612" s="55">
        <v>0</v>
      </c>
      <c r="J3612" s="55">
        <v>657.7</v>
      </c>
      <c r="K3612" s="55">
        <v>120.8</v>
      </c>
      <c r="L3612" s="55">
        <v>0</v>
      </c>
      <c r="M3612" s="55">
        <v>0</v>
      </c>
      <c r="N3612" s="55">
        <v>28.3</v>
      </c>
    </row>
    <row r="3613" spans="1:14" ht="10.050000000000001" hidden="1" customHeight="1">
      <c r="A3613" s="52" t="s">
        <v>173</v>
      </c>
      <c r="B3613" s="53">
        <v>2022</v>
      </c>
      <c r="C3613" s="52" t="s">
        <v>126</v>
      </c>
      <c r="D3613" s="54">
        <v>3</v>
      </c>
      <c r="E3613" s="55">
        <v>267344.59999999998</v>
      </c>
      <c r="F3613" s="55">
        <v>4352.8999999999996</v>
      </c>
      <c r="G3613" s="55">
        <v>271697.5</v>
      </c>
      <c r="H3613" s="55">
        <v>2304856.9</v>
      </c>
      <c r="I3613" s="55">
        <v>19343.400000000001</v>
      </c>
      <c r="J3613" s="55">
        <v>2324200.2999999998</v>
      </c>
      <c r="K3613" s="55">
        <v>260271.4</v>
      </c>
      <c r="L3613" s="55">
        <v>37016.6</v>
      </c>
      <c r="M3613" s="55">
        <v>123789.5</v>
      </c>
      <c r="N3613" s="55">
        <v>19599.2</v>
      </c>
    </row>
    <row r="3614" spans="1:14" ht="10.050000000000001" customHeight="1">
      <c r="A3614" s="52" t="s">
        <v>309</v>
      </c>
      <c r="B3614" s="53">
        <v>2022</v>
      </c>
      <c r="C3614" s="52" t="s">
        <v>126</v>
      </c>
      <c r="D3614" s="54">
        <v>3</v>
      </c>
      <c r="E3614" s="55">
        <v>364.5</v>
      </c>
      <c r="F3614" s="55">
        <v>0</v>
      </c>
      <c r="G3614" s="55">
        <v>364.5</v>
      </c>
      <c r="H3614" s="55">
        <v>41177.5</v>
      </c>
      <c r="I3614" s="55">
        <v>1612.5</v>
      </c>
      <c r="J3614" s="55">
        <v>42790</v>
      </c>
      <c r="K3614" s="55">
        <v>1541.3</v>
      </c>
      <c r="L3614" s="55">
        <v>0</v>
      </c>
      <c r="M3614" s="55">
        <v>0</v>
      </c>
      <c r="N3614" s="55">
        <v>0</v>
      </c>
    </row>
    <row r="3615" spans="1:14" ht="10.050000000000001" hidden="1" customHeight="1">
      <c r="A3615" s="52" t="s">
        <v>316</v>
      </c>
      <c r="B3615" s="53">
        <v>2022</v>
      </c>
      <c r="C3615" s="52" t="s">
        <v>126</v>
      </c>
      <c r="D3615" s="54">
        <v>3</v>
      </c>
      <c r="E3615" s="55">
        <v>684.7</v>
      </c>
      <c r="F3615" s="55">
        <v>60.4</v>
      </c>
      <c r="G3615" s="55">
        <v>745.1</v>
      </c>
      <c r="H3615" s="55">
        <v>16575.5</v>
      </c>
      <c r="I3615" s="55">
        <v>136.30000000000001</v>
      </c>
      <c r="J3615" s="55">
        <v>16711.8</v>
      </c>
      <c r="K3615" s="55">
        <v>384.1</v>
      </c>
      <c r="L3615" s="55">
        <v>31.8</v>
      </c>
      <c r="M3615" s="55">
        <v>136.1</v>
      </c>
      <c r="N3615" s="55">
        <v>63.7</v>
      </c>
    </row>
    <row r="3616" spans="1:14" ht="10.050000000000001" hidden="1" customHeight="1">
      <c r="A3616" s="52" t="s">
        <v>310</v>
      </c>
      <c r="B3616" s="53">
        <v>2022</v>
      </c>
      <c r="C3616" s="52" t="s">
        <v>126</v>
      </c>
      <c r="D3616" s="54">
        <v>3</v>
      </c>
      <c r="E3616" s="55">
        <v>2888.7</v>
      </c>
      <c r="F3616" s="55">
        <v>121.1</v>
      </c>
      <c r="G3616" s="55">
        <v>3009.8</v>
      </c>
      <c r="H3616" s="55">
        <v>44825.7</v>
      </c>
      <c r="I3616" s="55">
        <v>1605.4</v>
      </c>
      <c r="J3616" s="55">
        <v>46431.1</v>
      </c>
      <c r="K3616" s="55">
        <v>3600</v>
      </c>
      <c r="L3616" s="55">
        <v>346.1</v>
      </c>
      <c r="M3616" s="55">
        <v>749.3</v>
      </c>
      <c r="N3616" s="55">
        <v>105.6</v>
      </c>
    </row>
    <row r="3617" spans="1:14" ht="10.050000000000001" hidden="1" customHeight="1">
      <c r="A3617" s="52" t="s">
        <v>308</v>
      </c>
      <c r="B3617" s="53">
        <v>2022</v>
      </c>
      <c r="C3617" s="52" t="s">
        <v>126</v>
      </c>
      <c r="D3617" s="54">
        <v>3</v>
      </c>
      <c r="E3617" s="55">
        <v>4916.2</v>
      </c>
      <c r="F3617" s="55">
        <v>360.6</v>
      </c>
      <c r="G3617" s="55">
        <v>5276.8</v>
      </c>
      <c r="H3617" s="55">
        <v>117309.5</v>
      </c>
      <c r="I3617" s="55">
        <v>553.79999999999995</v>
      </c>
      <c r="J3617" s="55">
        <v>117863.3</v>
      </c>
      <c r="K3617" s="55">
        <v>9965.1</v>
      </c>
      <c r="L3617" s="55">
        <v>532.79999999999995</v>
      </c>
      <c r="M3617" s="55">
        <v>3402.6</v>
      </c>
      <c r="N3617" s="55">
        <v>1384.9</v>
      </c>
    </row>
    <row r="3618" spans="1:14" ht="10.050000000000001" hidden="1" customHeight="1">
      <c r="A3618" s="52" t="s">
        <v>174</v>
      </c>
      <c r="B3618" s="53">
        <v>2022</v>
      </c>
      <c r="C3618" s="52" t="s">
        <v>126</v>
      </c>
      <c r="D3618" s="54">
        <v>3</v>
      </c>
      <c r="E3618" s="55">
        <v>20753.5</v>
      </c>
      <c r="F3618" s="55">
        <v>206.6</v>
      </c>
      <c r="G3618" s="55">
        <v>20960.099999999999</v>
      </c>
      <c r="H3618" s="55">
        <v>250534.6</v>
      </c>
      <c r="I3618" s="55">
        <v>7017.9</v>
      </c>
      <c r="J3618" s="55">
        <v>257552.5</v>
      </c>
      <c r="K3618" s="55">
        <v>64655.3</v>
      </c>
      <c r="L3618" s="55">
        <v>2987.2</v>
      </c>
      <c r="M3618" s="55">
        <v>9622.1</v>
      </c>
      <c r="N3618" s="55">
        <v>9584.5</v>
      </c>
    </row>
    <row r="3619" spans="1:14" ht="10.050000000000001" hidden="1" customHeight="1">
      <c r="A3619" s="52" t="s">
        <v>314</v>
      </c>
      <c r="B3619" s="53">
        <v>2022</v>
      </c>
      <c r="C3619" s="52" t="s">
        <v>126</v>
      </c>
      <c r="D3619" s="54">
        <v>4</v>
      </c>
      <c r="E3619" s="55">
        <v>0</v>
      </c>
      <c r="F3619" s="55">
        <v>0</v>
      </c>
      <c r="G3619" s="55">
        <v>0</v>
      </c>
      <c r="H3619" s="55">
        <v>77.900000000000006</v>
      </c>
      <c r="I3619" s="55">
        <v>0</v>
      </c>
      <c r="J3619" s="55">
        <v>77.900000000000006</v>
      </c>
      <c r="K3619" s="55">
        <v>4.5</v>
      </c>
      <c r="L3619" s="55">
        <v>0</v>
      </c>
      <c r="M3619" s="55">
        <v>0</v>
      </c>
      <c r="N3619" s="55">
        <v>0</v>
      </c>
    </row>
    <row r="3620" spans="1:14" ht="10.050000000000001" hidden="1" customHeight="1">
      <c r="A3620" s="52" t="s">
        <v>306</v>
      </c>
      <c r="B3620" s="53">
        <v>2022</v>
      </c>
      <c r="C3620" s="52" t="s">
        <v>126</v>
      </c>
      <c r="D3620" s="54">
        <v>4</v>
      </c>
      <c r="E3620" s="55">
        <v>8505.6</v>
      </c>
      <c r="F3620" s="55">
        <v>226.1</v>
      </c>
      <c r="G3620" s="55">
        <v>8731.7000000000007</v>
      </c>
      <c r="H3620" s="55">
        <v>102669.2</v>
      </c>
      <c r="I3620" s="55">
        <v>2245.1999999999998</v>
      </c>
      <c r="J3620" s="55">
        <v>104914.4</v>
      </c>
      <c r="K3620" s="55">
        <v>5734.7</v>
      </c>
      <c r="L3620" s="55">
        <v>2612.6999999999998</v>
      </c>
      <c r="M3620" s="55">
        <v>3671.6</v>
      </c>
      <c r="N3620" s="55">
        <v>2223.5</v>
      </c>
    </row>
    <row r="3621" spans="1:14" ht="10.050000000000001" hidden="1" customHeight="1">
      <c r="A3621" s="52" t="s">
        <v>172</v>
      </c>
      <c r="B3621" s="53">
        <v>2022</v>
      </c>
      <c r="C3621" s="52" t="s">
        <v>126</v>
      </c>
      <c r="D3621" s="54">
        <v>4</v>
      </c>
      <c r="E3621" s="55">
        <v>60291.3</v>
      </c>
      <c r="F3621" s="55">
        <v>68</v>
      </c>
      <c r="G3621" s="55">
        <v>60359.3</v>
      </c>
      <c r="H3621" s="55">
        <v>264692.09999999998</v>
      </c>
      <c r="I3621" s="55">
        <v>4499.5</v>
      </c>
      <c r="J3621" s="55">
        <v>269191.59999999998</v>
      </c>
      <c r="K3621" s="55">
        <v>34367.4</v>
      </c>
      <c r="L3621" s="55">
        <v>10696</v>
      </c>
      <c r="M3621" s="55">
        <v>29326.2</v>
      </c>
      <c r="N3621" s="55">
        <v>1976.7</v>
      </c>
    </row>
    <row r="3622" spans="1:14" ht="10.050000000000001" hidden="1" customHeight="1">
      <c r="A3622" s="52" t="s">
        <v>171</v>
      </c>
      <c r="B3622" s="53">
        <v>2022</v>
      </c>
      <c r="C3622" s="52" t="s">
        <v>126</v>
      </c>
      <c r="D3622" s="54">
        <v>4</v>
      </c>
      <c r="E3622" s="55">
        <v>1080101.3</v>
      </c>
      <c r="F3622" s="55">
        <v>2837.8</v>
      </c>
      <c r="G3622" s="55">
        <v>1082939.1000000001</v>
      </c>
      <c r="H3622" s="55">
        <v>5619915.2000000002</v>
      </c>
      <c r="I3622" s="55">
        <v>44871.7</v>
      </c>
      <c r="J3622" s="55">
        <v>5664786.9000000004</v>
      </c>
      <c r="K3622" s="55">
        <v>651926.80000000005</v>
      </c>
      <c r="L3622" s="55">
        <v>170905.1</v>
      </c>
      <c r="M3622" s="55">
        <v>508554.1</v>
      </c>
      <c r="N3622" s="55">
        <v>24213.200000000001</v>
      </c>
    </row>
    <row r="3623" spans="1:14" ht="10.050000000000001" hidden="1" customHeight="1">
      <c r="A3623" s="52" t="s">
        <v>300</v>
      </c>
      <c r="B3623" s="53">
        <v>2022</v>
      </c>
      <c r="C3623" s="52" t="s">
        <v>126</v>
      </c>
      <c r="D3623" s="54">
        <v>4</v>
      </c>
      <c r="E3623" s="55">
        <v>827.1</v>
      </c>
      <c r="F3623" s="55">
        <v>0</v>
      </c>
      <c r="G3623" s="55">
        <v>827.1</v>
      </c>
      <c r="H3623" s="55">
        <v>14009.4</v>
      </c>
      <c r="I3623" s="55">
        <v>309</v>
      </c>
      <c r="J3623" s="55">
        <v>14318.4</v>
      </c>
      <c r="K3623" s="55">
        <v>421.2</v>
      </c>
      <c r="L3623" s="55">
        <v>0</v>
      </c>
      <c r="M3623" s="55">
        <v>0</v>
      </c>
      <c r="N3623" s="55">
        <v>6.7</v>
      </c>
    </row>
    <row r="3624" spans="1:14" ht="10.050000000000001" hidden="1" customHeight="1">
      <c r="A3624" s="52" t="s">
        <v>307</v>
      </c>
      <c r="B3624" s="53">
        <v>2022</v>
      </c>
      <c r="C3624" s="52" t="s">
        <v>126</v>
      </c>
      <c r="D3624" s="54">
        <v>4</v>
      </c>
      <c r="E3624" s="55">
        <v>310206.7</v>
      </c>
      <c r="F3624" s="55">
        <v>0</v>
      </c>
      <c r="G3624" s="55">
        <v>310206.7</v>
      </c>
      <c r="H3624" s="55">
        <v>3424861.7</v>
      </c>
      <c r="I3624" s="55">
        <v>36924.5</v>
      </c>
      <c r="J3624" s="55">
        <v>3461786.2</v>
      </c>
      <c r="K3624" s="55">
        <v>798400.1</v>
      </c>
      <c r="L3624" s="55">
        <v>41414.199999999997</v>
      </c>
      <c r="M3624" s="55">
        <v>156420.79999999999</v>
      </c>
      <c r="N3624" s="55">
        <v>48872.800000000003</v>
      </c>
    </row>
    <row r="3625" spans="1:14" ht="10.050000000000001" hidden="1" customHeight="1">
      <c r="A3625" s="52" t="s">
        <v>315</v>
      </c>
      <c r="B3625" s="53">
        <v>2022</v>
      </c>
      <c r="C3625" s="52" t="s">
        <v>126</v>
      </c>
      <c r="D3625" s="54">
        <v>4</v>
      </c>
      <c r="E3625" s="55">
        <v>1380.4</v>
      </c>
      <c r="F3625" s="55">
        <v>0</v>
      </c>
      <c r="G3625" s="55">
        <v>1380.4</v>
      </c>
      <c r="H3625" s="55">
        <v>29287.4</v>
      </c>
      <c r="I3625" s="55">
        <v>0</v>
      </c>
      <c r="J3625" s="55">
        <v>29287.4</v>
      </c>
      <c r="K3625" s="55">
        <v>3407.2</v>
      </c>
      <c r="L3625" s="55">
        <v>30.9</v>
      </c>
      <c r="M3625" s="55">
        <v>539.79999999999995</v>
      </c>
      <c r="N3625" s="55">
        <v>14.6</v>
      </c>
    </row>
    <row r="3626" spans="1:14" ht="10.050000000000001" hidden="1" customHeight="1">
      <c r="A3626" s="52" t="s">
        <v>311</v>
      </c>
      <c r="B3626" s="53">
        <v>2022</v>
      </c>
      <c r="C3626" s="52" t="s">
        <v>126</v>
      </c>
      <c r="D3626" s="54">
        <v>4</v>
      </c>
      <c r="E3626" s="55">
        <v>34</v>
      </c>
      <c r="F3626" s="55">
        <v>0</v>
      </c>
      <c r="G3626" s="55">
        <v>34</v>
      </c>
      <c r="H3626" s="55">
        <v>685.6</v>
      </c>
      <c r="I3626" s="55">
        <v>0</v>
      </c>
      <c r="J3626" s="55">
        <v>685.6</v>
      </c>
      <c r="K3626" s="55">
        <v>95.6</v>
      </c>
      <c r="L3626" s="55">
        <v>0</v>
      </c>
      <c r="M3626" s="55">
        <v>0</v>
      </c>
      <c r="N3626" s="55">
        <v>25.2</v>
      </c>
    </row>
    <row r="3627" spans="1:14" ht="10.050000000000001" hidden="1" customHeight="1">
      <c r="A3627" s="52" t="s">
        <v>173</v>
      </c>
      <c r="B3627" s="53">
        <v>2022</v>
      </c>
      <c r="C3627" s="52" t="s">
        <v>126</v>
      </c>
      <c r="D3627" s="54">
        <v>4</v>
      </c>
      <c r="E3627" s="55">
        <v>196449.8</v>
      </c>
      <c r="F3627" s="55">
        <v>4348.3</v>
      </c>
      <c r="G3627" s="55">
        <v>200798.1</v>
      </c>
      <c r="H3627" s="55">
        <v>1824483.6</v>
      </c>
      <c r="I3627" s="55">
        <v>17124.8</v>
      </c>
      <c r="J3627" s="55">
        <v>1841608.4</v>
      </c>
      <c r="K3627" s="55">
        <v>172842.7</v>
      </c>
      <c r="L3627" s="55">
        <v>18883</v>
      </c>
      <c r="M3627" s="55">
        <v>92918.1</v>
      </c>
      <c r="N3627" s="55">
        <v>14891.6</v>
      </c>
    </row>
    <row r="3628" spans="1:14" ht="10.050000000000001" customHeight="1">
      <c r="A3628" s="52" t="s">
        <v>309</v>
      </c>
      <c r="B3628" s="53">
        <v>2022</v>
      </c>
      <c r="C3628" s="52" t="s">
        <v>126</v>
      </c>
      <c r="D3628" s="54">
        <v>4</v>
      </c>
      <c r="E3628" s="55">
        <v>1068.3</v>
      </c>
      <c r="F3628" s="55">
        <v>0</v>
      </c>
      <c r="G3628" s="55">
        <v>1068.3</v>
      </c>
      <c r="H3628" s="55">
        <v>35997.5</v>
      </c>
      <c r="I3628" s="55">
        <v>1590.4</v>
      </c>
      <c r="J3628" s="55">
        <v>37587.9</v>
      </c>
      <c r="K3628" s="55">
        <v>1391.3</v>
      </c>
      <c r="L3628" s="55">
        <v>0</v>
      </c>
      <c r="M3628" s="55">
        <v>150</v>
      </c>
      <c r="N3628" s="55">
        <v>0</v>
      </c>
    </row>
    <row r="3629" spans="1:14" ht="10.050000000000001" hidden="1" customHeight="1">
      <c r="A3629" s="52" t="s">
        <v>316</v>
      </c>
      <c r="B3629" s="53">
        <v>2022</v>
      </c>
      <c r="C3629" s="52" t="s">
        <v>126</v>
      </c>
      <c r="D3629" s="54">
        <v>4</v>
      </c>
      <c r="E3629" s="55">
        <v>595.29999999999995</v>
      </c>
      <c r="F3629" s="55">
        <v>27</v>
      </c>
      <c r="G3629" s="55">
        <v>622.29999999999995</v>
      </c>
      <c r="H3629" s="55">
        <v>14568.1</v>
      </c>
      <c r="I3629" s="55">
        <v>145.69999999999999</v>
      </c>
      <c r="J3629" s="55">
        <v>14713.8</v>
      </c>
      <c r="K3629" s="55">
        <v>298.60000000000002</v>
      </c>
      <c r="L3629" s="55">
        <v>52.6</v>
      </c>
      <c r="M3629" s="55">
        <v>79.3</v>
      </c>
      <c r="N3629" s="55">
        <v>58.7</v>
      </c>
    </row>
    <row r="3630" spans="1:14" ht="10.050000000000001" hidden="1" customHeight="1">
      <c r="A3630" s="52" t="s">
        <v>310</v>
      </c>
      <c r="B3630" s="53">
        <v>2022</v>
      </c>
      <c r="C3630" s="52" t="s">
        <v>126</v>
      </c>
      <c r="D3630" s="54">
        <v>4</v>
      </c>
      <c r="E3630" s="55">
        <v>1977.1</v>
      </c>
      <c r="F3630" s="55">
        <v>21</v>
      </c>
      <c r="G3630" s="55">
        <v>1998.1</v>
      </c>
      <c r="H3630" s="55">
        <v>40525.599999999999</v>
      </c>
      <c r="I3630" s="55">
        <v>1519.7</v>
      </c>
      <c r="J3630" s="55">
        <v>42045.3</v>
      </c>
      <c r="K3630" s="55">
        <v>3043.7</v>
      </c>
      <c r="L3630" s="55">
        <v>113.3</v>
      </c>
      <c r="M3630" s="55">
        <v>545.79999999999995</v>
      </c>
      <c r="N3630" s="55">
        <v>96.3</v>
      </c>
    </row>
    <row r="3631" spans="1:14" ht="10.050000000000001" hidden="1" customHeight="1">
      <c r="A3631" s="52" t="s">
        <v>308</v>
      </c>
      <c r="B3631" s="53">
        <v>2022</v>
      </c>
      <c r="C3631" s="52" t="s">
        <v>126</v>
      </c>
      <c r="D3631" s="54">
        <v>4</v>
      </c>
      <c r="E3631" s="55">
        <v>3804.5</v>
      </c>
      <c r="F3631" s="55">
        <v>0</v>
      </c>
      <c r="G3631" s="55">
        <v>3804.5</v>
      </c>
      <c r="H3631" s="55">
        <v>92444.3</v>
      </c>
      <c r="I3631" s="55">
        <v>460.4</v>
      </c>
      <c r="J3631" s="55">
        <v>92904.7</v>
      </c>
      <c r="K3631" s="55">
        <v>7672.3</v>
      </c>
      <c r="L3631" s="55">
        <v>176.6</v>
      </c>
      <c r="M3631" s="55">
        <v>2289.8000000000002</v>
      </c>
      <c r="N3631" s="55">
        <v>179.2</v>
      </c>
    </row>
    <row r="3632" spans="1:14" ht="10.050000000000001" hidden="1" customHeight="1">
      <c r="A3632" s="52" t="s">
        <v>174</v>
      </c>
      <c r="B3632" s="53">
        <v>2022</v>
      </c>
      <c r="C3632" s="52" t="s">
        <v>126</v>
      </c>
      <c r="D3632" s="54">
        <v>4</v>
      </c>
      <c r="E3632" s="55">
        <v>15552.9</v>
      </c>
      <c r="F3632" s="55">
        <v>52.4</v>
      </c>
      <c r="G3632" s="55">
        <v>15605.3</v>
      </c>
      <c r="H3632" s="55">
        <v>207862</v>
      </c>
      <c r="I3632" s="55">
        <v>6770.3</v>
      </c>
      <c r="J3632" s="55">
        <v>214632.3</v>
      </c>
      <c r="K3632" s="55">
        <v>53537.4</v>
      </c>
      <c r="L3632" s="55">
        <v>2248.1</v>
      </c>
      <c r="M3632" s="55">
        <v>6656.2</v>
      </c>
      <c r="N3632" s="55">
        <v>6920.2</v>
      </c>
    </row>
    <row r="3633" spans="1:14" ht="10.050000000000001" hidden="1" customHeight="1">
      <c r="A3633" s="52" t="s">
        <v>314</v>
      </c>
      <c r="B3633" s="53">
        <v>2022</v>
      </c>
      <c r="C3633" s="52" t="s">
        <v>126</v>
      </c>
      <c r="D3633" s="54">
        <v>5</v>
      </c>
      <c r="E3633" s="55">
        <v>0</v>
      </c>
      <c r="F3633" s="55">
        <v>0</v>
      </c>
      <c r="G3633" s="55">
        <v>0</v>
      </c>
      <c r="H3633" s="55">
        <v>74</v>
      </c>
      <c r="I3633" s="55">
        <v>0</v>
      </c>
      <c r="J3633" s="55">
        <v>74</v>
      </c>
      <c r="K3633" s="55">
        <v>4.5</v>
      </c>
      <c r="L3633" s="55">
        <v>0</v>
      </c>
      <c r="M3633" s="55">
        <v>0</v>
      </c>
      <c r="N3633" s="55">
        <v>0</v>
      </c>
    </row>
    <row r="3634" spans="1:14" ht="10.050000000000001" hidden="1" customHeight="1">
      <c r="A3634" s="52" t="s">
        <v>306</v>
      </c>
      <c r="B3634" s="53">
        <v>2022</v>
      </c>
      <c r="C3634" s="52" t="s">
        <v>126</v>
      </c>
      <c r="D3634" s="54">
        <v>5</v>
      </c>
      <c r="E3634" s="55">
        <v>6497.3</v>
      </c>
      <c r="F3634" s="55">
        <v>0</v>
      </c>
      <c r="G3634" s="55">
        <v>6497.3</v>
      </c>
      <c r="H3634" s="55">
        <v>75510.100000000006</v>
      </c>
      <c r="I3634" s="55">
        <v>1715.9</v>
      </c>
      <c r="J3634" s="55">
        <v>77226</v>
      </c>
      <c r="K3634" s="55">
        <v>3207.5</v>
      </c>
      <c r="L3634" s="55">
        <v>943.4</v>
      </c>
      <c r="M3634" s="55">
        <v>3011.3</v>
      </c>
      <c r="N3634" s="55">
        <v>518.6</v>
      </c>
    </row>
    <row r="3635" spans="1:14" ht="10.050000000000001" hidden="1" customHeight="1">
      <c r="A3635" s="52" t="s">
        <v>172</v>
      </c>
      <c r="B3635" s="53">
        <v>2022</v>
      </c>
      <c r="C3635" s="52" t="s">
        <v>126</v>
      </c>
      <c r="D3635" s="54">
        <v>5</v>
      </c>
      <c r="E3635" s="55">
        <v>63279.1</v>
      </c>
      <c r="F3635" s="55">
        <v>0</v>
      </c>
      <c r="G3635" s="55">
        <v>63279.1</v>
      </c>
      <c r="H3635" s="55">
        <v>187426.4</v>
      </c>
      <c r="I3635" s="55">
        <v>4394</v>
      </c>
      <c r="J3635" s="55">
        <v>191820.4</v>
      </c>
      <c r="K3635" s="55">
        <v>11693.2</v>
      </c>
      <c r="L3635" s="55">
        <v>10264</v>
      </c>
      <c r="M3635" s="55">
        <v>32500.6</v>
      </c>
      <c r="N3635" s="55">
        <v>437.5</v>
      </c>
    </row>
    <row r="3636" spans="1:14" ht="10.050000000000001" hidden="1" customHeight="1">
      <c r="A3636" s="52" t="s">
        <v>171</v>
      </c>
      <c r="B3636" s="53">
        <v>2022</v>
      </c>
      <c r="C3636" s="52" t="s">
        <v>126</v>
      </c>
      <c r="D3636" s="54">
        <v>5</v>
      </c>
      <c r="E3636" s="55">
        <v>890597</v>
      </c>
      <c r="F3636" s="55">
        <v>430.6</v>
      </c>
      <c r="G3636" s="55">
        <v>891027.6</v>
      </c>
      <c r="H3636" s="55">
        <v>4017616.7</v>
      </c>
      <c r="I3636" s="55">
        <v>41575.9</v>
      </c>
      <c r="J3636" s="55">
        <v>4059192.6</v>
      </c>
      <c r="K3636" s="55">
        <v>239501.1</v>
      </c>
      <c r="L3636" s="55">
        <v>107195.4</v>
      </c>
      <c r="M3636" s="55">
        <v>495694</v>
      </c>
      <c r="N3636" s="55">
        <v>19621.3</v>
      </c>
    </row>
    <row r="3637" spans="1:14" ht="10.050000000000001" hidden="1" customHeight="1">
      <c r="A3637" s="52" t="s">
        <v>300</v>
      </c>
      <c r="B3637" s="53">
        <v>2022</v>
      </c>
      <c r="C3637" s="52" t="s">
        <v>126</v>
      </c>
      <c r="D3637" s="54">
        <v>5</v>
      </c>
      <c r="E3637" s="55">
        <v>1258.4000000000001</v>
      </c>
      <c r="F3637" s="55">
        <v>111.4</v>
      </c>
      <c r="G3637" s="55">
        <v>1369.8</v>
      </c>
      <c r="H3637" s="55">
        <v>13054.7</v>
      </c>
      <c r="I3637" s="55">
        <v>410</v>
      </c>
      <c r="J3637" s="55">
        <v>13464.7</v>
      </c>
      <c r="K3637" s="55">
        <v>369.4</v>
      </c>
      <c r="L3637" s="55">
        <v>0</v>
      </c>
      <c r="M3637" s="55">
        <v>3</v>
      </c>
      <c r="N3637" s="55">
        <v>48.8</v>
      </c>
    </row>
    <row r="3638" spans="1:14" ht="10.050000000000001" hidden="1" customHeight="1">
      <c r="A3638" s="52" t="s">
        <v>307</v>
      </c>
      <c r="B3638" s="53">
        <v>2022</v>
      </c>
      <c r="C3638" s="52" t="s">
        <v>126</v>
      </c>
      <c r="D3638" s="54">
        <v>5</v>
      </c>
      <c r="E3638" s="55">
        <v>296193.40000000002</v>
      </c>
      <c r="F3638" s="55">
        <v>0</v>
      </c>
      <c r="G3638" s="55">
        <v>296193.40000000002</v>
      </c>
      <c r="H3638" s="55">
        <v>2684256.7000000002</v>
      </c>
      <c r="I3638" s="55">
        <v>37424.6</v>
      </c>
      <c r="J3638" s="55">
        <v>2721681.3</v>
      </c>
      <c r="K3638" s="55">
        <v>631865.69999999995</v>
      </c>
      <c r="L3638" s="55">
        <v>39352.300000000003</v>
      </c>
      <c r="M3638" s="55">
        <v>161956.4</v>
      </c>
      <c r="N3638" s="55">
        <v>44396.2</v>
      </c>
    </row>
    <row r="3639" spans="1:14" ht="10.050000000000001" hidden="1" customHeight="1">
      <c r="A3639" s="52" t="s">
        <v>315</v>
      </c>
      <c r="B3639" s="53">
        <v>2022</v>
      </c>
      <c r="C3639" s="52" t="s">
        <v>126</v>
      </c>
      <c r="D3639" s="54">
        <v>5</v>
      </c>
      <c r="E3639" s="55">
        <v>2601.4</v>
      </c>
      <c r="F3639" s="55">
        <v>0</v>
      </c>
      <c r="G3639" s="55">
        <v>2601.4</v>
      </c>
      <c r="H3639" s="55">
        <v>24936</v>
      </c>
      <c r="I3639" s="55">
        <v>0</v>
      </c>
      <c r="J3639" s="55">
        <v>24936</v>
      </c>
      <c r="K3639" s="55">
        <v>2094.1999999999998</v>
      </c>
      <c r="L3639" s="55">
        <v>186.3</v>
      </c>
      <c r="M3639" s="55">
        <v>1515.8</v>
      </c>
      <c r="N3639" s="55">
        <v>0</v>
      </c>
    </row>
    <row r="3640" spans="1:14" ht="10.050000000000001" hidden="1" customHeight="1">
      <c r="A3640" s="52" t="s">
        <v>311</v>
      </c>
      <c r="B3640" s="53">
        <v>2022</v>
      </c>
      <c r="C3640" s="52" t="s">
        <v>126</v>
      </c>
      <c r="D3640" s="54">
        <v>5</v>
      </c>
      <c r="E3640" s="55">
        <v>27.6</v>
      </c>
      <c r="F3640" s="55">
        <v>0</v>
      </c>
      <c r="G3640" s="55">
        <v>27.6</v>
      </c>
      <c r="H3640" s="55">
        <v>680.1</v>
      </c>
      <c r="I3640" s="55">
        <v>0</v>
      </c>
      <c r="J3640" s="55">
        <v>680.1</v>
      </c>
      <c r="K3640" s="55">
        <v>91.1</v>
      </c>
      <c r="L3640" s="55">
        <v>0</v>
      </c>
      <c r="M3640" s="55">
        <v>0</v>
      </c>
      <c r="N3640" s="55">
        <v>4.5</v>
      </c>
    </row>
    <row r="3641" spans="1:14" ht="10.050000000000001" hidden="1" customHeight="1">
      <c r="A3641" s="52" t="s">
        <v>173</v>
      </c>
      <c r="B3641" s="53">
        <v>2022</v>
      </c>
      <c r="C3641" s="52" t="s">
        <v>126</v>
      </c>
      <c r="D3641" s="54">
        <v>5</v>
      </c>
      <c r="E3641" s="55">
        <v>142926.5</v>
      </c>
      <c r="F3641" s="55">
        <v>1155</v>
      </c>
      <c r="G3641" s="55">
        <v>144081.5</v>
      </c>
      <c r="H3641" s="55">
        <v>1430712.9</v>
      </c>
      <c r="I3641" s="55">
        <v>16420</v>
      </c>
      <c r="J3641" s="55">
        <v>1447132.9</v>
      </c>
      <c r="K3641" s="55">
        <v>93595</v>
      </c>
      <c r="L3641" s="55">
        <v>12601.9</v>
      </c>
      <c r="M3641" s="55">
        <v>70279.3</v>
      </c>
      <c r="N3641" s="55">
        <v>19555.099999999999</v>
      </c>
    </row>
    <row r="3642" spans="1:14" ht="10.050000000000001" customHeight="1">
      <c r="A3642" s="52" t="s">
        <v>309</v>
      </c>
      <c r="B3642" s="53">
        <v>2022</v>
      </c>
      <c r="C3642" s="52" t="s">
        <v>126</v>
      </c>
      <c r="D3642" s="54">
        <v>5</v>
      </c>
      <c r="E3642" s="55">
        <v>1715.8</v>
      </c>
      <c r="F3642" s="55">
        <v>0</v>
      </c>
      <c r="G3642" s="55">
        <v>1715.8</v>
      </c>
      <c r="H3642" s="55">
        <v>30036.7</v>
      </c>
      <c r="I3642" s="55">
        <v>1566.9</v>
      </c>
      <c r="J3642" s="55">
        <v>31603.599999999999</v>
      </c>
      <c r="K3642" s="55">
        <v>455.3</v>
      </c>
      <c r="L3642" s="55">
        <v>102.6</v>
      </c>
      <c r="M3642" s="55">
        <v>1038.5</v>
      </c>
      <c r="N3642" s="55">
        <v>0</v>
      </c>
    </row>
    <row r="3643" spans="1:14" ht="10.050000000000001" hidden="1" customHeight="1">
      <c r="A3643" s="52" t="s">
        <v>316</v>
      </c>
      <c r="B3643" s="53">
        <v>2022</v>
      </c>
      <c r="C3643" s="52" t="s">
        <v>126</v>
      </c>
      <c r="D3643" s="54">
        <v>5</v>
      </c>
      <c r="E3643" s="55">
        <v>371.8</v>
      </c>
      <c r="F3643" s="55">
        <v>17.7</v>
      </c>
      <c r="G3643" s="55">
        <v>389.5</v>
      </c>
      <c r="H3643" s="55">
        <v>11899.9</v>
      </c>
      <c r="I3643" s="55">
        <v>126.3</v>
      </c>
      <c r="J3643" s="55">
        <v>12026.2</v>
      </c>
      <c r="K3643" s="55">
        <v>235</v>
      </c>
      <c r="L3643" s="55">
        <v>4.9000000000000004</v>
      </c>
      <c r="M3643" s="55">
        <v>61.2</v>
      </c>
      <c r="N3643" s="55">
        <v>15</v>
      </c>
    </row>
    <row r="3644" spans="1:14" ht="10.050000000000001" hidden="1" customHeight="1">
      <c r="A3644" s="52" t="s">
        <v>310</v>
      </c>
      <c r="B3644" s="53">
        <v>2022</v>
      </c>
      <c r="C3644" s="52" t="s">
        <v>126</v>
      </c>
      <c r="D3644" s="54">
        <v>5</v>
      </c>
      <c r="E3644" s="55">
        <v>2494.9</v>
      </c>
      <c r="F3644" s="55">
        <v>3.6</v>
      </c>
      <c r="G3644" s="55">
        <v>2498.5</v>
      </c>
      <c r="H3644" s="55">
        <v>35245.9</v>
      </c>
      <c r="I3644" s="55">
        <v>1513.4</v>
      </c>
      <c r="J3644" s="55">
        <v>36759.300000000003</v>
      </c>
      <c r="K3644" s="55">
        <v>2011.6</v>
      </c>
      <c r="L3644" s="55">
        <v>113.2</v>
      </c>
      <c r="M3644" s="55">
        <v>1082.8</v>
      </c>
      <c r="N3644" s="55">
        <v>62.2</v>
      </c>
    </row>
    <row r="3645" spans="1:14" ht="10.050000000000001" hidden="1" customHeight="1">
      <c r="A3645" s="52" t="s">
        <v>308</v>
      </c>
      <c r="B3645" s="53">
        <v>2022</v>
      </c>
      <c r="C3645" s="52" t="s">
        <v>126</v>
      </c>
      <c r="D3645" s="54">
        <v>5</v>
      </c>
      <c r="E3645" s="55">
        <v>2997.3</v>
      </c>
      <c r="F3645" s="55">
        <v>0</v>
      </c>
      <c r="G3645" s="55">
        <v>2997.3</v>
      </c>
      <c r="H3645" s="55">
        <v>66654.5</v>
      </c>
      <c r="I3645" s="55">
        <v>149.30000000000001</v>
      </c>
      <c r="J3645" s="55">
        <v>66803.8</v>
      </c>
      <c r="K3645" s="55">
        <v>4688.8999999999996</v>
      </c>
      <c r="L3645" s="55">
        <v>147.80000000000001</v>
      </c>
      <c r="M3645" s="55">
        <v>2551.4</v>
      </c>
      <c r="N3645" s="55">
        <v>580.9</v>
      </c>
    </row>
    <row r="3646" spans="1:14" ht="10.050000000000001" hidden="1" customHeight="1">
      <c r="A3646" s="52" t="s">
        <v>174</v>
      </c>
      <c r="B3646" s="53">
        <v>2022</v>
      </c>
      <c r="C3646" s="52" t="s">
        <v>126</v>
      </c>
      <c r="D3646" s="54">
        <v>5</v>
      </c>
      <c r="E3646" s="55">
        <v>16737.8</v>
      </c>
      <c r="F3646" s="55">
        <v>0</v>
      </c>
      <c r="G3646" s="55">
        <v>16737.8</v>
      </c>
      <c r="H3646" s="55">
        <v>153234</v>
      </c>
      <c r="I3646" s="55">
        <v>6209.2</v>
      </c>
      <c r="J3646" s="55">
        <v>159443.20000000001</v>
      </c>
      <c r="K3646" s="55">
        <v>41191</v>
      </c>
      <c r="L3646" s="55">
        <v>1886.4</v>
      </c>
      <c r="M3646" s="55">
        <v>7444.6</v>
      </c>
      <c r="N3646" s="55">
        <v>6797.8</v>
      </c>
    </row>
    <row r="3647" spans="1:14" ht="10.050000000000001" hidden="1" customHeight="1">
      <c r="A3647" s="52" t="s">
        <v>314</v>
      </c>
      <c r="B3647" s="53">
        <v>2022</v>
      </c>
      <c r="C3647" s="52" t="s">
        <v>126</v>
      </c>
      <c r="D3647" s="54">
        <v>6</v>
      </c>
      <c r="E3647" s="55">
        <v>0</v>
      </c>
      <c r="F3647" s="55">
        <v>0</v>
      </c>
      <c r="G3647" s="55">
        <v>0</v>
      </c>
      <c r="H3647" s="55">
        <v>77.5</v>
      </c>
      <c r="I3647" s="55">
        <v>0</v>
      </c>
      <c r="J3647" s="55">
        <v>77.5</v>
      </c>
      <c r="K3647" s="55">
        <v>4.5</v>
      </c>
      <c r="L3647" s="55">
        <v>0</v>
      </c>
      <c r="M3647" s="55">
        <v>0</v>
      </c>
      <c r="N3647" s="55">
        <v>0</v>
      </c>
    </row>
    <row r="3648" spans="1:14" ht="10.050000000000001" hidden="1" customHeight="1">
      <c r="A3648" s="52" t="s">
        <v>306</v>
      </c>
      <c r="B3648" s="53">
        <v>2022</v>
      </c>
      <c r="C3648" s="52" t="s">
        <v>126</v>
      </c>
      <c r="D3648" s="54">
        <v>6</v>
      </c>
      <c r="E3648" s="55">
        <v>5053.8</v>
      </c>
      <c r="F3648" s="55">
        <v>99.2</v>
      </c>
      <c r="G3648" s="55">
        <v>5153</v>
      </c>
      <c r="H3648" s="55">
        <v>41333.699999999997</v>
      </c>
      <c r="I3648" s="55">
        <v>1523</v>
      </c>
      <c r="J3648" s="55">
        <v>42856.7</v>
      </c>
      <c r="K3648" s="55">
        <v>1465.2</v>
      </c>
      <c r="L3648" s="55">
        <v>599.5</v>
      </c>
      <c r="M3648" s="55">
        <v>1698.6</v>
      </c>
      <c r="N3648" s="55">
        <v>641.70000000000005</v>
      </c>
    </row>
    <row r="3649" spans="1:14" ht="10.050000000000001" hidden="1" customHeight="1">
      <c r="A3649" s="52" t="s">
        <v>172</v>
      </c>
      <c r="B3649" s="53">
        <v>2022</v>
      </c>
      <c r="C3649" s="52" t="s">
        <v>126</v>
      </c>
      <c r="D3649" s="54">
        <v>6</v>
      </c>
      <c r="E3649" s="55">
        <v>31855</v>
      </c>
      <c r="F3649" s="55">
        <v>0</v>
      </c>
      <c r="G3649" s="55">
        <v>31855</v>
      </c>
      <c r="H3649" s="55">
        <v>102462.5</v>
      </c>
      <c r="I3649" s="55">
        <v>5364.6</v>
      </c>
      <c r="J3649" s="55">
        <v>107827.1</v>
      </c>
      <c r="K3649" s="55">
        <v>4220.8</v>
      </c>
      <c r="L3649" s="55">
        <v>6234.7</v>
      </c>
      <c r="M3649" s="55">
        <v>12662.8</v>
      </c>
      <c r="N3649" s="55">
        <v>788.6</v>
      </c>
    </row>
    <row r="3650" spans="1:14" ht="10.050000000000001" hidden="1" customHeight="1">
      <c r="A3650" s="52" t="s">
        <v>171</v>
      </c>
      <c r="B3650" s="53">
        <v>2022</v>
      </c>
      <c r="C3650" s="52" t="s">
        <v>126</v>
      </c>
      <c r="D3650" s="54">
        <v>6</v>
      </c>
      <c r="E3650" s="55">
        <v>366682.3</v>
      </c>
      <c r="F3650" s="55">
        <v>4467.3999999999996</v>
      </c>
      <c r="G3650" s="55">
        <v>371149.7</v>
      </c>
      <c r="H3650" s="55">
        <v>1991769.3</v>
      </c>
      <c r="I3650" s="55">
        <v>39507.599999999999</v>
      </c>
      <c r="J3650" s="55">
        <v>2031276.9</v>
      </c>
      <c r="K3650" s="55">
        <v>106180.5</v>
      </c>
      <c r="L3650" s="55">
        <v>95964.1</v>
      </c>
      <c r="M3650" s="55">
        <v>154036.6</v>
      </c>
      <c r="N3650" s="55">
        <v>76042.100000000006</v>
      </c>
    </row>
    <row r="3651" spans="1:14" ht="10.050000000000001" hidden="1" customHeight="1">
      <c r="A3651" s="52" t="s">
        <v>300</v>
      </c>
      <c r="B3651" s="53">
        <v>2022</v>
      </c>
      <c r="C3651" s="52" t="s">
        <v>126</v>
      </c>
      <c r="D3651" s="54">
        <v>6</v>
      </c>
      <c r="E3651" s="55">
        <v>1269.5</v>
      </c>
      <c r="F3651" s="55">
        <v>0</v>
      </c>
      <c r="G3651" s="55">
        <v>1269.5</v>
      </c>
      <c r="H3651" s="55">
        <v>11263.3</v>
      </c>
      <c r="I3651" s="55">
        <v>245</v>
      </c>
      <c r="J3651" s="55">
        <v>11508.3</v>
      </c>
      <c r="K3651" s="55">
        <v>297.10000000000002</v>
      </c>
      <c r="L3651" s="55">
        <v>122.4</v>
      </c>
      <c r="M3651" s="55">
        <v>186.2</v>
      </c>
      <c r="N3651" s="55">
        <v>8.3000000000000007</v>
      </c>
    </row>
    <row r="3652" spans="1:14" ht="10.050000000000001" hidden="1" customHeight="1">
      <c r="A3652" s="52" t="s">
        <v>307</v>
      </c>
      <c r="B3652" s="53">
        <v>2022</v>
      </c>
      <c r="C3652" s="52" t="s">
        <v>126</v>
      </c>
      <c r="D3652" s="54">
        <v>6</v>
      </c>
      <c r="E3652" s="55">
        <v>387473.1</v>
      </c>
      <c r="F3652" s="55">
        <v>25040.3</v>
      </c>
      <c r="G3652" s="55">
        <v>412513.4</v>
      </c>
      <c r="H3652" s="55">
        <v>2039373.4</v>
      </c>
      <c r="I3652" s="55">
        <v>37194.6</v>
      </c>
      <c r="J3652" s="55">
        <v>2076568</v>
      </c>
      <c r="K3652" s="55">
        <v>284591.59999999998</v>
      </c>
      <c r="L3652" s="55">
        <v>77725.600000000006</v>
      </c>
      <c r="M3652" s="55">
        <v>245766.5</v>
      </c>
      <c r="N3652" s="55">
        <v>181655</v>
      </c>
    </row>
    <row r="3653" spans="1:14" ht="10.050000000000001" hidden="1" customHeight="1">
      <c r="A3653" s="52" t="s">
        <v>315</v>
      </c>
      <c r="B3653" s="53">
        <v>2022</v>
      </c>
      <c r="C3653" s="52" t="s">
        <v>126</v>
      </c>
      <c r="D3653" s="54">
        <v>6</v>
      </c>
      <c r="E3653" s="55">
        <v>2506.3000000000002</v>
      </c>
      <c r="F3653" s="55">
        <v>0</v>
      </c>
      <c r="G3653" s="55">
        <v>2506.3000000000002</v>
      </c>
      <c r="H3653" s="55">
        <v>17606.2</v>
      </c>
      <c r="I3653" s="55">
        <v>0</v>
      </c>
      <c r="J3653" s="55">
        <v>17606.2</v>
      </c>
      <c r="K3653" s="55">
        <v>1090.3</v>
      </c>
      <c r="L3653" s="55">
        <v>248.2</v>
      </c>
      <c r="M3653" s="55">
        <v>1124.5</v>
      </c>
      <c r="N3653" s="55">
        <v>111.2</v>
      </c>
    </row>
    <row r="3654" spans="1:14" ht="10.050000000000001" hidden="1" customHeight="1">
      <c r="A3654" s="52" t="s">
        <v>311</v>
      </c>
      <c r="B3654" s="53">
        <v>2022</v>
      </c>
      <c r="C3654" s="52" t="s">
        <v>126</v>
      </c>
      <c r="D3654" s="54">
        <v>6</v>
      </c>
      <c r="E3654" s="55">
        <v>276.60000000000002</v>
      </c>
      <c r="F3654" s="55">
        <v>0</v>
      </c>
      <c r="G3654" s="55">
        <v>276.60000000000002</v>
      </c>
      <c r="H3654" s="55">
        <v>667.3</v>
      </c>
      <c r="I3654" s="55">
        <v>0</v>
      </c>
      <c r="J3654" s="55">
        <v>667.3</v>
      </c>
      <c r="K3654" s="55">
        <v>44.4</v>
      </c>
      <c r="L3654" s="55">
        <v>0</v>
      </c>
      <c r="M3654" s="55">
        <v>0</v>
      </c>
      <c r="N3654" s="55">
        <v>46.7</v>
      </c>
    </row>
    <row r="3655" spans="1:14" ht="10.050000000000001" hidden="1" customHeight="1">
      <c r="A3655" s="52" t="s">
        <v>173</v>
      </c>
      <c r="B3655" s="53">
        <v>2022</v>
      </c>
      <c r="C3655" s="52" t="s">
        <v>126</v>
      </c>
      <c r="D3655" s="54">
        <v>6</v>
      </c>
      <c r="E3655" s="55">
        <v>83624.800000000003</v>
      </c>
      <c r="F3655" s="55">
        <v>3225</v>
      </c>
      <c r="G3655" s="55">
        <v>86849.8</v>
      </c>
      <c r="H3655" s="55">
        <v>757454.7</v>
      </c>
      <c r="I3655" s="55">
        <v>14905.9</v>
      </c>
      <c r="J3655" s="55">
        <v>772360.6</v>
      </c>
      <c r="K3655" s="55">
        <v>74403.7</v>
      </c>
      <c r="L3655" s="55">
        <v>53819.3</v>
      </c>
      <c r="M3655" s="55">
        <v>33545.699999999997</v>
      </c>
      <c r="N3655" s="55">
        <v>39256.199999999997</v>
      </c>
    </row>
    <row r="3656" spans="1:14" ht="10.050000000000001" customHeight="1">
      <c r="A3656" s="52" t="s">
        <v>309</v>
      </c>
      <c r="B3656" s="53">
        <v>2022</v>
      </c>
      <c r="C3656" s="52" t="s">
        <v>126</v>
      </c>
      <c r="D3656" s="54">
        <v>6</v>
      </c>
      <c r="E3656" s="55">
        <v>1248.4000000000001</v>
      </c>
      <c r="F3656" s="55">
        <v>0</v>
      </c>
      <c r="G3656" s="55">
        <v>1248.4000000000001</v>
      </c>
      <c r="H3656" s="55">
        <v>20556</v>
      </c>
      <c r="I3656" s="55">
        <v>867.5</v>
      </c>
      <c r="J3656" s="55">
        <v>21423.5</v>
      </c>
      <c r="K3656" s="55">
        <v>455.3</v>
      </c>
      <c r="L3656" s="55">
        <v>0</v>
      </c>
      <c r="M3656" s="55">
        <v>0</v>
      </c>
      <c r="N3656" s="55">
        <v>0</v>
      </c>
    </row>
    <row r="3657" spans="1:14" ht="10.050000000000001" hidden="1" customHeight="1">
      <c r="A3657" s="52" t="s">
        <v>316</v>
      </c>
      <c r="B3657" s="53">
        <v>2022</v>
      </c>
      <c r="C3657" s="52" t="s">
        <v>126</v>
      </c>
      <c r="D3657" s="54">
        <v>6</v>
      </c>
      <c r="E3657" s="55">
        <v>806.1</v>
      </c>
      <c r="F3657" s="55">
        <v>69.3</v>
      </c>
      <c r="G3657" s="55">
        <v>875.4</v>
      </c>
      <c r="H3657" s="55">
        <v>9213.2999999999993</v>
      </c>
      <c r="I3657" s="55">
        <v>63.8</v>
      </c>
      <c r="J3657" s="55">
        <v>9277.1</v>
      </c>
      <c r="K3657" s="55">
        <v>74.2</v>
      </c>
      <c r="L3657" s="55">
        <v>2</v>
      </c>
      <c r="M3657" s="55">
        <v>141.80000000000001</v>
      </c>
      <c r="N3657" s="55">
        <v>21</v>
      </c>
    </row>
    <row r="3658" spans="1:14" ht="10.050000000000001" hidden="1" customHeight="1">
      <c r="A3658" s="52" t="s">
        <v>310</v>
      </c>
      <c r="B3658" s="53">
        <v>2022</v>
      </c>
      <c r="C3658" s="52" t="s">
        <v>126</v>
      </c>
      <c r="D3658" s="54">
        <v>6</v>
      </c>
      <c r="E3658" s="55">
        <v>1628.9</v>
      </c>
      <c r="F3658" s="55">
        <v>171.1</v>
      </c>
      <c r="G3658" s="55">
        <v>1800</v>
      </c>
      <c r="H3658" s="55">
        <v>27652.5</v>
      </c>
      <c r="I3658" s="55">
        <v>1433.4</v>
      </c>
      <c r="J3658" s="55">
        <v>29085.9</v>
      </c>
      <c r="K3658" s="55">
        <v>751.9</v>
      </c>
      <c r="L3658" s="55">
        <v>78.099999999999994</v>
      </c>
      <c r="M3658" s="55">
        <v>354.5</v>
      </c>
      <c r="N3658" s="55">
        <v>983.3</v>
      </c>
    </row>
    <row r="3659" spans="1:14" ht="10.050000000000001" hidden="1" customHeight="1">
      <c r="A3659" s="52" t="s">
        <v>308</v>
      </c>
      <c r="B3659" s="53">
        <v>2022</v>
      </c>
      <c r="C3659" s="52" t="s">
        <v>126</v>
      </c>
      <c r="D3659" s="54">
        <v>6</v>
      </c>
      <c r="E3659" s="55">
        <v>1214.2</v>
      </c>
      <c r="F3659" s="55">
        <v>0</v>
      </c>
      <c r="G3659" s="55">
        <v>1214.2</v>
      </c>
      <c r="H3659" s="55">
        <v>36809.300000000003</v>
      </c>
      <c r="I3659" s="55">
        <v>100.9</v>
      </c>
      <c r="J3659" s="55">
        <v>36910.199999999997</v>
      </c>
      <c r="K3659" s="55">
        <v>2149.3000000000002</v>
      </c>
      <c r="L3659" s="55">
        <v>172.6</v>
      </c>
      <c r="M3659" s="55">
        <v>618.70000000000005</v>
      </c>
      <c r="N3659" s="55">
        <v>2064.8000000000002</v>
      </c>
    </row>
    <row r="3660" spans="1:14" ht="10.050000000000001" hidden="1" customHeight="1">
      <c r="A3660" s="52" t="s">
        <v>174</v>
      </c>
      <c r="B3660" s="53">
        <v>2022</v>
      </c>
      <c r="C3660" s="52" t="s">
        <v>126</v>
      </c>
      <c r="D3660" s="54">
        <v>6</v>
      </c>
      <c r="E3660" s="55">
        <v>19196.2</v>
      </c>
      <c r="F3660" s="55">
        <v>280.3</v>
      </c>
      <c r="G3660" s="55">
        <v>19476.5</v>
      </c>
      <c r="H3660" s="55">
        <v>89432</v>
      </c>
      <c r="I3660" s="55">
        <v>6397.4</v>
      </c>
      <c r="J3660" s="55">
        <v>95829.4</v>
      </c>
      <c r="K3660" s="55">
        <v>24837.4</v>
      </c>
      <c r="L3660" s="55">
        <v>10758.3</v>
      </c>
      <c r="M3660" s="55">
        <v>8686</v>
      </c>
      <c r="N3660" s="55">
        <v>18749.900000000001</v>
      </c>
    </row>
    <row r="3661" spans="1:14" ht="10.050000000000001" hidden="1" customHeight="1">
      <c r="A3661" s="52" t="s">
        <v>314</v>
      </c>
      <c r="B3661" s="53">
        <v>2022</v>
      </c>
      <c r="C3661" s="52" t="s">
        <v>127</v>
      </c>
      <c r="D3661" s="54">
        <v>7</v>
      </c>
      <c r="E3661" s="55">
        <v>0</v>
      </c>
      <c r="F3661" s="55">
        <v>0</v>
      </c>
      <c r="G3661" s="55">
        <v>0</v>
      </c>
      <c r="H3661" s="55">
        <v>66.099999999999994</v>
      </c>
      <c r="I3661" s="55">
        <v>0</v>
      </c>
      <c r="J3661" s="55">
        <v>66.099999999999994</v>
      </c>
      <c r="K3661" s="55">
        <v>4.5</v>
      </c>
      <c r="L3661" s="55">
        <v>0</v>
      </c>
      <c r="M3661" s="55">
        <v>0</v>
      </c>
      <c r="N3661" s="55">
        <v>0</v>
      </c>
    </row>
    <row r="3662" spans="1:14" ht="10.050000000000001" hidden="1" customHeight="1">
      <c r="A3662" s="52" t="s">
        <v>306</v>
      </c>
      <c r="B3662" s="53">
        <v>2022</v>
      </c>
      <c r="C3662" s="52" t="s">
        <v>127</v>
      </c>
      <c r="D3662" s="54">
        <v>7</v>
      </c>
      <c r="E3662" s="55">
        <v>132103.20000000001</v>
      </c>
      <c r="F3662" s="55">
        <v>1560.4</v>
      </c>
      <c r="G3662" s="55">
        <v>133663.6</v>
      </c>
      <c r="H3662" s="55">
        <v>153315.1</v>
      </c>
      <c r="I3662" s="55">
        <v>2483.1</v>
      </c>
      <c r="J3662" s="55">
        <v>155798.20000000001</v>
      </c>
      <c r="K3662" s="55">
        <v>50255.4</v>
      </c>
      <c r="L3662" s="55">
        <v>61352.5</v>
      </c>
      <c r="M3662" s="55">
        <v>11899.4</v>
      </c>
      <c r="N3662" s="55">
        <v>548.6</v>
      </c>
    </row>
    <row r="3663" spans="1:14" ht="10.050000000000001" hidden="1" customHeight="1">
      <c r="A3663" s="52" t="s">
        <v>172</v>
      </c>
      <c r="B3663" s="53">
        <v>2022</v>
      </c>
      <c r="C3663" s="52" t="s">
        <v>127</v>
      </c>
      <c r="D3663" s="54">
        <v>7</v>
      </c>
      <c r="E3663" s="55">
        <v>596637</v>
      </c>
      <c r="F3663" s="55">
        <v>25105.8</v>
      </c>
      <c r="G3663" s="55">
        <v>621742.80000000005</v>
      </c>
      <c r="H3663" s="55">
        <v>585645.69999999995</v>
      </c>
      <c r="I3663" s="55">
        <v>26640.799999999999</v>
      </c>
      <c r="J3663" s="55">
        <v>612286.5</v>
      </c>
      <c r="K3663" s="55">
        <v>315457.7</v>
      </c>
      <c r="L3663" s="55">
        <v>395465.3</v>
      </c>
      <c r="M3663" s="55">
        <v>80643.3</v>
      </c>
      <c r="N3663" s="55">
        <v>3585.5</v>
      </c>
    </row>
    <row r="3664" spans="1:14" ht="10.050000000000001" hidden="1" customHeight="1">
      <c r="A3664" s="52" t="s">
        <v>171</v>
      </c>
      <c r="B3664" s="53">
        <v>2022</v>
      </c>
      <c r="C3664" s="52" t="s">
        <v>127</v>
      </c>
      <c r="D3664" s="54">
        <v>7</v>
      </c>
      <c r="E3664" s="55">
        <v>13195298.800000001</v>
      </c>
      <c r="F3664" s="55">
        <v>100369</v>
      </c>
      <c r="G3664" s="55">
        <v>13295667.800000001</v>
      </c>
      <c r="H3664" s="55">
        <v>12632802.1</v>
      </c>
      <c r="I3664" s="55">
        <v>105739.1</v>
      </c>
      <c r="J3664" s="55">
        <v>12738541.199999999</v>
      </c>
      <c r="K3664" s="55">
        <v>7682615.2000000002</v>
      </c>
      <c r="L3664" s="55">
        <v>9720534.5</v>
      </c>
      <c r="M3664" s="55">
        <v>2080509.9</v>
      </c>
      <c r="N3664" s="55">
        <v>64423.9</v>
      </c>
    </row>
    <row r="3665" spans="1:14" ht="10.050000000000001" hidden="1" customHeight="1">
      <c r="A3665" s="52" t="s">
        <v>300</v>
      </c>
      <c r="B3665" s="53">
        <v>2022</v>
      </c>
      <c r="C3665" s="52" t="s">
        <v>127</v>
      </c>
      <c r="D3665" s="54">
        <v>7</v>
      </c>
      <c r="E3665" s="55">
        <v>13090.7</v>
      </c>
      <c r="F3665" s="55">
        <v>349.8</v>
      </c>
      <c r="G3665" s="55">
        <v>13440.5</v>
      </c>
      <c r="H3665" s="55">
        <v>22238.9</v>
      </c>
      <c r="I3665" s="55">
        <v>449.6</v>
      </c>
      <c r="J3665" s="55">
        <v>22688.5</v>
      </c>
      <c r="K3665" s="55">
        <v>1486.2</v>
      </c>
      <c r="L3665" s="55">
        <v>1294</v>
      </c>
      <c r="M3665" s="55">
        <v>97.6</v>
      </c>
      <c r="N3665" s="55">
        <v>17.5</v>
      </c>
    </row>
    <row r="3666" spans="1:14" ht="10.050000000000001" hidden="1" customHeight="1">
      <c r="A3666" s="52" t="s">
        <v>307</v>
      </c>
      <c r="B3666" s="53">
        <v>2022</v>
      </c>
      <c r="C3666" s="52" t="s">
        <v>127</v>
      </c>
      <c r="D3666" s="54">
        <v>7</v>
      </c>
      <c r="E3666" s="55">
        <v>106773.2</v>
      </c>
      <c r="F3666" s="55">
        <v>0</v>
      </c>
      <c r="G3666" s="55">
        <v>106773.2</v>
      </c>
      <c r="H3666" s="55">
        <v>1503845.3</v>
      </c>
      <c r="I3666" s="55">
        <v>35902.699999999997</v>
      </c>
      <c r="J3666" s="55">
        <v>1539748</v>
      </c>
      <c r="K3666" s="55">
        <v>239886.4</v>
      </c>
      <c r="L3666" s="55">
        <v>41189.1</v>
      </c>
      <c r="M3666" s="55">
        <v>48008.2</v>
      </c>
      <c r="N3666" s="55">
        <v>35533.699999999997</v>
      </c>
    </row>
    <row r="3667" spans="1:14" ht="10.050000000000001" hidden="1" customHeight="1">
      <c r="A3667" s="52" t="s">
        <v>315</v>
      </c>
      <c r="B3667" s="53">
        <v>2022</v>
      </c>
      <c r="C3667" s="52" t="s">
        <v>127</v>
      </c>
      <c r="D3667" s="54">
        <v>7</v>
      </c>
      <c r="E3667" s="55">
        <v>505.3</v>
      </c>
      <c r="F3667" s="55">
        <v>0</v>
      </c>
      <c r="G3667" s="55">
        <v>505.3</v>
      </c>
      <c r="H3667" s="55">
        <v>14771</v>
      </c>
      <c r="I3667" s="55">
        <v>0</v>
      </c>
      <c r="J3667" s="55">
        <v>14771</v>
      </c>
      <c r="K3667" s="55">
        <v>994.3</v>
      </c>
      <c r="L3667" s="55">
        <v>120.3</v>
      </c>
      <c r="M3667" s="55">
        <v>151.19999999999999</v>
      </c>
      <c r="N3667" s="55">
        <v>65.099999999999994</v>
      </c>
    </row>
    <row r="3668" spans="1:14" ht="10.050000000000001" hidden="1" customHeight="1">
      <c r="A3668" s="52" t="s">
        <v>311</v>
      </c>
      <c r="B3668" s="53">
        <v>2022</v>
      </c>
      <c r="C3668" s="52" t="s">
        <v>127</v>
      </c>
      <c r="D3668" s="54">
        <v>7</v>
      </c>
      <c r="E3668" s="55">
        <v>273.8</v>
      </c>
      <c r="F3668" s="55">
        <v>0</v>
      </c>
      <c r="G3668" s="55">
        <v>273.8</v>
      </c>
      <c r="H3668" s="55">
        <v>757.7</v>
      </c>
      <c r="I3668" s="55">
        <v>0</v>
      </c>
      <c r="J3668" s="55">
        <v>757.7</v>
      </c>
      <c r="K3668" s="55">
        <v>213.3</v>
      </c>
      <c r="L3668" s="55">
        <v>215.5</v>
      </c>
      <c r="M3668" s="55">
        <v>37.4</v>
      </c>
      <c r="N3668" s="55">
        <v>9.1999999999999993</v>
      </c>
    </row>
    <row r="3669" spans="1:14" ht="10.050000000000001" hidden="1" customHeight="1">
      <c r="A3669" s="52" t="s">
        <v>173</v>
      </c>
      <c r="B3669" s="53">
        <v>2022</v>
      </c>
      <c r="C3669" s="52" t="s">
        <v>127</v>
      </c>
      <c r="D3669" s="54">
        <v>7</v>
      </c>
      <c r="E3669" s="55">
        <v>5517228.4000000004</v>
      </c>
      <c r="F3669" s="55">
        <v>84201.4</v>
      </c>
      <c r="G3669" s="55">
        <v>5601429.7999999998</v>
      </c>
      <c r="H3669" s="55">
        <v>5481090.7000000104</v>
      </c>
      <c r="I3669" s="55">
        <v>53936</v>
      </c>
      <c r="J3669" s="55">
        <v>5535026.7000000104</v>
      </c>
      <c r="K3669" s="55">
        <v>2282708.4</v>
      </c>
      <c r="L3669" s="55">
        <v>3464695.4</v>
      </c>
      <c r="M3669" s="55">
        <v>1209683.5</v>
      </c>
      <c r="N3669" s="55">
        <v>45998.5</v>
      </c>
    </row>
    <row r="3670" spans="1:14" ht="10.050000000000001" customHeight="1">
      <c r="A3670" s="52" t="s">
        <v>309</v>
      </c>
      <c r="B3670" s="53">
        <v>2022</v>
      </c>
      <c r="C3670" s="52" t="s">
        <v>127</v>
      </c>
      <c r="D3670" s="54">
        <v>7</v>
      </c>
      <c r="E3670" s="55">
        <v>749.8</v>
      </c>
      <c r="F3670" s="55">
        <v>0</v>
      </c>
      <c r="G3670" s="55">
        <v>749.8</v>
      </c>
      <c r="H3670" s="55">
        <v>22678.400000000001</v>
      </c>
      <c r="I3670" s="55">
        <v>867.5</v>
      </c>
      <c r="J3670" s="55">
        <v>23545.9</v>
      </c>
      <c r="K3670" s="55">
        <v>455.3</v>
      </c>
      <c r="L3670" s="55">
        <v>0</v>
      </c>
      <c r="M3670" s="55">
        <v>0</v>
      </c>
      <c r="N3670" s="55">
        <v>0</v>
      </c>
    </row>
    <row r="3671" spans="1:14" ht="10.050000000000001" hidden="1" customHeight="1">
      <c r="A3671" s="52" t="s">
        <v>316</v>
      </c>
      <c r="B3671" s="53">
        <v>2022</v>
      </c>
      <c r="C3671" s="52" t="s">
        <v>127</v>
      </c>
      <c r="D3671" s="54">
        <v>7</v>
      </c>
      <c r="E3671" s="55">
        <v>17.2</v>
      </c>
      <c r="F3671" s="55">
        <v>0</v>
      </c>
      <c r="G3671" s="55">
        <v>17.2</v>
      </c>
      <c r="H3671" s="55">
        <v>7284.7</v>
      </c>
      <c r="I3671" s="55">
        <v>332.6</v>
      </c>
      <c r="J3671" s="55">
        <v>7617.3</v>
      </c>
      <c r="K3671" s="55">
        <v>133.80000000000001</v>
      </c>
      <c r="L3671" s="55">
        <v>69.2</v>
      </c>
      <c r="M3671" s="55">
        <v>0.4</v>
      </c>
      <c r="N3671" s="55">
        <v>1.4</v>
      </c>
    </row>
    <row r="3672" spans="1:14" ht="10.050000000000001" hidden="1" customHeight="1">
      <c r="A3672" s="52" t="s">
        <v>310</v>
      </c>
      <c r="B3672" s="53">
        <v>2022</v>
      </c>
      <c r="C3672" s="52" t="s">
        <v>127</v>
      </c>
      <c r="D3672" s="54">
        <v>7</v>
      </c>
      <c r="E3672" s="55">
        <v>35323.199999999997</v>
      </c>
      <c r="F3672" s="55">
        <v>864.4</v>
      </c>
      <c r="G3672" s="55">
        <v>36187.599999999999</v>
      </c>
      <c r="H3672" s="55">
        <v>57502.5</v>
      </c>
      <c r="I3672" s="55">
        <v>1969.3</v>
      </c>
      <c r="J3672" s="55">
        <v>59471.8</v>
      </c>
      <c r="K3672" s="55">
        <v>19052</v>
      </c>
      <c r="L3672" s="55">
        <v>25006.3</v>
      </c>
      <c r="M3672" s="55">
        <v>6658.4</v>
      </c>
      <c r="N3672" s="55">
        <v>79.8</v>
      </c>
    </row>
    <row r="3673" spans="1:14" ht="10.050000000000001" hidden="1" customHeight="1">
      <c r="A3673" s="52" t="s">
        <v>308</v>
      </c>
      <c r="B3673" s="53">
        <v>2022</v>
      </c>
      <c r="C3673" s="52" t="s">
        <v>127</v>
      </c>
      <c r="D3673" s="54">
        <v>7</v>
      </c>
      <c r="E3673" s="55">
        <v>231.8</v>
      </c>
      <c r="F3673" s="55">
        <v>0</v>
      </c>
      <c r="G3673" s="55">
        <v>231.8</v>
      </c>
      <c r="H3673" s="55">
        <v>27061.1</v>
      </c>
      <c r="I3673" s="55">
        <v>100.9</v>
      </c>
      <c r="J3673" s="55">
        <v>27162</v>
      </c>
      <c r="K3673" s="55">
        <v>1284.8</v>
      </c>
      <c r="L3673" s="55">
        <v>34.700000000000003</v>
      </c>
      <c r="M3673" s="55">
        <v>130.9</v>
      </c>
      <c r="N3673" s="55">
        <v>797</v>
      </c>
    </row>
    <row r="3674" spans="1:14" ht="10.050000000000001" hidden="1" customHeight="1">
      <c r="A3674" s="52" t="s">
        <v>174</v>
      </c>
      <c r="B3674" s="53">
        <v>2022</v>
      </c>
      <c r="C3674" s="52" t="s">
        <v>127</v>
      </c>
      <c r="D3674" s="54">
        <v>7</v>
      </c>
      <c r="E3674" s="55">
        <v>442495.9</v>
      </c>
      <c r="F3674" s="55">
        <v>9425.6</v>
      </c>
      <c r="G3674" s="55">
        <v>451921.5</v>
      </c>
      <c r="H3674" s="55">
        <v>456966.8</v>
      </c>
      <c r="I3674" s="55">
        <v>13455.5</v>
      </c>
      <c r="J3674" s="55">
        <v>470422.3</v>
      </c>
      <c r="K3674" s="55">
        <v>261104.2</v>
      </c>
      <c r="L3674" s="55">
        <v>290572.09999999998</v>
      </c>
      <c r="M3674" s="55">
        <v>39128.199999999997</v>
      </c>
      <c r="N3674" s="55">
        <v>13657.5</v>
      </c>
    </row>
    <row r="3675" spans="1:14" ht="10.050000000000001" hidden="1" customHeight="1">
      <c r="A3675" s="52" t="s">
        <v>314</v>
      </c>
      <c r="B3675" s="53">
        <v>2022</v>
      </c>
      <c r="C3675" s="52" t="s">
        <v>127</v>
      </c>
      <c r="D3675" s="54">
        <v>8</v>
      </c>
      <c r="E3675" s="55">
        <v>0</v>
      </c>
      <c r="F3675" s="55">
        <v>0</v>
      </c>
      <c r="G3675" s="55">
        <v>0</v>
      </c>
      <c r="H3675" s="55">
        <v>61.9</v>
      </c>
      <c r="I3675" s="55">
        <v>0</v>
      </c>
      <c r="J3675" s="55">
        <v>61.9</v>
      </c>
      <c r="K3675" s="55">
        <v>4.5</v>
      </c>
      <c r="L3675" s="55">
        <v>0</v>
      </c>
      <c r="M3675" s="55">
        <v>0</v>
      </c>
      <c r="N3675" s="55">
        <v>0</v>
      </c>
    </row>
    <row r="3676" spans="1:14" ht="10.050000000000001" hidden="1" customHeight="1">
      <c r="A3676" s="52" t="s">
        <v>306</v>
      </c>
      <c r="B3676" s="53">
        <v>2022</v>
      </c>
      <c r="C3676" s="52" t="s">
        <v>127</v>
      </c>
      <c r="D3676" s="54">
        <v>8</v>
      </c>
      <c r="E3676" s="55">
        <v>46779.199999999997</v>
      </c>
      <c r="F3676" s="55">
        <v>1268.4000000000001</v>
      </c>
      <c r="G3676" s="55">
        <v>48047.6</v>
      </c>
      <c r="H3676" s="55">
        <v>179330.2</v>
      </c>
      <c r="I3676" s="55">
        <v>2864.4</v>
      </c>
      <c r="J3676" s="55">
        <v>182194.6</v>
      </c>
      <c r="K3676" s="55">
        <v>32841.300000000003</v>
      </c>
      <c r="L3676" s="55">
        <v>7925.9</v>
      </c>
      <c r="M3676" s="55">
        <v>24475.200000000001</v>
      </c>
      <c r="N3676" s="55">
        <v>861.6</v>
      </c>
    </row>
    <row r="3677" spans="1:14" ht="10.050000000000001" hidden="1" customHeight="1">
      <c r="A3677" s="52" t="s">
        <v>172</v>
      </c>
      <c r="B3677" s="53">
        <v>2022</v>
      </c>
      <c r="C3677" s="52" t="s">
        <v>127</v>
      </c>
      <c r="D3677" s="54">
        <v>8</v>
      </c>
      <c r="E3677" s="55">
        <v>85092.3</v>
      </c>
      <c r="F3677" s="55">
        <v>745.3</v>
      </c>
      <c r="G3677" s="55">
        <v>85837.6</v>
      </c>
      <c r="H3677" s="55">
        <v>532696.1</v>
      </c>
      <c r="I3677" s="55">
        <v>23855</v>
      </c>
      <c r="J3677" s="55">
        <v>556551.1</v>
      </c>
      <c r="K3677" s="55">
        <v>264619</v>
      </c>
      <c r="L3677" s="55">
        <v>14028.6</v>
      </c>
      <c r="M3677" s="55">
        <v>58499.7</v>
      </c>
      <c r="N3677" s="55">
        <v>6083.5</v>
      </c>
    </row>
    <row r="3678" spans="1:14" ht="10.050000000000001" hidden="1" customHeight="1">
      <c r="A3678" s="52" t="s">
        <v>171</v>
      </c>
      <c r="B3678" s="53">
        <v>2022</v>
      </c>
      <c r="C3678" s="52" t="s">
        <v>127</v>
      </c>
      <c r="D3678" s="54">
        <v>8</v>
      </c>
      <c r="E3678" s="55">
        <v>3411060</v>
      </c>
      <c r="F3678" s="55">
        <v>124909.4</v>
      </c>
      <c r="G3678" s="55">
        <v>3535969.4</v>
      </c>
      <c r="H3678" s="55">
        <v>12500388.9</v>
      </c>
      <c r="I3678" s="55">
        <v>121313.60000000001</v>
      </c>
      <c r="J3678" s="55">
        <v>12621702.5</v>
      </c>
      <c r="K3678" s="55">
        <v>5490460.7999999998</v>
      </c>
      <c r="L3678" s="55">
        <v>584217.59999999998</v>
      </c>
      <c r="M3678" s="55">
        <v>2677049</v>
      </c>
      <c r="N3678" s="55">
        <v>86792.9</v>
      </c>
    </row>
    <row r="3679" spans="1:14" ht="10.050000000000001" hidden="1" customHeight="1">
      <c r="A3679" s="52" t="s">
        <v>300</v>
      </c>
      <c r="B3679" s="53">
        <v>2022</v>
      </c>
      <c r="C3679" s="52" t="s">
        <v>127</v>
      </c>
      <c r="D3679" s="54">
        <v>8</v>
      </c>
      <c r="E3679" s="55">
        <v>4611.7</v>
      </c>
      <c r="F3679" s="55">
        <v>493.1</v>
      </c>
      <c r="G3679" s="55">
        <v>5104.8</v>
      </c>
      <c r="H3679" s="55">
        <v>26256.3</v>
      </c>
      <c r="I3679" s="55">
        <v>627.6</v>
      </c>
      <c r="J3679" s="55">
        <v>26883.9</v>
      </c>
      <c r="K3679" s="55">
        <v>1061.5999999999999</v>
      </c>
      <c r="L3679" s="55">
        <v>318.10000000000002</v>
      </c>
      <c r="M3679" s="55">
        <v>723.4</v>
      </c>
      <c r="N3679" s="55">
        <v>19.399999999999999</v>
      </c>
    </row>
    <row r="3680" spans="1:14" ht="10.050000000000001" hidden="1" customHeight="1">
      <c r="A3680" s="52" t="s">
        <v>307</v>
      </c>
      <c r="B3680" s="53">
        <v>2022</v>
      </c>
      <c r="C3680" s="52" t="s">
        <v>127</v>
      </c>
      <c r="D3680" s="54">
        <v>8</v>
      </c>
      <c r="E3680" s="55">
        <v>184952.4</v>
      </c>
      <c r="F3680" s="55">
        <v>16515.8</v>
      </c>
      <c r="G3680" s="55">
        <v>201468.2</v>
      </c>
      <c r="H3680" s="55">
        <v>1052187.7</v>
      </c>
      <c r="I3680" s="55">
        <v>49082.7</v>
      </c>
      <c r="J3680" s="55">
        <v>1101270.3999999999</v>
      </c>
      <c r="K3680" s="55">
        <v>193109.3</v>
      </c>
      <c r="L3680" s="55">
        <v>50103.9</v>
      </c>
      <c r="M3680" s="55">
        <v>69257.8</v>
      </c>
      <c r="N3680" s="55">
        <v>27022.400000000001</v>
      </c>
    </row>
    <row r="3681" spans="1:14" ht="10.050000000000001" hidden="1" customHeight="1">
      <c r="A3681" s="52" t="s">
        <v>315</v>
      </c>
      <c r="B3681" s="53">
        <v>2022</v>
      </c>
      <c r="C3681" s="52" t="s">
        <v>127</v>
      </c>
      <c r="D3681" s="54">
        <v>8</v>
      </c>
      <c r="E3681" s="55">
        <v>1037.9000000000001</v>
      </c>
      <c r="F3681" s="55">
        <v>0</v>
      </c>
      <c r="G3681" s="55">
        <v>1037.9000000000001</v>
      </c>
      <c r="H3681" s="55">
        <v>13018.1</v>
      </c>
      <c r="I3681" s="55">
        <v>0</v>
      </c>
      <c r="J3681" s="55">
        <v>13018.1</v>
      </c>
      <c r="K3681" s="55">
        <v>1435.7</v>
      </c>
      <c r="L3681" s="55">
        <v>738.6</v>
      </c>
      <c r="M3681" s="55">
        <v>297.3</v>
      </c>
      <c r="N3681" s="55">
        <v>0</v>
      </c>
    </row>
    <row r="3682" spans="1:14" ht="10.050000000000001" hidden="1" customHeight="1">
      <c r="A3682" s="52" t="s">
        <v>311</v>
      </c>
      <c r="B3682" s="53">
        <v>2022</v>
      </c>
      <c r="C3682" s="52" t="s">
        <v>127</v>
      </c>
      <c r="D3682" s="54">
        <v>8</v>
      </c>
      <c r="E3682" s="55">
        <v>1044.4000000000001</v>
      </c>
      <c r="F3682" s="55">
        <v>0</v>
      </c>
      <c r="G3682" s="55">
        <v>1044.4000000000001</v>
      </c>
      <c r="H3682" s="55">
        <v>1532.2</v>
      </c>
      <c r="I3682" s="55">
        <v>0</v>
      </c>
      <c r="J3682" s="55">
        <v>1532.2</v>
      </c>
      <c r="K3682" s="55">
        <v>541.4</v>
      </c>
      <c r="L3682" s="55">
        <v>356.9</v>
      </c>
      <c r="M3682" s="55">
        <v>0</v>
      </c>
      <c r="N3682" s="55">
        <v>28.9</v>
      </c>
    </row>
    <row r="3683" spans="1:14" ht="10.050000000000001" hidden="1" customHeight="1">
      <c r="A3683" s="52" t="s">
        <v>173</v>
      </c>
      <c r="B3683" s="53">
        <v>2022</v>
      </c>
      <c r="C3683" s="52" t="s">
        <v>127</v>
      </c>
      <c r="D3683" s="54">
        <v>8</v>
      </c>
      <c r="E3683" s="55">
        <v>890731</v>
      </c>
      <c r="F3683" s="55">
        <v>10536.4</v>
      </c>
      <c r="G3683" s="55">
        <v>901267.4</v>
      </c>
      <c r="H3683" s="55">
        <v>5547627.7999999998</v>
      </c>
      <c r="I3683" s="55">
        <v>41061.4</v>
      </c>
      <c r="J3683" s="55">
        <v>5588689.2000000002</v>
      </c>
      <c r="K3683" s="55">
        <v>1678665.1</v>
      </c>
      <c r="L3683" s="55">
        <v>106548.1</v>
      </c>
      <c r="M3683" s="55">
        <v>670738.6</v>
      </c>
      <c r="N3683" s="55">
        <v>38471.199999999997</v>
      </c>
    </row>
    <row r="3684" spans="1:14" ht="10.050000000000001" customHeight="1">
      <c r="A3684" s="52" t="s">
        <v>309</v>
      </c>
      <c r="B3684" s="53">
        <v>2022</v>
      </c>
      <c r="C3684" s="52" t="s">
        <v>127</v>
      </c>
      <c r="D3684" s="54">
        <v>8</v>
      </c>
      <c r="E3684" s="55">
        <v>653.70000000000005</v>
      </c>
      <c r="F3684" s="55">
        <v>0</v>
      </c>
      <c r="G3684" s="55">
        <v>653.70000000000005</v>
      </c>
      <c r="H3684" s="55">
        <v>19244.599999999999</v>
      </c>
      <c r="I3684" s="55">
        <v>653.9</v>
      </c>
      <c r="J3684" s="55">
        <v>19898.5</v>
      </c>
      <c r="K3684" s="55">
        <v>140</v>
      </c>
      <c r="L3684" s="55">
        <v>0</v>
      </c>
      <c r="M3684" s="55">
        <v>315.3</v>
      </c>
      <c r="N3684" s="55">
        <v>0</v>
      </c>
    </row>
    <row r="3685" spans="1:14" ht="10.050000000000001" hidden="1" customHeight="1">
      <c r="A3685" s="52" t="s">
        <v>316</v>
      </c>
      <c r="B3685" s="53">
        <v>2022</v>
      </c>
      <c r="C3685" s="52" t="s">
        <v>127</v>
      </c>
      <c r="D3685" s="54">
        <v>8</v>
      </c>
      <c r="E3685" s="55">
        <v>471.4</v>
      </c>
      <c r="F3685" s="55">
        <v>0</v>
      </c>
      <c r="G3685" s="55">
        <v>471.4</v>
      </c>
      <c r="H3685" s="55">
        <v>6332</v>
      </c>
      <c r="I3685" s="55">
        <v>266</v>
      </c>
      <c r="J3685" s="55">
        <v>6598</v>
      </c>
      <c r="K3685" s="55">
        <v>151.19999999999999</v>
      </c>
      <c r="L3685" s="55">
        <v>33.4</v>
      </c>
      <c r="M3685" s="55">
        <v>15.8</v>
      </c>
      <c r="N3685" s="55">
        <v>0.2</v>
      </c>
    </row>
    <row r="3686" spans="1:14" ht="10.050000000000001" hidden="1" customHeight="1">
      <c r="A3686" s="52" t="s">
        <v>310</v>
      </c>
      <c r="B3686" s="53">
        <v>2022</v>
      </c>
      <c r="C3686" s="52" t="s">
        <v>127</v>
      </c>
      <c r="D3686" s="54">
        <v>8</v>
      </c>
      <c r="E3686" s="55">
        <v>10538.9</v>
      </c>
      <c r="F3686" s="55">
        <v>1484</v>
      </c>
      <c r="G3686" s="55">
        <v>12022.9</v>
      </c>
      <c r="H3686" s="55">
        <v>61181.599999999999</v>
      </c>
      <c r="I3686" s="55">
        <v>2794.8</v>
      </c>
      <c r="J3686" s="55">
        <v>63976.4</v>
      </c>
      <c r="K3686" s="55">
        <v>13226.2</v>
      </c>
      <c r="L3686" s="55">
        <v>1102.2</v>
      </c>
      <c r="M3686" s="55">
        <v>6667.9</v>
      </c>
      <c r="N3686" s="55">
        <v>214.4</v>
      </c>
    </row>
    <row r="3687" spans="1:14" ht="10.050000000000001" hidden="1" customHeight="1">
      <c r="A3687" s="52" t="s">
        <v>308</v>
      </c>
      <c r="B3687" s="53">
        <v>2022</v>
      </c>
      <c r="C3687" s="52" t="s">
        <v>127</v>
      </c>
      <c r="D3687" s="54">
        <v>8</v>
      </c>
      <c r="E3687" s="55">
        <v>4189</v>
      </c>
      <c r="F3687" s="55">
        <v>151</v>
      </c>
      <c r="G3687" s="55">
        <v>4340</v>
      </c>
      <c r="H3687" s="55">
        <v>24120.6</v>
      </c>
      <c r="I3687" s="55">
        <v>270.89999999999998</v>
      </c>
      <c r="J3687" s="55">
        <v>24391.5</v>
      </c>
      <c r="K3687" s="55">
        <v>4595.8999999999996</v>
      </c>
      <c r="L3687" s="55">
        <v>4200.3999999999996</v>
      </c>
      <c r="M3687" s="55">
        <v>355.1</v>
      </c>
      <c r="N3687" s="55">
        <v>459.9</v>
      </c>
    </row>
    <row r="3688" spans="1:14" ht="10.050000000000001" hidden="1" customHeight="1">
      <c r="A3688" s="52" t="s">
        <v>174</v>
      </c>
      <c r="B3688" s="53">
        <v>2022</v>
      </c>
      <c r="C3688" s="52" t="s">
        <v>127</v>
      </c>
      <c r="D3688" s="54">
        <v>8</v>
      </c>
      <c r="E3688" s="55">
        <v>113195.5</v>
      </c>
      <c r="F3688" s="55">
        <v>9365.9</v>
      </c>
      <c r="G3688" s="55">
        <v>122561.4</v>
      </c>
      <c r="H3688" s="55">
        <v>484082.4</v>
      </c>
      <c r="I3688" s="55">
        <v>16720.599999999999</v>
      </c>
      <c r="J3688" s="55">
        <v>500803</v>
      </c>
      <c r="K3688" s="55">
        <v>211128.4</v>
      </c>
      <c r="L3688" s="55">
        <v>23882.2</v>
      </c>
      <c r="M3688" s="55">
        <v>61555.1</v>
      </c>
      <c r="N3688" s="55">
        <v>12074.2</v>
      </c>
    </row>
    <row r="3689" spans="1:14" ht="10.050000000000001" hidden="1" customHeight="1">
      <c r="A3689" s="52" t="s">
        <v>314</v>
      </c>
      <c r="B3689" s="53">
        <v>2022</v>
      </c>
      <c r="C3689" s="52" t="s">
        <v>127</v>
      </c>
      <c r="D3689" s="54">
        <v>9</v>
      </c>
      <c r="E3689" s="55">
        <v>0</v>
      </c>
      <c r="F3689" s="55">
        <v>0</v>
      </c>
      <c r="G3689" s="55">
        <v>0</v>
      </c>
      <c r="H3689" s="55">
        <v>47.5</v>
      </c>
      <c r="I3689" s="55">
        <v>0</v>
      </c>
      <c r="J3689" s="55">
        <v>47.5</v>
      </c>
      <c r="K3689" s="55">
        <v>4.5</v>
      </c>
      <c r="L3689" s="55">
        <v>0</v>
      </c>
      <c r="M3689" s="55">
        <v>0</v>
      </c>
      <c r="N3689" s="55">
        <v>0</v>
      </c>
    </row>
    <row r="3690" spans="1:14" ht="10.050000000000001" hidden="1" customHeight="1">
      <c r="A3690" s="52" t="s">
        <v>306</v>
      </c>
      <c r="B3690" s="53">
        <v>2022</v>
      </c>
      <c r="C3690" s="52" t="s">
        <v>127</v>
      </c>
      <c r="D3690" s="54">
        <v>9</v>
      </c>
      <c r="E3690" s="55">
        <v>16843.5</v>
      </c>
      <c r="F3690" s="55">
        <v>2261.6999999999998</v>
      </c>
      <c r="G3690" s="55">
        <v>19105.2</v>
      </c>
      <c r="H3690" s="55">
        <v>175439.4</v>
      </c>
      <c r="I3690" s="55">
        <v>3341.4</v>
      </c>
      <c r="J3690" s="55">
        <v>178780.79999999999</v>
      </c>
      <c r="K3690" s="55">
        <v>23124.799999999999</v>
      </c>
      <c r="L3690" s="55">
        <v>1883</v>
      </c>
      <c r="M3690" s="55">
        <v>10917</v>
      </c>
      <c r="N3690" s="55">
        <v>682.3</v>
      </c>
    </row>
    <row r="3691" spans="1:14" ht="10.050000000000001" hidden="1" customHeight="1">
      <c r="A3691" s="52" t="s">
        <v>172</v>
      </c>
      <c r="B3691" s="53">
        <v>2022</v>
      </c>
      <c r="C3691" s="52" t="s">
        <v>127</v>
      </c>
      <c r="D3691" s="54">
        <v>9</v>
      </c>
      <c r="E3691" s="55">
        <v>88274.2</v>
      </c>
      <c r="F3691" s="55">
        <v>2982</v>
      </c>
      <c r="G3691" s="55">
        <v>91256.2</v>
      </c>
      <c r="H3691" s="55">
        <v>484608.4</v>
      </c>
      <c r="I3691" s="55">
        <v>16750.8</v>
      </c>
      <c r="J3691" s="55">
        <v>501359.2</v>
      </c>
      <c r="K3691" s="55">
        <v>219043.8</v>
      </c>
      <c r="L3691" s="55">
        <v>18688.2</v>
      </c>
      <c r="M3691" s="55">
        <v>62447.6</v>
      </c>
      <c r="N3691" s="55">
        <v>1743.3</v>
      </c>
    </row>
    <row r="3692" spans="1:14" ht="10.050000000000001" hidden="1" customHeight="1">
      <c r="A3692" s="52" t="s">
        <v>171</v>
      </c>
      <c r="B3692" s="53">
        <v>2022</v>
      </c>
      <c r="C3692" s="52" t="s">
        <v>127</v>
      </c>
      <c r="D3692" s="54">
        <v>9</v>
      </c>
      <c r="E3692" s="55">
        <v>2350919.7999999998</v>
      </c>
      <c r="F3692" s="55">
        <v>115601.8</v>
      </c>
      <c r="G3692" s="55">
        <v>2466521.6</v>
      </c>
      <c r="H3692" s="55">
        <v>12038478.4</v>
      </c>
      <c r="I3692" s="55">
        <v>115219.4</v>
      </c>
      <c r="J3692" s="55">
        <v>12153697.800000001</v>
      </c>
      <c r="K3692" s="55">
        <v>4432121.0999999996</v>
      </c>
      <c r="L3692" s="55">
        <v>769389.4</v>
      </c>
      <c r="M3692" s="55">
        <v>1752214</v>
      </c>
      <c r="N3692" s="55">
        <v>74931.7</v>
      </c>
    </row>
    <row r="3693" spans="1:14" ht="10.050000000000001" hidden="1" customHeight="1">
      <c r="A3693" s="52" t="s">
        <v>300</v>
      </c>
      <c r="B3693" s="53">
        <v>2022</v>
      </c>
      <c r="C3693" s="52" t="s">
        <v>127</v>
      </c>
      <c r="D3693" s="54">
        <v>9</v>
      </c>
      <c r="E3693" s="55">
        <v>1192.2</v>
      </c>
      <c r="F3693" s="55">
        <v>413.7</v>
      </c>
      <c r="G3693" s="55">
        <v>1605.9</v>
      </c>
      <c r="H3693" s="55">
        <v>25800.799999999999</v>
      </c>
      <c r="I3693" s="55">
        <v>809.6</v>
      </c>
      <c r="J3693" s="55">
        <v>26610.400000000001</v>
      </c>
      <c r="K3693" s="55">
        <v>1020.6</v>
      </c>
      <c r="L3693" s="55">
        <v>39.9</v>
      </c>
      <c r="M3693" s="55">
        <v>50.8</v>
      </c>
      <c r="N3693" s="55">
        <v>13.7</v>
      </c>
    </row>
    <row r="3694" spans="1:14" ht="10.050000000000001" hidden="1" customHeight="1">
      <c r="A3694" s="52" t="s">
        <v>307</v>
      </c>
      <c r="B3694" s="53">
        <v>2022</v>
      </c>
      <c r="C3694" s="52" t="s">
        <v>127</v>
      </c>
      <c r="D3694" s="54">
        <v>9</v>
      </c>
      <c r="E3694" s="55">
        <v>2207383.7999999998</v>
      </c>
      <c r="F3694" s="55">
        <v>77033.399999999994</v>
      </c>
      <c r="G3694" s="55">
        <v>2284417.2000000002</v>
      </c>
      <c r="H3694" s="55">
        <v>2613211.5</v>
      </c>
      <c r="I3694" s="55">
        <v>90267.3</v>
      </c>
      <c r="J3694" s="55">
        <v>2703478.8</v>
      </c>
      <c r="K3694" s="55">
        <v>1389062.9</v>
      </c>
      <c r="L3694" s="55">
        <v>1437598.9</v>
      </c>
      <c r="M3694" s="55">
        <v>202493.5</v>
      </c>
      <c r="N3694" s="55">
        <v>40578.199999999997</v>
      </c>
    </row>
    <row r="3695" spans="1:14" ht="10.050000000000001" hidden="1" customHeight="1">
      <c r="A3695" s="52" t="s">
        <v>315</v>
      </c>
      <c r="B3695" s="53">
        <v>2022</v>
      </c>
      <c r="C3695" s="52" t="s">
        <v>127</v>
      </c>
      <c r="D3695" s="54">
        <v>9</v>
      </c>
      <c r="E3695" s="55">
        <v>4393</v>
      </c>
      <c r="F3695" s="55">
        <v>0</v>
      </c>
      <c r="G3695" s="55">
        <v>4393</v>
      </c>
      <c r="H3695" s="55">
        <v>14926.2</v>
      </c>
      <c r="I3695" s="55">
        <v>0</v>
      </c>
      <c r="J3695" s="55">
        <v>14926.2</v>
      </c>
      <c r="K3695" s="55">
        <v>4886.2</v>
      </c>
      <c r="L3695" s="55">
        <v>4570.6000000000004</v>
      </c>
      <c r="M3695" s="55">
        <v>1120.0999999999999</v>
      </c>
      <c r="N3695" s="55">
        <v>0</v>
      </c>
    </row>
    <row r="3696" spans="1:14" ht="10.050000000000001" hidden="1" customHeight="1">
      <c r="A3696" s="52" t="s">
        <v>311</v>
      </c>
      <c r="B3696" s="53">
        <v>2022</v>
      </c>
      <c r="C3696" s="52" t="s">
        <v>127</v>
      </c>
      <c r="D3696" s="54">
        <v>9</v>
      </c>
      <c r="E3696" s="55">
        <v>21.6</v>
      </c>
      <c r="F3696" s="55">
        <v>0</v>
      </c>
      <c r="G3696" s="55">
        <v>21.6</v>
      </c>
      <c r="H3696" s="55">
        <v>1531.3</v>
      </c>
      <c r="I3696" s="55">
        <v>0</v>
      </c>
      <c r="J3696" s="55">
        <v>1531.3</v>
      </c>
      <c r="K3696" s="55">
        <v>490.1</v>
      </c>
      <c r="L3696" s="55">
        <v>0</v>
      </c>
      <c r="M3696" s="55">
        <v>0</v>
      </c>
      <c r="N3696" s="55">
        <v>51.3</v>
      </c>
    </row>
    <row r="3697" spans="1:14" ht="10.050000000000001" hidden="1" customHeight="1">
      <c r="A3697" s="52" t="s">
        <v>173</v>
      </c>
      <c r="B3697" s="53">
        <v>2022</v>
      </c>
      <c r="C3697" s="52" t="s">
        <v>127</v>
      </c>
      <c r="D3697" s="54">
        <v>9</v>
      </c>
      <c r="E3697" s="55">
        <v>526604.30000000005</v>
      </c>
      <c r="F3697" s="55">
        <v>11104.9</v>
      </c>
      <c r="G3697" s="55">
        <v>537709.19999999995</v>
      </c>
      <c r="H3697" s="55">
        <v>5355453.4000000004</v>
      </c>
      <c r="I3697" s="55">
        <v>30315</v>
      </c>
      <c r="J3697" s="55">
        <v>5385768.4000000004</v>
      </c>
      <c r="K3697" s="55">
        <v>1405030.1</v>
      </c>
      <c r="L3697" s="55">
        <v>151270.1</v>
      </c>
      <c r="M3697" s="55">
        <v>386494.6</v>
      </c>
      <c r="N3697" s="55">
        <v>38208.800000000003</v>
      </c>
    </row>
    <row r="3698" spans="1:14" ht="10.050000000000001" customHeight="1">
      <c r="A3698" s="52" t="s">
        <v>309</v>
      </c>
      <c r="B3698" s="53">
        <v>2022</v>
      </c>
      <c r="C3698" s="52" t="s">
        <v>127</v>
      </c>
      <c r="D3698" s="54">
        <v>9</v>
      </c>
      <c r="E3698" s="55">
        <v>16005.9</v>
      </c>
      <c r="F3698" s="55">
        <v>275.10000000000002</v>
      </c>
      <c r="G3698" s="55">
        <v>16281</v>
      </c>
      <c r="H3698" s="55">
        <v>30793</v>
      </c>
      <c r="I3698" s="55">
        <v>927.8</v>
      </c>
      <c r="J3698" s="55">
        <v>31720.799999999999</v>
      </c>
      <c r="K3698" s="55">
        <v>2964.7</v>
      </c>
      <c r="L3698" s="55">
        <v>2964.7</v>
      </c>
      <c r="M3698" s="55">
        <v>0</v>
      </c>
      <c r="N3698" s="55">
        <v>0</v>
      </c>
    </row>
    <row r="3699" spans="1:14" ht="10.050000000000001" hidden="1" customHeight="1">
      <c r="A3699" s="52" t="s">
        <v>316</v>
      </c>
      <c r="B3699" s="53">
        <v>2022</v>
      </c>
      <c r="C3699" s="52" t="s">
        <v>127</v>
      </c>
      <c r="D3699" s="54">
        <v>9</v>
      </c>
      <c r="E3699" s="55">
        <v>2645.6</v>
      </c>
      <c r="F3699" s="55">
        <v>16.7</v>
      </c>
      <c r="G3699" s="55">
        <v>2662.3</v>
      </c>
      <c r="H3699" s="55">
        <v>7373</v>
      </c>
      <c r="I3699" s="55">
        <v>232.7</v>
      </c>
      <c r="J3699" s="55">
        <v>7605.7</v>
      </c>
      <c r="K3699" s="55">
        <v>395.7</v>
      </c>
      <c r="L3699" s="55">
        <v>311.5</v>
      </c>
      <c r="M3699" s="55">
        <v>70.8</v>
      </c>
      <c r="N3699" s="55">
        <v>0</v>
      </c>
    </row>
    <row r="3700" spans="1:14" ht="10.050000000000001" hidden="1" customHeight="1">
      <c r="A3700" s="52" t="s">
        <v>310</v>
      </c>
      <c r="B3700" s="53">
        <v>2022</v>
      </c>
      <c r="C3700" s="52" t="s">
        <v>127</v>
      </c>
      <c r="D3700" s="54">
        <v>9</v>
      </c>
      <c r="E3700" s="55">
        <v>4727.3</v>
      </c>
      <c r="F3700" s="55">
        <v>607.1</v>
      </c>
      <c r="G3700" s="55">
        <v>5334.4</v>
      </c>
      <c r="H3700" s="55">
        <v>60853.1</v>
      </c>
      <c r="I3700" s="55">
        <v>1624</v>
      </c>
      <c r="J3700" s="55">
        <v>62477.1</v>
      </c>
      <c r="K3700" s="55">
        <v>9363.4</v>
      </c>
      <c r="L3700" s="55">
        <v>278.3</v>
      </c>
      <c r="M3700" s="55">
        <v>3938</v>
      </c>
      <c r="N3700" s="55">
        <v>220.5</v>
      </c>
    </row>
    <row r="3701" spans="1:14" ht="10.050000000000001" hidden="1" customHeight="1">
      <c r="A3701" s="52" t="s">
        <v>308</v>
      </c>
      <c r="B3701" s="53">
        <v>2022</v>
      </c>
      <c r="C3701" s="52" t="s">
        <v>127</v>
      </c>
      <c r="D3701" s="54">
        <v>9</v>
      </c>
      <c r="E3701" s="55">
        <v>50643.9</v>
      </c>
      <c r="F3701" s="55">
        <v>2.1</v>
      </c>
      <c r="G3701" s="55">
        <v>50646</v>
      </c>
      <c r="H3701" s="55">
        <v>64140.800000000003</v>
      </c>
      <c r="I3701" s="55">
        <v>185.6</v>
      </c>
      <c r="J3701" s="55">
        <v>64326.400000000001</v>
      </c>
      <c r="K3701" s="55">
        <v>23018</v>
      </c>
      <c r="L3701" s="55">
        <v>24063.4</v>
      </c>
      <c r="M3701" s="55">
        <v>5515.2</v>
      </c>
      <c r="N3701" s="55">
        <v>88.9</v>
      </c>
    </row>
    <row r="3702" spans="1:14" ht="10.050000000000001" hidden="1" customHeight="1">
      <c r="A3702" s="52" t="s">
        <v>174</v>
      </c>
      <c r="B3702" s="53">
        <v>2022</v>
      </c>
      <c r="C3702" s="52" t="s">
        <v>127</v>
      </c>
      <c r="D3702" s="54">
        <v>9</v>
      </c>
      <c r="E3702" s="55">
        <v>56926</v>
      </c>
      <c r="F3702" s="55">
        <v>9471.6</v>
      </c>
      <c r="G3702" s="55">
        <v>66397.600000000006</v>
      </c>
      <c r="H3702" s="55">
        <v>446709.3</v>
      </c>
      <c r="I3702" s="55">
        <v>15679.6</v>
      </c>
      <c r="J3702" s="55">
        <v>462388.9</v>
      </c>
      <c r="K3702" s="55">
        <v>173066.7</v>
      </c>
      <c r="L3702" s="55">
        <v>7336.1</v>
      </c>
      <c r="M3702" s="55">
        <v>34325.300000000003</v>
      </c>
      <c r="N3702" s="55">
        <v>10933</v>
      </c>
    </row>
    <row r="3703" spans="1:14" ht="10.050000000000001" hidden="1" customHeight="1">
      <c r="A3703" s="52" t="s">
        <v>314</v>
      </c>
      <c r="B3703" s="53">
        <v>2022</v>
      </c>
      <c r="C3703" s="52" t="s">
        <v>127</v>
      </c>
      <c r="D3703" s="54">
        <v>10</v>
      </c>
      <c r="E3703" s="55">
        <v>0</v>
      </c>
      <c r="F3703" s="55">
        <v>0</v>
      </c>
      <c r="G3703" s="55">
        <v>0</v>
      </c>
      <c r="H3703" s="55">
        <v>61.1</v>
      </c>
      <c r="I3703" s="55">
        <v>0</v>
      </c>
      <c r="J3703" s="55">
        <v>61.1</v>
      </c>
      <c r="K3703" s="55">
        <v>4.5</v>
      </c>
      <c r="L3703" s="55">
        <v>0</v>
      </c>
      <c r="M3703" s="55">
        <v>0</v>
      </c>
      <c r="N3703" s="55">
        <v>0</v>
      </c>
    </row>
    <row r="3704" spans="1:14" ht="10.050000000000001" hidden="1" customHeight="1">
      <c r="A3704" s="52" t="s">
        <v>306</v>
      </c>
      <c r="B3704" s="53">
        <v>2022</v>
      </c>
      <c r="C3704" s="52" t="s">
        <v>127</v>
      </c>
      <c r="D3704" s="54">
        <v>10</v>
      </c>
      <c r="E3704" s="55">
        <v>7532.1</v>
      </c>
      <c r="F3704" s="55">
        <v>1209.4000000000001</v>
      </c>
      <c r="G3704" s="55">
        <v>8741.5</v>
      </c>
      <c r="H3704" s="55">
        <v>161914.70000000001</v>
      </c>
      <c r="I3704" s="55">
        <v>3331.5</v>
      </c>
      <c r="J3704" s="55">
        <v>165246.20000000001</v>
      </c>
      <c r="K3704" s="55">
        <v>19316.5</v>
      </c>
      <c r="L3704" s="55">
        <v>465.4</v>
      </c>
      <c r="M3704" s="55">
        <v>3676.4</v>
      </c>
      <c r="N3704" s="55">
        <v>588.4</v>
      </c>
    </row>
    <row r="3705" spans="1:14" ht="10.050000000000001" hidden="1" customHeight="1">
      <c r="A3705" s="52" t="s">
        <v>172</v>
      </c>
      <c r="B3705" s="53">
        <v>2022</v>
      </c>
      <c r="C3705" s="52" t="s">
        <v>127</v>
      </c>
      <c r="D3705" s="54">
        <v>10</v>
      </c>
      <c r="E3705" s="55">
        <v>75385.100000000006</v>
      </c>
      <c r="F3705" s="55">
        <v>7199.8</v>
      </c>
      <c r="G3705" s="55">
        <v>82584.899999999994</v>
      </c>
      <c r="H3705" s="55">
        <v>412042.8</v>
      </c>
      <c r="I3705" s="55">
        <v>11705.3</v>
      </c>
      <c r="J3705" s="55">
        <v>423748.1</v>
      </c>
      <c r="K3705" s="55">
        <v>168508</v>
      </c>
      <c r="L3705" s="55">
        <v>6727.6</v>
      </c>
      <c r="M3705" s="55">
        <v>54794.3</v>
      </c>
      <c r="N3705" s="55">
        <v>2542</v>
      </c>
    </row>
    <row r="3706" spans="1:14" ht="10.050000000000001" hidden="1" customHeight="1">
      <c r="A3706" s="52" t="s">
        <v>171</v>
      </c>
      <c r="B3706" s="53">
        <v>2022</v>
      </c>
      <c r="C3706" s="52" t="s">
        <v>127</v>
      </c>
      <c r="D3706" s="54">
        <v>10</v>
      </c>
      <c r="E3706" s="55">
        <v>1389432.1</v>
      </c>
      <c r="F3706" s="55">
        <v>42233.5</v>
      </c>
      <c r="G3706" s="55">
        <v>1431665.6</v>
      </c>
      <c r="H3706" s="55">
        <v>10446152.4</v>
      </c>
      <c r="I3706" s="55">
        <v>92269.7</v>
      </c>
      <c r="J3706" s="55">
        <v>10538422.1</v>
      </c>
      <c r="K3706" s="55">
        <v>3862294.4</v>
      </c>
      <c r="L3706" s="55">
        <v>263270.8</v>
      </c>
      <c r="M3706" s="55">
        <v>791852.3</v>
      </c>
      <c r="N3706" s="55">
        <v>44004.3</v>
      </c>
    </row>
    <row r="3707" spans="1:14" ht="10.050000000000001" hidden="1" customHeight="1">
      <c r="A3707" s="52" t="s">
        <v>300</v>
      </c>
      <c r="B3707" s="53">
        <v>2022</v>
      </c>
      <c r="C3707" s="52" t="s">
        <v>127</v>
      </c>
      <c r="D3707" s="54">
        <v>10</v>
      </c>
      <c r="E3707" s="55">
        <v>1293.8</v>
      </c>
      <c r="F3707" s="55">
        <v>181.6</v>
      </c>
      <c r="G3707" s="55">
        <v>1475.4</v>
      </c>
      <c r="H3707" s="55">
        <v>24829.5</v>
      </c>
      <c r="I3707" s="55">
        <v>514.5</v>
      </c>
      <c r="J3707" s="55">
        <v>25344</v>
      </c>
      <c r="K3707" s="55">
        <v>844.4</v>
      </c>
      <c r="L3707" s="55">
        <v>5</v>
      </c>
      <c r="M3707" s="55">
        <v>170.1</v>
      </c>
      <c r="N3707" s="55">
        <v>11.1</v>
      </c>
    </row>
    <row r="3708" spans="1:14" ht="10.050000000000001" hidden="1" customHeight="1">
      <c r="A3708" s="52" t="s">
        <v>307</v>
      </c>
      <c r="B3708" s="53">
        <v>2022</v>
      </c>
      <c r="C3708" s="52" t="s">
        <v>127</v>
      </c>
      <c r="D3708" s="54">
        <v>10</v>
      </c>
      <c r="E3708" s="55">
        <v>2317083.5</v>
      </c>
      <c r="F3708" s="55">
        <v>40440.699999999997</v>
      </c>
      <c r="G3708" s="55">
        <v>2357524.2000000002</v>
      </c>
      <c r="H3708" s="55">
        <v>4030685.9</v>
      </c>
      <c r="I3708" s="55">
        <v>108332.7</v>
      </c>
      <c r="J3708" s="55">
        <v>4139018.6</v>
      </c>
      <c r="K3708" s="55">
        <v>2593259.1</v>
      </c>
      <c r="L3708" s="55">
        <v>1875063.8</v>
      </c>
      <c r="M3708" s="55">
        <v>590477.6</v>
      </c>
      <c r="N3708" s="55">
        <v>81512.7</v>
      </c>
    </row>
    <row r="3709" spans="1:14" ht="10.050000000000001" hidden="1" customHeight="1">
      <c r="A3709" s="52" t="s">
        <v>315</v>
      </c>
      <c r="B3709" s="53">
        <v>2022</v>
      </c>
      <c r="C3709" s="52" t="s">
        <v>127</v>
      </c>
      <c r="D3709" s="54">
        <v>10</v>
      </c>
      <c r="E3709" s="55">
        <v>6658.2</v>
      </c>
      <c r="F3709" s="55">
        <v>0</v>
      </c>
      <c r="G3709" s="55">
        <v>6658.2</v>
      </c>
      <c r="H3709" s="55">
        <v>19466.3</v>
      </c>
      <c r="I3709" s="55">
        <v>0</v>
      </c>
      <c r="J3709" s="55">
        <v>19466.3</v>
      </c>
      <c r="K3709" s="55">
        <v>7599.6</v>
      </c>
      <c r="L3709" s="55">
        <v>5271.9</v>
      </c>
      <c r="M3709" s="55">
        <v>2565.1999999999998</v>
      </c>
      <c r="N3709" s="55">
        <v>4.0999999999999996</v>
      </c>
    </row>
    <row r="3710" spans="1:14" ht="10.050000000000001" hidden="1" customHeight="1">
      <c r="A3710" s="52" t="s">
        <v>311</v>
      </c>
      <c r="B3710" s="53">
        <v>2022</v>
      </c>
      <c r="C3710" s="52" t="s">
        <v>127</v>
      </c>
      <c r="D3710" s="54">
        <v>10</v>
      </c>
      <c r="E3710" s="55">
        <v>74</v>
      </c>
      <c r="F3710" s="55">
        <v>0</v>
      </c>
      <c r="G3710" s="55">
        <v>74</v>
      </c>
      <c r="H3710" s="55">
        <v>1464.7</v>
      </c>
      <c r="I3710" s="55">
        <v>0</v>
      </c>
      <c r="J3710" s="55">
        <v>1464.7</v>
      </c>
      <c r="K3710" s="55">
        <v>460.1</v>
      </c>
      <c r="L3710" s="55">
        <v>0</v>
      </c>
      <c r="M3710" s="55">
        <v>0</v>
      </c>
      <c r="N3710" s="55">
        <v>30</v>
      </c>
    </row>
    <row r="3711" spans="1:14" ht="10.050000000000001" hidden="1" customHeight="1">
      <c r="A3711" s="52" t="s">
        <v>173</v>
      </c>
      <c r="B3711" s="53">
        <v>2022</v>
      </c>
      <c r="C3711" s="52" t="s">
        <v>127</v>
      </c>
      <c r="D3711" s="54">
        <v>10</v>
      </c>
      <c r="E3711" s="55">
        <v>333031.5</v>
      </c>
      <c r="F3711" s="55">
        <v>19456.7</v>
      </c>
      <c r="G3711" s="55">
        <v>352488.2</v>
      </c>
      <c r="H3711" s="55">
        <v>4961438</v>
      </c>
      <c r="I3711" s="55">
        <v>28055.200000000001</v>
      </c>
      <c r="J3711" s="55">
        <v>4989493.2</v>
      </c>
      <c r="K3711" s="55">
        <v>1234752.3</v>
      </c>
      <c r="L3711" s="55">
        <v>57568.2</v>
      </c>
      <c r="M3711" s="55">
        <v>197713.6</v>
      </c>
      <c r="N3711" s="55">
        <v>29599.4</v>
      </c>
    </row>
    <row r="3712" spans="1:14" ht="10.050000000000001" customHeight="1">
      <c r="A3712" s="52" t="s">
        <v>309</v>
      </c>
      <c r="B3712" s="53">
        <v>2022</v>
      </c>
      <c r="C3712" s="52" t="s">
        <v>127</v>
      </c>
      <c r="D3712" s="54">
        <v>10</v>
      </c>
      <c r="E3712" s="55">
        <v>29324.5</v>
      </c>
      <c r="F3712" s="55">
        <v>408.9</v>
      </c>
      <c r="G3712" s="55">
        <v>29733.4</v>
      </c>
      <c r="H3712" s="55">
        <v>55994.5</v>
      </c>
      <c r="I3712" s="55">
        <v>1334.8</v>
      </c>
      <c r="J3712" s="55">
        <v>57329.3</v>
      </c>
      <c r="K3712" s="55">
        <v>9767.7999999999993</v>
      </c>
      <c r="L3712" s="55">
        <v>7206.5</v>
      </c>
      <c r="M3712" s="55">
        <v>0</v>
      </c>
      <c r="N3712" s="55">
        <v>543.29999999999995</v>
      </c>
    </row>
    <row r="3713" spans="1:14" ht="10.050000000000001" hidden="1" customHeight="1">
      <c r="A3713" s="52" t="s">
        <v>316</v>
      </c>
      <c r="B3713" s="53">
        <v>2022</v>
      </c>
      <c r="C3713" s="52" t="s">
        <v>127</v>
      </c>
      <c r="D3713" s="54">
        <v>10</v>
      </c>
      <c r="E3713" s="55">
        <v>13134.3</v>
      </c>
      <c r="F3713" s="55">
        <v>124.3</v>
      </c>
      <c r="G3713" s="55">
        <v>13258.6</v>
      </c>
      <c r="H3713" s="55">
        <v>18919.900000000001</v>
      </c>
      <c r="I3713" s="55">
        <v>296.10000000000002</v>
      </c>
      <c r="J3713" s="55">
        <v>19216</v>
      </c>
      <c r="K3713" s="55">
        <v>1845</v>
      </c>
      <c r="L3713" s="55">
        <v>2064.6</v>
      </c>
      <c r="M3713" s="55">
        <v>536.5</v>
      </c>
      <c r="N3713" s="55">
        <v>79.7</v>
      </c>
    </row>
    <row r="3714" spans="1:14" ht="10.050000000000001" hidden="1" customHeight="1">
      <c r="A3714" s="52" t="s">
        <v>310</v>
      </c>
      <c r="B3714" s="53">
        <v>2022</v>
      </c>
      <c r="C3714" s="52" t="s">
        <v>127</v>
      </c>
      <c r="D3714" s="54">
        <v>10</v>
      </c>
      <c r="E3714" s="55">
        <v>2891.9</v>
      </c>
      <c r="F3714" s="55">
        <v>275.3</v>
      </c>
      <c r="G3714" s="55">
        <v>3167.2</v>
      </c>
      <c r="H3714" s="55">
        <v>58853.8</v>
      </c>
      <c r="I3714" s="55">
        <v>1468.8</v>
      </c>
      <c r="J3714" s="55">
        <v>60322.6</v>
      </c>
      <c r="K3714" s="55">
        <v>7744.7</v>
      </c>
      <c r="L3714" s="55">
        <v>264</v>
      </c>
      <c r="M3714" s="55">
        <v>1749.6</v>
      </c>
      <c r="N3714" s="55">
        <v>115.3</v>
      </c>
    </row>
    <row r="3715" spans="1:14" ht="10.050000000000001" hidden="1" customHeight="1">
      <c r="A3715" s="52" t="s">
        <v>308</v>
      </c>
      <c r="B3715" s="53">
        <v>2022</v>
      </c>
      <c r="C3715" s="52" t="s">
        <v>127</v>
      </c>
      <c r="D3715" s="54">
        <v>10</v>
      </c>
      <c r="E3715" s="55">
        <v>31579.200000000001</v>
      </c>
      <c r="F3715" s="55">
        <v>0</v>
      </c>
      <c r="G3715" s="55">
        <v>31579.200000000001</v>
      </c>
      <c r="H3715" s="55">
        <v>85162.3</v>
      </c>
      <c r="I3715" s="55">
        <v>128.1</v>
      </c>
      <c r="J3715" s="55">
        <v>85290.4</v>
      </c>
      <c r="K3715" s="55">
        <v>27948.1</v>
      </c>
      <c r="L3715" s="55">
        <v>17392.099999999999</v>
      </c>
      <c r="M3715" s="55">
        <v>11884.1</v>
      </c>
      <c r="N3715" s="55">
        <v>577.6</v>
      </c>
    </row>
    <row r="3716" spans="1:14" ht="10.050000000000001" hidden="1" customHeight="1">
      <c r="A3716" s="52" t="s">
        <v>174</v>
      </c>
      <c r="B3716" s="53">
        <v>2022</v>
      </c>
      <c r="C3716" s="52" t="s">
        <v>127</v>
      </c>
      <c r="D3716" s="54">
        <v>10</v>
      </c>
      <c r="E3716" s="55">
        <v>25449.9</v>
      </c>
      <c r="F3716" s="55">
        <v>3840.9</v>
      </c>
      <c r="G3716" s="55">
        <v>29290.799999999999</v>
      </c>
      <c r="H3716" s="55">
        <v>382732.4</v>
      </c>
      <c r="I3716" s="55">
        <v>12683.6</v>
      </c>
      <c r="J3716" s="55">
        <v>395416</v>
      </c>
      <c r="K3716" s="55">
        <v>154349.4</v>
      </c>
      <c r="L3716" s="55">
        <v>3609.9</v>
      </c>
      <c r="M3716" s="55">
        <v>13813.7</v>
      </c>
      <c r="N3716" s="55">
        <v>8429.4</v>
      </c>
    </row>
    <row r="3717" spans="1:14" ht="10.050000000000001" hidden="1" customHeight="1">
      <c r="A3717" s="52" t="s">
        <v>314</v>
      </c>
      <c r="B3717" s="53">
        <v>2022</v>
      </c>
      <c r="C3717" s="52" t="s">
        <v>127</v>
      </c>
      <c r="D3717" s="54">
        <v>11</v>
      </c>
      <c r="E3717" s="55">
        <v>4.5</v>
      </c>
      <c r="F3717" s="55">
        <v>0</v>
      </c>
      <c r="G3717" s="55">
        <v>4.5</v>
      </c>
      <c r="H3717" s="55">
        <v>44.9</v>
      </c>
      <c r="I3717" s="55">
        <v>0</v>
      </c>
      <c r="J3717" s="55">
        <v>44.9</v>
      </c>
      <c r="K3717" s="55">
        <v>0</v>
      </c>
      <c r="L3717" s="55">
        <v>0</v>
      </c>
      <c r="M3717" s="55">
        <v>4.5</v>
      </c>
      <c r="N3717" s="55">
        <v>0</v>
      </c>
    </row>
    <row r="3718" spans="1:14" ht="10.050000000000001" hidden="1" customHeight="1">
      <c r="A3718" s="52" t="s">
        <v>306</v>
      </c>
      <c r="B3718" s="53">
        <v>2022</v>
      </c>
      <c r="C3718" s="52" t="s">
        <v>127</v>
      </c>
      <c r="D3718" s="54">
        <v>11</v>
      </c>
      <c r="E3718" s="55">
        <v>8736.7999999999993</v>
      </c>
      <c r="F3718" s="55">
        <v>1992.4</v>
      </c>
      <c r="G3718" s="55">
        <v>10729.2</v>
      </c>
      <c r="H3718" s="55">
        <v>147101.79999999999</v>
      </c>
      <c r="I3718" s="55">
        <v>3931.7</v>
      </c>
      <c r="J3718" s="55">
        <v>151033.5</v>
      </c>
      <c r="K3718" s="55">
        <v>16636.900000000001</v>
      </c>
      <c r="L3718" s="55">
        <v>1398.3</v>
      </c>
      <c r="M3718" s="55">
        <v>3642.3</v>
      </c>
      <c r="N3718" s="55">
        <v>431</v>
      </c>
    </row>
    <row r="3719" spans="1:14" ht="10.050000000000001" hidden="1" customHeight="1">
      <c r="A3719" s="52" t="s">
        <v>172</v>
      </c>
      <c r="B3719" s="53">
        <v>2022</v>
      </c>
      <c r="C3719" s="52" t="s">
        <v>127</v>
      </c>
      <c r="D3719" s="54">
        <v>11</v>
      </c>
      <c r="E3719" s="55">
        <v>65732</v>
      </c>
      <c r="F3719" s="55">
        <v>675</v>
      </c>
      <c r="G3719" s="55">
        <v>66407</v>
      </c>
      <c r="H3719" s="55">
        <v>373743.4</v>
      </c>
      <c r="I3719" s="55">
        <v>10476.5</v>
      </c>
      <c r="J3719" s="55">
        <v>384219.9</v>
      </c>
      <c r="K3719" s="55">
        <v>135568.1</v>
      </c>
      <c r="L3719" s="55">
        <v>15368.8</v>
      </c>
      <c r="M3719" s="55">
        <v>45899</v>
      </c>
      <c r="N3719" s="55">
        <v>2409</v>
      </c>
    </row>
    <row r="3720" spans="1:14" ht="10.050000000000001" hidden="1" customHeight="1">
      <c r="A3720" s="52" t="s">
        <v>171</v>
      </c>
      <c r="B3720" s="53">
        <v>2022</v>
      </c>
      <c r="C3720" s="52" t="s">
        <v>127</v>
      </c>
      <c r="D3720" s="54">
        <v>11</v>
      </c>
      <c r="E3720" s="55">
        <v>1402416.3</v>
      </c>
      <c r="F3720" s="55">
        <v>28544</v>
      </c>
      <c r="G3720" s="55">
        <v>1430960.3</v>
      </c>
      <c r="H3720" s="55">
        <v>9026644.9000000004</v>
      </c>
      <c r="I3720" s="55">
        <v>82825.600000000006</v>
      </c>
      <c r="J3720" s="55">
        <v>9109470.5000000093</v>
      </c>
      <c r="K3720" s="55">
        <v>3657670.6</v>
      </c>
      <c r="L3720" s="55">
        <v>486549.8</v>
      </c>
      <c r="M3720" s="55">
        <v>640583</v>
      </c>
      <c r="N3720" s="55">
        <v>48429.8</v>
      </c>
    </row>
    <row r="3721" spans="1:14" ht="10.050000000000001" hidden="1" customHeight="1">
      <c r="A3721" s="52" t="s">
        <v>300</v>
      </c>
      <c r="B3721" s="53">
        <v>2022</v>
      </c>
      <c r="C3721" s="52" t="s">
        <v>127</v>
      </c>
      <c r="D3721" s="54">
        <v>11</v>
      </c>
      <c r="E3721" s="55">
        <v>928.1</v>
      </c>
      <c r="F3721" s="55">
        <v>80.599999999999994</v>
      </c>
      <c r="G3721" s="55">
        <v>1008.7</v>
      </c>
      <c r="H3721" s="55">
        <v>24439.7</v>
      </c>
      <c r="I3721" s="55">
        <v>416.2</v>
      </c>
      <c r="J3721" s="55">
        <v>24855.9</v>
      </c>
      <c r="K3721" s="55">
        <v>835.2</v>
      </c>
      <c r="L3721" s="55">
        <v>25.3</v>
      </c>
      <c r="M3721" s="55">
        <v>19.2</v>
      </c>
      <c r="N3721" s="55">
        <v>15.3</v>
      </c>
    </row>
    <row r="3722" spans="1:14" ht="10.050000000000001" hidden="1" customHeight="1">
      <c r="A3722" s="52" t="s">
        <v>307</v>
      </c>
      <c r="B3722" s="53">
        <v>2022</v>
      </c>
      <c r="C3722" s="52" t="s">
        <v>127</v>
      </c>
      <c r="D3722" s="54">
        <v>11</v>
      </c>
      <c r="E3722" s="55">
        <v>1142337.2</v>
      </c>
      <c r="F3722" s="55">
        <v>50352.2</v>
      </c>
      <c r="G3722" s="55">
        <v>1192689.3999999999</v>
      </c>
      <c r="H3722" s="55">
        <v>4349210.2</v>
      </c>
      <c r="I3722" s="55">
        <v>102210.9</v>
      </c>
      <c r="J3722" s="55">
        <v>4451421.0999999996</v>
      </c>
      <c r="K3722" s="55">
        <v>2019665.4</v>
      </c>
      <c r="L3722" s="55">
        <v>257393.2</v>
      </c>
      <c r="M3722" s="55">
        <v>744483.9</v>
      </c>
      <c r="N3722" s="55">
        <v>84154</v>
      </c>
    </row>
    <row r="3723" spans="1:14" ht="10.050000000000001" hidden="1" customHeight="1">
      <c r="A3723" s="52" t="s">
        <v>315</v>
      </c>
      <c r="B3723" s="53">
        <v>2022</v>
      </c>
      <c r="C3723" s="52" t="s">
        <v>127</v>
      </c>
      <c r="D3723" s="54">
        <v>11</v>
      </c>
      <c r="E3723" s="55">
        <v>4649.3</v>
      </c>
      <c r="F3723" s="55">
        <v>0</v>
      </c>
      <c r="G3723" s="55">
        <v>4649.3</v>
      </c>
      <c r="H3723" s="55">
        <v>20917.7</v>
      </c>
      <c r="I3723" s="55">
        <v>0</v>
      </c>
      <c r="J3723" s="55">
        <v>20917.7</v>
      </c>
      <c r="K3723" s="55">
        <v>4546</v>
      </c>
      <c r="L3723" s="55">
        <v>611.79999999999995</v>
      </c>
      <c r="M3723" s="55">
        <v>3579.8</v>
      </c>
      <c r="N3723" s="55">
        <v>85.7</v>
      </c>
    </row>
    <row r="3724" spans="1:14" ht="10.050000000000001" hidden="1" customHeight="1">
      <c r="A3724" s="52" t="s">
        <v>311</v>
      </c>
      <c r="B3724" s="53">
        <v>2022</v>
      </c>
      <c r="C3724" s="52" t="s">
        <v>127</v>
      </c>
      <c r="D3724" s="54">
        <v>11</v>
      </c>
      <c r="E3724" s="55">
        <v>24.6</v>
      </c>
      <c r="F3724" s="55">
        <v>0</v>
      </c>
      <c r="G3724" s="55">
        <v>24.6</v>
      </c>
      <c r="H3724" s="55">
        <v>1285.3</v>
      </c>
      <c r="I3724" s="55">
        <v>0</v>
      </c>
      <c r="J3724" s="55">
        <v>1285.3</v>
      </c>
      <c r="K3724" s="55">
        <v>315.3</v>
      </c>
      <c r="L3724" s="55">
        <v>20</v>
      </c>
      <c r="M3724" s="55">
        <v>0</v>
      </c>
      <c r="N3724" s="55">
        <v>164.8</v>
      </c>
    </row>
    <row r="3725" spans="1:14" ht="10.050000000000001" hidden="1" customHeight="1">
      <c r="A3725" s="52" t="s">
        <v>173</v>
      </c>
      <c r="B3725" s="53">
        <v>2022</v>
      </c>
      <c r="C3725" s="52" t="s">
        <v>127</v>
      </c>
      <c r="D3725" s="54">
        <v>11</v>
      </c>
      <c r="E3725" s="55">
        <v>309573.40000000002</v>
      </c>
      <c r="F3725" s="55">
        <v>18681.8</v>
      </c>
      <c r="G3725" s="55">
        <v>328255.2</v>
      </c>
      <c r="H3725" s="55">
        <v>4577606.5</v>
      </c>
      <c r="I3725" s="55">
        <v>34528.199999999997</v>
      </c>
      <c r="J3725" s="55">
        <v>4612134.7</v>
      </c>
      <c r="K3725" s="55">
        <v>1100936.3</v>
      </c>
      <c r="L3725" s="55">
        <v>48858.9</v>
      </c>
      <c r="M3725" s="55">
        <v>148212</v>
      </c>
      <c r="N3725" s="55">
        <v>34275.300000000003</v>
      </c>
    </row>
    <row r="3726" spans="1:14" ht="10.050000000000001" customHeight="1">
      <c r="A3726" s="52" t="s">
        <v>309</v>
      </c>
      <c r="B3726" s="53">
        <v>2022</v>
      </c>
      <c r="C3726" s="52" t="s">
        <v>127</v>
      </c>
      <c r="D3726" s="54">
        <v>11</v>
      </c>
      <c r="E3726" s="55">
        <v>3999.6</v>
      </c>
      <c r="F3726" s="55">
        <v>13.6</v>
      </c>
      <c r="G3726" s="55">
        <v>4013.2</v>
      </c>
      <c r="H3726" s="55">
        <v>56568.1</v>
      </c>
      <c r="I3726" s="55">
        <v>1318.2</v>
      </c>
      <c r="J3726" s="55">
        <v>57886.3</v>
      </c>
      <c r="K3726" s="55">
        <v>10167.6</v>
      </c>
      <c r="L3726" s="55">
        <v>1208.7</v>
      </c>
      <c r="M3726" s="55">
        <v>668.8</v>
      </c>
      <c r="N3726" s="55">
        <v>0</v>
      </c>
    </row>
    <row r="3727" spans="1:14" ht="10.050000000000001" hidden="1" customHeight="1">
      <c r="A3727" s="52" t="s">
        <v>316</v>
      </c>
      <c r="B3727" s="53">
        <v>2022</v>
      </c>
      <c r="C3727" s="52" t="s">
        <v>127</v>
      </c>
      <c r="D3727" s="54">
        <v>11</v>
      </c>
      <c r="E3727" s="55">
        <v>4899.7</v>
      </c>
      <c r="F3727" s="55">
        <v>236.2</v>
      </c>
      <c r="G3727" s="55">
        <v>5135.8999999999996</v>
      </c>
      <c r="H3727" s="55">
        <v>22082.2</v>
      </c>
      <c r="I3727" s="55">
        <v>512.4</v>
      </c>
      <c r="J3727" s="55">
        <v>22594.6</v>
      </c>
      <c r="K3727" s="55">
        <v>1523.3</v>
      </c>
      <c r="L3727" s="55">
        <v>660</v>
      </c>
      <c r="M3727" s="55">
        <v>812.9</v>
      </c>
      <c r="N3727" s="55">
        <v>171.5</v>
      </c>
    </row>
    <row r="3728" spans="1:14" ht="10.050000000000001" hidden="1" customHeight="1">
      <c r="A3728" s="52" t="s">
        <v>310</v>
      </c>
      <c r="B3728" s="53">
        <v>2022</v>
      </c>
      <c r="C3728" s="52" t="s">
        <v>127</v>
      </c>
      <c r="D3728" s="54">
        <v>11</v>
      </c>
      <c r="E3728" s="55">
        <v>1770.3</v>
      </c>
      <c r="F3728" s="55">
        <v>91.7</v>
      </c>
      <c r="G3728" s="55">
        <v>1862</v>
      </c>
      <c r="H3728" s="55">
        <v>55039.1</v>
      </c>
      <c r="I3728" s="55">
        <v>1376.9</v>
      </c>
      <c r="J3728" s="55">
        <v>56416</v>
      </c>
      <c r="K3728" s="55">
        <v>6959</v>
      </c>
      <c r="L3728" s="55">
        <v>80.599999999999994</v>
      </c>
      <c r="M3728" s="55">
        <v>729.6</v>
      </c>
      <c r="N3728" s="55">
        <v>165</v>
      </c>
    </row>
    <row r="3729" spans="1:14" ht="10.050000000000001" hidden="1" customHeight="1">
      <c r="A3729" s="52" t="s">
        <v>308</v>
      </c>
      <c r="B3729" s="53">
        <v>2022</v>
      </c>
      <c r="C3729" s="52" t="s">
        <v>127</v>
      </c>
      <c r="D3729" s="54">
        <v>11</v>
      </c>
      <c r="E3729" s="55">
        <v>16702.2</v>
      </c>
      <c r="F3729" s="55">
        <v>0</v>
      </c>
      <c r="G3729" s="55">
        <v>16702.2</v>
      </c>
      <c r="H3729" s="55">
        <v>84888.3</v>
      </c>
      <c r="I3729" s="55">
        <v>628.9</v>
      </c>
      <c r="J3729" s="55">
        <v>85517.2</v>
      </c>
      <c r="K3729" s="55">
        <v>17326.3</v>
      </c>
      <c r="L3729" s="55">
        <v>2314.1</v>
      </c>
      <c r="M3729" s="55">
        <v>12251.8</v>
      </c>
      <c r="N3729" s="55">
        <v>684.8</v>
      </c>
    </row>
    <row r="3730" spans="1:14" ht="10.050000000000001" hidden="1" customHeight="1">
      <c r="A3730" s="52" t="s">
        <v>174</v>
      </c>
      <c r="B3730" s="53">
        <v>2022</v>
      </c>
      <c r="C3730" s="52" t="s">
        <v>127</v>
      </c>
      <c r="D3730" s="54">
        <v>11</v>
      </c>
      <c r="E3730" s="55">
        <v>26893.8</v>
      </c>
      <c r="F3730" s="55">
        <v>769</v>
      </c>
      <c r="G3730" s="55">
        <v>27662.799999999999</v>
      </c>
      <c r="H3730" s="55">
        <v>318898.3</v>
      </c>
      <c r="I3730" s="55">
        <v>11661.2</v>
      </c>
      <c r="J3730" s="55">
        <v>330559.5</v>
      </c>
      <c r="K3730" s="55">
        <v>137063</v>
      </c>
      <c r="L3730" s="55">
        <v>3486.3</v>
      </c>
      <c r="M3730" s="55">
        <v>11537.6</v>
      </c>
      <c r="N3730" s="55">
        <v>9094.6</v>
      </c>
    </row>
    <row r="3731" spans="1:14" ht="10.050000000000001" hidden="1" customHeight="1">
      <c r="A3731" s="52" t="s">
        <v>314</v>
      </c>
      <c r="B3731" s="53">
        <v>2022</v>
      </c>
      <c r="C3731" s="52" t="s">
        <v>127</v>
      </c>
      <c r="D3731" s="54">
        <v>12</v>
      </c>
      <c r="E3731" s="55">
        <v>0</v>
      </c>
      <c r="F3731" s="55">
        <v>0</v>
      </c>
      <c r="G3731" s="55">
        <v>0</v>
      </c>
      <c r="H3731" s="55">
        <v>64.7</v>
      </c>
      <c r="I3731" s="55">
        <v>0</v>
      </c>
      <c r="J3731" s="55">
        <v>64.7</v>
      </c>
      <c r="K3731" s="55">
        <v>0</v>
      </c>
      <c r="L3731" s="55">
        <v>0</v>
      </c>
      <c r="M3731" s="55">
        <v>0</v>
      </c>
      <c r="N3731" s="55">
        <v>0</v>
      </c>
    </row>
    <row r="3732" spans="1:14" ht="10.050000000000001" hidden="1" customHeight="1">
      <c r="A3732" s="52" t="s">
        <v>306</v>
      </c>
      <c r="B3732" s="53">
        <v>2022</v>
      </c>
      <c r="C3732" s="52" t="s">
        <v>127</v>
      </c>
      <c r="D3732" s="54">
        <v>12</v>
      </c>
      <c r="E3732" s="55">
        <v>5705.6</v>
      </c>
      <c r="F3732" s="55">
        <v>865.1</v>
      </c>
      <c r="G3732" s="55">
        <v>6570.7</v>
      </c>
      <c r="H3732" s="55">
        <v>133220.79999999999</v>
      </c>
      <c r="I3732" s="55">
        <v>4130.3</v>
      </c>
      <c r="J3732" s="55">
        <v>137351.1</v>
      </c>
      <c r="K3732" s="55">
        <v>14370.4</v>
      </c>
      <c r="L3732" s="55">
        <v>818.4</v>
      </c>
      <c r="M3732" s="55">
        <v>2533.8000000000002</v>
      </c>
      <c r="N3732" s="55">
        <v>532.70000000000005</v>
      </c>
    </row>
    <row r="3733" spans="1:14" ht="10.050000000000001" hidden="1" customHeight="1">
      <c r="A3733" s="52" t="s">
        <v>172</v>
      </c>
      <c r="B3733" s="53">
        <v>2022</v>
      </c>
      <c r="C3733" s="52" t="s">
        <v>127</v>
      </c>
      <c r="D3733" s="54">
        <v>12</v>
      </c>
      <c r="E3733" s="55">
        <v>55378.8</v>
      </c>
      <c r="F3733" s="55">
        <v>482.2</v>
      </c>
      <c r="G3733" s="55">
        <v>55861</v>
      </c>
      <c r="H3733" s="55">
        <v>359461.6</v>
      </c>
      <c r="I3733" s="55">
        <v>10185.200000000001</v>
      </c>
      <c r="J3733" s="55">
        <v>369646.8</v>
      </c>
      <c r="K3733" s="55">
        <v>114676.1</v>
      </c>
      <c r="L3733" s="55">
        <v>12219.3</v>
      </c>
      <c r="M3733" s="55">
        <v>32577.599999999999</v>
      </c>
      <c r="N3733" s="55">
        <v>556.70000000000005</v>
      </c>
    </row>
    <row r="3734" spans="1:14" ht="10.050000000000001" hidden="1" customHeight="1">
      <c r="A3734" s="52" t="s">
        <v>171</v>
      </c>
      <c r="B3734" s="53">
        <v>2022</v>
      </c>
      <c r="C3734" s="52" t="s">
        <v>127</v>
      </c>
      <c r="D3734" s="54">
        <v>12</v>
      </c>
      <c r="E3734" s="55">
        <v>1494916.5</v>
      </c>
      <c r="F3734" s="55">
        <v>15069.2</v>
      </c>
      <c r="G3734" s="55">
        <v>1509985.7</v>
      </c>
      <c r="H3734" s="55">
        <v>8213380.9000000004</v>
      </c>
      <c r="I3734" s="55">
        <v>78195</v>
      </c>
      <c r="J3734" s="55">
        <v>8291575.9000000004</v>
      </c>
      <c r="K3734" s="55">
        <v>3125478.7</v>
      </c>
      <c r="L3734" s="55">
        <v>361771.6</v>
      </c>
      <c r="M3734" s="55">
        <v>841031.2</v>
      </c>
      <c r="N3734" s="55">
        <v>48460.9</v>
      </c>
    </row>
    <row r="3735" spans="1:14" ht="10.050000000000001" hidden="1" customHeight="1">
      <c r="A3735" s="52" t="s">
        <v>300</v>
      </c>
      <c r="B3735" s="53">
        <v>2022</v>
      </c>
      <c r="C3735" s="52" t="s">
        <v>127</v>
      </c>
      <c r="D3735" s="54">
        <v>12</v>
      </c>
      <c r="E3735" s="55">
        <v>1183.9000000000001</v>
      </c>
      <c r="F3735" s="55">
        <v>17.8</v>
      </c>
      <c r="G3735" s="55">
        <v>1201.7</v>
      </c>
      <c r="H3735" s="55">
        <v>24035.4</v>
      </c>
      <c r="I3735" s="55">
        <v>407.1</v>
      </c>
      <c r="J3735" s="55">
        <v>24442.5</v>
      </c>
      <c r="K3735" s="55">
        <v>786.7</v>
      </c>
      <c r="L3735" s="55">
        <v>38.700000000000003</v>
      </c>
      <c r="M3735" s="55">
        <v>79.8</v>
      </c>
      <c r="N3735" s="55">
        <v>7.4</v>
      </c>
    </row>
    <row r="3736" spans="1:14" ht="10.050000000000001" hidden="1" customHeight="1">
      <c r="A3736" s="52" t="s">
        <v>307</v>
      </c>
      <c r="B3736" s="53">
        <v>2022</v>
      </c>
      <c r="C3736" s="52" t="s">
        <v>127</v>
      </c>
      <c r="D3736" s="54">
        <v>12</v>
      </c>
      <c r="E3736" s="55">
        <v>404204.2</v>
      </c>
      <c r="F3736" s="55">
        <v>8707.5</v>
      </c>
      <c r="G3736" s="55">
        <v>412911.7</v>
      </c>
      <c r="H3736" s="55">
        <v>4088697.3</v>
      </c>
      <c r="I3736" s="55">
        <v>90680.5</v>
      </c>
      <c r="J3736" s="55">
        <v>4179377.8</v>
      </c>
      <c r="K3736" s="55">
        <v>1784623.3</v>
      </c>
      <c r="L3736" s="55">
        <v>52420.6</v>
      </c>
      <c r="M3736" s="55">
        <v>230388.4</v>
      </c>
      <c r="N3736" s="55">
        <v>53595.199999999997</v>
      </c>
    </row>
    <row r="3737" spans="1:14" ht="10.050000000000001" hidden="1" customHeight="1">
      <c r="A3737" s="52" t="s">
        <v>315</v>
      </c>
      <c r="B3737" s="53">
        <v>2022</v>
      </c>
      <c r="C3737" s="52" t="s">
        <v>127</v>
      </c>
      <c r="D3737" s="54">
        <v>12</v>
      </c>
      <c r="E3737" s="55">
        <v>1389</v>
      </c>
      <c r="F3737" s="55">
        <v>0</v>
      </c>
      <c r="G3737" s="55">
        <v>1389</v>
      </c>
      <c r="H3737" s="55">
        <v>19618.5</v>
      </c>
      <c r="I3737" s="55">
        <v>0</v>
      </c>
      <c r="J3737" s="55">
        <v>19618.5</v>
      </c>
      <c r="K3737" s="55">
        <v>3406.8</v>
      </c>
      <c r="L3737" s="55">
        <v>95.1</v>
      </c>
      <c r="M3737" s="55">
        <v>1234.2</v>
      </c>
      <c r="N3737" s="55">
        <v>0</v>
      </c>
    </row>
    <row r="3738" spans="1:14" ht="10.050000000000001" hidden="1" customHeight="1">
      <c r="A3738" s="52" t="s">
        <v>311</v>
      </c>
      <c r="B3738" s="53">
        <v>2022</v>
      </c>
      <c r="C3738" s="52" t="s">
        <v>127</v>
      </c>
      <c r="D3738" s="54">
        <v>12</v>
      </c>
      <c r="E3738" s="55">
        <v>49.7</v>
      </c>
      <c r="F3738" s="55">
        <v>0</v>
      </c>
      <c r="G3738" s="55">
        <v>49.7</v>
      </c>
      <c r="H3738" s="55">
        <v>1256.5999999999999</v>
      </c>
      <c r="I3738" s="55">
        <v>0</v>
      </c>
      <c r="J3738" s="55">
        <v>1256.5999999999999</v>
      </c>
      <c r="K3738" s="55">
        <v>278.10000000000002</v>
      </c>
      <c r="L3738" s="55">
        <v>0</v>
      </c>
      <c r="M3738" s="55">
        <v>0</v>
      </c>
      <c r="N3738" s="55">
        <v>37.200000000000003</v>
      </c>
    </row>
    <row r="3739" spans="1:14" ht="10.050000000000001" hidden="1" customHeight="1">
      <c r="A3739" s="52" t="s">
        <v>173</v>
      </c>
      <c r="B3739" s="53">
        <v>2022</v>
      </c>
      <c r="C3739" s="52" t="s">
        <v>127</v>
      </c>
      <c r="D3739" s="54">
        <v>12</v>
      </c>
      <c r="E3739" s="55">
        <v>272670.7</v>
      </c>
      <c r="F3739" s="55">
        <v>8753.7000000000007</v>
      </c>
      <c r="G3739" s="55">
        <v>281424.40000000002</v>
      </c>
      <c r="H3739" s="55">
        <v>4184032.1</v>
      </c>
      <c r="I3739" s="55">
        <v>34459.9</v>
      </c>
      <c r="J3739" s="55">
        <v>4218492</v>
      </c>
      <c r="K3739" s="55">
        <v>978149.00000000105</v>
      </c>
      <c r="L3739" s="55">
        <v>58455.9</v>
      </c>
      <c r="M3739" s="55">
        <v>141901.1</v>
      </c>
      <c r="N3739" s="55">
        <v>38349.699999999997</v>
      </c>
    </row>
    <row r="3740" spans="1:14" ht="10.050000000000001" customHeight="1">
      <c r="A3740" s="52" t="s">
        <v>309</v>
      </c>
      <c r="B3740" s="53">
        <v>2022</v>
      </c>
      <c r="C3740" s="52" t="s">
        <v>127</v>
      </c>
      <c r="D3740" s="54">
        <v>12</v>
      </c>
      <c r="E3740" s="55">
        <v>552.4</v>
      </c>
      <c r="F3740" s="55">
        <v>0</v>
      </c>
      <c r="G3740" s="55">
        <v>552.4</v>
      </c>
      <c r="H3740" s="55">
        <v>49483.5</v>
      </c>
      <c r="I3740" s="55">
        <v>1318.2</v>
      </c>
      <c r="J3740" s="55">
        <v>50801.7</v>
      </c>
      <c r="K3740" s="55">
        <v>10339.799999999999</v>
      </c>
      <c r="L3740" s="55">
        <v>32.4</v>
      </c>
      <c r="M3740" s="55">
        <v>0</v>
      </c>
      <c r="N3740" s="55">
        <v>0</v>
      </c>
    </row>
    <row r="3741" spans="1:14" ht="10.050000000000001" hidden="1" customHeight="1">
      <c r="A3741" s="52" t="s">
        <v>316</v>
      </c>
      <c r="B3741" s="53">
        <v>2022</v>
      </c>
      <c r="C3741" s="52" t="s">
        <v>127</v>
      </c>
      <c r="D3741" s="54">
        <v>12</v>
      </c>
      <c r="E3741" s="55">
        <v>1369.3</v>
      </c>
      <c r="F3741" s="55">
        <v>269.39999999999998</v>
      </c>
      <c r="G3741" s="55">
        <v>1638.7</v>
      </c>
      <c r="H3741" s="55">
        <v>21682.5</v>
      </c>
      <c r="I3741" s="55">
        <v>751.6</v>
      </c>
      <c r="J3741" s="55">
        <v>22434.1</v>
      </c>
      <c r="K3741" s="55">
        <v>1500.9</v>
      </c>
      <c r="L3741" s="55">
        <v>411.5</v>
      </c>
      <c r="M3741" s="55">
        <v>394.1</v>
      </c>
      <c r="N3741" s="55">
        <v>39.700000000000003</v>
      </c>
    </row>
    <row r="3742" spans="1:14" ht="10.050000000000001" hidden="1" customHeight="1">
      <c r="A3742" s="52" t="s">
        <v>310</v>
      </c>
      <c r="B3742" s="53">
        <v>2022</v>
      </c>
      <c r="C3742" s="52" t="s">
        <v>127</v>
      </c>
      <c r="D3742" s="54">
        <v>12</v>
      </c>
      <c r="E3742" s="55">
        <v>1666.4</v>
      </c>
      <c r="F3742" s="55">
        <v>111.6</v>
      </c>
      <c r="G3742" s="55">
        <v>1778</v>
      </c>
      <c r="H3742" s="55">
        <v>52039</v>
      </c>
      <c r="I3742" s="55">
        <v>1392.5</v>
      </c>
      <c r="J3742" s="55">
        <v>53431.5</v>
      </c>
      <c r="K3742" s="55">
        <v>6138</v>
      </c>
      <c r="L3742" s="55">
        <v>405</v>
      </c>
      <c r="M3742" s="55">
        <v>1155.7</v>
      </c>
      <c r="N3742" s="55">
        <v>116.5</v>
      </c>
    </row>
    <row r="3743" spans="1:14" ht="10.050000000000001" hidden="1" customHeight="1">
      <c r="A3743" s="52" t="s">
        <v>308</v>
      </c>
      <c r="B3743" s="53">
        <v>2022</v>
      </c>
      <c r="C3743" s="52" t="s">
        <v>127</v>
      </c>
      <c r="D3743" s="54">
        <v>12</v>
      </c>
      <c r="E3743" s="55">
        <v>5008.6000000000004</v>
      </c>
      <c r="F3743" s="55">
        <v>50</v>
      </c>
      <c r="G3743" s="55">
        <v>5058.6000000000004</v>
      </c>
      <c r="H3743" s="55">
        <v>78212.2</v>
      </c>
      <c r="I3743" s="55">
        <v>100.9</v>
      </c>
      <c r="J3743" s="55">
        <v>78313.100000000006</v>
      </c>
      <c r="K3743" s="55">
        <v>13876</v>
      </c>
      <c r="L3743" s="55">
        <v>509.1</v>
      </c>
      <c r="M3743" s="55">
        <v>3253.9</v>
      </c>
      <c r="N3743" s="55">
        <v>705.2</v>
      </c>
    </row>
    <row r="3744" spans="1:14" ht="10.050000000000001" hidden="1" customHeight="1">
      <c r="A3744" s="52" t="s">
        <v>174</v>
      </c>
      <c r="B3744" s="53">
        <v>2022</v>
      </c>
      <c r="C3744" s="52" t="s">
        <v>127</v>
      </c>
      <c r="D3744" s="54">
        <v>12</v>
      </c>
      <c r="E3744" s="55">
        <v>18882</v>
      </c>
      <c r="F3744" s="55">
        <v>543.1</v>
      </c>
      <c r="G3744" s="55">
        <v>19425.099999999999</v>
      </c>
      <c r="H3744" s="55">
        <v>264974.90000000002</v>
      </c>
      <c r="I3744" s="55">
        <v>11032.2</v>
      </c>
      <c r="J3744" s="55">
        <v>276007.09999999998</v>
      </c>
      <c r="K3744" s="55">
        <v>122171.9</v>
      </c>
      <c r="L3744" s="55">
        <v>3173.3</v>
      </c>
      <c r="M3744" s="55">
        <v>8771.7999999999993</v>
      </c>
      <c r="N3744" s="55">
        <v>9674.4000000000106</v>
      </c>
    </row>
    <row r="3745" spans="1:14" ht="10.050000000000001" hidden="1" customHeight="1">
      <c r="A3745" s="52" t="s">
        <v>314</v>
      </c>
      <c r="B3745" s="53">
        <v>2023</v>
      </c>
      <c r="C3745" s="52" t="s">
        <v>127</v>
      </c>
      <c r="D3745" s="54">
        <v>1</v>
      </c>
      <c r="E3745" s="55">
        <v>0</v>
      </c>
      <c r="F3745" s="55">
        <v>0</v>
      </c>
      <c r="G3745" s="55">
        <v>0</v>
      </c>
      <c r="H3745" s="55">
        <v>45.5</v>
      </c>
      <c r="I3745" s="55">
        <v>0</v>
      </c>
      <c r="J3745" s="55">
        <v>45.5</v>
      </c>
      <c r="K3745" s="55">
        <v>0</v>
      </c>
      <c r="L3745" s="55">
        <v>0</v>
      </c>
      <c r="M3745" s="55">
        <v>0</v>
      </c>
      <c r="N3745" s="55">
        <v>0</v>
      </c>
    </row>
    <row r="3746" spans="1:14" ht="10.050000000000001" hidden="1" customHeight="1">
      <c r="A3746" s="52" t="s">
        <v>306</v>
      </c>
      <c r="B3746" s="53">
        <v>2023</v>
      </c>
      <c r="C3746" s="52" t="s">
        <v>127</v>
      </c>
      <c r="D3746" s="54">
        <v>1</v>
      </c>
      <c r="E3746" s="55">
        <v>5633.9</v>
      </c>
      <c r="F3746" s="55">
        <v>662.8</v>
      </c>
      <c r="G3746" s="55">
        <v>6296.7</v>
      </c>
      <c r="H3746" s="55">
        <v>117717.4</v>
      </c>
      <c r="I3746" s="55">
        <v>4053.9</v>
      </c>
      <c r="J3746" s="55">
        <v>121771.3</v>
      </c>
      <c r="K3746" s="55">
        <v>12272.4</v>
      </c>
      <c r="L3746" s="55">
        <v>1160.9000000000001</v>
      </c>
      <c r="M3746" s="55">
        <v>2082.5</v>
      </c>
      <c r="N3746" s="55">
        <v>1215.9000000000001</v>
      </c>
    </row>
    <row r="3747" spans="1:14" ht="10.050000000000001" hidden="1" customHeight="1">
      <c r="A3747" s="52" t="s">
        <v>172</v>
      </c>
      <c r="B3747" s="53">
        <v>2023</v>
      </c>
      <c r="C3747" s="52" t="s">
        <v>127</v>
      </c>
      <c r="D3747" s="54">
        <v>1</v>
      </c>
      <c r="E3747" s="55">
        <v>65939.5</v>
      </c>
      <c r="F3747" s="55">
        <v>472.4</v>
      </c>
      <c r="G3747" s="55">
        <v>66411.899999999994</v>
      </c>
      <c r="H3747" s="55">
        <v>305851.90000000002</v>
      </c>
      <c r="I3747" s="55">
        <v>7910.3</v>
      </c>
      <c r="J3747" s="55">
        <v>313762.2</v>
      </c>
      <c r="K3747" s="55">
        <v>97584</v>
      </c>
      <c r="L3747" s="55">
        <v>15632.9</v>
      </c>
      <c r="M3747" s="55">
        <v>31837.1</v>
      </c>
      <c r="N3747" s="55">
        <v>887.4</v>
      </c>
    </row>
    <row r="3748" spans="1:14" ht="10.050000000000001" hidden="1" customHeight="1">
      <c r="A3748" s="52" t="s">
        <v>171</v>
      </c>
      <c r="B3748" s="53">
        <v>2023</v>
      </c>
      <c r="C3748" s="52" t="s">
        <v>127</v>
      </c>
      <c r="D3748" s="54">
        <v>1</v>
      </c>
      <c r="E3748" s="55">
        <v>1325834.2</v>
      </c>
      <c r="F3748" s="55">
        <v>7367.4</v>
      </c>
      <c r="G3748" s="55">
        <v>1333201.6000000001</v>
      </c>
      <c r="H3748" s="55">
        <v>7061966.5000000102</v>
      </c>
      <c r="I3748" s="55">
        <v>70724.100000000006</v>
      </c>
      <c r="J3748" s="55">
        <v>7132690.5999999996</v>
      </c>
      <c r="K3748" s="55">
        <v>2959577.2</v>
      </c>
      <c r="L3748" s="55">
        <v>392480.3</v>
      </c>
      <c r="M3748" s="55">
        <v>513884.7</v>
      </c>
      <c r="N3748" s="55">
        <v>45062.8</v>
      </c>
    </row>
    <row r="3749" spans="1:14" ht="10.050000000000001" hidden="1" customHeight="1">
      <c r="A3749" s="52" t="s">
        <v>300</v>
      </c>
      <c r="B3749" s="53">
        <v>2023</v>
      </c>
      <c r="C3749" s="52" t="s">
        <v>127</v>
      </c>
      <c r="D3749" s="54">
        <v>1</v>
      </c>
      <c r="E3749" s="55">
        <v>1104.3</v>
      </c>
      <c r="F3749" s="55">
        <v>0</v>
      </c>
      <c r="G3749" s="55">
        <v>1104.3</v>
      </c>
      <c r="H3749" s="55">
        <v>20992.7</v>
      </c>
      <c r="I3749" s="55">
        <v>356.1</v>
      </c>
      <c r="J3749" s="55">
        <v>21348.799999999999</v>
      </c>
      <c r="K3749" s="55">
        <v>711.9</v>
      </c>
      <c r="L3749" s="55">
        <v>28.7</v>
      </c>
      <c r="M3749" s="55">
        <v>66.099999999999994</v>
      </c>
      <c r="N3749" s="55">
        <v>37.4</v>
      </c>
    </row>
    <row r="3750" spans="1:14" ht="10.050000000000001" hidden="1" customHeight="1">
      <c r="A3750" s="52" t="s">
        <v>307</v>
      </c>
      <c r="B3750" s="53">
        <v>2023</v>
      </c>
      <c r="C3750" s="52" t="s">
        <v>127</v>
      </c>
      <c r="D3750" s="54">
        <v>1</v>
      </c>
      <c r="E3750" s="55">
        <v>408455.5</v>
      </c>
      <c r="F3750" s="55">
        <v>2687.8</v>
      </c>
      <c r="G3750" s="55">
        <v>411143.3</v>
      </c>
      <c r="H3750" s="55">
        <v>3731319.1</v>
      </c>
      <c r="I3750" s="55">
        <v>52371.6</v>
      </c>
      <c r="J3750" s="55">
        <v>3783690.7</v>
      </c>
      <c r="K3750" s="55">
        <v>1466255.1</v>
      </c>
      <c r="L3750" s="55">
        <v>44138.9</v>
      </c>
      <c r="M3750" s="55">
        <v>272827.2</v>
      </c>
      <c r="N3750" s="55">
        <v>88224.500000000102</v>
      </c>
    </row>
    <row r="3751" spans="1:14" ht="10.050000000000001" hidden="1" customHeight="1">
      <c r="A3751" s="52" t="s">
        <v>315</v>
      </c>
      <c r="B3751" s="53">
        <v>2023</v>
      </c>
      <c r="C3751" s="52" t="s">
        <v>127</v>
      </c>
      <c r="D3751" s="54">
        <v>1</v>
      </c>
      <c r="E3751" s="55">
        <v>1014.7</v>
      </c>
      <c r="F3751" s="55">
        <v>0</v>
      </c>
      <c r="G3751" s="55">
        <v>1014.7</v>
      </c>
      <c r="H3751" s="55">
        <v>17586.099999999999</v>
      </c>
      <c r="I3751" s="55">
        <v>0</v>
      </c>
      <c r="J3751" s="55">
        <v>17586.099999999999</v>
      </c>
      <c r="K3751" s="55">
        <v>2733.9</v>
      </c>
      <c r="L3751" s="55">
        <v>2.7</v>
      </c>
      <c r="M3751" s="55">
        <v>579.9</v>
      </c>
      <c r="N3751" s="55">
        <v>95.7</v>
      </c>
    </row>
    <row r="3752" spans="1:14" ht="10.050000000000001" hidden="1" customHeight="1">
      <c r="A3752" s="52" t="s">
        <v>311</v>
      </c>
      <c r="B3752" s="53">
        <v>2023</v>
      </c>
      <c r="C3752" s="52" t="s">
        <v>127</v>
      </c>
      <c r="D3752" s="54">
        <v>1</v>
      </c>
      <c r="E3752" s="55">
        <v>28.9</v>
      </c>
      <c r="F3752" s="55">
        <v>0</v>
      </c>
      <c r="G3752" s="55">
        <v>28.9</v>
      </c>
      <c r="H3752" s="55">
        <v>728.7</v>
      </c>
      <c r="I3752" s="55">
        <v>0</v>
      </c>
      <c r="J3752" s="55">
        <v>728.7</v>
      </c>
      <c r="K3752" s="55">
        <v>248.2</v>
      </c>
      <c r="L3752" s="55">
        <v>0</v>
      </c>
      <c r="M3752" s="55">
        <v>0</v>
      </c>
      <c r="N3752" s="55">
        <v>29.9</v>
      </c>
    </row>
    <row r="3753" spans="1:14" ht="10.050000000000001" hidden="1" customHeight="1">
      <c r="A3753" s="52" t="s">
        <v>173</v>
      </c>
      <c r="B3753" s="53">
        <v>2023</v>
      </c>
      <c r="C3753" s="52" t="s">
        <v>127</v>
      </c>
      <c r="D3753" s="54">
        <v>1</v>
      </c>
      <c r="E3753" s="55">
        <v>366366.5</v>
      </c>
      <c r="F3753" s="55">
        <v>12566.9</v>
      </c>
      <c r="G3753" s="55">
        <v>378933.4</v>
      </c>
      <c r="H3753" s="55">
        <v>3578042.3</v>
      </c>
      <c r="I3753" s="55">
        <v>32942.400000000001</v>
      </c>
      <c r="J3753" s="55">
        <v>3610984.7</v>
      </c>
      <c r="K3753" s="55">
        <v>824199.9</v>
      </c>
      <c r="L3753" s="55">
        <v>64705.9</v>
      </c>
      <c r="M3753" s="55">
        <v>147798.20000000001</v>
      </c>
      <c r="N3753" s="55">
        <v>70827.899999999994</v>
      </c>
    </row>
    <row r="3754" spans="1:14" ht="10.050000000000001" customHeight="1">
      <c r="A3754" s="52" t="s">
        <v>309</v>
      </c>
      <c r="B3754" s="53">
        <v>2023</v>
      </c>
      <c r="C3754" s="52" t="s">
        <v>127</v>
      </c>
      <c r="D3754" s="54">
        <v>1</v>
      </c>
      <c r="E3754" s="55">
        <v>1437.7</v>
      </c>
      <c r="F3754" s="55">
        <v>0</v>
      </c>
      <c r="G3754" s="55">
        <v>1437.7</v>
      </c>
      <c r="H3754" s="55">
        <v>39456.699999999997</v>
      </c>
      <c r="I3754" s="55">
        <v>1306.2</v>
      </c>
      <c r="J3754" s="55">
        <v>40762.9</v>
      </c>
      <c r="K3754" s="55">
        <v>9605.9</v>
      </c>
      <c r="L3754" s="55">
        <v>315.7</v>
      </c>
      <c r="M3754" s="55">
        <v>470.7</v>
      </c>
      <c r="N3754" s="55">
        <v>849.1</v>
      </c>
    </row>
    <row r="3755" spans="1:14" ht="10.050000000000001" hidden="1" customHeight="1">
      <c r="A3755" s="52" t="s">
        <v>316</v>
      </c>
      <c r="B3755" s="53">
        <v>2023</v>
      </c>
      <c r="C3755" s="52" t="s">
        <v>127</v>
      </c>
      <c r="D3755" s="54">
        <v>1</v>
      </c>
      <c r="E3755" s="55">
        <v>1068.3</v>
      </c>
      <c r="F3755" s="55">
        <v>253</v>
      </c>
      <c r="G3755" s="55">
        <v>1321.3</v>
      </c>
      <c r="H3755" s="55">
        <v>20862.900000000001</v>
      </c>
      <c r="I3755" s="55">
        <v>921.5</v>
      </c>
      <c r="J3755" s="55">
        <v>21784.400000000001</v>
      </c>
      <c r="K3755" s="55">
        <v>1160.3</v>
      </c>
      <c r="L3755" s="55">
        <v>144.4</v>
      </c>
      <c r="M3755" s="55">
        <v>439.4</v>
      </c>
      <c r="N3755" s="55">
        <v>42.5</v>
      </c>
    </row>
    <row r="3756" spans="1:14" ht="10.050000000000001" hidden="1" customHeight="1">
      <c r="A3756" s="52" t="s">
        <v>310</v>
      </c>
      <c r="B3756" s="53">
        <v>2023</v>
      </c>
      <c r="C3756" s="52" t="s">
        <v>127</v>
      </c>
      <c r="D3756" s="54">
        <v>1</v>
      </c>
      <c r="E3756" s="55">
        <v>1948.1</v>
      </c>
      <c r="F3756" s="55">
        <v>147.4</v>
      </c>
      <c r="G3756" s="55">
        <v>2095.5</v>
      </c>
      <c r="H3756" s="55">
        <v>47051.5</v>
      </c>
      <c r="I3756" s="55">
        <v>1289</v>
      </c>
      <c r="J3756" s="55">
        <v>48340.5</v>
      </c>
      <c r="K3756" s="55">
        <v>5473.3</v>
      </c>
      <c r="L3756" s="55">
        <v>162.1</v>
      </c>
      <c r="M3756" s="55">
        <v>764.1</v>
      </c>
      <c r="N3756" s="55">
        <v>62.8</v>
      </c>
    </row>
    <row r="3757" spans="1:14" ht="10.050000000000001" hidden="1" customHeight="1">
      <c r="A3757" s="52" t="s">
        <v>308</v>
      </c>
      <c r="B3757" s="53">
        <v>2023</v>
      </c>
      <c r="C3757" s="52" t="s">
        <v>127</v>
      </c>
      <c r="D3757" s="54">
        <v>1</v>
      </c>
      <c r="E3757" s="55">
        <v>3064.5</v>
      </c>
      <c r="F3757" s="55">
        <v>0</v>
      </c>
      <c r="G3757" s="55">
        <v>3064.5</v>
      </c>
      <c r="H3757" s="55">
        <v>62343</v>
      </c>
      <c r="I3757" s="55">
        <v>100.9</v>
      </c>
      <c r="J3757" s="55">
        <v>62443.9</v>
      </c>
      <c r="K3757" s="55">
        <v>11064.6</v>
      </c>
      <c r="L3757" s="55">
        <v>156.4</v>
      </c>
      <c r="M3757" s="55">
        <v>1836.5</v>
      </c>
      <c r="N3757" s="55">
        <v>1130.9000000000001</v>
      </c>
    </row>
    <row r="3758" spans="1:14" ht="10.050000000000001" hidden="1" customHeight="1">
      <c r="A3758" s="52" t="s">
        <v>174</v>
      </c>
      <c r="B3758" s="53">
        <v>2023</v>
      </c>
      <c r="C3758" s="52" t="s">
        <v>127</v>
      </c>
      <c r="D3758" s="54">
        <v>1</v>
      </c>
      <c r="E3758" s="55">
        <v>15315.9</v>
      </c>
      <c r="F3758" s="55">
        <v>221</v>
      </c>
      <c r="G3758" s="55">
        <v>15536.9</v>
      </c>
      <c r="H3758" s="55">
        <v>221952.9</v>
      </c>
      <c r="I3758" s="55">
        <v>9315</v>
      </c>
      <c r="J3758" s="55">
        <v>231267.9</v>
      </c>
      <c r="K3758" s="55">
        <v>109343.4</v>
      </c>
      <c r="L3758" s="55">
        <v>6217.1</v>
      </c>
      <c r="M3758" s="55">
        <v>7372.3</v>
      </c>
      <c r="N3758" s="55">
        <v>11514.3</v>
      </c>
    </row>
    <row r="3759" spans="1:14" ht="10.050000000000001" hidden="1" customHeight="1">
      <c r="A3759" s="52" t="s">
        <v>314</v>
      </c>
      <c r="B3759" s="53">
        <v>2023</v>
      </c>
      <c r="C3759" s="52" t="s">
        <v>127</v>
      </c>
      <c r="D3759" s="54">
        <v>2</v>
      </c>
      <c r="E3759" s="55">
        <v>0</v>
      </c>
      <c r="F3759" s="55">
        <v>0</v>
      </c>
      <c r="G3759" s="55">
        <v>0</v>
      </c>
      <c r="H3759" s="55">
        <v>37.9</v>
      </c>
      <c r="I3759" s="55">
        <v>0</v>
      </c>
      <c r="J3759" s="55">
        <v>37.9</v>
      </c>
      <c r="K3759" s="55">
        <v>0</v>
      </c>
      <c r="L3759" s="55">
        <v>0</v>
      </c>
      <c r="M3759" s="55">
        <v>0</v>
      </c>
      <c r="N3759" s="55">
        <v>0</v>
      </c>
    </row>
    <row r="3760" spans="1:14" ht="10.050000000000001" hidden="1" customHeight="1">
      <c r="A3760" s="52" t="s">
        <v>306</v>
      </c>
      <c r="B3760" s="53">
        <v>2023</v>
      </c>
      <c r="C3760" s="52" t="s">
        <v>127</v>
      </c>
      <c r="D3760" s="54">
        <v>2</v>
      </c>
      <c r="E3760" s="55">
        <v>4393.3999999999996</v>
      </c>
      <c r="F3760" s="55">
        <v>671</v>
      </c>
      <c r="G3760" s="55">
        <v>5064.3999999999996</v>
      </c>
      <c r="H3760" s="55">
        <v>103788.4</v>
      </c>
      <c r="I3760" s="55">
        <v>3796.1</v>
      </c>
      <c r="J3760" s="55">
        <v>107584.5</v>
      </c>
      <c r="K3760" s="55">
        <v>10830.2</v>
      </c>
      <c r="L3760" s="55">
        <v>228.1</v>
      </c>
      <c r="M3760" s="55">
        <v>1386.5</v>
      </c>
      <c r="N3760" s="55">
        <v>299.7</v>
      </c>
    </row>
    <row r="3761" spans="1:14" ht="10.050000000000001" hidden="1" customHeight="1">
      <c r="A3761" s="52" t="s">
        <v>172</v>
      </c>
      <c r="B3761" s="53">
        <v>2023</v>
      </c>
      <c r="C3761" s="52" t="s">
        <v>127</v>
      </c>
      <c r="D3761" s="54">
        <v>2</v>
      </c>
      <c r="E3761" s="55">
        <v>63291.5</v>
      </c>
      <c r="F3761" s="55">
        <v>208.7</v>
      </c>
      <c r="G3761" s="55">
        <v>63500.2</v>
      </c>
      <c r="H3761" s="55">
        <v>270370.90000000002</v>
      </c>
      <c r="I3761" s="55">
        <v>5992.5</v>
      </c>
      <c r="J3761" s="55">
        <v>276363.40000000002</v>
      </c>
      <c r="K3761" s="55">
        <v>72264.399999999994</v>
      </c>
      <c r="L3761" s="55">
        <v>10662.2</v>
      </c>
      <c r="M3761" s="55">
        <v>32157.9</v>
      </c>
      <c r="N3761" s="55">
        <v>3823.6</v>
      </c>
    </row>
    <row r="3762" spans="1:14" ht="10.050000000000001" hidden="1" customHeight="1">
      <c r="A3762" s="52" t="s">
        <v>171</v>
      </c>
      <c r="B3762" s="53">
        <v>2023</v>
      </c>
      <c r="C3762" s="52" t="s">
        <v>127</v>
      </c>
      <c r="D3762" s="54">
        <v>2</v>
      </c>
      <c r="E3762" s="55">
        <v>1056606.1000000001</v>
      </c>
      <c r="F3762" s="55">
        <v>4991.5</v>
      </c>
      <c r="G3762" s="55">
        <v>1061597.6000000001</v>
      </c>
      <c r="H3762" s="55">
        <v>5868459.2999999998</v>
      </c>
      <c r="I3762" s="55">
        <v>59137.1</v>
      </c>
      <c r="J3762" s="55">
        <v>5927596.4000000004</v>
      </c>
      <c r="K3762" s="55">
        <v>2673860.2000000002</v>
      </c>
      <c r="L3762" s="55">
        <v>212850.1</v>
      </c>
      <c r="M3762" s="55">
        <v>471474</v>
      </c>
      <c r="N3762" s="55">
        <v>25400.7</v>
      </c>
    </row>
    <row r="3763" spans="1:14" ht="10.050000000000001" hidden="1" customHeight="1">
      <c r="A3763" s="52" t="s">
        <v>300</v>
      </c>
      <c r="B3763" s="53">
        <v>2023</v>
      </c>
      <c r="C3763" s="52" t="s">
        <v>127</v>
      </c>
      <c r="D3763" s="54">
        <v>2</v>
      </c>
      <c r="E3763" s="55">
        <v>1203.7</v>
      </c>
      <c r="F3763" s="55">
        <v>17.899999999999999</v>
      </c>
      <c r="G3763" s="55">
        <v>1221.5999999999999</v>
      </c>
      <c r="H3763" s="55">
        <v>20941.8</v>
      </c>
      <c r="I3763" s="55">
        <v>373.8</v>
      </c>
      <c r="J3763" s="55">
        <v>21315.599999999999</v>
      </c>
      <c r="K3763" s="55">
        <v>617.5</v>
      </c>
      <c r="L3763" s="55">
        <v>21.6</v>
      </c>
      <c r="M3763" s="55">
        <v>74</v>
      </c>
      <c r="N3763" s="55">
        <v>42</v>
      </c>
    </row>
    <row r="3764" spans="1:14" ht="10.050000000000001" hidden="1" customHeight="1">
      <c r="A3764" s="52" t="s">
        <v>307</v>
      </c>
      <c r="B3764" s="53">
        <v>2023</v>
      </c>
      <c r="C3764" s="52" t="s">
        <v>127</v>
      </c>
      <c r="D3764" s="54">
        <v>2</v>
      </c>
      <c r="E3764" s="55">
        <v>306677.3</v>
      </c>
      <c r="F3764" s="55">
        <v>53.9</v>
      </c>
      <c r="G3764" s="55">
        <v>306731.2</v>
      </c>
      <c r="H3764" s="55">
        <v>3309866.2</v>
      </c>
      <c r="I3764" s="55">
        <v>39599.4</v>
      </c>
      <c r="J3764" s="55">
        <v>3349465.6</v>
      </c>
      <c r="K3764" s="55">
        <v>1306494.6000000001</v>
      </c>
      <c r="L3764" s="55">
        <v>37105.199999999997</v>
      </c>
      <c r="M3764" s="55">
        <v>153567.5</v>
      </c>
      <c r="N3764" s="55">
        <v>42934.3</v>
      </c>
    </row>
    <row r="3765" spans="1:14" ht="10.050000000000001" hidden="1" customHeight="1">
      <c r="A3765" s="52" t="s">
        <v>315</v>
      </c>
      <c r="B3765" s="53">
        <v>2023</v>
      </c>
      <c r="C3765" s="52" t="s">
        <v>127</v>
      </c>
      <c r="D3765" s="54">
        <v>2</v>
      </c>
      <c r="E3765" s="55">
        <v>811.5</v>
      </c>
      <c r="F3765" s="55">
        <v>0</v>
      </c>
      <c r="G3765" s="55">
        <v>811.5</v>
      </c>
      <c r="H3765" s="55">
        <v>15843.5</v>
      </c>
      <c r="I3765" s="55">
        <v>0</v>
      </c>
      <c r="J3765" s="55">
        <v>15843.5</v>
      </c>
      <c r="K3765" s="55">
        <v>2228.1</v>
      </c>
      <c r="L3765" s="55">
        <v>99</v>
      </c>
      <c r="M3765" s="55">
        <v>594.1</v>
      </c>
      <c r="N3765" s="55">
        <v>10.7</v>
      </c>
    </row>
    <row r="3766" spans="1:14" ht="10.050000000000001" hidden="1" customHeight="1">
      <c r="A3766" s="52" t="s">
        <v>311</v>
      </c>
      <c r="B3766" s="53">
        <v>2023</v>
      </c>
      <c r="C3766" s="52" t="s">
        <v>127</v>
      </c>
      <c r="D3766" s="54">
        <v>2</v>
      </c>
      <c r="E3766" s="55">
        <v>44.7</v>
      </c>
      <c r="F3766" s="55">
        <v>0</v>
      </c>
      <c r="G3766" s="55">
        <v>44.7</v>
      </c>
      <c r="H3766" s="55">
        <v>731.7</v>
      </c>
      <c r="I3766" s="55">
        <v>0</v>
      </c>
      <c r="J3766" s="55">
        <v>731.7</v>
      </c>
      <c r="K3766" s="55">
        <v>169.7</v>
      </c>
      <c r="L3766" s="55">
        <v>0</v>
      </c>
      <c r="M3766" s="55">
        <v>0</v>
      </c>
      <c r="N3766" s="55">
        <v>78.3</v>
      </c>
    </row>
    <row r="3767" spans="1:14" ht="10.050000000000001" hidden="1" customHeight="1">
      <c r="A3767" s="52" t="s">
        <v>173</v>
      </c>
      <c r="B3767" s="53">
        <v>2023</v>
      </c>
      <c r="C3767" s="52" t="s">
        <v>127</v>
      </c>
      <c r="D3767" s="54">
        <v>2</v>
      </c>
      <c r="E3767" s="55">
        <v>293149</v>
      </c>
      <c r="F3767" s="55">
        <v>2955.6</v>
      </c>
      <c r="G3767" s="55">
        <v>296104.59999999998</v>
      </c>
      <c r="H3767" s="55">
        <v>2936566.4</v>
      </c>
      <c r="I3767" s="55">
        <v>23716.9</v>
      </c>
      <c r="J3767" s="55">
        <v>2960283.3</v>
      </c>
      <c r="K3767" s="55">
        <v>699641.1</v>
      </c>
      <c r="L3767" s="55">
        <v>35957.1</v>
      </c>
      <c r="M3767" s="55">
        <v>140802.79999999999</v>
      </c>
      <c r="N3767" s="55">
        <v>19715.900000000001</v>
      </c>
    </row>
    <row r="3768" spans="1:14" ht="10.050000000000001" customHeight="1">
      <c r="A3768" s="52" t="s">
        <v>309</v>
      </c>
      <c r="B3768" s="53">
        <v>2023</v>
      </c>
      <c r="C3768" s="52" t="s">
        <v>127</v>
      </c>
      <c r="D3768" s="54">
        <v>2</v>
      </c>
      <c r="E3768" s="55">
        <v>268.39999999999998</v>
      </c>
      <c r="F3768" s="55">
        <v>0</v>
      </c>
      <c r="G3768" s="55">
        <v>268.39999999999998</v>
      </c>
      <c r="H3768" s="55">
        <v>34669.699999999997</v>
      </c>
      <c r="I3768" s="55">
        <v>1281.5</v>
      </c>
      <c r="J3768" s="55">
        <v>35951.199999999997</v>
      </c>
      <c r="K3768" s="55">
        <v>9326</v>
      </c>
      <c r="L3768" s="55">
        <v>147.69999999999999</v>
      </c>
      <c r="M3768" s="55">
        <v>157.1</v>
      </c>
      <c r="N3768" s="55">
        <v>0.5</v>
      </c>
    </row>
    <row r="3769" spans="1:14" ht="10.050000000000001" hidden="1" customHeight="1">
      <c r="A3769" s="52" t="s">
        <v>316</v>
      </c>
      <c r="B3769" s="53">
        <v>2023</v>
      </c>
      <c r="C3769" s="52" t="s">
        <v>127</v>
      </c>
      <c r="D3769" s="54">
        <v>2</v>
      </c>
      <c r="E3769" s="55">
        <v>858.9</v>
      </c>
      <c r="F3769" s="55">
        <v>142.19999999999999</v>
      </c>
      <c r="G3769" s="55">
        <v>1001.1</v>
      </c>
      <c r="H3769" s="55">
        <v>19713.8</v>
      </c>
      <c r="I3769" s="55">
        <v>891.9</v>
      </c>
      <c r="J3769" s="55">
        <v>20605.7</v>
      </c>
      <c r="K3769" s="55">
        <v>747.6</v>
      </c>
      <c r="L3769" s="55">
        <v>17.7</v>
      </c>
      <c r="M3769" s="55">
        <v>427.5</v>
      </c>
      <c r="N3769" s="55">
        <v>3.8</v>
      </c>
    </row>
    <row r="3770" spans="1:14" ht="10.050000000000001" hidden="1" customHeight="1">
      <c r="A3770" s="52" t="s">
        <v>310</v>
      </c>
      <c r="B3770" s="53">
        <v>2023</v>
      </c>
      <c r="C3770" s="52" t="s">
        <v>127</v>
      </c>
      <c r="D3770" s="54">
        <v>2</v>
      </c>
      <c r="E3770" s="55">
        <v>1474.3</v>
      </c>
      <c r="F3770" s="55">
        <v>0</v>
      </c>
      <c r="G3770" s="55">
        <v>1474.3</v>
      </c>
      <c r="H3770" s="55">
        <v>40511.9</v>
      </c>
      <c r="I3770" s="55">
        <v>1216.5</v>
      </c>
      <c r="J3770" s="55">
        <v>41728.400000000001</v>
      </c>
      <c r="K3770" s="55">
        <v>4859.6000000000004</v>
      </c>
      <c r="L3770" s="55">
        <v>72</v>
      </c>
      <c r="M3770" s="55">
        <v>581</v>
      </c>
      <c r="N3770" s="55">
        <v>104.7</v>
      </c>
    </row>
    <row r="3771" spans="1:14" ht="10.050000000000001" hidden="1" customHeight="1">
      <c r="A3771" s="52" t="s">
        <v>308</v>
      </c>
      <c r="B3771" s="53">
        <v>2023</v>
      </c>
      <c r="C3771" s="52" t="s">
        <v>127</v>
      </c>
      <c r="D3771" s="54">
        <v>2</v>
      </c>
      <c r="E3771" s="55">
        <v>2006.3</v>
      </c>
      <c r="F3771" s="55">
        <v>228.9</v>
      </c>
      <c r="G3771" s="55">
        <v>2235.1999999999998</v>
      </c>
      <c r="H3771" s="55">
        <v>52495.8</v>
      </c>
      <c r="I3771" s="55">
        <v>102.8</v>
      </c>
      <c r="J3771" s="55">
        <v>52598.6</v>
      </c>
      <c r="K3771" s="55">
        <v>9074.4</v>
      </c>
      <c r="L3771" s="55">
        <v>34.200000000000003</v>
      </c>
      <c r="M3771" s="55">
        <v>1686</v>
      </c>
      <c r="N3771" s="55">
        <v>348.9</v>
      </c>
    </row>
    <row r="3772" spans="1:14" ht="10.050000000000001" hidden="1" customHeight="1">
      <c r="A3772" s="52" t="s">
        <v>174</v>
      </c>
      <c r="B3772" s="53">
        <v>2023</v>
      </c>
      <c r="C3772" s="52" t="s">
        <v>127</v>
      </c>
      <c r="D3772" s="54">
        <v>2</v>
      </c>
      <c r="E3772" s="55">
        <v>11961.4</v>
      </c>
      <c r="F3772" s="55">
        <v>90.2</v>
      </c>
      <c r="G3772" s="55">
        <v>12051.6</v>
      </c>
      <c r="H3772" s="55">
        <v>176678.9</v>
      </c>
      <c r="I3772" s="55">
        <v>8049.5</v>
      </c>
      <c r="J3772" s="55">
        <v>184728.4</v>
      </c>
      <c r="K3772" s="55">
        <v>95543.2</v>
      </c>
      <c r="L3772" s="55">
        <v>1897</v>
      </c>
      <c r="M3772" s="55">
        <v>6773.5</v>
      </c>
      <c r="N3772" s="55">
        <v>9227.1</v>
      </c>
    </row>
    <row r="3773" spans="1:14" ht="10.050000000000001" hidden="1" customHeight="1">
      <c r="A3773" s="52" t="s">
        <v>314</v>
      </c>
      <c r="B3773" s="53">
        <v>2023</v>
      </c>
      <c r="C3773" s="52" t="s">
        <v>127</v>
      </c>
      <c r="D3773" s="54">
        <v>3</v>
      </c>
      <c r="E3773" s="55">
        <v>0</v>
      </c>
      <c r="F3773" s="55">
        <v>0</v>
      </c>
      <c r="G3773" s="55">
        <v>0</v>
      </c>
      <c r="H3773" s="55">
        <v>30.8</v>
      </c>
      <c r="I3773" s="55">
        <v>0</v>
      </c>
      <c r="J3773" s="55">
        <v>30.8</v>
      </c>
      <c r="K3773" s="55">
        <v>0</v>
      </c>
      <c r="L3773" s="55">
        <v>0</v>
      </c>
      <c r="M3773" s="55">
        <v>0</v>
      </c>
      <c r="N3773" s="55">
        <v>0</v>
      </c>
    </row>
    <row r="3774" spans="1:14" ht="10.050000000000001" hidden="1" customHeight="1">
      <c r="A3774" s="52" t="s">
        <v>306</v>
      </c>
      <c r="B3774" s="53">
        <v>2023</v>
      </c>
      <c r="C3774" s="52" t="s">
        <v>127</v>
      </c>
      <c r="D3774" s="54">
        <v>3</v>
      </c>
      <c r="E3774" s="55">
        <v>7372.1</v>
      </c>
      <c r="F3774" s="55">
        <v>272.39999999999998</v>
      </c>
      <c r="G3774" s="55">
        <v>7644.5</v>
      </c>
      <c r="H3774" s="55">
        <v>91764.1</v>
      </c>
      <c r="I3774" s="55">
        <v>3627.5</v>
      </c>
      <c r="J3774" s="55">
        <v>95391.6</v>
      </c>
      <c r="K3774" s="55">
        <v>8112.1</v>
      </c>
      <c r="L3774" s="55">
        <v>742.4</v>
      </c>
      <c r="M3774" s="55">
        <v>3000.9</v>
      </c>
      <c r="N3774" s="55">
        <v>460.2</v>
      </c>
    </row>
    <row r="3775" spans="1:14" ht="10.050000000000001" hidden="1" customHeight="1">
      <c r="A3775" s="52" t="s">
        <v>172</v>
      </c>
      <c r="B3775" s="53">
        <v>2023</v>
      </c>
      <c r="C3775" s="52" t="s">
        <v>127</v>
      </c>
      <c r="D3775" s="54">
        <v>3</v>
      </c>
      <c r="E3775" s="55">
        <v>61578.1</v>
      </c>
      <c r="F3775" s="55">
        <v>122.4</v>
      </c>
      <c r="G3775" s="55">
        <v>61700.5</v>
      </c>
      <c r="H3775" s="55">
        <v>242353.7</v>
      </c>
      <c r="I3775" s="55">
        <v>5173.1000000000004</v>
      </c>
      <c r="J3775" s="55">
        <v>247526.8</v>
      </c>
      <c r="K3775" s="55">
        <v>48865.3</v>
      </c>
      <c r="L3775" s="55">
        <v>10855.3</v>
      </c>
      <c r="M3775" s="55">
        <v>32595</v>
      </c>
      <c r="N3775" s="55">
        <v>1713.8</v>
      </c>
    </row>
    <row r="3776" spans="1:14" ht="10.050000000000001" hidden="1" customHeight="1">
      <c r="A3776" s="52" t="s">
        <v>171</v>
      </c>
      <c r="B3776" s="53">
        <v>2023</v>
      </c>
      <c r="C3776" s="52" t="s">
        <v>127</v>
      </c>
      <c r="D3776" s="54">
        <v>3</v>
      </c>
      <c r="E3776" s="55">
        <v>1493387.7</v>
      </c>
      <c r="F3776" s="55">
        <v>6459.5</v>
      </c>
      <c r="G3776" s="55">
        <v>1499847.2</v>
      </c>
      <c r="H3776" s="55">
        <v>5128040.3</v>
      </c>
      <c r="I3776" s="55">
        <v>58379.4</v>
      </c>
      <c r="J3776" s="55">
        <v>5186419.7</v>
      </c>
      <c r="K3776" s="55">
        <v>1984033.3</v>
      </c>
      <c r="L3776" s="55">
        <v>206928.9</v>
      </c>
      <c r="M3776" s="55">
        <v>843209.1</v>
      </c>
      <c r="N3776" s="55">
        <v>52760.5</v>
      </c>
    </row>
    <row r="3777" spans="1:14" ht="10.050000000000001" hidden="1" customHeight="1">
      <c r="A3777" s="52" t="s">
        <v>300</v>
      </c>
      <c r="B3777" s="53">
        <v>2023</v>
      </c>
      <c r="C3777" s="52" t="s">
        <v>127</v>
      </c>
      <c r="D3777" s="54">
        <v>3</v>
      </c>
      <c r="E3777" s="55">
        <v>1159.0999999999999</v>
      </c>
      <c r="F3777" s="55">
        <v>107.4</v>
      </c>
      <c r="G3777" s="55">
        <v>1266.5</v>
      </c>
      <c r="H3777" s="55">
        <v>20006.599999999999</v>
      </c>
      <c r="I3777" s="55">
        <v>425.7</v>
      </c>
      <c r="J3777" s="55">
        <v>20432.3</v>
      </c>
      <c r="K3777" s="55">
        <v>483.4</v>
      </c>
      <c r="L3777" s="55">
        <v>52.5</v>
      </c>
      <c r="M3777" s="55">
        <v>123.6</v>
      </c>
      <c r="N3777" s="55">
        <v>63</v>
      </c>
    </row>
    <row r="3778" spans="1:14" ht="10.050000000000001" hidden="1" customHeight="1">
      <c r="A3778" s="52" t="s">
        <v>307</v>
      </c>
      <c r="B3778" s="53">
        <v>2023</v>
      </c>
      <c r="C3778" s="52" t="s">
        <v>127</v>
      </c>
      <c r="D3778" s="54">
        <v>3</v>
      </c>
      <c r="E3778" s="55">
        <v>374785.9</v>
      </c>
      <c r="F3778" s="55">
        <v>9337</v>
      </c>
      <c r="G3778" s="55">
        <v>384122.9</v>
      </c>
      <c r="H3778" s="55">
        <v>2892651.5</v>
      </c>
      <c r="I3778" s="55">
        <v>32190.5</v>
      </c>
      <c r="J3778" s="55">
        <v>2924842</v>
      </c>
      <c r="K3778" s="55">
        <v>1085478.3</v>
      </c>
      <c r="L3778" s="55">
        <v>67776.100000000006</v>
      </c>
      <c r="M3778" s="55">
        <v>234403.5</v>
      </c>
      <c r="N3778" s="55">
        <v>53898.6</v>
      </c>
    </row>
    <row r="3779" spans="1:14" ht="10.050000000000001" hidden="1" customHeight="1">
      <c r="A3779" s="52" t="s">
        <v>315</v>
      </c>
      <c r="B3779" s="53">
        <v>2023</v>
      </c>
      <c r="C3779" s="52" t="s">
        <v>127</v>
      </c>
      <c r="D3779" s="54">
        <v>3</v>
      </c>
      <c r="E3779" s="55">
        <v>1279.2</v>
      </c>
      <c r="F3779" s="55">
        <v>0</v>
      </c>
      <c r="G3779" s="55">
        <v>1279.2</v>
      </c>
      <c r="H3779" s="55">
        <v>12810.5</v>
      </c>
      <c r="I3779" s="55">
        <v>0</v>
      </c>
      <c r="J3779" s="55">
        <v>12810.5</v>
      </c>
      <c r="K3779" s="55">
        <v>1594.7</v>
      </c>
      <c r="L3779" s="55">
        <v>178.8</v>
      </c>
      <c r="M3779" s="55">
        <v>811.2</v>
      </c>
      <c r="N3779" s="55">
        <v>0.7</v>
      </c>
    </row>
    <row r="3780" spans="1:14" ht="10.050000000000001" hidden="1" customHeight="1">
      <c r="A3780" s="52" t="s">
        <v>311</v>
      </c>
      <c r="B3780" s="53">
        <v>2023</v>
      </c>
      <c r="C3780" s="52" t="s">
        <v>127</v>
      </c>
      <c r="D3780" s="54">
        <v>3</v>
      </c>
      <c r="E3780" s="55">
        <v>0</v>
      </c>
      <c r="F3780" s="55">
        <v>0</v>
      </c>
      <c r="G3780" s="55">
        <v>0</v>
      </c>
      <c r="H3780" s="55">
        <v>651.1</v>
      </c>
      <c r="I3780" s="55">
        <v>0</v>
      </c>
      <c r="J3780" s="55">
        <v>651.1</v>
      </c>
      <c r="K3780" s="55">
        <v>146.80000000000001</v>
      </c>
      <c r="L3780" s="55">
        <v>0</v>
      </c>
      <c r="M3780" s="55">
        <v>0</v>
      </c>
      <c r="N3780" s="55">
        <v>22.9</v>
      </c>
    </row>
    <row r="3781" spans="1:14" ht="10.050000000000001" hidden="1" customHeight="1">
      <c r="A3781" s="52" t="s">
        <v>173</v>
      </c>
      <c r="B3781" s="53">
        <v>2023</v>
      </c>
      <c r="C3781" s="52" t="s">
        <v>127</v>
      </c>
      <c r="D3781" s="54">
        <v>3</v>
      </c>
      <c r="E3781" s="55">
        <v>351736.9</v>
      </c>
      <c r="F3781" s="55">
        <v>5461.7</v>
      </c>
      <c r="G3781" s="55">
        <v>357198.6</v>
      </c>
      <c r="H3781" s="55">
        <v>2368455.7000000002</v>
      </c>
      <c r="I3781" s="55">
        <v>20368.2</v>
      </c>
      <c r="J3781" s="55">
        <v>2388823.9</v>
      </c>
      <c r="K3781" s="55">
        <v>509982.4</v>
      </c>
      <c r="L3781" s="55">
        <v>38101</v>
      </c>
      <c r="M3781" s="55">
        <v>200609.2</v>
      </c>
      <c r="N3781" s="55">
        <v>27165.3</v>
      </c>
    </row>
    <row r="3782" spans="1:14" ht="10.050000000000001" customHeight="1">
      <c r="A3782" s="52" t="s">
        <v>309</v>
      </c>
      <c r="B3782" s="53">
        <v>2023</v>
      </c>
      <c r="C3782" s="52" t="s">
        <v>127</v>
      </c>
      <c r="D3782" s="54">
        <v>3</v>
      </c>
      <c r="E3782" s="55">
        <v>785.6</v>
      </c>
      <c r="F3782" s="55">
        <v>0</v>
      </c>
      <c r="G3782" s="55">
        <v>785.6</v>
      </c>
      <c r="H3782" s="55">
        <v>31552.9</v>
      </c>
      <c r="I3782" s="55">
        <v>1281.5</v>
      </c>
      <c r="J3782" s="55">
        <v>32834.400000000001</v>
      </c>
      <c r="K3782" s="55">
        <v>8623.6</v>
      </c>
      <c r="L3782" s="55">
        <v>0</v>
      </c>
      <c r="M3782" s="55">
        <v>702.4</v>
      </c>
      <c r="N3782" s="55">
        <v>0</v>
      </c>
    </row>
    <row r="3783" spans="1:14" ht="10.050000000000001" hidden="1" customHeight="1">
      <c r="A3783" s="52" t="s">
        <v>316</v>
      </c>
      <c r="B3783" s="53">
        <v>2023</v>
      </c>
      <c r="C3783" s="52" t="s">
        <v>127</v>
      </c>
      <c r="D3783" s="54">
        <v>3</v>
      </c>
      <c r="E3783" s="55">
        <v>680.7</v>
      </c>
      <c r="F3783" s="55">
        <v>24.2</v>
      </c>
      <c r="G3783" s="55">
        <v>704.9</v>
      </c>
      <c r="H3783" s="55">
        <v>18430.5</v>
      </c>
      <c r="I3783" s="55">
        <v>672.1</v>
      </c>
      <c r="J3783" s="55">
        <v>19102.599999999999</v>
      </c>
      <c r="K3783" s="55">
        <v>650.70000000000005</v>
      </c>
      <c r="L3783" s="55">
        <v>136.69999999999999</v>
      </c>
      <c r="M3783" s="55">
        <v>169</v>
      </c>
      <c r="N3783" s="55">
        <v>59.5</v>
      </c>
    </row>
    <row r="3784" spans="1:14" ht="10.050000000000001" hidden="1" customHeight="1">
      <c r="A3784" s="52" t="s">
        <v>310</v>
      </c>
      <c r="B3784" s="53">
        <v>2023</v>
      </c>
      <c r="C3784" s="52" t="s">
        <v>127</v>
      </c>
      <c r="D3784" s="54">
        <v>3</v>
      </c>
      <c r="E3784" s="55">
        <v>1802.5</v>
      </c>
      <c r="F3784" s="55">
        <v>8.8000000000000007</v>
      </c>
      <c r="G3784" s="55">
        <v>1811.3</v>
      </c>
      <c r="H3784" s="55">
        <v>34637.5</v>
      </c>
      <c r="I3784" s="55">
        <v>1173.9000000000001</v>
      </c>
      <c r="J3784" s="55">
        <v>35811.4</v>
      </c>
      <c r="K3784" s="55">
        <v>3941</v>
      </c>
      <c r="L3784" s="55">
        <v>99.4</v>
      </c>
      <c r="M3784" s="55">
        <v>955.6</v>
      </c>
      <c r="N3784" s="55">
        <v>62.5</v>
      </c>
    </row>
    <row r="3785" spans="1:14" ht="10.050000000000001" hidden="1" customHeight="1">
      <c r="A3785" s="52" t="s">
        <v>308</v>
      </c>
      <c r="B3785" s="53">
        <v>2023</v>
      </c>
      <c r="C3785" s="52" t="s">
        <v>127</v>
      </c>
      <c r="D3785" s="54">
        <v>3</v>
      </c>
      <c r="E3785" s="55">
        <v>2801.9</v>
      </c>
      <c r="F3785" s="55">
        <v>0</v>
      </c>
      <c r="G3785" s="55">
        <v>2801.9</v>
      </c>
      <c r="H3785" s="55">
        <v>40270.5</v>
      </c>
      <c r="I3785" s="55">
        <v>100.9</v>
      </c>
      <c r="J3785" s="55">
        <v>40371.4</v>
      </c>
      <c r="K3785" s="55">
        <v>6432.6</v>
      </c>
      <c r="L3785" s="55">
        <v>178.1</v>
      </c>
      <c r="M3785" s="55">
        <v>2243.9</v>
      </c>
      <c r="N3785" s="55">
        <v>594.6</v>
      </c>
    </row>
    <row r="3786" spans="1:14" ht="10.050000000000001" hidden="1" customHeight="1">
      <c r="A3786" s="52" t="s">
        <v>174</v>
      </c>
      <c r="B3786" s="53">
        <v>2023</v>
      </c>
      <c r="C3786" s="52" t="s">
        <v>127</v>
      </c>
      <c r="D3786" s="54">
        <v>3</v>
      </c>
      <c r="E3786" s="55">
        <v>15053.3</v>
      </c>
      <c r="F3786" s="55">
        <v>178</v>
      </c>
      <c r="G3786" s="55">
        <v>15231.3</v>
      </c>
      <c r="H3786" s="55">
        <v>135354.29999999999</v>
      </c>
      <c r="I3786" s="55">
        <v>7940.9</v>
      </c>
      <c r="J3786" s="55">
        <v>143295.20000000001</v>
      </c>
      <c r="K3786" s="55">
        <v>80551.5</v>
      </c>
      <c r="L3786" s="55">
        <v>3225.2</v>
      </c>
      <c r="M3786" s="55">
        <v>8278</v>
      </c>
      <c r="N3786" s="55">
        <v>10297.9</v>
      </c>
    </row>
    <row r="3787" spans="1:14" ht="10.050000000000001" hidden="1" customHeight="1">
      <c r="A3787" s="52" t="s">
        <v>314</v>
      </c>
      <c r="B3787" s="53">
        <v>2023</v>
      </c>
      <c r="C3787" s="52" t="s">
        <v>127</v>
      </c>
      <c r="D3787" s="54">
        <v>4</v>
      </c>
      <c r="E3787" s="55">
        <v>0</v>
      </c>
      <c r="F3787" s="55">
        <v>0</v>
      </c>
      <c r="G3787" s="55">
        <v>0</v>
      </c>
      <c r="H3787" s="55">
        <v>50.6</v>
      </c>
      <c r="I3787" s="55">
        <v>0</v>
      </c>
      <c r="J3787" s="55">
        <v>50.6</v>
      </c>
      <c r="K3787" s="55">
        <v>0</v>
      </c>
      <c r="L3787" s="55">
        <v>0</v>
      </c>
      <c r="M3787" s="55">
        <v>0</v>
      </c>
      <c r="N3787" s="55">
        <v>0</v>
      </c>
    </row>
    <row r="3788" spans="1:14" ht="10.050000000000001" hidden="1" customHeight="1">
      <c r="A3788" s="52" t="s">
        <v>306</v>
      </c>
      <c r="B3788" s="53">
        <v>2023</v>
      </c>
      <c r="C3788" s="52" t="s">
        <v>127</v>
      </c>
      <c r="D3788" s="54">
        <v>4</v>
      </c>
      <c r="E3788" s="55">
        <v>5189.5</v>
      </c>
      <c r="F3788" s="55">
        <v>313.10000000000002</v>
      </c>
      <c r="G3788" s="55">
        <v>5502.6</v>
      </c>
      <c r="H3788" s="55">
        <v>81620.800000000003</v>
      </c>
      <c r="I3788" s="55">
        <v>2829.7</v>
      </c>
      <c r="J3788" s="55">
        <v>84450.5</v>
      </c>
      <c r="K3788" s="55">
        <v>5911.9</v>
      </c>
      <c r="L3788" s="55">
        <v>381.9</v>
      </c>
      <c r="M3788" s="55">
        <v>2269.1</v>
      </c>
      <c r="N3788" s="55">
        <v>353.2</v>
      </c>
    </row>
    <row r="3789" spans="1:14" ht="10.050000000000001" hidden="1" customHeight="1">
      <c r="A3789" s="52" t="s">
        <v>172</v>
      </c>
      <c r="B3789" s="53">
        <v>2023</v>
      </c>
      <c r="C3789" s="52" t="s">
        <v>127</v>
      </c>
      <c r="D3789" s="54">
        <v>4</v>
      </c>
      <c r="E3789" s="55">
        <v>47265.7</v>
      </c>
      <c r="F3789" s="55">
        <v>237.5</v>
      </c>
      <c r="G3789" s="55">
        <v>47503.199999999997</v>
      </c>
      <c r="H3789" s="55">
        <v>210943.7</v>
      </c>
      <c r="I3789" s="55">
        <v>3371</v>
      </c>
      <c r="J3789" s="55">
        <v>214314.7</v>
      </c>
      <c r="K3789" s="55">
        <v>25168.5</v>
      </c>
      <c r="L3789" s="55">
        <v>5479.7</v>
      </c>
      <c r="M3789" s="55">
        <v>27810.2</v>
      </c>
      <c r="N3789" s="55">
        <v>1369.6</v>
      </c>
    </row>
    <row r="3790" spans="1:14" ht="10.050000000000001" hidden="1" customHeight="1">
      <c r="A3790" s="52" t="s">
        <v>171</v>
      </c>
      <c r="B3790" s="53">
        <v>2023</v>
      </c>
      <c r="C3790" s="52" t="s">
        <v>127</v>
      </c>
      <c r="D3790" s="54">
        <v>4</v>
      </c>
      <c r="E3790" s="55">
        <v>1282381.8</v>
      </c>
      <c r="F3790" s="55">
        <v>2356.3000000000002</v>
      </c>
      <c r="G3790" s="55">
        <v>1284738.1000000001</v>
      </c>
      <c r="H3790" s="55">
        <v>4322006.2</v>
      </c>
      <c r="I3790" s="55">
        <v>44641.3</v>
      </c>
      <c r="J3790" s="55">
        <v>4366647.5</v>
      </c>
      <c r="K3790" s="55">
        <v>1213593.7</v>
      </c>
      <c r="L3790" s="55">
        <v>145901.79999999999</v>
      </c>
      <c r="M3790" s="55">
        <v>846434.2</v>
      </c>
      <c r="N3790" s="55">
        <v>74322.2</v>
      </c>
    </row>
    <row r="3791" spans="1:14" ht="10.050000000000001" hidden="1" customHeight="1">
      <c r="A3791" s="52" t="s">
        <v>300</v>
      </c>
      <c r="B3791" s="53">
        <v>2023</v>
      </c>
      <c r="C3791" s="52" t="s">
        <v>127</v>
      </c>
      <c r="D3791" s="54">
        <v>4</v>
      </c>
      <c r="E3791" s="55">
        <v>1239</v>
      </c>
      <c r="F3791" s="55">
        <v>127.3</v>
      </c>
      <c r="G3791" s="55">
        <v>1366.3</v>
      </c>
      <c r="H3791" s="55">
        <v>19812.3</v>
      </c>
      <c r="I3791" s="55">
        <v>298.10000000000002</v>
      </c>
      <c r="J3791" s="55">
        <v>20110.400000000001</v>
      </c>
      <c r="K3791" s="55">
        <v>414</v>
      </c>
      <c r="L3791" s="55">
        <v>134.4</v>
      </c>
      <c r="M3791" s="55">
        <v>174</v>
      </c>
      <c r="N3791" s="55">
        <v>29.8</v>
      </c>
    </row>
    <row r="3792" spans="1:14" ht="10.050000000000001" hidden="1" customHeight="1">
      <c r="A3792" s="52" t="s">
        <v>307</v>
      </c>
      <c r="B3792" s="53">
        <v>2023</v>
      </c>
      <c r="C3792" s="52" t="s">
        <v>127</v>
      </c>
      <c r="D3792" s="54">
        <v>4</v>
      </c>
      <c r="E3792" s="55">
        <v>229261.5</v>
      </c>
      <c r="F3792" s="55">
        <v>2614.1</v>
      </c>
      <c r="G3792" s="55">
        <v>231875.6</v>
      </c>
      <c r="H3792" s="55">
        <v>2390088.2999999998</v>
      </c>
      <c r="I3792" s="55">
        <v>30541.599999999999</v>
      </c>
      <c r="J3792" s="55">
        <v>2420629.9</v>
      </c>
      <c r="K3792" s="55">
        <v>928145.1</v>
      </c>
      <c r="L3792" s="55">
        <v>41314.800000000003</v>
      </c>
      <c r="M3792" s="55">
        <v>143529.9</v>
      </c>
      <c r="N3792" s="55">
        <v>57011.199999999997</v>
      </c>
    </row>
    <row r="3793" spans="1:14" ht="10.050000000000001" hidden="1" customHeight="1">
      <c r="A3793" s="52" t="s">
        <v>315</v>
      </c>
      <c r="B3793" s="53">
        <v>2023</v>
      </c>
      <c r="C3793" s="52" t="s">
        <v>127</v>
      </c>
      <c r="D3793" s="54">
        <v>4</v>
      </c>
      <c r="E3793" s="55">
        <v>1124.5999999999999</v>
      </c>
      <c r="F3793" s="55">
        <v>0</v>
      </c>
      <c r="G3793" s="55">
        <v>1124.5999999999999</v>
      </c>
      <c r="H3793" s="55">
        <v>11429.8</v>
      </c>
      <c r="I3793" s="55">
        <v>0</v>
      </c>
      <c r="J3793" s="55">
        <v>11429.8</v>
      </c>
      <c r="K3793" s="55">
        <v>1076.5</v>
      </c>
      <c r="L3793" s="55">
        <v>72.8</v>
      </c>
      <c r="M3793" s="55">
        <v>591.20000000000005</v>
      </c>
      <c r="N3793" s="55">
        <v>0</v>
      </c>
    </row>
    <row r="3794" spans="1:14" ht="10.050000000000001" hidden="1" customHeight="1">
      <c r="A3794" s="52" t="s">
        <v>311</v>
      </c>
      <c r="B3794" s="53">
        <v>2023</v>
      </c>
      <c r="C3794" s="52" t="s">
        <v>127</v>
      </c>
      <c r="D3794" s="54">
        <v>4</v>
      </c>
      <c r="E3794" s="55">
        <v>0</v>
      </c>
      <c r="F3794" s="55">
        <v>0</v>
      </c>
      <c r="G3794" s="55">
        <v>0</v>
      </c>
      <c r="H3794" s="55">
        <v>623.1</v>
      </c>
      <c r="I3794" s="55">
        <v>0</v>
      </c>
      <c r="J3794" s="55">
        <v>623.1</v>
      </c>
      <c r="K3794" s="55">
        <v>121.2</v>
      </c>
      <c r="L3794" s="55">
        <v>0</v>
      </c>
      <c r="M3794" s="55">
        <v>0</v>
      </c>
      <c r="N3794" s="55">
        <v>25.7</v>
      </c>
    </row>
    <row r="3795" spans="1:14" ht="10.050000000000001" hidden="1" customHeight="1">
      <c r="A3795" s="52" t="s">
        <v>173</v>
      </c>
      <c r="B3795" s="53">
        <v>2023</v>
      </c>
      <c r="C3795" s="52" t="s">
        <v>127</v>
      </c>
      <c r="D3795" s="54">
        <v>4</v>
      </c>
      <c r="E3795" s="55">
        <v>282574.5</v>
      </c>
      <c r="F3795" s="55">
        <v>1444.7</v>
      </c>
      <c r="G3795" s="55">
        <v>284019.20000000001</v>
      </c>
      <c r="H3795" s="55">
        <v>1776554.9</v>
      </c>
      <c r="I3795" s="55">
        <v>15948</v>
      </c>
      <c r="J3795" s="55">
        <v>1792502.9</v>
      </c>
      <c r="K3795" s="55">
        <v>319910</v>
      </c>
      <c r="L3795" s="55">
        <v>23499.7</v>
      </c>
      <c r="M3795" s="55">
        <v>188448.9</v>
      </c>
      <c r="N3795" s="55">
        <v>26311.599999999999</v>
      </c>
    </row>
    <row r="3796" spans="1:14" ht="10.050000000000001" customHeight="1">
      <c r="A3796" s="52" t="s">
        <v>309</v>
      </c>
      <c r="B3796" s="53">
        <v>2023</v>
      </c>
      <c r="C3796" s="52" t="s">
        <v>127</v>
      </c>
      <c r="D3796" s="54">
        <v>4</v>
      </c>
      <c r="E3796" s="55">
        <v>454.1</v>
      </c>
      <c r="F3796" s="55">
        <v>0</v>
      </c>
      <c r="G3796" s="55">
        <v>454.1</v>
      </c>
      <c r="H3796" s="55">
        <v>28155.599999999999</v>
      </c>
      <c r="I3796" s="55">
        <v>798.5</v>
      </c>
      <c r="J3796" s="55">
        <v>28954.1</v>
      </c>
      <c r="K3796" s="55">
        <v>8373.6</v>
      </c>
      <c r="L3796" s="55">
        <v>0</v>
      </c>
      <c r="M3796" s="55">
        <v>0</v>
      </c>
      <c r="N3796" s="55">
        <v>520</v>
      </c>
    </row>
    <row r="3797" spans="1:14" ht="10.050000000000001" hidden="1" customHeight="1">
      <c r="A3797" s="52" t="s">
        <v>316</v>
      </c>
      <c r="B3797" s="53">
        <v>2023</v>
      </c>
      <c r="C3797" s="52" t="s">
        <v>127</v>
      </c>
      <c r="D3797" s="54">
        <v>4</v>
      </c>
      <c r="E3797" s="55">
        <v>292.7</v>
      </c>
      <c r="F3797" s="55">
        <v>7.9</v>
      </c>
      <c r="G3797" s="55">
        <v>300.60000000000002</v>
      </c>
      <c r="H3797" s="55">
        <v>17106.7</v>
      </c>
      <c r="I3797" s="55">
        <v>479.6</v>
      </c>
      <c r="J3797" s="55">
        <v>17586.3</v>
      </c>
      <c r="K3797" s="55">
        <v>612.9</v>
      </c>
      <c r="L3797" s="55">
        <v>31.6</v>
      </c>
      <c r="M3797" s="55">
        <v>58.1</v>
      </c>
      <c r="N3797" s="55">
        <v>10.8</v>
      </c>
    </row>
    <row r="3798" spans="1:14" ht="10.050000000000001" hidden="1" customHeight="1">
      <c r="A3798" s="52" t="s">
        <v>310</v>
      </c>
      <c r="B3798" s="53">
        <v>2023</v>
      </c>
      <c r="C3798" s="52" t="s">
        <v>127</v>
      </c>
      <c r="D3798" s="54">
        <v>4</v>
      </c>
      <c r="E3798" s="55">
        <v>2382.3000000000002</v>
      </c>
      <c r="F3798" s="55">
        <v>55.4</v>
      </c>
      <c r="G3798" s="55">
        <v>2437.6999999999998</v>
      </c>
      <c r="H3798" s="55">
        <v>30254.6</v>
      </c>
      <c r="I3798" s="55">
        <v>1168.5</v>
      </c>
      <c r="J3798" s="55">
        <v>31423.1</v>
      </c>
      <c r="K3798" s="55">
        <v>2486.4</v>
      </c>
      <c r="L3798" s="55">
        <v>58.5</v>
      </c>
      <c r="M3798" s="55">
        <v>1402</v>
      </c>
      <c r="N3798" s="55">
        <v>111.2</v>
      </c>
    </row>
    <row r="3799" spans="1:14" ht="10.050000000000001" hidden="1" customHeight="1">
      <c r="A3799" s="52" t="s">
        <v>308</v>
      </c>
      <c r="B3799" s="53">
        <v>2023</v>
      </c>
      <c r="C3799" s="52" t="s">
        <v>127</v>
      </c>
      <c r="D3799" s="54">
        <v>4</v>
      </c>
      <c r="E3799" s="55">
        <v>2337.5</v>
      </c>
      <c r="F3799" s="55">
        <v>150.9</v>
      </c>
      <c r="G3799" s="55">
        <v>2488.4</v>
      </c>
      <c r="H3799" s="55">
        <v>33325.599999999999</v>
      </c>
      <c r="I3799" s="55">
        <v>53.4</v>
      </c>
      <c r="J3799" s="55">
        <v>33379</v>
      </c>
      <c r="K3799" s="55">
        <v>4694.5</v>
      </c>
      <c r="L3799" s="55">
        <v>297.89999999999998</v>
      </c>
      <c r="M3799" s="55">
        <v>1901.5</v>
      </c>
      <c r="N3799" s="55">
        <v>134.4</v>
      </c>
    </row>
    <row r="3800" spans="1:14" ht="10.050000000000001" hidden="1" customHeight="1">
      <c r="A3800" s="52" t="s">
        <v>174</v>
      </c>
      <c r="B3800" s="53">
        <v>2023</v>
      </c>
      <c r="C3800" s="52" t="s">
        <v>127</v>
      </c>
      <c r="D3800" s="54">
        <v>4</v>
      </c>
      <c r="E3800" s="55">
        <v>15385</v>
      </c>
      <c r="F3800" s="55">
        <v>44.3</v>
      </c>
      <c r="G3800" s="55">
        <v>15429.3</v>
      </c>
      <c r="H3800" s="55">
        <v>109090</v>
      </c>
      <c r="I3800" s="55">
        <v>6224.1</v>
      </c>
      <c r="J3800" s="55">
        <v>115314.1</v>
      </c>
      <c r="K3800" s="55">
        <v>65221.8</v>
      </c>
      <c r="L3800" s="55">
        <v>2167.1</v>
      </c>
      <c r="M3800" s="55">
        <v>9076</v>
      </c>
      <c r="N3800" s="55">
        <v>8906.6</v>
      </c>
    </row>
    <row r="3801" spans="1:14" ht="10.050000000000001" hidden="1" customHeight="1">
      <c r="A3801" s="52" t="s">
        <v>314</v>
      </c>
      <c r="B3801" s="53">
        <v>2023</v>
      </c>
      <c r="C3801" s="52" t="s">
        <v>127</v>
      </c>
      <c r="D3801" s="54">
        <v>5</v>
      </c>
      <c r="E3801" s="55">
        <v>0</v>
      </c>
      <c r="F3801" s="55">
        <v>0</v>
      </c>
      <c r="G3801" s="55">
        <v>0</v>
      </c>
      <c r="H3801" s="55">
        <v>40.4</v>
      </c>
      <c r="I3801" s="55">
        <v>0</v>
      </c>
      <c r="J3801" s="55">
        <v>40.4</v>
      </c>
      <c r="K3801" s="55">
        <v>0</v>
      </c>
      <c r="L3801" s="55">
        <v>0</v>
      </c>
      <c r="M3801" s="55">
        <v>0</v>
      </c>
      <c r="N3801" s="55">
        <v>0</v>
      </c>
    </row>
    <row r="3802" spans="1:14" ht="10.050000000000001" hidden="1" customHeight="1">
      <c r="A3802" s="52" t="s">
        <v>306</v>
      </c>
      <c r="B3802" s="53">
        <v>2023</v>
      </c>
      <c r="C3802" s="52" t="s">
        <v>127</v>
      </c>
      <c r="D3802" s="54">
        <v>5</v>
      </c>
      <c r="E3802" s="55">
        <v>5093.3999999999996</v>
      </c>
      <c r="F3802" s="55">
        <v>91.8</v>
      </c>
      <c r="G3802" s="55">
        <v>5185.2</v>
      </c>
      <c r="H3802" s="55">
        <v>68596.399999999994</v>
      </c>
      <c r="I3802" s="55">
        <v>2086.9</v>
      </c>
      <c r="J3802" s="55">
        <v>70683.3</v>
      </c>
      <c r="K3802" s="55">
        <v>3099.2</v>
      </c>
      <c r="L3802" s="55">
        <v>1289.5999999999999</v>
      </c>
      <c r="M3802" s="55">
        <v>2967.7</v>
      </c>
      <c r="N3802" s="55">
        <v>1115.5</v>
      </c>
    </row>
    <row r="3803" spans="1:14" ht="10.050000000000001" hidden="1" customHeight="1">
      <c r="A3803" s="52" t="s">
        <v>172</v>
      </c>
      <c r="B3803" s="53">
        <v>2023</v>
      </c>
      <c r="C3803" s="52" t="s">
        <v>127</v>
      </c>
      <c r="D3803" s="54">
        <v>5</v>
      </c>
      <c r="E3803" s="55">
        <v>34805.9</v>
      </c>
      <c r="F3803" s="55">
        <v>188.1</v>
      </c>
      <c r="G3803" s="55">
        <v>34994</v>
      </c>
      <c r="H3803" s="55">
        <v>173659.3</v>
      </c>
      <c r="I3803" s="55">
        <v>3380.2</v>
      </c>
      <c r="J3803" s="55">
        <v>177039.5</v>
      </c>
      <c r="K3803" s="55">
        <v>11011.3</v>
      </c>
      <c r="L3803" s="55">
        <v>3038.4</v>
      </c>
      <c r="M3803" s="55">
        <v>17125</v>
      </c>
      <c r="N3803" s="55">
        <v>68.5</v>
      </c>
    </row>
    <row r="3804" spans="1:14" ht="10.050000000000001" hidden="1" customHeight="1">
      <c r="A3804" s="52" t="s">
        <v>171</v>
      </c>
      <c r="B3804" s="53">
        <v>2023</v>
      </c>
      <c r="C3804" s="52" t="s">
        <v>127</v>
      </c>
      <c r="D3804" s="54">
        <v>5</v>
      </c>
      <c r="E3804" s="55">
        <v>1080039.7</v>
      </c>
      <c r="F3804" s="55">
        <v>1307</v>
      </c>
      <c r="G3804" s="55">
        <v>1081346.7</v>
      </c>
      <c r="H3804" s="55">
        <v>3219745.4</v>
      </c>
      <c r="I3804" s="55">
        <v>42239.7</v>
      </c>
      <c r="J3804" s="55">
        <v>3261985.1</v>
      </c>
      <c r="K3804" s="55">
        <v>541049.4</v>
      </c>
      <c r="L3804" s="55">
        <v>125640.2</v>
      </c>
      <c r="M3804" s="55">
        <v>745930.3</v>
      </c>
      <c r="N3804" s="55">
        <v>48548.6</v>
      </c>
    </row>
    <row r="3805" spans="1:14" ht="10.050000000000001" hidden="1" customHeight="1">
      <c r="A3805" s="52" t="s">
        <v>300</v>
      </c>
      <c r="B3805" s="53">
        <v>2023</v>
      </c>
      <c r="C3805" s="52" t="s">
        <v>127</v>
      </c>
      <c r="D3805" s="54">
        <v>5</v>
      </c>
      <c r="E3805" s="55">
        <v>986.8</v>
      </c>
      <c r="F3805" s="55">
        <v>0</v>
      </c>
      <c r="G3805" s="55">
        <v>986.8</v>
      </c>
      <c r="H3805" s="55">
        <v>18930</v>
      </c>
      <c r="I3805" s="55">
        <v>297.2</v>
      </c>
      <c r="J3805" s="55">
        <v>19227.2</v>
      </c>
      <c r="K3805" s="55">
        <v>325.39999999999998</v>
      </c>
      <c r="L3805" s="55">
        <v>8</v>
      </c>
      <c r="M3805" s="55">
        <v>57.1</v>
      </c>
      <c r="N3805" s="55">
        <v>39.4</v>
      </c>
    </row>
    <row r="3806" spans="1:14" ht="10.050000000000001" hidden="1" customHeight="1">
      <c r="A3806" s="52" t="s">
        <v>307</v>
      </c>
      <c r="B3806" s="53">
        <v>2023</v>
      </c>
      <c r="C3806" s="52" t="s">
        <v>127</v>
      </c>
      <c r="D3806" s="54">
        <v>5</v>
      </c>
      <c r="E3806" s="55">
        <v>320440.3</v>
      </c>
      <c r="F3806" s="55">
        <v>0</v>
      </c>
      <c r="G3806" s="55">
        <v>320440.3</v>
      </c>
      <c r="H3806" s="55">
        <v>1933168.6</v>
      </c>
      <c r="I3806" s="55">
        <v>28562.799999999999</v>
      </c>
      <c r="J3806" s="55">
        <v>1961731.4</v>
      </c>
      <c r="K3806" s="55">
        <v>673042.6</v>
      </c>
      <c r="L3806" s="55">
        <v>38949.800000000003</v>
      </c>
      <c r="M3806" s="55">
        <v>226272.8</v>
      </c>
      <c r="N3806" s="55">
        <v>66013.399999999994</v>
      </c>
    </row>
    <row r="3807" spans="1:14" ht="10.050000000000001" hidden="1" customHeight="1">
      <c r="A3807" s="52" t="s">
        <v>315</v>
      </c>
      <c r="B3807" s="53">
        <v>2023</v>
      </c>
      <c r="C3807" s="52" t="s">
        <v>127</v>
      </c>
      <c r="D3807" s="54">
        <v>5</v>
      </c>
      <c r="E3807" s="55">
        <v>601.79999999999995</v>
      </c>
      <c r="F3807" s="55">
        <v>0</v>
      </c>
      <c r="G3807" s="55">
        <v>601.79999999999995</v>
      </c>
      <c r="H3807" s="55">
        <v>9553.5</v>
      </c>
      <c r="I3807" s="55">
        <v>0</v>
      </c>
      <c r="J3807" s="55">
        <v>9553.5</v>
      </c>
      <c r="K3807" s="55">
        <v>779.6</v>
      </c>
      <c r="L3807" s="55">
        <v>18.3</v>
      </c>
      <c r="M3807" s="55">
        <v>319</v>
      </c>
      <c r="N3807" s="55">
        <v>12.6</v>
      </c>
    </row>
    <row r="3808" spans="1:14" ht="10.050000000000001" hidden="1" customHeight="1">
      <c r="A3808" s="52" t="s">
        <v>311</v>
      </c>
      <c r="B3808" s="53">
        <v>2023</v>
      </c>
      <c r="C3808" s="52" t="s">
        <v>127</v>
      </c>
      <c r="D3808" s="54">
        <v>5</v>
      </c>
      <c r="E3808" s="55">
        <v>26.4</v>
      </c>
      <c r="F3808" s="55">
        <v>0</v>
      </c>
      <c r="G3808" s="55">
        <v>26.4</v>
      </c>
      <c r="H3808" s="55">
        <v>613.29999999999995</v>
      </c>
      <c r="I3808" s="55">
        <v>0</v>
      </c>
      <c r="J3808" s="55">
        <v>613.29999999999995</v>
      </c>
      <c r="K3808" s="55">
        <v>100.9</v>
      </c>
      <c r="L3808" s="55">
        <v>0</v>
      </c>
      <c r="M3808" s="55">
        <v>0</v>
      </c>
      <c r="N3808" s="55">
        <v>20.2</v>
      </c>
    </row>
    <row r="3809" spans="1:14" ht="10.050000000000001" hidden="1" customHeight="1">
      <c r="A3809" s="52" t="s">
        <v>173</v>
      </c>
      <c r="B3809" s="53">
        <v>2023</v>
      </c>
      <c r="C3809" s="52" t="s">
        <v>127</v>
      </c>
      <c r="D3809" s="54">
        <v>5</v>
      </c>
      <c r="E3809" s="55">
        <v>227495.6</v>
      </c>
      <c r="F3809" s="55">
        <v>1191.8</v>
      </c>
      <c r="G3809" s="55">
        <v>228687.4</v>
      </c>
      <c r="H3809" s="55">
        <v>1267029</v>
      </c>
      <c r="I3809" s="55">
        <v>11876.5</v>
      </c>
      <c r="J3809" s="55">
        <v>1278905.5</v>
      </c>
      <c r="K3809" s="55">
        <v>157605.5</v>
      </c>
      <c r="L3809" s="55">
        <v>27949.3</v>
      </c>
      <c r="M3809" s="55">
        <v>160225.79999999999</v>
      </c>
      <c r="N3809" s="55">
        <v>29999.7</v>
      </c>
    </row>
    <row r="3810" spans="1:14" ht="10.050000000000001" customHeight="1">
      <c r="A3810" s="52" t="s">
        <v>309</v>
      </c>
      <c r="B3810" s="53">
        <v>2023</v>
      </c>
      <c r="C3810" s="52" t="s">
        <v>127</v>
      </c>
      <c r="D3810" s="54">
        <v>5</v>
      </c>
      <c r="E3810" s="55">
        <v>582.29999999999995</v>
      </c>
      <c r="F3810" s="55">
        <v>0</v>
      </c>
      <c r="G3810" s="55">
        <v>582.29999999999995</v>
      </c>
      <c r="H3810" s="55">
        <v>25443.599999999999</v>
      </c>
      <c r="I3810" s="55">
        <v>786.9</v>
      </c>
      <c r="J3810" s="55">
        <v>26230.5</v>
      </c>
      <c r="K3810" s="55">
        <v>8075.6</v>
      </c>
      <c r="L3810" s="55">
        <v>0</v>
      </c>
      <c r="M3810" s="55">
        <v>0</v>
      </c>
      <c r="N3810" s="55">
        <v>28</v>
      </c>
    </row>
    <row r="3811" spans="1:14" ht="10.050000000000001" hidden="1" customHeight="1">
      <c r="A3811" s="52" t="s">
        <v>316</v>
      </c>
      <c r="B3811" s="53">
        <v>2023</v>
      </c>
      <c r="C3811" s="52" t="s">
        <v>127</v>
      </c>
      <c r="D3811" s="54">
        <v>5</v>
      </c>
      <c r="E3811" s="55">
        <v>191.7</v>
      </c>
      <c r="F3811" s="55">
        <v>0</v>
      </c>
      <c r="G3811" s="55">
        <v>191.7</v>
      </c>
      <c r="H3811" s="55">
        <v>15416.5</v>
      </c>
      <c r="I3811" s="55">
        <v>447.7</v>
      </c>
      <c r="J3811" s="55">
        <v>15864.2</v>
      </c>
      <c r="K3811" s="55">
        <v>535</v>
      </c>
      <c r="L3811" s="55">
        <v>47.5</v>
      </c>
      <c r="M3811" s="55">
        <v>92</v>
      </c>
      <c r="N3811" s="55">
        <v>34</v>
      </c>
    </row>
    <row r="3812" spans="1:14" ht="10.050000000000001" hidden="1" customHeight="1">
      <c r="A3812" s="52" t="s">
        <v>310</v>
      </c>
      <c r="B3812" s="53">
        <v>2023</v>
      </c>
      <c r="C3812" s="52" t="s">
        <v>127</v>
      </c>
      <c r="D3812" s="54">
        <v>5</v>
      </c>
      <c r="E3812" s="55">
        <v>2271.6</v>
      </c>
      <c r="F3812" s="55">
        <v>0</v>
      </c>
      <c r="G3812" s="55">
        <v>2271.6</v>
      </c>
      <c r="H3812" s="55">
        <v>25185.7</v>
      </c>
      <c r="I3812" s="55">
        <v>949.4</v>
      </c>
      <c r="J3812" s="55">
        <v>26135.1</v>
      </c>
      <c r="K3812" s="55">
        <v>1708.3</v>
      </c>
      <c r="L3812" s="55">
        <v>637.29999999999995</v>
      </c>
      <c r="M3812" s="55">
        <v>1159.8</v>
      </c>
      <c r="N3812" s="55">
        <v>255.5</v>
      </c>
    </row>
    <row r="3813" spans="1:14" ht="10.050000000000001" hidden="1" customHeight="1">
      <c r="A3813" s="52" t="s">
        <v>308</v>
      </c>
      <c r="B3813" s="53">
        <v>2023</v>
      </c>
      <c r="C3813" s="52" t="s">
        <v>127</v>
      </c>
      <c r="D3813" s="54">
        <v>5</v>
      </c>
      <c r="E3813" s="55">
        <v>2778.9</v>
      </c>
      <c r="F3813" s="55">
        <v>0</v>
      </c>
      <c r="G3813" s="55">
        <v>2778.9</v>
      </c>
      <c r="H3813" s="55">
        <v>27702.9</v>
      </c>
      <c r="I3813" s="55">
        <v>77.5</v>
      </c>
      <c r="J3813" s="55">
        <v>27780.400000000001</v>
      </c>
      <c r="K3813" s="55">
        <v>2405.9</v>
      </c>
      <c r="L3813" s="55">
        <v>8</v>
      </c>
      <c r="M3813" s="55">
        <v>2270.4</v>
      </c>
      <c r="N3813" s="55">
        <v>26</v>
      </c>
    </row>
    <row r="3814" spans="1:14" ht="10.050000000000001" hidden="1" customHeight="1">
      <c r="A3814" s="52" t="s">
        <v>174</v>
      </c>
      <c r="B3814" s="53">
        <v>2023</v>
      </c>
      <c r="C3814" s="52" t="s">
        <v>127</v>
      </c>
      <c r="D3814" s="54">
        <v>5</v>
      </c>
      <c r="E3814" s="55">
        <v>23216.6</v>
      </c>
      <c r="F3814" s="55">
        <v>2.1</v>
      </c>
      <c r="G3814" s="55">
        <v>23218.7</v>
      </c>
      <c r="H3814" s="55">
        <v>83939.6</v>
      </c>
      <c r="I3814" s="55">
        <v>5972.4</v>
      </c>
      <c r="J3814" s="55">
        <v>89912.000000000102</v>
      </c>
      <c r="K3814" s="55">
        <v>43543.1</v>
      </c>
      <c r="L3814" s="55">
        <v>6003.2</v>
      </c>
      <c r="M3814" s="55">
        <v>16689.099999999999</v>
      </c>
      <c r="N3814" s="55">
        <v>11144.8</v>
      </c>
    </row>
    <row r="3815" spans="1:14" ht="10.050000000000001" hidden="1" customHeight="1">
      <c r="A3815" s="52" t="s">
        <v>314</v>
      </c>
      <c r="B3815" s="53">
        <v>2023</v>
      </c>
      <c r="C3815" s="52" t="s">
        <v>127</v>
      </c>
      <c r="D3815" s="54">
        <v>6</v>
      </c>
      <c r="E3815" s="55">
        <v>0.2</v>
      </c>
      <c r="F3815" s="55">
        <v>0</v>
      </c>
      <c r="G3815" s="55">
        <v>0.2</v>
      </c>
      <c r="H3815" s="55">
        <v>31.3</v>
      </c>
      <c r="I3815" s="55">
        <v>0</v>
      </c>
      <c r="J3815" s="55">
        <v>31.3</v>
      </c>
      <c r="K3815" s="55">
        <v>0</v>
      </c>
      <c r="L3815" s="55">
        <v>0</v>
      </c>
      <c r="M3815" s="55">
        <v>0</v>
      </c>
      <c r="N3815" s="55">
        <v>0</v>
      </c>
    </row>
    <row r="3816" spans="1:14" ht="10.050000000000001" hidden="1" customHeight="1">
      <c r="A3816" s="52" t="s">
        <v>306</v>
      </c>
      <c r="B3816" s="53">
        <v>2023</v>
      </c>
      <c r="C3816" s="52" t="s">
        <v>127</v>
      </c>
      <c r="D3816" s="54">
        <v>6</v>
      </c>
      <c r="E3816" s="55">
        <v>3747</v>
      </c>
      <c r="F3816" s="55">
        <v>1687.9</v>
      </c>
      <c r="G3816" s="55">
        <v>5434.9</v>
      </c>
      <c r="H3816" s="55">
        <v>47396.9</v>
      </c>
      <c r="I3816" s="55">
        <v>1715.4</v>
      </c>
      <c r="J3816" s="55">
        <v>49112.3</v>
      </c>
      <c r="K3816" s="55">
        <v>1762.1</v>
      </c>
      <c r="L3816" s="55">
        <v>733.1</v>
      </c>
      <c r="M3816" s="55">
        <v>1075.9000000000001</v>
      </c>
      <c r="N3816" s="55">
        <v>1015.2</v>
      </c>
    </row>
    <row r="3817" spans="1:14" ht="10.050000000000001" hidden="1" customHeight="1">
      <c r="A3817" s="52" t="s">
        <v>172</v>
      </c>
      <c r="B3817" s="53">
        <v>2023</v>
      </c>
      <c r="C3817" s="52" t="s">
        <v>127</v>
      </c>
      <c r="D3817" s="54">
        <v>6</v>
      </c>
      <c r="E3817" s="55">
        <v>20335.099999999999</v>
      </c>
      <c r="F3817" s="55">
        <v>0</v>
      </c>
      <c r="G3817" s="55">
        <v>20335.099999999999</v>
      </c>
      <c r="H3817" s="55">
        <v>107980.9</v>
      </c>
      <c r="I3817" s="55">
        <v>4048.4</v>
      </c>
      <c r="J3817" s="55">
        <v>112029.3</v>
      </c>
      <c r="K3817" s="55">
        <v>6952.5</v>
      </c>
      <c r="L3817" s="55">
        <v>4628.8</v>
      </c>
      <c r="M3817" s="55">
        <v>7527.5</v>
      </c>
      <c r="N3817" s="55">
        <v>1159.8</v>
      </c>
    </row>
    <row r="3818" spans="1:14" ht="10.050000000000001" hidden="1" customHeight="1">
      <c r="A3818" s="52" t="s">
        <v>171</v>
      </c>
      <c r="B3818" s="53">
        <v>2023</v>
      </c>
      <c r="C3818" s="52" t="s">
        <v>127</v>
      </c>
      <c r="D3818" s="54">
        <v>6</v>
      </c>
      <c r="E3818" s="55">
        <v>716670.1</v>
      </c>
      <c r="F3818" s="55">
        <v>13614</v>
      </c>
      <c r="G3818" s="55">
        <v>730284.1</v>
      </c>
      <c r="H3818" s="55">
        <v>1749899.2</v>
      </c>
      <c r="I3818" s="55">
        <v>38102.199999999997</v>
      </c>
      <c r="J3818" s="55">
        <v>1788001.4</v>
      </c>
      <c r="K3818" s="55">
        <v>267844.90000000002</v>
      </c>
      <c r="L3818" s="55">
        <v>194127.7</v>
      </c>
      <c r="M3818" s="55">
        <v>370532.2</v>
      </c>
      <c r="N3818" s="55">
        <v>101026.3</v>
      </c>
    </row>
    <row r="3819" spans="1:14" ht="10.050000000000001" hidden="1" customHeight="1">
      <c r="A3819" s="52" t="s">
        <v>300</v>
      </c>
      <c r="B3819" s="53">
        <v>2023</v>
      </c>
      <c r="C3819" s="52" t="s">
        <v>127</v>
      </c>
      <c r="D3819" s="54">
        <v>6</v>
      </c>
      <c r="E3819" s="55">
        <v>1130.3</v>
      </c>
      <c r="F3819" s="55">
        <v>74.099999999999994</v>
      </c>
      <c r="G3819" s="55">
        <v>1204.4000000000001</v>
      </c>
      <c r="H3819" s="55">
        <v>16314.4</v>
      </c>
      <c r="I3819" s="55">
        <v>471.1</v>
      </c>
      <c r="J3819" s="55">
        <v>16785.5</v>
      </c>
      <c r="K3819" s="55">
        <v>204.4</v>
      </c>
      <c r="L3819" s="55">
        <v>25.8</v>
      </c>
      <c r="M3819" s="55">
        <v>26.2</v>
      </c>
      <c r="N3819" s="55">
        <v>120.7</v>
      </c>
    </row>
    <row r="3820" spans="1:14" ht="10.050000000000001" hidden="1" customHeight="1">
      <c r="A3820" s="52" t="s">
        <v>307</v>
      </c>
      <c r="B3820" s="53">
        <v>2023</v>
      </c>
      <c r="C3820" s="52" t="s">
        <v>127</v>
      </c>
      <c r="D3820" s="54">
        <v>6</v>
      </c>
      <c r="E3820" s="55">
        <v>418699.5</v>
      </c>
      <c r="F3820" s="55">
        <v>0</v>
      </c>
      <c r="G3820" s="55">
        <v>418699.5</v>
      </c>
      <c r="H3820" s="55">
        <v>1459379.6</v>
      </c>
      <c r="I3820" s="55">
        <v>17811.2</v>
      </c>
      <c r="J3820" s="55">
        <v>1477190.8</v>
      </c>
      <c r="K3820" s="55">
        <v>348341.5</v>
      </c>
      <c r="L3820" s="55">
        <v>60829.1</v>
      </c>
      <c r="M3820" s="55">
        <v>307922.5</v>
      </c>
      <c r="N3820" s="55">
        <v>79132.7</v>
      </c>
    </row>
    <row r="3821" spans="1:14" ht="10.050000000000001" hidden="1" customHeight="1">
      <c r="A3821" s="52" t="s">
        <v>315</v>
      </c>
      <c r="B3821" s="53">
        <v>2023</v>
      </c>
      <c r="C3821" s="52" t="s">
        <v>127</v>
      </c>
      <c r="D3821" s="54">
        <v>6</v>
      </c>
      <c r="E3821" s="55">
        <v>1223</v>
      </c>
      <c r="F3821" s="55">
        <v>0</v>
      </c>
      <c r="G3821" s="55">
        <v>1223</v>
      </c>
      <c r="H3821" s="55">
        <v>7085.3</v>
      </c>
      <c r="I3821" s="55">
        <v>0</v>
      </c>
      <c r="J3821" s="55">
        <v>7085.3</v>
      </c>
      <c r="K3821" s="55">
        <v>425.1</v>
      </c>
      <c r="L3821" s="55">
        <v>15.8</v>
      </c>
      <c r="M3821" s="55">
        <v>338.8</v>
      </c>
      <c r="N3821" s="55">
        <v>31.6</v>
      </c>
    </row>
    <row r="3822" spans="1:14" ht="10.050000000000001" hidden="1" customHeight="1">
      <c r="A3822" s="52" t="s">
        <v>311</v>
      </c>
      <c r="B3822" s="53">
        <v>2023</v>
      </c>
      <c r="C3822" s="52" t="s">
        <v>127</v>
      </c>
      <c r="D3822" s="54">
        <v>6</v>
      </c>
      <c r="E3822" s="55">
        <v>26.5</v>
      </c>
      <c r="F3822" s="55">
        <v>0</v>
      </c>
      <c r="G3822" s="55">
        <v>26.5</v>
      </c>
      <c r="H3822" s="55">
        <v>381.1</v>
      </c>
      <c r="I3822" s="55">
        <v>0</v>
      </c>
      <c r="J3822" s="55">
        <v>381.1</v>
      </c>
      <c r="K3822" s="55">
        <v>75.5</v>
      </c>
      <c r="L3822" s="55">
        <v>0</v>
      </c>
      <c r="M3822" s="55">
        <v>0</v>
      </c>
      <c r="N3822" s="55">
        <v>25.4</v>
      </c>
    </row>
    <row r="3823" spans="1:14" ht="10.050000000000001" hidden="1" customHeight="1">
      <c r="A3823" s="52" t="s">
        <v>173</v>
      </c>
      <c r="B3823" s="53">
        <v>2023</v>
      </c>
      <c r="C3823" s="52" t="s">
        <v>127</v>
      </c>
      <c r="D3823" s="54">
        <v>6</v>
      </c>
      <c r="E3823" s="55">
        <v>130435.4</v>
      </c>
      <c r="F3823" s="55">
        <v>8295.9</v>
      </c>
      <c r="G3823" s="55">
        <v>138731.29999999999</v>
      </c>
      <c r="H3823" s="55">
        <v>674078.4</v>
      </c>
      <c r="I3823" s="55">
        <v>13560.5</v>
      </c>
      <c r="J3823" s="55">
        <v>687638.9</v>
      </c>
      <c r="K3823" s="55">
        <v>124560.3</v>
      </c>
      <c r="L3823" s="55">
        <v>79658.300000000105</v>
      </c>
      <c r="M3823" s="55">
        <v>64289.1</v>
      </c>
      <c r="N3823" s="55">
        <v>48043.8</v>
      </c>
    </row>
    <row r="3824" spans="1:14" ht="10.050000000000001" customHeight="1">
      <c r="A3824" s="52" t="s">
        <v>309</v>
      </c>
      <c r="B3824" s="53">
        <v>2023</v>
      </c>
      <c r="C3824" s="52" t="s">
        <v>127</v>
      </c>
      <c r="D3824" s="54">
        <v>6</v>
      </c>
      <c r="E3824" s="55">
        <v>1112.5999999999999</v>
      </c>
      <c r="F3824" s="55">
        <v>0</v>
      </c>
      <c r="G3824" s="55">
        <v>1112.5999999999999</v>
      </c>
      <c r="H3824" s="55">
        <v>30481.5</v>
      </c>
      <c r="I3824" s="55">
        <v>786.9</v>
      </c>
      <c r="J3824" s="55">
        <v>31268.400000000001</v>
      </c>
      <c r="K3824" s="55">
        <v>830</v>
      </c>
      <c r="L3824" s="55">
        <v>0</v>
      </c>
      <c r="M3824" s="55">
        <v>275.39999999999998</v>
      </c>
      <c r="N3824" s="55">
        <v>6970.3</v>
      </c>
    </row>
    <row r="3825" spans="1:14" ht="10.050000000000001" hidden="1" customHeight="1">
      <c r="A3825" s="52" t="s">
        <v>316</v>
      </c>
      <c r="B3825" s="53">
        <v>2023</v>
      </c>
      <c r="C3825" s="52" t="s">
        <v>127</v>
      </c>
      <c r="D3825" s="54">
        <v>6</v>
      </c>
      <c r="E3825" s="55">
        <v>737.2</v>
      </c>
      <c r="F3825" s="55">
        <v>0</v>
      </c>
      <c r="G3825" s="55">
        <v>737.2</v>
      </c>
      <c r="H3825" s="55">
        <v>12247.2</v>
      </c>
      <c r="I3825" s="55">
        <v>375</v>
      </c>
      <c r="J3825" s="55">
        <v>12622.2</v>
      </c>
      <c r="K3825" s="55">
        <v>161.69999999999999</v>
      </c>
      <c r="L3825" s="55">
        <v>-6.7</v>
      </c>
      <c r="M3825" s="55">
        <v>151</v>
      </c>
      <c r="N3825" s="55">
        <v>227.6</v>
      </c>
    </row>
    <row r="3826" spans="1:14" ht="10.050000000000001" hidden="1" customHeight="1">
      <c r="A3826" s="52" t="s">
        <v>310</v>
      </c>
      <c r="B3826" s="53">
        <v>2023</v>
      </c>
      <c r="C3826" s="52" t="s">
        <v>127</v>
      </c>
      <c r="D3826" s="54">
        <v>6</v>
      </c>
      <c r="E3826" s="55">
        <v>1169.3</v>
      </c>
      <c r="F3826" s="55">
        <v>1582</v>
      </c>
      <c r="G3826" s="55">
        <v>2751.3</v>
      </c>
      <c r="H3826" s="55">
        <v>18448.5</v>
      </c>
      <c r="I3826" s="55">
        <v>678.8</v>
      </c>
      <c r="J3826" s="55">
        <v>19127.3</v>
      </c>
      <c r="K3826" s="55">
        <v>540.4</v>
      </c>
      <c r="L3826" s="55">
        <v>28.5</v>
      </c>
      <c r="M3826" s="55">
        <v>517.70000000000005</v>
      </c>
      <c r="N3826" s="55">
        <v>708.1</v>
      </c>
    </row>
    <row r="3827" spans="1:14" ht="10.050000000000001" hidden="1" customHeight="1">
      <c r="A3827" s="52" t="s">
        <v>308</v>
      </c>
      <c r="B3827" s="53">
        <v>2023</v>
      </c>
      <c r="C3827" s="52" t="s">
        <v>127</v>
      </c>
      <c r="D3827" s="54">
        <v>6</v>
      </c>
      <c r="E3827" s="55">
        <v>1432.2</v>
      </c>
      <c r="F3827" s="55">
        <v>0</v>
      </c>
      <c r="G3827" s="55">
        <v>1432.2</v>
      </c>
      <c r="H3827" s="55">
        <v>17351.099999999999</v>
      </c>
      <c r="I3827" s="55">
        <v>101</v>
      </c>
      <c r="J3827" s="55">
        <v>17452.099999999999</v>
      </c>
      <c r="K3827" s="55">
        <v>889.4</v>
      </c>
      <c r="L3827" s="55">
        <v>737.9</v>
      </c>
      <c r="M3827" s="55">
        <v>989.3</v>
      </c>
      <c r="N3827" s="55">
        <v>1265.2</v>
      </c>
    </row>
    <row r="3828" spans="1:14" ht="10.050000000000001" hidden="1" customHeight="1">
      <c r="A3828" s="52" t="s">
        <v>174</v>
      </c>
      <c r="B3828" s="53">
        <v>2023</v>
      </c>
      <c r="C3828" s="52" t="s">
        <v>127</v>
      </c>
      <c r="D3828" s="54">
        <v>6</v>
      </c>
      <c r="E3828" s="55">
        <v>19311.400000000001</v>
      </c>
      <c r="F3828" s="55">
        <v>1651.7</v>
      </c>
      <c r="G3828" s="55">
        <v>20963.099999999999</v>
      </c>
      <c r="H3828" s="55">
        <v>46254.8</v>
      </c>
      <c r="I3828" s="55">
        <v>6168</v>
      </c>
      <c r="J3828" s="55">
        <v>52422.8</v>
      </c>
      <c r="K3828" s="55">
        <v>24267.8</v>
      </c>
      <c r="L3828" s="55">
        <v>8224.5</v>
      </c>
      <c r="M3828" s="55">
        <v>8583.2000000000007</v>
      </c>
      <c r="N3828" s="55">
        <v>18979.599999999999</v>
      </c>
    </row>
    <row r="3829" spans="1:14" ht="10.050000000000001" hidden="1" customHeight="1">
      <c r="A3829" s="52" t="s">
        <v>314</v>
      </c>
      <c r="B3829" s="53">
        <v>2023</v>
      </c>
      <c r="C3829" s="52" t="s">
        <v>128</v>
      </c>
      <c r="D3829" s="54">
        <v>7</v>
      </c>
      <c r="E3829" s="55">
        <v>0</v>
      </c>
      <c r="F3829" s="55">
        <v>0</v>
      </c>
      <c r="G3829" s="55">
        <v>0</v>
      </c>
      <c r="H3829" s="55">
        <v>43.8</v>
      </c>
      <c r="I3829" s="55">
        <v>0</v>
      </c>
      <c r="J3829" s="55">
        <v>43.8</v>
      </c>
      <c r="K3829" s="55">
        <v>0</v>
      </c>
      <c r="L3829" s="55">
        <v>0</v>
      </c>
      <c r="M3829" s="55">
        <v>0</v>
      </c>
      <c r="N3829" s="55">
        <v>0</v>
      </c>
    </row>
    <row r="3830" spans="1:14" ht="10.050000000000001" hidden="1" customHeight="1">
      <c r="A3830" s="52" t="s">
        <v>306</v>
      </c>
      <c r="B3830" s="53">
        <v>2023</v>
      </c>
      <c r="C3830" s="52" t="s">
        <v>128</v>
      </c>
      <c r="D3830" s="54">
        <v>7</v>
      </c>
      <c r="E3830" s="55">
        <v>102361.7</v>
      </c>
      <c r="F3830" s="55">
        <v>1841.9</v>
      </c>
      <c r="G3830" s="55">
        <v>104203.6</v>
      </c>
      <c r="H3830" s="55">
        <v>132856</v>
      </c>
      <c r="I3830" s="55">
        <v>3190.6</v>
      </c>
      <c r="J3830" s="55">
        <v>136046.6</v>
      </c>
      <c r="K3830" s="55">
        <v>46897.3</v>
      </c>
      <c r="L3830" s="55">
        <v>55799.1</v>
      </c>
      <c r="M3830" s="55">
        <v>9727.4</v>
      </c>
      <c r="N3830" s="55">
        <v>842.4</v>
      </c>
    </row>
    <row r="3831" spans="1:14" ht="10.050000000000001" hidden="1" customHeight="1">
      <c r="A3831" s="52" t="s">
        <v>172</v>
      </c>
      <c r="B3831" s="53">
        <v>2023</v>
      </c>
      <c r="C3831" s="52" t="s">
        <v>128</v>
      </c>
      <c r="D3831" s="54">
        <v>7</v>
      </c>
      <c r="E3831" s="55">
        <v>451798.2</v>
      </c>
      <c r="F3831" s="55">
        <v>22190.2</v>
      </c>
      <c r="G3831" s="55">
        <v>473988.4</v>
      </c>
      <c r="H3831" s="55">
        <v>506550.5</v>
      </c>
      <c r="I3831" s="55">
        <v>23818.7</v>
      </c>
      <c r="J3831" s="55">
        <v>530369.19999999995</v>
      </c>
      <c r="K3831" s="55">
        <v>404709.7</v>
      </c>
      <c r="L3831" s="55">
        <v>437942.1</v>
      </c>
      <c r="M3831" s="55">
        <v>37573.300000000003</v>
      </c>
      <c r="N3831" s="55">
        <v>3589.9</v>
      </c>
    </row>
    <row r="3832" spans="1:14" ht="10.050000000000001" hidden="1" customHeight="1">
      <c r="A3832" s="52" t="s">
        <v>171</v>
      </c>
      <c r="B3832" s="53">
        <v>2023</v>
      </c>
      <c r="C3832" s="52" t="s">
        <v>128</v>
      </c>
      <c r="D3832" s="54">
        <v>7</v>
      </c>
      <c r="E3832" s="55">
        <v>11235544.800000001</v>
      </c>
      <c r="F3832" s="55">
        <v>116733.1</v>
      </c>
      <c r="G3832" s="55">
        <v>11352277.9</v>
      </c>
      <c r="H3832" s="55">
        <v>10935314.5</v>
      </c>
      <c r="I3832" s="55">
        <v>106464.8</v>
      </c>
      <c r="J3832" s="55">
        <v>11041779.300000001</v>
      </c>
      <c r="K3832" s="55">
        <v>8507816.5</v>
      </c>
      <c r="L3832" s="55">
        <v>9857378.4000000004</v>
      </c>
      <c r="M3832" s="55">
        <v>1535045.2</v>
      </c>
      <c r="N3832" s="55">
        <v>58069</v>
      </c>
    </row>
    <row r="3833" spans="1:14" ht="10.050000000000001" hidden="1" customHeight="1">
      <c r="A3833" s="52" t="s">
        <v>300</v>
      </c>
      <c r="B3833" s="53">
        <v>2023</v>
      </c>
      <c r="C3833" s="52" t="s">
        <v>128</v>
      </c>
      <c r="D3833" s="54">
        <v>7</v>
      </c>
      <c r="E3833" s="55">
        <v>9854.7999999999993</v>
      </c>
      <c r="F3833" s="55">
        <v>165.7</v>
      </c>
      <c r="G3833" s="55">
        <v>10020.5</v>
      </c>
      <c r="H3833" s="55">
        <v>27192.3</v>
      </c>
      <c r="I3833" s="55">
        <v>583.20000000000005</v>
      </c>
      <c r="J3833" s="55">
        <v>27775.5</v>
      </c>
      <c r="K3833" s="55">
        <v>1350.6</v>
      </c>
      <c r="L3833" s="55">
        <v>1301</v>
      </c>
      <c r="M3833" s="55">
        <v>80.900000000000006</v>
      </c>
      <c r="N3833" s="55">
        <v>74</v>
      </c>
    </row>
    <row r="3834" spans="1:14" ht="10.050000000000001" hidden="1" customHeight="1">
      <c r="A3834" s="52" t="s">
        <v>307</v>
      </c>
      <c r="B3834" s="53">
        <v>2023</v>
      </c>
      <c r="C3834" s="52" t="s">
        <v>128</v>
      </c>
      <c r="D3834" s="54">
        <v>7</v>
      </c>
      <c r="E3834" s="55">
        <v>130249.60000000001</v>
      </c>
      <c r="F3834" s="55">
        <v>0</v>
      </c>
      <c r="G3834" s="55">
        <v>130249.60000000001</v>
      </c>
      <c r="H3834" s="55">
        <v>1089463.8999999999</v>
      </c>
      <c r="I3834" s="55">
        <v>17767.400000000001</v>
      </c>
      <c r="J3834" s="55">
        <v>1107231.3</v>
      </c>
      <c r="K3834" s="55">
        <v>295784.90000000002</v>
      </c>
      <c r="L3834" s="55">
        <v>46181.9</v>
      </c>
      <c r="M3834" s="55">
        <v>69075.600000000006</v>
      </c>
      <c r="N3834" s="55">
        <v>29899.5</v>
      </c>
    </row>
    <row r="3835" spans="1:14" ht="10.050000000000001" hidden="1" customHeight="1">
      <c r="A3835" s="52" t="s">
        <v>315</v>
      </c>
      <c r="B3835" s="53">
        <v>2023</v>
      </c>
      <c r="C3835" s="52" t="s">
        <v>128</v>
      </c>
      <c r="D3835" s="54">
        <v>7</v>
      </c>
      <c r="E3835" s="55">
        <v>152.19999999999999</v>
      </c>
      <c r="F3835" s="55">
        <v>0</v>
      </c>
      <c r="G3835" s="55">
        <v>152.19999999999999</v>
      </c>
      <c r="H3835" s="55">
        <v>5781.2</v>
      </c>
      <c r="I3835" s="55">
        <v>0</v>
      </c>
      <c r="J3835" s="55">
        <v>5781.2</v>
      </c>
      <c r="K3835" s="55">
        <v>367.8</v>
      </c>
      <c r="L3835" s="55">
        <v>0</v>
      </c>
      <c r="M3835" s="55">
        <v>57.3</v>
      </c>
      <c r="N3835" s="55">
        <v>0</v>
      </c>
    </row>
    <row r="3836" spans="1:14" ht="10.050000000000001" hidden="1" customHeight="1">
      <c r="A3836" s="52" t="s">
        <v>311</v>
      </c>
      <c r="B3836" s="53">
        <v>2023</v>
      </c>
      <c r="C3836" s="52" t="s">
        <v>128</v>
      </c>
      <c r="D3836" s="54">
        <v>7</v>
      </c>
      <c r="E3836" s="55">
        <v>1427.2</v>
      </c>
      <c r="F3836" s="55">
        <v>0</v>
      </c>
      <c r="G3836" s="55">
        <v>1427.2</v>
      </c>
      <c r="H3836" s="55">
        <v>1681.6</v>
      </c>
      <c r="I3836" s="55">
        <v>0</v>
      </c>
      <c r="J3836" s="55">
        <v>1681.6</v>
      </c>
      <c r="K3836" s="55">
        <v>188.7</v>
      </c>
      <c r="L3836" s="55">
        <v>135</v>
      </c>
      <c r="M3836" s="55">
        <v>0</v>
      </c>
      <c r="N3836" s="55">
        <v>21.8</v>
      </c>
    </row>
    <row r="3837" spans="1:14" ht="10.050000000000001" hidden="1" customHeight="1">
      <c r="A3837" s="52" t="s">
        <v>173</v>
      </c>
      <c r="B3837" s="53">
        <v>2023</v>
      </c>
      <c r="C3837" s="52" t="s">
        <v>128</v>
      </c>
      <c r="D3837" s="54">
        <v>7</v>
      </c>
      <c r="E3837" s="55">
        <v>5264797.8</v>
      </c>
      <c r="F3837" s="55">
        <v>97589.5</v>
      </c>
      <c r="G3837" s="55">
        <v>5362387.3</v>
      </c>
      <c r="H3837" s="55">
        <v>4753758.7</v>
      </c>
      <c r="I3837" s="55">
        <v>53348.4</v>
      </c>
      <c r="J3837" s="55">
        <v>4807107.0999999996</v>
      </c>
      <c r="K3837" s="55">
        <v>3403804.1</v>
      </c>
      <c r="L3837" s="55">
        <v>4558082.0999999996</v>
      </c>
      <c r="M3837" s="55">
        <v>1185555.8999999999</v>
      </c>
      <c r="N3837" s="55">
        <v>89602.6</v>
      </c>
    </row>
    <row r="3838" spans="1:14" ht="10.050000000000001" customHeight="1">
      <c r="A3838" s="52" t="s">
        <v>309</v>
      </c>
      <c r="B3838" s="53">
        <v>2023</v>
      </c>
      <c r="C3838" s="52" t="s">
        <v>128</v>
      </c>
      <c r="D3838" s="54">
        <v>7</v>
      </c>
      <c r="E3838" s="55">
        <v>450.9</v>
      </c>
      <c r="F3838" s="55">
        <v>0</v>
      </c>
      <c r="G3838" s="55">
        <v>450.9</v>
      </c>
      <c r="H3838" s="55">
        <v>34297.5</v>
      </c>
      <c r="I3838" s="55">
        <v>678.9</v>
      </c>
      <c r="J3838" s="55">
        <v>34976.400000000001</v>
      </c>
      <c r="K3838" s="55">
        <v>830</v>
      </c>
      <c r="L3838" s="55">
        <v>0</v>
      </c>
      <c r="M3838" s="55">
        <v>0</v>
      </c>
      <c r="N3838" s="55">
        <v>0</v>
      </c>
    </row>
    <row r="3839" spans="1:14" ht="10.050000000000001" hidden="1" customHeight="1">
      <c r="A3839" s="52" t="s">
        <v>316</v>
      </c>
      <c r="B3839" s="53">
        <v>2023</v>
      </c>
      <c r="C3839" s="52" t="s">
        <v>128</v>
      </c>
      <c r="D3839" s="54">
        <v>7</v>
      </c>
      <c r="E3839" s="55">
        <v>200.4</v>
      </c>
      <c r="F3839" s="55">
        <v>0</v>
      </c>
      <c r="G3839" s="55">
        <v>200.4</v>
      </c>
      <c r="H3839" s="55">
        <v>10242.700000000001</v>
      </c>
      <c r="I3839" s="55">
        <v>349.5</v>
      </c>
      <c r="J3839" s="55">
        <v>10592.2</v>
      </c>
      <c r="K3839" s="55">
        <v>539.20000000000005</v>
      </c>
      <c r="L3839" s="55">
        <v>389.9</v>
      </c>
      <c r="M3839" s="55">
        <v>9.9</v>
      </c>
      <c r="N3839" s="55">
        <v>2.5</v>
      </c>
    </row>
    <row r="3840" spans="1:14" ht="10.050000000000001" hidden="1" customHeight="1">
      <c r="A3840" s="52" t="s">
        <v>310</v>
      </c>
      <c r="B3840" s="53">
        <v>2023</v>
      </c>
      <c r="C3840" s="52" t="s">
        <v>128</v>
      </c>
      <c r="D3840" s="54">
        <v>7</v>
      </c>
      <c r="E3840" s="55">
        <v>27747.5</v>
      </c>
      <c r="F3840" s="55">
        <v>777.6</v>
      </c>
      <c r="G3840" s="55">
        <v>28525.1</v>
      </c>
      <c r="H3840" s="55">
        <v>42574.1</v>
      </c>
      <c r="I3840" s="55">
        <v>1399.1</v>
      </c>
      <c r="J3840" s="55">
        <v>43973.2</v>
      </c>
      <c r="K3840" s="55">
        <v>18104.8</v>
      </c>
      <c r="L3840" s="55">
        <v>20931.3</v>
      </c>
      <c r="M3840" s="55">
        <v>3032.1</v>
      </c>
      <c r="N3840" s="55">
        <v>331.2</v>
      </c>
    </row>
    <row r="3841" spans="1:14" ht="10.050000000000001" hidden="1" customHeight="1">
      <c r="A3841" s="52" t="s">
        <v>308</v>
      </c>
      <c r="B3841" s="53">
        <v>2023</v>
      </c>
      <c r="C3841" s="52" t="s">
        <v>128</v>
      </c>
      <c r="D3841" s="54">
        <v>7</v>
      </c>
      <c r="E3841" s="55">
        <v>346.6</v>
      </c>
      <c r="F3841" s="55">
        <v>0</v>
      </c>
      <c r="G3841" s="55">
        <v>346.6</v>
      </c>
      <c r="H3841" s="55">
        <v>13159.4</v>
      </c>
      <c r="I3841" s="55">
        <v>101</v>
      </c>
      <c r="J3841" s="55">
        <v>13260.4</v>
      </c>
      <c r="K3841" s="55">
        <v>653.4</v>
      </c>
      <c r="L3841" s="55">
        <v>27.5</v>
      </c>
      <c r="M3841" s="55">
        <v>130.19999999999999</v>
      </c>
      <c r="N3841" s="55">
        <v>133.4</v>
      </c>
    </row>
    <row r="3842" spans="1:14" ht="10.050000000000001" hidden="1" customHeight="1">
      <c r="A3842" s="52" t="s">
        <v>174</v>
      </c>
      <c r="B3842" s="53">
        <v>2023</v>
      </c>
      <c r="C3842" s="52" t="s">
        <v>128</v>
      </c>
      <c r="D3842" s="54">
        <v>7</v>
      </c>
      <c r="E3842" s="55">
        <v>296477.3</v>
      </c>
      <c r="F3842" s="55">
        <v>11765.4</v>
      </c>
      <c r="G3842" s="55">
        <v>308242.7</v>
      </c>
      <c r="H3842" s="55">
        <v>291276.09999999998</v>
      </c>
      <c r="I3842" s="55">
        <v>15766.1</v>
      </c>
      <c r="J3842" s="55">
        <v>307042.2</v>
      </c>
      <c r="K3842" s="55">
        <v>264297.59999999998</v>
      </c>
      <c r="L3842" s="55">
        <v>283996</v>
      </c>
      <c r="M3842" s="55">
        <v>29967.9</v>
      </c>
      <c r="N3842" s="55">
        <v>13102.5</v>
      </c>
    </row>
    <row r="3843" spans="1:14" ht="10.050000000000001" hidden="1" customHeight="1">
      <c r="A3843" s="52" t="s">
        <v>314</v>
      </c>
      <c r="B3843" s="53">
        <v>2023</v>
      </c>
      <c r="C3843" s="52" t="s">
        <v>128</v>
      </c>
      <c r="D3843" s="54">
        <v>8</v>
      </c>
      <c r="E3843" s="55">
        <v>0</v>
      </c>
      <c r="F3843" s="55">
        <v>0</v>
      </c>
      <c r="G3843" s="55">
        <v>0</v>
      </c>
      <c r="H3843" s="55">
        <v>36.700000000000003</v>
      </c>
      <c r="I3843" s="55">
        <v>0</v>
      </c>
      <c r="J3843" s="55">
        <v>36.700000000000003</v>
      </c>
      <c r="K3843" s="55">
        <v>0</v>
      </c>
      <c r="L3843" s="55">
        <v>0</v>
      </c>
      <c r="M3843" s="55">
        <v>0</v>
      </c>
      <c r="N3843" s="55">
        <v>0</v>
      </c>
    </row>
    <row r="3844" spans="1:14" ht="10.050000000000001" hidden="1" customHeight="1">
      <c r="A3844" s="52" t="s">
        <v>306</v>
      </c>
      <c r="B3844" s="53">
        <v>2023</v>
      </c>
      <c r="C3844" s="52" t="s">
        <v>128</v>
      </c>
      <c r="D3844" s="54">
        <v>8</v>
      </c>
      <c r="E3844" s="55">
        <v>45843.8</v>
      </c>
      <c r="F3844" s="55">
        <v>754.8</v>
      </c>
      <c r="G3844" s="55">
        <v>46598.6</v>
      </c>
      <c r="H3844" s="55">
        <v>158120.6</v>
      </c>
      <c r="I3844" s="55">
        <v>3177.8</v>
      </c>
      <c r="J3844" s="55">
        <v>161298.4</v>
      </c>
      <c r="K3844" s="55">
        <v>35363.800000000003</v>
      </c>
      <c r="L3844" s="55">
        <v>8988.6000000000095</v>
      </c>
      <c r="M3844" s="55">
        <v>17830.2</v>
      </c>
      <c r="N3844" s="55">
        <v>2691.5</v>
      </c>
    </row>
    <row r="3845" spans="1:14" ht="10.050000000000001" hidden="1" customHeight="1">
      <c r="A3845" s="52" t="s">
        <v>172</v>
      </c>
      <c r="B3845" s="53">
        <v>2023</v>
      </c>
      <c r="C3845" s="52" t="s">
        <v>128</v>
      </c>
      <c r="D3845" s="54">
        <v>8</v>
      </c>
      <c r="E3845" s="55">
        <v>103373.7</v>
      </c>
      <c r="F3845" s="55">
        <v>1908.2</v>
      </c>
      <c r="G3845" s="55">
        <v>105281.9</v>
      </c>
      <c r="H3845" s="55">
        <v>509115.8</v>
      </c>
      <c r="I3845" s="55">
        <v>20184.599999999999</v>
      </c>
      <c r="J3845" s="55">
        <v>529300.4</v>
      </c>
      <c r="K3845" s="55">
        <v>348258.5</v>
      </c>
      <c r="L3845" s="55">
        <v>17789.7</v>
      </c>
      <c r="M3845" s="55">
        <v>63490.400000000001</v>
      </c>
      <c r="N3845" s="55">
        <v>10867.2</v>
      </c>
    </row>
    <row r="3846" spans="1:14" ht="10.050000000000001" hidden="1" customHeight="1">
      <c r="A3846" s="52" t="s">
        <v>171</v>
      </c>
      <c r="B3846" s="53">
        <v>2023</v>
      </c>
      <c r="C3846" s="52" t="s">
        <v>128</v>
      </c>
      <c r="D3846" s="54">
        <v>8</v>
      </c>
      <c r="E3846" s="55">
        <v>3438141</v>
      </c>
      <c r="F3846" s="55">
        <v>137269.79999999999</v>
      </c>
      <c r="G3846" s="55">
        <v>3575410.8</v>
      </c>
      <c r="H3846" s="55">
        <v>11677117.4</v>
      </c>
      <c r="I3846" s="55">
        <v>137563.9</v>
      </c>
      <c r="J3846" s="55">
        <v>11814681.300000001</v>
      </c>
      <c r="K3846" s="55">
        <v>8466390.5999999996</v>
      </c>
      <c r="L3846" s="55">
        <v>2099902.9</v>
      </c>
      <c r="M3846" s="55">
        <v>1844332.4</v>
      </c>
      <c r="N3846" s="55">
        <v>288165.7</v>
      </c>
    </row>
    <row r="3847" spans="1:14" ht="10.050000000000001" hidden="1" customHeight="1">
      <c r="A3847" s="52" t="s">
        <v>300</v>
      </c>
      <c r="B3847" s="53">
        <v>2023</v>
      </c>
      <c r="C3847" s="52" t="s">
        <v>128</v>
      </c>
      <c r="D3847" s="54">
        <v>8</v>
      </c>
      <c r="E3847" s="55">
        <v>4042.1</v>
      </c>
      <c r="F3847" s="55">
        <v>5.9</v>
      </c>
      <c r="G3847" s="55">
        <v>4048</v>
      </c>
      <c r="H3847" s="55">
        <v>30101.5</v>
      </c>
      <c r="I3847" s="55">
        <v>440.9</v>
      </c>
      <c r="J3847" s="55">
        <v>30542.400000000001</v>
      </c>
      <c r="K3847" s="55">
        <v>1018.3</v>
      </c>
      <c r="L3847" s="55">
        <v>373.4</v>
      </c>
      <c r="M3847" s="55">
        <v>665.6</v>
      </c>
      <c r="N3847" s="55">
        <v>29.7</v>
      </c>
    </row>
    <row r="3848" spans="1:14" ht="10.050000000000001" hidden="1" customHeight="1">
      <c r="A3848" s="52" t="s">
        <v>307</v>
      </c>
      <c r="B3848" s="53">
        <v>2023</v>
      </c>
      <c r="C3848" s="52" t="s">
        <v>128</v>
      </c>
      <c r="D3848" s="54">
        <v>8</v>
      </c>
      <c r="E3848" s="55">
        <v>202622.9</v>
      </c>
      <c r="F3848" s="55">
        <v>14130.4</v>
      </c>
      <c r="G3848" s="55">
        <v>216753.3</v>
      </c>
      <c r="H3848" s="55">
        <v>699866.5</v>
      </c>
      <c r="I3848" s="55">
        <v>30402.5</v>
      </c>
      <c r="J3848" s="55">
        <v>730269</v>
      </c>
      <c r="K3848" s="55">
        <v>189480.5</v>
      </c>
      <c r="L3848" s="55">
        <v>29119.5</v>
      </c>
      <c r="M3848" s="55">
        <v>109666.1</v>
      </c>
      <c r="N3848" s="55">
        <v>26014.7</v>
      </c>
    </row>
    <row r="3849" spans="1:14" ht="10.050000000000001" hidden="1" customHeight="1">
      <c r="A3849" s="52" t="s">
        <v>315</v>
      </c>
      <c r="B3849" s="53">
        <v>2023</v>
      </c>
      <c r="C3849" s="52" t="s">
        <v>128</v>
      </c>
      <c r="D3849" s="54">
        <v>8</v>
      </c>
      <c r="E3849" s="55">
        <v>402.1</v>
      </c>
      <c r="F3849" s="55">
        <v>0</v>
      </c>
      <c r="G3849" s="55">
        <v>402.1</v>
      </c>
      <c r="H3849" s="55">
        <v>4979.7</v>
      </c>
      <c r="I3849" s="55">
        <v>0</v>
      </c>
      <c r="J3849" s="55">
        <v>4979.7</v>
      </c>
      <c r="K3849" s="55">
        <v>351.4</v>
      </c>
      <c r="L3849" s="55">
        <v>0</v>
      </c>
      <c r="M3849" s="55">
        <v>0</v>
      </c>
      <c r="N3849" s="55">
        <v>0</v>
      </c>
    </row>
    <row r="3850" spans="1:14" ht="10.050000000000001" hidden="1" customHeight="1">
      <c r="A3850" s="52" t="s">
        <v>311</v>
      </c>
      <c r="B3850" s="53">
        <v>2023</v>
      </c>
      <c r="C3850" s="52" t="s">
        <v>128</v>
      </c>
      <c r="D3850" s="54">
        <v>8</v>
      </c>
      <c r="E3850" s="55">
        <v>717.9</v>
      </c>
      <c r="F3850" s="55">
        <v>0</v>
      </c>
      <c r="G3850" s="55">
        <v>717.9</v>
      </c>
      <c r="H3850" s="55">
        <v>1988.4</v>
      </c>
      <c r="I3850" s="55">
        <v>0</v>
      </c>
      <c r="J3850" s="55">
        <v>1988.4</v>
      </c>
      <c r="K3850" s="55">
        <v>561.4</v>
      </c>
      <c r="L3850" s="55">
        <v>479.8</v>
      </c>
      <c r="M3850" s="55">
        <v>0</v>
      </c>
      <c r="N3850" s="55">
        <v>107.2</v>
      </c>
    </row>
    <row r="3851" spans="1:14" ht="10.050000000000001" hidden="1" customHeight="1">
      <c r="A3851" s="52" t="s">
        <v>173</v>
      </c>
      <c r="B3851" s="53">
        <v>2023</v>
      </c>
      <c r="C3851" s="52" t="s">
        <v>128</v>
      </c>
      <c r="D3851" s="54">
        <v>8</v>
      </c>
      <c r="E3851" s="55">
        <v>1052017.3</v>
      </c>
      <c r="F3851" s="55">
        <v>10790.8</v>
      </c>
      <c r="G3851" s="55">
        <v>1062808.1000000001</v>
      </c>
      <c r="H3851" s="55">
        <v>4896315.3000000101</v>
      </c>
      <c r="I3851" s="55">
        <v>46258</v>
      </c>
      <c r="J3851" s="55">
        <v>4942573.3</v>
      </c>
      <c r="K3851" s="55">
        <v>2711533.4</v>
      </c>
      <c r="L3851" s="55">
        <v>163533.29999999999</v>
      </c>
      <c r="M3851" s="55">
        <v>658293</v>
      </c>
      <c r="N3851" s="55">
        <v>195626.6</v>
      </c>
    </row>
    <row r="3852" spans="1:14" ht="10.050000000000001" customHeight="1">
      <c r="A3852" s="52" t="s">
        <v>309</v>
      </c>
      <c r="B3852" s="53">
        <v>2023</v>
      </c>
      <c r="C3852" s="52" t="s">
        <v>128</v>
      </c>
      <c r="D3852" s="54">
        <v>8</v>
      </c>
      <c r="E3852" s="55">
        <v>1376</v>
      </c>
      <c r="F3852" s="55">
        <v>0</v>
      </c>
      <c r="G3852" s="55">
        <v>1376</v>
      </c>
      <c r="H3852" s="55">
        <v>26334</v>
      </c>
      <c r="I3852" s="55">
        <v>678.9</v>
      </c>
      <c r="J3852" s="55">
        <v>27012.9</v>
      </c>
      <c r="K3852" s="55">
        <v>953.3</v>
      </c>
      <c r="L3852" s="55">
        <v>0</v>
      </c>
      <c r="M3852" s="55">
        <v>0</v>
      </c>
      <c r="N3852" s="55">
        <v>0</v>
      </c>
    </row>
    <row r="3853" spans="1:14" ht="10.050000000000001" hidden="1" customHeight="1">
      <c r="A3853" s="52" t="s">
        <v>316</v>
      </c>
      <c r="B3853" s="53">
        <v>2023</v>
      </c>
      <c r="C3853" s="52" t="s">
        <v>128</v>
      </c>
      <c r="D3853" s="54">
        <v>8</v>
      </c>
      <c r="E3853" s="55">
        <v>298.3</v>
      </c>
      <c r="F3853" s="55">
        <v>0</v>
      </c>
      <c r="G3853" s="55">
        <v>298.3</v>
      </c>
      <c r="H3853" s="55">
        <v>8919</v>
      </c>
      <c r="I3853" s="55">
        <v>346.5</v>
      </c>
      <c r="J3853" s="55">
        <v>9265.5</v>
      </c>
      <c r="K3853" s="55">
        <v>731.5</v>
      </c>
      <c r="L3853" s="55">
        <v>232.6</v>
      </c>
      <c r="M3853" s="55">
        <v>1.7</v>
      </c>
      <c r="N3853" s="55">
        <v>41.5</v>
      </c>
    </row>
    <row r="3854" spans="1:14" ht="10.050000000000001" hidden="1" customHeight="1">
      <c r="A3854" s="52" t="s">
        <v>310</v>
      </c>
      <c r="B3854" s="53">
        <v>2023</v>
      </c>
      <c r="C3854" s="52" t="s">
        <v>128</v>
      </c>
      <c r="D3854" s="54">
        <v>8</v>
      </c>
      <c r="E3854" s="55">
        <v>14956.2</v>
      </c>
      <c r="F3854" s="55">
        <v>2141.1</v>
      </c>
      <c r="G3854" s="55">
        <v>17097.3</v>
      </c>
      <c r="H3854" s="55">
        <v>54839.1</v>
      </c>
      <c r="I3854" s="55">
        <v>2495.6999999999998</v>
      </c>
      <c r="J3854" s="55">
        <v>57334.8</v>
      </c>
      <c r="K3854" s="55">
        <v>17091.900000000001</v>
      </c>
      <c r="L3854" s="55">
        <v>3528.4</v>
      </c>
      <c r="M3854" s="55">
        <v>4294.8</v>
      </c>
      <c r="N3854" s="55">
        <v>280.10000000000002</v>
      </c>
    </row>
    <row r="3855" spans="1:14" ht="10.050000000000001" hidden="1" customHeight="1">
      <c r="A3855" s="52" t="s">
        <v>308</v>
      </c>
      <c r="B3855" s="53">
        <v>2023</v>
      </c>
      <c r="C3855" s="52" t="s">
        <v>128</v>
      </c>
      <c r="D3855" s="54">
        <v>8</v>
      </c>
      <c r="E3855" s="55">
        <v>1050.8</v>
      </c>
      <c r="F3855" s="55">
        <v>111</v>
      </c>
      <c r="G3855" s="55">
        <v>1161.8</v>
      </c>
      <c r="H3855" s="55">
        <v>10641.5</v>
      </c>
      <c r="I3855" s="55">
        <v>318.2</v>
      </c>
      <c r="J3855" s="55">
        <v>10959.7</v>
      </c>
      <c r="K3855" s="55">
        <v>788.9</v>
      </c>
      <c r="L3855" s="55">
        <v>346.2</v>
      </c>
      <c r="M3855" s="55">
        <v>78.2</v>
      </c>
      <c r="N3855" s="55">
        <v>103.6</v>
      </c>
    </row>
    <row r="3856" spans="1:14" ht="10.050000000000001" hidden="1" customHeight="1">
      <c r="A3856" s="52" t="s">
        <v>174</v>
      </c>
      <c r="B3856" s="53">
        <v>2023</v>
      </c>
      <c r="C3856" s="52" t="s">
        <v>128</v>
      </c>
      <c r="D3856" s="54">
        <v>8</v>
      </c>
      <c r="E3856" s="55">
        <v>205405.8</v>
      </c>
      <c r="F3856" s="55">
        <v>11105</v>
      </c>
      <c r="G3856" s="55">
        <v>216510.8</v>
      </c>
      <c r="H3856" s="55">
        <v>415833.8</v>
      </c>
      <c r="I3856" s="55">
        <v>18939.2</v>
      </c>
      <c r="J3856" s="55">
        <v>434773</v>
      </c>
      <c r="K3856" s="55">
        <v>269943.90000000002</v>
      </c>
      <c r="L3856" s="55">
        <v>77848.2</v>
      </c>
      <c r="M3856" s="55">
        <v>54524.4</v>
      </c>
      <c r="N3856" s="55">
        <v>17689.5</v>
      </c>
    </row>
    <row r="3857" spans="1:14" ht="10.050000000000001" hidden="1" customHeight="1">
      <c r="A3857" s="52" t="s">
        <v>314</v>
      </c>
      <c r="B3857" s="53">
        <v>2023</v>
      </c>
      <c r="C3857" s="52" t="s">
        <v>128</v>
      </c>
      <c r="D3857" s="54">
        <v>9</v>
      </c>
      <c r="E3857" s="55">
        <v>0</v>
      </c>
      <c r="F3857" s="55">
        <v>0</v>
      </c>
      <c r="G3857" s="55">
        <v>0</v>
      </c>
      <c r="H3857" s="55">
        <v>47.8</v>
      </c>
      <c r="I3857" s="55">
        <v>0</v>
      </c>
      <c r="J3857" s="55">
        <v>47.8</v>
      </c>
      <c r="K3857" s="55">
        <v>0</v>
      </c>
      <c r="L3857" s="55">
        <v>0</v>
      </c>
      <c r="M3857" s="55">
        <v>0</v>
      </c>
      <c r="N3857" s="55">
        <v>0</v>
      </c>
    </row>
    <row r="3858" spans="1:14" ht="10.050000000000001" hidden="1" customHeight="1">
      <c r="A3858" s="52" t="s">
        <v>306</v>
      </c>
      <c r="B3858" s="53">
        <v>2023</v>
      </c>
      <c r="C3858" s="52" t="s">
        <v>128</v>
      </c>
      <c r="D3858" s="54">
        <v>9</v>
      </c>
      <c r="E3858" s="55">
        <v>16644.2</v>
      </c>
      <c r="F3858" s="55">
        <v>1636.8</v>
      </c>
      <c r="G3858" s="55">
        <v>18281</v>
      </c>
      <c r="H3858" s="55">
        <v>152095.5</v>
      </c>
      <c r="I3858" s="55">
        <v>3359.3</v>
      </c>
      <c r="J3858" s="55">
        <v>155454.79999999999</v>
      </c>
      <c r="K3858" s="55">
        <v>26042.6</v>
      </c>
      <c r="L3858" s="55">
        <v>2230.8000000000002</v>
      </c>
      <c r="M3858" s="55">
        <v>9928.7999999999993</v>
      </c>
      <c r="N3858" s="55">
        <v>1631.7</v>
      </c>
    </row>
    <row r="3859" spans="1:14" ht="10.050000000000001" hidden="1" customHeight="1">
      <c r="A3859" s="52" t="s">
        <v>172</v>
      </c>
      <c r="B3859" s="53">
        <v>2023</v>
      </c>
      <c r="C3859" s="52" t="s">
        <v>128</v>
      </c>
      <c r="D3859" s="54">
        <v>9</v>
      </c>
      <c r="E3859" s="55">
        <v>91309.8</v>
      </c>
      <c r="F3859" s="55">
        <v>4504.6000000000004</v>
      </c>
      <c r="G3859" s="55">
        <v>95814.399999999994</v>
      </c>
      <c r="H3859" s="55">
        <v>480908.5</v>
      </c>
      <c r="I3859" s="55">
        <v>16956.2</v>
      </c>
      <c r="J3859" s="55">
        <v>497864.7</v>
      </c>
      <c r="K3859" s="55">
        <v>290888</v>
      </c>
      <c r="L3859" s="55">
        <v>25128.5</v>
      </c>
      <c r="M3859" s="55">
        <v>67387.199999999997</v>
      </c>
      <c r="N3859" s="55">
        <v>15065.5</v>
      </c>
    </row>
    <row r="3860" spans="1:14" ht="10.050000000000001" hidden="1" customHeight="1">
      <c r="A3860" s="52" t="s">
        <v>171</v>
      </c>
      <c r="B3860" s="53">
        <v>2023</v>
      </c>
      <c r="C3860" s="52" t="s">
        <v>128</v>
      </c>
      <c r="D3860" s="54">
        <v>9</v>
      </c>
      <c r="E3860" s="55">
        <v>2537454.2999999998</v>
      </c>
      <c r="F3860" s="55">
        <v>87739.9</v>
      </c>
      <c r="G3860" s="55">
        <v>2625194.2000000002</v>
      </c>
      <c r="H3860" s="55">
        <v>11802394.800000001</v>
      </c>
      <c r="I3860" s="55">
        <v>121671.6</v>
      </c>
      <c r="J3860" s="55">
        <v>11924066.4</v>
      </c>
      <c r="K3860" s="55">
        <v>7154836.9000000004</v>
      </c>
      <c r="L3860" s="55">
        <v>724701.3</v>
      </c>
      <c r="M3860" s="55">
        <v>1703970.5</v>
      </c>
      <c r="N3860" s="55">
        <v>346985.6</v>
      </c>
    </row>
    <row r="3861" spans="1:14" ht="10.050000000000001" hidden="1" customHeight="1">
      <c r="A3861" s="52" t="s">
        <v>300</v>
      </c>
      <c r="B3861" s="53">
        <v>2023</v>
      </c>
      <c r="C3861" s="52" t="s">
        <v>128</v>
      </c>
      <c r="D3861" s="54">
        <v>9</v>
      </c>
      <c r="E3861" s="55">
        <v>2745.4</v>
      </c>
      <c r="F3861" s="55">
        <v>258.2</v>
      </c>
      <c r="G3861" s="55">
        <v>3003.6</v>
      </c>
      <c r="H3861" s="55">
        <v>30751.5</v>
      </c>
      <c r="I3861" s="55">
        <v>482</v>
      </c>
      <c r="J3861" s="55">
        <v>31233.5</v>
      </c>
      <c r="K3861" s="55">
        <v>702.5</v>
      </c>
      <c r="L3861" s="55">
        <v>104.8</v>
      </c>
      <c r="M3861" s="55">
        <v>158.6</v>
      </c>
      <c r="N3861" s="55">
        <v>262.10000000000002</v>
      </c>
    </row>
    <row r="3862" spans="1:14" ht="10.050000000000001" hidden="1" customHeight="1">
      <c r="A3862" s="52" t="s">
        <v>307</v>
      </c>
      <c r="B3862" s="53">
        <v>2023</v>
      </c>
      <c r="C3862" s="52" t="s">
        <v>128</v>
      </c>
      <c r="D3862" s="54">
        <v>9</v>
      </c>
      <c r="E3862" s="55">
        <v>983900.8</v>
      </c>
      <c r="F3862" s="55">
        <v>70600.100000000006</v>
      </c>
      <c r="G3862" s="55">
        <v>1054500.8999999999</v>
      </c>
      <c r="H3862" s="55">
        <v>1060302.7</v>
      </c>
      <c r="I3862" s="55">
        <v>81820.2</v>
      </c>
      <c r="J3862" s="55">
        <v>1142122.8999999999</v>
      </c>
      <c r="K3862" s="55">
        <v>801919.60000000102</v>
      </c>
      <c r="L3862" s="55">
        <v>777125.5</v>
      </c>
      <c r="M3862" s="55">
        <v>117313.5</v>
      </c>
      <c r="N3862" s="55">
        <v>45206.7</v>
      </c>
    </row>
    <row r="3863" spans="1:14" ht="10.050000000000001" hidden="1" customHeight="1">
      <c r="A3863" s="52" t="s">
        <v>315</v>
      </c>
      <c r="B3863" s="53">
        <v>2023</v>
      </c>
      <c r="C3863" s="52" t="s">
        <v>128</v>
      </c>
      <c r="D3863" s="54">
        <v>9</v>
      </c>
      <c r="E3863" s="55">
        <v>11714.4</v>
      </c>
      <c r="F3863" s="55">
        <v>0</v>
      </c>
      <c r="G3863" s="55">
        <v>11714.4</v>
      </c>
      <c r="H3863" s="55">
        <v>15058.7</v>
      </c>
      <c r="I3863" s="55">
        <v>0</v>
      </c>
      <c r="J3863" s="55">
        <v>15058.7</v>
      </c>
      <c r="K3863" s="55">
        <v>14416.2</v>
      </c>
      <c r="L3863" s="55">
        <v>17067.599999999999</v>
      </c>
      <c r="M3863" s="55">
        <v>3066.5</v>
      </c>
      <c r="N3863" s="55">
        <v>0.1</v>
      </c>
    </row>
    <row r="3864" spans="1:14" ht="10.050000000000001" hidden="1" customHeight="1">
      <c r="A3864" s="52" t="s">
        <v>311</v>
      </c>
      <c r="B3864" s="53">
        <v>2023</v>
      </c>
      <c r="C3864" s="52" t="s">
        <v>128</v>
      </c>
      <c r="D3864" s="54">
        <v>9</v>
      </c>
      <c r="E3864" s="55">
        <v>22.8</v>
      </c>
      <c r="F3864" s="55">
        <v>0</v>
      </c>
      <c r="G3864" s="55">
        <v>22.8</v>
      </c>
      <c r="H3864" s="55">
        <v>1912.2</v>
      </c>
      <c r="I3864" s="55">
        <v>0</v>
      </c>
      <c r="J3864" s="55">
        <v>1912.2</v>
      </c>
      <c r="K3864" s="55">
        <v>577.5</v>
      </c>
      <c r="L3864" s="55">
        <v>71.2</v>
      </c>
      <c r="M3864" s="55">
        <v>4</v>
      </c>
      <c r="N3864" s="55">
        <v>51.1</v>
      </c>
    </row>
    <row r="3865" spans="1:14" ht="10.050000000000001" hidden="1" customHeight="1">
      <c r="A3865" s="52" t="s">
        <v>173</v>
      </c>
      <c r="B3865" s="53">
        <v>2023</v>
      </c>
      <c r="C3865" s="52" t="s">
        <v>128</v>
      </c>
      <c r="D3865" s="54">
        <v>9</v>
      </c>
      <c r="E3865" s="55">
        <v>742477.3</v>
      </c>
      <c r="F3865" s="55">
        <v>18702.7</v>
      </c>
      <c r="G3865" s="55">
        <v>761180</v>
      </c>
      <c r="H3865" s="55">
        <v>4822806.5</v>
      </c>
      <c r="I3865" s="55">
        <v>40366.6</v>
      </c>
      <c r="J3865" s="55">
        <v>4863173.0999999996</v>
      </c>
      <c r="K3865" s="55">
        <v>2207925.4</v>
      </c>
      <c r="L3865" s="55">
        <v>215580.79999999999</v>
      </c>
      <c r="M3865" s="55">
        <v>494822</v>
      </c>
      <c r="N3865" s="55">
        <v>228420.5</v>
      </c>
    </row>
    <row r="3866" spans="1:14" ht="10.050000000000001" customHeight="1">
      <c r="A3866" s="52" t="s">
        <v>309</v>
      </c>
      <c r="B3866" s="53">
        <v>2023</v>
      </c>
      <c r="C3866" s="52" t="s">
        <v>128</v>
      </c>
      <c r="D3866" s="54">
        <v>9</v>
      </c>
      <c r="E3866" s="55">
        <v>11614.4</v>
      </c>
      <c r="F3866" s="55">
        <v>77.7</v>
      </c>
      <c r="G3866" s="55">
        <v>11692.1</v>
      </c>
      <c r="H3866" s="55">
        <v>30821.9</v>
      </c>
      <c r="I3866" s="55">
        <v>748.8</v>
      </c>
      <c r="J3866" s="55">
        <v>31570.7</v>
      </c>
      <c r="K3866" s="55">
        <v>1682.3</v>
      </c>
      <c r="L3866" s="55">
        <v>975.2</v>
      </c>
      <c r="M3866" s="55">
        <v>0</v>
      </c>
      <c r="N3866" s="55">
        <v>123</v>
      </c>
    </row>
    <row r="3867" spans="1:14" ht="10.050000000000001" hidden="1" customHeight="1">
      <c r="A3867" s="52" t="s">
        <v>316</v>
      </c>
      <c r="B3867" s="53">
        <v>2023</v>
      </c>
      <c r="C3867" s="52" t="s">
        <v>128</v>
      </c>
      <c r="D3867" s="54">
        <v>9</v>
      </c>
      <c r="E3867" s="55">
        <v>4920.2</v>
      </c>
      <c r="F3867" s="55">
        <v>65.2</v>
      </c>
      <c r="G3867" s="55">
        <v>4985.3999999999996</v>
      </c>
      <c r="H3867" s="55">
        <v>12501.5</v>
      </c>
      <c r="I3867" s="55">
        <v>412.2</v>
      </c>
      <c r="J3867" s="55">
        <v>12913.7</v>
      </c>
      <c r="K3867" s="55">
        <v>1856.3</v>
      </c>
      <c r="L3867" s="55">
        <v>1291</v>
      </c>
      <c r="M3867" s="55">
        <v>145.69999999999999</v>
      </c>
      <c r="N3867" s="55">
        <v>17.2</v>
      </c>
    </row>
    <row r="3868" spans="1:14" ht="10.050000000000001" hidden="1" customHeight="1">
      <c r="A3868" s="52" t="s">
        <v>310</v>
      </c>
      <c r="B3868" s="53">
        <v>2023</v>
      </c>
      <c r="C3868" s="52" t="s">
        <v>128</v>
      </c>
      <c r="D3868" s="54">
        <v>9</v>
      </c>
      <c r="E3868" s="55">
        <v>7025.8</v>
      </c>
      <c r="F3868" s="55">
        <v>413.2</v>
      </c>
      <c r="G3868" s="55">
        <v>7439</v>
      </c>
      <c r="H3868" s="55">
        <v>54647.3</v>
      </c>
      <c r="I3868" s="55">
        <v>2154.5</v>
      </c>
      <c r="J3868" s="55">
        <v>56801.8</v>
      </c>
      <c r="K3868" s="55">
        <v>12397.3</v>
      </c>
      <c r="L3868" s="55">
        <v>418.1</v>
      </c>
      <c r="M3868" s="55">
        <v>4734.8999999999996</v>
      </c>
      <c r="N3868" s="55">
        <v>377.9</v>
      </c>
    </row>
    <row r="3869" spans="1:14" ht="10.050000000000001" hidden="1" customHeight="1">
      <c r="A3869" s="52" t="s">
        <v>308</v>
      </c>
      <c r="B3869" s="53">
        <v>2023</v>
      </c>
      <c r="C3869" s="52" t="s">
        <v>128</v>
      </c>
      <c r="D3869" s="54">
        <v>9</v>
      </c>
      <c r="E3869" s="55">
        <v>66639.899999999994</v>
      </c>
      <c r="F3869" s="55">
        <v>80.8</v>
      </c>
      <c r="G3869" s="55">
        <v>66720.7</v>
      </c>
      <c r="H3869" s="55">
        <v>69078.7</v>
      </c>
      <c r="I3869" s="55">
        <v>110.2</v>
      </c>
      <c r="J3869" s="55">
        <v>69188.899999999994</v>
      </c>
      <c r="K3869" s="55">
        <v>44694.1</v>
      </c>
      <c r="L3869" s="55">
        <v>48187.199999999997</v>
      </c>
      <c r="M3869" s="55">
        <v>3553.2</v>
      </c>
      <c r="N3869" s="55">
        <v>757.4</v>
      </c>
    </row>
    <row r="3870" spans="1:14" ht="10.050000000000001" hidden="1" customHeight="1">
      <c r="A3870" s="52" t="s">
        <v>174</v>
      </c>
      <c r="B3870" s="53">
        <v>2023</v>
      </c>
      <c r="C3870" s="52" t="s">
        <v>128</v>
      </c>
      <c r="D3870" s="54">
        <v>9</v>
      </c>
      <c r="E3870" s="55">
        <v>67713.3</v>
      </c>
      <c r="F3870" s="55">
        <v>7066</v>
      </c>
      <c r="G3870" s="55">
        <v>74779.3</v>
      </c>
      <c r="H3870" s="55">
        <v>414388.5</v>
      </c>
      <c r="I3870" s="55">
        <v>16071.3</v>
      </c>
      <c r="J3870" s="55">
        <v>430459.8</v>
      </c>
      <c r="K3870" s="55">
        <v>231059.20000000001</v>
      </c>
      <c r="L3870" s="55">
        <v>10331.6</v>
      </c>
      <c r="M3870" s="55">
        <v>33632.5</v>
      </c>
      <c r="N3870" s="55">
        <v>15602.4</v>
      </c>
    </row>
    <row r="3871" spans="1:14" ht="10.050000000000001" hidden="1" customHeight="1">
      <c r="A3871" s="52" t="s">
        <v>314</v>
      </c>
      <c r="B3871" s="53">
        <v>2023</v>
      </c>
      <c r="C3871" s="52" t="s">
        <v>128</v>
      </c>
      <c r="D3871" s="54">
        <v>10</v>
      </c>
      <c r="E3871" s="55">
        <v>0</v>
      </c>
      <c r="F3871" s="55">
        <v>0</v>
      </c>
      <c r="G3871" s="55">
        <v>0</v>
      </c>
      <c r="H3871" s="55">
        <v>37.299999999999997</v>
      </c>
      <c r="I3871" s="55">
        <v>0</v>
      </c>
      <c r="J3871" s="55">
        <v>37.299999999999997</v>
      </c>
      <c r="K3871" s="55">
        <v>0</v>
      </c>
      <c r="L3871" s="55">
        <v>0</v>
      </c>
      <c r="M3871" s="55">
        <v>0</v>
      </c>
      <c r="N3871" s="55">
        <v>0</v>
      </c>
    </row>
    <row r="3872" spans="1:14" ht="10.050000000000001" hidden="1" customHeight="1">
      <c r="A3872" s="52" t="s">
        <v>306</v>
      </c>
      <c r="B3872" s="53">
        <v>2023</v>
      </c>
      <c r="C3872" s="52" t="s">
        <v>128</v>
      </c>
      <c r="D3872" s="54">
        <v>10</v>
      </c>
      <c r="E3872" s="55">
        <v>8648.7000000000007</v>
      </c>
      <c r="F3872" s="55">
        <v>1554.7</v>
      </c>
      <c r="G3872" s="55">
        <v>10203.4</v>
      </c>
      <c r="H3872" s="55">
        <v>134399.1</v>
      </c>
      <c r="I3872" s="55">
        <v>3069.1</v>
      </c>
      <c r="J3872" s="55">
        <v>137468.20000000001</v>
      </c>
      <c r="K3872" s="55">
        <v>20947.7</v>
      </c>
      <c r="L3872" s="55">
        <v>1185.2</v>
      </c>
      <c r="M3872" s="55">
        <v>5432.1</v>
      </c>
      <c r="N3872" s="55">
        <v>839.7</v>
      </c>
    </row>
    <row r="3873" spans="1:14" ht="10.050000000000001" hidden="1" customHeight="1">
      <c r="A3873" s="52" t="s">
        <v>172</v>
      </c>
      <c r="B3873" s="53">
        <v>2023</v>
      </c>
      <c r="C3873" s="52" t="s">
        <v>128</v>
      </c>
      <c r="D3873" s="54">
        <v>10</v>
      </c>
      <c r="E3873" s="55">
        <v>87499.9</v>
      </c>
      <c r="F3873" s="55">
        <v>5582.2</v>
      </c>
      <c r="G3873" s="55">
        <v>93082.1</v>
      </c>
      <c r="H3873" s="55">
        <v>469794.6</v>
      </c>
      <c r="I3873" s="55">
        <v>12392.1</v>
      </c>
      <c r="J3873" s="55">
        <v>482186.7</v>
      </c>
      <c r="K3873" s="55">
        <v>229517.5</v>
      </c>
      <c r="L3873" s="55">
        <v>9320.2000000000007</v>
      </c>
      <c r="M3873" s="55">
        <v>68770.3</v>
      </c>
      <c r="N3873" s="55">
        <v>1920.8</v>
      </c>
    </row>
    <row r="3874" spans="1:14" ht="10.050000000000001" hidden="1" customHeight="1">
      <c r="A3874" s="52" t="s">
        <v>171</v>
      </c>
      <c r="B3874" s="53">
        <v>2023</v>
      </c>
      <c r="C3874" s="52" t="s">
        <v>128</v>
      </c>
      <c r="D3874" s="54">
        <v>10</v>
      </c>
      <c r="E3874" s="55">
        <v>1466242.3</v>
      </c>
      <c r="F3874" s="55">
        <v>36797.699999999997</v>
      </c>
      <c r="G3874" s="55">
        <v>1503040</v>
      </c>
      <c r="H3874" s="55">
        <v>10995287.5</v>
      </c>
      <c r="I3874" s="55">
        <v>94098.1</v>
      </c>
      <c r="J3874" s="55">
        <v>11089385.6</v>
      </c>
      <c r="K3874" s="55">
        <v>6328210.9000000004</v>
      </c>
      <c r="L3874" s="55">
        <v>241491.4</v>
      </c>
      <c r="M3874" s="55">
        <v>958591.1</v>
      </c>
      <c r="N3874" s="55">
        <v>95258.3</v>
      </c>
    </row>
    <row r="3875" spans="1:14" ht="10.050000000000001" hidden="1" customHeight="1">
      <c r="A3875" s="52" t="s">
        <v>300</v>
      </c>
      <c r="B3875" s="53">
        <v>2023</v>
      </c>
      <c r="C3875" s="52" t="s">
        <v>128</v>
      </c>
      <c r="D3875" s="54">
        <v>10</v>
      </c>
      <c r="E3875" s="55">
        <v>884.10000000000105</v>
      </c>
      <c r="F3875" s="55">
        <v>167.5</v>
      </c>
      <c r="G3875" s="55">
        <v>1051.5999999999999</v>
      </c>
      <c r="H3875" s="55">
        <v>29820.799999999999</v>
      </c>
      <c r="I3875" s="55">
        <v>434.3</v>
      </c>
      <c r="J3875" s="55">
        <v>30255.1</v>
      </c>
      <c r="K3875" s="55">
        <v>674.8</v>
      </c>
      <c r="L3875" s="55">
        <v>2.9</v>
      </c>
      <c r="M3875" s="55">
        <v>29.5</v>
      </c>
      <c r="N3875" s="55">
        <v>1.1000000000000001</v>
      </c>
    </row>
    <row r="3876" spans="1:14" ht="10.050000000000001" hidden="1" customHeight="1">
      <c r="A3876" s="52" t="s">
        <v>307</v>
      </c>
      <c r="B3876" s="53">
        <v>2023</v>
      </c>
      <c r="C3876" s="52" t="s">
        <v>128</v>
      </c>
      <c r="D3876" s="54">
        <v>10</v>
      </c>
      <c r="E3876" s="55">
        <v>3820959.9</v>
      </c>
      <c r="F3876" s="55">
        <v>67574.899999999994</v>
      </c>
      <c r="G3876" s="55">
        <v>3888534.8</v>
      </c>
      <c r="H3876" s="55">
        <v>3927318.6</v>
      </c>
      <c r="I3876" s="55">
        <v>115666.9</v>
      </c>
      <c r="J3876" s="55">
        <v>4042985.5</v>
      </c>
      <c r="K3876" s="55">
        <v>3249969.6</v>
      </c>
      <c r="L3876" s="55">
        <v>3252118.9</v>
      </c>
      <c r="M3876" s="55">
        <v>681003.8</v>
      </c>
      <c r="N3876" s="55">
        <v>123251.2</v>
      </c>
    </row>
    <row r="3877" spans="1:14" ht="10.050000000000001" hidden="1" customHeight="1">
      <c r="A3877" s="52" t="s">
        <v>315</v>
      </c>
      <c r="B3877" s="53">
        <v>2023</v>
      </c>
      <c r="C3877" s="52" t="s">
        <v>128</v>
      </c>
      <c r="D3877" s="54">
        <v>10</v>
      </c>
      <c r="E3877" s="55">
        <v>17439.3</v>
      </c>
      <c r="F3877" s="55">
        <v>0</v>
      </c>
      <c r="G3877" s="55">
        <v>17439.3</v>
      </c>
      <c r="H3877" s="55">
        <v>28507.8</v>
      </c>
      <c r="I3877" s="55">
        <v>0</v>
      </c>
      <c r="J3877" s="55">
        <v>28507.8</v>
      </c>
      <c r="K3877" s="55">
        <v>14644.2</v>
      </c>
      <c r="L3877" s="55">
        <v>9207</v>
      </c>
      <c r="M3877" s="55">
        <v>8931.9</v>
      </c>
      <c r="N3877" s="55">
        <v>146.5</v>
      </c>
    </row>
    <row r="3878" spans="1:14" ht="10.050000000000001" hidden="1" customHeight="1">
      <c r="A3878" s="52" t="s">
        <v>311</v>
      </c>
      <c r="B3878" s="53">
        <v>2023</v>
      </c>
      <c r="C3878" s="52" t="s">
        <v>128</v>
      </c>
      <c r="D3878" s="54">
        <v>10</v>
      </c>
      <c r="E3878" s="55">
        <v>0</v>
      </c>
      <c r="F3878" s="55">
        <v>0</v>
      </c>
      <c r="G3878" s="55">
        <v>0</v>
      </c>
      <c r="H3878" s="55">
        <v>1857</v>
      </c>
      <c r="I3878" s="55">
        <v>0</v>
      </c>
      <c r="J3878" s="55">
        <v>1857</v>
      </c>
      <c r="K3878" s="55">
        <v>559.5</v>
      </c>
      <c r="L3878" s="55">
        <v>86</v>
      </c>
      <c r="M3878" s="55">
        <v>0</v>
      </c>
      <c r="N3878" s="55">
        <v>62.3</v>
      </c>
    </row>
    <row r="3879" spans="1:14" ht="10.050000000000001" hidden="1" customHeight="1">
      <c r="A3879" s="52" t="s">
        <v>173</v>
      </c>
      <c r="B3879" s="53">
        <v>2023</v>
      </c>
      <c r="C3879" s="52" t="s">
        <v>128</v>
      </c>
      <c r="D3879" s="54">
        <v>10</v>
      </c>
      <c r="E3879" s="55">
        <v>493932.4</v>
      </c>
      <c r="F3879" s="55">
        <v>22376.400000000001</v>
      </c>
      <c r="G3879" s="55">
        <v>516308.8</v>
      </c>
      <c r="H3879" s="55">
        <v>4570141.3</v>
      </c>
      <c r="I3879" s="55">
        <v>39771.5</v>
      </c>
      <c r="J3879" s="55">
        <v>4609912.8</v>
      </c>
      <c r="K3879" s="55">
        <v>1844455</v>
      </c>
      <c r="L3879" s="55">
        <v>53855.4</v>
      </c>
      <c r="M3879" s="55">
        <v>338446.8</v>
      </c>
      <c r="N3879" s="55">
        <v>75044.399999999994</v>
      </c>
    </row>
    <row r="3880" spans="1:14" ht="10.050000000000001" customHeight="1">
      <c r="A3880" s="52" t="s">
        <v>309</v>
      </c>
      <c r="B3880" s="53">
        <v>2023</v>
      </c>
      <c r="C3880" s="52" t="s">
        <v>128</v>
      </c>
      <c r="D3880" s="54">
        <v>10</v>
      </c>
      <c r="E3880" s="55">
        <v>40207.599999999999</v>
      </c>
      <c r="F3880" s="55">
        <v>1402.4</v>
      </c>
      <c r="G3880" s="55">
        <v>41610</v>
      </c>
      <c r="H3880" s="55">
        <v>66245.600000000006</v>
      </c>
      <c r="I3880" s="55">
        <v>2151.1999999999998</v>
      </c>
      <c r="J3880" s="55">
        <v>68396.800000000003</v>
      </c>
      <c r="K3880" s="55">
        <v>6478.2</v>
      </c>
      <c r="L3880" s="55">
        <v>5139.3999999999996</v>
      </c>
      <c r="M3880" s="55">
        <v>26.9</v>
      </c>
      <c r="N3880" s="55">
        <v>0</v>
      </c>
    </row>
    <row r="3881" spans="1:14" ht="10.050000000000001" hidden="1" customHeight="1">
      <c r="A3881" s="52" t="s">
        <v>316</v>
      </c>
      <c r="B3881" s="53">
        <v>2023</v>
      </c>
      <c r="C3881" s="52" t="s">
        <v>128</v>
      </c>
      <c r="D3881" s="54">
        <v>10</v>
      </c>
      <c r="E3881" s="55">
        <v>18724.2</v>
      </c>
      <c r="F3881" s="55">
        <v>332.3</v>
      </c>
      <c r="G3881" s="55">
        <v>19056.5</v>
      </c>
      <c r="H3881" s="55">
        <v>29239.599999999999</v>
      </c>
      <c r="I3881" s="55">
        <v>624.1</v>
      </c>
      <c r="J3881" s="55">
        <v>29863.7</v>
      </c>
      <c r="K3881" s="55">
        <v>3121.1</v>
      </c>
      <c r="L3881" s="55">
        <v>3008.7</v>
      </c>
      <c r="M3881" s="55">
        <v>1697.7</v>
      </c>
      <c r="N3881" s="55">
        <v>18.3</v>
      </c>
    </row>
    <row r="3882" spans="1:14" ht="10.050000000000001" hidden="1" customHeight="1">
      <c r="A3882" s="52" t="s">
        <v>310</v>
      </c>
      <c r="B3882" s="53">
        <v>2023</v>
      </c>
      <c r="C3882" s="52" t="s">
        <v>128</v>
      </c>
      <c r="D3882" s="54">
        <v>10</v>
      </c>
      <c r="E3882" s="55">
        <v>2962.2</v>
      </c>
      <c r="F3882" s="55">
        <v>87.6</v>
      </c>
      <c r="G3882" s="55">
        <v>3049.8</v>
      </c>
      <c r="H3882" s="55">
        <v>52789.3</v>
      </c>
      <c r="I3882" s="55">
        <v>1947.1</v>
      </c>
      <c r="J3882" s="55">
        <v>54736.4</v>
      </c>
      <c r="K3882" s="55">
        <v>10775.8</v>
      </c>
      <c r="L3882" s="55">
        <v>192.4</v>
      </c>
      <c r="M3882" s="55">
        <v>1573.1</v>
      </c>
      <c r="N3882" s="55">
        <v>245.4</v>
      </c>
    </row>
    <row r="3883" spans="1:14" ht="10.050000000000001" hidden="1" customHeight="1">
      <c r="A3883" s="52" t="s">
        <v>308</v>
      </c>
      <c r="B3883" s="53">
        <v>2023</v>
      </c>
      <c r="C3883" s="52" t="s">
        <v>128</v>
      </c>
      <c r="D3883" s="54">
        <v>10</v>
      </c>
      <c r="E3883" s="55">
        <v>74079.8</v>
      </c>
      <c r="F3883" s="55">
        <v>0</v>
      </c>
      <c r="G3883" s="55">
        <v>74079.8</v>
      </c>
      <c r="H3883" s="55">
        <v>122663.8</v>
      </c>
      <c r="I3883" s="55">
        <v>100.9</v>
      </c>
      <c r="J3883" s="55">
        <v>122764.7</v>
      </c>
      <c r="K3883" s="55">
        <v>68295.899999999994</v>
      </c>
      <c r="L3883" s="55">
        <v>48831.6</v>
      </c>
      <c r="M3883" s="55">
        <v>23125.7</v>
      </c>
      <c r="N3883" s="55">
        <v>2075.8000000000002</v>
      </c>
    </row>
    <row r="3884" spans="1:14" ht="10.050000000000001" hidden="1" customHeight="1">
      <c r="A3884" s="52" t="s">
        <v>174</v>
      </c>
      <c r="B3884" s="53">
        <v>2023</v>
      </c>
      <c r="C3884" s="52" t="s">
        <v>128</v>
      </c>
      <c r="D3884" s="54">
        <v>10</v>
      </c>
      <c r="E3884" s="55">
        <v>33193.5</v>
      </c>
      <c r="F3884" s="55">
        <v>2386.9</v>
      </c>
      <c r="G3884" s="55">
        <v>35580.400000000001</v>
      </c>
      <c r="H3884" s="55">
        <v>382883.6</v>
      </c>
      <c r="I3884" s="55">
        <v>10211.5</v>
      </c>
      <c r="J3884" s="55">
        <v>393095.1</v>
      </c>
      <c r="K3884" s="55">
        <v>203327.3</v>
      </c>
      <c r="L3884" s="55">
        <v>7761.4</v>
      </c>
      <c r="M3884" s="55">
        <v>20931.7</v>
      </c>
      <c r="N3884" s="55">
        <v>14931.7</v>
      </c>
    </row>
    <row r="3885" spans="1:14" ht="10.050000000000001" hidden="1" customHeight="1">
      <c r="A3885" s="52" t="s">
        <v>314</v>
      </c>
      <c r="B3885" s="53">
        <v>2023</v>
      </c>
      <c r="C3885" s="52" t="s">
        <v>128</v>
      </c>
      <c r="D3885" s="54">
        <v>11</v>
      </c>
      <c r="E3885" s="55">
        <v>0</v>
      </c>
      <c r="F3885" s="55">
        <v>0</v>
      </c>
      <c r="G3885" s="55">
        <v>0</v>
      </c>
      <c r="H3885" s="55">
        <v>46.8</v>
      </c>
      <c r="I3885" s="55">
        <v>0</v>
      </c>
      <c r="J3885" s="55">
        <v>46.8</v>
      </c>
      <c r="K3885" s="55">
        <v>0</v>
      </c>
      <c r="L3885" s="55">
        <v>0</v>
      </c>
      <c r="M3885" s="55">
        <v>0</v>
      </c>
      <c r="N3885" s="55">
        <v>0</v>
      </c>
    </row>
    <row r="3886" spans="1:14" ht="10.050000000000001" hidden="1" customHeight="1">
      <c r="A3886" s="52" t="s">
        <v>306</v>
      </c>
      <c r="B3886" s="53">
        <v>2023</v>
      </c>
      <c r="C3886" s="52" t="s">
        <v>128</v>
      </c>
      <c r="D3886" s="54">
        <v>11</v>
      </c>
      <c r="E3886" s="55">
        <v>8583.1</v>
      </c>
      <c r="F3886" s="55">
        <v>1814.1</v>
      </c>
      <c r="G3886" s="55">
        <v>10397.200000000001</v>
      </c>
      <c r="H3886" s="55">
        <v>119161.5</v>
      </c>
      <c r="I3886" s="55">
        <v>3149.1</v>
      </c>
      <c r="J3886" s="55">
        <v>122310.6</v>
      </c>
      <c r="K3886" s="55">
        <v>17084.400000000001</v>
      </c>
      <c r="L3886" s="55">
        <v>696.7</v>
      </c>
      <c r="M3886" s="55">
        <v>3948.9</v>
      </c>
      <c r="N3886" s="55">
        <v>638.1</v>
      </c>
    </row>
    <row r="3887" spans="1:14" ht="10.050000000000001" hidden="1" customHeight="1">
      <c r="A3887" s="52" t="s">
        <v>172</v>
      </c>
      <c r="B3887" s="53">
        <v>2023</v>
      </c>
      <c r="C3887" s="52" t="s">
        <v>128</v>
      </c>
      <c r="D3887" s="54">
        <v>11</v>
      </c>
      <c r="E3887" s="55">
        <v>62507.8</v>
      </c>
      <c r="F3887" s="55">
        <v>1071.8</v>
      </c>
      <c r="G3887" s="55">
        <v>63579.6</v>
      </c>
      <c r="H3887" s="55">
        <v>425485.1</v>
      </c>
      <c r="I3887" s="55">
        <v>11497.3</v>
      </c>
      <c r="J3887" s="55">
        <v>436982.4</v>
      </c>
      <c r="K3887" s="55">
        <v>194555.6</v>
      </c>
      <c r="L3887" s="55">
        <v>10262.700000000001</v>
      </c>
      <c r="M3887" s="55">
        <v>42169.7</v>
      </c>
      <c r="N3887" s="55">
        <v>3171.4</v>
      </c>
    </row>
    <row r="3888" spans="1:14" ht="10.050000000000001" hidden="1" customHeight="1">
      <c r="A3888" s="52" t="s">
        <v>171</v>
      </c>
      <c r="B3888" s="53">
        <v>2023</v>
      </c>
      <c r="C3888" s="52" t="s">
        <v>128</v>
      </c>
      <c r="D3888" s="54">
        <v>11</v>
      </c>
      <c r="E3888" s="55">
        <v>1424720</v>
      </c>
      <c r="F3888" s="55">
        <v>34439.1</v>
      </c>
      <c r="G3888" s="55">
        <v>1459159.1</v>
      </c>
      <c r="H3888" s="55">
        <v>10198903.300000001</v>
      </c>
      <c r="I3888" s="55">
        <v>88590.7</v>
      </c>
      <c r="J3888" s="55">
        <v>10287494</v>
      </c>
      <c r="K3888" s="55">
        <v>5740053.2000000002</v>
      </c>
      <c r="L3888" s="55">
        <v>340978.1</v>
      </c>
      <c r="M3888" s="55">
        <v>839186.2</v>
      </c>
      <c r="N3888" s="55">
        <v>90996.6</v>
      </c>
    </row>
    <row r="3889" spans="1:14" ht="10.050000000000001" hidden="1" customHeight="1">
      <c r="A3889" s="52" t="s">
        <v>300</v>
      </c>
      <c r="B3889" s="53">
        <v>2023</v>
      </c>
      <c r="C3889" s="52" t="s">
        <v>128</v>
      </c>
      <c r="D3889" s="54">
        <v>11</v>
      </c>
      <c r="E3889" s="55">
        <v>1330.4</v>
      </c>
      <c r="F3889" s="55">
        <v>229.7</v>
      </c>
      <c r="G3889" s="55">
        <v>1560.1</v>
      </c>
      <c r="H3889" s="55">
        <v>29450.6</v>
      </c>
      <c r="I3889" s="55">
        <v>445.5</v>
      </c>
      <c r="J3889" s="55">
        <v>29896.1</v>
      </c>
      <c r="K3889" s="55">
        <v>690</v>
      </c>
      <c r="L3889" s="55">
        <v>72.400000000000006</v>
      </c>
      <c r="M3889" s="55">
        <v>14.1</v>
      </c>
      <c r="N3889" s="55">
        <v>43.1</v>
      </c>
    </row>
    <row r="3890" spans="1:14" ht="10.050000000000001" hidden="1" customHeight="1">
      <c r="A3890" s="52" t="s">
        <v>307</v>
      </c>
      <c r="B3890" s="53">
        <v>2023</v>
      </c>
      <c r="C3890" s="52" t="s">
        <v>128</v>
      </c>
      <c r="D3890" s="54">
        <v>11</v>
      </c>
      <c r="E3890" s="55">
        <v>1763259.6</v>
      </c>
      <c r="F3890" s="55">
        <v>108025.4</v>
      </c>
      <c r="G3890" s="55">
        <v>1871285</v>
      </c>
      <c r="H3890" s="55">
        <v>4707063.0999999996</v>
      </c>
      <c r="I3890" s="55">
        <v>147561.29999999999</v>
      </c>
      <c r="J3890" s="55">
        <v>4854624.4000000004</v>
      </c>
      <c r="K3890" s="55">
        <v>2797842.3</v>
      </c>
      <c r="L3890" s="55">
        <v>650455.6</v>
      </c>
      <c r="M3890" s="55">
        <v>900986.700000001</v>
      </c>
      <c r="N3890" s="55">
        <v>204828.2</v>
      </c>
    </row>
    <row r="3891" spans="1:14" ht="10.050000000000001" hidden="1" customHeight="1">
      <c r="A3891" s="52" t="s">
        <v>315</v>
      </c>
      <c r="B3891" s="53">
        <v>2023</v>
      </c>
      <c r="C3891" s="52" t="s">
        <v>128</v>
      </c>
      <c r="D3891" s="54">
        <v>11</v>
      </c>
      <c r="E3891" s="55">
        <v>8734</v>
      </c>
      <c r="F3891" s="55">
        <v>0</v>
      </c>
      <c r="G3891" s="55">
        <v>8734</v>
      </c>
      <c r="H3891" s="55">
        <v>33195.199999999997</v>
      </c>
      <c r="I3891" s="55">
        <v>0</v>
      </c>
      <c r="J3891" s="55">
        <v>33195.199999999997</v>
      </c>
      <c r="K3891" s="55">
        <v>7295.9</v>
      </c>
      <c r="L3891" s="55">
        <v>164.7</v>
      </c>
      <c r="M3891" s="55">
        <v>7386.9</v>
      </c>
      <c r="N3891" s="55">
        <v>125.6</v>
      </c>
    </row>
    <row r="3892" spans="1:14" ht="10.050000000000001" hidden="1" customHeight="1">
      <c r="A3892" s="52" t="s">
        <v>311</v>
      </c>
      <c r="B3892" s="53">
        <v>2023</v>
      </c>
      <c r="C3892" s="52" t="s">
        <v>128</v>
      </c>
      <c r="D3892" s="54">
        <v>11</v>
      </c>
      <c r="E3892" s="55">
        <v>0</v>
      </c>
      <c r="F3892" s="55">
        <v>0</v>
      </c>
      <c r="G3892" s="55">
        <v>0</v>
      </c>
      <c r="H3892" s="55">
        <v>1795.6</v>
      </c>
      <c r="I3892" s="55">
        <v>0</v>
      </c>
      <c r="J3892" s="55">
        <v>1795.6</v>
      </c>
      <c r="K3892" s="55">
        <v>511.1</v>
      </c>
      <c r="L3892" s="55">
        <v>0</v>
      </c>
      <c r="M3892" s="55">
        <v>0</v>
      </c>
      <c r="N3892" s="55">
        <v>48.3</v>
      </c>
    </row>
    <row r="3893" spans="1:14" ht="10.050000000000001" hidden="1" customHeight="1">
      <c r="A3893" s="52" t="s">
        <v>173</v>
      </c>
      <c r="B3893" s="53">
        <v>2023</v>
      </c>
      <c r="C3893" s="52" t="s">
        <v>128</v>
      </c>
      <c r="D3893" s="54">
        <v>11</v>
      </c>
      <c r="E3893" s="55">
        <v>451916.9</v>
      </c>
      <c r="F3893" s="55">
        <v>19017.900000000001</v>
      </c>
      <c r="G3893" s="55">
        <v>470934.8</v>
      </c>
      <c r="H3893" s="55">
        <v>4315619.5</v>
      </c>
      <c r="I3893" s="55">
        <v>38245.4</v>
      </c>
      <c r="J3893" s="55">
        <v>4353864.9000000004</v>
      </c>
      <c r="K3893" s="55">
        <v>1581681.3</v>
      </c>
      <c r="L3893" s="55">
        <v>64611.3</v>
      </c>
      <c r="M3893" s="55">
        <v>269137.90000000002</v>
      </c>
      <c r="N3893" s="55">
        <v>58217.8</v>
      </c>
    </row>
    <row r="3894" spans="1:14" ht="10.050000000000001" customHeight="1">
      <c r="A3894" s="52" t="s">
        <v>309</v>
      </c>
      <c r="B3894" s="53">
        <v>2023</v>
      </c>
      <c r="C3894" s="52" t="s">
        <v>128</v>
      </c>
      <c r="D3894" s="54">
        <v>11</v>
      </c>
      <c r="E3894" s="55">
        <v>4623.1000000000004</v>
      </c>
      <c r="F3894" s="55">
        <v>10.9</v>
      </c>
      <c r="G3894" s="55">
        <v>4634</v>
      </c>
      <c r="H3894" s="55">
        <v>66263.199999999997</v>
      </c>
      <c r="I3894" s="55">
        <v>2162.1</v>
      </c>
      <c r="J3894" s="55">
        <v>68425.3</v>
      </c>
      <c r="K3894" s="55">
        <v>10530.9</v>
      </c>
      <c r="L3894" s="55">
        <v>4434.3</v>
      </c>
      <c r="M3894" s="55">
        <v>381.5</v>
      </c>
      <c r="N3894" s="55">
        <v>0</v>
      </c>
    </row>
    <row r="3895" spans="1:14" ht="10.050000000000001" hidden="1" customHeight="1">
      <c r="A3895" s="52" t="s">
        <v>316</v>
      </c>
      <c r="B3895" s="53">
        <v>2023</v>
      </c>
      <c r="C3895" s="52" t="s">
        <v>128</v>
      </c>
      <c r="D3895" s="54">
        <v>11</v>
      </c>
      <c r="E3895" s="55">
        <v>3501.9</v>
      </c>
      <c r="F3895" s="55">
        <v>172.7</v>
      </c>
      <c r="G3895" s="55">
        <v>3674.6</v>
      </c>
      <c r="H3895" s="55">
        <v>30253.1</v>
      </c>
      <c r="I3895" s="55">
        <v>672.7</v>
      </c>
      <c r="J3895" s="55">
        <v>30925.8</v>
      </c>
      <c r="K3895" s="55">
        <v>2274.5</v>
      </c>
      <c r="L3895" s="55">
        <v>403.5</v>
      </c>
      <c r="M3895" s="55">
        <v>1138.4000000000001</v>
      </c>
      <c r="N3895" s="55">
        <v>108.2</v>
      </c>
    </row>
    <row r="3896" spans="1:14" ht="10.050000000000001" hidden="1" customHeight="1">
      <c r="A3896" s="52" t="s">
        <v>310</v>
      </c>
      <c r="B3896" s="53">
        <v>2023</v>
      </c>
      <c r="C3896" s="52" t="s">
        <v>128</v>
      </c>
      <c r="D3896" s="54">
        <v>11</v>
      </c>
      <c r="E3896" s="55">
        <v>2943.8</v>
      </c>
      <c r="F3896" s="55">
        <v>644.70000000000005</v>
      </c>
      <c r="G3896" s="55">
        <v>3588.5</v>
      </c>
      <c r="H3896" s="55">
        <v>50626.5</v>
      </c>
      <c r="I3896" s="55">
        <v>1874.9</v>
      </c>
      <c r="J3896" s="55">
        <v>52501.4</v>
      </c>
      <c r="K3896" s="55">
        <v>9063.2999999999993</v>
      </c>
      <c r="L3896" s="55">
        <v>351</v>
      </c>
      <c r="M3896" s="55">
        <v>1737</v>
      </c>
      <c r="N3896" s="55">
        <v>326</v>
      </c>
    </row>
    <row r="3897" spans="1:14" ht="10.050000000000001" hidden="1" customHeight="1">
      <c r="A3897" s="52" t="s">
        <v>308</v>
      </c>
      <c r="B3897" s="53">
        <v>2023</v>
      </c>
      <c r="C3897" s="52" t="s">
        <v>128</v>
      </c>
      <c r="D3897" s="54">
        <v>11</v>
      </c>
      <c r="E3897" s="55">
        <v>39907.4</v>
      </c>
      <c r="F3897" s="55">
        <v>31</v>
      </c>
      <c r="G3897" s="55">
        <v>39938.400000000001</v>
      </c>
      <c r="H3897" s="55">
        <v>133500</v>
      </c>
      <c r="I3897" s="55">
        <v>131.9</v>
      </c>
      <c r="J3897" s="55">
        <v>133631.9</v>
      </c>
      <c r="K3897" s="55">
        <v>42590</v>
      </c>
      <c r="L3897" s="55">
        <v>6933.5</v>
      </c>
      <c r="M3897" s="55">
        <v>30392.9</v>
      </c>
      <c r="N3897" s="55">
        <v>2246.6</v>
      </c>
    </row>
    <row r="3898" spans="1:14" ht="10.050000000000001" hidden="1" customHeight="1">
      <c r="A3898" s="52" t="s">
        <v>174</v>
      </c>
      <c r="B3898" s="53">
        <v>2023</v>
      </c>
      <c r="C3898" s="52" t="s">
        <v>128</v>
      </c>
      <c r="D3898" s="54">
        <v>11</v>
      </c>
      <c r="E3898" s="55">
        <v>26281</v>
      </c>
      <c r="F3898" s="55">
        <v>2472.3000000000002</v>
      </c>
      <c r="G3898" s="55">
        <v>28753.3</v>
      </c>
      <c r="H3898" s="55">
        <v>347297.4</v>
      </c>
      <c r="I3898" s="55">
        <v>10673.6</v>
      </c>
      <c r="J3898" s="55">
        <v>357971</v>
      </c>
      <c r="K3898" s="55">
        <v>178631.2</v>
      </c>
      <c r="L3898" s="55">
        <v>4323.1000000000004</v>
      </c>
      <c r="M3898" s="55">
        <v>15970.8</v>
      </c>
      <c r="N3898" s="55">
        <v>12681.7</v>
      </c>
    </row>
    <row r="3899" spans="1:14" ht="10.050000000000001" hidden="1" customHeight="1">
      <c r="A3899" s="52" t="s">
        <v>314</v>
      </c>
      <c r="B3899" s="53">
        <v>2023</v>
      </c>
      <c r="C3899" s="52" t="s">
        <v>128</v>
      </c>
      <c r="D3899" s="54">
        <v>12</v>
      </c>
      <c r="E3899" s="55">
        <v>0.2</v>
      </c>
      <c r="F3899" s="55">
        <v>0</v>
      </c>
      <c r="G3899" s="55">
        <v>0.2</v>
      </c>
      <c r="H3899" s="55">
        <v>15.6</v>
      </c>
      <c r="I3899" s="55">
        <v>0</v>
      </c>
      <c r="J3899" s="55">
        <v>15.6</v>
      </c>
      <c r="K3899" s="55">
        <v>0</v>
      </c>
      <c r="L3899" s="55">
        <v>0</v>
      </c>
      <c r="M3899" s="55">
        <v>0</v>
      </c>
      <c r="N3899" s="55">
        <v>0</v>
      </c>
    </row>
    <row r="3900" spans="1:14" ht="10.050000000000001" hidden="1" customHeight="1">
      <c r="A3900" s="52" t="s">
        <v>306</v>
      </c>
      <c r="B3900" s="53">
        <v>2023</v>
      </c>
      <c r="C3900" s="52" t="s">
        <v>128</v>
      </c>
      <c r="D3900" s="54">
        <v>12</v>
      </c>
      <c r="E3900" s="55">
        <v>6434.5</v>
      </c>
      <c r="F3900" s="55">
        <v>1201.9000000000001</v>
      </c>
      <c r="G3900" s="55">
        <v>7636.4</v>
      </c>
      <c r="H3900" s="55">
        <v>104064.4</v>
      </c>
      <c r="I3900" s="55">
        <v>3686.5</v>
      </c>
      <c r="J3900" s="55">
        <v>107750.9</v>
      </c>
      <c r="K3900" s="55">
        <v>15034.6</v>
      </c>
      <c r="L3900" s="55">
        <v>1052.5</v>
      </c>
      <c r="M3900" s="55">
        <v>2563.8000000000002</v>
      </c>
      <c r="N3900" s="55">
        <v>538.1</v>
      </c>
    </row>
    <row r="3901" spans="1:14" ht="10.050000000000001" hidden="1" customHeight="1">
      <c r="A3901" s="52" t="s">
        <v>172</v>
      </c>
      <c r="B3901" s="53">
        <v>2023</v>
      </c>
      <c r="C3901" s="52" t="s">
        <v>128</v>
      </c>
      <c r="D3901" s="54">
        <v>12</v>
      </c>
      <c r="E3901" s="55">
        <v>76814.8</v>
      </c>
      <c r="F3901" s="55">
        <v>1150</v>
      </c>
      <c r="G3901" s="55">
        <v>77964.800000000003</v>
      </c>
      <c r="H3901" s="55">
        <v>400526.3</v>
      </c>
      <c r="I3901" s="55">
        <v>11579.7</v>
      </c>
      <c r="J3901" s="55">
        <v>412106</v>
      </c>
      <c r="K3901" s="55">
        <v>164340.70000000001</v>
      </c>
      <c r="L3901" s="55">
        <v>10410.4</v>
      </c>
      <c r="M3901" s="55">
        <v>38975.800000000003</v>
      </c>
      <c r="N3901" s="55">
        <v>1532.6</v>
      </c>
    </row>
    <row r="3902" spans="1:14" ht="10.050000000000001" hidden="1" customHeight="1">
      <c r="A3902" s="52" t="s">
        <v>171</v>
      </c>
      <c r="B3902" s="53">
        <v>2023</v>
      </c>
      <c r="C3902" s="52" t="s">
        <v>128</v>
      </c>
      <c r="D3902" s="54">
        <v>12</v>
      </c>
      <c r="E3902" s="55">
        <v>1532102.4</v>
      </c>
      <c r="F3902" s="55">
        <v>20554.099999999999</v>
      </c>
      <c r="G3902" s="55">
        <v>1552656.5</v>
      </c>
      <c r="H3902" s="55">
        <v>9194198.5</v>
      </c>
      <c r="I3902" s="55">
        <v>82169.2</v>
      </c>
      <c r="J3902" s="55">
        <v>9276367.6999999993</v>
      </c>
      <c r="K3902" s="55">
        <v>5064295.2</v>
      </c>
      <c r="L3902" s="55">
        <v>305915.90000000002</v>
      </c>
      <c r="M3902" s="55">
        <v>894237.5</v>
      </c>
      <c r="N3902" s="55">
        <v>87578.7</v>
      </c>
    </row>
    <row r="3903" spans="1:14" ht="10.050000000000001" hidden="1" customHeight="1">
      <c r="A3903" s="52" t="s">
        <v>300</v>
      </c>
      <c r="B3903" s="53">
        <v>2023</v>
      </c>
      <c r="C3903" s="52" t="s">
        <v>128</v>
      </c>
      <c r="D3903" s="54">
        <v>12</v>
      </c>
      <c r="E3903" s="55">
        <v>1361.5</v>
      </c>
      <c r="F3903" s="55">
        <v>63.2</v>
      </c>
      <c r="G3903" s="55">
        <v>1424.7</v>
      </c>
      <c r="H3903" s="55">
        <v>29136.3</v>
      </c>
      <c r="I3903" s="55">
        <v>539.5</v>
      </c>
      <c r="J3903" s="55">
        <v>29675.8</v>
      </c>
      <c r="K3903" s="55">
        <v>680.8</v>
      </c>
      <c r="L3903" s="55">
        <v>13</v>
      </c>
      <c r="M3903" s="55">
        <v>13</v>
      </c>
      <c r="N3903" s="55">
        <v>9.1999999999999993</v>
      </c>
    </row>
    <row r="3904" spans="1:14" ht="10.050000000000001" hidden="1" customHeight="1">
      <c r="A3904" s="52" t="s">
        <v>307</v>
      </c>
      <c r="B3904" s="53">
        <v>2023</v>
      </c>
      <c r="C3904" s="52" t="s">
        <v>128</v>
      </c>
      <c r="D3904" s="54">
        <v>12</v>
      </c>
      <c r="E3904" s="55">
        <v>682586.6</v>
      </c>
      <c r="F3904" s="55">
        <v>23100.7</v>
      </c>
      <c r="G3904" s="55">
        <v>705687.3</v>
      </c>
      <c r="H3904" s="55">
        <v>4567115.0999999996</v>
      </c>
      <c r="I3904" s="55">
        <v>121560.1</v>
      </c>
      <c r="J3904" s="55">
        <v>4688675.2</v>
      </c>
      <c r="K3904" s="55">
        <v>2445378.7999999998</v>
      </c>
      <c r="L3904" s="55">
        <v>144763.29999999999</v>
      </c>
      <c r="M3904" s="55">
        <v>382421.3</v>
      </c>
      <c r="N3904" s="55">
        <v>114539.3</v>
      </c>
    </row>
    <row r="3905" spans="1:14" ht="10.050000000000001" hidden="1" customHeight="1">
      <c r="A3905" s="52" t="s">
        <v>315</v>
      </c>
      <c r="B3905" s="53">
        <v>2023</v>
      </c>
      <c r="C3905" s="52" t="s">
        <v>128</v>
      </c>
      <c r="D3905" s="54">
        <v>12</v>
      </c>
      <c r="E3905" s="55">
        <v>2556</v>
      </c>
      <c r="F3905" s="55">
        <v>0</v>
      </c>
      <c r="G3905" s="55">
        <v>2556</v>
      </c>
      <c r="H3905" s="55">
        <v>33163.300000000003</v>
      </c>
      <c r="I3905" s="55">
        <v>0</v>
      </c>
      <c r="J3905" s="55">
        <v>33163.300000000003</v>
      </c>
      <c r="K3905" s="55">
        <v>5371.7</v>
      </c>
      <c r="L3905" s="55">
        <v>90.5</v>
      </c>
      <c r="M3905" s="55">
        <v>1980.9</v>
      </c>
      <c r="N3905" s="55">
        <v>34</v>
      </c>
    </row>
    <row r="3906" spans="1:14" ht="10.050000000000001" hidden="1" customHeight="1">
      <c r="A3906" s="52" t="s">
        <v>311</v>
      </c>
      <c r="B3906" s="53">
        <v>2023</v>
      </c>
      <c r="C3906" s="52" t="s">
        <v>128</v>
      </c>
      <c r="D3906" s="54">
        <v>12</v>
      </c>
      <c r="E3906" s="55">
        <v>91</v>
      </c>
      <c r="F3906" s="55">
        <v>0</v>
      </c>
      <c r="G3906" s="55">
        <v>91</v>
      </c>
      <c r="H3906" s="55">
        <v>1495.5</v>
      </c>
      <c r="I3906" s="55">
        <v>0</v>
      </c>
      <c r="J3906" s="55">
        <v>1495.5</v>
      </c>
      <c r="K3906" s="55">
        <v>529.79999999999995</v>
      </c>
      <c r="L3906" s="55">
        <v>68.5</v>
      </c>
      <c r="M3906" s="55">
        <v>0</v>
      </c>
      <c r="N3906" s="55">
        <v>49.8</v>
      </c>
    </row>
    <row r="3907" spans="1:14" ht="10.050000000000001" hidden="1" customHeight="1">
      <c r="A3907" s="52" t="s">
        <v>173</v>
      </c>
      <c r="B3907" s="53">
        <v>2023</v>
      </c>
      <c r="C3907" s="52" t="s">
        <v>128</v>
      </c>
      <c r="D3907" s="54">
        <v>12</v>
      </c>
      <c r="E3907" s="55">
        <v>377804.1</v>
      </c>
      <c r="F3907" s="55">
        <v>12676.6</v>
      </c>
      <c r="G3907" s="55">
        <v>390480.7</v>
      </c>
      <c r="H3907" s="55">
        <v>4125924.9</v>
      </c>
      <c r="I3907" s="55">
        <v>38363.5</v>
      </c>
      <c r="J3907" s="55">
        <v>4164288.4</v>
      </c>
      <c r="K3907" s="55">
        <v>1350893</v>
      </c>
      <c r="L3907" s="55">
        <v>50648.4</v>
      </c>
      <c r="M3907" s="55">
        <v>221007.4</v>
      </c>
      <c r="N3907" s="55">
        <v>60428.9</v>
      </c>
    </row>
    <row r="3908" spans="1:14" ht="10.050000000000001" customHeight="1">
      <c r="A3908" s="52" t="s">
        <v>309</v>
      </c>
      <c r="B3908" s="53">
        <v>2023</v>
      </c>
      <c r="C3908" s="52" t="s">
        <v>128</v>
      </c>
      <c r="D3908" s="54">
        <v>12</v>
      </c>
      <c r="E3908" s="55">
        <v>2466.4</v>
      </c>
      <c r="F3908" s="55">
        <v>0</v>
      </c>
      <c r="G3908" s="55">
        <v>2466.4</v>
      </c>
      <c r="H3908" s="55">
        <v>64167.5</v>
      </c>
      <c r="I3908" s="55">
        <v>2078.3000000000002</v>
      </c>
      <c r="J3908" s="55">
        <v>66245.8</v>
      </c>
      <c r="K3908" s="55">
        <v>9242.7999999999993</v>
      </c>
      <c r="L3908" s="55">
        <v>3.2</v>
      </c>
      <c r="M3908" s="55">
        <v>1291.3</v>
      </c>
      <c r="N3908" s="55">
        <v>0</v>
      </c>
    </row>
    <row r="3909" spans="1:14" ht="10.050000000000001" hidden="1" customHeight="1">
      <c r="A3909" s="52" t="s">
        <v>316</v>
      </c>
      <c r="B3909" s="53">
        <v>2023</v>
      </c>
      <c r="C3909" s="52" t="s">
        <v>128</v>
      </c>
      <c r="D3909" s="54">
        <v>12</v>
      </c>
      <c r="E3909" s="55">
        <v>2041.7</v>
      </c>
      <c r="F3909" s="55">
        <v>190.8</v>
      </c>
      <c r="G3909" s="55">
        <v>2232.5</v>
      </c>
      <c r="H3909" s="55">
        <v>30392.7</v>
      </c>
      <c r="I3909" s="55">
        <v>807.8</v>
      </c>
      <c r="J3909" s="55">
        <v>31200.5</v>
      </c>
      <c r="K3909" s="55">
        <v>2081.1999999999998</v>
      </c>
      <c r="L3909" s="55">
        <v>478.3</v>
      </c>
      <c r="M3909" s="55">
        <v>654.79999999999995</v>
      </c>
      <c r="N3909" s="55">
        <v>29</v>
      </c>
    </row>
    <row r="3910" spans="1:14" ht="10.050000000000001" hidden="1" customHeight="1">
      <c r="A3910" s="52" t="s">
        <v>310</v>
      </c>
      <c r="B3910" s="53">
        <v>2023</v>
      </c>
      <c r="C3910" s="52" t="s">
        <v>128</v>
      </c>
      <c r="D3910" s="54">
        <v>12</v>
      </c>
      <c r="E3910" s="55">
        <v>2569.8000000000002</v>
      </c>
      <c r="F3910" s="55">
        <v>87.1</v>
      </c>
      <c r="G3910" s="55">
        <v>2656.9</v>
      </c>
      <c r="H3910" s="55">
        <v>48289.2</v>
      </c>
      <c r="I3910" s="55">
        <v>1920.4</v>
      </c>
      <c r="J3910" s="55">
        <v>50209.599999999999</v>
      </c>
      <c r="K3910" s="55">
        <v>7108.8</v>
      </c>
      <c r="L3910" s="55">
        <v>49.9</v>
      </c>
      <c r="M3910" s="55">
        <v>1587.2</v>
      </c>
      <c r="N3910" s="55">
        <v>417.4</v>
      </c>
    </row>
    <row r="3911" spans="1:14" ht="10.050000000000001" hidden="1" customHeight="1">
      <c r="A3911" s="52" t="s">
        <v>308</v>
      </c>
      <c r="B3911" s="53">
        <v>2023</v>
      </c>
      <c r="C3911" s="52" t="s">
        <v>128</v>
      </c>
      <c r="D3911" s="54">
        <v>12</v>
      </c>
      <c r="E3911" s="55">
        <v>12412.8</v>
      </c>
      <c r="F3911" s="55">
        <v>0</v>
      </c>
      <c r="G3911" s="55">
        <v>12412.8</v>
      </c>
      <c r="H3911" s="55">
        <v>126818</v>
      </c>
      <c r="I3911" s="55">
        <v>131.9</v>
      </c>
      <c r="J3911" s="55">
        <v>126949.9</v>
      </c>
      <c r="K3911" s="55">
        <v>35589.599999999999</v>
      </c>
      <c r="L3911" s="55">
        <v>3337.6</v>
      </c>
      <c r="M3911" s="55">
        <v>9418.5</v>
      </c>
      <c r="N3911" s="55">
        <v>919.8</v>
      </c>
    </row>
    <row r="3912" spans="1:14" ht="10.050000000000001" hidden="1" customHeight="1">
      <c r="A3912" s="52" t="s">
        <v>174</v>
      </c>
      <c r="B3912" s="53">
        <v>2023</v>
      </c>
      <c r="C3912" s="52" t="s">
        <v>128</v>
      </c>
      <c r="D3912" s="54">
        <v>12</v>
      </c>
      <c r="E3912" s="55">
        <v>19700</v>
      </c>
      <c r="F3912" s="55">
        <v>1040.7</v>
      </c>
      <c r="G3912" s="55">
        <v>20740.7</v>
      </c>
      <c r="H3912" s="55">
        <v>310757.90000000002</v>
      </c>
      <c r="I3912" s="55">
        <v>10017.4</v>
      </c>
      <c r="J3912" s="55">
        <v>320775.3</v>
      </c>
      <c r="K3912" s="55">
        <v>154417.5</v>
      </c>
      <c r="L3912" s="55">
        <v>3415.4</v>
      </c>
      <c r="M3912" s="55">
        <v>10853.4</v>
      </c>
      <c r="N3912" s="55">
        <v>16802.599999999999</v>
      </c>
    </row>
    <row r="3913" spans="1:14" ht="10.050000000000001" hidden="1" customHeight="1">
      <c r="A3913" s="52" t="s">
        <v>314</v>
      </c>
      <c r="B3913" s="53">
        <v>2024</v>
      </c>
      <c r="C3913" s="52" t="s">
        <v>128</v>
      </c>
      <c r="D3913" s="54">
        <v>1</v>
      </c>
      <c r="E3913" s="55">
        <v>0</v>
      </c>
      <c r="F3913" s="55">
        <v>0</v>
      </c>
      <c r="G3913" s="55">
        <v>0</v>
      </c>
      <c r="H3913" s="55">
        <v>29.5</v>
      </c>
      <c r="I3913" s="55">
        <v>0</v>
      </c>
      <c r="J3913" s="55">
        <v>29.5</v>
      </c>
      <c r="K3913" s="55">
        <v>0</v>
      </c>
      <c r="L3913" s="55">
        <v>0</v>
      </c>
      <c r="M3913" s="55">
        <v>0</v>
      </c>
      <c r="N3913" s="55">
        <v>0</v>
      </c>
    </row>
    <row r="3914" spans="1:14" ht="10.050000000000001" hidden="1" customHeight="1">
      <c r="A3914" s="52" t="s">
        <v>306</v>
      </c>
      <c r="B3914" s="53">
        <v>2024</v>
      </c>
      <c r="C3914" s="52" t="s">
        <v>128</v>
      </c>
      <c r="D3914" s="54">
        <v>1</v>
      </c>
      <c r="E3914" s="55">
        <v>5220.2</v>
      </c>
      <c r="F3914" s="55">
        <v>865.9</v>
      </c>
      <c r="G3914" s="55">
        <v>6086.1</v>
      </c>
      <c r="H3914" s="55">
        <v>88940</v>
      </c>
      <c r="I3914" s="55">
        <v>3761.8</v>
      </c>
      <c r="J3914" s="55">
        <v>92701.800000000105</v>
      </c>
      <c r="K3914" s="55">
        <v>12643</v>
      </c>
      <c r="L3914" s="55">
        <v>435.2</v>
      </c>
      <c r="M3914" s="55">
        <v>2337.5</v>
      </c>
      <c r="N3914" s="55">
        <v>503</v>
      </c>
    </row>
    <row r="3915" spans="1:14" ht="10.050000000000001" hidden="1" customHeight="1">
      <c r="A3915" s="52" t="s">
        <v>172</v>
      </c>
      <c r="B3915" s="53">
        <v>2024</v>
      </c>
      <c r="C3915" s="52" t="s">
        <v>128</v>
      </c>
      <c r="D3915" s="54">
        <v>1</v>
      </c>
      <c r="E3915" s="55">
        <v>77789.100000000006</v>
      </c>
      <c r="F3915" s="55">
        <v>436.2</v>
      </c>
      <c r="G3915" s="55">
        <v>78225.3</v>
      </c>
      <c r="H3915" s="55">
        <v>371719.3</v>
      </c>
      <c r="I3915" s="55">
        <v>10985.6</v>
      </c>
      <c r="J3915" s="55">
        <v>382704.9</v>
      </c>
      <c r="K3915" s="55">
        <v>124209.7</v>
      </c>
      <c r="L3915" s="55">
        <v>14700.5</v>
      </c>
      <c r="M3915" s="55">
        <v>51533.1</v>
      </c>
      <c r="N3915" s="55">
        <v>3298</v>
      </c>
    </row>
    <row r="3916" spans="1:14" ht="10.050000000000001" hidden="1" customHeight="1">
      <c r="A3916" s="52" t="s">
        <v>171</v>
      </c>
      <c r="B3916" s="53">
        <v>2024</v>
      </c>
      <c r="C3916" s="52" t="s">
        <v>128</v>
      </c>
      <c r="D3916" s="54">
        <v>1</v>
      </c>
      <c r="E3916" s="55">
        <v>1485642.7</v>
      </c>
      <c r="F3916" s="55">
        <v>8906</v>
      </c>
      <c r="G3916" s="55">
        <v>1494548.7</v>
      </c>
      <c r="H3916" s="55">
        <v>7735150.7999999998</v>
      </c>
      <c r="I3916" s="55">
        <v>80862.3</v>
      </c>
      <c r="J3916" s="55">
        <v>7816013.0999999996</v>
      </c>
      <c r="K3916" s="55">
        <v>4636785.4000000004</v>
      </c>
      <c r="L3916" s="55">
        <v>371238.3</v>
      </c>
      <c r="M3916" s="55">
        <v>723145.9</v>
      </c>
      <c r="N3916" s="55">
        <v>76263.600000000006</v>
      </c>
    </row>
    <row r="3917" spans="1:14" ht="10.050000000000001" hidden="1" customHeight="1">
      <c r="A3917" s="52" t="s">
        <v>300</v>
      </c>
      <c r="B3917" s="53">
        <v>2024</v>
      </c>
      <c r="C3917" s="52" t="s">
        <v>128</v>
      </c>
      <c r="D3917" s="54">
        <v>1</v>
      </c>
      <c r="E3917" s="55">
        <v>1258.0999999999999</v>
      </c>
      <c r="F3917" s="55">
        <v>57.8</v>
      </c>
      <c r="G3917" s="55">
        <v>1315.9</v>
      </c>
      <c r="H3917" s="55">
        <v>28466.6</v>
      </c>
      <c r="I3917" s="55">
        <v>478.4</v>
      </c>
      <c r="J3917" s="55">
        <v>28945</v>
      </c>
      <c r="K3917" s="55">
        <v>671.5</v>
      </c>
      <c r="L3917" s="55">
        <v>15.7</v>
      </c>
      <c r="M3917" s="55">
        <v>11.6</v>
      </c>
      <c r="N3917" s="55">
        <v>13.4</v>
      </c>
    </row>
    <row r="3918" spans="1:14" ht="10.050000000000001" hidden="1" customHeight="1">
      <c r="A3918" s="52" t="s">
        <v>307</v>
      </c>
      <c r="B3918" s="53">
        <v>2024</v>
      </c>
      <c r="C3918" s="52" t="s">
        <v>128</v>
      </c>
      <c r="D3918" s="54">
        <v>1</v>
      </c>
      <c r="E3918" s="55">
        <v>472308.3</v>
      </c>
      <c r="F3918" s="55">
        <v>3476.3</v>
      </c>
      <c r="G3918" s="55">
        <v>475784.6</v>
      </c>
      <c r="H3918" s="55">
        <v>4172160.1</v>
      </c>
      <c r="I3918" s="55">
        <v>102582.6</v>
      </c>
      <c r="J3918" s="55">
        <v>4274742.7</v>
      </c>
      <c r="K3918" s="55">
        <v>2112574</v>
      </c>
      <c r="L3918" s="55">
        <v>63699.199999999997</v>
      </c>
      <c r="M3918" s="55">
        <v>321040.09999999998</v>
      </c>
      <c r="N3918" s="55">
        <v>74869.899999999994</v>
      </c>
    </row>
    <row r="3919" spans="1:14" ht="10.050000000000001" hidden="1" customHeight="1">
      <c r="A3919" s="52" t="s">
        <v>315</v>
      </c>
      <c r="B3919" s="53">
        <v>2024</v>
      </c>
      <c r="C3919" s="52" t="s">
        <v>128</v>
      </c>
      <c r="D3919" s="54">
        <v>1</v>
      </c>
      <c r="E3919" s="55">
        <v>1496.9</v>
      </c>
      <c r="F3919" s="55">
        <v>0</v>
      </c>
      <c r="G3919" s="55">
        <v>1496.9</v>
      </c>
      <c r="H3919" s="55">
        <v>30692.400000000001</v>
      </c>
      <c r="I3919" s="55">
        <v>0</v>
      </c>
      <c r="J3919" s="55">
        <v>30692.400000000001</v>
      </c>
      <c r="K3919" s="55">
        <v>4416.8</v>
      </c>
      <c r="L3919" s="55">
        <v>14.4</v>
      </c>
      <c r="M3919" s="55">
        <v>883.4</v>
      </c>
      <c r="N3919" s="55">
        <v>83.7</v>
      </c>
    </row>
    <row r="3920" spans="1:14" ht="10.050000000000001" hidden="1" customHeight="1">
      <c r="A3920" s="52" t="s">
        <v>311</v>
      </c>
      <c r="B3920" s="53">
        <v>2024</v>
      </c>
      <c r="C3920" s="52" t="s">
        <v>128</v>
      </c>
      <c r="D3920" s="54">
        <v>1</v>
      </c>
      <c r="E3920" s="55">
        <v>52.3</v>
      </c>
      <c r="F3920" s="55">
        <v>0</v>
      </c>
      <c r="G3920" s="55">
        <v>52.3</v>
      </c>
      <c r="H3920" s="55">
        <v>1551.2</v>
      </c>
      <c r="I3920" s="55">
        <v>0</v>
      </c>
      <c r="J3920" s="55">
        <v>1551.2</v>
      </c>
      <c r="K3920" s="55">
        <v>469.9</v>
      </c>
      <c r="L3920" s="55">
        <v>0</v>
      </c>
      <c r="M3920" s="55">
        <v>0</v>
      </c>
      <c r="N3920" s="55">
        <v>59.9</v>
      </c>
    </row>
    <row r="3921" spans="1:14" ht="10.050000000000001" hidden="1" customHeight="1">
      <c r="A3921" s="52" t="s">
        <v>173</v>
      </c>
      <c r="B3921" s="53">
        <v>2024</v>
      </c>
      <c r="C3921" s="52" t="s">
        <v>128</v>
      </c>
      <c r="D3921" s="54">
        <v>1</v>
      </c>
      <c r="E3921" s="55">
        <v>391983.1</v>
      </c>
      <c r="F3921" s="55">
        <v>14871.5</v>
      </c>
      <c r="G3921" s="55">
        <v>406854.6</v>
      </c>
      <c r="H3921" s="55">
        <v>3806189.7</v>
      </c>
      <c r="I3921" s="55">
        <v>36752.699999999997</v>
      </c>
      <c r="J3921" s="55">
        <v>3842942.4</v>
      </c>
      <c r="K3921" s="55">
        <v>1121480.3</v>
      </c>
      <c r="L3921" s="55">
        <v>50969.4</v>
      </c>
      <c r="M3921" s="55">
        <v>198010.9</v>
      </c>
      <c r="N3921" s="55">
        <v>82371.600000000006</v>
      </c>
    </row>
    <row r="3922" spans="1:14" ht="10.050000000000001" customHeight="1">
      <c r="A3922" s="52" t="s">
        <v>309</v>
      </c>
      <c r="B3922" s="53">
        <v>2024</v>
      </c>
      <c r="C3922" s="52" t="s">
        <v>128</v>
      </c>
      <c r="D3922" s="54">
        <v>1</v>
      </c>
      <c r="E3922" s="55">
        <v>2750.3</v>
      </c>
      <c r="F3922" s="55">
        <v>0</v>
      </c>
      <c r="G3922" s="55">
        <v>2750.3</v>
      </c>
      <c r="H3922" s="55">
        <v>55808.5</v>
      </c>
      <c r="I3922" s="55">
        <v>2078.3000000000002</v>
      </c>
      <c r="J3922" s="55">
        <v>57886.8</v>
      </c>
      <c r="K3922" s="55">
        <v>8059.6</v>
      </c>
      <c r="L3922" s="55">
        <v>0</v>
      </c>
      <c r="M3922" s="55">
        <v>1183.3</v>
      </c>
      <c r="N3922" s="55">
        <v>0</v>
      </c>
    </row>
    <row r="3923" spans="1:14" ht="10.050000000000001" hidden="1" customHeight="1">
      <c r="A3923" s="52" t="s">
        <v>316</v>
      </c>
      <c r="B3923" s="53">
        <v>2024</v>
      </c>
      <c r="C3923" s="52" t="s">
        <v>128</v>
      </c>
      <c r="D3923" s="54">
        <v>1</v>
      </c>
      <c r="E3923" s="55">
        <v>1063.8</v>
      </c>
      <c r="F3923" s="55">
        <v>181.1</v>
      </c>
      <c r="G3923" s="55">
        <v>1244.9000000000001</v>
      </c>
      <c r="H3923" s="55">
        <v>28513.9</v>
      </c>
      <c r="I3923" s="55">
        <v>944.8</v>
      </c>
      <c r="J3923" s="55">
        <v>29458.7</v>
      </c>
      <c r="K3923" s="55">
        <v>1848</v>
      </c>
      <c r="L3923" s="55">
        <v>67.8</v>
      </c>
      <c r="M3923" s="55">
        <v>199.8</v>
      </c>
      <c r="N3923" s="55">
        <v>89.2</v>
      </c>
    </row>
    <row r="3924" spans="1:14" ht="10.050000000000001" hidden="1" customHeight="1">
      <c r="A3924" s="52" t="s">
        <v>310</v>
      </c>
      <c r="B3924" s="53">
        <v>2024</v>
      </c>
      <c r="C3924" s="52" t="s">
        <v>128</v>
      </c>
      <c r="D3924" s="54">
        <v>1</v>
      </c>
      <c r="E3924" s="55">
        <v>1649.4</v>
      </c>
      <c r="F3924" s="55">
        <v>0</v>
      </c>
      <c r="G3924" s="55">
        <v>1649.4</v>
      </c>
      <c r="H3924" s="55">
        <v>45664.5</v>
      </c>
      <c r="I3924" s="55">
        <v>1885.9</v>
      </c>
      <c r="J3924" s="55">
        <v>47550.400000000001</v>
      </c>
      <c r="K3924" s="55">
        <v>6238</v>
      </c>
      <c r="L3924" s="55">
        <v>214.6</v>
      </c>
      <c r="M3924" s="55">
        <v>834.7</v>
      </c>
      <c r="N3924" s="55">
        <v>250.8</v>
      </c>
    </row>
    <row r="3925" spans="1:14" ht="10.050000000000001" hidden="1" customHeight="1">
      <c r="A3925" s="52" t="s">
        <v>308</v>
      </c>
      <c r="B3925" s="53">
        <v>2024</v>
      </c>
      <c r="C3925" s="52" t="s">
        <v>128</v>
      </c>
      <c r="D3925" s="54">
        <v>1</v>
      </c>
      <c r="E3925" s="55">
        <v>10077.4</v>
      </c>
      <c r="F3925" s="55">
        <v>0</v>
      </c>
      <c r="G3925" s="55">
        <v>10077.4</v>
      </c>
      <c r="H3925" s="55">
        <v>111882.9</v>
      </c>
      <c r="I3925" s="55">
        <v>131.9</v>
      </c>
      <c r="J3925" s="55">
        <v>112014.8</v>
      </c>
      <c r="K3925" s="55">
        <v>27442.3</v>
      </c>
      <c r="L3925" s="55">
        <v>387.8</v>
      </c>
      <c r="M3925" s="55">
        <v>7984</v>
      </c>
      <c r="N3925" s="55">
        <v>550.9</v>
      </c>
    </row>
    <row r="3926" spans="1:14" ht="10.050000000000001" hidden="1" customHeight="1">
      <c r="A3926" s="52" t="s">
        <v>174</v>
      </c>
      <c r="B3926" s="53">
        <v>2024</v>
      </c>
      <c r="C3926" s="52" t="s">
        <v>128</v>
      </c>
      <c r="D3926" s="54">
        <v>1</v>
      </c>
      <c r="E3926" s="55">
        <v>15805.5</v>
      </c>
      <c r="F3926" s="55">
        <v>417.1</v>
      </c>
      <c r="G3926" s="55">
        <v>16222.6</v>
      </c>
      <c r="H3926" s="55">
        <v>271170.7</v>
      </c>
      <c r="I3926" s="55">
        <v>9758</v>
      </c>
      <c r="J3926" s="55">
        <v>280928.7</v>
      </c>
      <c r="K3926" s="55">
        <v>135702.39999999999</v>
      </c>
      <c r="L3926" s="55">
        <v>3817.5</v>
      </c>
      <c r="M3926" s="55">
        <v>9883</v>
      </c>
      <c r="N3926" s="55">
        <v>12650</v>
      </c>
    </row>
    <row r="3927" spans="1:14" ht="10.050000000000001" hidden="1" customHeight="1">
      <c r="A3927" s="52" t="s">
        <v>314</v>
      </c>
      <c r="B3927" s="53">
        <v>2024</v>
      </c>
      <c r="C3927" s="52" t="s">
        <v>128</v>
      </c>
      <c r="D3927" s="54">
        <v>2</v>
      </c>
      <c r="E3927" s="55">
        <v>0</v>
      </c>
      <c r="F3927" s="55">
        <v>0</v>
      </c>
      <c r="G3927" s="55">
        <v>0</v>
      </c>
      <c r="H3927" s="55">
        <v>35.1</v>
      </c>
      <c r="I3927" s="55">
        <v>0</v>
      </c>
      <c r="J3927" s="55">
        <v>35.1</v>
      </c>
      <c r="K3927" s="55">
        <v>0</v>
      </c>
      <c r="L3927" s="55">
        <v>0</v>
      </c>
      <c r="M3927" s="55">
        <v>0</v>
      </c>
      <c r="N3927" s="55">
        <v>0</v>
      </c>
    </row>
    <row r="3928" spans="1:14" ht="10.050000000000001" hidden="1" customHeight="1">
      <c r="A3928" s="52" t="s">
        <v>306</v>
      </c>
      <c r="B3928" s="53">
        <v>2024</v>
      </c>
      <c r="C3928" s="52" t="s">
        <v>128</v>
      </c>
      <c r="D3928" s="54">
        <v>2</v>
      </c>
      <c r="E3928" s="55">
        <v>5657.6</v>
      </c>
      <c r="F3928" s="55">
        <v>637</v>
      </c>
      <c r="G3928" s="55">
        <v>6294.6</v>
      </c>
      <c r="H3928" s="55">
        <v>76322.3</v>
      </c>
      <c r="I3928" s="55">
        <v>3123.7</v>
      </c>
      <c r="J3928" s="55">
        <v>79446</v>
      </c>
      <c r="K3928" s="55">
        <v>10755.8</v>
      </c>
      <c r="L3928" s="55">
        <v>941.2</v>
      </c>
      <c r="M3928" s="55">
        <v>2397</v>
      </c>
      <c r="N3928" s="55">
        <v>445.1</v>
      </c>
    </row>
    <row r="3929" spans="1:14" ht="10.050000000000001" hidden="1" customHeight="1">
      <c r="A3929" s="52" t="s">
        <v>172</v>
      </c>
      <c r="B3929" s="53">
        <v>2024</v>
      </c>
      <c r="C3929" s="52" t="s">
        <v>128</v>
      </c>
      <c r="D3929" s="54">
        <v>2</v>
      </c>
      <c r="E3929" s="55">
        <v>78920.399999999994</v>
      </c>
      <c r="F3929" s="55">
        <v>79.3</v>
      </c>
      <c r="G3929" s="55">
        <v>78999.7</v>
      </c>
      <c r="H3929" s="55">
        <v>318508.5</v>
      </c>
      <c r="I3929" s="55">
        <v>10038.700000000001</v>
      </c>
      <c r="J3929" s="55">
        <v>328547.20000000001</v>
      </c>
      <c r="K3929" s="55">
        <v>93392.1</v>
      </c>
      <c r="L3929" s="55">
        <v>12162</v>
      </c>
      <c r="M3929" s="55">
        <v>40925.599999999999</v>
      </c>
      <c r="N3929" s="55">
        <v>1831.5</v>
      </c>
    </row>
    <row r="3930" spans="1:14" ht="10.050000000000001" hidden="1" customHeight="1">
      <c r="A3930" s="52" t="s">
        <v>171</v>
      </c>
      <c r="B3930" s="53">
        <v>2024</v>
      </c>
      <c r="C3930" s="52" t="s">
        <v>128</v>
      </c>
      <c r="D3930" s="54">
        <v>2</v>
      </c>
      <c r="E3930" s="55">
        <v>1939572.2</v>
      </c>
      <c r="F3930" s="55">
        <v>12770.4</v>
      </c>
      <c r="G3930" s="55">
        <v>1952342.6</v>
      </c>
      <c r="H3930" s="55">
        <v>6734693.7999999998</v>
      </c>
      <c r="I3930" s="55">
        <v>80359.5</v>
      </c>
      <c r="J3930" s="55">
        <v>6815053.2999999896</v>
      </c>
      <c r="K3930" s="55">
        <v>3912932.9</v>
      </c>
      <c r="L3930" s="55">
        <v>389283.7</v>
      </c>
      <c r="M3930" s="55">
        <v>1030746.6</v>
      </c>
      <c r="N3930" s="55">
        <v>80920</v>
      </c>
    </row>
    <row r="3931" spans="1:14" ht="10.050000000000001" hidden="1" customHeight="1">
      <c r="A3931" s="52" t="s">
        <v>300</v>
      </c>
      <c r="B3931" s="53">
        <v>2024</v>
      </c>
      <c r="C3931" s="52" t="s">
        <v>128</v>
      </c>
      <c r="D3931" s="54">
        <v>2</v>
      </c>
      <c r="E3931" s="55">
        <v>1353.3</v>
      </c>
      <c r="F3931" s="55">
        <v>0</v>
      </c>
      <c r="G3931" s="55">
        <v>1353.3</v>
      </c>
      <c r="H3931" s="55">
        <v>26147.7</v>
      </c>
      <c r="I3931" s="55">
        <v>470.6</v>
      </c>
      <c r="J3931" s="55">
        <v>26618.3</v>
      </c>
      <c r="K3931" s="55">
        <v>561.29999999999995</v>
      </c>
      <c r="L3931" s="55">
        <v>27.9</v>
      </c>
      <c r="M3931" s="55">
        <v>124.2</v>
      </c>
      <c r="N3931" s="55">
        <v>13.9</v>
      </c>
    </row>
    <row r="3932" spans="1:14" ht="10.050000000000001" hidden="1" customHeight="1">
      <c r="A3932" s="52" t="s">
        <v>307</v>
      </c>
      <c r="B3932" s="53">
        <v>2024</v>
      </c>
      <c r="C3932" s="52" t="s">
        <v>128</v>
      </c>
      <c r="D3932" s="54">
        <v>2</v>
      </c>
      <c r="E3932" s="55">
        <v>417185.5</v>
      </c>
      <c r="F3932" s="55">
        <v>0.6</v>
      </c>
      <c r="G3932" s="55">
        <v>417186.1</v>
      </c>
      <c r="H3932" s="55">
        <v>3706153.1</v>
      </c>
      <c r="I3932" s="55">
        <v>67619.7</v>
      </c>
      <c r="J3932" s="55">
        <v>3773772.8</v>
      </c>
      <c r="K3932" s="55">
        <v>1747856.1</v>
      </c>
      <c r="L3932" s="55">
        <v>56060</v>
      </c>
      <c r="M3932" s="55">
        <v>281360.09999999998</v>
      </c>
      <c r="N3932" s="55">
        <v>138159.4</v>
      </c>
    </row>
    <row r="3933" spans="1:14" ht="10.050000000000001" hidden="1" customHeight="1">
      <c r="A3933" s="52" t="s">
        <v>315</v>
      </c>
      <c r="B3933" s="53">
        <v>2024</v>
      </c>
      <c r="C3933" s="52" t="s">
        <v>128</v>
      </c>
      <c r="D3933" s="54">
        <v>2</v>
      </c>
      <c r="E3933" s="55">
        <v>1339.6</v>
      </c>
      <c r="F3933" s="55">
        <v>0</v>
      </c>
      <c r="G3933" s="55">
        <v>1339.6</v>
      </c>
      <c r="H3933" s="55">
        <v>27458.6</v>
      </c>
      <c r="I3933" s="55">
        <v>0</v>
      </c>
      <c r="J3933" s="55">
        <v>27458.6</v>
      </c>
      <c r="K3933" s="55">
        <v>3560</v>
      </c>
      <c r="L3933" s="55">
        <v>21.3</v>
      </c>
      <c r="M3933" s="55">
        <v>878.1</v>
      </c>
      <c r="N3933" s="55">
        <v>0</v>
      </c>
    </row>
    <row r="3934" spans="1:14" ht="10.050000000000001" hidden="1" customHeight="1">
      <c r="A3934" s="52" t="s">
        <v>311</v>
      </c>
      <c r="B3934" s="53">
        <v>2024</v>
      </c>
      <c r="C3934" s="52" t="s">
        <v>128</v>
      </c>
      <c r="D3934" s="54">
        <v>2</v>
      </c>
      <c r="E3934" s="55">
        <v>77.599999999999994</v>
      </c>
      <c r="F3934" s="55">
        <v>0</v>
      </c>
      <c r="G3934" s="55">
        <v>77.599999999999994</v>
      </c>
      <c r="H3934" s="55">
        <v>1021.8</v>
      </c>
      <c r="I3934" s="55">
        <v>0</v>
      </c>
      <c r="J3934" s="55">
        <v>1021.8</v>
      </c>
      <c r="K3934" s="55">
        <v>316.8</v>
      </c>
      <c r="L3934" s="55">
        <v>0</v>
      </c>
      <c r="M3934" s="55">
        <v>0</v>
      </c>
      <c r="N3934" s="55">
        <v>80.3</v>
      </c>
    </row>
    <row r="3935" spans="1:14" ht="10.050000000000001" hidden="1" customHeight="1">
      <c r="A3935" s="52" t="s">
        <v>173</v>
      </c>
      <c r="B3935" s="53">
        <v>2024</v>
      </c>
      <c r="C3935" s="52" t="s">
        <v>128</v>
      </c>
      <c r="D3935" s="54">
        <v>2</v>
      </c>
      <c r="E3935" s="55">
        <v>437635.4</v>
      </c>
      <c r="F3935" s="55">
        <v>8132.4</v>
      </c>
      <c r="G3935" s="55">
        <v>445767.8</v>
      </c>
      <c r="H3935" s="55">
        <v>3417808.9</v>
      </c>
      <c r="I3935" s="55">
        <v>32741.9</v>
      </c>
      <c r="J3935" s="55">
        <v>3450550.8</v>
      </c>
      <c r="K3935" s="55">
        <v>901185.4</v>
      </c>
      <c r="L3935" s="55">
        <v>60071.3</v>
      </c>
      <c r="M3935" s="55">
        <v>245304.1</v>
      </c>
      <c r="N3935" s="55">
        <v>34861.1</v>
      </c>
    </row>
    <row r="3936" spans="1:14" ht="10.050000000000001" customHeight="1">
      <c r="A3936" s="52" t="s">
        <v>309</v>
      </c>
      <c r="B3936" s="53">
        <v>2024</v>
      </c>
      <c r="C3936" s="52" t="s">
        <v>128</v>
      </c>
      <c r="D3936" s="54">
        <v>2</v>
      </c>
      <c r="E3936" s="55">
        <v>0</v>
      </c>
      <c r="F3936" s="55">
        <v>0</v>
      </c>
      <c r="G3936" s="55">
        <v>0</v>
      </c>
      <c r="H3936" s="55">
        <v>52624.2</v>
      </c>
      <c r="I3936" s="55">
        <v>2078.3000000000002</v>
      </c>
      <c r="J3936" s="55">
        <v>54702.5</v>
      </c>
      <c r="K3936" s="55">
        <v>8142.5</v>
      </c>
      <c r="L3936" s="55">
        <v>82.9</v>
      </c>
      <c r="M3936" s="55">
        <v>0</v>
      </c>
      <c r="N3936" s="55">
        <v>0</v>
      </c>
    </row>
    <row r="3937" spans="1:14" ht="10.050000000000001" hidden="1" customHeight="1">
      <c r="A3937" s="52" t="s">
        <v>316</v>
      </c>
      <c r="B3937" s="53">
        <v>2024</v>
      </c>
      <c r="C3937" s="52" t="s">
        <v>128</v>
      </c>
      <c r="D3937" s="54">
        <v>2</v>
      </c>
      <c r="E3937" s="55">
        <v>758.7</v>
      </c>
      <c r="F3937" s="55">
        <v>298.8</v>
      </c>
      <c r="G3937" s="55">
        <v>1057.5</v>
      </c>
      <c r="H3937" s="55">
        <v>27482</v>
      </c>
      <c r="I3937" s="55">
        <v>1104.8</v>
      </c>
      <c r="J3937" s="55">
        <v>28586.799999999999</v>
      </c>
      <c r="K3937" s="55">
        <v>1671.8</v>
      </c>
      <c r="L3937" s="55">
        <v>42.8</v>
      </c>
      <c r="M3937" s="55">
        <v>190</v>
      </c>
      <c r="N3937" s="55">
        <v>29</v>
      </c>
    </row>
    <row r="3938" spans="1:14" ht="10.050000000000001" hidden="1" customHeight="1">
      <c r="A3938" s="52" t="s">
        <v>310</v>
      </c>
      <c r="B3938" s="53">
        <v>2024</v>
      </c>
      <c r="C3938" s="52" t="s">
        <v>128</v>
      </c>
      <c r="D3938" s="54">
        <v>2</v>
      </c>
      <c r="E3938" s="55">
        <v>1861.8</v>
      </c>
      <c r="F3938" s="55">
        <v>0</v>
      </c>
      <c r="G3938" s="55">
        <v>1861.8</v>
      </c>
      <c r="H3938" s="55">
        <v>41450.300000000003</v>
      </c>
      <c r="I3938" s="55">
        <v>1881.6</v>
      </c>
      <c r="J3938" s="55">
        <v>43331.9</v>
      </c>
      <c r="K3938" s="55">
        <v>5165.3</v>
      </c>
      <c r="L3938" s="55">
        <v>69.7</v>
      </c>
      <c r="M3938" s="55">
        <v>889.4</v>
      </c>
      <c r="N3938" s="55">
        <v>252.6</v>
      </c>
    </row>
    <row r="3939" spans="1:14" ht="10.050000000000001" hidden="1" customHeight="1">
      <c r="A3939" s="52" t="s">
        <v>308</v>
      </c>
      <c r="B3939" s="53">
        <v>2024</v>
      </c>
      <c r="C3939" s="52" t="s">
        <v>128</v>
      </c>
      <c r="D3939" s="54">
        <v>2</v>
      </c>
      <c r="E3939" s="55">
        <v>5222.1000000000004</v>
      </c>
      <c r="F3939" s="55">
        <v>394</v>
      </c>
      <c r="G3939" s="55">
        <v>5616.1</v>
      </c>
      <c r="H3939" s="55">
        <v>89875.5</v>
      </c>
      <c r="I3939" s="55">
        <v>167.7</v>
      </c>
      <c r="J3939" s="55">
        <v>90043.199999999997</v>
      </c>
      <c r="K3939" s="55">
        <v>22159.599999999999</v>
      </c>
      <c r="L3939" s="55">
        <v>364.1</v>
      </c>
      <c r="M3939" s="55">
        <v>4570.1000000000004</v>
      </c>
      <c r="N3939" s="55">
        <v>850</v>
      </c>
    </row>
    <row r="3940" spans="1:14" ht="10.050000000000001" hidden="1" customHeight="1">
      <c r="A3940" s="52" t="s">
        <v>174</v>
      </c>
      <c r="B3940" s="53">
        <v>2024</v>
      </c>
      <c r="C3940" s="52" t="s">
        <v>128</v>
      </c>
      <c r="D3940" s="54">
        <v>2</v>
      </c>
      <c r="E3940" s="55">
        <v>17915.099999999999</v>
      </c>
      <c r="F3940" s="55">
        <v>288.2</v>
      </c>
      <c r="G3940" s="55">
        <v>18203.3</v>
      </c>
      <c r="H3940" s="55">
        <v>234663.9</v>
      </c>
      <c r="I3940" s="55">
        <v>9369.1</v>
      </c>
      <c r="J3940" s="55">
        <v>244033</v>
      </c>
      <c r="K3940" s="55">
        <v>118330.4</v>
      </c>
      <c r="L3940" s="55">
        <v>3591.9</v>
      </c>
      <c r="M3940" s="55">
        <v>10837.4</v>
      </c>
      <c r="N3940" s="55">
        <v>10101.1</v>
      </c>
    </row>
    <row r="3941" spans="1:14" ht="10.050000000000001" hidden="1" customHeight="1">
      <c r="A3941" s="52" t="s">
        <v>314</v>
      </c>
      <c r="B3941" s="53">
        <v>2024</v>
      </c>
      <c r="C3941" s="52" t="s">
        <v>128</v>
      </c>
      <c r="D3941" s="54">
        <v>3</v>
      </c>
      <c r="E3941" s="55">
        <v>0</v>
      </c>
      <c r="F3941" s="55">
        <v>0</v>
      </c>
      <c r="G3941" s="55">
        <v>0</v>
      </c>
      <c r="H3941" s="55">
        <v>29</v>
      </c>
      <c r="I3941" s="55">
        <v>0</v>
      </c>
      <c r="J3941" s="55">
        <v>29</v>
      </c>
      <c r="K3941" s="55">
        <v>0</v>
      </c>
      <c r="L3941" s="55">
        <v>0</v>
      </c>
      <c r="M3941" s="55">
        <v>0</v>
      </c>
      <c r="N3941" s="55">
        <v>0</v>
      </c>
    </row>
    <row r="3942" spans="1:14" ht="10.050000000000001" hidden="1" customHeight="1">
      <c r="A3942" s="52" t="s">
        <v>306</v>
      </c>
      <c r="B3942" s="53">
        <v>2024</v>
      </c>
      <c r="C3942" s="52" t="s">
        <v>128</v>
      </c>
      <c r="D3942" s="54">
        <v>3</v>
      </c>
      <c r="E3942" s="55">
        <v>5523.3</v>
      </c>
      <c r="F3942" s="55">
        <v>467.8</v>
      </c>
      <c r="G3942" s="55">
        <v>5991.1</v>
      </c>
      <c r="H3942" s="55">
        <v>62909.1</v>
      </c>
      <c r="I3942" s="55">
        <v>2768.1</v>
      </c>
      <c r="J3942" s="55">
        <v>65677.2</v>
      </c>
      <c r="K3942" s="55">
        <v>8295.4</v>
      </c>
      <c r="L3942" s="55">
        <v>445.6</v>
      </c>
      <c r="M3942" s="55">
        <v>2156.9</v>
      </c>
      <c r="N3942" s="55">
        <v>750</v>
      </c>
    </row>
    <row r="3943" spans="1:14" ht="10.050000000000001" hidden="1" customHeight="1">
      <c r="A3943" s="52" t="s">
        <v>172</v>
      </c>
      <c r="B3943" s="53">
        <v>2024</v>
      </c>
      <c r="C3943" s="52" t="s">
        <v>128</v>
      </c>
      <c r="D3943" s="54">
        <v>3</v>
      </c>
      <c r="E3943" s="55">
        <v>69032.600000000006</v>
      </c>
      <c r="F3943" s="55">
        <v>105.2</v>
      </c>
      <c r="G3943" s="55">
        <v>69137.8</v>
      </c>
      <c r="H3943" s="55">
        <v>270925.7</v>
      </c>
      <c r="I3943" s="55">
        <v>9316.4</v>
      </c>
      <c r="J3943" s="55">
        <v>280242.09999999998</v>
      </c>
      <c r="K3943" s="55">
        <v>64862.3</v>
      </c>
      <c r="L3943" s="55">
        <v>10024.299999999999</v>
      </c>
      <c r="M3943" s="55">
        <v>36037.4</v>
      </c>
      <c r="N3943" s="55">
        <v>2516.4</v>
      </c>
    </row>
    <row r="3944" spans="1:14" ht="10.050000000000001" hidden="1" customHeight="1">
      <c r="A3944" s="52" t="s">
        <v>171</v>
      </c>
      <c r="B3944" s="53">
        <v>2024</v>
      </c>
      <c r="C3944" s="52" t="s">
        <v>128</v>
      </c>
      <c r="D3944" s="54">
        <v>3</v>
      </c>
      <c r="E3944" s="55">
        <v>2046954.5</v>
      </c>
      <c r="F3944" s="55">
        <v>4604.8</v>
      </c>
      <c r="G3944" s="55">
        <v>2051559.3</v>
      </c>
      <c r="H3944" s="55">
        <v>5949501.9000000004</v>
      </c>
      <c r="I3944" s="55">
        <v>75705.600000000006</v>
      </c>
      <c r="J3944" s="55">
        <v>6025207.5</v>
      </c>
      <c r="K3944" s="55">
        <v>2904971.8</v>
      </c>
      <c r="L3944" s="55">
        <v>306803.40000000002</v>
      </c>
      <c r="M3944" s="55">
        <v>1206387.7</v>
      </c>
      <c r="N3944" s="55">
        <v>108952.2</v>
      </c>
    </row>
    <row r="3945" spans="1:14" ht="10.050000000000001" hidden="1" customHeight="1">
      <c r="A3945" s="52" t="s">
        <v>300</v>
      </c>
      <c r="B3945" s="53">
        <v>2024</v>
      </c>
      <c r="C3945" s="52" t="s">
        <v>128</v>
      </c>
      <c r="D3945" s="54">
        <v>3</v>
      </c>
      <c r="E3945" s="55">
        <v>1159.7</v>
      </c>
      <c r="F3945" s="55">
        <v>0</v>
      </c>
      <c r="G3945" s="55">
        <v>1159.7</v>
      </c>
      <c r="H3945" s="55">
        <v>24758.1</v>
      </c>
      <c r="I3945" s="55">
        <v>444.1</v>
      </c>
      <c r="J3945" s="55">
        <v>25202.2</v>
      </c>
      <c r="K3945" s="55">
        <v>499</v>
      </c>
      <c r="L3945" s="55">
        <v>8.1</v>
      </c>
      <c r="M3945" s="55">
        <v>31.4</v>
      </c>
      <c r="N3945" s="55">
        <v>40.9</v>
      </c>
    </row>
    <row r="3946" spans="1:14" ht="10.050000000000001" hidden="1" customHeight="1">
      <c r="A3946" s="52" t="s">
        <v>307</v>
      </c>
      <c r="B3946" s="53">
        <v>2024</v>
      </c>
      <c r="C3946" s="52" t="s">
        <v>128</v>
      </c>
      <c r="D3946" s="54">
        <v>3</v>
      </c>
      <c r="E3946" s="55">
        <v>462096.9</v>
      </c>
      <c r="F3946" s="55">
        <v>0</v>
      </c>
      <c r="G3946" s="55">
        <v>462096.9</v>
      </c>
      <c r="H3946" s="55">
        <v>3213546</v>
      </c>
      <c r="I3946" s="55">
        <v>63745.1</v>
      </c>
      <c r="J3946" s="55">
        <v>3277291.1</v>
      </c>
      <c r="K3946" s="55">
        <v>1461040.4</v>
      </c>
      <c r="L3946" s="55">
        <v>43451.8</v>
      </c>
      <c r="M3946" s="55">
        <v>245661.2</v>
      </c>
      <c r="N3946" s="55">
        <v>84501.1</v>
      </c>
    </row>
    <row r="3947" spans="1:14" ht="10.050000000000001" hidden="1" customHeight="1">
      <c r="A3947" s="52" t="s">
        <v>315</v>
      </c>
      <c r="B3947" s="53">
        <v>2024</v>
      </c>
      <c r="C3947" s="52" t="s">
        <v>128</v>
      </c>
      <c r="D3947" s="54">
        <v>3</v>
      </c>
      <c r="E3947" s="55">
        <v>1463.1</v>
      </c>
      <c r="F3947" s="55">
        <v>0</v>
      </c>
      <c r="G3947" s="55">
        <v>1463.1</v>
      </c>
      <c r="H3947" s="55">
        <v>24957.599999999999</v>
      </c>
      <c r="I3947" s="55">
        <v>0</v>
      </c>
      <c r="J3947" s="55">
        <v>24957.599999999999</v>
      </c>
      <c r="K3947" s="55">
        <v>2499.3000000000002</v>
      </c>
      <c r="L3947" s="55">
        <v>25.1</v>
      </c>
      <c r="M3947" s="55">
        <v>1035.7</v>
      </c>
      <c r="N3947" s="55">
        <v>50.2</v>
      </c>
    </row>
    <row r="3948" spans="1:14" ht="10.050000000000001" hidden="1" customHeight="1">
      <c r="A3948" s="52" t="s">
        <v>311</v>
      </c>
      <c r="B3948" s="53">
        <v>2024</v>
      </c>
      <c r="C3948" s="52" t="s">
        <v>128</v>
      </c>
      <c r="D3948" s="54">
        <v>3</v>
      </c>
      <c r="E3948" s="55">
        <v>0</v>
      </c>
      <c r="F3948" s="55">
        <v>0</v>
      </c>
      <c r="G3948" s="55">
        <v>0</v>
      </c>
      <c r="H3948" s="55">
        <v>893.6</v>
      </c>
      <c r="I3948" s="55">
        <v>0</v>
      </c>
      <c r="J3948" s="55">
        <v>893.6</v>
      </c>
      <c r="K3948" s="55">
        <v>296.7</v>
      </c>
      <c r="L3948" s="55">
        <v>0</v>
      </c>
      <c r="M3948" s="55">
        <v>0</v>
      </c>
      <c r="N3948" s="55">
        <v>20.2</v>
      </c>
    </row>
    <row r="3949" spans="1:14" ht="10.050000000000001" hidden="1" customHeight="1">
      <c r="A3949" s="52" t="s">
        <v>173</v>
      </c>
      <c r="B3949" s="53">
        <v>2024</v>
      </c>
      <c r="C3949" s="52" t="s">
        <v>128</v>
      </c>
      <c r="D3949" s="54">
        <v>3</v>
      </c>
      <c r="E3949" s="55">
        <v>357133.6</v>
      </c>
      <c r="F3949" s="55">
        <v>1468.3</v>
      </c>
      <c r="G3949" s="55">
        <v>358601.9</v>
      </c>
      <c r="H3949" s="55">
        <v>2915532</v>
      </c>
      <c r="I3949" s="55">
        <v>28118.799999999999</v>
      </c>
      <c r="J3949" s="55">
        <v>2943650.8</v>
      </c>
      <c r="K3949" s="55">
        <v>670604.80000000005</v>
      </c>
      <c r="L3949" s="55">
        <v>28360.2</v>
      </c>
      <c r="M3949" s="55">
        <v>229464.8</v>
      </c>
      <c r="N3949" s="55">
        <v>29388.9</v>
      </c>
    </row>
    <row r="3950" spans="1:14" ht="10.050000000000001" customHeight="1">
      <c r="A3950" s="52" t="s">
        <v>309</v>
      </c>
      <c r="B3950" s="53">
        <v>2024</v>
      </c>
      <c r="C3950" s="52" t="s">
        <v>128</v>
      </c>
      <c r="D3950" s="54">
        <v>3</v>
      </c>
      <c r="E3950" s="55">
        <v>997.1</v>
      </c>
      <c r="F3950" s="55">
        <v>0</v>
      </c>
      <c r="G3950" s="55">
        <v>997.1</v>
      </c>
      <c r="H3950" s="55">
        <v>51082.400000000001</v>
      </c>
      <c r="I3950" s="55">
        <v>2078.3000000000002</v>
      </c>
      <c r="J3950" s="55">
        <v>53160.7</v>
      </c>
      <c r="K3950" s="55">
        <v>7716.2</v>
      </c>
      <c r="L3950" s="55">
        <v>270.60000000000002</v>
      </c>
      <c r="M3950" s="55">
        <v>696.9</v>
      </c>
      <c r="N3950" s="55">
        <v>0</v>
      </c>
    </row>
    <row r="3951" spans="1:14" ht="10.050000000000001" hidden="1" customHeight="1">
      <c r="A3951" s="52" t="s">
        <v>316</v>
      </c>
      <c r="B3951" s="53">
        <v>2024</v>
      </c>
      <c r="C3951" s="52" t="s">
        <v>128</v>
      </c>
      <c r="D3951" s="54">
        <v>3</v>
      </c>
      <c r="E3951" s="55">
        <v>681.6</v>
      </c>
      <c r="F3951" s="55">
        <v>37.799999999999997</v>
      </c>
      <c r="G3951" s="55">
        <v>719.4</v>
      </c>
      <c r="H3951" s="55">
        <v>25495.599999999999</v>
      </c>
      <c r="I3951" s="55">
        <v>805.5</v>
      </c>
      <c r="J3951" s="55">
        <v>26301.1</v>
      </c>
      <c r="K3951" s="55">
        <v>1447.6</v>
      </c>
      <c r="L3951" s="55">
        <v>149.19999999999999</v>
      </c>
      <c r="M3951" s="55">
        <v>369.6</v>
      </c>
      <c r="N3951" s="55">
        <v>74.900000000000006</v>
      </c>
    </row>
    <row r="3952" spans="1:14" ht="10.050000000000001" hidden="1" customHeight="1">
      <c r="A3952" s="52" t="s">
        <v>310</v>
      </c>
      <c r="B3952" s="53">
        <v>2024</v>
      </c>
      <c r="C3952" s="52" t="s">
        <v>128</v>
      </c>
      <c r="D3952" s="54">
        <v>3</v>
      </c>
      <c r="E3952" s="55">
        <v>1852.6</v>
      </c>
      <c r="F3952" s="55">
        <v>22.8</v>
      </c>
      <c r="G3952" s="55">
        <v>1875.4</v>
      </c>
      <c r="H3952" s="55">
        <v>38911.800000000003</v>
      </c>
      <c r="I3952" s="55">
        <v>1929</v>
      </c>
      <c r="J3952" s="55">
        <v>40840.800000000003</v>
      </c>
      <c r="K3952" s="55">
        <v>4052.3</v>
      </c>
      <c r="L3952" s="55">
        <v>100</v>
      </c>
      <c r="M3952" s="55">
        <v>1064.5999999999999</v>
      </c>
      <c r="N3952" s="55">
        <v>148.6</v>
      </c>
    </row>
    <row r="3953" spans="1:14" ht="10.050000000000001" hidden="1" customHeight="1">
      <c r="A3953" s="52" t="s">
        <v>308</v>
      </c>
      <c r="B3953" s="53">
        <v>2024</v>
      </c>
      <c r="C3953" s="52" t="s">
        <v>128</v>
      </c>
      <c r="D3953" s="54">
        <v>3</v>
      </c>
      <c r="E3953" s="55">
        <v>5123.5</v>
      </c>
      <c r="F3953" s="55">
        <v>7.4</v>
      </c>
      <c r="G3953" s="55">
        <v>5130.8999999999996</v>
      </c>
      <c r="H3953" s="55">
        <v>74279.199999999997</v>
      </c>
      <c r="I3953" s="55">
        <v>131.9</v>
      </c>
      <c r="J3953" s="55">
        <v>74411.100000000006</v>
      </c>
      <c r="K3953" s="55">
        <v>17115.7</v>
      </c>
      <c r="L3953" s="55">
        <v>255.3</v>
      </c>
      <c r="M3953" s="55">
        <v>4499.8</v>
      </c>
      <c r="N3953" s="55">
        <v>1016.4</v>
      </c>
    </row>
    <row r="3954" spans="1:14" ht="10.050000000000001" hidden="1" customHeight="1">
      <c r="A3954" s="52" t="s">
        <v>174</v>
      </c>
      <c r="B3954" s="53">
        <v>2024</v>
      </c>
      <c r="C3954" s="52" t="s">
        <v>128</v>
      </c>
      <c r="D3954" s="54">
        <v>3</v>
      </c>
      <c r="E3954" s="55">
        <v>16459.900000000001</v>
      </c>
      <c r="F3954" s="55">
        <v>105.5</v>
      </c>
      <c r="G3954" s="55">
        <v>16565.400000000001</v>
      </c>
      <c r="H3954" s="55">
        <v>191550</v>
      </c>
      <c r="I3954" s="55">
        <v>9088.7999999999993</v>
      </c>
      <c r="J3954" s="55">
        <v>200638.8</v>
      </c>
      <c r="K3954" s="55">
        <v>101035.8</v>
      </c>
      <c r="L3954" s="55">
        <v>2450.5</v>
      </c>
      <c r="M3954" s="55">
        <v>9095.1</v>
      </c>
      <c r="N3954" s="55">
        <v>10781.7</v>
      </c>
    </row>
    <row r="3955" spans="1:14" ht="10.050000000000001" hidden="1" customHeight="1">
      <c r="A3955" s="52" t="s">
        <v>314</v>
      </c>
      <c r="B3955" s="53">
        <v>2024</v>
      </c>
      <c r="C3955" s="52" t="s">
        <v>128</v>
      </c>
      <c r="D3955" s="54">
        <v>4</v>
      </c>
      <c r="E3955" s="55">
        <v>0</v>
      </c>
      <c r="F3955" s="55">
        <v>0</v>
      </c>
      <c r="G3955" s="55">
        <v>0</v>
      </c>
      <c r="H3955" s="55">
        <v>32.700000000000003</v>
      </c>
      <c r="I3955" s="55">
        <v>0</v>
      </c>
      <c r="J3955" s="55">
        <v>32.700000000000003</v>
      </c>
      <c r="K3955" s="55">
        <v>0</v>
      </c>
      <c r="L3955" s="55">
        <v>0</v>
      </c>
      <c r="M3955" s="55">
        <v>0</v>
      </c>
      <c r="N3955" s="55">
        <v>0</v>
      </c>
    </row>
    <row r="3956" spans="1:14" ht="10.050000000000001" hidden="1" customHeight="1">
      <c r="A3956" s="52" t="s">
        <v>306</v>
      </c>
      <c r="B3956" s="53">
        <v>2024</v>
      </c>
      <c r="C3956" s="52" t="s">
        <v>128</v>
      </c>
      <c r="D3956" s="54">
        <v>4</v>
      </c>
      <c r="E3956" s="55">
        <v>4801</v>
      </c>
      <c r="F3956" s="55">
        <v>24.6</v>
      </c>
      <c r="G3956" s="55">
        <v>4825.6000000000004</v>
      </c>
      <c r="H3956" s="55">
        <v>51591.199999999997</v>
      </c>
      <c r="I3956" s="55">
        <v>2155.4</v>
      </c>
      <c r="J3956" s="55">
        <v>53746.6</v>
      </c>
      <c r="K3956" s="55">
        <v>5820.9</v>
      </c>
      <c r="L3956" s="55">
        <v>450.6</v>
      </c>
      <c r="M3956" s="55">
        <v>2334.1</v>
      </c>
      <c r="N3956" s="55">
        <v>594.79999999999995</v>
      </c>
    </row>
    <row r="3957" spans="1:14" ht="10.050000000000001" hidden="1" customHeight="1">
      <c r="A3957" s="52" t="s">
        <v>172</v>
      </c>
      <c r="B3957" s="53">
        <v>2024</v>
      </c>
      <c r="C3957" s="52" t="s">
        <v>128</v>
      </c>
      <c r="D3957" s="54">
        <v>4</v>
      </c>
      <c r="E3957" s="55">
        <v>49216.5</v>
      </c>
      <c r="F3957" s="55">
        <v>27</v>
      </c>
      <c r="G3957" s="55">
        <v>49243.5</v>
      </c>
      <c r="H3957" s="55">
        <v>213226.8</v>
      </c>
      <c r="I3957" s="55">
        <v>7649.5</v>
      </c>
      <c r="J3957" s="55">
        <v>220876.3</v>
      </c>
      <c r="K3957" s="55">
        <v>40872</v>
      </c>
      <c r="L3957" s="55">
        <v>6734.9</v>
      </c>
      <c r="M3957" s="55">
        <v>29385.8</v>
      </c>
      <c r="N3957" s="55">
        <v>1339.3</v>
      </c>
    </row>
    <row r="3958" spans="1:14" ht="10.050000000000001" hidden="1" customHeight="1">
      <c r="A3958" s="52" t="s">
        <v>171</v>
      </c>
      <c r="B3958" s="53">
        <v>2024</v>
      </c>
      <c r="C3958" s="52" t="s">
        <v>128</v>
      </c>
      <c r="D3958" s="54">
        <v>4</v>
      </c>
      <c r="E3958" s="55">
        <v>1965058.5</v>
      </c>
      <c r="F3958" s="55">
        <v>1601.3</v>
      </c>
      <c r="G3958" s="55">
        <v>1966659.8</v>
      </c>
      <c r="H3958" s="55">
        <v>4940491.2</v>
      </c>
      <c r="I3958" s="55">
        <v>64684.800000000003</v>
      </c>
      <c r="J3958" s="55">
        <v>5005176</v>
      </c>
      <c r="K3958" s="55">
        <v>1699872.7</v>
      </c>
      <c r="L3958" s="55">
        <v>231204.8</v>
      </c>
      <c r="M3958" s="55">
        <v>1311095.3999999999</v>
      </c>
      <c r="N3958" s="55">
        <v>131942.29999999999</v>
      </c>
    </row>
    <row r="3959" spans="1:14" ht="10.050000000000001" hidden="1" customHeight="1">
      <c r="A3959" s="52" t="s">
        <v>300</v>
      </c>
      <c r="B3959" s="53">
        <v>2024</v>
      </c>
      <c r="C3959" s="52" t="s">
        <v>128</v>
      </c>
      <c r="D3959" s="54">
        <v>4</v>
      </c>
      <c r="E3959" s="55">
        <v>972</v>
      </c>
      <c r="F3959" s="55">
        <v>464.6</v>
      </c>
      <c r="G3959" s="55">
        <v>1436.6</v>
      </c>
      <c r="H3959" s="55">
        <v>23490.7</v>
      </c>
      <c r="I3959" s="55">
        <v>864.6</v>
      </c>
      <c r="J3959" s="55">
        <v>24355.3</v>
      </c>
      <c r="K3959" s="55">
        <v>466.9</v>
      </c>
      <c r="L3959" s="55">
        <v>23.6</v>
      </c>
      <c r="M3959" s="55">
        <v>52.6</v>
      </c>
      <c r="N3959" s="55">
        <v>24.8</v>
      </c>
    </row>
    <row r="3960" spans="1:14" ht="10.050000000000001" hidden="1" customHeight="1">
      <c r="A3960" s="52" t="s">
        <v>307</v>
      </c>
      <c r="B3960" s="53">
        <v>2024</v>
      </c>
      <c r="C3960" s="52" t="s">
        <v>128</v>
      </c>
      <c r="D3960" s="54">
        <v>4</v>
      </c>
      <c r="E3960" s="55">
        <v>447995.7</v>
      </c>
      <c r="F3960" s="55">
        <v>2906.5</v>
      </c>
      <c r="G3960" s="55">
        <v>450902.2</v>
      </c>
      <c r="H3960" s="55">
        <v>2703467</v>
      </c>
      <c r="I3960" s="55">
        <v>62574.1</v>
      </c>
      <c r="J3960" s="55">
        <v>2766041.1</v>
      </c>
      <c r="K3960" s="55">
        <v>1180217.3</v>
      </c>
      <c r="L3960" s="55">
        <v>82653.5</v>
      </c>
      <c r="M3960" s="55">
        <v>281472.8</v>
      </c>
      <c r="N3960" s="55">
        <v>84481.300000000105</v>
      </c>
    </row>
    <row r="3961" spans="1:14" ht="10.050000000000001" hidden="1" customHeight="1">
      <c r="A3961" s="52" t="s">
        <v>315</v>
      </c>
      <c r="B3961" s="53">
        <v>2024</v>
      </c>
      <c r="C3961" s="52" t="s">
        <v>128</v>
      </c>
      <c r="D3961" s="54">
        <v>4</v>
      </c>
      <c r="E3961" s="55">
        <v>1047</v>
      </c>
      <c r="F3961" s="55">
        <v>0</v>
      </c>
      <c r="G3961" s="55">
        <v>1047</v>
      </c>
      <c r="H3961" s="55">
        <v>22827.200000000001</v>
      </c>
      <c r="I3961" s="55">
        <v>0</v>
      </c>
      <c r="J3961" s="55">
        <v>22827.200000000001</v>
      </c>
      <c r="K3961" s="55">
        <v>2079.5</v>
      </c>
      <c r="L3961" s="55">
        <v>6</v>
      </c>
      <c r="M3961" s="55">
        <v>408.7</v>
      </c>
      <c r="N3961" s="55">
        <v>17.100000000000001</v>
      </c>
    </row>
    <row r="3962" spans="1:14" ht="10.050000000000001" hidden="1" customHeight="1">
      <c r="A3962" s="52" t="s">
        <v>311</v>
      </c>
      <c r="B3962" s="53">
        <v>2024</v>
      </c>
      <c r="C3962" s="52" t="s">
        <v>128</v>
      </c>
      <c r="D3962" s="54">
        <v>4</v>
      </c>
      <c r="E3962" s="55">
        <v>0</v>
      </c>
      <c r="F3962" s="55">
        <v>0</v>
      </c>
      <c r="G3962" s="55">
        <v>0</v>
      </c>
      <c r="H3962" s="55">
        <v>610.29999999999995</v>
      </c>
      <c r="I3962" s="55">
        <v>0</v>
      </c>
      <c r="J3962" s="55">
        <v>610.29999999999995</v>
      </c>
      <c r="K3962" s="55">
        <v>241.8</v>
      </c>
      <c r="L3962" s="55">
        <v>28.5</v>
      </c>
      <c r="M3962" s="55">
        <v>0</v>
      </c>
      <c r="N3962" s="55">
        <v>83.4</v>
      </c>
    </row>
    <row r="3963" spans="1:14" ht="10.050000000000001" hidden="1" customHeight="1">
      <c r="A3963" s="52" t="s">
        <v>173</v>
      </c>
      <c r="B3963" s="53">
        <v>2024</v>
      </c>
      <c r="C3963" s="52" t="s">
        <v>128</v>
      </c>
      <c r="D3963" s="54">
        <v>4</v>
      </c>
      <c r="E3963" s="55">
        <v>384615.4</v>
      </c>
      <c r="F3963" s="55">
        <v>795.1</v>
      </c>
      <c r="G3963" s="55">
        <v>385410.5</v>
      </c>
      <c r="H3963" s="55">
        <v>2232400.7999999998</v>
      </c>
      <c r="I3963" s="55">
        <v>22927.7</v>
      </c>
      <c r="J3963" s="55">
        <v>2255328.5</v>
      </c>
      <c r="K3963" s="55">
        <v>405386.9</v>
      </c>
      <c r="L3963" s="55">
        <v>36515.300000000003</v>
      </c>
      <c r="M3963" s="55">
        <v>264858.2</v>
      </c>
      <c r="N3963" s="55">
        <v>38148.400000000001</v>
      </c>
    </row>
    <row r="3964" spans="1:14" ht="10.050000000000001" customHeight="1">
      <c r="A3964" s="52" t="s">
        <v>309</v>
      </c>
      <c r="B3964" s="53">
        <v>2024</v>
      </c>
      <c r="C3964" s="52" t="s">
        <v>128</v>
      </c>
      <c r="D3964" s="54">
        <v>4</v>
      </c>
      <c r="E3964" s="55">
        <v>359.8</v>
      </c>
      <c r="F3964" s="55">
        <v>0</v>
      </c>
      <c r="G3964" s="55">
        <v>359.8</v>
      </c>
      <c r="H3964" s="55">
        <v>46107.1</v>
      </c>
      <c r="I3964" s="55">
        <v>1560.9</v>
      </c>
      <c r="J3964" s="55">
        <v>47668</v>
      </c>
      <c r="K3964" s="55">
        <v>7716.2</v>
      </c>
      <c r="L3964" s="55">
        <v>0</v>
      </c>
      <c r="M3964" s="55">
        <v>0</v>
      </c>
      <c r="N3964" s="55">
        <v>0</v>
      </c>
    </row>
    <row r="3965" spans="1:14" ht="10.050000000000001" hidden="1" customHeight="1">
      <c r="A3965" s="52" t="s">
        <v>316</v>
      </c>
      <c r="B3965" s="53">
        <v>2024</v>
      </c>
      <c r="C3965" s="52" t="s">
        <v>128</v>
      </c>
      <c r="D3965" s="54">
        <v>4</v>
      </c>
      <c r="E3965" s="55">
        <v>611.1</v>
      </c>
      <c r="F3965" s="55">
        <v>0</v>
      </c>
      <c r="G3965" s="55">
        <v>611.1</v>
      </c>
      <c r="H3965" s="55">
        <v>24065.4</v>
      </c>
      <c r="I3965" s="55">
        <v>660.5</v>
      </c>
      <c r="J3965" s="55">
        <v>24725.9</v>
      </c>
      <c r="K3965" s="55">
        <v>1163.0999999999999</v>
      </c>
      <c r="L3965" s="55">
        <v>32.6</v>
      </c>
      <c r="M3965" s="55">
        <v>259.89999999999998</v>
      </c>
      <c r="N3965" s="55">
        <v>47.3</v>
      </c>
    </row>
    <row r="3966" spans="1:14" ht="10.050000000000001" hidden="1" customHeight="1">
      <c r="A3966" s="52" t="s">
        <v>310</v>
      </c>
      <c r="B3966" s="53">
        <v>2024</v>
      </c>
      <c r="C3966" s="52" t="s">
        <v>128</v>
      </c>
      <c r="D3966" s="54">
        <v>4</v>
      </c>
      <c r="E3966" s="55">
        <v>2088.6</v>
      </c>
      <c r="F3966" s="55">
        <v>0</v>
      </c>
      <c r="G3966" s="55">
        <v>2088.6</v>
      </c>
      <c r="H3966" s="55">
        <v>36190.300000000003</v>
      </c>
      <c r="I3966" s="55">
        <v>1925.7</v>
      </c>
      <c r="J3966" s="55">
        <v>38116</v>
      </c>
      <c r="K3966" s="55">
        <v>2579.6</v>
      </c>
      <c r="L3966" s="55">
        <v>-16.8</v>
      </c>
      <c r="M3966" s="55">
        <v>1190.5</v>
      </c>
      <c r="N3966" s="55">
        <v>265.5</v>
      </c>
    </row>
    <row r="3967" spans="1:14" ht="10.050000000000001" hidden="1" customHeight="1">
      <c r="A3967" s="52" t="s">
        <v>308</v>
      </c>
      <c r="B3967" s="53">
        <v>2024</v>
      </c>
      <c r="C3967" s="52" t="s">
        <v>128</v>
      </c>
      <c r="D3967" s="54">
        <v>4</v>
      </c>
      <c r="E3967" s="55">
        <v>4740.8</v>
      </c>
      <c r="F3967" s="55">
        <v>371.4</v>
      </c>
      <c r="G3967" s="55">
        <v>5112.2</v>
      </c>
      <c r="H3967" s="55">
        <v>63026.9</v>
      </c>
      <c r="I3967" s="55">
        <v>156.1</v>
      </c>
      <c r="J3967" s="55">
        <v>63183.000000000102</v>
      </c>
      <c r="K3967" s="55">
        <v>11824.2</v>
      </c>
      <c r="L3967" s="55">
        <v>60.9</v>
      </c>
      <c r="M3967" s="55">
        <v>4114.8</v>
      </c>
      <c r="N3967" s="55">
        <v>1237.5</v>
      </c>
    </row>
    <row r="3968" spans="1:14" ht="10.050000000000001" hidden="1" customHeight="1">
      <c r="A3968" s="52" t="s">
        <v>174</v>
      </c>
      <c r="B3968" s="53">
        <v>2024</v>
      </c>
      <c r="C3968" s="52" t="s">
        <v>128</v>
      </c>
      <c r="D3968" s="54">
        <v>4</v>
      </c>
      <c r="E3968" s="55">
        <v>23131.3</v>
      </c>
      <c r="F3968" s="55">
        <v>77.7</v>
      </c>
      <c r="G3968" s="55">
        <v>23209</v>
      </c>
      <c r="H3968" s="55">
        <v>150730.6</v>
      </c>
      <c r="I3968" s="55">
        <v>8288.2000000000007</v>
      </c>
      <c r="J3968" s="55">
        <v>159018.79999999999</v>
      </c>
      <c r="K3968" s="55">
        <v>76306.600000000006</v>
      </c>
      <c r="L3968" s="55">
        <v>3319.9</v>
      </c>
      <c r="M3968" s="55">
        <v>16059.9</v>
      </c>
      <c r="N3968" s="55">
        <v>12026.9</v>
      </c>
    </row>
    <row r="3969" spans="1:14" ht="10.050000000000001" hidden="1" customHeight="1">
      <c r="A3969" s="52" t="s">
        <v>314</v>
      </c>
      <c r="B3969" s="53">
        <v>2024</v>
      </c>
      <c r="C3969" s="52" t="s">
        <v>128</v>
      </c>
      <c r="D3969" s="54">
        <v>5</v>
      </c>
      <c r="E3969" s="55">
        <v>0</v>
      </c>
      <c r="F3969" s="55">
        <v>0</v>
      </c>
      <c r="G3969" s="55">
        <v>0</v>
      </c>
      <c r="H3969" s="55">
        <v>18</v>
      </c>
      <c r="I3969" s="55">
        <v>0</v>
      </c>
      <c r="J3969" s="55">
        <v>18</v>
      </c>
      <c r="K3969" s="55">
        <v>0</v>
      </c>
      <c r="L3969" s="55">
        <v>0</v>
      </c>
      <c r="M3969" s="55">
        <v>0</v>
      </c>
      <c r="N3969" s="55">
        <v>0</v>
      </c>
    </row>
    <row r="3970" spans="1:14" ht="10.050000000000001" hidden="1" customHeight="1">
      <c r="A3970" s="52" t="s">
        <v>306</v>
      </c>
      <c r="B3970" s="53">
        <v>2024</v>
      </c>
      <c r="C3970" s="52" t="s">
        <v>128</v>
      </c>
      <c r="D3970" s="54">
        <v>5</v>
      </c>
      <c r="E3970" s="55">
        <v>3757.1</v>
      </c>
      <c r="F3970" s="55">
        <v>315.7</v>
      </c>
      <c r="G3970" s="55">
        <v>4072.8</v>
      </c>
      <c r="H3970" s="55">
        <v>39815.199999999997</v>
      </c>
      <c r="I3970" s="55">
        <v>2104.9</v>
      </c>
      <c r="J3970" s="55">
        <v>41920.1</v>
      </c>
      <c r="K3970" s="55">
        <v>3107</v>
      </c>
      <c r="L3970" s="55">
        <v>382.4</v>
      </c>
      <c r="M3970" s="55">
        <v>2404.8000000000002</v>
      </c>
      <c r="N3970" s="55">
        <v>656.5</v>
      </c>
    </row>
    <row r="3971" spans="1:14" ht="10.050000000000001" hidden="1" customHeight="1">
      <c r="A3971" s="52" t="s">
        <v>172</v>
      </c>
      <c r="B3971" s="53">
        <v>2024</v>
      </c>
      <c r="C3971" s="52" t="s">
        <v>128</v>
      </c>
      <c r="D3971" s="54">
        <v>5</v>
      </c>
      <c r="E3971" s="55">
        <v>42379.7</v>
      </c>
      <c r="F3971" s="55">
        <v>80</v>
      </c>
      <c r="G3971" s="55">
        <v>42459.7</v>
      </c>
      <c r="H3971" s="55">
        <v>153719.9</v>
      </c>
      <c r="I3971" s="55">
        <v>7439.7</v>
      </c>
      <c r="J3971" s="55">
        <v>161159.6</v>
      </c>
      <c r="K3971" s="55">
        <v>23642.1</v>
      </c>
      <c r="L3971" s="55">
        <v>7121.6</v>
      </c>
      <c r="M3971" s="55">
        <v>23337.8</v>
      </c>
      <c r="N3971" s="55">
        <v>995.6</v>
      </c>
    </row>
    <row r="3972" spans="1:14" ht="10.050000000000001" hidden="1" customHeight="1">
      <c r="A3972" s="52" t="s">
        <v>171</v>
      </c>
      <c r="B3972" s="53">
        <v>2024</v>
      </c>
      <c r="C3972" s="52" t="s">
        <v>128</v>
      </c>
      <c r="D3972" s="54">
        <v>5</v>
      </c>
      <c r="E3972" s="55">
        <v>1638056.6</v>
      </c>
      <c r="F3972" s="55">
        <v>8898</v>
      </c>
      <c r="G3972" s="55">
        <v>1646954.6</v>
      </c>
      <c r="H3972" s="55">
        <v>4148080.6</v>
      </c>
      <c r="I3972" s="55">
        <v>64187.6</v>
      </c>
      <c r="J3972" s="55">
        <v>4212268.2</v>
      </c>
      <c r="K3972" s="55">
        <v>675013.1</v>
      </c>
      <c r="L3972" s="55">
        <v>233175</v>
      </c>
      <c r="M3972" s="55">
        <v>1173282</v>
      </c>
      <c r="N3972" s="55">
        <v>84630.7</v>
      </c>
    </row>
    <row r="3973" spans="1:14" ht="10.050000000000001" hidden="1" customHeight="1">
      <c r="A3973" s="52" t="s">
        <v>300</v>
      </c>
      <c r="B3973" s="53">
        <v>2024</v>
      </c>
      <c r="C3973" s="52" t="s">
        <v>128</v>
      </c>
      <c r="D3973" s="54">
        <v>5</v>
      </c>
      <c r="E3973" s="55">
        <v>689.2</v>
      </c>
      <c r="F3973" s="55">
        <v>62.9</v>
      </c>
      <c r="G3973" s="55">
        <v>752.1</v>
      </c>
      <c r="H3973" s="55">
        <v>22255.5</v>
      </c>
      <c r="I3973" s="55">
        <v>920.7</v>
      </c>
      <c r="J3973" s="55">
        <v>23176.2</v>
      </c>
      <c r="K3973" s="55">
        <v>435.7</v>
      </c>
      <c r="L3973" s="55">
        <v>21.6</v>
      </c>
      <c r="M3973" s="55">
        <v>35.9</v>
      </c>
      <c r="N3973" s="55">
        <v>16.899999999999999</v>
      </c>
    </row>
    <row r="3974" spans="1:14" ht="10.050000000000001" hidden="1" customHeight="1">
      <c r="A3974" s="52" t="s">
        <v>307</v>
      </c>
      <c r="B3974" s="53">
        <v>2024</v>
      </c>
      <c r="C3974" s="52" t="s">
        <v>128</v>
      </c>
      <c r="D3974" s="54">
        <v>5</v>
      </c>
      <c r="E3974" s="55">
        <v>476657.9</v>
      </c>
      <c r="F3974" s="55">
        <v>2129.5</v>
      </c>
      <c r="G3974" s="55">
        <v>478787.4</v>
      </c>
      <c r="H3974" s="55">
        <v>2244626.9</v>
      </c>
      <c r="I3974" s="55">
        <v>58394.1</v>
      </c>
      <c r="J3974" s="55">
        <v>2303021</v>
      </c>
      <c r="K3974" s="55">
        <v>845189.3</v>
      </c>
      <c r="L3974" s="55">
        <v>64785.3</v>
      </c>
      <c r="M3974" s="55">
        <v>319254.09999999998</v>
      </c>
      <c r="N3974" s="55">
        <v>80956.3</v>
      </c>
    </row>
    <row r="3975" spans="1:14" ht="10.050000000000001" hidden="1" customHeight="1">
      <c r="A3975" s="52" t="s">
        <v>315</v>
      </c>
      <c r="B3975" s="53">
        <v>2024</v>
      </c>
      <c r="C3975" s="52" t="s">
        <v>128</v>
      </c>
      <c r="D3975" s="54">
        <v>5</v>
      </c>
      <c r="E3975" s="55">
        <v>1432.7</v>
      </c>
      <c r="F3975" s="55">
        <v>0</v>
      </c>
      <c r="G3975" s="55">
        <v>1432.7</v>
      </c>
      <c r="H3975" s="55">
        <v>20563</v>
      </c>
      <c r="I3975" s="55">
        <v>0</v>
      </c>
      <c r="J3975" s="55">
        <v>20563</v>
      </c>
      <c r="K3975" s="55">
        <v>943.7</v>
      </c>
      <c r="L3975" s="55">
        <v>161.19999999999999</v>
      </c>
      <c r="M3975" s="55">
        <v>1068.5999999999999</v>
      </c>
      <c r="N3975" s="55">
        <v>225.4</v>
      </c>
    </row>
    <row r="3976" spans="1:14" ht="10.050000000000001" hidden="1" customHeight="1">
      <c r="A3976" s="52" t="s">
        <v>311</v>
      </c>
      <c r="B3976" s="53">
        <v>2024</v>
      </c>
      <c r="C3976" s="52" t="s">
        <v>128</v>
      </c>
      <c r="D3976" s="54">
        <v>5</v>
      </c>
      <c r="E3976" s="55">
        <v>36.700000000000003</v>
      </c>
      <c r="F3976" s="55">
        <v>0</v>
      </c>
      <c r="G3976" s="55">
        <v>36.700000000000003</v>
      </c>
      <c r="H3976" s="55">
        <v>569.9</v>
      </c>
      <c r="I3976" s="55">
        <v>0</v>
      </c>
      <c r="J3976" s="55">
        <v>569.9</v>
      </c>
      <c r="K3976" s="55">
        <v>194</v>
      </c>
      <c r="L3976" s="55">
        <v>0</v>
      </c>
      <c r="M3976" s="55">
        <v>0</v>
      </c>
      <c r="N3976" s="55">
        <v>48.3</v>
      </c>
    </row>
    <row r="3977" spans="1:14" ht="10.050000000000001" hidden="1" customHeight="1">
      <c r="A3977" s="52" t="s">
        <v>173</v>
      </c>
      <c r="B3977" s="53">
        <v>2024</v>
      </c>
      <c r="C3977" s="52" t="s">
        <v>128</v>
      </c>
      <c r="D3977" s="54">
        <v>5</v>
      </c>
      <c r="E3977" s="55">
        <v>292366.3</v>
      </c>
      <c r="F3977" s="55">
        <v>4337.6000000000004</v>
      </c>
      <c r="G3977" s="55">
        <v>296703.90000000002</v>
      </c>
      <c r="H3977" s="55">
        <v>1675213</v>
      </c>
      <c r="I3977" s="55">
        <v>22183.5</v>
      </c>
      <c r="J3977" s="55">
        <v>1697396.5</v>
      </c>
      <c r="K3977" s="55">
        <v>191728.2</v>
      </c>
      <c r="L3977" s="55">
        <v>35052.699999999997</v>
      </c>
      <c r="M3977" s="55">
        <v>205123.4</v>
      </c>
      <c r="N3977" s="55">
        <v>43547.7</v>
      </c>
    </row>
    <row r="3978" spans="1:14" ht="10.050000000000001" customHeight="1">
      <c r="A3978" s="52" t="s">
        <v>309</v>
      </c>
      <c r="B3978" s="53">
        <v>2024</v>
      </c>
      <c r="C3978" s="52" t="s">
        <v>128</v>
      </c>
      <c r="D3978" s="54">
        <v>5</v>
      </c>
      <c r="E3978" s="55">
        <v>17757.3</v>
      </c>
      <c r="F3978" s="55">
        <v>0</v>
      </c>
      <c r="G3978" s="55">
        <v>17757.3</v>
      </c>
      <c r="H3978" s="55">
        <v>36961.800000000003</v>
      </c>
      <c r="I3978" s="55">
        <v>1533</v>
      </c>
      <c r="J3978" s="55">
        <v>38494.800000000003</v>
      </c>
      <c r="K3978" s="55">
        <v>7533.1</v>
      </c>
      <c r="L3978" s="55">
        <v>0</v>
      </c>
      <c r="M3978" s="55">
        <v>183.1</v>
      </c>
      <c r="N3978" s="55">
        <v>0</v>
      </c>
    </row>
    <row r="3979" spans="1:14" ht="10.050000000000001" hidden="1" customHeight="1">
      <c r="A3979" s="52" t="s">
        <v>316</v>
      </c>
      <c r="B3979" s="53">
        <v>2024</v>
      </c>
      <c r="C3979" s="52" t="s">
        <v>128</v>
      </c>
      <c r="D3979" s="54">
        <v>5</v>
      </c>
      <c r="E3979" s="55">
        <v>587.9</v>
      </c>
      <c r="F3979" s="55">
        <v>3.4</v>
      </c>
      <c r="G3979" s="55">
        <v>591.29999999999995</v>
      </c>
      <c r="H3979" s="55">
        <v>22515.3</v>
      </c>
      <c r="I3979" s="55">
        <v>408.5</v>
      </c>
      <c r="J3979" s="55">
        <v>22923.8</v>
      </c>
      <c r="K3979" s="55">
        <v>1029.3</v>
      </c>
      <c r="L3979" s="55">
        <v>7.9</v>
      </c>
      <c r="M3979" s="55">
        <v>136.69999999999999</v>
      </c>
      <c r="N3979" s="55">
        <v>0.6</v>
      </c>
    </row>
    <row r="3980" spans="1:14" ht="10.050000000000001" hidden="1" customHeight="1">
      <c r="A3980" s="52" t="s">
        <v>310</v>
      </c>
      <c r="B3980" s="53">
        <v>2024</v>
      </c>
      <c r="C3980" s="52" t="s">
        <v>128</v>
      </c>
      <c r="D3980" s="54">
        <v>5</v>
      </c>
      <c r="E3980" s="55">
        <v>2093.8000000000002</v>
      </c>
      <c r="F3980" s="55">
        <v>0</v>
      </c>
      <c r="G3980" s="55">
        <v>2093.8000000000002</v>
      </c>
      <c r="H3980" s="55">
        <v>32727.7</v>
      </c>
      <c r="I3980" s="55">
        <v>1952.9</v>
      </c>
      <c r="J3980" s="55">
        <v>34680.6</v>
      </c>
      <c r="K3980" s="55">
        <v>1392.6</v>
      </c>
      <c r="L3980" s="55">
        <v>43.7</v>
      </c>
      <c r="M3980" s="55">
        <v>911.5</v>
      </c>
      <c r="N3980" s="55">
        <v>307.3</v>
      </c>
    </row>
    <row r="3981" spans="1:14" ht="10.050000000000001" hidden="1" customHeight="1">
      <c r="A3981" s="52" t="s">
        <v>308</v>
      </c>
      <c r="B3981" s="53">
        <v>2024</v>
      </c>
      <c r="C3981" s="52" t="s">
        <v>128</v>
      </c>
      <c r="D3981" s="54">
        <v>5</v>
      </c>
      <c r="E3981" s="55">
        <v>7269.1</v>
      </c>
      <c r="F3981" s="55">
        <v>0</v>
      </c>
      <c r="G3981" s="55">
        <v>7269.1</v>
      </c>
      <c r="H3981" s="55">
        <v>46040.4</v>
      </c>
      <c r="I3981" s="55">
        <v>131.9</v>
      </c>
      <c r="J3981" s="55">
        <v>46172.3</v>
      </c>
      <c r="K3981" s="55">
        <v>4998.7</v>
      </c>
      <c r="L3981" s="55">
        <v>155.4</v>
      </c>
      <c r="M3981" s="55">
        <v>6620.8</v>
      </c>
      <c r="N3981" s="55">
        <v>388.8</v>
      </c>
    </row>
    <row r="3982" spans="1:14" ht="10.050000000000001" hidden="1" customHeight="1">
      <c r="A3982" s="52" t="s">
        <v>174</v>
      </c>
      <c r="B3982" s="53">
        <v>2024</v>
      </c>
      <c r="C3982" s="52" t="s">
        <v>128</v>
      </c>
      <c r="D3982" s="54">
        <v>5</v>
      </c>
      <c r="E3982" s="55">
        <v>27260.6</v>
      </c>
      <c r="F3982" s="55">
        <v>1572</v>
      </c>
      <c r="G3982" s="55">
        <v>28832.6</v>
      </c>
      <c r="H3982" s="55">
        <v>121559.4</v>
      </c>
      <c r="I3982" s="55">
        <v>7862.2</v>
      </c>
      <c r="J3982" s="55">
        <v>129421.6</v>
      </c>
      <c r="K3982" s="55">
        <v>46766.1</v>
      </c>
      <c r="L3982" s="55">
        <v>4718</v>
      </c>
      <c r="M3982" s="55">
        <v>19045.400000000001</v>
      </c>
      <c r="N3982" s="55">
        <v>14944.1</v>
      </c>
    </row>
    <row r="3983" spans="1:14" ht="10.050000000000001" hidden="1" customHeight="1">
      <c r="A3983" s="52" t="s">
        <v>314</v>
      </c>
      <c r="B3983" s="53">
        <v>2024</v>
      </c>
      <c r="C3983" s="52" t="s">
        <v>128</v>
      </c>
      <c r="D3983" s="54">
        <v>6</v>
      </c>
      <c r="E3983" s="55">
        <v>0</v>
      </c>
      <c r="F3983" s="55">
        <v>0</v>
      </c>
      <c r="G3983" s="55">
        <v>0</v>
      </c>
      <c r="H3983" s="55">
        <v>32</v>
      </c>
      <c r="I3983" s="55">
        <v>0</v>
      </c>
      <c r="J3983" s="55">
        <v>32</v>
      </c>
      <c r="K3983" s="55">
        <v>0</v>
      </c>
      <c r="L3983" s="55">
        <v>0</v>
      </c>
      <c r="M3983" s="55">
        <v>0</v>
      </c>
      <c r="N3983" s="55">
        <v>0</v>
      </c>
    </row>
    <row r="3984" spans="1:14" ht="10.050000000000001" hidden="1" customHeight="1">
      <c r="A3984" s="52" t="s">
        <v>306</v>
      </c>
      <c r="B3984" s="53">
        <v>2024</v>
      </c>
      <c r="C3984" s="52" t="s">
        <v>128</v>
      </c>
      <c r="D3984" s="54">
        <v>6</v>
      </c>
      <c r="E3984" s="55">
        <v>2864.3</v>
      </c>
      <c r="F3984" s="55">
        <v>75.8</v>
      </c>
      <c r="G3984" s="55">
        <v>2940.1</v>
      </c>
      <c r="H3984" s="55">
        <v>24541.5</v>
      </c>
      <c r="I3984" s="55">
        <v>1683.7</v>
      </c>
      <c r="J3984" s="55">
        <v>26225.200000000001</v>
      </c>
      <c r="K3984" s="55">
        <v>1992.9</v>
      </c>
      <c r="L3984" s="55">
        <v>837.4</v>
      </c>
      <c r="M3984" s="55">
        <v>962</v>
      </c>
      <c r="N3984" s="55">
        <v>1057.5999999999999</v>
      </c>
    </row>
    <row r="3985" spans="1:14" ht="10.050000000000001" hidden="1" customHeight="1">
      <c r="A3985" s="52" t="s">
        <v>172</v>
      </c>
      <c r="B3985" s="53">
        <v>2024</v>
      </c>
      <c r="C3985" s="52" t="s">
        <v>128</v>
      </c>
      <c r="D3985" s="54">
        <v>6</v>
      </c>
      <c r="E3985" s="55">
        <v>24140.1</v>
      </c>
      <c r="F3985" s="55">
        <v>481</v>
      </c>
      <c r="G3985" s="55">
        <v>24621.1</v>
      </c>
      <c r="H3985" s="55">
        <v>84952.6</v>
      </c>
      <c r="I3985" s="55">
        <v>5625.5</v>
      </c>
      <c r="J3985" s="55">
        <v>90578.1</v>
      </c>
      <c r="K3985" s="55">
        <v>16675.400000000001</v>
      </c>
      <c r="L3985" s="55">
        <v>5759.3</v>
      </c>
      <c r="M3985" s="55">
        <v>10772.3</v>
      </c>
      <c r="N3985" s="55">
        <v>1953.8</v>
      </c>
    </row>
    <row r="3986" spans="1:14" ht="10.050000000000001" hidden="1" customHeight="1">
      <c r="A3986" s="52" t="s">
        <v>171</v>
      </c>
      <c r="B3986" s="53">
        <v>2024</v>
      </c>
      <c r="C3986" s="52" t="s">
        <v>128</v>
      </c>
      <c r="D3986" s="54">
        <v>6</v>
      </c>
      <c r="E3986" s="55">
        <v>688649.1</v>
      </c>
      <c r="F3986" s="55">
        <v>3825</v>
      </c>
      <c r="G3986" s="55">
        <v>692474.1</v>
      </c>
      <c r="H3986" s="55">
        <v>2391135.9</v>
      </c>
      <c r="I3986" s="55">
        <v>37876.199999999997</v>
      </c>
      <c r="J3986" s="55">
        <v>2429012.1</v>
      </c>
      <c r="K3986" s="55">
        <v>358869.1</v>
      </c>
      <c r="L3986" s="55">
        <v>176466.4</v>
      </c>
      <c r="M3986" s="55">
        <v>371235.5</v>
      </c>
      <c r="N3986" s="55">
        <v>122412.1</v>
      </c>
    </row>
    <row r="3987" spans="1:14" ht="10.050000000000001" hidden="1" customHeight="1">
      <c r="A3987" s="52" t="s">
        <v>300</v>
      </c>
      <c r="B3987" s="53">
        <v>2024</v>
      </c>
      <c r="C3987" s="52" t="s">
        <v>128</v>
      </c>
      <c r="D3987" s="54">
        <v>6</v>
      </c>
      <c r="E3987" s="55">
        <v>1464.2</v>
      </c>
      <c r="F3987" s="55">
        <v>30.7</v>
      </c>
      <c r="G3987" s="55">
        <v>1494.9</v>
      </c>
      <c r="H3987" s="55">
        <v>16940</v>
      </c>
      <c r="I3987" s="55">
        <v>732.7</v>
      </c>
      <c r="J3987" s="55">
        <v>17672.7</v>
      </c>
      <c r="K3987" s="55">
        <v>517.20000000000005</v>
      </c>
      <c r="L3987" s="55">
        <v>121.1</v>
      </c>
      <c r="M3987" s="55">
        <v>15.9</v>
      </c>
      <c r="N3987" s="55">
        <v>23.8</v>
      </c>
    </row>
    <row r="3988" spans="1:14" ht="10.050000000000001" hidden="1" customHeight="1">
      <c r="A3988" s="52" t="s">
        <v>307</v>
      </c>
      <c r="B3988" s="53">
        <v>2024</v>
      </c>
      <c r="C3988" s="52" t="s">
        <v>128</v>
      </c>
      <c r="D3988" s="54">
        <v>6</v>
      </c>
      <c r="E3988" s="55">
        <v>489464.3</v>
      </c>
      <c r="F3988" s="55">
        <v>64.3</v>
      </c>
      <c r="G3988" s="55">
        <v>489528.6</v>
      </c>
      <c r="H3988" s="55">
        <v>1755033.7</v>
      </c>
      <c r="I3988" s="55">
        <v>38971.9</v>
      </c>
      <c r="J3988" s="55">
        <v>1794005.6</v>
      </c>
      <c r="K3988" s="55">
        <v>476503.4</v>
      </c>
      <c r="L3988" s="55">
        <v>153426.29999999999</v>
      </c>
      <c r="M3988" s="55">
        <v>323688.5</v>
      </c>
      <c r="N3988" s="55">
        <v>198276.2</v>
      </c>
    </row>
    <row r="3989" spans="1:14" ht="10.050000000000001" hidden="1" customHeight="1">
      <c r="A3989" s="52" t="s">
        <v>315</v>
      </c>
      <c r="B3989" s="53">
        <v>2024</v>
      </c>
      <c r="C3989" s="52" t="s">
        <v>128</v>
      </c>
      <c r="D3989" s="54">
        <v>6</v>
      </c>
      <c r="E3989" s="55">
        <v>958.1</v>
      </c>
      <c r="F3989" s="55">
        <v>0</v>
      </c>
      <c r="G3989" s="55">
        <v>958.1</v>
      </c>
      <c r="H3989" s="55">
        <v>16811.7</v>
      </c>
      <c r="I3989" s="55">
        <v>0</v>
      </c>
      <c r="J3989" s="55">
        <v>16811.7</v>
      </c>
      <c r="K3989" s="55">
        <v>475.1</v>
      </c>
      <c r="L3989" s="55">
        <v>45.5</v>
      </c>
      <c r="M3989" s="55">
        <v>408.6</v>
      </c>
      <c r="N3989" s="55">
        <v>105.4</v>
      </c>
    </row>
    <row r="3990" spans="1:14" ht="10.050000000000001" hidden="1" customHeight="1">
      <c r="A3990" s="52" t="s">
        <v>311</v>
      </c>
      <c r="B3990" s="53">
        <v>2024</v>
      </c>
      <c r="C3990" s="52" t="s">
        <v>128</v>
      </c>
      <c r="D3990" s="54">
        <v>6</v>
      </c>
      <c r="E3990" s="55">
        <v>124.6</v>
      </c>
      <c r="F3990" s="55">
        <v>0</v>
      </c>
      <c r="G3990" s="55">
        <v>124.6</v>
      </c>
      <c r="H3990" s="55">
        <v>348.1</v>
      </c>
      <c r="I3990" s="55">
        <v>0</v>
      </c>
      <c r="J3990" s="55">
        <v>348.1</v>
      </c>
      <c r="K3990" s="55">
        <v>106.2</v>
      </c>
      <c r="L3990" s="55">
        <v>1.1000000000000001</v>
      </c>
      <c r="M3990" s="55">
        <v>56.6</v>
      </c>
      <c r="N3990" s="55">
        <v>32.5</v>
      </c>
    </row>
    <row r="3991" spans="1:14" ht="10.050000000000001" hidden="1" customHeight="1">
      <c r="A3991" s="52" t="s">
        <v>173</v>
      </c>
      <c r="B3991" s="53">
        <v>2024</v>
      </c>
      <c r="C3991" s="52" t="s">
        <v>128</v>
      </c>
      <c r="D3991" s="54">
        <v>6</v>
      </c>
      <c r="E3991" s="55">
        <v>130453.1</v>
      </c>
      <c r="F3991" s="55">
        <v>571.4</v>
      </c>
      <c r="G3991" s="55">
        <v>131024.5</v>
      </c>
      <c r="H3991" s="55">
        <v>963366.1</v>
      </c>
      <c r="I3991" s="55">
        <v>13330.7</v>
      </c>
      <c r="J3991" s="55">
        <v>976696.8</v>
      </c>
      <c r="K3991" s="55">
        <v>104437.4</v>
      </c>
      <c r="L3991" s="55">
        <v>25807.3</v>
      </c>
      <c r="M3991" s="55">
        <v>70611.3</v>
      </c>
      <c r="N3991" s="55">
        <v>42580.800000000003</v>
      </c>
    </row>
    <row r="3992" spans="1:14" ht="10.050000000000001" customHeight="1">
      <c r="A3992" s="52" t="s">
        <v>309</v>
      </c>
      <c r="B3992" s="53">
        <v>2024</v>
      </c>
      <c r="C3992" s="52" t="s">
        <v>128</v>
      </c>
      <c r="D3992" s="54">
        <v>6</v>
      </c>
      <c r="E3992" s="55">
        <v>2701.1</v>
      </c>
      <c r="F3992" s="55">
        <v>0</v>
      </c>
      <c r="G3992" s="55">
        <v>2701.1</v>
      </c>
      <c r="H3992" s="55">
        <v>38561.9</v>
      </c>
      <c r="I3992" s="55">
        <v>1533</v>
      </c>
      <c r="J3992" s="55">
        <v>40094.9</v>
      </c>
      <c r="K3992" s="55">
        <v>1239.7</v>
      </c>
      <c r="L3992" s="55">
        <v>0</v>
      </c>
      <c r="M3992" s="55">
        <v>0</v>
      </c>
      <c r="N3992" s="55">
        <v>6293.4</v>
      </c>
    </row>
    <row r="3993" spans="1:14" ht="10.050000000000001" hidden="1" customHeight="1">
      <c r="A3993" s="52" t="s">
        <v>316</v>
      </c>
      <c r="B3993" s="53">
        <v>2024</v>
      </c>
      <c r="C3993" s="52" t="s">
        <v>128</v>
      </c>
      <c r="D3993" s="54">
        <v>6</v>
      </c>
      <c r="E3993" s="55">
        <v>634.79999999999995</v>
      </c>
      <c r="F3993" s="55">
        <v>25.2</v>
      </c>
      <c r="G3993" s="55">
        <v>660</v>
      </c>
      <c r="H3993" s="55">
        <v>19007.400000000001</v>
      </c>
      <c r="I3993" s="55">
        <v>410.1</v>
      </c>
      <c r="J3993" s="55">
        <v>19417.5</v>
      </c>
      <c r="K3993" s="55">
        <v>760.6</v>
      </c>
      <c r="L3993" s="55">
        <v>25.7</v>
      </c>
      <c r="M3993" s="55">
        <v>61</v>
      </c>
      <c r="N3993" s="55">
        <v>229.7</v>
      </c>
    </row>
    <row r="3994" spans="1:14" ht="10.050000000000001" hidden="1" customHeight="1">
      <c r="A3994" s="52" t="s">
        <v>310</v>
      </c>
      <c r="B3994" s="53">
        <v>2024</v>
      </c>
      <c r="C3994" s="52" t="s">
        <v>128</v>
      </c>
      <c r="D3994" s="54">
        <v>6</v>
      </c>
      <c r="E3994" s="55">
        <v>1356.6</v>
      </c>
      <c r="F3994" s="55">
        <v>0</v>
      </c>
      <c r="G3994" s="55">
        <v>1356.6</v>
      </c>
      <c r="H3994" s="55">
        <v>26948.799999999999</v>
      </c>
      <c r="I3994" s="55">
        <v>1644</v>
      </c>
      <c r="J3994" s="55">
        <v>28592.799999999999</v>
      </c>
      <c r="K3994" s="55">
        <v>775.3</v>
      </c>
      <c r="L3994" s="55">
        <v>172.2</v>
      </c>
      <c r="M3994" s="55">
        <v>250.5</v>
      </c>
      <c r="N3994" s="55">
        <v>538.79999999999995</v>
      </c>
    </row>
    <row r="3995" spans="1:14" ht="10.050000000000001" hidden="1" customHeight="1">
      <c r="A3995" s="52" t="s">
        <v>308</v>
      </c>
      <c r="B3995" s="53">
        <v>2024</v>
      </c>
      <c r="C3995" s="52" t="s">
        <v>128</v>
      </c>
      <c r="D3995" s="54">
        <v>6</v>
      </c>
      <c r="E3995" s="55">
        <v>2915.7</v>
      </c>
      <c r="F3995" s="55">
        <v>0</v>
      </c>
      <c r="G3995" s="55">
        <v>2915.7</v>
      </c>
      <c r="H3995" s="55">
        <v>30768.400000000001</v>
      </c>
      <c r="I3995" s="55">
        <v>131.9</v>
      </c>
      <c r="J3995" s="55">
        <v>30900.3</v>
      </c>
      <c r="K3995" s="55">
        <v>2472.6999999999998</v>
      </c>
      <c r="L3995" s="55">
        <v>837.1</v>
      </c>
      <c r="M3995" s="55">
        <v>2029.6</v>
      </c>
      <c r="N3995" s="55">
        <v>1305</v>
      </c>
    </row>
    <row r="3996" spans="1:14" ht="10.050000000000001" hidden="1" customHeight="1">
      <c r="A3996" s="52" t="s">
        <v>174</v>
      </c>
      <c r="B3996" s="53">
        <v>2024</v>
      </c>
      <c r="C3996" s="52" t="s">
        <v>128</v>
      </c>
      <c r="D3996" s="54">
        <v>6</v>
      </c>
      <c r="E3996" s="55">
        <v>17335.7</v>
      </c>
      <c r="F3996" s="55">
        <v>5</v>
      </c>
      <c r="G3996" s="55">
        <v>17340.7</v>
      </c>
      <c r="H3996" s="55">
        <v>74824.399999999994</v>
      </c>
      <c r="I3996" s="55">
        <v>6244.8</v>
      </c>
      <c r="J3996" s="55">
        <v>81069.2</v>
      </c>
      <c r="K3996" s="55">
        <v>27188.3</v>
      </c>
      <c r="L3996" s="55">
        <v>4874.6000000000004</v>
      </c>
      <c r="M3996" s="55">
        <v>6438.9</v>
      </c>
      <c r="N3996" s="55">
        <v>18536.099999999999</v>
      </c>
    </row>
    <row r="3997" spans="1:14" ht="10.050000000000001" hidden="1" customHeight="1">
      <c r="A3997" s="52" t="s">
        <v>314</v>
      </c>
      <c r="B3997" s="53">
        <v>2024</v>
      </c>
      <c r="C3997" s="52" t="s">
        <v>129</v>
      </c>
      <c r="D3997" s="54">
        <v>7</v>
      </c>
      <c r="E3997" s="55">
        <v>0</v>
      </c>
      <c r="F3997" s="55">
        <v>0</v>
      </c>
      <c r="G3997" s="55">
        <v>0</v>
      </c>
      <c r="H3997" s="55">
        <v>43.9</v>
      </c>
      <c r="I3997" s="55">
        <v>0</v>
      </c>
      <c r="J3997" s="55">
        <v>43.9</v>
      </c>
      <c r="K3997" s="55">
        <v>0</v>
      </c>
      <c r="L3997" s="55">
        <v>0</v>
      </c>
      <c r="M3997" s="55">
        <v>0</v>
      </c>
      <c r="N3997" s="55">
        <v>0</v>
      </c>
    </row>
    <row r="3998" spans="1:14" ht="10.050000000000001" hidden="1" customHeight="1">
      <c r="A3998" s="52" t="s">
        <v>306</v>
      </c>
      <c r="B3998" s="53">
        <v>2024</v>
      </c>
      <c r="C3998" s="52" t="s">
        <v>129</v>
      </c>
      <c r="D3998" s="54">
        <v>7</v>
      </c>
      <c r="E3998" s="55">
        <v>53939.9</v>
      </c>
      <c r="F3998" s="55">
        <v>799.5</v>
      </c>
      <c r="G3998" s="55">
        <v>54739.4</v>
      </c>
      <c r="H3998" s="55">
        <v>67557.2</v>
      </c>
      <c r="I3998" s="55">
        <v>2117.1999999999998</v>
      </c>
      <c r="J3998" s="55">
        <v>69674.399999999994</v>
      </c>
      <c r="K3998" s="55">
        <v>28710.400000000001</v>
      </c>
      <c r="L3998" s="55">
        <v>31299.1</v>
      </c>
      <c r="M3998" s="55">
        <v>4030</v>
      </c>
      <c r="N3998" s="55">
        <v>418.3</v>
      </c>
    </row>
    <row r="3999" spans="1:14" ht="10.050000000000001" hidden="1" customHeight="1">
      <c r="A3999" s="52" t="s">
        <v>172</v>
      </c>
      <c r="B3999" s="53">
        <v>2024</v>
      </c>
      <c r="C3999" s="52" t="s">
        <v>129</v>
      </c>
      <c r="D3999" s="54">
        <v>7</v>
      </c>
      <c r="E3999" s="55">
        <v>406916.4</v>
      </c>
      <c r="F3999" s="55">
        <v>26110.7</v>
      </c>
      <c r="G3999" s="55">
        <v>433027.1</v>
      </c>
      <c r="H3999" s="55">
        <v>428237.6</v>
      </c>
      <c r="I3999" s="55">
        <v>27164.1</v>
      </c>
      <c r="J3999" s="55">
        <v>455401.7</v>
      </c>
      <c r="K3999" s="55">
        <v>384245.7</v>
      </c>
      <c r="L3999" s="55">
        <v>387664.8</v>
      </c>
      <c r="M3999" s="55">
        <v>17229.599999999999</v>
      </c>
      <c r="N3999" s="55">
        <v>2864.3</v>
      </c>
    </row>
    <row r="4000" spans="1:14" ht="10.050000000000001" hidden="1" customHeight="1">
      <c r="A4000" s="52" t="s">
        <v>171</v>
      </c>
      <c r="B4000" s="53">
        <v>2024</v>
      </c>
      <c r="C4000" s="52" t="s">
        <v>129</v>
      </c>
      <c r="D4000" s="54">
        <v>7</v>
      </c>
      <c r="E4000" s="55">
        <v>7325994.2000000002</v>
      </c>
      <c r="F4000" s="55">
        <v>66075.399999999994</v>
      </c>
      <c r="G4000" s="55">
        <v>7392069.5999999996</v>
      </c>
      <c r="H4000" s="55">
        <v>7925231.5</v>
      </c>
      <c r="I4000" s="55">
        <v>84983.1</v>
      </c>
      <c r="J4000" s="55">
        <v>8010214.5999999996</v>
      </c>
      <c r="K4000" s="55">
        <v>5758089.2000000002</v>
      </c>
      <c r="L4000" s="55">
        <v>6201073.4000000004</v>
      </c>
      <c r="M4000" s="55">
        <v>754482.7</v>
      </c>
      <c r="N4000" s="55">
        <v>46181.2</v>
      </c>
    </row>
    <row r="4001" spans="1:14" ht="10.050000000000001" hidden="1" customHeight="1">
      <c r="A4001" s="52" t="s">
        <v>300</v>
      </c>
      <c r="B4001" s="53">
        <v>2024</v>
      </c>
      <c r="C4001" s="52" t="s">
        <v>129</v>
      </c>
      <c r="D4001" s="54">
        <v>7</v>
      </c>
      <c r="E4001" s="55">
        <v>2453.1999999999998</v>
      </c>
      <c r="F4001" s="55">
        <v>6.9</v>
      </c>
      <c r="G4001" s="55">
        <v>2460.1</v>
      </c>
      <c r="H4001" s="55">
        <v>19044.2</v>
      </c>
      <c r="I4001" s="55">
        <v>673.7</v>
      </c>
      <c r="J4001" s="55">
        <v>19717.900000000001</v>
      </c>
      <c r="K4001" s="55">
        <v>584.6</v>
      </c>
      <c r="L4001" s="55">
        <v>392.3</v>
      </c>
      <c r="M4001" s="55">
        <v>305.3</v>
      </c>
      <c r="N4001" s="55">
        <v>22</v>
      </c>
    </row>
    <row r="4002" spans="1:14" ht="10.050000000000001" hidden="1" customHeight="1">
      <c r="A4002" s="52" t="s">
        <v>307</v>
      </c>
      <c r="B4002" s="53">
        <v>2024</v>
      </c>
      <c r="C4002" s="52" t="s">
        <v>129</v>
      </c>
      <c r="D4002" s="54">
        <v>7</v>
      </c>
      <c r="E4002" s="55">
        <v>217421.9</v>
      </c>
      <c r="F4002" s="55">
        <v>0</v>
      </c>
      <c r="G4002" s="55">
        <v>217421.9</v>
      </c>
      <c r="H4002" s="55">
        <v>1293953.7</v>
      </c>
      <c r="I4002" s="55">
        <v>41762.5</v>
      </c>
      <c r="J4002" s="55">
        <v>1335716.2</v>
      </c>
      <c r="K4002" s="55">
        <v>432889.1</v>
      </c>
      <c r="L4002" s="55">
        <v>99099.8</v>
      </c>
      <c r="M4002" s="55">
        <v>98605.6</v>
      </c>
      <c r="N4002" s="55">
        <v>43467.6</v>
      </c>
    </row>
    <row r="4003" spans="1:14" ht="10.050000000000001" hidden="1" customHeight="1">
      <c r="A4003" s="52" t="s">
        <v>315</v>
      </c>
      <c r="B4003" s="53">
        <v>2024</v>
      </c>
      <c r="C4003" s="52" t="s">
        <v>129</v>
      </c>
      <c r="D4003" s="54">
        <v>7</v>
      </c>
      <c r="E4003" s="55">
        <v>356.8</v>
      </c>
      <c r="F4003" s="55">
        <v>0</v>
      </c>
      <c r="G4003" s="55">
        <v>356.8</v>
      </c>
      <c r="H4003" s="55">
        <v>13623.5</v>
      </c>
      <c r="I4003" s="55">
        <v>0</v>
      </c>
      <c r="J4003" s="55">
        <v>13623.5</v>
      </c>
      <c r="K4003" s="55">
        <v>414.3</v>
      </c>
      <c r="L4003" s="55">
        <v>24.5</v>
      </c>
      <c r="M4003" s="55">
        <v>101.6</v>
      </c>
      <c r="N4003" s="55">
        <v>0</v>
      </c>
    </row>
    <row r="4004" spans="1:14" ht="10.050000000000001" hidden="1" customHeight="1">
      <c r="A4004" s="52" t="s">
        <v>311</v>
      </c>
      <c r="B4004" s="53">
        <v>2024</v>
      </c>
      <c r="C4004" s="52" t="s">
        <v>129</v>
      </c>
      <c r="D4004" s="54">
        <v>7</v>
      </c>
      <c r="E4004" s="55">
        <v>484.9</v>
      </c>
      <c r="F4004" s="55">
        <v>0</v>
      </c>
      <c r="G4004" s="55">
        <v>484.9</v>
      </c>
      <c r="H4004" s="55">
        <v>783.5</v>
      </c>
      <c r="I4004" s="55">
        <v>0</v>
      </c>
      <c r="J4004" s="55">
        <v>783.5</v>
      </c>
      <c r="K4004" s="55">
        <v>214.2</v>
      </c>
      <c r="L4004" s="55">
        <v>132</v>
      </c>
      <c r="M4004" s="55">
        <v>0</v>
      </c>
      <c r="N4004" s="55">
        <v>24</v>
      </c>
    </row>
    <row r="4005" spans="1:14" ht="10.050000000000001" hidden="1" customHeight="1">
      <c r="A4005" s="52" t="s">
        <v>173</v>
      </c>
      <c r="B4005" s="53">
        <v>2024</v>
      </c>
      <c r="C4005" s="52" t="s">
        <v>129</v>
      </c>
      <c r="D4005" s="54">
        <v>7</v>
      </c>
      <c r="E4005" s="55">
        <v>3621880.1</v>
      </c>
      <c r="F4005" s="55">
        <v>72097.899999999994</v>
      </c>
      <c r="G4005" s="55">
        <v>3693978</v>
      </c>
      <c r="H4005" s="55">
        <v>3821403.8</v>
      </c>
      <c r="I4005" s="55">
        <v>51910.2</v>
      </c>
      <c r="J4005" s="55">
        <v>3873314</v>
      </c>
      <c r="K4005" s="55">
        <v>2471994.1</v>
      </c>
      <c r="L4005" s="55">
        <v>2926697</v>
      </c>
      <c r="M4005" s="55">
        <v>522349.6</v>
      </c>
      <c r="N4005" s="55">
        <v>36500.9</v>
      </c>
    </row>
    <row r="4006" spans="1:14" ht="10.050000000000001" customHeight="1">
      <c r="A4006" s="52" t="s">
        <v>309</v>
      </c>
      <c r="B4006" s="53">
        <v>2024</v>
      </c>
      <c r="C4006" s="52" t="s">
        <v>129</v>
      </c>
      <c r="D4006" s="54">
        <v>7</v>
      </c>
      <c r="E4006" s="55">
        <v>886.4</v>
      </c>
      <c r="F4006" s="55">
        <v>0</v>
      </c>
      <c r="G4006" s="55">
        <v>886.4</v>
      </c>
      <c r="H4006" s="55">
        <v>35230.1</v>
      </c>
      <c r="I4006" s="55">
        <v>1365.5</v>
      </c>
      <c r="J4006" s="55">
        <v>36595.599999999999</v>
      </c>
      <c r="K4006" s="55">
        <v>1239.7</v>
      </c>
      <c r="L4006" s="55">
        <v>0</v>
      </c>
      <c r="M4006" s="55">
        <v>0</v>
      </c>
      <c r="N4006" s="55">
        <v>0</v>
      </c>
    </row>
    <row r="4007" spans="1:14" ht="10.050000000000001" hidden="1" customHeight="1">
      <c r="A4007" s="52" t="s">
        <v>316</v>
      </c>
      <c r="B4007" s="53">
        <v>2024</v>
      </c>
      <c r="C4007" s="52" t="s">
        <v>129</v>
      </c>
      <c r="D4007" s="54">
        <v>7</v>
      </c>
      <c r="E4007" s="55">
        <v>277.60000000000002</v>
      </c>
      <c r="F4007" s="55">
        <v>0</v>
      </c>
      <c r="G4007" s="55">
        <v>277.60000000000002</v>
      </c>
      <c r="H4007" s="55">
        <v>17017.2</v>
      </c>
      <c r="I4007" s="55">
        <v>380.2</v>
      </c>
      <c r="J4007" s="55">
        <v>17397.400000000001</v>
      </c>
      <c r="K4007" s="55">
        <v>757.8</v>
      </c>
      <c r="L4007" s="55">
        <v>58.1</v>
      </c>
      <c r="M4007" s="55">
        <v>32.799999999999997</v>
      </c>
      <c r="N4007" s="55">
        <v>25.5</v>
      </c>
    </row>
    <row r="4008" spans="1:14" ht="10.050000000000001" hidden="1" customHeight="1">
      <c r="A4008" s="52" t="s">
        <v>310</v>
      </c>
      <c r="B4008" s="53">
        <v>2024</v>
      </c>
      <c r="C4008" s="52" t="s">
        <v>129</v>
      </c>
      <c r="D4008" s="54">
        <v>7</v>
      </c>
      <c r="E4008" s="55">
        <v>8067.8</v>
      </c>
      <c r="F4008" s="55">
        <v>234</v>
      </c>
      <c r="G4008" s="55">
        <v>8301.7999999999993</v>
      </c>
      <c r="H4008" s="55">
        <v>31687.8</v>
      </c>
      <c r="I4008" s="55">
        <v>1850.4</v>
      </c>
      <c r="J4008" s="55">
        <v>33538.199999999997</v>
      </c>
      <c r="K4008" s="55">
        <v>6985.6</v>
      </c>
      <c r="L4008" s="55">
        <v>6676.4</v>
      </c>
      <c r="M4008" s="55">
        <v>405.6</v>
      </c>
      <c r="N4008" s="55">
        <v>60.8</v>
      </c>
    </row>
    <row r="4009" spans="1:14" ht="10.050000000000001" hidden="1" customHeight="1">
      <c r="A4009" s="52" t="s">
        <v>308</v>
      </c>
      <c r="B4009" s="53">
        <v>2024</v>
      </c>
      <c r="C4009" s="52" t="s">
        <v>129</v>
      </c>
      <c r="D4009" s="54">
        <v>7</v>
      </c>
      <c r="E4009" s="55">
        <v>1126</v>
      </c>
      <c r="F4009" s="55">
        <v>0</v>
      </c>
      <c r="G4009" s="55">
        <v>1126</v>
      </c>
      <c r="H4009" s="55">
        <v>23720</v>
      </c>
      <c r="I4009" s="55">
        <v>100.9</v>
      </c>
      <c r="J4009" s="55">
        <v>23820.9</v>
      </c>
      <c r="K4009" s="55">
        <v>1620.6</v>
      </c>
      <c r="L4009" s="55">
        <v>21.3</v>
      </c>
      <c r="M4009" s="55">
        <v>637.6</v>
      </c>
      <c r="N4009" s="55">
        <v>235.9</v>
      </c>
    </row>
    <row r="4010" spans="1:14" ht="10.050000000000001" hidden="1" customHeight="1">
      <c r="A4010" s="52" t="s">
        <v>174</v>
      </c>
      <c r="B4010" s="53">
        <v>2024</v>
      </c>
      <c r="C4010" s="52" t="s">
        <v>129</v>
      </c>
      <c r="D4010" s="54">
        <v>7</v>
      </c>
      <c r="E4010" s="55">
        <v>95326.399999999994</v>
      </c>
      <c r="F4010" s="55">
        <v>3361.6</v>
      </c>
      <c r="G4010" s="55">
        <v>98688</v>
      </c>
      <c r="H4010" s="55">
        <v>125584.5</v>
      </c>
      <c r="I4010" s="55">
        <v>10231.1</v>
      </c>
      <c r="J4010" s="55">
        <v>135815.6</v>
      </c>
      <c r="K4010" s="55">
        <v>115179.4</v>
      </c>
      <c r="L4010" s="55">
        <v>101072.5</v>
      </c>
      <c r="M4010" s="55">
        <v>5138.1000000000004</v>
      </c>
      <c r="N4010" s="55">
        <v>7090.5</v>
      </c>
    </row>
    <row r="4011" spans="1:14" ht="10.050000000000001" hidden="1" customHeight="1">
      <c r="A4011" s="52" t="s">
        <v>314</v>
      </c>
      <c r="B4011" s="53">
        <v>2024</v>
      </c>
      <c r="C4011" s="52" t="s">
        <v>129</v>
      </c>
      <c r="D4011" s="54">
        <v>8</v>
      </c>
      <c r="E4011" s="55">
        <v>0</v>
      </c>
      <c r="F4011" s="55">
        <v>0</v>
      </c>
      <c r="G4011" s="55">
        <v>0</v>
      </c>
      <c r="H4011" s="55">
        <v>36.1</v>
      </c>
      <c r="I4011" s="55">
        <v>0</v>
      </c>
      <c r="J4011" s="55">
        <v>36.1</v>
      </c>
      <c r="K4011" s="55">
        <v>0</v>
      </c>
      <c r="L4011" s="55">
        <v>0</v>
      </c>
      <c r="M4011" s="55">
        <v>0</v>
      </c>
      <c r="N4011" s="55">
        <v>0</v>
      </c>
    </row>
    <row r="4012" spans="1:14" ht="10.050000000000001" hidden="1" customHeight="1">
      <c r="A4012" s="52" t="s">
        <v>306</v>
      </c>
      <c r="B4012" s="53">
        <v>2024</v>
      </c>
      <c r="C4012" s="52" t="s">
        <v>129</v>
      </c>
      <c r="D4012" s="54">
        <v>8</v>
      </c>
      <c r="E4012" s="55">
        <v>67086.8</v>
      </c>
      <c r="F4012" s="55">
        <v>1077.5999999999999</v>
      </c>
      <c r="G4012" s="55">
        <v>68164.399999999994</v>
      </c>
      <c r="H4012" s="55">
        <v>119907.4</v>
      </c>
      <c r="I4012" s="55">
        <v>2578.4</v>
      </c>
      <c r="J4012" s="55">
        <v>122485.8</v>
      </c>
      <c r="K4012" s="55">
        <v>28905.1</v>
      </c>
      <c r="L4012" s="55">
        <v>21610.7</v>
      </c>
      <c r="M4012" s="55">
        <v>20549.5</v>
      </c>
      <c r="N4012" s="55">
        <v>866.3</v>
      </c>
    </row>
    <row r="4013" spans="1:14" ht="10.050000000000001" hidden="1" customHeight="1">
      <c r="A4013" s="52" t="s">
        <v>172</v>
      </c>
      <c r="B4013" s="53">
        <v>2024</v>
      </c>
      <c r="C4013" s="52" t="s">
        <v>129</v>
      </c>
      <c r="D4013" s="54">
        <v>8</v>
      </c>
      <c r="E4013" s="55">
        <v>82254.2</v>
      </c>
      <c r="F4013" s="55">
        <v>1094</v>
      </c>
      <c r="G4013" s="55">
        <v>83348.2</v>
      </c>
      <c r="H4013" s="55">
        <v>452920.9</v>
      </c>
      <c r="I4013" s="55">
        <v>24849.4</v>
      </c>
      <c r="J4013" s="55">
        <v>477770.3</v>
      </c>
      <c r="K4013" s="55">
        <v>385305.1</v>
      </c>
      <c r="L4013" s="55">
        <v>52115.199999999997</v>
      </c>
      <c r="M4013" s="55">
        <v>45296.800000000003</v>
      </c>
      <c r="N4013" s="55">
        <v>5758.3</v>
      </c>
    </row>
    <row r="4014" spans="1:14" ht="10.050000000000001" hidden="1" customHeight="1">
      <c r="A4014" s="52" t="s">
        <v>171</v>
      </c>
      <c r="B4014" s="53">
        <v>2024</v>
      </c>
      <c r="C4014" s="52" t="s">
        <v>129</v>
      </c>
      <c r="D4014" s="54">
        <v>8</v>
      </c>
      <c r="E4014" s="55">
        <v>3455449.4</v>
      </c>
      <c r="F4014" s="55">
        <v>138590.6</v>
      </c>
      <c r="G4014" s="55">
        <v>3594040</v>
      </c>
      <c r="H4014" s="55">
        <v>9356049.0999999996</v>
      </c>
      <c r="I4014" s="55">
        <v>125610.6</v>
      </c>
      <c r="J4014" s="55">
        <v>9481659.6999999899</v>
      </c>
      <c r="K4014" s="55">
        <v>5627384.5</v>
      </c>
      <c r="L4014" s="55">
        <v>1631713.6</v>
      </c>
      <c r="M4014" s="55">
        <v>1661902.9</v>
      </c>
      <c r="N4014" s="55">
        <v>94613.8</v>
      </c>
    </row>
    <row r="4015" spans="1:14" ht="10.050000000000001" hidden="1" customHeight="1">
      <c r="A4015" s="52" t="s">
        <v>300</v>
      </c>
      <c r="B4015" s="53">
        <v>2024</v>
      </c>
      <c r="C4015" s="52" t="s">
        <v>129</v>
      </c>
      <c r="D4015" s="54">
        <v>8</v>
      </c>
      <c r="E4015" s="55">
        <v>3693.1</v>
      </c>
      <c r="F4015" s="55">
        <v>34.700000000000003</v>
      </c>
      <c r="G4015" s="55">
        <v>3727.8</v>
      </c>
      <c r="H4015" s="55">
        <v>18372.400000000001</v>
      </c>
      <c r="I4015" s="55">
        <v>557.1</v>
      </c>
      <c r="J4015" s="55">
        <v>18929.5</v>
      </c>
      <c r="K4015" s="55">
        <v>871.6</v>
      </c>
      <c r="L4015" s="55">
        <v>538.5</v>
      </c>
      <c r="M4015" s="55">
        <v>164.8</v>
      </c>
      <c r="N4015" s="55">
        <v>86.2</v>
      </c>
    </row>
    <row r="4016" spans="1:14" ht="10.050000000000001" hidden="1" customHeight="1">
      <c r="A4016" s="52" t="s">
        <v>307</v>
      </c>
      <c r="B4016" s="53">
        <v>2024</v>
      </c>
      <c r="C4016" s="52" t="s">
        <v>129</v>
      </c>
      <c r="D4016" s="54">
        <v>8</v>
      </c>
      <c r="E4016" s="55">
        <v>250196.4</v>
      </c>
      <c r="F4016" s="55">
        <v>1398.5</v>
      </c>
      <c r="G4016" s="55">
        <v>251594.9</v>
      </c>
      <c r="H4016" s="55">
        <v>921892.3</v>
      </c>
      <c r="I4016" s="55">
        <v>39132.400000000001</v>
      </c>
      <c r="J4016" s="55">
        <v>961024.7</v>
      </c>
      <c r="K4016" s="55">
        <v>323663.09999999998</v>
      </c>
      <c r="L4016" s="55">
        <v>26269.3</v>
      </c>
      <c r="M4016" s="55">
        <v>102933.2</v>
      </c>
      <c r="N4016" s="55">
        <v>33363.599999999999</v>
      </c>
    </row>
    <row r="4017" spans="1:14" ht="10.050000000000001" hidden="1" customHeight="1">
      <c r="A4017" s="52" t="s">
        <v>315</v>
      </c>
      <c r="B4017" s="53">
        <v>2024</v>
      </c>
      <c r="C4017" s="52" t="s">
        <v>129</v>
      </c>
      <c r="D4017" s="54">
        <v>8</v>
      </c>
      <c r="E4017" s="55">
        <v>135.1</v>
      </c>
      <c r="F4017" s="55">
        <v>0</v>
      </c>
      <c r="G4017" s="55">
        <v>135.1</v>
      </c>
      <c r="H4017" s="55">
        <v>11524.1</v>
      </c>
      <c r="I4017" s="55">
        <v>0</v>
      </c>
      <c r="J4017" s="55">
        <v>11524.1</v>
      </c>
      <c r="K4017" s="55">
        <v>397.9</v>
      </c>
      <c r="L4017" s="55">
        <v>0</v>
      </c>
      <c r="M4017" s="55">
        <v>0</v>
      </c>
      <c r="N4017" s="55">
        <v>0</v>
      </c>
    </row>
    <row r="4018" spans="1:14" ht="10.050000000000001" hidden="1" customHeight="1">
      <c r="A4018" s="52" t="s">
        <v>311</v>
      </c>
      <c r="B4018" s="53">
        <v>2024</v>
      </c>
      <c r="C4018" s="52" t="s">
        <v>129</v>
      </c>
      <c r="D4018" s="54">
        <v>8</v>
      </c>
      <c r="E4018" s="55">
        <v>203.7</v>
      </c>
      <c r="F4018" s="55">
        <v>0</v>
      </c>
      <c r="G4018" s="55">
        <v>203.7</v>
      </c>
      <c r="H4018" s="55">
        <v>861.4</v>
      </c>
      <c r="I4018" s="55">
        <v>0</v>
      </c>
      <c r="J4018" s="55">
        <v>861.4</v>
      </c>
      <c r="K4018" s="55">
        <v>356.8</v>
      </c>
      <c r="L4018" s="55">
        <v>214.8</v>
      </c>
      <c r="M4018" s="55">
        <v>0</v>
      </c>
      <c r="N4018" s="55">
        <v>72.2</v>
      </c>
    </row>
    <row r="4019" spans="1:14" ht="10.050000000000001" hidden="1" customHeight="1">
      <c r="A4019" s="52" t="s">
        <v>173</v>
      </c>
      <c r="B4019" s="53">
        <v>2024</v>
      </c>
      <c r="C4019" s="52" t="s">
        <v>129</v>
      </c>
      <c r="D4019" s="54">
        <v>8</v>
      </c>
      <c r="E4019" s="55">
        <v>1058608.7</v>
      </c>
      <c r="F4019" s="55">
        <v>13619.8</v>
      </c>
      <c r="G4019" s="55">
        <v>1072228.5</v>
      </c>
      <c r="H4019" s="55">
        <v>4185432.1</v>
      </c>
      <c r="I4019" s="55">
        <v>45351.3</v>
      </c>
      <c r="J4019" s="55">
        <v>4230783.4000000004</v>
      </c>
      <c r="K4019" s="55">
        <v>2148379</v>
      </c>
      <c r="L4019" s="55">
        <v>303288.59999999998</v>
      </c>
      <c r="M4019" s="55">
        <v>534238.5</v>
      </c>
      <c r="N4019" s="55">
        <v>90655.9</v>
      </c>
    </row>
    <row r="4020" spans="1:14" ht="10.050000000000001" customHeight="1">
      <c r="A4020" s="52" t="s">
        <v>309</v>
      </c>
      <c r="B4020" s="53">
        <v>2024</v>
      </c>
      <c r="C4020" s="52" t="s">
        <v>129</v>
      </c>
      <c r="D4020" s="54">
        <v>8</v>
      </c>
      <c r="E4020" s="55">
        <v>746.9</v>
      </c>
      <c r="F4020" s="55">
        <v>0</v>
      </c>
      <c r="G4020" s="55">
        <v>746.9</v>
      </c>
      <c r="H4020" s="55">
        <v>32220.3</v>
      </c>
      <c r="I4020" s="55">
        <v>1365.5</v>
      </c>
      <c r="J4020" s="55">
        <v>33585.800000000003</v>
      </c>
      <c r="K4020" s="55">
        <v>1239.7</v>
      </c>
      <c r="L4020" s="55">
        <v>0</v>
      </c>
      <c r="M4020" s="55">
        <v>0</v>
      </c>
      <c r="N4020" s="55">
        <v>0</v>
      </c>
    </row>
    <row r="4021" spans="1:14" ht="10.050000000000001" hidden="1" customHeight="1">
      <c r="A4021" s="52" t="s">
        <v>316</v>
      </c>
      <c r="B4021" s="53">
        <v>2024</v>
      </c>
      <c r="C4021" s="52" t="s">
        <v>129</v>
      </c>
      <c r="D4021" s="54">
        <v>8</v>
      </c>
      <c r="E4021" s="55">
        <v>339.9</v>
      </c>
      <c r="F4021" s="55">
        <v>0</v>
      </c>
      <c r="G4021" s="55">
        <v>339.9</v>
      </c>
      <c r="H4021" s="55">
        <v>15538</v>
      </c>
      <c r="I4021" s="55">
        <v>353.3</v>
      </c>
      <c r="J4021" s="55">
        <v>15891.3</v>
      </c>
      <c r="K4021" s="55">
        <v>972.4</v>
      </c>
      <c r="L4021" s="55">
        <v>420.7</v>
      </c>
      <c r="M4021" s="55">
        <v>67.2</v>
      </c>
      <c r="N4021" s="55">
        <v>150.19999999999999</v>
      </c>
    </row>
    <row r="4022" spans="1:14" ht="10.050000000000001" hidden="1" customHeight="1">
      <c r="A4022" s="52" t="s">
        <v>310</v>
      </c>
      <c r="B4022" s="53">
        <v>2024</v>
      </c>
      <c r="C4022" s="52" t="s">
        <v>129</v>
      </c>
      <c r="D4022" s="54">
        <v>8</v>
      </c>
      <c r="E4022" s="55">
        <v>12479.4</v>
      </c>
      <c r="F4022" s="55">
        <v>1811.4</v>
      </c>
      <c r="G4022" s="55">
        <v>14290.8</v>
      </c>
      <c r="H4022" s="55">
        <v>39920.300000000003</v>
      </c>
      <c r="I4022" s="55">
        <v>3114.6</v>
      </c>
      <c r="J4022" s="55">
        <v>43034.9</v>
      </c>
      <c r="K4022" s="55">
        <v>10485.8</v>
      </c>
      <c r="L4022" s="55">
        <v>5513.7</v>
      </c>
      <c r="M4022" s="55">
        <v>1933.7</v>
      </c>
      <c r="N4022" s="55">
        <v>83.7</v>
      </c>
    </row>
    <row r="4023" spans="1:14" ht="10.050000000000001" hidden="1" customHeight="1">
      <c r="A4023" s="52" t="s">
        <v>308</v>
      </c>
      <c r="B4023" s="53">
        <v>2024</v>
      </c>
      <c r="C4023" s="52" t="s">
        <v>129</v>
      </c>
      <c r="D4023" s="54">
        <v>8</v>
      </c>
      <c r="E4023" s="55">
        <v>788</v>
      </c>
      <c r="F4023" s="55">
        <v>0</v>
      </c>
      <c r="G4023" s="55">
        <v>788</v>
      </c>
      <c r="H4023" s="55">
        <v>19416.2</v>
      </c>
      <c r="I4023" s="55">
        <v>195.2</v>
      </c>
      <c r="J4023" s="55">
        <v>19611.400000000001</v>
      </c>
      <c r="K4023" s="55">
        <v>1225.7</v>
      </c>
      <c r="L4023" s="55">
        <v>225.6</v>
      </c>
      <c r="M4023" s="55">
        <v>477.5</v>
      </c>
      <c r="N4023" s="55">
        <v>171.8</v>
      </c>
    </row>
    <row r="4024" spans="1:14" ht="10.050000000000001" hidden="1" customHeight="1">
      <c r="A4024" s="52" t="s">
        <v>174</v>
      </c>
      <c r="B4024" s="53">
        <v>2024</v>
      </c>
      <c r="C4024" s="52" t="s">
        <v>129</v>
      </c>
      <c r="D4024" s="54">
        <v>8</v>
      </c>
      <c r="E4024" s="55">
        <v>170394.9</v>
      </c>
      <c r="F4024" s="55">
        <v>12595.9</v>
      </c>
      <c r="G4024" s="55">
        <v>182990.8</v>
      </c>
      <c r="H4024" s="55">
        <v>235422.1</v>
      </c>
      <c r="I4024" s="55">
        <v>17245.599999999999</v>
      </c>
      <c r="J4024" s="55">
        <v>252667.7</v>
      </c>
      <c r="K4024" s="55">
        <v>155411.4</v>
      </c>
      <c r="L4024" s="55">
        <v>80342.2</v>
      </c>
      <c r="M4024" s="55">
        <v>31754.1</v>
      </c>
      <c r="N4024" s="55">
        <v>8295</v>
      </c>
    </row>
    <row r="4025" spans="1:14" ht="10.050000000000001" hidden="1" customHeight="1">
      <c r="A4025" s="52" t="s">
        <v>314</v>
      </c>
      <c r="B4025" s="53">
        <v>2024</v>
      </c>
      <c r="C4025" s="52" t="s">
        <v>129</v>
      </c>
      <c r="D4025" s="54">
        <v>9</v>
      </c>
      <c r="E4025" s="55">
        <v>0</v>
      </c>
      <c r="F4025" s="55">
        <v>0</v>
      </c>
      <c r="G4025" s="55">
        <v>0</v>
      </c>
      <c r="H4025" s="55">
        <v>29.1</v>
      </c>
      <c r="I4025" s="55">
        <v>0</v>
      </c>
      <c r="J4025" s="55">
        <v>29.1</v>
      </c>
      <c r="K4025" s="55">
        <v>0</v>
      </c>
      <c r="L4025" s="55">
        <v>0</v>
      </c>
      <c r="M4025" s="55">
        <v>0</v>
      </c>
      <c r="N4025" s="55">
        <v>0</v>
      </c>
    </row>
    <row r="4026" spans="1:14" ht="10.050000000000001" hidden="1" customHeight="1">
      <c r="A4026" s="52" t="s">
        <v>306</v>
      </c>
      <c r="B4026" s="53">
        <v>2024</v>
      </c>
      <c r="C4026" s="52" t="s">
        <v>129</v>
      </c>
      <c r="D4026" s="54">
        <v>9</v>
      </c>
      <c r="E4026" s="55">
        <v>20194.599999999999</v>
      </c>
      <c r="F4026" s="55">
        <v>1864.7</v>
      </c>
      <c r="G4026" s="55">
        <v>22059.3</v>
      </c>
      <c r="H4026" s="55">
        <v>126291.4</v>
      </c>
      <c r="I4026" s="55">
        <v>2795.9</v>
      </c>
      <c r="J4026" s="55">
        <v>129087.3</v>
      </c>
      <c r="K4026" s="55">
        <v>18642.5</v>
      </c>
      <c r="L4026" s="55">
        <v>2068.3000000000002</v>
      </c>
      <c r="M4026" s="55">
        <v>9979.1</v>
      </c>
      <c r="N4026" s="55">
        <v>2351.9</v>
      </c>
    </row>
    <row r="4027" spans="1:14" ht="10.050000000000001" hidden="1" customHeight="1">
      <c r="A4027" s="52" t="s">
        <v>172</v>
      </c>
      <c r="B4027" s="53">
        <v>2024</v>
      </c>
      <c r="C4027" s="52" t="s">
        <v>129</v>
      </c>
      <c r="D4027" s="54">
        <v>9</v>
      </c>
      <c r="E4027" s="55">
        <v>123857.60000000001</v>
      </c>
      <c r="F4027" s="55">
        <v>4674.7</v>
      </c>
      <c r="G4027" s="55">
        <v>128532.3</v>
      </c>
      <c r="H4027" s="55">
        <v>475706.1</v>
      </c>
      <c r="I4027" s="55">
        <v>21206.799999999999</v>
      </c>
      <c r="J4027" s="55">
        <v>496912.9</v>
      </c>
      <c r="K4027" s="55">
        <v>297932.59999999998</v>
      </c>
      <c r="L4027" s="55">
        <v>22499.9</v>
      </c>
      <c r="M4027" s="55">
        <v>84153</v>
      </c>
      <c r="N4027" s="55">
        <v>25719.9</v>
      </c>
    </row>
    <row r="4028" spans="1:14" ht="10.050000000000001" hidden="1" customHeight="1">
      <c r="A4028" s="52" t="s">
        <v>171</v>
      </c>
      <c r="B4028" s="53">
        <v>2024</v>
      </c>
      <c r="C4028" s="52" t="s">
        <v>129</v>
      </c>
      <c r="D4028" s="54">
        <v>9</v>
      </c>
      <c r="E4028" s="55">
        <v>2009705.8</v>
      </c>
      <c r="F4028" s="55">
        <v>89710.5</v>
      </c>
      <c r="G4028" s="55">
        <v>2099416.2999999998</v>
      </c>
      <c r="H4028" s="55">
        <v>9557472.8000000007</v>
      </c>
      <c r="I4028" s="55">
        <v>116263.6</v>
      </c>
      <c r="J4028" s="55">
        <v>9673736.3999999892</v>
      </c>
      <c r="K4028" s="55">
        <v>4561940.5</v>
      </c>
      <c r="L4028" s="55">
        <v>582961.80000000005</v>
      </c>
      <c r="M4028" s="55">
        <v>1367027.2</v>
      </c>
      <c r="N4028" s="55">
        <v>289529.5</v>
      </c>
    </row>
    <row r="4029" spans="1:14" ht="10.050000000000001" hidden="1" customHeight="1">
      <c r="A4029" s="52" t="s">
        <v>300</v>
      </c>
      <c r="B4029" s="53">
        <v>2024</v>
      </c>
      <c r="C4029" s="52" t="s">
        <v>129</v>
      </c>
      <c r="D4029" s="54">
        <v>9</v>
      </c>
      <c r="E4029" s="55">
        <v>1064.5</v>
      </c>
      <c r="F4029" s="55">
        <v>135.9</v>
      </c>
      <c r="G4029" s="55">
        <v>1200.4000000000001</v>
      </c>
      <c r="H4029" s="55">
        <v>15124.7</v>
      </c>
      <c r="I4029" s="55">
        <v>429.1</v>
      </c>
      <c r="J4029" s="55">
        <v>15553.8</v>
      </c>
      <c r="K4029" s="55">
        <v>543.5</v>
      </c>
      <c r="L4029" s="55">
        <v>19.5</v>
      </c>
      <c r="M4029" s="55">
        <v>76.5</v>
      </c>
      <c r="N4029" s="55">
        <v>16.399999999999999</v>
      </c>
    </row>
    <row r="4030" spans="1:14" ht="10.050000000000001" hidden="1" customHeight="1">
      <c r="A4030" s="52" t="s">
        <v>307</v>
      </c>
      <c r="B4030" s="53">
        <v>2024</v>
      </c>
      <c r="C4030" s="52" t="s">
        <v>129</v>
      </c>
      <c r="D4030" s="54">
        <v>9</v>
      </c>
      <c r="E4030" s="55">
        <v>263879</v>
      </c>
      <c r="F4030" s="55">
        <v>57515.4</v>
      </c>
      <c r="G4030" s="55">
        <v>321394.40000000002</v>
      </c>
      <c r="H4030" s="55">
        <v>554646.9</v>
      </c>
      <c r="I4030" s="55">
        <v>90295.5</v>
      </c>
      <c r="J4030" s="55">
        <v>644942.4</v>
      </c>
      <c r="K4030" s="55">
        <v>287269.7</v>
      </c>
      <c r="L4030" s="55">
        <v>86228</v>
      </c>
      <c r="M4030" s="55">
        <v>63444.5</v>
      </c>
      <c r="N4030" s="55">
        <v>59349.599999999999</v>
      </c>
    </row>
    <row r="4031" spans="1:14" ht="10.050000000000001" hidden="1" customHeight="1">
      <c r="A4031" s="52" t="s">
        <v>315</v>
      </c>
      <c r="B4031" s="53">
        <v>2024</v>
      </c>
      <c r="C4031" s="52" t="s">
        <v>129</v>
      </c>
      <c r="D4031" s="54">
        <v>9</v>
      </c>
      <c r="E4031" s="55">
        <v>4424.7</v>
      </c>
      <c r="F4031" s="55">
        <v>0</v>
      </c>
      <c r="G4031" s="55">
        <v>4424.7</v>
      </c>
      <c r="H4031" s="55">
        <v>13532.8</v>
      </c>
      <c r="I4031" s="55">
        <v>0</v>
      </c>
      <c r="J4031" s="55">
        <v>13532.8</v>
      </c>
      <c r="K4031" s="55">
        <v>5289.8</v>
      </c>
      <c r="L4031" s="55">
        <v>5365.7</v>
      </c>
      <c r="M4031" s="55">
        <v>473.7</v>
      </c>
      <c r="N4031" s="55">
        <v>0.1</v>
      </c>
    </row>
    <row r="4032" spans="1:14" ht="10.050000000000001" hidden="1" customHeight="1">
      <c r="A4032" s="52" t="s">
        <v>311</v>
      </c>
      <c r="B4032" s="53">
        <v>2024</v>
      </c>
      <c r="C4032" s="52" t="s">
        <v>129</v>
      </c>
      <c r="D4032" s="54">
        <v>9</v>
      </c>
      <c r="E4032" s="55">
        <v>282.10000000000002</v>
      </c>
      <c r="F4032" s="55">
        <v>0</v>
      </c>
      <c r="G4032" s="55">
        <v>282.10000000000002</v>
      </c>
      <c r="H4032" s="55">
        <v>1053.7</v>
      </c>
      <c r="I4032" s="55">
        <v>0</v>
      </c>
      <c r="J4032" s="55">
        <v>1053.7</v>
      </c>
      <c r="K4032" s="55">
        <v>307.60000000000002</v>
      </c>
      <c r="L4032" s="55">
        <v>0</v>
      </c>
      <c r="M4032" s="55">
        <v>1.6</v>
      </c>
      <c r="N4032" s="55">
        <v>47.6</v>
      </c>
    </row>
    <row r="4033" spans="1:14" ht="10.050000000000001" hidden="1" customHeight="1">
      <c r="A4033" s="52" t="s">
        <v>173</v>
      </c>
      <c r="B4033" s="53">
        <v>2024</v>
      </c>
      <c r="C4033" s="52" t="s">
        <v>129</v>
      </c>
      <c r="D4033" s="54">
        <v>9</v>
      </c>
      <c r="E4033" s="55">
        <v>671715.8</v>
      </c>
      <c r="F4033" s="55">
        <v>13719.5</v>
      </c>
      <c r="G4033" s="55">
        <v>685435.3</v>
      </c>
      <c r="H4033" s="55">
        <v>4183216.2</v>
      </c>
      <c r="I4033" s="55">
        <v>37550</v>
      </c>
      <c r="J4033" s="55">
        <v>4220766.2</v>
      </c>
      <c r="K4033" s="55">
        <v>1713393.1</v>
      </c>
      <c r="L4033" s="55">
        <v>183258</v>
      </c>
      <c r="M4033" s="55">
        <v>399733.5</v>
      </c>
      <c r="N4033" s="55">
        <v>220831.4</v>
      </c>
    </row>
    <row r="4034" spans="1:14" ht="10.050000000000001" customHeight="1">
      <c r="A4034" s="52" t="s">
        <v>309</v>
      </c>
      <c r="B4034" s="53">
        <v>2024</v>
      </c>
      <c r="C4034" s="52" t="s">
        <v>129</v>
      </c>
      <c r="D4034" s="54">
        <v>9</v>
      </c>
      <c r="E4034" s="55">
        <v>9312.2000000000007</v>
      </c>
      <c r="F4034" s="55">
        <v>0</v>
      </c>
      <c r="G4034" s="55">
        <v>9312.2000000000007</v>
      </c>
      <c r="H4034" s="55">
        <v>34666.699999999997</v>
      </c>
      <c r="I4034" s="55">
        <v>1340.4</v>
      </c>
      <c r="J4034" s="55">
        <v>36007.1</v>
      </c>
      <c r="K4034" s="55">
        <v>2294.9</v>
      </c>
      <c r="L4034" s="55">
        <v>1055.2</v>
      </c>
      <c r="M4034" s="55">
        <v>0</v>
      </c>
      <c r="N4034" s="55">
        <v>0</v>
      </c>
    </row>
    <row r="4035" spans="1:14" ht="10.050000000000001" hidden="1" customHeight="1">
      <c r="A4035" s="52" t="s">
        <v>316</v>
      </c>
      <c r="B4035" s="53">
        <v>2024</v>
      </c>
      <c r="C4035" s="52" t="s">
        <v>129</v>
      </c>
      <c r="D4035" s="54">
        <v>9</v>
      </c>
      <c r="E4035" s="55">
        <v>4933.2</v>
      </c>
      <c r="F4035" s="55">
        <v>23.9</v>
      </c>
      <c r="G4035" s="55">
        <v>4957.1000000000004</v>
      </c>
      <c r="H4035" s="55">
        <v>18402</v>
      </c>
      <c r="I4035" s="55">
        <v>378.6</v>
      </c>
      <c r="J4035" s="55">
        <v>18780.599999999999</v>
      </c>
      <c r="K4035" s="55">
        <v>1971.7</v>
      </c>
      <c r="L4035" s="55">
        <v>1467.7</v>
      </c>
      <c r="M4035" s="55">
        <v>351</v>
      </c>
      <c r="N4035" s="55">
        <v>130.9</v>
      </c>
    </row>
    <row r="4036" spans="1:14" ht="10.050000000000001" hidden="1" customHeight="1">
      <c r="A4036" s="52" t="s">
        <v>310</v>
      </c>
      <c r="B4036" s="53">
        <v>2024</v>
      </c>
      <c r="C4036" s="52" t="s">
        <v>129</v>
      </c>
      <c r="D4036" s="54">
        <v>9</v>
      </c>
      <c r="E4036" s="55">
        <v>4419.5</v>
      </c>
      <c r="F4036" s="55">
        <v>554.20000000000005</v>
      </c>
      <c r="G4036" s="55">
        <v>4973.7</v>
      </c>
      <c r="H4036" s="55">
        <v>39874</v>
      </c>
      <c r="I4036" s="55">
        <v>2430.9</v>
      </c>
      <c r="J4036" s="55">
        <v>42304.9</v>
      </c>
      <c r="K4036" s="55">
        <v>7654.4</v>
      </c>
      <c r="L4036" s="55">
        <v>410.2</v>
      </c>
      <c r="M4036" s="55">
        <v>2623.8</v>
      </c>
      <c r="N4036" s="55">
        <v>583.79999999999995</v>
      </c>
    </row>
    <row r="4037" spans="1:14" ht="10.050000000000001" hidden="1" customHeight="1">
      <c r="A4037" s="52" t="s">
        <v>308</v>
      </c>
      <c r="B4037" s="53">
        <v>2024</v>
      </c>
      <c r="C4037" s="52" t="s">
        <v>129</v>
      </c>
      <c r="D4037" s="54">
        <v>9</v>
      </c>
      <c r="E4037" s="55">
        <v>10841.6</v>
      </c>
      <c r="F4037" s="55">
        <v>427.8</v>
      </c>
      <c r="G4037" s="55">
        <v>11269.4</v>
      </c>
      <c r="H4037" s="55">
        <v>25120.799999999999</v>
      </c>
      <c r="I4037" s="55">
        <v>347.2</v>
      </c>
      <c r="J4037" s="55">
        <v>25468</v>
      </c>
      <c r="K4037" s="55">
        <v>8641.6</v>
      </c>
      <c r="L4037" s="55">
        <v>8460.5</v>
      </c>
      <c r="M4037" s="55">
        <v>460.3</v>
      </c>
      <c r="N4037" s="55">
        <v>555.29999999999995</v>
      </c>
    </row>
    <row r="4038" spans="1:14" ht="10.050000000000001" hidden="1" customHeight="1">
      <c r="A4038" s="52" t="s">
        <v>174</v>
      </c>
      <c r="B4038" s="53">
        <v>2024</v>
      </c>
      <c r="C4038" s="52" t="s">
        <v>129</v>
      </c>
      <c r="D4038" s="54">
        <v>9</v>
      </c>
      <c r="E4038" s="55">
        <v>45557.3</v>
      </c>
      <c r="F4038" s="55">
        <v>9492.9</v>
      </c>
      <c r="G4038" s="55">
        <v>55050.2</v>
      </c>
      <c r="H4038" s="55">
        <v>228413.7</v>
      </c>
      <c r="I4038" s="55">
        <v>16465.5</v>
      </c>
      <c r="J4038" s="55">
        <v>244879.2</v>
      </c>
      <c r="K4038" s="55">
        <v>133099.70000000001</v>
      </c>
      <c r="L4038" s="55">
        <v>12449.4</v>
      </c>
      <c r="M4038" s="55">
        <v>22902.9</v>
      </c>
      <c r="N4038" s="55">
        <v>11816.3</v>
      </c>
    </row>
    <row r="4039" spans="1:14" ht="10.050000000000001" hidden="1" customHeight="1">
      <c r="A4039" s="52" t="s">
        <v>314</v>
      </c>
      <c r="B4039" s="53">
        <v>2024</v>
      </c>
      <c r="C4039" s="52" t="s">
        <v>129</v>
      </c>
      <c r="D4039" s="54">
        <v>10</v>
      </c>
      <c r="E4039" s="55">
        <v>0</v>
      </c>
      <c r="F4039" s="55">
        <v>0</v>
      </c>
      <c r="G4039" s="55">
        <v>0</v>
      </c>
      <c r="H4039" s="55">
        <v>45.2</v>
      </c>
      <c r="I4039" s="55">
        <v>0</v>
      </c>
      <c r="J4039" s="55">
        <v>45.2</v>
      </c>
      <c r="K4039" s="55">
        <v>0</v>
      </c>
      <c r="L4039" s="55">
        <v>0</v>
      </c>
      <c r="M4039" s="55">
        <v>0</v>
      </c>
      <c r="N4039" s="55">
        <v>0</v>
      </c>
    </row>
    <row r="4040" spans="1:14" ht="10.050000000000001" hidden="1" customHeight="1">
      <c r="A4040" s="52" t="s">
        <v>306</v>
      </c>
      <c r="B4040" s="53">
        <v>2024</v>
      </c>
      <c r="C4040" s="52" t="s">
        <v>129</v>
      </c>
      <c r="D4040" s="54">
        <v>10</v>
      </c>
      <c r="E4040" s="55">
        <v>8974.5</v>
      </c>
      <c r="F4040" s="55">
        <v>1202.7</v>
      </c>
      <c r="G4040" s="55">
        <v>10177.200000000001</v>
      </c>
      <c r="H4040" s="55">
        <v>119687.7</v>
      </c>
      <c r="I4040" s="55">
        <v>3282.3</v>
      </c>
      <c r="J4040" s="55">
        <v>122970</v>
      </c>
      <c r="K4040" s="55">
        <v>14586.1</v>
      </c>
      <c r="L4040" s="55">
        <v>868.5</v>
      </c>
      <c r="M4040" s="55">
        <v>4704.5</v>
      </c>
      <c r="N4040" s="55">
        <v>220</v>
      </c>
    </row>
    <row r="4041" spans="1:14" ht="10.050000000000001" hidden="1" customHeight="1">
      <c r="A4041" s="52" t="s">
        <v>172</v>
      </c>
      <c r="B4041" s="53">
        <v>2024</v>
      </c>
      <c r="C4041" s="52" t="s">
        <v>129</v>
      </c>
      <c r="D4041" s="54">
        <v>10</v>
      </c>
      <c r="E4041" s="55">
        <v>69891.199999999997</v>
      </c>
      <c r="F4041" s="55">
        <v>4146.8</v>
      </c>
      <c r="G4041" s="55">
        <v>74038</v>
      </c>
      <c r="H4041" s="55">
        <v>446967.9</v>
      </c>
      <c r="I4041" s="55">
        <v>12441.8</v>
      </c>
      <c r="J4041" s="55">
        <v>459409.7</v>
      </c>
      <c r="K4041" s="55">
        <v>255562.8</v>
      </c>
      <c r="L4041" s="55">
        <v>11664.9</v>
      </c>
      <c r="M4041" s="55">
        <v>49606.7</v>
      </c>
      <c r="N4041" s="55">
        <v>4650.3999999999996</v>
      </c>
    </row>
    <row r="4042" spans="1:14" ht="10.050000000000001" hidden="1" customHeight="1">
      <c r="A4042" s="52" t="s">
        <v>171</v>
      </c>
      <c r="B4042" s="53">
        <v>2024</v>
      </c>
      <c r="C4042" s="52" t="s">
        <v>129</v>
      </c>
      <c r="D4042" s="54">
        <v>10</v>
      </c>
      <c r="E4042" s="55">
        <v>1158306.8</v>
      </c>
      <c r="F4042" s="55">
        <v>26346.5</v>
      </c>
      <c r="G4042" s="55">
        <v>1184653.3</v>
      </c>
      <c r="H4042" s="55">
        <v>8775572.7000000104</v>
      </c>
      <c r="I4042" s="55">
        <v>97600</v>
      </c>
      <c r="J4042" s="55">
        <v>8873172.7000000104</v>
      </c>
      <c r="K4042" s="55">
        <v>3977563.9</v>
      </c>
      <c r="L4042" s="55">
        <v>221555</v>
      </c>
      <c r="M4042" s="55">
        <v>713768.6</v>
      </c>
      <c r="N4042" s="55">
        <v>85265.5</v>
      </c>
    </row>
    <row r="4043" spans="1:14" ht="10.050000000000001" hidden="1" customHeight="1">
      <c r="A4043" s="52" t="s">
        <v>300</v>
      </c>
      <c r="B4043" s="53">
        <v>2024</v>
      </c>
      <c r="C4043" s="52" t="s">
        <v>129</v>
      </c>
      <c r="D4043" s="54">
        <v>10</v>
      </c>
      <c r="E4043" s="55">
        <v>1362.9</v>
      </c>
      <c r="F4043" s="55">
        <v>214.7</v>
      </c>
      <c r="G4043" s="55">
        <v>1577.6</v>
      </c>
      <c r="H4043" s="55">
        <v>16686.7</v>
      </c>
      <c r="I4043" s="55">
        <v>240.3</v>
      </c>
      <c r="J4043" s="55">
        <v>16927</v>
      </c>
      <c r="K4043" s="55">
        <v>443.1</v>
      </c>
      <c r="L4043" s="55">
        <v>0</v>
      </c>
      <c r="M4043" s="55">
        <v>60</v>
      </c>
      <c r="N4043" s="55">
        <v>40.4</v>
      </c>
    </row>
    <row r="4044" spans="1:14" ht="10.050000000000001" hidden="1" customHeight="1">
      <c r="A4044" s="52" t="s">
        <v>307</v>
      </c>
      <c r="B4044" s="53">
        <v>2024</v>
      </c>
      <c r="C4044" s="52" t="s">
        <v>129</v>
      </c>
      <c r="D4044" s="54">
        <v>10</v>
      </c>
      <c r="E4044" s="55">
        <v>2541328.9</v>
      </c>
      <c r="F4044" s="55">
        <v>80552.3</v>
      </c>
      <c r="G4044" s="55">
        <v>2621881.2000000002</v>
      </c>
      <c r="H4044" s="55">
        <v>2347557.4</v>
      </c>
      <c r="I4044" s="55">
        <v>123008</v>
      </c>
      <c r="J4044" s="55">
        <v>2470565.4</v>
      </c>
      <c r="K4044" s="55">
        <v>1879387.6</v>
      </c>
      <c r="L4044" s="55">
        <v>1959126</v>
      </c>
      <c r="M4044" s="55">
        <v>300633.90000000002</v>
      </c>
      <c r="N4044" s="55">
        <v>68930.399999999994</v>
      </c>
    </row>
    <row r="4045" spans="1:14" ht="10.050000000000001" hidden="1" customHeight="1">
      <c r="A4045" s="52" t="s">
        <v>315</v>
      </c>
      <c r="B4045" s="53">
        <v>2024</v>
      </c>
      <c r="C4045" s="52" t="s">
        <v>129</v>
      </c>
      <c r="D4045" s="54">
        <v>10</v>
      </c>
      <c r="E4045" s="55">
        <v>17468.3</v>
      </c>
      <c r="F4045" s="55">
        <v>0</v>
      </c>
      <c r="G4045" s="55">
        <v>17468.3</v>
      </c>
      <c r="H4045" s="55">
        <v>27119.1</v>
      </c>
      <c r="I4045" s="55">
        <v>0</v>
      </c>
      <c r="J4045" s="55">
        <v>27119.1</v>
      </c>
      <c r="K4045" s="55">
        <v>13581.3</v>
      </c>
      <c r="L4045" s="55">
        <v>15013.7</v>
      </c>
      <c r="M4045" s="55">
        <v>6617.9</v>
      </c>
      <c r="N4045" s="55">
        <v>104.3</v>
      </c>
    </row>
    <row r="4046" spans="1:14" ht="10.050000000000001" hidden="1" customHeight="1">
      <c r="A4046" s="52" t="s">
        <v>311</v>
      </c>
      <c r="B4046" s="53">
        <v>2024</v>
      </c>
      <c r="C4046" s="52" t="s">
        <v>129</v>
      </c>
      <c r="D4046" s="54">
        <v>10</v>
      </c>
      <c r="E4046" s="55">
        <v>27</v>
      </c>
      <c r="F4046" s="55">
        <v>0</v>
      </c>
      <c r="G4046" s="55">
        <v>27</v>
      </c>
      <c r="H4046" s="55">
        <v>1268.7</v>
      </c>
      <c r="I4046" s="55">
        <v>0</v>
      </c>
      <c r="J4046" s="55">
        <v>1268.7</v>
      </c>
      <c r="K4046" s="55">
        <v>438.8</v>
      </c>
      <c r="L4046" s="55">
        <v>0</v>
      </c>
      <c r="M4046" s="55">
        <v>0</v>
      </c>
      <c r="N4046" s="55">
        <v>12.6</v>
      </c>
    </row>
    <row r="4047" spans="1:14" ht="10.050000000000001" hidden="1" customHeight="1">
      <c r="A4047" s="52" t="s">
        <v>173</v>
      </c>
      <c r="B4047" s="53">
        <v>2024</v>
      </c>
      <c r="C4047" s="52" t="s">
        <v>129</v>
      </c>
      <c r="D4047" s="54">
        <v>10</v>
      </c>
      <c r="E4047" s="55">
        <v>393283.2</v>
      </c>
      <c r="F4047" s="55">
        <v>19066.7</v>
      </c>
      <c r="G4047" s="55">
        <v>412349.9</v>
      </c>
      <c r="H4047" s="55">
        <v>4025015.7</v>
      </c>
      <c r="I4047" s="55">
        <v>39439.5</v>
      </c>
      <c r="J4047" s="55">
        <v>4064455.2</v>
      </c>
      <c r="K4047" s="55">
        <v>1442214.1</v>
      </c>
      <c r="L4047" s="55">
        <v>46245.3</v>
      </c>
      <c r="M4047" s="55">
        <v>266706.90000000002</v>
      </c>
      <c r="N4047" s="55">
        <v>49534.2</v>
      </c>
    </row>
    <row r="4048" spans="1:14" ht="10.050000000000001" customHeight="1">
      <c r="A4048" s="52" t="s">
        <v>309</v>
      </c>
      <c r="B4048" s="53">
        <v>2024</v>
      </c>
      <c r="C4048" s="52" t="s">
        <v>129</v>
      </c>
      <c r="D4048" s="54">
        <v>10</v>
      </c>
      <c r="E4048" s="55">
        <v>46572.6</v>
      </c>
      <c r="F4048" s="55">
        <v>502.9</v>
      </c>
      <c r="G4048" s="55">
        <v>47075.5</v>
      </c>
      <c r="H4048" s="55">
        <v>57547.1</v>
      </c>
      <c r="I4048" s="55">
        <v>1843.3</v>
      </c>
      <c r="J4048" s="55">
        <v>59390.400000000001</v>
      </c>
      <c r="K4048" s="55">
        <v>8084.9</v>
      </c>
      <c r="L4048" s="55">
        <v>6137</v>
      </c>
      <c r="M4048" s="55">
        <v>0</v>
      </c>
      <c r="N4048" s="55">
        <v>0</v>
      </c>
    </row>
    <row r="4049" spans="1:14" ht="10.050000000000001" hidden="1" customHeight="1">
      <c r="A4049" s="52" t="s">
        <v>316</v>
      </c>
      <c r="B4049" s="53">
        <v>2024</v>
      </c>
      <c r="C4049" s="52" t="s">
        <v>129</v>
      </c>
      <c r="D4049" s="54">
        <v>10</v>
      </c>
      <c r="E4049" s="55">
        <v>11164.4</v>
      </c>
      <c r="F4049" s="55">
        <v>486.5</v>
      </c>
      <c r="G4049" s="55">
        <v>11650.9</v>
      </c>
      <c r="H4049" s="55">
        <v>27309.200000000001</v>
      </c>
      <c r="I4049" s="55">
        <v>700.7</v>
      </c>
      <c r="J4049" s="55">
        <v>28009.9</v>
      </c>
      <c r="K4049" s="55">
        <v>3312.1</v>
      </c>
      <c r="L4049" s="55">
        <v>2710.3</v>
      </c>
      <c r="M4049" s="55">
        <v>1108.2</v>
      </c>
      <c r="N4049" s="55">
        <v>158.9</v>
      </c>
    </row>
    <row r="4050" spans="1:14" ht="10.050000000000001" hidden="1" customHeight="1">
      <c r="A4050" s="52" t="s">
        <v>310</v>
      </c>
      <c r="B4050" s="53">
        <v>2024</v>
      </c>
      <c r="C4050" s="52" t="s">
        <v>129</v>
      </c>
      <c r="D4050" s="54">
        <v>10</v>
      </c>
      <c r="E4050" s="55">
        <v>1938.4</v>
      </c>
      <c r="F4050" s="55">
        <v>45.6</v>
      </c>
      <c r="G4050" s="55">
        <v>1984</v>
      </c>
      <c r="H4050" s="55">
        <v>37862.5</v>
      </c>
      <c r="I4050" s="55">
        <v>1759.8</v>
      </c>
      <c r="J4050" s="55">
        <v>39622.300000000003</v>
      </c>
      <c r="K4050" s="55">
        <v>6538</v>
      </c>
      <c r="L4050" s="55">
        <v>158.9</v>
      </c>
      <c r="M4050" s="55">
        <v>966.4</v>
      </c>
      <c r="N4050" s="55">
        <v>309.10000000000002</v>
      </c>
    </row>
    <row r="4051" spans="1:14" ht="10.050000000000001" hidden="1" customHeight="1">
      <c r="A4051" s="52" t="s">
        <v>308</v>
      </c>
      <c r="B4051" s="53">
        <v>2024</v>
      </c>
      <c r="C4051" s="52" t="s">
        <v>129</v>
      </c>
      <c r="D4051" s="54">
        <v>10</v>
      </c>
      <c r="E4051" s="55">
        <v>90460.1</v>
      </c>
      <c r="F4051" s="55">
        <v>112.6</v>
      </c>
      <c r="G4051" s="55">
        <v>90572.7</v>
      </c>
      <c r="H4051" s="55">
        <v>96677.2</v>
      </c>
      <c r="I4051" s="55">
        <v>157.6</v>
      </c>
      <c r="J4051" s="55">
        <v>96834.8</v>
      </c>
      <c r="K4051" s="55">
        <v>62914.1</v>
      </c>
      <c r="L4051" s="55">
        <v>70053.5</v>
      </c>
      <c r="M4051" s="55">
        <v>13353.5</v>
      </c>
      <c r="N4051" s="55">
        <v>2643.8</v>
      </c>
    </row>
    <row r="4052" spans="1:14" ht="10.050000000000001" hidden="1" customHeight="1">
      <c r="A4052" s="52" t="s">
        <v>174</v>
      </c>
      <c r="B4052" s="53">
        <v>2024</v>
      </c>
      <c r="C4052" s="52" t="s">
        <v>129</v>
      </c>
      <c r="D4052" s="54">
        <v>10</v>
      </c>
      <c r="E4052" s="55">
        <v>25239.3</v>
      </c>
      <c r="F4052" s="55">
        <v>1387</v>
      </c>
      <c r="G4052" s="55">
        <v>26626.3</v>
      </c>
      <c r="H4052" s="55">
        <v>200232</v>
      </c>
      <c r="I4052" s="55">
        <v>13223.3</v>
      </c>
      <c r="J4052" s="55">
        <v>213455.3</v>
      </c>
      <c r="K4052" s="55">
        <v>114600.5</v>
      </c>
      <c r="L4052" s="55">
        <v>5129</v>
      </c>
      <c r="M4052" s="55">
        <v>13646.4</v>
      </c>
      <c r="N4052" s="55">
        <v>9553.6</v>
      </c>
    </row>
    <row r="4053" spans="1:14" ht="10.050000000000001" hidden="1" customHeight="1">
      <c r="A4053" s="52" t="s">
        <v>314</v>
      </c>
      <c r="B4053" s="53">
        <v>2024</v>
      </c>
      <c r="C4053" s="52" t="s">
        <v>129</v>
      </c>
      <c r="D4053" s="54">
        <v>11</v>
      </c>
      <c r="E4053" s="55">
        <v>0</v>
      </c>
      <c r="F4053" s="55">
        <v>0</v>
      </c>
      <c r="G4053" s="55">
        <v>0</v>
      </c>
      <c r="H4053" s="55">
        <v>38.299999999999997</v>
      </c>
      <c r="I4053" s="55">
        <v>0</v>
      </c>
      <c r="J4053" s="55">
        <v>38.299999999999997</v>
      </c>
      <c r="K4053" s="55">
        <v>0</v>
      </c>
      <c r="L4053" s="55">
        <v>0</v>
      </c>
      <c r="M4053" s="55">
        <v>0</v>
      </c>
      <c r="N4053" s="55">
        <v>0</v>
      </c>
    </row>
    <row r="4054" spans="1:14" ht="10.050000000000001" hidden="1" customHeight="1">
      <c r="A4054" s="52" t="s">
        <v>306</v>
      </c>
      <c r="B4054" s="53">
        <v>2024</v>
      </c>
      <c r="C4054" s="52" t="s">
        <v>129</v>
      </c>
      <c r="D4054" s="54">
        <v>11</v>
      </c>
      <c r="E4054" s="55">
        <v>4970.6000000000004</v>
      </c>
      <c r="F4054" s="55">
        <v>971.9</v>
      </c>
      <c r="G4054" s="55">
        <v>5942.5</v>
      </c>
      <c r="H4054" s="55">
        <v>111107.7</v>
      </c>
      <c r="I4054" s="55">
        <v>3917.9</v>
      </c>
      <c r="J4054" s="55">
        <v>115025.60000000001</v>
      </c>
      <c r="K4054" s="55">
        <v>12866</v>
      </c>
      <c r="L4054" s="55">
        <v>630.70000000000005</v>
      </c>
      <c r="M4054" s="55">
        <v>2021.3</v>
      </c>
      <c r="N4054" s="55">
        <v>339</v>
      </c>
    </row>
    <row r="4055" spans="1:14" ht="10.050000000000001" hidden="1" customHeight="1">
      <c r="A4055" s="52" t="s">
        <v>172</v>
      </c>
      <c r="B4055" s="53">
        <v>2024</v>
      </c>
      <c r="C4055" s="52" t="s">
        <v>129</v>
      </c>
      <c r="D4055" s="54">
        <v>11</v>
      </c>
      <c r="E4055" s="55">
        <v>79243.8</v>
      </c>
      <c r="F4055" s="55">
        <v>145.19999999999999</v>
      </c>
      <c r="G4055" s="55">
        <v>79389</v>
      </c>
      <c r="H4055" s="55">
        <v>439199.6</v>
      </c>
      <c r="I4055" s="55">
        <v>10354.9</v>
      </c>
      <c r="J4055" s="55">
        <v>449554.5</v>
      </c>
      <c r="K4055" s="55">
        <v>199608.8</v>
      </c>
      <c r="L4055" s="55">
        <v>8741</v>
      </c>
      <c r="M4055" s="55">
        <v>59816.5</v>
      </c>
      <c r="N4055" s="55">
        <v>4878.8999999999996</v>
      </c>
    </row>
    <row r="4056" spans="1:14" ht="10.050000000000001" hidden="1" customHeight="1">
      <c r="A4056" s="52" t="s">
        <v>171</v>
      </c>
      <c r="B4056" s="53">
        <v>2024</v>
      </c>
      <c r="C4056" s="52" t="s">
        <v>129</v>
      </c>
      <c r="D4056" s="54">
        <v>11</v>
      </c>
      <c r="E4056" s="55">
        <v>904458.5</v>
      </c>
      <c r="F4056" s="55">
        <v>9575.5</v>
      </c>
      <c r="G4056" s="55">
        <v>914034.00000000105</v>
      </c>
      <c r="H4056" s="55">
        <v>7882236.7000000104</v>
      </c>
      <c r="I4056" s="55">
        <v>84989.9</v>
      </c>
      <c r="J4056" s="55">
        <v>7967226.5999999996</v>
      </c>
      <c r="K4056" s="55">
        <v>3691853.2</v>
      </c>
      <c r="L4056" s="55">
        <v>223456.9</v>
      </c>
      <c r="M4056" s="55">
        <v>462605.9</v>
      </c>
      <c r="N4056" s="55">
        <v>49342.3</v>
      </c>
    </row>
    <row r="4057" spans="1:14" ht="10.050000000000001" hidden="1" customHeight="1">
      <c r="A4057" s="52" t="s">
        <v>300</v>
      </c>
      <c r="B4057" s="53">
        <v>2024</v>
      </c>
      <c r="C4057" s="52" t="s">
        <v>129</v>
      </c>
      <c r="D4057" s="54">
        <v>11</v>
      </c>
      <c r="E4057" s="55">
        <v>773.2</v>
      </c>
      <c r="F4057" s="55">
        <v>0</v>
      </c>
      <c r="G4057" s="55">
        <v>773.2</v>
      </c>
      <c r="H4057" s="55">
        <v>15439.7</v>
      </c>
      <c r="I4057" s="55">
        <v>224.5</v>
      </c>
      <c r="J4057" s="55">
        <v>15664.2</v>
      </c>
      <c r="K4057" s="55">
        <v>406.5</v>
      </c>
      <c r="L4057" s="55">
        <v>34.799999999999997</v>
      </c>
      <c r="M4057" s="55">
        <v>57.8</v>
      </c>
      <c r="N4057" s="55">
        <v>13.7</v>
      </c>
    </row>
    <row r="4058" spans="1:14" ht="10.050000000000001" hidden="1" customHeight="1">
      <c r="A4058" s="52" t="s">
        <v>307</v>
      </c>
      <c r="B4058" s="53">
        <v>2024</v>
      </c>
      <c r="C4058" s="52" t="s">
        <v>129</v>
      </c>
      <c r="D4058" s="54">
        <v>11</v>
      </c>
      <c r="E4058" s="55">
        <v>3966242.1</v>
      </c>
      <c r="F4058" s="55">
        <v>64171</v>
      </c>
      <c r="G4058" s="55">
        <v>4030413.1</v>
      </c>
      <c r="H4058" s="55">
        <v>5139300.5999999996</v>
      </c>
      <c r="I4058" s="55">
        <v>130397.5</v>
      </c>
      <c r="J4058" s="55">
        <v>5269698.0999999996</v>
      </c>
      <c r="K4058" s="55">
        <v>3138900.5</v>
      </c>
      <c r="L4058" s="55">
        <v>2532225.2999999998</v>
      </c>
      <c r="M4058" s="55">
        <v>1079643.3999999999</v>
      </c>
      <c r="N4058" s="55">
        <v>193641</v>
      </c>
    </row>
    <row r="4059" spans="1:14" ht="10.050000000000001" hidden="1" customHeight="1">
      <c r="A4059" s="52" t="s">
        <v>315</v>
      </c>
      <c r="B4059" s="53">
        <v>2024</v>
      </c>
      <c r="C4059" s="52" t="s">
        <v>129</v>
      </c>
      <c r="D4059" s="54">
        <v>11</v>
      </c>
      <c r="E4059" s="55">
        <v>11055.3</v>
      </c>
      <c r="F4059" s="55">
        <v>0</v>
      </c>
      <c r="G4059" s="55">
        <v>11055.3</v>
      </c>
      <c r="H4059" s="55">
        <v>33732.6</v>
      </c>
      <c r="I4059" s="55">
        <v>0</v>
      </c>
      <c r="J4059" s="55">
        <v>33732.6</v>
      </c>
      <c r="K4059" s="55">
        <v>8799</v>
      </c>
      <c r="L4059" s="55">
        <v>2966.1</v>
      </c>
      <c r="M4059" s="55">
        <v>7678.4</v>
      </c>
      <c r="N4059" s="55">
        <v>70</v>
      </c>
    </row>
    <row r="4060" spans="1:14" ht="10.050000000000001" hidden="1" customHeight="1">
      <c r="A4060" s="52" t="s">
        <v>311</v>
      </c>
      <c r="B4060" s="53">
        <v>2024</v>
      </c>
      <c r="C4060" s="52" t="s">
        <v>129</v>
      </c>
      <c r="D4060" s="54">
        <v>11</v>
      </c>
      <c r="E4060" s="55">
        <v>48.7</v>
      </c>
      <c r="F4060" s="55">
        <v>0</v>
      </c>
      <c r="G4060" s="55">
        <v>48.7</v>
      </c>
      <c r="H4060" s="55">
        <v>1226.5</v>
      </c>
      <c r="I4060" s="55">
        <v>0</v>
      </c>
      <c r="J4060" s="55">
        <v>1226.5</v>
      </c>
      <c r="K4060" s="55">
        <v>360.7</v>
      </c>
      <c r="L4060" s="55">
        <v>0</v>
      </c>
      <c r="M4060" s="55">
        <v>0</v>
      </c>
      <c r="N4060" s="55">
        <v>19.8</v>
      </c>
    </row>
    <row r="4061" spans="1:14" ht="10.050000000000001" hidden="1" customHeight="1">
      <c r="A4061" s="52" t="s">
        <v>173</v>
      </c>
      <c r="B4061" s="53">
        <v>2024</v>
      </c>
      <c r="C4061" s="52" t="s">
        <v>129</v>
      </c>
      <c r="D4061" s="54">
        <v>11</v>
      </c>
      <c r="E4061" s="55">
        <v>262237.7</v>
      </c>
      <c r="F4061" s="55">
        <v>11099.5</v>
      </c>
      <c r="G4061" s="55">
        <v>273337.2</v>
      </c>
      <c r="H4061" s="55">
        <v>3777292</v>
      </c>
      <c r="I4061" s="55">
        <v>39749</v>
      </c>
      <c r="J4061" s="55">
        <v>3817041</v>
      </c>
      <c r="K4061" s="55">
        <v>1280469.5</v>
      </c>
      <c r="L4061" s="55">
        <v>31364.6</v>
      </c>
      <c r="M4061" s="55">
        <v>159715.1</v>
      </c>
      <c r="N4061" s="55">
        <v>33672.6</v>
      </c>
    </row>
    <row r="4062" spans="1:14" ht="10.050000000000001" customHeight="1">
      <c r="A4062" s="52" t="s">
        <v>309</v>
      </c>
      <c r="B4062" s="53">
        <v>2024</v>
      </c>
      <c r="C4062" s="52" t="s">
        <v>129</v>
      </c>
      <c r="D4062" s="54">
        <v>11</v>
      </c>
      <c r="E4062" s="55">
        <v>22621.7</v>
      </c>
      <c r="F4062" s="55">
        <v>595</v>
      </c>
      <c r="G4062" s="55">
        <v>23216.7</v>
      </c>
      <c r="H4062" s="55">
        <v>72088</v>
      </c>
      <c r="I4062" s="55">
        <v>2438.3000000000002</v>
      </c>
      <c r="J4062" s="55">
        <v>74526.3</v>
      </c>
      <c r="K4062" s="55">
        <v>14672.1</v>
      </c>
      <c r="L4062" s="55">
        <v>6066.3</v>
      </c>
      <c r="M4062" s="55">
        <v>0</v>
      </c>
      <c r="N4062" s="55">
        <v>0</v>
      </c>
    </row>
    <row r="4063" spans="1:14" ht="10.050000000000001" hidden="1" customHeight="1">
      <c r="A4063" s="52" t="s">
        <v>316</v>
      </c>
      <c r="B4063" s="53">
        <v>2024</v>
      </c>
      <c r="C4063" s="52" t="s">
        <v>129</v>
      </c>
      <c r="D4063" s="54">
        <v>11</v>
      </c>
      <c r="E4063" s="55">
        <v>6356.3</v>
      </c>
      <c r="F4063" s="55">
        <v>269.3</v>
      </c>
      <c r="G4063" s="55">
        <v>6625.6</v>
      </c>
      <c r="H4063" s="55">
        <v>31449.200000000001</v>
      </c>
      <c r="I4063" s="55">
        <v>893.7</v>
      </c>
      <c r="J4063" s="55">
        <v>32342.9</v>
      </c>
      <c r="K4063" s="55">
        <v>3488.6</v>
      </c>
      <c r="L4063" s="55">
        <v>1420.7</v>
      </c>
      <c r="M4063" s="55">
        <v>1013.3</v>
      </c>
      <c r="N4063" s="55">
        <v>257.89999999999998</v>
      </c>
    </row>
    <row r="4064" spans="1:14" ht="10.050000000000001" hidden="1" customHeight="1">
      <c r="A4064" s="52" t="s">
        <v>310</v>
      </c>
      <c r="B4064" s="53">
        <v>2024</v>
      </c>
      <c r="C4064" s="52" t="s">
        <v>129</v>
      </c>
      <c r="D4064" s="54">
        <v>11</v>
      </c>
      <c r="E4064" s="55">
        <v>1738</v>
      </c>
      <c r="F4064" s="55">
        <v>43.1</v>
      </c>
      <c r="G4064" s="55">
        <v>1781.1</v>
      </c>
      <c r="H4064" s="55">
        <v>36196.5</v>
      </c>
      <c r="I4064" s="55">
        <v>1867.6</v>
      </c>
      <c r="J4064" s="55">
        <v>38064.1</v>
      </c>
      <c r="K4064" s="55">
        <v>5132.7</v>
      </c>
      <c r="L4064" s="55">
        <v>15.1</v>
      </c>
      <c r="M4064" s="55">
        <v>1281</v>
      </c>
      <c r="N4064" s="55">
        <v>139</v>
      </c>
    </row>
    <row r="4065" spans="1:14" ht="10.050000000000001" hidden="1" customHeight="1">
      <c r="A4065" s="52" t="s">
        <v>308</v>
      </c>
      <c r="B4065" s="53">
        <v>2024</v>
      </c>
      <c r="C4065" s="52" t="s">
        <v>129</v>
      </c>
      <c r="D4065" s="54">
        <v>11</v>
      </c>
      <c r="E4065" s="55">
        <v>115062.5</v>
      </c>
      <c r="F4065" s="55">
        <v>50.7</v>
      </c>
      <c r="G4065" s="55">
        <v>115113.2</v>
      </c>
      <c r="H4065" s="55">
        <v>180509.4</v>
      </c>
      <c r="I4065" s="55">
        <v>151.6</v>
      </c>
      <c r="J4065" s="55">
        <v>180661</v>
      </c>
      <c r="K4065" s="55">
        <v>73194.7</v>
      </c>
      <c r="L4065" s="55">
        <v>60571</v>
      </c>
      <c r="M4065" s="55">
        <v>48549.4</v>
      </c>
      <c r="N4065" s="55">
        <v>1741.7</v>
      </c>
    </row>
    <row r="4066" spans="1:14" ht="10.050000000000001" hidden="1" customHeight="1">
      <c r="A4066" s="52" t="s">
        <v>174</v>
      </c>
      <c r="B4066" s="53">
        <v>2024</v>
      </c>
      <c r="C4066" s="52" t="s">
        <v>129</v>
      </c>
      <c r="D4066" s="54">
        <v>11</v>
      </c>
      <c r="E4066" s="55">
        <v>14068.5</v>
      </c>
      <c r="F4066" s="55">
        <v>233.8</v>
      </c>
      <c r="G4066" s="55">
        <v>14302.3</v>
      </c>
      <c r="H4066" s="55">
        <v>171628</v>
      </c>
      <c r="I4066" s="55">
        <v>12048.1</v>
      </c>
      <c r="J4066" s="55">
        <v>183676.1</v>
      </c>
      <c r="K4066" s="55">
        <v>103094.7</v>
      </c>
      <c r="L4066" s="55">
        <v>2071.9</v>
      </c>
      <c r="M4066" s="55">
        <v>6537.6</v>
      </c>
      <c r="N4066" s="55">
        <v>7103.9</v>
      </c>
    </row>
    <row r="4067" spans="1:14" ht="10.050000000000001" hidden="1" customHeight="1">
      <c r="A4067" s="52" t="s">
        <v>314</v>
      </c>
      <c r="B4067" s="53">
        <v>2024</v>
      </c>
      <c r="C4067" s="52" t="s">
        <v>129</v>
      </c>
      <c r="D4067" s="54">
        <v>12</v>
      </c>
      <c r="E4067" s="55">
        <v>0</v>
      </c>
      <c r="F4067" s="55">
        <v>0</v>
      </c>
      <c r="G4067" s="55">
        <v>0</v>
      </c>
      <c r="H4067" s="55">
        <v>28.8</v>
      </c>
      <c r="I4067" s="55">
        <v>0</v>
      </c>
      <c r="J4067" s="55">
        <v>28.8</v>
      </c>
      <c r="K4067" s="55">
        <v>0</v>
      </c>
      <c r="L4067" s="55">
        <v>0</v>
      </c>
      <c r="M4067" s="55">
        <v>0</v>
      </c>
      <c r="N4067" s="55">
        <v>0</v>
      </c>
    </row>
    <row r="4068" spans="1:14" ht="10.050000000000001" hidden="1" customHeight="1">
      <c r="A4068" s="52" t="s">
        <v>306</v>
      </c>
      <c r="B4068" s="53">
        <v>2024</v>
      </c>
      <c r="C4068" s="52" t="s">
        <v>129</v>
      </c>
      <c r="D4068" s="54">
        <v>12</v>
      </c>
      <c r="E4068" s="55">
        <v>4620.8</v>
      </c>
      <c r="F4068" s="55">
        <v>1456.5</v>
      </c>
      <c r="G4068" s="55">
        <v>6077.3</v>
      </c>
      <c r="H4068" s="55">
        <v>103228.5</v>
      </c>
      <c r="I4068" s="55">
        <v>4785.1000000000004</v>
      </c>
      <c r="J4068" s="55">
        <v>108013.6</v>
      </c>
      <c r="K4068" s="55">
        <v>10940.6</v>
      </c>
      <c r="L4068" s="55">
        <v>501</v>
      </c>
      <c r="M4068" s="55">
        <v>1675.5</v>
      </c>
      <c r="N4068" s="55">
        <v>750.6</v>
      </c>
    </row>
    <row r="4069" spans="1:14" ht="10.050000000000001" hidden="1" customHeight="1">
      <c r="A4069" s="52" t="s">
        <v>172</v>
      </c>
      <c r="B4069" s="53">
        <v>2024</v>
      </c>
      <c r="C4069" s="52" t="s">
        <v>129</v>
      </c>
      <c r="D4069" s="54">
        <v>12</v>
      </c>
      <c r="E4069" s="55">
        <v>66808.399999999994</v>
      </c>
      <c r="F4069" s="55">
        <v>67.900000000000006</v>
      </c>
      <c r="G4069" s="55">
        <v>66876.3</v>
      </c>
      <c r="H4069" s="55">
        <v>441573.8</v>
      </c>
      <c r="I4069" s="55">
        <v>7975.7</v>
      </c>
      <c r="J4069" s="55">
        <v>449549.5</v>
      </c>
      <c r="K4069" s="55">
        <v>160856.79999999999</v>
      </c>
      <c r="L4069" s="55">
        <v>11286.8</v>
      </c>
      <c r="M4069" s="55">
        <v>47121.8</v>
      </c>
      <c r="N4069" s="55">
        <v>2804.9</v>
      </c>
    </row>
    <row r="4070" spans="1:14" ht="10.050000000000001" hidden="1" customHeight="1">
      <c r="A4070" s="52" t="s">
        <v>171</v>
      </c>
      <c r="B4070" s="53">
        <v>2024</v>
      </c>
      <c r="C4070" s="52" t="s">
        <v>129</v>
      </c>
      <c r="D4070" s="54">
        <v>12</v>
      </c>
      <c r="E4070" s="55">
        <v>1434160.9</v>
      </c>
      <c r="F4070" s="55">
        <v>15731.1</v>
      </c>
      <c r="G4070" s="55">
        <v>1449892</v>
      </c>
      <c r="H4070" s="55">
        <v>7516208.6000000099</v>
      </c>
      <c r="I4070" s="55">
        <v>81103.100000000006</v>
      </c>
      <c r="J4070" s="55">
        <v>7597311.7000000104</v>
      </c>
      <c r="K4070" s="55">
        <v>3112928.8</v>
      </c>
      <c r="L4070" s="55">
        <v>343120.7</v>
      </c>
      <c r="M4070" s="55">
        <v>829083.3</v>
      </c>
      <c r="N4070" s="55">
        <v>75214.100000000006</v>
      </c>
    </row>
    <row r="4071" spans="1:14" ht="10.050000000000001" hidden="1" customHeight="1">
      <c r="A4071" s="52" t="s">
        <v>300</v>
      </c>
      <c r="B4071" s="53">
        <v>2024</v>
      </c>
      <c r="C4071" s="52" t="s">
        <v>129</v>
      </c>
      <c r="D4071" s="54">
        <v>12</v>
      </c>
      <c r="E4071" s="55">
        <v>947.7</v>
      </c>
      <c r="F4071" s="55">
        <v>25.9</v>
      </c>
      <c r="G4071" s="55">
        <v>973.6</v>
      </c>
      <c r="H4071" s="55">
        <v>13268</v>
      </c>
      <c r="I4071" s="55">
        <v>215.3</v>
      </c>
      <c r="J4071" s="55">
        <v>13483.3</v>
      </c>
      <c r="K4071" s="55">
        <v>368</v>
      </c>
      <c r="L4071" s="55">
        <v>0</v>
      </c>
      <c r="M4071" s="55">
        <v>17.2</v>
      </c>
      <c r="N4071" s="55">
        <v>21.3</v>
      </c>
    </row>
    <row r="4072" spans="1:14" ht="10.050000000000001" hidden="1" customHeight="1">
      <c r="A4072" s="52" t="s">
        <v>307</v>
      </c>
      <c r="B4072" s="53">
        <v>2024</v>
      </c>
      <c r="C4072" s="52" t="s">
        <v>129</v>
      </c>
      <c r="D4072" s="54">
        <v>12</v>
      </c>
      <c r="E4072" s="55">
        <v>1526835.6</v>
      </c>
      <c r="F4072" s="55">
        <v>17513.900000000001</v>
      </c>
      <c r="G4072" s="55">
        <v>1544349.5</v>
      </c>
      <c r="H4072" s="55">
        <v>5604560.0999999996</v>
      </c>
      <c r="I4072" s="55">
        <v>113849.9</v>
      </c>
      <c r="J4072" s="55">
        <v>5718410</v>
      </c>
      <c r="K4072" s="55">
        <v>2817018.9</v>
      </c>
      <c r="L4072" s="55">
        <v>556756</v>
      </c>
      <c r="M4072" s="55">
        <v>710175.3</v>
      </c>
      <c r="N4072" s="55">
        <v>149208.1</v>
      </c>
    </row>
    <row r="4073" spans="1:14" ht="10.050000000000001" hidden="1" customHeight="1">
      <c r="A4073" s="52" t="s">
        <v>315</v>
      </c>
      <c r="B4073" s="53">
        <v>2024</v>
      </c>
      <c r="C4073" s="52" t="s">
        <v>129</v>
      </c>
      <c r="D4073" s="54">
        <v>12</v>
      </c>
      <c r="E4073" s="55">
        <v>4312.3999999999996</v>
      </c>
      <c r="F4073" s="55">
        <v>0</v>
      </c>
      <c r="G4073" s="55">
        <v>4312.3999999999996</v>
      </c>
      <c r="H4073" s="55">
        <v>34809.9</v>
      </c>
      <c r="I4073" s="55">
        <v>0</v>
      </c>
      <c r="J4073" s="55">
        <v>34809.9</v>
      </c>
      <c r="K4073" s="55">
        <v>5920.9</v>
      </c>
      <c r="L4073" s="55">
        <v>345.8</v>
      </c>
      <c r="M4073" s="55">
        <v>2889.9</v>
      </c>
      <c r="N4073" s="55">
        <v>333.6</v>
      </c>
    </row>
    <row r="4074" spans="1:14" ht="10.050000000000001" hidden="1" customHeight="1">
      <c r="A4074" s="52" t="s">
        <v>311</v>
      </c>
      <c r="B4074" s="53">
        <v>2024</v>
      </c>
      <c r="C4074" s="52" t="s">
        <v>129</v>
      </c>
      <c r="D4074" s="54">
        <v>12</v>
      </c>
      <c r="E4074" s="55">
        <v>90.9</v>
      </c>
      <c r="F4074" s="55">
        <v>0</v>
      </c>
      <c r="G4074" s="55">
        <v>90.9</v>
      </c>
      <c r="H4074" s="55">
        <v>1121.9000000000001</v>
      </c>
      <c r="I4074" s="55">
        <v>0</v>
      </c>
      <c r="J4074" s="55">
        <v>1121.9000000000001</v>
      </c>
      <c r="K4074" s="55">
        <v>327.5</v>
      </c>
      <c r="L4074" s="55">
        <v>0</v>
      </c>
      <c r="M4074" s="55">
        <v>0</v>
      </c>
      <c r="N4074" s="55">
        <v>33.200000000000003</v>
      </c>
    </row>
    <row r="4075" spans="1:14" ht="10.050000000000001" hidden="1" customHeight="1">
      <c r="A4075" s="52" t="s">
        <v>173</v>
      </c>
      <c r="B4075" s="53">
        <v>2024</v>
      </c>
      <c r="C4075" s="52" t="s">
        <v>129</v>
      </c>
      <c r="D4075" s="54">
        <v>12</v>
      </c>
      <c r="E4075" s="55">
        <v>340715.1</v>
      </c>
      <c r="F4075" s="55">
        <v>7132.8</v>
      </c>
      <c r="G4075" s="55">
        <v>347847.9</v>
      </c>
      <c r="H4075" s="55">
        <v>3518136.1</v>
      </c>
      <c r="I4075" s="55">
        <v>38249.699999999997</v>
      </c>
      <c r="J4075" s="55">
        <v>3556385.8</v>
      </c>
      <c r="K4075" s="55">
        <v>1086687.8</v>
      </c>
      <c r="L4075" s="55">
        <v>57512.2</v>
      </c>
      <c r="M4075" s="55">
        <v>207796.8</v>
      </c>
      <c r="N4075" s="55">
        <v>41895.300000000003</v>
      </c>
    </row>
    <row r="4076" spans="1:14" ht="10.050000000000001" customHeight="1">
      <c r="A4076" s="52" t="s">
        <v>309</v>
      </c>
      <c r="B4076" s="53">
        <v>2024</v>
      </c>
      <c r="C4076" s="52" t="s">
        <v>129</v>
      </c>
      <c r="D4076" s="54">
        <v>12</v>
      </c>
      <c r="E4076" s="55">
        <v>3263.8</v>
      </c>
      <c r="F4076" s="55">
        <v>0</v>
      </c>
      <c r="G4076" s="55">
        <v>3263.8</v>
      </c>
      <c r="H4076" s="55">
        <v>57779.7</v>
      </c>
      <c r="I4076" s="55">
        <v>2438.3000000000002</v>
      </c>
      <c r="J4076" s="55">
        <v>60218</v>
      </c>
      <c r="K4076" s="55">
        <v>3504.3</v>
      </c>
      <c r="L4076" s="55">
        <v>10.6</v>
      </c>
      <c r="M4076" s="55">
        <v>0</v>
      </c>
      <c r="N4076" s="55">
        <v>0</v>
      </c>
    </row>
    <row r="4077" spans="1:14" ht="10.050000000000001" hidden="1" customHeight="1">
      <c r="A4077" s="52" t="s">
        <v>316</v>
      </c>
      <c r="B4077" s="53">
        <v>2024</v>
      </c>
      <c r="C4077" s="52" t="s">
        <v>129</v>
      </c>
      <c r="D4077" s="54">
        <v>12</v>
      </c>
      <c r="E4077" s="55">
        <v>2447.3000000000002</v>
      </c>
      <c r="F4077" s="55">
        <v>118.3</v>
      </c>
      <c r="G4077" s="55">
        <v>2565.6</v>
      </c>
      <c r="H4077" s="55">
        <v>31428.799999999999</v>
      </c>
      <c r="I4077" s="55">
        <v>996.9</v>
      </c>
      <c r="J4077" s="55">
        <v>32425.7</v>
      </c>
      <c r="K4077" s="55">
        <v>2524</v>
      </c>
      <c r="L4077" s="55">
        <v>652.20000000000005</v>
      </c>
      <c r="M4077" s="55">
        <v>1176.5999999999999</v>
      </c>
      <c r="N4077" s="55">
        <v>364.7</v>
      </c>
    </row>
    <row r="4078" spans="1:14" ht="10.050000000000001" hidden="1" customHeight="1">
      <c r="A4078" s="52" t="s">
        <v>310</v>
      </c>
      <c r="B4078" s="53">
        <v>2024</v>
      </c>
      <c r="C4078" s="52" t="s">
        <v>129</v>
      </c>
      <c r="D4078" s="54">
        <v>12</v>
      </c>
      <c r="E4078" s="55">
        <v>1304.3</v>
      </c>
      <c r="F4078" s="55">
        <v>33.4</v>
      </c>
      <c r="G4078" s="55">
        <v>1337.7</v>
      </c>
      <c r="H4078" s="55">
        <v>33309.1</v>
      </c>
      <c r="I4078" s="55">
        <v>1864</v>
      </c>
      <c r="J4078" s="55">
        <v>35173.1</v>
      </c>
      <c r="K4078" s="55">
        <v>4163.6000000000004</v>
      </c>
      <c r="L4078" s="55">
        <v>41.4</v>
      </c>
      <c r="M4078" s="55">
        <v>708.3</v>
      </c>
      <c r="N4078" s="55">
        <v>302.39999999999998</v>
      </c>
    </row>
    <row r="4079" spans="1:14" ht="10.050000000000001" hidden="1" customHeight="1">
      <c r="A4079" s="52" t="s">
        <v>308</v>
      </c>
      <c r="B4079" s="53">
        <v>2024</v>
      </c>
      <c r="C4079" s="52" t="s">
        <v>129</v>
      </c>
      <c r="D4079" s="54">
        <v>12</v>
      </c>
      <c r="E4079" s="55">
        <v>42748.5</v>
      </c>
      <c r="F4079" s="55">
        <v>0</v>
      </c>
      <c r="G4079" s="55">
        <v>42748.5</v>
      </c>
      <c r="H4079" s="55">
        <v>185924.6</v>
      </c>
      <c r="I4079" s="55">
        <v>153.1</v>
      </c>
      <c r="J4079" s="55">
        <v>186077.7</v>
      </c>
      <c r="K4079" s="55">
        <v>52805.8</v>
      </c>
      <c r="L4079" s="55">
        <v>11663.9</v>
      </c>
      <c r="M4079" s="55">
        <v>28303.4</v>
      </c>
      <c r="N4079" s="55">
        <v>3669</v>
      </c>
    </row>
    <row r="4080" spans="1:14" ht="10.050000000000001" hidden="1" customHeight="1">
      <c r="A4080" s="52" t="s">
        <v>174</v>
      </c>
      <c r="B4080" s="53">
        <v>2024</v>
      </c>
      <c r="C4080" s="52" t="s">
        <v>129</v>
      </c>
      <c r="D4080" s="54">
        <v>12</v>
      </c>
      <c r="E4080" s="55">
        <v>15460.7</v>
      </c>
      <c r="F4080" s="55">
        <v>1580.6</v>
      </c>
      <c r="G4080" s="55">
        <v>17041.3</v>
      </c>
      <c r="H4080" s="55">
        <v>149443.4</v>
      </c>
      <c r="I4080" s="55">
        <v>12197.4</v>
      </c>
      <c r="J4080" s="55">
        <v>161640.79999999999</v>
      </c>
      <c r="K4080" s="55">
        <v>88469.2</v>
      </c>
      <c r="L4080" s="55">
        <v>3291.4</v>
      </c>
      <c r="M4080" s="55">
        <v>9340.9</v>
      </c>
      <c r="N4080" s="55">
        <v>8012.3</v>
      </c>
    </row>
    <row r="4082" spans="1:14" ht="13.05" customHeight="1">
      <c r="A4082" s="776" t="s">
        <v>130</v>
      </c>
      <c r="B4082" s="776"/>
      <c r="C4082" s="776"/>
      <c r="D4082" s="776"/>
      <c r="E4082" s="776"/>
      <c r="F4082" s="776"/>
      <c r="G4082" s="776"/>
      <c r="H4082" s="776"/>
      <c r="I4082" s="776"/>
      <c r="J4082" s="776"/>
      <c r="K4082" s="776"/>
      <c r="L4082" s="776"/>
      <c r="M4082" s="776"/>
      <c r="N4082" s="776"/>
    </row>
    <row r="4083" spans="1:14" ht="13.05" customHeight="1">
      <c r="A4083" s="776" t="s">
        <v>131</v>
      </c>
      <c r="B4083" s="776"/>
      <c r="C4083" s="776"/>
      <c r="D4083" s="776"/>
      <c r="E4083" s="776"/>
      <c r="F4083" s="776"/>
      <c r="G4083" s="776"/>
      <c r="H4083" s="776"/>
      <c r="I4083" s="776"/>
      <c r="J4083" s="776"/>
      <c r="K4083" s="776"/>
      <c r="L4083" s="776"/>
      <c r="M4083" s="776"/>
      <c r="N4083" s="776"/>
    </row>
    <row r="4084" spans="1:14" ht="13.05" customHeight="1">
      <c r="A4084" s="776" t="s">
        <v>132</v>
      </c>
      <c r="B4084" s="776"/>
      <c r="C4084" s="776"/>
      <c r="D4084" s="776"/>
      <c r="E4084" s="776"/>
      <c r="F4084" s="776"/>
      <c r="G4084" s="776"/>
      <c r="H4084" s="776"/>
      <c r="I4084" s="776"/>
      <c r="J4084" s="776"/>
      <c r="K4084" s="776"/>
      <c r="L4084" s="776"/>
      <c r="M4084" s="776"/>
      <c r="N4084" s="776"/>
    </row>
    <row r="4085" spans="1:14" ht="13.05" customHeight="1">
      <c r="A4085" s="776" t="s">
        <v>133</v>
      </c>
      <c r="B4085" s="776"/>
      <c r="C4085" s="776"/>
      <c r="D4085" s="776"/>
      <c r="E4085" s="776"/>
      <c r="F4085" s="776"/>
      <c r="G4085" s="776"/>
      <c r="H4085" s="776"/>
      <c r="I4085" s="776"/>
      <c r="J4085" s="776"/>
      <c r="K4085" s="776"/>
      <c r="L4085" s="776"/>
      <c r="M4085" s="776"/>
      <c r="N4085" s="776"/>
    </row>
    <row r="4086" spans="1:14" ht="13.05" customHeight="1">
      <c r="A4086" s="776" t="s">
        <v>134</v>
      </c>
      <c r="B4086" s="776"/>
      <c r="C4086" s="776"/>
      <c r="D4086" s="776"/>
      <c r="E4086" s="776"/>
      <c r="F4086" s="776"/>
      <c r="G4086" s="776"/>
      <c r="H4086" s="776"/>
      <c r="I4086" s="776"/>
      <c r="J4086" s="776"/>
      <c r="K4086" s="776"/>
      <c r="L4086" s="776"/>
      <c r="M4086" s="776"/>
      <c r="N4086" s="776"/>
    </row>
    <row r="4087" spans="1:14" ht="13.05" customHeight="1">
      <c r="A4087" s="776" t="s">
        <v>135</v>
      </c>
      <c r="B4087" s="776"/>
      <c r="C4087" s="776"/>
      <c r="D4087" s="776"/>
      <c r="E4087" s="776"/>
      <c r="F4087" s="776"/>
      <c r="G4087" s="776"/>
      <c r="H4087" s="776"/>
      <c r="I4087" s="776"/>
      <c r="J4087" s="776"/>
      <c r="K4087" s="776"/>
      <c r="L4087" s="776"/>
      <c r="M4087" s="776"/>
      <c r="N4087" s="776"/>
    </row>
    <row r="4088" spans="1:14" ht="13.05" customHeight="1">
      <c r="A4088" s="776" t="s">
        <v>136</v>
      </c>
      <c r="B4088" s="776"/>
      <c r="C4088" s="776"/>
      <c r="D4088" s="776"/>
      <c r="E4088" s="776"/>
      <c r="F4088" s="776"/>
      <c r="G4088" s="776"/>
      <c r="H4088" s="776"/>
      <c r="I4088" s="776"/>
      <c r="J4088" s="776"/>
      <c r="K4088" s="776"/>
      <c r="L4088" s="776"/>
      <c r="M4088" s="776"/>
      <c r="N4088" s="776"/>
    </row>
    <row r="4089" spans="1:14" ht="13.05" customHeight="1">
      <c r="A4089" s="776" t="s">
        <v>137</v>
      </c>
      <c r="B4089" s="776"/>
      <c r="C4089" s="776"/>
      <c r="D4089" s="776"/>
      <c r="E4089" s="776"/>
      <c r="F4089" s="776"/>
      <c r="G4089" s="776"/>
      <c r="H4089" s="776"/>
      <c r="I4089" s="776"/>
      <c r="J4089" s="776"/>
      <c r="K4089" s="776"/>
      <c r="L4089" s="776"/>
      <c r="M4089" s="776"/>
      <c r="N4089" s="776"/>
    </row>
    <row r="4090" spans="1:14" ht="13.05" customHeight="1">
      <c r="A4090" s="776" t="s">
        <v>138</v>
      </c>
      <c r="B4090" s="776"/>
      <c r="C4090" s="776"/>
      <c r="D4090" s="776"/>
      <c r="E4090" s="776"/>
      <c r="F4090" s="776"/>
      <c r="G4090" s="776"/>
      <c r="H4090" s="776"/>
      <c r="I4090" s="776"/>
      <c r="J4090" s="776"/>
      <c r="K4090" s="776"/>
      <c r="L4090" s="776"/>
      <c r="M4090" s="776"/>
      <c r="N4090" s="776"/>
    </row>
    <row r="4091" spans="1:14" ht="13.05" customHeight="1">
      <c r="A4091" s="776" t="s">
        <v>139</v>
      </c>
      <c r="B4091" s="776"/>
      <c r="C4091" s="776"/>
      <c r="D4091" s="776"/>
      <c r="E4091" s="776"/>
      <c r="F4091" s="776"/>
      <c r="G4091" s="776"/>
      <c r="H4091" s="776"/>
      <c r="I4091" s="776"/>
      <c r="J4091" s="776"/>
      <c r="K4091" s="776"/>
      <c r="L4091" s="776"/>
      <c r="M4091" s="776"/>
      <c r="N4091" s="776"/>
    </row>
  </sheetData>
  <autoFilter ref="A5:D4080" xr:uid="{00000000-0009-0000-0000-000000000000}">
    <filterColumn colId="0">
      <filters>
        <filter val="Riz"/>
      </filters>
    </filterColumn>
  </autoFilter>
  <mergeCells count="13">
    <mergeCell ref="A4091:N4091"/>
    <mergeCell ref="A4085:N4085"/>
    <mergeCell ref="A4086:N4086"/>
    <mergeCell ref="A4087:N4087"/>
    <mergeCell ref="A4088:N4088"/>
    <mergeCell ref="A4089:N4089"/>
    <mergeCell ref="A4090:N4090"/>
    <mergeCell ref="A4084:N4084"/>
    <mergeCell ref="A1:N1"/>
    <mergeCell ref="A2:N2"/>
    <mergeCell ref="A3:N3"/>
    <mergeCell ref="A4082:N4082"/>
    <mergeCell ref="A4083:N4083"/>
  </mergeCells>
  <printOptions horizontalCentered="1" verticalCentered="1"/>
  <pageMargins left="0.2" right="0.2" top="0.2" bottom="0.2" header="0" footer="0"/>
  <pageSetup paperSize="9" scale="6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D343-3B84-40CE-8B19-94DCB4E27B98}">
  <sheetPr>
    <tabColor rgb="FF92D050"/>
  </sheetPr>
  <dimension ref="A1:S496"/>
  <sheetViews>
    <sheetView workbookViewId="0">
      <pane xSplit="2" ySplit="1" topLeftCell="C2" activePane="bottomRight" state="frozen"/>
      <selection activeCell="B15" sqref="B15"/>
      <selection pane="topRight" activeCell="B15" sqref="B15"/>
      <selection pane="bottomLeft" activeCell="B15" sqref="B15"/>
      <selection pane="bottomRight" activeCell="C1" sqref="C1:C1048576"/>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0" bestFit="1" customWidth="1"/>
    <col min="5" max="5" width="6.6640625" bestFit="1" customWidth="1"/>
    <col min="6" max="6" width="10" style="26" bestFit="1" customWidth="1"/>
    <col min="7" max="7" width="12.109375" style="26" bestFit="1" customWidth="1"/>
    <col min="8" max="8" width="11" style="26" bestFit="1" customWidth="1"/>
    <col min="9" max="9" width="30.21875" style="26" customWidth="1"/>
    <col min="10" max="10" width="12.21875" style="26" bestFit="1" customWidth="1"/>
    <col min="11" max="11" width="33.21875" style="26" bestFit="1" customWidth="1"/>
    <col min="12" max="12" width="14.44140625" style="603" customWidth="1"/>
    <col min="13" max="13" width="14.44140625" style="26" customWidth="1"/>
    <col min="14" max="14" width="21" customWidth="1"/>
    <col min="15" max="17" width="14.44140625" style="26" customWidth="1"/>
    <col min="18" max="18" width="12.33203125" customWidth="1"/>
    <col min="19" max="19" width="17.44140625" customWidth="1"/>
  </cols>
  <sheetData>
    <row r="1" spans="1:19" ht="38.4" thickBot="1">
      <c r="A1" s="22" t="s">
        <v>14</v>
      </c>
      <c r="B1" s="23" t="s">
        <v>15</v>
      </c>
      <c r="C1" s="23" t="s">
        <v>16</v>
      </c>
      <c r="D1" s="23" t="s">
        <v>18</v>
      </c>
      <c r="E1" s="24" t="str">
        <f>Etiquettes!$A$3</f>
        <v>Unité</v>
      </c>
      <c r="F1" s="24" t="str">
        <f>Etiquettes!$A$6</f>
        <v>Céréale</v>
      </c>
      <c r="G1" s="24" t="str">
        <f>Etiquettes!$A$5</f>
        <v>Campagne</v>
      </c>
      <c r="H1" s="24" t="str">
        <f>Etiquettes!$A$4</f>
        <v>Territoire</v>
      </c>
      <c r="I1" s="24" t="str">
        <f>Etiquettes!$A$12</f>
        <v>Traduction</v>
      </c>
      <c r="J1" s="24" t="str">
        <f>Etiquettes!$A$10</f>
        <v>Hypothèse</v>
      </c>
      <c r="K1" s="24" t="str">
        <f>Etiquettes!$A$9</f>
        <v>Source</v>
      </c>
      <c r="L1" s="24" t="str">
        <f>Etiquettes!$A$13</f>
        <v>Onglet fichier Excel</v>
      </c>
      <c r="M1" s="24" t="str">
        <f>Etiquettes!$A$11</f>
        <v>Type de donnée collectée</v>
      </c>
      <c r="N1" s="24" t="str">
        <f>Etiquettes!$A$7</f>
        <v>Volume collecté, hors volume d'échange</v>
      </c>
      <c r="O1" s="24" t="str">
        <f>Etiquettes!$A$15</f>
        <v>Fiabilité des données</v>
      </c>
      <c r="P1" s="24" t="str">
        <f>Etiquettes!$A$16</f>
        <v>Méthode</v>
      </c>
      <c r="Q1" s="24" t="str">
        <f>Etiquettes!$A$17</f>
        <v>Analyse des résultats</v>
      </c>
      <c r="R1" s="23" t="s">
        <v>3</v>
      </c>
      <c r="S1" s="25" t="s">
        <v>5</v>
      </c>
    </row>
    <row r="2" spans="1:19">
      <c r="A2" t="str">
        <f>'Prétraitement bilans'!A3</f>
        <v>Récolte</v>
      </c>
      <c r="B2" t="str">
        <f>'Prétraitement bilans'!B3</f>
        <v>Grains récoltés</v>
      </c>
      <c r="C2" s="458">
        <f>'Prétraitement bilans'!D3</f>
        <v>40944.642399999982</v>
      </c>
      <c r="E2" t="str">
        <f>Etiquettes!$C$3</f>
        <v>kt</v>
      </c>
      <c r="F2" s="26" t="str">
        <f>Etiquettes!$H$6</f>
        <v>Blé tendre</v>
      </c>
      <c r="G2" s="26" t="str">
        <f>Etiquettes!$H$5</f>
        <v>2015-16</v>
      </c>
      <c r="H2" t="str">
        <f>Etiquettes!$C$4</f>
        <v>France entière</v>
      </c>
      <c r="I2" s="603" t="s">
        <v>1106</v>
      </c>
      <c r="J2" s="603"/>
      <c r="K2" t="s">
        <v>1559</v>
      </c>
      <c r="L2" s="603" t="str" cm="1">
        <f t="array" aca="1" ref="L2" ca="1">[1]!NOM_FEUILLE('Bilans Blé tendre - FAM'!$A$1)</f>
        <v>Bilans Blé tendre - FAM</v>
      </c>
      <c r="M2" s="26" t="str">
        <f>Etiquettes!$H$11</f>
        <v>Volume</v>
      </c>
      <c r="N2" t="str">
        <f>_xlfn.CONCAT(I2,IF(ISBLANK(C2),"",_xlfn.CONCAT(" = ",MROUND(C2,1)," ",E2))," (",K2,")")</f>
        <v>Récolte = 40945 kt (Bilans par campagne - FranceAgriMer)</v>
      </c>
      <c r="O2" s="26" t="str">
        <f>Etiquettes!$H$15</f>
        <v>Fiable</v>
      </c>
      <c r="P2" s="603" t="str">
        <f>Etiquettes!$H$16</f>
        <v>Données collectées</v>
      </c>
      <c r="Q2" s="603" t="str">
        <f>Etiquettes!$H$17</f>
        <v>Donnée collectée (valeur du flux ou coefficient)</v>
      </c>
    </row>
    <row r="3" spans="1:19">
      <c r="A3" t="str">
        <f>'Prétraitement bilans'!A4</f>
        <v>Stock initial</v>
      </c>
      <c r="B3" t="str">
        <f>'Prétraitement bilans'!B4</f>
        <v>Ferme</v>
      </c>
      <c r="C3" s="458">
        <f>'Prétraitement bilans'!D4</f>
        <v>784.27289590755925</v>
      </c>
      <c r="E3" t="str">
        <f>Etiquettes!$C$3</f>
        <v>kt</v>
      </c>
      <c r="F3" s="26" t="str">
        <f>Etiquettes!$H$6</f>
        <v>Blé tendre</v>
      </c>
      <c r="G3" s="26" t="str">
        <f>Etiquettes!$H$5</f>
        <v>2015-16</v>
      </c>
      <c r="H3" t="str">
        <f>Etiquettes!$C$4</f>
        <v>France entière</v>
      </c>
      <c r="I3" s="603" t="s">
        <v>1115</v>
      </c>
      <c r="J3" s="603"/>
      <c r="K3" t="s">
        <v>1559</v>
      </c>
      <c r="L3" s="603" t="str" cm="1">
        <f t="array" aca="1" ref="L3" ca="1">[1]!NOM_FEUILLE('Bilans Blé tendre - FAM'!$A$1)</f>
        <v>Bilans Blé tendre - FAM</v>
      </c>
      <c r="M3" s="26" t="str">
        <f>Etiquettes!$H$11</f>
        <v>Volume</v>
      </c>
      <c r="N3" t="str">
        <f t="shared" ref="N3:N67" si="0">_xlfn.CONCAT(I3,IF(ISBLANK(C3),"",_xlfn.CONCAT(" = ",MROUND(C3,1)," ",E3))," (",K3,")")</f>
        <v>Stock initial à la ferme = 784 kt (Bilans par campagne - FranceAgriMer)</v>
      </c>
      <c r="O3" s="26" t="str">
        <f>Etiquettes!$K$15</f>
        <v>Approximative</v>
      </c>
      <c r="P3" s="603" t="str">
        <f>Etiquettes!$H$16</f>
        <v>Données collectées</v>
      </c>
      <c r="Q3" s="603" t="str">
        <f>Etiquettes!$H$17</f>
        <v>Donnée collectée (valeur du flux ou coefficient)</v>
      </c>
    </row>
    <row r="4" spans="1:19">
      <c r="A4" t="str">
        <f>'Prétraitement bilans'!A5</f>
        <v>Ferme</v>
      </c>
      <c r="B4" t="str">
        <f>'Prétraitement bilans'!B5</f>
        <v>Grains autoconsommés</v>
      </c>
      <c r="C4" s="458">
        <f>'Prétraitement bilans'!D5</f>
        <v>3016.7619690813881</v>
      </c>
      <c r="E4" t="str">
        <f>Etiquettes!$C$3</f>
        <v>kt</v>
      </c>
      <c r="F4" s="26" t="str">
        <f>Etiquettes!$H$6</f>
        <v>Blé tendre</v>
      </c>
      <c r="G4" s="26" t="str">
        <f>Etiquettes!$H$5</f>
        <v>2015-16</v>
      </c>
      <c r="H4" t="str">
        <f>Etiquettes!$C$4</f>
        <v>France entière</v>
      </c>
      <c r="I4" s="603" t="s">
        <v>1560</v>
      </c>
      <c r="J4" s="603"/>
      <c r="K4" t="s">
        <v>1559</v>
      </c>
      <c r="L4" s="603" t="str" cm="1">
        <f t="array" aca="1" ref="L4" ca="1">[1]!NOM_FEUILLE('Bilans Blé tendre - FAM'!$A$1)</f>
        <v>Bilans Blé tendre - FAM</v>
      </c>
      <c r="M4" s="26" t="str">
        <f>Etiquettes!$H$11</f>
        <v>Volume</v>
      </c>
      <c r="N4" t="str">
        <f t="shared" si="0"/>
        <v>Autoconsommation à la ferme = 3017 kt (Bilans par campagne - FranceAgriMer)</v>
      </c>
      <c r="O4" s="26" t="str">
        <f>Etiquettes!$K$15</f>
        <v>Approximative</v>
      </c>
      <c r="P4" s="603" t="str">
        <f>Etiquettes!$H$16</f>
        <v>Données collectées</v>
      </c>
      <c r="Q4" s="603" t="str">
        <f>Etiquettes!$H$17</f>
        <v>Donnée collectée (valeur du flux ou coefficient)</v>
      </c>
    </row>
    <row r="5" spans="1:19">
      <c r="A5" t="str">
        <f>'Prétraitement bilans'!A6</f>
        <v>Ferme</v>
      </c>
      <c r="B5" t="str">
        <f>'Prétraitement bilans'!B6</f>
        <v>Stock final</v>
      </c>
      <c r="C5" s="458">
        <f>'Prétraitement bilans'!D6</f>
        <v>1755.5803268261564</v>
      </c>
      <c r="E5" t="str">
        <f>Etiquettes!$C$3</f>
        <v>kt</v>
      </c>
      <c r="F5" s="26" t="str">
        <f>Etiquettes!$H$6</f>
        <v>Blé tendre</v>
      </c>
      <c r="G5" s="26" t="str">
        <f>Etiquettes!$H$5</f>
        <v>2015-16</v>
      </c>
      <c r="H5" t="str">
        <f>Etiquettes!$C$4</f>
        <v>France entière</v>
      </c>
      <c r="I5" s="603" t="s">
        <v>1116</v>
      </c>
      <c r="J5" s="603"/>
      <c r="K5" t="s">
        <v>1559</v>
      </c>
      <c r="L5" s="603" t="str" cm="1">
        <f t="array" aca="1" ref="L5" ca="1">[1]!NOM_FEUILLE('Bilans Blé tendre - FAM'!$A$1)</f>
        <v>Bilans Blé tendre - FAM</v>
      </c>
      <c r="M5" s="26" t="str">
        <f>Etiquettes!$H$11</f>
        <v>Volume</v>
      </c>
      <c r="N5" t="str">
        <f t="shared" si="0"/>
        <v>Stock final à la ferme = 1756 kt (Bilans par campagne - FranceAgriMer)</v>
      </c>
      <c r="O5" s="26" t="str">
        <f>Etiquettes!$K$15</f>
        <v>Approximative</v>
      </c>
      <c r="P5" s="603" t="str">
        <f>Etiquettes!$H$16</f>
        <v>Données collectées</v>
      </c>
      <c r="Q5" s="603" t="str">
        <f>Etiquettes!$H$17</f>
        <v>Donnée collectée (valeur du flux ou coefficient)</v>
      </c>
    </row>
    <row r="6" spans="1:19">
      <c r="A6" t="str">
        <f>'Prétraitement bilans'!A7</f>
        <v>Stock initial</v>
      </c>
      <c r="B6" t="str">
        <f>'Prétraitement bilans'!B7</f>
        <v>OS</v>
      </c>
      <c r="C6" s="458">
        <f>'Prétraitement bilans'!D7</f>
        <v>1873.1551000000002</v>
      </c>
      <c r="E6" t="str">
        <f>Etiquettes!$C$3</f>
        <v>kt</v>
      </c>
      <c r="F6" s="26" t="str">
        <f>Etiquettes!$H$6</f>
        <v>Blé tendre</v>
      </c>
      <c r="G6" s="26" t="str">
        <f>Etiquettes!$H$5</f>
        <v>2015-16</v>
      </c>
      <c r="H6" t="str">
        <f>Etiquettes!$C$4</f>
        <v>France entière</v>
      </c>
      <c r="I6" s="603" t="s">
        <v>1127</v>
      </c>
      <c r="J6" s="603"/>
      <c r="K6" t="s">
        <v>1559</v>
      </c>
      <c r="L6" s="603" t="str" cm="1">
        <f t="array" aca="1" ref="L6" ca="1">[1]!NOM_FEUILLE('Bilans Blé tendre - FAM'!$A$1)</f>
        <v>Bilans Blé tendre - FAM</v>
      </c>
      <c r="M6" s="26" t="str">
        <f>Etiquettes!$H$11</f>
        <v>Volume</v>
      </c>
      <c r="N6" t="str">
        <f t="shared" si="0"/>
        <v>Stock initial collecteurs = 1873 kt (Bilans par campagne - FranceAgriMer)</v>
      </c>
      <c r="O6" s="26" t="str">
        <f>Etiquettes!$I$15</f>
        <v>Robuste</v>
      </c>
      <c r="P6" s="603" t="str">
        <f>Etiquettes!$H$16</f>
        <v>Données collectées</v>
      </c>
      <c r="Q6" s="603" t="str">
        <f>Etiquettes!$H$17</f>
        <v>Donnée collectée (valeur du flux ou coefficient)</v>
      </c>
    </row>
    <row r="7" spans="1:19">
      <c r="A7" t="str">
        <f>'Prétraitement bilans'!A8</f>
        <v>Grains récoltés</v>
      </c>
      <c r="B7" t="str">
        <f>'Prétraitement bilans'!B8</f>
        <v>OS</v>
      </c>
      <c r="C7" s="458">
        <f>'Prétraitement bilans'!D8</f>
        <v>36956.572999999997</v>
      </c>
      <c r="E7" t="str">
        <f>Etiquettes!$C$3</f>
        <v>kt</v>
      </c>
      <c r="F7" s="26" t="str">
        <f>Etiquettes!$H$6</f>
        <v>Blé tendre</v>
      </c>
      <c r="G7" s="26" t="str">
        <f>Etiquettes!$H$5</f>
        <v>2015-16</v>
      </c>
      <c r="H7" t="str">
        <f>Etiquettes!$C$4</f>
        <v>France entière</v>
      </c>
      <c r="I7" s="603" t="s">
        <v>317</v>
      </c>
      <c r="J7" s="603"/>
      <c r="K7" t="s">
        <v>1559</v>
      </c>
      <c r="L7" s="603" t="str" cm="1">
        <f t="array" aca="1" ref="L7" ca="1">[1]!NOM_FEUILLE('Bilans Blé tendre - FAM'!$A$1)</f>
        <v>Bilans Blé tendre - FAM</v>
      </c>
      <c r="M7" s="26" t="str">
        <f>Etiquettes!$H$11</f>
        <v>Volume</v>
      </c>
      <c r="N7" t="str">
        <f t="shared" si="0"/>
        <v>Collecte = 36957 kt (Bilans par campagne - FranceAgriMer)</v>
      </c>
      <c r="O7" s="26" t="str">
        <f>Etiquettes!$I$15</f>
        <v>Robuste</v>
      </c>
      <c r="P7" s="603" t="str">
        <f>Etiquettes!$H$16</f>
        <v>Données collectées</v>
      </c>
      <c r="Q7" s="603" t="str">
        <f>Etiquettes!$H$17</f>
        <v>Donnée collectée (valeur du flux ou coefficient)</v>
      </c>
    </row>
    <row r="8" spans="1:19">
      <c r="A8" t="str">
        <f>'Prétraitement bilans'!A13</f>
        <v>Grains collectés</v>
      </c>
      <c r="B8" t="str">
        <f>'Prétraitement bilans'!B13</f>
        <v>Amidonnerie / Glutennerie</v>
      </c>
      <c r="C8" s="458">
        <f>'Prétraitement bilans'!D13</f>
        <v>2838.7638999999999</v>
      </c>
      <c r="E8" t="str">
        <f>Etiquettes!$C$3</f>
        <v>kt</v>
      </c>
      <c r="F8" s="26" t="str">
        <f>Etiquettes!$H$6</f>
        <v>Blé tendre</v>
      </c>
      <c r="G8" s="26" t="str">
        <f>Etiquettes!$H$5</f>
        <v>2015-16</v>
      </c>
      <c r="H8" t="str">
        <f>Etiquettes!$C$4</f>
        <v>France entière</v>
      </c>
      <c r="I8" s="603" t="s">
        <v>1563</v>
      </c>
      <c r="J8" s="603"/>
      <c r="K8" t="s">
        <v>1559</v>
      </c>
      <c r="L8" s="603" t="str" cm="1">
        <f t="array" aca="1" ref="L8" ca="1">[1]!NOM_FEUILLE('Bilans Blé tendre - FAM'!$A$1)</f>
        <v>Bilans Blé tendre - FAM</v>
      </c>
      <c r="M8" s="26" t="str">
        <f>Etiquettes!$H$11</f>
        <v>Volume</v>
      </c>
      <c r="N8" t="str">
        <f t="shared" si="0"/>
        <v>Consommation de grains par l'Amidonnerie = 2839 kt (Bilans par campagne - FranceAgriMer)</v>
      </c>
      <c r="O8" s="26" t="str">
        <f>Etiquettes!$J$15</f>
        <v>Probable</v>
      </c>
      <c r="P8" s="603" t="str">
        <f>Etiquettes!$H$16</f>
        <v>Données collectées</v>
      </c>
      <c r="Q8" s="603" t="str">
        <f>Etiquettes!$H$17</f>
        <v>Donnée collectée (valeur du flux ou coefficient)</v>
      </c>
    </row>
    <row r="9" spans="1:19">
      <c r="A9" t="str">
        <f>'Prétraitement bilans'!A16</f>
        <v>Grains collectés</v>
      </c>
      <c r="B9" t="str">
        <f>'Prétraitement bilans'!B16</f>
        <v>Distillerie</v>
      </c>
      <c r="C9" s="458">
        <f>'Prétraitement bilans'!D16</f>
        <v>1560</v>
      </c>
      <c r="E9" t="str">
        <f>Etiquettes!$C$3</f>
        <v>kt</v>
      </c>
      <c r="F9" s="26" t="str">
        <f>Etiquettes!$H$6</f>
        <v>Blé tendre</v>
      </c>
      <c r="G9" s="26" t="str">
        <f>Etiquettes!$H$5</f>
        <v>2015-16</v>
      </c>
      <c r="H9" t="str">
        <f>Etiquettes!$C$4</f>
        <v>France entière</v>
      </c>
      <c r="I9" s="603" t="s">
        <v>1564</v>
      </c>
      <c r="J9" s="603"/>
      <c r="K9" t="s">
        <v>1559</v>
      </c>
      <c r="L9" s="603" t="str" cm="1">
        <f t="array" aca="1" ref="L9" ca="1">[1]!NOM_FEUILLE('Bilans Blé tendre - FAM'!$A$1)</f>
        <v>Bilans Blé tendre - FAM</v>
      </c>
      <c r="M9" s="26" t="str">
        <f>Etiquettes!$H$11</f>
        <v>Volume</v>
      </c>
      <c r="N9" t="str">
        <f t="shared" si="0"/>
        <v>Consommation de grains par la Distillerie = 1560 kt (Bilans par campagne - FranceAgriMer)</v>
      </c>
      <c r="O9" s="26" t="str">
        <f>Etiquettes!$J$15</f>
        <v>Probable</v>
      </c>
      <c r="P9" s="603" t="str">
        <f>Etiquettes!$H$16</f>
        <v>Données collectées</v>
      </c>
      <c r="Q9" s="603" t="str">
        <f>Etiquettes!$H$17</f>
        <v>Donnée collectée (valeur du flux ou coefficient)</v>
      </c>
    </row>
    <row r="10" spans="1:19">
      <c r="A10" t="str">
        <f>'Prétraitement bilans'!A17</f>
        <v>Grains collectés</v>
      </c>
      <c r="B10" t="str">
        <f>'Prétraitement bilans'!B17</f>
        <v>Malterie</v>
      </c>
      <c r="C10" s="458"/>
      <c r="E10" t="str">
        <f>Etiquettes!$C$3</f>
        <v>kt</v>
      </c>
      <c r="F10" s="26" t="str">
        <f>Etiquettes!$H$6</f>
        <v>Blé tendre</v>
      </c>
      <c r="G10" s="26" t="str">
        <f>Etiquettes!$H$5</f>
        <v>2015-16</v>
      </c>
      <c r="H10" t="str">
        <f>Etiquettes!$C$4</f>
        <v>France entière</v>
      </c>
      <c r="I10" s="603"/>
      <c r="J10" s="603"/>
      <c r="K10"/>
      <c r="P10" s="603"/>
      <c r="Q10" s="603"/>
      <c r="R10" t="s">
        <v>1812</v>
      </c>
    </row>
    <row r="11" spans="1:19">
      <c r="A11" t="str">
        <f>'Prétraitement bilans'!A18</f>
        <v>Grains collectés</v>
      </c>
      <c r="B11" t="str">
        <f>'Prétraitement bilans'!B18</f>
        <v>Autres IAA</v>
      </c>
      <c r="C11" s="458">
        <f>'Prétraitement bilans'!D18</f>
        <v>0</v>
      </c>
      <c r="E11" t="str">
        <f>Etiquettes!$C$3</f>
        <v>kt</v>
      </c>
      <c r="F11" s="26" t="str">
        <f>Etiquettes!$H$6</f>
        <v>Blé tendre</v>
      </c>
      <c r="G11" s="26" t="str">
        <f>Etiquettes!$H$5</f>
        <v>2015-16</v>
      </c>
      <c r="H11" t="str">
        <f>Etiquettes!$C$4</f>
        <v>France entière</v>
      </c>
      <c r="I11" s="603" t="s">
        <v>1566</v>
      </c>
      <c r="J11" s="603"/>
      <c r="K11" t="s">
        <v>1559</v>
      </c>
      <c r="L11" s="603" t="str" cm="1">
        <f t="array" aca="1" ref="L11" ca="1">[1]!NOM_FEUILLE('Bilans Blé tendre - FAM'!$A$1)</f>
        <v>Bilans Blé tendre - FAM</v>
      </c>
      <c r="M11" s="26" t="str">
        <f>Etiquettes!$H$11</f>
        <v>Volume</v>
      </c>
      <c r="N11" t="str">
        <f t="shared" si="0"/>
        <v>Consommation de grains par les autres IAA = 0 kt (Bilans par campagne - FranceAgriMer)</v>
      </c>
      <c r="O11" s="26" t="str">
        <f>Etiquettes!$J$15</f>
        <v>Probable</v>
      </c>
      <c r="P11" s="603" t="str">
        <f>Etiquettes!$H$16</f>
        <v>Données collectées</v>
      </c>
      <c r="Q11" s="603" t="str">
        <f>Etiquettes!$H$17</f>
        <v>Donnée collectée (valeur du flux ou coefficient)</v>
      </c>
    </row>
    <row r="12" spans="1:19">
      <c r="A12" t="str">
        <f>'Prétraitement bilans'!A19</f>
        <v>Grains collectés</v>
      </c>
      <c r="B12" t="str">
        <f>'Prétraitement bilans'!B19</f>
        <v>Semoulerie</v>
      </c>
      <c r="C12" s="458">
        <f>'Prétraitement bilans'!D19</f>
        <v>0</v>
      </c>
      <c r="E12" t="str">
        <f>Etiquettes!$C$3</f>
        <v>kt</v>
      </c>
      <c r="F12" s="26" t="str">
        <f>Etiquettes!$H$6</f>
        <v>Blé tendre</v>
      </c>
      <c r="G12" s="26" t="str">
        <f>Etiquettes!$H$5</f>
        <v>2015-16</v>
      </c>
      <c r="H12" t="str">
        <f>Etiquettes!$C$4</f>
        <v>France entière</v>
      </c>
      <c r="I12" s="603" t="s">
        <v>1567</v>
      </c>
      <c r="J12" s="603"/>
      <c r="K12" t="s">
        <v>1559</v>
      </c>
      <c r="L12" s="603" t="str" cm="1">
        <f t="array" aca="1" ref="L12" ca="1">[1]!NOM_FEUILLE('Bilans Blé tendre - FAM'!$A$1)</f>
        <v>Bilans Blé tendre - FAM</v>
      </c>
      <c r="M12" s="26" t="str">
        <f>Etiquettes!$H$11</f>
        <v>Volume</v>
      </c>
      <c r="N12" t="str">
        <f t="shared" si="0"/>
        <v>Consommation de grains par la Semoulerie = 0 kt (Bilans par campagne - FranceAgriMer)</v>
      </c>
      <c r="O12" s="26" t="str">
        <f>Etiquettes!$J$15</f>
        <v>Probable</v>
      </c>
      <c r="P12" s="603" t="str">
        <f>Etiquettes!$H$16</f>
        <v>Données collectées</v>
      </c>
      <c r="Q12" s="603" t="str">
        <f>Etiquettes!$H$17</f>
        <v>Donnée collectée (valeur du flux ou coefficient)</v>
      </c>
    </row>
    <row r="13" spans="1:19">
      <c r="A13" t="str">
        <f>'Prétraitement bilans'!A20</f>
        <v>Grains collectés</v>
      </c>
      <c r="B13" t="str">
        <f>'Prétraitement bilans'!B20</f>
        <v>FAB</v>
      </c>
      <c r="C13" s="458">
        <f>'Prétraitement bilans'!D20</f>
        <v>5217.1913370000002</v>
      </c>
      <c r="E13" t="str">
        <f>Etiquettes!$C$3</f>
        <v>kt</v>
      </c>
      <c r="F13" s="26" t="str">
        <f>Etiquettes!$H$6</f>
        <v>Blé tendre</v>
      </c>
      <c r="G13" s="26" t="str">
        <f>Etiquettes!$H$5</f>
        <v>2015-16</v>
      </c>
      <c r="H13" t="str">
        <f>Etiquettes!$C$4</f>
        <v>France entière</v>
      </c>
      <c r="I13" s="603" t="s">
        <v>1568</v>
      </c>
      <c r="J13" s="603"/>
      <c r="K13" t="s">
        <v>1559</v>
      </c>
      <c r="L13" s="603" t="str" cm="1">
        <f t="array" aca="1" ref="L13" ca="1">[1]!NOM_FEUILLE('Bilans Blé tendre - FAM'!$A$1)</f>
        <v>Bilans Blé tendre - FAM</v>
      </c>
      <c r="M13" s="26" t="str">
        <f>Etiquettes!$H$11</f>
        <v>Volume</v>
      </c>
      <c r="N13" t="str">
        <f t="shared" si="0"/>
        <v>Consommation de grains par les FAB = 5217 kt (Bilans par campagne - FranceAgriMer)</v>
      </c>
      <c r="O13" s="26" t="str">
        <f>Etiquettes!$J$15</f>
        <v>Probable</v>
      </c>
      <c r="P13" s="603" t="str">
        <f>Etiquettes!$H$16</f>
        <v>Données collectées</v>
      </c>
      <c r="Q13" s="603" t="str">
        <f>Etiquettes!$H$17</f>
        <v>Donnée collectée (valeur du flux ou coefficient)</v>
      </c>
    </row>
    <row r="14" spans="1:19">
      <c r="A14" t="str">
        <f>'Prétraitement bilans'!A21</f>
        <v>Grains collectés</v>
      </c>
      <c r="B14" t="str">
        <f>'Prétraitement bilans'!B21</f>
        <v>Semences certifiées</v>
      </c>
      <c r="C14" s="458">
        <f>'Prétraitement bilans'!D21</f>
        <v>368.01890000000003</v>
      </c>
      <c r="E14" t="str">
        <f>Etiquettes!$C$3</f>
        <v>kt</v>
      </c>
      <c r="F14" s="26" t="str">
        <f>Etiquettes!$H$6</f>
        <v>Blé tendre</v>
      </c>
      <c r="G14" s="26" t="str">
        <f>Etiquettes!$H$5</f>
        <v>2015-16</v>
      </c>
      <c r="H14" t="str">
        <f>Etiquettes!$C$4</f>
        <v>France entière</v>
      </c>
      <c r="I14" s="603" t="s">
        <v>1561</v>
      </c>
      <c r="J14" s="603"/>
      <c r="K14" t="s">
        <v>1559</v>
      </c>
      <c r="L14" s="603" t="str" cm="1">
        <f t="array" aca="1" ref="L14" ca="1">[1]!NOM_FEUILLE('Bilans Blé tendre - FAM'!$A$1)</f>
        <v>Bilans Blé tendre - FAM</v>
      </c>
      <c r="M14" s="26" t="str">
        <f>Etiquettes!$H$11</f>
        <v>Volume</v>
      </c>
      <c r="N14" t="str">
        <f t="shared" si="0"/>
        <v>Production de semences certifiées = 368 kt (Bilans par campagne - FranceAgriMer)</v>
      </c>
      <c r="O14" s="26" t="str">
        <f>Etiquettes!$J$15</f>
        <v>Probable</v>
      </c>
      <c r="P14" s="603" t="str">
        <f>Etiquettes!$H$16</f>
        <v>Données collectées</v>
      </c>
      <c r="Q14" s="603" t="str">
        <f>Etiquettes!$H$17</f>
        <v>Donnée collectée (valeur du flux ou coefficient)</v>
      </c>
    </row>
    <row r="15" spans="1:19">
      <c r="A15" t="str">
        <f>'Prétraitement bilans'!A25</f>
        <v>OS</v>
      </c>
      <c r="B15" t="str">
        <f>'Prétraitement bilans'!B25</f>
        <v>Stock final</v>
      </c>
      <c r="C15" s="458">
        <f>'Prétraitement bilans'!D25</f>
        <v>2380.0365999999999</v>
      </c>
      <c r="E15" t="str">
        <f>Etiquettes!$C$3</f>
        <v>kt</v>
      </c>
      <c r="F15" s="26" t="str">
        <f>Etiquettes!$H$6</f>
        <v>Blé tendre</v>
      </c>
      <c r="G15" s="26" t="str">
        <f>Etiquettes!$H$5</f>
        <v>2015-16</v>
      </c>
      <c r="H15" t="str">
        <f>Etiquettes!$C$4</f>
        <v>France entière</v>
      </c>
      <c r="I15" s="603" t="s">
        <v>1128</v>
      </c>
      <c r="J15" s="603"/>
      <c r="K15" t="s">
        <v>1559</v>
      </c>
      <c r="L15" s="603" t="str" cm="1">
        <f t="array" aca="1" ref="L15" ca="1">[1]!NOM_FEUILLE('Bilans Blé tendre - FAM'!$A$1)</f>
        <v>Bilans Blé tendre - FAM</v>
      </c>
      <c r="M15" s="26" t="str">
        <f>Etiquettes!$H$11</f>
        <v>Volume</v>
      </c>
      <c r="N15" t="str">
        <f t="shared" si="0"/>
        <v>Stock final collecteurs = 2380 kt (Bilans par campagne - FranceAgriMer)</v>
      </c>
      <c r="O15" s="26" t="str">
        <f>Etiquettes!$I$15</f>
        <v>Robuste</v>
      </c>
      <c r="P15" s="603" t="str">
        <f>Etiquettes!$H$16</f>
        <v>Données collectées</v>
      </c>
      <c r="Q15" s="603" t="str">
        <f>Etiquettes!$H$17</f>
        <v>Donnée collectée (valeur du flux ou coefficient)</v>
      </c>
    </row>
    <row r="16" spans="1:19">
      <c r="A16" t="str">
        <f>'Prétraitement bilans'!A3</f>
        <v>Récolte</v>
      </c>
      <c r="B16" t="str">
        <f>'Prétraitement bilans'!B3</f>
        <v>Grains récoltés</v>
      </c>
      <c r="C16" s="458">
        <f>'Prétraitement bilans'!E3</f>
        <v>13059.037244313087</v>
      </c>
      <c r="E16" t="str">
        <f>Etiquettes!$C$3</f>
        <v>kt</v>
      </c>
      <c r="F16" s="26" t="str">
        <f>Etiquettes!$I$6</f>
        <v>Maïs</v>
      </c>
      <c r="G16" s="26" t="str">
        <f>Etiquettes!$H$5</f>
        <v>2015-16</v>
      </c>
      <c r="H16" t="str">
        <f>Etiquettes!$C$4</f>
        <v>France entière</v>
      </c>
      <c r="I16" s="603" t="s">
        <v>1106</v>
      </c>
      <c r="J16" s="603"/>
      <c r="K16" t="s">
        <v>1559</v>
      </c>
      <c r="L16" s="603" t="str" cm="1">
        <f t="array" aca="1" ref="L16" ca="1">[1]!NOM_FEUILLE('Bilans Maïs - FAM'!$A$1)</f>
        <v>Bilans Maïs - FAM</v>
      </c>
      <c r="M16" s="26" t="str">
        <f>Etiquettes!$H$11</f>
        <v>Volume</v>
      </c>
      <c r="N16" t="str">
        <f t="shared" si="0"/>
        <v>Récolte = 13059 kt (Bilans par campagne - FranceAgriMer)</v>
      </c>
      <c r="O16" s="26" t="str">
        <f>Etiquettes!$H$15</f>
        <v>Fiable</v>
      </c>
      <c r="P16" s="603" t="str">
        <f>Etiquettes!$H$16</f>
        <v>Données collectées</v>
      </c>
      <c r="Q16" s="603" t="str">
        <f>Etiquettes!$H$17</f>
        <v>Donnée collectée (valeur du flux ou coefficient)</v>
      </c>
    </row>
    <row r="17" spans="1:19">
      <c r="A17" t="str">
        <f>'Prétraitement bilans'!A4</f>
        <v>Stock initial</v>
      </c>
      <c r="B17" t="str">
        <f>'Prétraitement bilans'!B4</f>
        <v>Ferme</v>
      </c>
      <c r="C17" s="458">
        <f>'Prétraitement bilans'!E4</f>
        <v>0</v>
      </c>
      <c r="E17" t="str">
        <f>Etiquettes!$C$3</f>
        <v>kt</v>
      </c>
      <c r="F17" s="26" t="str">
        <f>Etiquettes!$I$6</f>
        <v>Maïs</v>
      </c>
      <c r="G17" s="26" t="str">
        <f>Etiquettes!$H$5</f>
        <v>2015-16</v>
      </c>
      <c r="H17" t="str">
        <f>Etiquettes!$C$4</f>
        <v>France entière</v>
      </c>
      <c r="I17" s="603" t="s">
        <v>1115</v>
      </c>
      <c r="J17" s="603"/>
      <c r="K17" t="s">
        <v>1559</v>
      </c>
      <c r="L17" s="603" t="str" cm="1">
        <f t="array" aca="1" ref="L17" ca="1">[1]!NOM_FEUILLE('Bilans Maïs - FAM'!$A$1)</f>
        <v>Bilans Maïs - FAM</v>
      </c>
      <c r="M17" s="26" t="str">
        <f>Etiquettes!$H$11</f>
        <v>Volume</v>
      </c>
      <c r="N17" t="str">
        <f t="shared" si="0"/>
        <v>Stock initial à la ferme = 0 kt (Bilans par campagne - FranceAgriMer)</v>
      </c>
      <c r="O17" s="26" t="str">
        <f>Etiquettes!$K$15</f>
        <v>Approximative</v>
      </c>
      <c r="P17" s="603" t="str">
        <f>Etiquettes!$H$16</f>
        <v>Données collectées</v>
      </c>
      <c r="Q17" s="603" t="str">
        <f>Etiquettes!$H$17</f>
        <v>Donnée collectée (valeur du flux ou coefficient)</v>
      </c>
    </row>
    <row r="18" spans="1:19">
      <c r="A18" t="str">
        <f>'Prétraitement bilans'!A5</f>
        <v>Ferme</v>
      </c>
      <c r="B18" t="str">
        <f>'Prétraitement bilans'!B5</f>
        <v>Grains autoconsommés</v>
      </c>
      <c r="C18" s="458">
        <f>'Prétraitement bilans'!E5</f>
        <v>979.68746131308944</v>
      </c>
      <c r="E18" t="str">
        <f>Etiquettes!$C$3</f>
        <v>kt</v>
      </c>
      <c r="F18" s="26" t="str">
        <f>Etiquettes!$I$6</f>
        <v>Maïs</v>
      </c>
      <c r="G18" s="26" t="str">
        <f>Etiquettes!$H$5</f>
        <v>2015-16</v>
      </c>
      <c r="H18" t="str">
        <f>Etiquettes!$C$4</f>
        <v>France entière</v>
      </c>
      <c r="I18" s="603" t="s">
        <v>1560</v>
      </c>
      <c r="J18" s="603"/>
      <c r="K18" t="s">
        <v>1559</v>
      </c>
      <c r="L18" s="603" t="str" cm="1">
        <f t="array" aca="1" ref="L18" ca="1">[1]!NOM_FEUILLE('Bilans Maïs - FAM'!$A$1)</f>
        <v>Bilans Maïs - FAM</v>
      </c>
      <c r="M18" s="26" t="str">
        <f>Etiquettes!$H$11</f>
        <v>Volume</v>
      </c>
      <c r="N18" t="str">
        <f t="shared" si="0"/>
        <v>Autoconsommation à la ferme = 980 kt (Bilans par campagne - FranceAgriMer)</v>
      </c>
      <c r="O18" s="26" t="str">
        <f>Etiquettes!$K$15</f>
        <v>Approximative</v>
      </c>
      <c r="P18" s="603" t="str">
        <f>Etiquettes!$H$16</f>
        <v>Données collectées</v>
      </c>
      <c r="Q18" s="603" t="str">
        <f>Etiquettes!$H$17</f>
        <v>Donnée collectée (valeur du flux ou coefficient)</v>
      </c>
    </row>
    <row r="19" spans="1:19">
      <c r="A19" t="str">
        <f>'Prétraitement bilans'!A6</f>
        <v>Ferme</v>
      </c>
      <c r="B19" t="str">
        <f>'Prétraitement bilans'!B6</f>
        <v>Stock final</v>
      </c>
      <c r="C19" s="458">
        <f>'Prétraitement bilans'!E6</f>
        <v>0</v>
      </c>
      <c r="E19" t="str">
        <f>Etiquettes!$C$3</f>
        <v>kt</v>
      </c>
      <c r="F19" s="26" t="str">
        <f>Etiquettes!$I$6</f>
        <v>Maïs</v>
      </c>
      <c r="G19" s="26" t="str">
        <f>Etiquettes!$H$5</f>
        <v>2015-16</v>
      </c>
      <c r="H19" t="str">
        <f>Etiquettes!$C$4</f>
        <v>France entière</v>
      </c>
      <c r="I19" s="603" t="s">
        <v>1116</v>
      </c>
      <c r="J19" s="603"/>
      <c r="K19" t="s">
        <v>1559</v>
      </c>
      <c r="L19" s="603" t="str" cm="1">
        <f t="array" aca="1" ref="L19" ca="1">[1]!NOM_FEUILLE('Bilans Maïs - FAM'!$A$1)</f>
        <v>Bilans Maïs - FAM</v>
      </c>
      <c r="M19" s="26" t="str">
        <f>Etiquettes!$H$11</f>
        <v>Volume</v>
      </c>
      <c r="N19" t="str">
        <f t="shared" si="0"/>
        <v>Stock final à la ferme = 0 kt (Bilans par campagne - FranceAgriMer)</v>
      </c>
      <c r="O19" s="26" t="str">
        <f>Etiquettes!$K$15</f>
        <v>Approximative</v>
      </c>
      <c r="P19" s="603" t="str">
        <f>Etiquettes!$H$16</f>
        <v>Données collectées</v>
      </c>
      <c r="Q19" s="603" t="str">
        <f>Etiquettes!$H$17</f>
        <v>Donnée collectée (valeur du flux ou coefficient)</v>
      </c>
    </row>
    <row r="20" spans="1:19">
      <c r="A20" t="str">
        <f>'Prétraitement bilans'!A7</f>
        <v>Stock initial</v>
      </c>
      <c r="B20" t="str">
        <f>'Prétraitement bilans'!B7</f>
        <v>OS</v>
      </c>
      <c r="C20" s="458">
        <f>'Prétraitement bilans'!E7</f>
        <v>2764.1047999999996</v>
      </c>
      <c r="E20" t="str">
        <f>Etiquettes!$C$3</f>
        <v>kt</v>
      </c>
      <c r="F20" s="26" t="str">
        <f>Etiquettes!$I$6</f>
        <v>Maïs</v>
      </c>
      <c r="G20" s="26" t="str">
        <f>Etiquettes!$H$5</f>
        <v>2015-16</v>
      </c>
      <c r="H20" t="str">
        <f>Etiquettes!$C$4</f>
        <v>France entière</v>
      </c>
      <c r="I20" s="603" t="s">
        <v>1127</v>
      </c>
      <c r="J20" s="603"/>
      <c r="K20" t="s">
        <v>1559</v>
      </c>
      <c r="L20" s="603" t="str" cm="1">
        <f t="array" aca="1" ref="L20" ca="1">[1]!NOM_FEUILLE('Bilans Maïs - FAM'!$A$1)</f>
        <v>Bilans Maïs - FAM</v>
      </c>
      <c r="M20" s="26" t="str">
        <f>Etiquettes!$H$11</f>
        <v>Volume</v>
      </c>
      <c r="N20" t="str">
        <f t="shared" si="0"/>
        <v>Stock initial collecteurs = 2764 kt (Bilans par campagne - FranceAgriMer)</v>
      </c>
      <c r="O20" s="26" t="str">
        <f>Etiquettes!$I$15</f>
        <v>Robuste</v>
      </c>
      <c r="P20" s="603" t="str">
        <f>Etiquettes!$H$16</f>
        <v>Données collectées</v>
      </c>
      <c r="Q20" s="603" t="str">
        <f>Etiquettes!$H$17</f>
        <v>Donnée collectée (valeur du flux ou coefficient)</v>
      </c>
    </row>
    <row r="21" spans="1:19">
      <c r="A21" t="str">
        <f>'Prétraitement bilans'!A8</f>
        <v>Grains récoltés</v>
      </c>
      <c r="B21" t="str">
        <f>'Prétraitement bilans'!B8</f>
        <v>OS</v>
      </c>
      <c r="C21" s="458">
        <f>'Prétraitement bilans'!E8</f>
        <v>12079.349782999998</v>
      </c>
      <c r="E21" t="str">
        <f>Etiquettes!$C$3</f>
        <v>kt</v>
      </c>
      <c r="F21" s="26" t="str">
        <f>Etiquettes!$I$6</f>
        <v>Maïs</v>
      </c>
      <c r="G21" s="26" t="str">
        <f>Etiquettes!$H$5</f>
        <v>2015-16</v>
      </c>
      <c r="H21" t="str">
        <f>Etiquettes!$C$4</f>
        <v>France entière</v>
      </c>
      <c r="I21" s="603" t="s">
        <v>317</v>
      </c>
      <c r="J21" s="603"/>
      <c r="K21" t="s">
        <v>1559</v>
      </c>
      <c r="L21" s="603" t="str" cm="1">
        <f t="array" aca="1" ref="L21" ca="1">[1]!NOM_FEUILLE('Bilans Maïs - FAM'!$A$1)</f>
        <v>Bilans Maïs - FAM</v>
      </c>
      <c r="M21" s="26" t="str">
        <f>Etiquettes!$H$11</f>
        <v>Volume</v>
      </c>
      <c r="N21" t="str">
        <f t="shared" si="0"/>
        <v>Collecte = 12079 kt (Bilans par campagne - FranceAgriMer)</v>
      </c>
      <c r="O21" s="26" t="str">
        <f>Etiquettes!$I$15</f>
        <v>Robuste</v>
      </c>
      <c r="P21" s="603" t="str">
        <f>Etiquettes!$H$16</f>
        <v>Données collectées</v>
      </c>
      <c r="Q21" s="603" t="str">
        <f>Etiquettes!$H$17</f>
        <v>Donnée collectée (valeur du flux ou coefficient)</v>
      </c>
    </row>
    <row r="22" spans="1:19">
      <c r="A22" t="str">
        <f>'Prétraitement bilans'!A13</f>
        <v>Grains collectés</v>
      </c>
      <c r="B22" t="str">
        <f>'Prétraitement bilans'!B13</f>
        <v>Amidonnerie / Glutennerie</v>
      </c>
      <c r="C22" s="458">
        <f>'Prétraitement bilans'!E13</f>
        <v>2258.7256939999997</v>
      </c>
      <c r="E22" t="str">
        <f>Etiquettes!$C$3</f>
        <v>kt</v>
      </c>
      <c r="F22" s="26" t="str">
        <f>Etiquettes!$I$6</f>
        <v>Maïs</v>
      </c>
      <c r="G22" s="26" t="str">
        <f>Etiquettes!$H$5</f>
        <v>2015-16</v>
      </c>
      <c r="H22" t="str">
        <f>Etiquettes!$C$4</f>
        <v>France entière</v>
      </c>
      <c r="I22" s="603" t="s">
        <v>1563</v>
      </c>
      <c r="J22" s="603"/>
      <c r="K22" t="s">
        <v>1559</v>
      </c>
      <c r="L22" s="603" t="str" cm="1">
        <f t="array" aca="1" ref="L22" ca="1">[1]!NOM_FEUILLE('Bilans Maïs - FAM'!$A$1)</f>
        <v>Bilans Maïs - FAM</v>
      </c>
      <c r="M22" s="26" t="str">
        <f>Etiquettes!$H$11</f>
        <v>Volume</v>
      </c>
      <c r="N22" t="str">
        <f t="shared" si="0"/>
        <v>Consommation de grains par l'Amidonnerie = 2259 kt (Bilans par campagne - FranceAgriMer)</v>
      </c>
      <c r="O22" s="26" t="str">
        <f>Etiquettes!$J$15</f>
        <v>Probable</v>
      </c>
      <c r="P22" s="603" t="str">
        <f>Etiquettes!$H$16</f>
        <v>Données collectées</v>
      </c>
      <c r="Q22" s="603" t="str">
        <f>Etiquettes!$H$17</f>
        <v>Donnée collectée (valeur du flux ou coefficient)</v>
      </c>
    </row>
    <row r="23" spans="1:19">
      <c r="A23" t="str">
        <f>'Prétraitement bilans'!A16</f>
        <v>Grains collectés</v>
      </c>
      <c r="B23" t="str">
        <f>'Prétraitement bilans'!B16</f>
        <v>Distillerie</v>
      </c>
      <c r="C23" s="458">
        <f>'Prétraitement bilans'!E16</f>
        <v>474</v>
      </c>
      <c r="E23" t="str">
        <f>Etiquettes!$C$3</f>
        <v>kt</v>
      </c>
      <c r="F23" s="26" t="str">
        <f>Etiquettes!$I$6</f>
        <v>Maïs</v>
      </c>
      <c r="G23" s="26" t="str">
        <f>Etiquettes!$H$5</f>
        <v>2015-16</v>
      </c>
      <c r="H23" t="str">
        <f>Etiquettes!$C$4</f>
        <v>France entière</v>
      </c>
      <c r="I23" s="603" t="s">
        <v>1564</v>
      </c>
      <c r="J23" s="603"/>
      <c r="K23" t="s">
        <v>1559</v>
      </c>
      <c r="L23" s="603" t="str" cm="1">
        <f t="array" aca="1" ref="L23" ca="1">[1]!NOM_FEUILLE('Bilans Maïs - FAM'!$A$1)</f>
        <v>Bilans Maïs - FAM</v>
      </c>
      <c r="M23" s="26" t="str">
        <f>Etiquettes!$H$11</f>
        <v>Volume</v>
      </c>
      <c r="N23" t="str">
        <f t="shared" si="0"/>
        <v>Consommation de grains par la Distillerie = 474 kt (Bilans par campagne - FranceAgriMer)</v>
      </c>
      <c r="O23" s="26" t="str">
        <f>Etiquettes!$J$15</f>
        <v>Probable</v>
      </c>
      <c r="P23" s="603" t="str">
        <f>Etiquettes!$H$16</f>
        <v>Données collectées</v>
      </c>
      <c r="Q23" s="603" t="str">
        <f>Etiquettes!$H$17</f>
        <v>Donnée collectée (valeur du flux ou coefficient)</v>
      </c>
    </row>
    <row r="24" spans="1:19">
      <c r="A24" t="str">
        <f>'Prétraitement bilans'!A17</f>
        <v>Grains collectés</v>
      </c>
      <c r="B24" t="str">
        <f>'Prétraitement bilans'!B17</f>
        <v>Malterie</v>
      </c>
      <c r="C24" s="458">
        <f>'Prétraitement bilans'!E17</f>
        <v>0</v>
      </c>
      <c r="E24" t="str">
        <f>Etiquettes!$C$3</f>
        <v>kt</v>
      </c>
      <c r="F24" s="26" t="str">
        <f>Etiquettes!$I$6</f>
        <v>Maïs</v>
      </c>
      <c r="G24" s="26" t="str">
        <f>Etiquettes!$H$5</f>
        <v>2015-16</v>
      </c>
      <c r="H24" t="str">
        <f>Etiquettes!$C$4</f>
        <v>France entière</v>
      </c>
      <c r="I24" s="603" t="s">
        <v>1565</v>
      </c>
      <c r="J24" s="603"/>
      <c r="K24" t="s">
        <v>1559</v>
      </c>
      <c r="L24" s="603" t="str" cm="1">
        <f t="array" aca="1" ref="L24" ca="1">[1]!NOM_FEUILLE('Bilans Maïs - FAM'!$A$1)</f>
        <v>Bilans Maïs - FAM</v>
      </c>
      <c r="M24" s="26" t="str">
        <f>Etiquettes!$H$11</f>
        <v>Volume</v>
      </c>
      <c r="N24" t="str">
        <f t="shared" si="0"/>
        <v>Consommation de grains par la Malterie = 0 kt (Bilans par campagne - FranceAgriMer)</v>
      </c>
      <c r="O24" s="26" t="str">
        <f>Etiquettes!$J$15</f>
        <v>Probable</v>
      </c>
      <c r="P24" s="603" t="str">
        <f>Etiquettes!$H$16</f>
        <v>Données collectées</v>
      </c>
      <c r="Q24" s="603" t="str">
        <f>Etiquettes!$H$17</f>
        <v>Donnée collectée (valeur du flux ou coefficient)</v>
      </c>
    </row>
    <row r="25" spans="1:19" s="26" customFormat="1">
      <c r="A25" t="str">
        <f>'Prétraitement bilans'!A18</f>
        <v>Grains collectés</v>
      </c>
      <c r="B25" t="str">
        <f>'Prétraitement bilans'!B18</f>
        <v>Autres IAA</v>
      </c>
      <c r="C25" s="458">
        <f>'Prétraitement bilans'!E18</f>
        <v>0</v>
      </c>
      <c r="D25" s="10"/>
      <c r="E25" t="str">
        <f>Etiquettes!$C$3</f>
        <v>kt</v>
      </c>
      <c r="F25" s="26" t="str">
        <f>Etiquettes!$I$6</f>
        <v>Maïs</v>
      </c>
      <c r="G25" s="26" t="str">
        <f>Etiquettes!$H$5</f>
        <v>2015-16</v>
      </c>
      <c r="H25" t="str">
        <f>Etiquettes!$C$4</f>
        <v>France entière</v>
      </c>
      <c r="I25" s="603" t="s">
        <v>1566</v>
      </c>
      <c r="J25" s="603"/>
      <c r="K25" t="s">
        <v>1559</v>
      </c>
      <c r="L25" s="603" t="str" cm="1">
        <f t="array" aca="1" ref="L25" ca="1">[1]!NOM_FEUILLE('Bilans Maïs - FAM'!$A$1)</f>
        <v>Bilans Maïs - FAM</v>
      </c>
      <c r="M25" s="26" t="str">
        <f>Etiquettes!$H$11</f>
        <v>Volume</v>
      </c>
      <c r="N25" t="str">
        <f t="shared" si="0"/>
        <v>Consommation de grains par les autres IAA = 0 kt (Bilans par campagne - FranceAgriMer)</v>
      </c>
      <c r="O25" s="26" t="str">
        <f>Etiquettes!$J$15</f>
        <v>Probable</v>
      </c>
      <c r="P25" s="603" t="str">
        <f>Etiquettes!$H$16</f>
        <v>Données collectées</v>
      </c>
      <c r="Q25" s="603" t="str">
        <f>Etiquettes!$H$17</f>
        <v>Donnée collectée (valeur du flux ou coefficient)</v>
      </c>
      <c r="R25"/>
      <c r="S25"/>
    </row>
    <row r="26" spans="1:19" s="26" customFormat="1">
      <c r="A26" t="str">
        <f>'Prétraitement bilans'!A19</f>
        <v>Grains collectés</v>
      </c>
      <c r="B26" t="str">
        <f>'Prétraitement bilans'!B19</f>
        <v>Semoulerie</v>
      </c>
      <c r="C26" s="458">
        <f>'Prétraitement bilans'!E19</f>
        <v>419.44186999999999</v>
      </c>
      <c r="D26" s="10"/>
      <c r="E26" t="str">
        <f>Etiquettes!$C$3</f>
        <v>kt</v>
      </c>
      <c r="F26" s="26" t="str">
        <f>Etiquettes!$I$6</f>
        <v>Maïs</v>
      </c>
      <c r="G26" s="26" t="str">
        <f>Etiquettes!$H$5</f>
        <v>2015-16</v>
      </c>
      <c r="H26" t="str">
        <f>Etiquettes!$C$4</f>
        <v>France entière</v>
      </c>
      <c r="I26" s="603" t="s">
        <v>1567</v>
      </c>
      <c r="J26" s="603"/>
      <c r="K26" t="s">
        <v>1559</v>
      </c>
      <c r="L26" s="603" t="str" cm="1">
        <f t="array" aca="1" ref="L26" ca="1">[1]!NOM_FEUILLE('Bilans Maïs - FAM'!$A$1)</f>
        <v>Bilans Maïs - FAM</v>
      </c>
      <c r="M26" s="26" t="str">
        <f>Etiquettes!$H$11</f>
        <v>Volume</v>
      </c>
      <c r="N26" t="str">
        <f t="shared" si="0"/>
        <v>Consommation de grains par la Semoulerie = 419 kt (Bilans par campagne - FranceAgriMer)</v>
      </c>
      <c r="O26" s="26" t="str">
        <f>Etiquettes!$J$15</f>
        <v>Probable</v>
      </c>
      <c r="P26" s="603" t="str">
        <f>Etiquettes!$H$16</f>
        <v>Données collectées</v>
      </c>
      <c r="Q26" s="603" t="str">
        <f>Etiquettes!$H$17</f>
        <v>Donnée collectée (valeur du flux ou coefficient)</v>
      </c>
      <c r="R26"/>
      <c r="S26"/>
    </row>
    <row r="27" spans="1:19" s="26" customFormat="1">
      <c r="A27" t="str">
        <f>'Prétraitement bilans'!A20</f>
        <v>Grains collectés</v>
      </c>
      <c r="B27" t="str">
        <f>'Prétraitement bilans'!B20</f>
        <v>FAB</v>
      </c>
      <c r="C27" s="458">
        <f>'Prétraitement bilans'!E20</f>
        <v>2773.6967479999998</v>
      </c>
      <c r="D27" s="10"/>
      <c r="E27" t="str">
        <f>Etiquettes!$C$3</f>
        <v>kt</v>
      </c>
      <c r="F27" s="26" t="str">
        <f>Etiquettes!$I$6</f>
        <v>Maïs</v>
      </c>
      <c r="G27" s="26" t="str">
        <f>Etiquettes!$H$5</f>
        <v>2015-16</v>
      </c>
      <c r="H27" t="str">
        <f>Etiquettes!$C$4</f>
        <v>France entière</v>
      </c>
      <c r="I27" s="603" t="s">
        <v>1568</v>
      </c>
      <c r="J27" s="603"/>
      <c r="K27" t="s">
        <v>1559</v>
      </c>
      <c r="L27" s="603" t="str" cm="1">
        <f t="array" aca="1" ref="L27" ca="1">[1]!NOM_FEUILLE('Bilans Maïs - FAM'!$A$1)</f>
        <v>Bilans Maïs - FAM</v>
      </c>
      <c r="M27" s="26" t="str">
        <f>Etiquettes!$H$11</f>
        <v>Volume</v>
      </c>
      <c r="N27" t="str">
        <f t="shared" si="0"/>
        <v>Consommation de grains par les FAB = 2774 kt (Bilans par campagne - FranceAgriMer)</v>
      </c>
      <c r="O27" s="26" t="str">
        <f>Etiquettes!$J$15</f>
        <v>Probable</v>
      </c>
      <c r="P27" s="603" t="str">
        <f>Etiquettes!$H$16</f>
        <v>Données collectées</v>
      </c>
      <c r="Q27" s="603" t="str">
        <f>Etiquettes!$H$17</f>
        <v>Donnée collectée (valeur du flux ou coefficient)</v>
      </c>
      <c r="R27"/>
      <c r="S27"/>
    </row>
    <row r="28" spans="1:19" s="26" customFormat="1">
      <c r="A28" t="str">
        <f>'Prétraitement bilans'!A21</f>
        <v>Grains collectés</v>
      </c>
      <c r="B28" t="str">
        <f>'Prétraitement bilans'!B21</f>
        <v>Semences certifiées</v>
      </c>
      <c r="C28" s="458">
        <f>'Prétraitement bilans'!E21</f>
        <v>116.26766092294395</v>
      </c>
      <c r="D28" s="10"/>
      <c r="E28" t="str">
        <f>Etiquettes!$C$3</f>
        <v>kt</v>
      </c>
      <c r="F28" s="26" t="str">
        <f>Etiquettes!$I$6</f>
        <v>Maïs</v>
      </c>
      <c r="G28" s="26" t="str">
        <f>Etiquettes!$H$5</f>
        <v>2015-16</v>
      </c>
      <c r="H28" t="str">
        <f>Etiquettes!$C$4</f>
        <v>France entière</v>
      </c>
      <c r="I28" s="603" t="s">
        <v>1561</v>
      </c>
      <c r="J28" s="603"/>
      <c r="K28" t="s">
        <v>1559</v>
      </c>
      <c r="L28" s="603" t="str" cm="1">
        <f t="array" aca="1" ref="L28" ca="1">[1]!NOM_FEUILLE('Bilans Maïs - FAM'!$A$1)</f>
        <v>Bilans Maïs - FAM</v>
      </c>
      <c r="M28" s="26" t="str">
        <f>Etiquettes!$H$11</f>
        <v>Volume</v>
      </c>
      <c r="N28" t="str">
        <f t="shared" si="0"/>
        <v>Production de semences certifiées = 116 kt (Bilans par campagne - FranceAgriMer)</v>
      </c>
      <c r="O28" s="26" t="str">
        <f>Etiquettes!$J$15</f>
        <v>Probable</v>
      </c>
      <c r="P28" s="603" t="str">
        <f>Etiquettes!$H$16</f>
        <v>Données collectées</v>
      </c>
      <c r="Q28" s="603" t="str">
        <f>Etiquettes!$H$17</f>
        <v>Donnée collectée (valeur du flux ou coefficient)</v>
      </c>
      <c r="R28"/>
      <c r="S28"/>
    </row>
    <row r="29" spans="1:19" s="26" customFormat="1">
      <c r="A29" t="str">
        <f>'Prétraitement bilans'!A25</f>
        <v>OS</v>
      </c>
      <c r="B29" t="str">
        <f>'Prétraitement bilans'!B25</f>
        <v>Stock final</v>
      </c>
      <c r="C29" s="458">
        <f>'Prétraitement bilans'!E25</f>
        <v>2264.7997999999998</v>
      </c>
      <c r="D29" s="10"/>
      <c r="E29" t="str">
        <f>Etiquettes!$C$3</f>
        <v>kt</v>
      </c>
      <c r="F29" s="26" t="str">
        <f>Etiquettes!$I$6</f>
        <v>Maïs</v>
      </c>
      <c r="G29" s="26" t="str">
        <f>Etiquettes!$H$5</f>
        <v>2015-16</v>
      </c>
      <c r="H29" t="str">
        <f>Etiquettes!$C$4</f>
        <v>France entière</v>
      </c>
      <c r="I29" s="603" t="s">
        <v>1128</v>
      </c>
      <c r="J29" s="603"/>
      <c r="K29" t="s">
        <v>1559</v>
      </c>
      <c r="L29" s="603" t="str" cm="1">
        <f t="array" aca="1" ref="L29" ca="1">[1]!NOM_FEUILLE('Bilans Maïs - FAM'!$A$1)</f>
        <v>Bilans Maïs - FAM</v>
      </c>
      <c r="M29" s="26" t="str">
        <f>Etiquettes!$H$11</f>
        <v>Volume</v>
      </c>
      <c r="N29" t="str">
        <f t="shared" si="0"/>
        <v>Stock final collecteurs = 2265 kt (Bilans par campagne - FranceAgriMer)</v>
      </c>
      <c r="O29" s="26" t="str">
        <f>Etiquettes!$I$15</f>
        <v>Robuste</v>
      </c>
      <c r="P29" s="603" t="str">
        <f>Etiquettes!$H$16</f>
        <v>Données collectées</v>
      </c>
      <c r="Q29" s="603" t="str">
        <f>Etiquettes!$H$17</f>
        <v>Donnée collectée (valeur du flux ou coefficient)</v>
      </c>
      <c r="R29"/>
      <c r="S29"/>
    </row>
    <row r="30" spans="1:19">
      <c r="A30" t="str">
        <f>'Prétraitement bilans'!A3</f>
        <v>Récolte</v>
      </c>
      <c r="B30" t="str">
        <f>'Prétraitement bilans'!B3</f>
        <v>Grains récoltés</v>
      </c>
      <c r="C30" s="458">
        <f>'Prétraitement bilans'!F3</f>
        <v>13098.233899999999</v>
      </c>
      <c r="E30" t="str">
        <f>Etiquettes!$C$3</f>
        <v>kt</v>
      </c>
      <c r="F30" s="26" t="str">
        <f>Etiquettes!$J$6</f>
        <v>Orge</v>
      </c>
      <c r="G30" s="26" t="str">
        <f>Etiquettes!$H$5</f>
        <v>2015-16</v>
      </c>
      <c r="H30" t="str">
        <f>Etiquettes!$C$4</f>
        <v>France entière</v>
      </c>
      <c r="I30" s="603" t="s">
        <v>1106</v>
      </c>
      <c r="J30" s="603"/>
      <c r="K30" t="s">
        <v>1559</v>
      </c>
      <c r="L30" s="603" t="str" cm="1">
        <f t="array" aca="1" ref="L30" ca="1">[1]!NOM_FEUILLE('Bilans Orge - FAM'!$A$1)</f>
        <v>Bilans Orge - FAM</v>
      </c>
      <c r="M30" s="26" t="str">
        <f>Etiquettes!$H$11</f>
        <v>Volume</v>
      </c>
      <c r="N30" t="str">
        <f t="shared" si="0"/>
        <v>Récolte = 13098 kt (Bilans par campagne - FranceAgriMer)</v>
      </c>
      <c r="O30" s="26" t="str">
        <f>Etiquettes!$H$15</f>
        <v>Fiable</v>
      </c>
      <c r="P30" s="603" t="str">
        <f>Etiquettes!$H$16</f>
        <v>Données collectées</v>
      </c>
      <c r="Q30" s="603" t="str">
        <f>Etiquettes!$H$17</f>
        <v>Donnée collectée (valeur du flux ou coefficient)</v>
      </c>
    </row>
    <row r="31" spans="1:19">
      <c r="A31" t="str">
        <f>'Prétraitement bilans'!A4</f>
        <v>Stock initial</v>
      </c>
      <c r="B31" t="str">
        <f>'Prétraitement bilans'!B4</f>
        <v>Ferme</v>
      </c>
      <c r="C31" s="458">
        <f>'Prétraitement bilans'!F4</f>
        <v>356.93627982861807</v>
      </c>
      <c r="E31" t="str">
        <f>Etiquettes!$C$3</f>
        <v>kt</v>
      </c>
      <c r="F31" s="26" t="str">
        <f>Etiquettes!$J$6</f>
        <v>Orge</v>
      </c>
      <c r="G31" s="26" t="str">
        <f>Etiquettes!$H$5</f>
        <v>2015-16</v>
      </c>
      <c r="H31" t="str">
        <f>Etiquettes!$C$4</f>
        <v>France entière</v>
      </c>
      <c r="I31" s="603" t="s">
        <v>1115</v>
      </c>
      <c r="J31" s="603"/>
      <c r="K31" t="s">
        <v>1559</v>
      </c>
      <c r="L31" s="603" t="str" cm="1">
        <f t="array" aca="1" ref="L31" ca="1">[1]!NOM_FEUILLE('Bilans Orge - FAM'!$A$1)</f>
        <v>Bilans Orge - FAM</v>
      </c>
      <c r="M31" s="26" t="str">
        <f>Etiquettes!$H$11</f>
        <v>Volume</v>
      </c>
      <c r="N31" t="str">
        <f t="shared" si="0"/>
        <v>Stock initial à la ferme = 357 kt (Bilans par campagne - FranceAgriMer)</v>
      </c>
      <c r="O31" s="26" t="str">
        <f>Etiquettes!$K$15</f>
        <v>Approximative</v>
      </c>
      <c r="P31" s="603" t="str">
        <f>Etiquettes!$H$16</f>
        <v>Données collectées</v>
      </c>
      <c r="Q31" s="603" t="str">
        <f>Etiquettes!$H$17</f>
        <v>Donnée collectée (valeur du flux ou coefficient)</v>
      </c>
    </row>
    <row r="32" spans="1:19">
      <c r="A32" t="str">
        <f>'Prétraitement bilans'!A5</f>
        <v>Ferme</v>
      </c>
      <c r="B32" t="str">
        <f>'Prétraitement bilans'!B5</f>
        <v>Grains autoconsommés</v>
      </c>
      <c r="C32" s="458">
        <f>'Prétraitement bilans'!F5</f>
        <v>2162.0233678206746</v>
      </c>
      <c r="E32" t="str">
        <f>Etiquettes!$C$3</f>
        <v>kt</v>
      </c>
      <c r="F32" s="26" t="str">
        <f>Etiquettes!$J$6</f>
        <v>Orge</v>
      </c>
      <c r="G32" s="26" t="str">
        <f>Etiquettes!$H$5</f>
        <v>2015-16</v>
      </c>
      <c r="H32" t="str">
        <f>Etiquettes!$C$4</f>
        <v>France entière</v>
      </c>
      <c r="I32" s="603" t="s">
        <v>1560</v>
      </c>
      <c r="J32" s="603"/>
      <c r="K32" t="s">
        <v>1559</v>
      </c>
      <c r="L32" s="603" t="str" cm="1">
        <f t="array" aca="1" ref="L32" ca="1">[1]!NOM_FEUILLE('Bilans Orge - FAM'!$A$1)</f>
        <v>Bilans Orge - FAM</v>
      </c>
      <c r="M32" s="26" t="str">
        <f>Etiquettes!$H$11</f>
        <v>Volume</v>
      </c>
      <c r="N32" t="str">
        <f t="shared" si="0"/>
        <v>Autoconsommation à la ferme = 2162 kt (Bilans par campagne - FranceAgriMer)</v>
      </c>
      <c r="O32" s="26" t="str">
        <f>Etiquettes!$K$15</f>
        <v>Approximative</v>
      </c>
      <c r="P32" s="603" t="str">
        <f>Etiquettes!$H$16</f>
        <v>Données collectées</v>
      </c>
      <c r="Q32" s="603" t="str">
        <f>Etiquettes!$H$17</f>
        <v>Donnée collectée (valeur du flux ou coefficient)</v>
      </c>
    </row>
    <row r="33" spans="1:19">
      <c r="A33" t="str">
        <f>'Prétraitement bilans'!A6</f>
        <v>Ferme</v>
      </c>
      <c r="B33" t="str">
        <f>'Prétraitement bilans'!B6</f>
        <v>Stock final</v>
      </c>
      <c r="C33" s="458">
        <f>'Prétraitement bilans'!F6</f>
        <v>403.40857500794471</v>
      </c>
      <c r="E33" t="str">
        <f>Etiquettes!$C$3</f>
        <v>kt</v>
      </c>
      <c r="F33" s="26" t="str">
        <f>Etiquettes!$J$6</f>
        <v>Orge</v>
      </c>
      <c r="G33" s="26" t="str">
        <f>Etiquettes!$H$5</f>
        <v>2015-16</v>
      </c>
      <c r="H33" t="str">
        <f>Etiquettes!$C$4</f>
        <v>France entière</v>
      </c>
      <c r="I33" s="603" t="s">
        <v>1116</v>
      </c>
      <c r="J33" s="603"/>
      <c r="K33" t="s">
        <v>1559</v>
      </c>
      <c r="L33" s="603" t="str" cm="1">
        <f t="array" aca="1" ref="L33" ca="1">[1]!NOM_FEUILLE('Bilans Orge - FAM'!$A$1)</f>
        <v>Bilans Orge - FAM</v>
      </c>
      <c r="M33" s="26" t="str">
        <f>Etiquettes!$H$11</f>
        <v>Volume</v>
      </c>
      <c r="N33" t="str">
        <f t="shared" si="0"/>
        <v>Stock final à la ferme = 403 kt (Bilans par campagne - FranceAgriMer)</v>
      </c>
      <c r="O33" s="26" t="str">
        <f>Etiquettes!$K$15</f>
        <v>Approximative</v>
      </c>
      <c r="P33" s="603" t="str">
        <f>Etiquettes!$H$16</f>
        <v>Données collectées</v>
      </c>
      <c r="Q33" s="603" t="str">
        <f>Etiquettes!$H$17</f>
        <v>Donnée collectée (valeur du flux ou coefficient)</v>
      </c>
    </row>
    <row r="34" spans="1:19">
      <c r="A34" t="str">
        <f>'Prétraitement bilans'!A7</f>
        <v>Stock initial</v>
      </c>
      <c r="B34" t="str">
        <f>'Prétraitement bilans'!B7</f>
        <v>OS</v>
      </c>
      <c r="C34" s="458">
        <f>'Prétraitement bilans'!F7</f>
        <v>808.51480000000004</v>
      </c>
      <c r="E34" t="str">
        <f>Etiquettes!$C$3</f>
        <v>kt</v>
      </c>
      <c r="F34" s="26" t="str">
        <f>Etiquettes!$J$6</f>
        <v>Orge</v>
      </c>
      <c r="G34" s="26" t="str">
        <f>Etiquettes!$H$5</f>
        <v>2015-16</v>
      </c>
      <c r="H34" t="str">
        <f>Etiquettes!$C$4</f>
        <v>France entière</v>
      </c>
      <c r="I34" s="603" t="s">
        <v>1127</v>
      </c>
      <c r="J34" s="603"/>
      <c r="K34" t="s">
        <v>1559</v>
      </c>
      <c r="L34" s="603" t="str" cm="1">
        <f t="array" aca="1" ref="L34" ca="1">[1]!NOM_FEUILLE('Bilans Orge - FAM'!$A$1)</f>
        <v>Bilans Orge - FAM</v>
      </c>
      <c r="M34" s="26" t="str">
        <f>Etiquettes!$H$11</f>
        <v>Volume</v>
      </c>
      <c r="N34" t="str">
        <f t="shared" si="0"/>
        <v>Stock initial collecteurs = 809 kt (Bilans par campagne - FranceAgriMer)</v>
      </c>
      <c r="O34" s="26" t="str">
        <f>Etiquettes!$I$15</f>
        <v>Robuste</v>
      </c>
      <c r="P34" s="603" t="str">
        <f>Etiquettes!$H$16</f>
        <v>Données collectées</v>
      </c>
      <c r="Q34" s="603" t="str">
        <f>Etiquettes!$H$17</f>
        <v>Donnée collectée (valeur du flux ou coefficient)</v>
      </c>
    </row>
    <row r="35" spans="1:19">
      <c r="A35" t="str">
        <f>'Prétraitement bilans'!A8</f>
        <v>Grains récoltés</v>
      </c>
      <c r="B35" t="str">
        <f>'Prétraitement bilans'!B8</f>
        <v>OS</v>
      </c>
      <c r="C35" s="458">
        <f>'Prétraitement bilans'!F8</f>
        <v>10889.738236999998</v>
      </c>
      <c r="E35" t="str">
        <f>Etiquettes!$C$3</f>
        <v>kt</v>
      </c>
      <c r="F35" s="26" t="str">
        <f>Etiquettes!$J$6</f>
        <v>Orge</v>
      </c>
      <c r="G35" s="26" t="str">
        <f>Etiquettes!$H$5</f>
        <v>2015-16</v>
      </c>
      <c r="H35" t="str">
        <f>Etiquettes!$C$4</f>
        <v>France entière</v>
      </c>
      <c r="I35" s="603" t="s">
        <v>317</v>
      </c>
      <c r="J35" s="603"/>
      <c r="K35" t="s">
        <v>1559</v>
      </c>
      <c r="L35" s="603" t="str" cm="1">
        <f t="array" aca="1" ref="L35" ca="1">[1]!NOM_FEUILLE('Bilans Orge - FAM'!$A$1)</f>
        <v>Bilans Orge - FAM</v>
      </c>
      <c r="M35" s="26" t="str">
        <f>Etiquettes!$H$11</f>
        <v>Volume</v>
      </c>
      <c r="N35" t="str">
        <f t="shared" si="0"/>
        <v>Collecte = 10890 kt (Bilans par campagne - FranceAgriMer)</v>
      </c>
      <c r="O35" s="26" t="str">
        <f>Etiquettes!$I$15</f>
        <v>Robuste</v>
      </c>
      <c r="P35" s="603" t="str">
        <f>Etiquettes!$H$16</f>
        <v>Données collectées</v>
      </c>
      <c r="Q35" s="603" t="str">
        <f>Etiquettes!$H$17</f>
        <v>Donnée collectée (valeur du flux ou coefficient)</v>
      </c>
    </row>
    <row r="36" spans="1:19">
      <c r="A36" t="str">
        <f>'Prétraitement bilans'!A13</f>
        <v>Grains collectés</v>
      </c>
      <c r="B36" t="str">
        <f>'Prétraitement bilans'!B13</f>
        <v>Amidonnerie / Glutennerie</v>
      </c>
      <c r="C36" s="458">
        <f>'Prétraitement bilans'!F13</f>
        <v>0</v>
      </c>
      <c r="E36" t="str">
        <f>Etiquettes!$C$3</f>
        <v>kt</v>
      </c>
      <c r="F36" s="26" t="str">
        <f>Etiquettes!$J$6</f>
        <v>Orge</v>
      </c>
      <c r="G36" s="26" t="str">
        <f>Etiquettes!$H$5</f>
        <v>2015-16</v>
      </c>
      <c r="H36" t="str">
        <f>Etiquettes!$C$4</f>
        <v>France entière</v>
      </c>
      <c r="I36" s="603" t="s">
        <v>1563</v>
      </c>
      <c r="J36" s="603"/>
      <c r="K36" t="s">
        <v>1559</v>
      </c>
      <c r="L36" s="603" t="str" cm="1">
        <f t="array" aca="1" ref="L36" ca="1">[1]!NOM_FEUILLE('Bilans Orge - FAM'!$A$1)</f>
        <v>Bilans Orge - FAM</v>
      </c>
      <c r="M36" s="26" t="str">
        <f>Etiquettes!$H$11</f>
        <v>Volume</v>
      </c>
      <c r="N36" t="str">
        <f t="shared" si="0"/>
        <v>Consommation de grains par l'Amidonnerie = 0 kt (Bilans par campagne - FranceAgriMer)</v>
      </c>
      <c r="O36" s="26" t="str">
        <f>Etiquettes!$J$15</f>
        <v>Probable</v>
      </c>
      <c r="P36" s="603" t="str">
        <f>Etiquettes!$H$16</f>
        <v>Données collectées</v>
      </c>
      <c r="Q36" s="603" t="str">
        <f>Etiquettes!$H$17</f>
        <v>Donnée collectée (valeur du flux ou coefficient)</v>
      </c>
    </row>
    <row r="37" spans="1:19">
      <c r="A37" t="str">
        <f>'Prétraitement bilans'!A16</f>
        <v>Grains collectés</v>
      </c>
      <c r="B37" t="str">
        <f>'Prétraitement bilans'!B16</f>
        <v>Distillerie</v>
      </c>
      <c r="C37" s="458">
        <f>'Prétraitement bilans'!F16</f>
        <v>0</v>
      </c>
      <c r="E37" t="str">
        <f>Etiquettes!$C$3</f>
        <v>kt</v>
      </c>
      <c r="F37" s="26" t="str">
        <f>Etiquettes!$J$6</f>
        <v>Orge</v>
      </c>
      <c r="G37" s="26" t="str">
        <f>Etiquettes!$H$5</f>
        <v>2015-16</v>
      </c>
      <c r="H37" t="str">
        <f>Etiquettes!$C$4</f>
        <v>France entière</v>
      </c>
      <c r="I37" s="603" t="s">
        <v>1564</v>
      </c>
      <c r="J37" s="603"/>
      <c r="K37" t="s">
        <v>1559</v>
      </c>
      <c r="L37" s="603" t="str" cm="1">
        <f t="array" aca="1" ref="L37" ca="1">[1]!NOM_FEUILLE('Bilans Orge - FAM'!$A$1)</f>
        <v>Bilans Orge - FAM</v>
      </c>
      <c r="M37" s="26" t="str">
        <f>Etiquettes!$H$11</f>
        <v>Volume</v>
      </c>
      <c r="N37" t="str">
        <f t="shared" si="0"/>
        <v>Consommation de grains par la Distillerie = 0 kt (Bilans par campagne - FranceAgriMer)</v>
      </c>
      <c r="O37" s="26" t="str">
        <f>Etiquettes!$J$15</f>
        <v>Probable</v>
      </c>
      <c r="P37" s="603" t="str">
        <f>Etiquettes!$H$16</f>
        <v>Données collectées</v>
      </c>
      <c r="Q37" s="603" t="str">
        <f>Etiquettes!$H$17</f>
        <v>Donnée collectée (valeur du flux ou coefficient)</v>
      </c>
    </row>
    <row r="38" spans="1:19">
      <c r="A38" t="str">
        <f>'Prétraitement bilans'!A17</f>
        <v>Grains collectés</v>
      </c>
      <c r="B38" t="str">
        <f>'Prétraitement bilans'!B17</f>
        <v>Malterie</v>
      </c>
      <c r="C38" s="458">
        <f>'Prétraitement bilans'!F17</f>
        <v>1696.3340000000003</v>
      </c>
      <c r="E38" t="str">
        <f>Etiquettes!$C$3</f>
        <v>kt</v>
      </c>
      <c r="F38" s="26" t="str">
        <f>Etiquettes!$J$6</f>
        <v>Orge</v>
      </c>
      <c r="G38" s="26" t="str">
        <f>Etiquettes!$H$5</f>
        <v>2015-16</v>
      </c>
      <c r="H38" t="str">
        <f>Etiquettes!$C$4</f>
        <v>France entière</v>
      </c>
      <c r="I38" s="603" t="s">
        <v>1565</v>
      </c>
      <c r="J38" s="603"/>
      <c r="K38" t="s">
        <v>1559</v>
      </c>
      <c r="L38" s="603" t="str" cm="1">
        <f t="array" aca="1" ref="L38" ca="1">[1]!NOM_FEUILLE('Bilans Orge - FAM'!$A$1)</f>
        <v>Bilans Orge - FAM</v>
      </c>
      <c r="M38" s="26" t="str">
        <f>Etiquettes!$H$11</f>
        <v>Volume</v>
      </c>
      <c r="N38" t="str">
        <f t="shared" si="0"/>
        <v>Consommation de grains par la Malterie = 1696 kt (Bilans par campagne - FranceAgriMer)</v>
      </c>
      <c r="O38" s="26" t="str">
        <f>Etiquettes!$J$15</f>
        <v>Probable</v>
      </c>
      <c r="P38" s="603" t="str">
        <f>Etiquettes!$H$16</f>
        <v>Données collectées</v>
      </c>
      <c r="Q38" s="603" t="str">
        <f>Etiquettes!$H$17</f>
        <v>Donnée collectée (valeur du flux ou coefficient)</v>
      </c>
    </row>
    <row r="39" spans="1:19" s="26" customFormat="1">
      <c r="A39" t="str">
        <f>'Prétraitement bilans'!A18</f>
        <v>Grains collectés</v>
      </c>
      <c r="B39" t="str">
        <f>'Prétraitement bilans'!B18</f>
        <v>Autres IAA</v>
      </c>
      <c r="C39" s="458">
        <f>'Prétraitement bilans'!F18</f>
        <v>20</v>
      </c>
      <c r="D39" s="10"/>
      <c r="E39" t="str">
        <f>Etiquettes!$C$3</f>
        <v>kt</v>
      </c>
      <c r="F39" s="26" t="str">
        <f>Etiquettes!$J$6</f>
        <v>Orge</v>
      </c>
      <c r="G39" s="26" t="str">
        <f>Etiquettes!$H$5</f>
        <v>2015-16</v>
      </c>
      <c r="H39" t="str">
        <f>Etiquettes!$C$4</f>
        <v>France entière</v>
      </c>
      <c r="I39" s="603" t="s">
        <v>1566</v>
      </c>
      <c r="J39" s="603"/>
      <c r="K39" t="s">
        <v>1559</v>
      </c>
      <c r="L39" s="603" t="str" cm="1">
        <f t="array" aca="1" ref="L39" ca="1">[1]!NOM_FEUILLE('Bilans Orge - FAM'!$A$1)</f>
        <v>Bilans Orge - FAM</v>
      </c>
      <c r="M39" s="26" t="str">
        <f>Etiquettes!$H$11</f>
        <v>Volume</v>
      </c>
      <c r="N39" t="str">
        <f t="shared" si="0"/>
        <v>Consommation de grains par les autres IAA = 20 kt (Bilans par campagne - FranceAgriMer)</v>
      </c>
      <c r="O39" s="26" t="str">
        <f>Etiquettes!$J$15</f>
        <v>Probable</v>
      </c>
      <c r="P39" s="603" t="str">
        <f>Etiquettes!$H$16</f>
        <v>Données collectées</v>
      </c>
      <c r="Q39" s="603" t="str">
        <f>Etiquettes!$H$17</f>
        <v>Donnée collectée (valeur du flux ou coefficient)</v>
      </c>
      <c r="R39"/>
      <c r="S39"/>
    </row>
    <row r="40" spans="1:19" s="26" customFormat="1">
      <c r="A40" t="str">
        <f>'Prétraitement bilans'!A19</f>
        <v>Grains collectés</v>
      </c>
      <c r="B40" t="str">
        <f>'Prétraitement bilans'!B19</f>
        <v>Semoulerie</v>
      </c>
      <c r="C40" s="458">
        <f>'Prétraitement bilans'!F19</f>
        <v>0</v>
      </c>
      <c r="D40" s="10"/>
      <c r="E40" t="str">
        <f>Etiquettes!$C$3</f>
        <v>kt</v>
      </c>
      <c r="F40" s="26" t="str">
        <f>Etiquettes!$J$6</f>
        <v>Orge</v>
      </c>
      <c r="G40" s="26" t="str">
        <f>Etiquettes!$H$5</f>
        <v>2015-16</v>
      </c>
      <c r="H40" t="str">
        <f>Etiquettes!$C$4</f>
        <v>France entière</v>
      </c>
      <c r="I40" s="603" t="s">
        <v>1567</v>
      </c>
      <c r="J40" s="603"/>
      <c r="K40" t="s">
        <v>1559</v>
      </c>
      <c r="L40" s="603" t="str" cm="1">
        <f t="array" aca="1" ref="L40" ca="1">[1]!NOM_FEUILLE('Bilans Orge - FAM'!$A$1)</f>
        <v>Bilans Orge - FAM</v>
      </c>
      <c r="M40" s="26" t="str">
        <f>Etiquettes!$H$11</f>
        <v>Volume</v>
      </c>
      <c r="N40" t="str">
        <f t="shared" si="0"/>
        <v>Consommation de grains par la Semoulerie = 0 kt (Bilans par campagne - FranceAgriMer)</v>
      </c>
      <c r="O40" s="26" t="str">
        <f>Etiquettes!$J$15</f>
        <v>Probable</v>
      </c>
      <c r="P40" s="603" t="str">
        <f>Etiquettes!$H$16</f>
        <v>Données collectées</v>
      </c>
      <c r="Q40" s="603" t="str">
        <f>Etiquettes!$H$17</f>
        <v>Donnée collectée (valeur du flux ou coefficient)</v>
      </c>
      <c r="R40"/>
      <c r="S40"/>
    </row>
    <row r="41" spans="1:19" s="26" customFormat="1">
      <c r="A41" t="str">
        <f>'Prétraitement bilans'!A20</f>
        <v>Grains collectés</v>
      </c>
      <c r="B41" t="str">
        <f>'Prétraitement bilans'!B20</f>
        <v>FAB</v>
      </c>
      <c r="C41" s="458">
        <f>'Prétraitement bilans'!F20</f>
        <v>1014.9894639999999</v>
      </c>
      <c r="D41" s="10"/>
      <c r="E41" t="str">
        <f>Etiquettes!$C$3</f>
        <v>kt</v>
      </c>
      <c r="F41" s="26" t="str">
        <f>Etiquettes!$J$6</f>
        <v>Orge</v>
      </c>
      <c r="G41" s="26" t="str">
        <f>Etiquettes!$H$5</f>
        <v>2015-16</v>
      </c>
      <c r="H41" t="str">
        <f>Etiquettes!$C$4</f>
        <v>France entière</v>
      </c>
      <c r="I41" s="603" t="s">
        <v>1568</v>
      </c>
      <c r="J41" s="603"/>
      <c r="K41" t="s">
        <v>1559</v>
      </c>
      <c r="L41" s="603" t="str" cm="1">
        <f t="array" aca="1" ref="L41" ca="1">[1]!NOM_FEUILLE('Bilans Orge - FAM'!$A$1)</f>
        <v>Bilans Orge - FAM</v>
      </c>
      <c r="M41" s="26" t="str">
        <f>Etiquettes!$H$11</f>
        <v>Volume</v>
      </c>
      <c r="N41" t="str">
        <f t="shared" si="0"/>
        <v>Consommation de grains par les FAB = 1015 kt (Bilans par campagne - FranceAgriMer)</v>
      </c>
      <c r="O41" s="26" t="str">
        <f>Etiquettes!$J$15</f>
        <v>Probable</v>
      </c>
      <c r="P41" s="603" t="str">
        <f>Etiquettes!$H$16</f>
        <v>Données collectées</v>
      </c>
      <c r="Q41" s="603" t="str">
        <f>Etiquettes!$H$17</f>
        <v>Donnée collectée (valeur du flux ou coefficient)</v>
      </c>
      <c r="R41"/>
      <c r="S41"/>
    </row>
    <row r="42" spans="1:19" s="26" customFormat="1">
      <c r="A42" t="str">
        <f>'Prétraitement bilans'!A21</f>
        <v>Grains collectés</v>
      </c>
      <c r="B42" t="str">
        <f>'Prétraitement bilans'!B21</f>
        <v>Semences certifiées</v>
      </c>
      <c r="C42" s="458">
        <f>'Prétraitement bilans'!F21</f>
        <v>164.322</v>
      </c>
      <c r="D42" s="10"/>
      <c r="E42" t="str">
        <f>Etiquettes!$C$3</f>
        <v>kt</v>
      </c>
      <c r="F42" s="26" t="str">
        <f>Etiquettes!$J$6</f>
        <v>Orge</v>
      </c>
      <c r="G42" s="26" t="str">
        <f>Etiquettes!$H$5</f>
        <v>2015-16</v>
      </c>
      <c r="H42" t="str">
        <f>Etiquettes!$C$4</f>
        <v>France entière</v>
      </c>
      <c r="I42" s="603" t="s">
        <v>1561</v>
      </c>
      <c r="J42" s="603"/>
      <c r="K42" t="s">
        <v>1559</v>
      </c>
      <c r="L42" s="603" t="str" cm="1">
        <f t="array" aca="1" ref="L42" ca="1">[1]!NOM_FEUILLE('Bilans Orge - FAM'!$A$1)</f>
        <v>Bilans Orge - FAM</v>
      </c>
      <c r="M42" s="26" t="str">
        <f>Etiquettes!$H$11</f>
        <v>Volume</v>
      </c>
      <c r="N42" t="str">
        <f t="shared" si="0"/>
        <v>Production de semences certifiées = 164 kt (Bilans par campagne - FranceAgriMer)</v>
      </c>
      <c r="O42" s="26" t="str">
        <f>Etiquettes!$J$15</f>
        <v>Probable</v>
      </c>
      <c r="P42" s="603" t="str">
        <f>Etiquettes!$H$16</f>
        <v>Données collectées</v>
      </c>
      <c r="Q42" s="603" t="str">
        <f>Etiquettes!$H$17</f>
        <v>Donnée collectée (valeur du flux ou coefficient)</v>
      </c>
      <c r="R42"/>
      <c r="S42"/>
    </row>
    <row r="43" spans="1:19" s="26" customFormat="1">
      <c r="A43" t="str">
        <f>'Prétraitement bilans'!A25</f>
        <v>OS</v>
      </c>
      <c r="B43" t="str">
        <f>'Prétraitement bilans'!B25</f>
        <v>Stock final</v>
      </c>
      <c r="C43" s="458">
        <f>'Prétraitement bilans'!F25</f>
        <v>969.86840000000007</v>
      </c>
      <c r="D43" s="10"/>
      <c r="E43" t="str">
        <f>Etiquettes!$C$3</f>
        <v>kt</v>
      </c>
      <c r="F43" s="26" t="str">
        <f>Etiquettes!$J$6</f>
        <v>Orge</v>
      </c>
      <c r="G43" s="26" t="str">
        <f>Etiquettes!$H$5</f>
        <v>2015-16</v>
      </c>
      <c r="H43" t="str">
        <f>Etiquettes!$C$4</f>
        <v>France entière</v>
      </c>
      <c r="I43" s="603" t="s">
        <v>1128</v>
      </c>
      <c r="J43" s="603"/>
      <c r="K43" t="s">
        <v>1559</v>
      </c>
      <c r="L43" s="603" t="str" cm="1">
        <f t="array" aca="1" ref="L43" ca="1">[1]!NOM_FEUILLE('Bilans Orge - FAM'!$A$1)</f>
        <v>Bilans Orge - FAM</v>
      </c>
      <c r="M43" s="26" t="str">
        <f>Etiquettes!$H$11</f>
        <v>Volume</v>
      </c>
      <c r="N43" t="str">
        <f t="shared" si="0"/>
        <v>Stock final collecteurs = 970 kt (Bilans par campagne - FranceAgriMer)</v>
      </c>
      <c r="O43" s="26" t="str">
        <f>Etiquettes!$I$15</f>
        <v>Robuste</v>
      </c>
      <c r="P43" s="603" t="str">
        <f>Etiquettes!$H$16</f>
        <v>Données collectées</v>
      </c>
      <c r="Q43" s="603" t="str">
        <f>Etiquettes!$H$17</f>
        <v>Donnée collectée (valeur du flux ou coefficient)</v>
      </c>
      <c r="R43"/>
      <c r="S43"/>
    </row>
    <row r="44" spans="1:19">
      <c r="A44" t="str">
        <f>'Prétraitement bilans'!A3</f>
        <v>Récolte</v>
      </c>
      <c r="B44" t="str">
        <f>'Prétraitement bilans'!B3</f>
        <v>Grains récoltés</v>
      </c>
      <c r="C44" s="458">
        <f>'Prétraitement bilans'!G3</f>
        <v>1805.385</v>
      </c>
      <c r="E44" t="str">
        <f>Etiquettes!$C$3</f>
        <v>kt</v>
      </c>
      <c r="F44" s="26" t="str">
        <f>Etiquettes!$K$6</f>
        <v>Blé dur</v>
      </c>
      <c r="G44" s="26" t="str">
        <f>Etiquettes!$H$5</f>
        <v>2015-16</v>
      </c>
      <c r="H44" t="str">
        <f>Etiquettes!$C$4</f>
        <v>France entière</v>
      </c>
      <c r="I44" s="603" t="s">
        <v>1106</v>
      </c>
      <c r="J44" s="603"/>
      <c r="K44" t="s">
        <v>1559</v>
      </c>
      <c r="L44" s="603" t="str" cm="1">
        <f t="array" aca="1" ref="L44" ca="1">[1]!NOM_FEUILLE('Bilans Blé dur - FAM'!$A$1)</f>
        <v>Bilans Blé dur - FAM</v>
      </c>
      <c r="M44" s="26" t="str">
        <f>Etiquettes!$H$11</f>
        <v>Volume</v>
      </c>
      <c r="N44" t="str">
        <f t="shared" si="0"/>
        <v>Récolte = 1805 kt (Bilans par campagne - FranceAgriMer)</v>
      </c>
      <c r="O44" s="26" t="str">
        <f>Etiquettes!$H$15</f>
        <v>Fiable</v>
      </c>
      <c r="P44" s="603" t="str">
        <f>Etiquettes!$H$16</f>
        <v>Données collectées</v>
      </c>
      <c r="Q44" s="603" t="str">
        <f>Etiquettes!$H$17</f>
        <v>Donnée collectée (valeur du flux ou coefficient)</v>
      </c>
    </row>
    <row r="45" spans="1:19">
      <c r="A45" t="str">
        <f>'Prétraitement bilans'!A4</f>
        <v>Stock initial</v>
      </c>
      <c r="B45" t="str">
        <f>'Prétraitement bilans'!B4</f>
        <v>Ferme</v>
      </c>
      <c r="C45" s="458">
        <f>'Prétraitement bilans'!G4</f>
        <v>61.133481313881148</v>
      </c>
      <c r="E45" t="str">
        <f>Etiquettes!$C$3</f>
        <v>kt</v>
      </c>
      <c r="F45" s="26" t="str">
        <f>Etiquettes!$K$6</f>
        <v>Blé dur</v>
      </c>
      <c r="G45" s="26" t="str">
        <f>Etiquettes!$H$5</f>
        <v>2015-16</v>
      </c>
      <c r="H45" t="str">
        <f>Etiquettes!$C$4</f>
        <v>France entière</v>
      </c>
      <c r="I45" s="603" t="s">
        <v>1115</v>
      </c>
      <c r="J45" s="603"/>
      <c r="K45" t="s">
        <v>1559</v>
      </c>
      <c r="L45" s="603" t="str" cm="1">
        <f t="array" aca="1" ref="L45" ca="1">[1]!NOM_FEUILLE('Bilans Blé dur - FAM'!$A$1)</f>
        <v>Bilans Blé dur - FAM</v>
      </c>
      <c r="M45" s="26" t="str">
        <f>Etiquettes!$H$11</f>
        <v>Volume</v>
      </c>
      <c r="N45" t="str">
        <f t="shared" si="0"/>
        <v>Stock initial à la ferme = 61 kt (Bilans par campagne - FranceAgriMer)</v>
      </c>
      <c r="O45" s="26" t="str">
        <f>Etiquettes!$K$15</f>
        <v>Approximative</v>
      </c>
      <c r="P45" s="603" t="str">
        <f>Etiquettes!$H$16</f>
        <v>Données collectées</v>
      </c>
      <c r="Q45" s="603" t="str">
        <f>Etiquettes!$H$17</f>
        <v>Donnée collectée (valeur du flux ou coefficient)</v>
      </c>
    </row>
    <row r="46" spans="1:19">
      <c r="A46" t="str">
        <f>'Prétraitement bilans'!A5</f>
        <v>Ferme</v>
      </c>
      <c r="B46" t="str">
        <f>'Prétraitement bilans'!B5</f>
        <v>Grains autoconsommés</v>
      </c>
      <c r="C46" s="458">
        <f>'Prétraitement bilans'!G5</f>
        <v>83.46786729250276</v>
      </c>
      <c r="E46" t="str">
        <f>Etiquettes!$C$3</f>
        <v>kt</v>
      </c>
      <c r="F46" s="26" t="str">
        <f>Etiquettes!$K$6</f>
        <v>Blé dur</v>
      </c>
      <c r="G46" s="26" t="str">
        <f>Etiquettes!$H$5</f>
        <v>2015-16</v>
      </c>
      <c r="H46" t="str">
        <f>Etiquettes!$C$4</f>
        <v>France entière</v>
      </c>
      <c r="I46" s="603" t="s">
        <v>1560</v>
      </c>
      <c r="J46" s="603"/>
      <c r="K46" t="s">
        <v>1559</v>
      </c>
      <c r="L46" s="603" t="str" cm="1">
        <f t="array" aca="1" ref="L46" ca="1">[1]!NOM_FEUILLE('Bilans Blé dur - FAM'!$A$1)</f>
        <v>Bilans Blé dur - FAM</v>
      </c>
      <c r="M46" s="26" t="str">
        <f>Etiquettes!$H$11</f>
        <v>Volume</v>
      </c>
      <c r="N46" t="str">
        <f t="shared" si="0"/>
        <v>Autoconsommation à la ferme = 83 kt (Bilans par campagne - FranceAgriMer)</v>
      </c>
      <c r="O46" s="26" t="str">
        <f>Etiquettes!$K$15</f>
        <v>Approximative</v>
      </c>
      <c r="P46" s="603" t="str">
        <f>Etiquettes!$H$16</f>
        <v>Données collectées</v>
      </c>
      <c r="Q46" s="603" t="str">
        <f>Etiquettes!$H$17</f>
        <v>Donnée collectée (valeur du flux ou coefficient)</v>
      </c>
    </row>
    <row r="47" spans="1:19">
      <c r="A47" t="str">
        <f>'Prétraitement bilans'!A6</f>
        <v>Ferme</v>
      </c>
      <c r="B47" t="str">
        <f>'Prétraitement bilans'!B6</f>
        <v>Stock final</v>
      </c>
      <c r="C47" s="458">
        <f>'Prétraitement bilans'!G6</f>
        <v>80.580614021378452</v>
      </c>
      <c r="E47" t="str">
        <f>Etiquettes!$C$3</f>
        <v>kt</v>
      </c>
      <c r="F47" s="26" t="str">
        <f>Etiquettes!$K$6</f>
        <v>Blé dur</v>
      </c>
      <c r="G47" s="26" t="str">
        <f>Etiquettes!$H$5</f>
        <v>2015-16</v>
      </c>
      <c r="H47" t="str">
        <f>Etiquettes!$C$4</f>
        <v>France entière</v>
      </c>
      <c r="I47" s="603" t="s">
        <v>1116</v>
      </c>
      <c r="J47" s="603"/>
      <c r="K47" t="s">
        <v>1559</v>
      </c>
      <c r="L47" s="603" t="str" cm="1">
        <f t="array" aca="1" ref="L47" ca="1">[1]!NOM_FEUILLE('Bilans Blé dur - FAM'!$A$1)</f>
        <v>Bilans Blé dur - FAM</v>
      </c>
      <c r="M47" s="26" t="str">
        <f>Etiquettes!$H$11</f>
        <v>Volume</v>
      </c>
      <c r="N47" t="str">
        <f t="shared" si="0"/>
        <v>Stock final à la ferme = 81 kt (Bilans par campagne - FranceAgriMer)</v>
      </c>
      <c r="O47" s="26" t="str">
        <f>Etiquettes!$K$15</f>
        <v>Approximative</v>
      </c>
      <c r="P47" s="603" t="str">
        <f>Etiquettes!$H$16</f>
        <v>Données collectées</v>
      </c>
      <c r="Q47" s="603" t="str">
        <f>Etiquettes!$H$17</f>
        <v>Donnée collectée (valeur du flux ou coefficient)</v>
      </c>
    </row>
    <row r="48" spans="1:19">
      <c r="A48" t="str">
        <f>'Prétraitement bilans'!A7</f>
        <v>Stock initial</v>
      </c>
      <c r="B48" t="str">
        <f>'Prétraitement bilans'!B7</f>
        <v>OS</v>
      </c>
      <c r="C48" s="458">
        <f>'Prétraitement bilans'!G7</f>
        <v>61.9788</v>
      </c>
      <c r="E48" t="str">
        <f>Etiquettes!$C$3</f>
        <v>kt</v>
      </c>
      <c r="F48" s="26" t="str">
        <f>Etiquettes!$K$6</f>
        <v>Blé dur</v>
      </c>
      <c r="G48" s="26" t="str">
        <f>Etiquettes!$H$5</f>
        <v>2015-16</v>
      </c>
      <c r="H48" t="str">
        <f>Etiquettes!$C$4</f>
        <v>France entière</v>
      </c>
      <c r="I48" s="603" t="s">
        <v>1127</v>
      </c>
      <c r="J48" s="603"/>
      <c r="K48" t="s">
        <v>1559</v>
      </c>
      <c r="L48" s="603" t="str" cm="1">
        <f t="array" aca="1" ref="L48" ca="1">[1]!NOM_FEUILLE('Bilans Blé dur - FAM'!$A$1)</f>
        <v>Bilans Blé dur - FAM</v>
      </c>
      <c r="M48" s="26" t="str">
        <f>Etiquettes!$H$11</f>
        <v>Volume</v>
      </c>
      <c r="N48" t="str">
        <f t="shared" si="0"/>
        <v>Stock initial collecteurs = 62 kt (Bilans par campagne - FranceAgriMer)</v>
      </c>
      <c r="O48" s="26" t="str">
        <f>Etiquettes!$I$15</f>
        <v>Robuste</v>
      </c>
      <c r="P48" s="603" t="str">
        <f>Etiquettes!$H$16</f>
        <v>Données collectées</v>
      </c>
      <c r="Q48" s="603" t="str">
        <f>Etiquettes!$H$17</f>
        <v>Donnée collectée (valeur du flux ou coefficient)</v>
      </c>
    </row>
    <row r="49" spans="1:19">
      <c r="A49" t="str">
        <f>'Prétraitement bilans'!A8</f>
        <v>Grains récoltés</v>
      </c>
      <c r="B49" t="str">
        <f>'Prétraitement bilans'!B8</f>
        <v>OS</v>
      </c>
      <c r="C49" s="458">
        <f>'Prétraitement bilans'!G8</f>
        <v>1702.6944000000001</v>
      </c>
      <c r="E49" t="str">
        <f>Etiquettes!$C$3</f>
        <v>kt</v>
      </c>
      <c r="F49" s="26" t="str">
        <f>Etiquettes!$K$6</f>
        <v>Blé dur</v>
      </c>
      <c r="G49" s="26" t="str">
        <f>Etiquettes!$H$5</f>
        <v>2015-16</v>
      </c>
      <c r="H49" t="str">
        <f>Etiquettes!$C$4</f>
        <v>France entière</v>
      </c>
      <c r="I49" s="603" t="s">
        <v>317</v>
      </c>
      <c r="J49" s="603"/>
      <c r="K49" t="s">
        <v>1559</v>
      </c>
      <c r="L49" s="603" t="str" cm="1">
        <f t="array" aca="1" ref="L49" ca="1">[1]!NOM_FEUILLE('Bilans Blé dur - FAM'!$A$1)</f>
        <v>Bilans Blé dur - FAM</v>
      </c>
      <c r="M49" s="26" t="str">
        <f>Etiquettes!$H$11</f>
        <v>Volume</v>
      </c>
      <c r="N49" t="str">
        <f t="shared" si="0"/>
        <v>Collecte = 1703 kt (Bilans par campagne - FranceAgriMer)</v>
      </c>
      <c r="O49" s="26" t="str">
        <f>Etiquettes!$I$15</f>
        <v>Robuste</v>
      </c>
      <c r="P49" s="603" t="str">
        <f>Etiquettes!$H$16</f>
        <v>Données collectées</v>
      </c>
      <c r="Q49" s="603" t="str">
        <f>Etiquettes!$H$17</f>
        <v>Donnée collectée (valeur du flux ou coefficient)</v>
      </c>
    </row>
    <row r="50" spans="1:19">
      <c r="A50" t="str">
        <f>'Prétraitement bilans'!A13</f>
        <v>Grains collectés</v>
      </c>
      <c r="B50" t="str">
        <f>'Prétraitement bilans'!B13</f>
        <v>Amidonnerie / Glutennerie</v>
      </c>
      <c r="C50" s="458">
        <f>'Prétraitement bilans'!G13</f>
        <v>0</v>
      </c>
      <c r="E50" t="str">
        <f>Etiquettes!$C$3</f>
        <v>kt</v>
      </c>
      <c r="F50" s="26" t="str">
        <f>Etiquettes!$K$6</f>
        <v>Blé dur</v>
      </c>
      <c r="G50" s="26" t="str">
        <f>Etiquettes!$H$5</f>
        <v>2015-16</v>
      </c>
      <c r="H50" t="str">
        <f>Etiquettes!$C$4</f>
        <v>France entière</v>
      </c>
      <c r="I50" s="603" t="s">
        <v>1563</v>
      </c>
      <c r="J50" s="603"/>
      <c r="K50" t="s">
        <v>1559</v>
      </c>
      <c r="L50" s="603" t="str" cm="1">
        <f t="array" aca="1" ref="L50" ca="1">[1]!NOM_FEUILLE('Bilans Blé dur - FAM'!$A$1)</f>
        <v>Bilans Blé dur - FAM</v>
      </c>
      <c r="M50" s="26" t="str">
        <f>Etiquettes!$H$11</f>
        <v>Volume</v>
      </c>
      <c r="N50" t="str">
        <f t="shared" si="0"/>
        <v>Consommation de grains par l'Amidonnerie = 0 kt (Bilans par campagne - FranceAgriMer)</v>
      </c>
      <c r="O50" s="26" t="str">
        <f>Etiquettes!$J$15</f>
        <v>Probable</v>
      </c>
      <c r="P50" s="603" t="str">
        <f>Etiquettes!$H$16</f>
        <v>Données collectées</v>
      </c>
      <c r="Q50" s="603" t="str">
        <f>Etiquettes!$H$17</f>
        <v>Donnée collectée (valeur du flux ou coefficient)</v>
      </c>
    </row>
    <row r="51" spans="1:19">
      <c r="A51" t="str">
        <f>'Prétraitement bilans'!A16</f>
        <v>Grains collectés</v>
      </c>
      <c r="B51" t="str">
        <f>'Prétraitement bilans'!B16</f>
        <v>Distillerie</v>
      </c>
      <c r="C51" s="458">
        <f>'Prétraitement bilans'!G16</f>
        <v>0</v>
      </c>
      <c r="E51" t="str">
        <f>Etiquettes!$C$3</f>
        <v>kt</v>
      </c>
      <c r="F51" s="26" t="str">
        <f>Etiquettes!$K$6</f>
        <v>Blé dur</v>
      </c>
      <c r="G51" s="26" t="str">
        <f>Etiquettes!$H$5</f>
        <v>2015-16</v>
      </c>
      <c r="H51" t="str">
        <f>Etiquettes!$C$4</f>
        <v>France entière</v>
      </c>
      <c r="I51" s="603" t="s">
        <v>1564</v>
      </c>
      <c r="J51" s="603"/>
      <c r="K51" t="s">
        <v>1559</v>
      </c>
      <c r="L51" s="603" t="str" cm="1">
        <f t="array" aca="1" ref="L51" ca="1">[1]!NOM_FEUILLE('Bilans Blé dur - FAM'!$A$1)</f>
        <v>Bilans Blé dur - FAM</v>
      </c>
      <c r="M51" s="26" t="str">
        <f>Etiquettes!$H$11</f>
        <v>Volume</v>
      </c>
      <c r="N51" t="str">
        <f t="shared" si="0"/>
        <v>Consommation de grains par la Distillerie = 0 kt (Bilans par campagne - FranceAgriMer)</v>
      </c>
      <c r="O51" s="26" t="str">
        <f>Etiquettes!$J$15</f>
        <v>Probable</v>
      </c>
      <c r="P51" s="603" t="str">
        <f>Etiquettes!$H$16</f>
        <v>Données collectées</v>
      </c>
      <c r="Q51" s="603" t="str">
        <f>Etiquettes!$H$17</f>
        <v>Donnée collectée (valeur du flux ou coefficient)</v>
      </c>
    </row>
    <row r="52" spans="1:19">
      <c r="A52" t="str">
        <f>'Prétraitement bilans'!A17</f>
        <v>Grains collectés</v>
      </c>
      <c r="B52" t="str">
        <f>'Prétraitement bilans'!B17</f>
        <v>Malterie</v>
      </c>
      <c r="C52" s="458">
        <f>'Prétraitement bilans'!G17</f>
        <v>0</v>
      </c>
      <c r="E52" t="str">
        <f>Etiquettes!$C$3</f>
        <v>kt</v>
      </c>
      <c r="F52" s="26" t="str">
        <f>Etiquettes!$K$6</f>
        <v>Blé dur</v>
      </c>
      <c r="G52" s="26" t="str">
        <f>Etiquettes!$H$5</f>
        <v>2015-16</v>
      </c>
      <c r="H52" t="str">
        <f>Etiquettes!$C$4</f>
        <v>France entière</v>
      </c>
      <c r="I52" s="603" t="s">
        <v>1565</v>
      </c>
      <c r="J52" s="603"/>
      <c r="K52" t="s">
        <v>1559</v>
      </c>
      <c r="L52" s="603" t="str" cm="1">
        <f t="array" aca="1" ref="L52" ca="1">[1]!NOM_FEUILLE('Bilans Blé dur - FAM'!$A$1)</f>
        <v>Bilans Blé dur - FAM</v>
      </c>
      <c r="M52" s="26" t="str">
        <f>Etiquettes!$H$11</f>
        <v>Volume</v>
      </c>
      <c r="N52" t="str">
        <f t="shared" si="0"/>
        <v>Consommation de grains par la Malterie = 0 kt (Bilans par campagne - FranceAgriMer)</v>
      </c>
      <c r="O52" s="26" t="str">
        <f>Etiquettes!$J$15</f>
        <v>Probable</v>
      </c>
      <c r="P52" s="603" t="str">
        <f>Etiquettes!$H$16</f>
        <v>Données collectées</v>
      </c>
      <c r="Q52" s="603" t="str">
        <f>Etiquettes!$H$17</f>
        <v>Donnée collectée (valeur du flux ou coefficient)</v>
      </c>
    </row>
    <row r="53" spans="1:19" s="26" customFormat="1">
      <c r="A53" t="str">
        <f>'Prétraitement bilans'!A18</f>
        <v>Grains collectés</v>
      </c>
      <c r="B53" t="str">
        <f>'Prétraitement bilans'!B18</f>
        <v>Autres IAA</v>
      </c>
      <c r="C53" s="458">
        <f>'Prétraitement bilans'!G18</f>
        <v>0</v>
      </c>
      <c r="D53" s="10"/>
      <c r="E53" t="str">
        <f>Etiquettes!$C$3</f>
        <v>kt</v>
      </c>
      <c r="F53" s="26" t="str">
        <f>Etiquettes!$K$6</f>
        <v>Blé dur</v>
      </c>
      <c r="G53" s="26" t="str">
        <f>Etiquettes!$H$5</f>
        <v>2015-16</v>
      </c>
      <c r="H53" t="str">
        <f>Etiquettes!$C$4</f>
        <v>France entière</v>
      </c>
      <c r="I53" s="603" t="s">
        <v>1566</v>
      </c>
      <c r="J53" s="603"/>
      <c r="K53" t="s">
        <v>1559</v>
      </c>
      <c r="L53" s="603" t="str" cm="1">
        <f t="array" aca="1" ref="L53" ca="1">[1]!NOM_FEUILLE('Bilans Blé dur - FAM'!$A$1)</f>
        <v>Bilans Blé dur - FAM</v>
      </c>
      <c r="M53" s="26" t="str">
        <f>Etiquettes!$H$11</f>
        <v>Volume</v>
      </c>
      <c r="N53" t="str">
        <f t="shared" si="0"/>
        <v>Consommation de grains par les autres IAA = 0 kt (Bilans par campagne - FranceAgriMer)</v>
      </c>
      <c r="O53" s="26" t="str">
        <f>Etiquettes!$J$15</f>
        <v>Probable</v>
      </c>
      <c r="P53" s="603" t="str">
        <f>Etiquettes!$H$16</f>
        <v>Données collectées</v>
      </c>
      <c r="Q53" s="603" t="str">
        <f>Etiquettes!$H$17</f>
        <v>Donnée collectée (valeur du flux ou coefficient)</v>
      </c>
      <c r="R53"/>
      <c r="S53"/>
    </row>
    <row r="54" spans="1:19" s="26" customFormat="1">
      <c r="A54" t="str">
        <f>'Prétraitement bilans'!A19</f>
        <v>Grains collectés</v>
      </c>
      <c r="B54" t="str">
        <f>'Prétraitement bilans'!B19</f>
        <v>Semoulerie</v>
      </c>
      <c r="C54" s="458">
        <f>'Prétraitement bilans'!G19</f>
        <v>604.76840000000004</v>
      </c>
      <c r="D54" s="10"/>
      <c r="E54" t="str">
        <f>Etiquettes!$C$3</f>
        <v>kt</v>
      </c>
      <c r="F54" s="26" t="str">
        <f>Etiquettes!$K$6</f>
        <v>Blé dur</v>
      </c>
      <c r="G54" s="26" t="str">
        <f>Etiquettes!$H$5</f>
        <v>2015-16</v>
      </c>
      <c r="H54" t="str">
        <f>Etiquettes!$C$4</f>
        <v>France entière</v>
      </c>
      <c r="I54" s="603" t="s">
        <v>1567</v>
      </c>
      <c r="J54" s="603"/>
      <c r="K54" t="s">
        <v>1559</v>
      </c>
      <c r="L54" s="603" t="str" cm="1">
        <f t="array" aca="1" ref="L54" ca="1">[1]!NOM_FEUILLE('Bilans Blé dur - FAM'!$A$1)</f>
        <v>Bilans Blé dur - FAM</v>
      </c>
      <c r="M54" s="26" t="str">
        <f>Etiquettes!$H$11</f>
        <v>Volume</v>
      </c>
      <c r="N54" t="str">
        <f t="shared" si="0"/>
        <v>Consommation de grains par la Semoulerie = 605 kt (Bilans par campagne - FranceAgriMer)</v>
      </c>
      <c r="O54" s="26" t="str">
        <f>Etiquettes!$J$15</f>
        <v>Probable</v>
      </c>
      <c r="P54" s="603" t="str">
        <f>Etiquettes!$H$16</f>
        <v>Données collectées</v>
      </c>
      <c r="Q54" s="603" t="str">
        <f>Etiquettes!$H$17</f>
        <v>Donnée collectée (valeur du flux ou coefficient)</v>
      </c>
      <c r="R54"/>
      <c r="S54"/>
    </row>
    <row r="55" spans="1:19" s="26" customFormat="1">
      <c r="A55" t="str">
        <f>'Prétraitement bilans'!A20</f>
        <v>Grains collectés</v>
      </c>
      <c r="B55" t="str">
        <f>'Prétraitement bilans'!B20</f>
        <v>FAB</v>
      </c>
      <c r="C55" s="458">
        <f>'Prétraitement bilans'!G20</f>
        <v>2.2214</v>
      </c>
      <c r="D55" s="10"/>
      <c r="E55" t="str">
        <f>Etiquettes!$C$3</f>
        <v>kt</v>
      </c>
      <c r="F55" s="26" t="str">
        <f>Etiquettes!$K$6</f>
        <v>Blé dur</v>
      </c>
      <c r="G55" s="26" t="str">
        <f>Etiquettes!$H$5</f>
        <v>2015-16</v>
      </c>
      <c r="H55" t="str">
        <f>Etiquettes!$C$4</f>
        <v>France entière</v>
      </c>
      <c r="I55" s="603" t="s">
        <v>1568</v>
      </c>
      <c r="J55" s="603"/>
      <c r="K55" t="s">
        <v>1559</v>
      </c>
      <c r="L55" s="603" t="str" cm="1">
        <f t="array" aca="1" ref="L55" ca="1">[1]!NOM_FEUILLE('Bilans Blé dur - FAM'!$A$1)</f>
        <v>Bilans Blé dur - FAM</v>
      </c>
      <c r="M55" s="26" t="str">
        <f>Etiquettes!$H$11</f>
        <v>Volume</v>
      </c>
      <c r="N55" t="str">
        <f t="shared" si="0"/>
        <v>Consommation de grains par les FAB = 2 kt (Bilans par campagne - FranceAgriMer)</v>
      </c>
      <c r="O55" s="26" t="str">
        <f>Etiquettes!$J$15</f>
        <v>Probable</v>
      </c>
      <c r="P55" s="603" t="str">
        <f>Etiquettes!$H$16</f>
        <v>Données collectées</v>
      </c>
      <c r="Q55" s="603" t="str">
        <f>Etiquettes!$H$17</f>
        <v>Donnée collectée (valeur du flux ou coefficient)</v>
      </c>
      <c r="R55"/>
      <c r="S55"/>
    </row>
    <row r="56" spans="1:19" s="26" customFormat="1">
      <c r="A56" t="str">
        <f>'Prétraitement bilans'!A21</f>
        <v>Grains collectés</v>
      </c>
      <c r="B56" t="str">
        <f>'Prétraitement bilans'!B21</f>
        <v>Semences certifiées</v>
      </c>
      <c r="C56" s="458">
        <f>'Prétraitement bilans'!G21</f>
        <v>45.465699999999998</v>
      </c>
      <c r="D56" s="10"/>
      <c r="E56" t="str">
        <f>Etiquettes!$C$3</f>
        <v>kt</v>
      </c>
      <c r="F56" s="26" t="str">
        <f>Etiquettes!$K$6</f>
        <v>Blé dur</v>
      </c>
      <c r="G56" s="26" t="str">
        <f>Etiquettes!$H$5</f>
        <v>2015-16</v>
      </c>
      <c r="H56" t="str">
        <f>Etiquettes!$C$4</f>
        <v>France entière</v>
      </c>
      <c r="I56" s="603" t="s">
        <v>1561</v>
      </c>
      <c r="J56" s="603"/>
      <c r="K56" t="s">
        <v>1559</v>
      </c>
      <c r="L56" s="603" t="str" cm="1">
        <f t="array" aca="1" ref="L56" ca="1">[1]!NOM_FEUILLE('Bilans Blé dur - FAM'!$A$1)</f>
        <v>Bilans Blé dur - FAM</v>
      </c>
      <c r="M56" s="26" t="str">
        <f>Etiquettes!$H$11</f>
        <v>Volume</v>
      </c>
      <c r="N56" t="str">
        <f t="shared" si="0"/>
        <v>Production de semences certifiées = 45 kt (Bilans par campagne - FranceAgriMer)</v>
      </c>
      <c r="O56" s="26" t="str">
        <f>Etiquettes!$J$15</f>
        <v>Probable</v>
      </c>
      <c r="P56" s="603" t="str">
        <f>Etiquettes!$H$16</f>
        <v>Données collectées</v>
      </c>
      <c r="Q56" s="603" t="str">
        <f>Etiquettes!$H$17</f>
        <v>Donnée collectée (valeur du flux ou coefficient)</v>
      </c>
      <c r="R56"/>
      <c r="S56"/>
    </row>
    <row r="57" spans="1:19" s="26" customFormat="1">
      <c r="A57" t="str">
        <f>'Prétraitement bilans'!A25</f>
        <v>OS</v>
      </c>
      <c r="B57" t="str">
        <f>'Prétraitement bilans'!B25</f>
        <v>Stock final</v>
      </c>
      <c r="C57" s="458">
        <f>'Prétraitement bilans'!G25</f>
        <v>124.44090000000001</v>
      </c>
      <c r="D57" s="10"/>
      <c r="E57" t="str">
        <f>Etiquettes!$C$3</f>
        <v>kt</v>
      </c>
      <c r="F57" s="26" t="str">
        <f>Etiquettes!$K$6</f>
        <v>Blé dur</v>
      </c>
      <c r="G57" s="26" t="str">
        <f>Etiquettes!$H$5</f>
        <v>2015-16</v>
      </c>
      <c r="H57" t="str">
        <f>Etiquettes!$C$4</f>
        <v>France entière</v>
      </c>
      <c r="I57" s="603" t="s">
        <v>1128</v>
      </c>
      <c r="J57" s="603"/>
      <c r="K57" t="s">
        <v>1559</v>
      </c>
      <c r="L57" s="603" t="str" cm="1">
        <f t="array" aca="1" ref="L57" ca="1">[1]!NOM_FEUILLE('Bilans Blé dur - FAM'!$A$1)</f>
        <v>Bilans Blé dur - FAM</v>
      </c>
      <c r="M57" s="26" t="str">
        <f>Etiquettes!$H$11</f>
        <v>Volume</v>
      </c>
      <c r="N57" t="str">
        <f t="shared" si="0"/>
        <v>Stock final collecteurs = 124 kt (Bilans par campagne - FranceAgriMer)</v>
      </c>
      <c r="O57" s="26" t="str">
        <f>Etiquettes!$I$15</f>
        <v>Robuste</v>
      </c>
      <c r="P57" s="603" t="str">
        <f>Etiquettes!$H$16</f>
        <v>Données collectées</v>
      </c>
      <c r="Q57" s="603" t="str">
        <f>Etiquettes!$H$17</f>
        <v>Donnée collectée (valeur du flux ou coefficient)</v>
      </c>
      <c r="R57"/>
      <c r="S57"/>
    </row>
    <row r="58" spans="1:19">
      <c r="A58" t="str">
        <f>'Prétraitement bilans'!A3</f>
        <v>Récolte</v>
      </c>
      <c r="B58" t="str">
        <f>'Prétraitement bilans'!B3</f>
        <v>Grains récoltés</v>
      </c>
      <c r="C58" s="458">
        <f>'Prétraitement bilans'!H3</f>
        <v>1865.6332</v>
      </c>
      <c r="E58" t="str">
        <f>Etiquettes!$C$3</f>
        <v>kt</v>
      </c>
      <c r="F58" s="26" t="str">
        <f>Etiquettes!$L$6</f>
        <v>Triticale</v>
      </c>
      <c r="G58" s="26" t="str">
        <f>Etiquettes!$H$5</f>
        <v>2015-16</v>
      </c>
      <c r="H58" t="str">
        <f>Etiquettes!$C$4</f>
        <v>France entière</v>
      </c>
      <c r="I58" s="603" t="s">
        <v>1106</v>
      </c>
      <c r="J58" s="603"/>
      <c r="K58" t="s">
        <v>1559</v>
      </c>
      <c r="L58" s="603" t="str" cm="1">
        <f t="array" aca="1" ref="L58" ca="1">[1]!NOM_FEUILLE('Bilans Triticale - FAM'!$A$1)</f>
        <v>Bilans Triticale - FAM</v>
      </c>
      <c r="M58" s="26" t="str">
        <f>Etiquettes!$H$11</f>
        <v>Volume</v>
      </c>
      <c r="N58" t="str">
        <f t="shared" si="0"/>
        <v>Récolte = 1866 kt (Bilans par campagne - FranceAgriMer)</v>
      </c>
      <c r="O58" s="26" t="str">
        <f>Etiquettes!$H$15</f>
        <v>Fiable</v>
      </c>
      <c r="P58" s="603" t="str">
        <f>Etiquettes!$H$16</f>
        <v>Données collectées</v>
      </c>
      <c r="Q58" s="603" t="str">
        <f>Etiquettes!$H$17</f>
        <v>Donnée collectée (valeur du flux ou coefficient)</v>
      </c>
    </row>
    <row r="59" spans="1:19">
      <c r="A59" t="str">
        <f>'Prétraitement bilans'!A4</f>
        <v>Stock initial</v>
      </c>
      <c r="B59" t="str">
        <f>'Prétraitement bilans'!B4</f>
        <v>Ferme</v>
      </c>
      <c r="C59" s="458">
        <f>'Prétraitement bilans'!H4</f>
        <v>0</v>
      </c>
      <c r="E59" t="str">
        <f>Etiquettes!$C$3</f>
        <v>kt</v>
      </c>
      <c r="F59" s="26" t="str">
        <f>Etiquettes!$L$6</f>
        <v>Triticale</v>
      </c>
      <c r="G59" s="26" t="str">
        <f>Etiquettes!$H$5</f>
        <v>2015-16</v>
      </c>
      <c r="H59" t="str">
        <f>Etiquettes!$C$4</f>
        <v>France entière</v>
      </c>
      <c r="I59" s="603" t="s">
        <v>1115</v>
      </c>
      <c r="J59" s="603"/>
      <c r="K59" t="s">
        <v>1559</v>
      </c>
      <c r="L59" s="603" t="str" cm="1">
        <f t="array" aca="1" ref="L59" ca="1">[1]!NOM_FEUILLE('Bilans Triticale - FAM'!$A$1)</f>
        <v>Bilans Triticale - FAM</v>
      </c>
      <c r="M59" s="26" t="str">
        <f>Etiquettes!$H$11</f>
        <v>Volume</v>
      </c>
      <c r="N59" t="str">
        <f t="shared" si="0"/>
        <v>Stock initial à la ferme = 0 kt (Bilans par campagne - FranceAgriMer)</v>
      </c>
      <c r="O59" s="26" t="str">
        <f>Etiquettes!$K$15</f>
        <v>Approximative</v>
      </c>
      <c r="P59" s="603" t="str">
        <f>Etiquettes!$H$16</f>
        <v>Données collectées</v>
      </c>
      <c r="Q59" s="603" t="str">
        <f>Etiquettes!$H$17</f>
        <v>Donnée collectée (valeur du flux ou coefficient)</v>
      </c>
    </row>
    <row r="60" spans="1:19">
      <c r="A60" t="str">
        <f>'Prétraitement bilans'!A5</f>
        <v>Ferme</v>
      </c>
      <c r="B60" t="str">
        <f>'Prétraitement bilans'!B5</f>
        <v>Grains autoconsommés</v>
      </c>
      <c r="C60" s="458">
        <f>'Prétraitement bilans'!H5</f>
        <v>1074.9704019999999</v>
      </c>
      <c r="E60" t="str">
        <f>Etiquettes!$C$3</f>
        <v>kt</v>
      </c>
      <c r="F60" s="26" t="str">
        <f>Etiquettes!$L$6</f>
        <v>Triticale</v>
      </c>
      <c r="G60" s="26" t="str">
        <f>Etiquettes!$H$5</f>
        <v>2015-16</v>
      </c>
      <c r="H60" t="str">
        <f>Etiquettes!$C$4</f>
        <v>France entière</v>
      </c>
      <c r="I60" s="603" t="s">
        <v>1560</v>
      </c>
      <c r="J60" s="603"/>
      <c r="K60" t="s">
        <v>1559</v>
      </c>
      <c r="L60" s="603" t="str" cm="1">
        <f t="array" aca="1" ref="L60" ca="1">[1]!NOM_FEUILLE('Bilans Triticale - FAM'!$A$1)</f>
        <v>Bilans Triticale - FAM</v>
      </c>
      <c r="M60" s="26" t="str">
        <f>Etiquettes!$H$11</f>
        <v>Volume</v>
      </c>
      <c r="N60" t="str">
        <f t="shared" si="0"/>
        <v>Autoconsommation à la ferme = 1075 kt (Bilans par campagne - FranceAgriMer)</v>
      </c>
      <c r="O60" s="26" t="str">
        <f>Etiquettes!$K$15</f>
        <v>Approximative</v>
      </c>
      <c r="P60" s="603" t="str">
        <f>Etiquettes!$H$16</f>
        <v>Données collectées</v>
      </c>
      <c r="Q60" s="603" t="str">
        <f>Etiquettes!$H$17</f>
        <v>Donnée collectée (valeur du flux ou coefficient)</v>
      </c>
    </row>
    <row r="61" spans="1:19">
      <c r="A61" t="str">
        <f>'Prétraitement bilans'!A6</f>
        <v>Ferme</v>
      </c>
      <c r="B61" t="str">
        <f>'Prétraitement bilans'!B6</f>
        <v>Stock final</v>
      </c>
      <c r="C61" s="458">
        <f>'Prétraitement bilans'!H6</f>
        <v>0</v>
      </c>
      <c r="E61" t="str">
        <f>Etiquettes!$C$3</f>
        <v>kt</v>
      </c>
      <c r="F61" s="26" t="str">
        <f>Etiquettes!$L$6</f>
        <v>Triticale</v>
      </c>
      <c r="G61" s="26" t="str">
        <f>Etiquettes!$H$5</f>
        <v>2015-16</v>
      </c>
      <c r="H61" t="str">
        <f>Etiquettes!$C$4</f>
        <v>France entière</v>
      </c>
      <c r="I61" s="603" t="s">
        <v>1116</v>
      </c>
      <c r="J61" s="603"/>
      <c r="K61" t="s">
        <v>1559</v>
      </c>
      <c r="L61" s="603" t="str" cm="1">
        <f t="array" aca="1" ref="L61" ca="1">[1]!NOM_FEUILLE('Bilans Triticale - FAM'!$A$1)</f>
        <v>Bilans Triticale - FAM</v>
      </c>
      <c r="M61" s="26" t="str">
        <f>Etiquettes!$H$11</f>
        <v>Volume</v>
      </c>
      <c r="N61" t="str">
        <f t="shared" si="0"/>
        <v>Stock final à la ferme = 0 kt (Bilans par campagne - FranceAgriMer)</v>
      </c>
      <c r="O61" s="26" t="str">
        <f>Etiquettes!$K$15</f>
        <v>Approximative</v>
      </c>
      <c r="P61" s="603" t="str">
        <f>Etiquettes!$H$16</f>
        <v>Données collectées</v>
      </c>
      <c r="Q61" s="603" t="str">
        <f>Etiquettes!$H$17</f>
        <v>Donnée collectée (valeur du flux ou coefficient)</v>
      </c>
    </row>
    <row r="62" spans="1:19">
      <c r="A62" t="str">
        <f>'Prétraitement bilans'!A7</f>
        <v>Stock initial</v>
      </c>
      <c r="B62" t="str">
        <f>'Prétraitement bilans'!B7</f>
        <v>OS</v>
      </c>
      <c r="C62" s="458">
        <f>'Prétraitement bilans'!H7</f>
        <v>55.837000000000003</v>
      </c>
      <c r="E62" t="str">
        <f>Etiquettes!$C$3</f>
        <v>kt</v>
      </c>
      <c r="F62" s="26" t="str">
        <f>Etiquettes!$L$6</f>
        <v>Triticale</v>
      </c>
      <c r="G62" s="26" t="str">
        <f>Etiquettes!$H$5</f>
        <v>2015-16</v>
      </c>
      <c r="H62" t="str">
        <f>Etiquettes!$C$4</f>
        <v>France entière</v>
      </c>
      <c r="I62" s="603" t="s">
        <v>1127</v>
      </c>
      <c r="J62" s="603"/>
      <c r="K62" t="s">
        <v>1559</v>
      </c>
      <c r="L62" s="603" t="str" cm="1">
        <f t="array" aca="1" ref="L62" ca="1">[1]!NOM_FEUILLE('Bilans Triticale - FAM'!$A$1)</f>
        <v>Bilans Triticale - FAM</v>
      </c>
      <c r="M62" s="26" t="str">
        <f>Etiquettes!$H$11</f>
        <v>Volume</v>
      </c>
      <c r="N62" t="str">
        <f t="shared" si="0"/>
        <v>Stock initial collecteurs = 56 kt (Bilans par campagne - FranceAgriMer)</v>
      </c>
      <c r="O62" s="26" t="str">
        <f>Etiquettes!$I$15</f>
        <v>Robuste</v>
      </c>
      <c r="P62" s="603" t="str">
        <f>Etiquettes!$H$16</f>
        <v>Données collectées</v>
      </c>
      <c r="Q62" s="603" t="str">
        <f>Etiquettes!$H$17</f>
        <v>Donnée collectée (valeur du flux ou coefficient)</v>
      </c>
    </row>
    <row r="63" spans="1:19">
      <c r="A63" t="str">
        <f>'Prétraitement bilans'!A8</f>
        <v>Grains récoltés</v>
      </c>
      <c r="B63" t="str">
        <f>'Prétraitement bilans'!B8</f>
        <v>OS</v>
      </c>
      <c r="C63" s="458">
        <f>'Prétraitement bilans'!H8</f>
        <v>790.66279800000018</v>
      </c>
      <c r="E63" t="str">
        <f>Etiquettes!$C$3</f>
        <v>kt</v>
      </c>
      <c r="F63" s="26" t="str">
        <f>Etiquettes!$L$6</f>
        <v>Triticale</v>
      </c>
      <c r="G63" s="26" t="str">
        <f>Etiquettes!$H$5</f>
        <v>2015-16</v>
      </c>
      <c r="H63" t="str">
        <f>Etiquettes!$C$4</f>
        <v>France entière</v>
      </c>
      <c r="I63" s="603" t="s">
        <v>317</v>
      </c>
      <c r="J63" s="603"/>
      <c r="K63" t="s">
        <v>1559</v>
      </c>
      <c r="L63" s="603" t="str" cm="1">
        <f t="array" aca="1" ref="L63" ca="1">[1]!NOM_FEUILLE('Bilans Triticale - FAM'!$A$1)</f>
        <v>Bilans Triticale - FAM</v>
      </c>
      <c r="M63" s="26" t="str">
        <f>Etiquettes!$H$11</f>
        <v>Volume</v>
      </c>
      <c r="N63" t="str">
        <f t="shared" si="0"/>
        <v>Collecte = 791 kt (Bilans par campagne - FranceAgriMer)</v>
      </c>
      <c r="O63" s="26" t="str">
        <f>Etiquettes!$I$15</f>
        <v>Robuste</v>
      </c>
      <c r="P63" s="603" t="str">
        <f>Etiquettes!$H$16</f>
        <v>Données collectées</v>
      </c>
      <c r="Q63" s="603" t="str">
        <f>Etiquettes!$H$17</f>
        <v>Donnée collectée (valeur du flux ou coefficient)</v>
      </c>
    </row>
    <row r="64" spans="1:19">
      <c r="A64" t="str">
        <f>'Prétraitement bilans'!A13</f>
        <v>Grains collectés</v>
      </c>
      <c r="B64" t="str">
        <f>'Prétraitement bilans'!B13</f>
        <v>Amidonnerie / Glutennerie</v>
      </c>
      <c r="C64" s="458">
        <f>'Prétraitement bilans'!H13</f>
        <v>0</v>
      </c>
      <c r="E64" t="str">
        <f>Etiquettes!$C$3</f>
        <v>kt</v>
      </c>
      <c r="F64" s="26" t="str">
        <f>Etiquettes!$L$6</f>
        <v>Triticale</v>
      </c>
      <c r="G64" s="26" t="str">
        <f>Etiquettes!$H$5</f>
        <v>2015-16</v>
      </c>
      <c r="H64" t="str">
        <f>Etiquettes!$C$4</f>
        <v>France entière</v>
      </c>
      <c r="I64" s="603" t="s">
        <v>1563</v>
      </c>
      <c r="J64" s="603"/>
      <c r="K64" t="s">
        <v>1559</v>
      </c>
      <c r="L64" s="603" t="str" cm="1">
        <f t="array" aca="1" ref="L64" ca="1">[1]!NOM_FEUILLE('Bilans Triticale - FAM'!$A$1)</f>
        <v>Bilans Triticale - FAM</v>
      </c>
      <c r="M64" s="26" t="str">
        <f>Etiquettes!$H$11</f>
        <v>Volume</v>
      </c>
      <c r="N64" t="str">
        <f t="shared" si="0"/>
        <v>Consommation de grains par l'Amidonnerie = 0 kt (Bilans par campagne - FranceAgriMer)</v>
      </c>
      <c r="O64" s="26" t="str">
        <f>Etiquettes!$J$15</f>
        <v>Probable</v>
      </c>
      <c r="P64" s="603" t="str">
        <f>Etiquettes!$H$16</f>
        <v>Données collectées</v>
      </c>
      <c r="Q64" s="603" t="str">
        <f>Etiquettes!$H$17</f>
        <v>Donnée collectée (valeur du flux ou coefficient)</v>
      </c>
    </row>
    <row r="65" spans="1:19">
      <c r="A65" t="str">
        <f>'Prétraitement bilans'!A16</f>
        <v>Grains collectés</v>
      </c>
      <c r="B65" t="str">
        <f>'Prétraitement bilans'!B16</f>
        <v>Distillerie</v>
      </c>
      <c r="C65" s="458">
        <f>'Prétraitement bilans'!H16</f>
        <v>0</v>
      </c>
      <c r="E65" t="str">
        <f>Etiquettes!$C$3</f>
        <v>kt</v>
      </c>
      <c r="F65" s="26" t="str">
        <f>Etiquettes!$L$6</f>
        <v>Triticale</v>
      </c>
      <c r="G65" s="26" t="str">
        <f>Etiquettes!$H$5</f>
        <v>2015-16</v>
      </c>
      <c r="H65" t="str">
        <f>Etiquettes!$C$4</f>
        <v>France entière</v>
      </c>
      <c r="I65" s="603" t="s">
        <v>1564</v>
      </c>
      <c r="J65" s="603"/>
      <c r="K65" t="s">
        <v>1559</v>
      </c>
      <c r="L65" s="603" t="str" cm="1">
        <f t="array" aca="1" ref="L65" ca="1">[1]!NOM_FEUILLE('Bilans Triticale - FAM'!$A$1)</f>
        <v>Bilans Triticale - FAM</v>
      </c>
      <c r="M65" s="26" t="str">
        <f>Etiquettes!$H$11</f>
        <v>Volume</v>
      </c>
      <c r="N65" t="str">
        <f t="shared" si="0"/>
        <v>Consommation de grains par la Distillerie = 0 kt (Bilans par campagne - FranceAgriMer)</v>
      </c>
      <c r="O65" s="26" t="str">
        <f>Etiquettes!$J$15</f>
        <v>Probable</v>
      </c>
      <c r="P65" s="603" t="str">
        <f>Etiquettes!$H$16</f>
        <v>Données collectées</v>
      </c>
      <c r="Q65" s="603" t="str">
        <f>Etiquettes!$H$17</f>
        <v>Donnée collectée (valeur du flux ou coefficient)</v>
      </c>
    </row>
    <row r="66" spans="1:19">
      <c r="A66" t="str">
        <f>'Prétraitement bilans'!A17</f>
        <v>Grains collectés</v>
      </c>
      <c r="B66" t="str">
        <f>'Prétraitement bilans'!B17</f>
        <v>Malterie</v>
      </c>
      <c r="C66" s="458">
        <f>'Prétraitement bilans'!H17</f>
        <v>0</v>
      </c>
      <c r="E66" t="str">
        <f>Etiquettes!$C$3</f>
        <v>kt</v>
      </c>
      <c r="F66" s="26" t="str">
        <f>Etiquettes!$L$6</f>
        <v>Triticale</v>
      </c>
      <c r="G66" s="26" t="str">
        <f>Etiquettes!$H$5</f>
        <v>2015-16</v>
      </c>
      <c r="H66" t="str">
        <f>Etiquettes!$C$4</f>
        <v>France entière</v>
      </c>
      <c r="I66" s="603" t="s">
        <v>1565</v>
      </c>
      <c r="J66" s="603"/>
      <c r="K66" t="s">
        <v>1559</v>
      </c>
      <c r="L66" s="603" t="str" cm="1">
        <f t="array" aca="1" ref="L66" ca="1">[1]!NOM_FEUILLE('Bilans Triticale - FAM'!$A$1)</f>
        <v>Bilans Triticale - FAM</v>
      </c>
      <c r="M66" s="26" t="str">
        <f>Etiquettes!$H$11</f>
        <v>Volume</v>
      </c>
      <c r="N66" t="str">
        <f t="shared" si="0"/>
        <v>Consommation de grains par la Malterie = 0 kt (Bilans par campagne - FranceAgriMer)</v>
      </c>
      <c r="O66" s="26" t="str">
        <f>Etiquettes!$J$15</f>
        <v>Probable</v>
      </c>
      <c r="P66" s="603" t="str">
        <f>Etiquettes!$H$16</f>
        <v>Données collectées</v>
      </c>
      <c r="Q66" s="603" t="str">
        <f>Etiquettes!$H$17</f>
        <v>Donnée collectée (valeur du flux ou coefficient)</v>
      </c>
    </row>
    <row r="67" spans="1:19" s="26" customFormat="1">
      <c r="A67" t="str">
        <f>'Prétraitement bilans'!A18</f>
        <v>Grains collectés</v>
      </c>
      <c r="B67" t="str">
        <f>'Prétraitement bilans'!B18</f>
        <v>Autres IAA</v>
      </c>
      <c r="C67" s="458">
        <f>'Prétraitement bilans'!H18</f>
        <v>0</v>
      </c>
      <c r="D67" s="10"/>
      <c r="E67" t="str">
        <f>Etiquettes!$C$3</f>
        <v>kt</v>
      </c>
      <c r="F67" s="26" t="str">
        <f>Etiquettes!$L$6</f>
        <v>Triticale</v>
      </c>
      <c r="G67" s="26" t="str">
        <f>Etiquettes!$H$5</f>
        <v>2015-16</v>
      </c>
      <c r="H67" t="str">
        <f>Etiquettes!$C$4</f>
        <v>France entière</v>
      </c>
      <c r="I67" s="603" t="s">
        <v>1566</v>
      </c>
      <c r="J67" s="603"/>
      <c r="K67" t="s">
        <v>1559</v>
      </c>
      <c r="L67" s="603" t="str" cm="1">
        <f t="array" aca="1" ref="L67" ca="1">[1]!NOM_FEUILLE('Bilans Triticale - FAM'!$A$1)</f>
        <v>Bilans Triticale - FAM</v>
      </c>
      <c r="M67" s="26" t="str">
        <f>Etiquettes!$H$11</f>
        <v>Volume</v>
      </c>
      <c r="N67" t="str">
        <f t="shared" si="0"/>
        <v>Consommation de grains par les autres IAA = 0 kt (Bilans par campagne - FranceAgriMer)</v>
      </c>
      <c r="O67" s="26" t="str">
        <f>Etiquettes!$J$15</f>
        <v>Probable</v>
      </c>
      <c r="P67" s="603" t="str">
        <f>Etiquettes!$H$16</f>
        <v>Données collectées</v>
      </c>
      <c r="Q67" s="603" t="str">
        <f>Etiquettes!$H$17</f>
        <v>Donnée collectée (valeur du flux ou coefficient)</v>
      </c>
      <c r="R67"/>
      <c r="S67"/>
    </row>
    <row r="68" spans="1:19" s="26" customFormat="1">
      <c r="A68" t="str">
        <f>'Prétraitement bilans'!A19</f>
        <v>Grains collectés</v>
      </c>
      <c r="B68" t="str">
        <f>'Prétraitement bilans'!B19</f>
        <v>Semoulerie</v>
      </c>
      <c r="C68" s="458">
        <f>'Prétraitement bilans'!H19</f>
        <v>0</v>
      </c>
      <c r="D68" s="10"/>
      <c r="E68" t="str">
        <f>Etiquettes!$C$3</f>
        <v>kt</v>
      </c>
      <c r="F68" s="26" t="str">
        <f>Etiquettes!$L$6</f>
        <v>Triticale</v>
      </c>
      <c r="G68" s="26" t="str">
        <f>Etiquettes!$H$5</f>
        <v>2015-16</v>
      </c>
      <c r="H68" t="str">
        <f>Etiquettes!$C$4</f>
        <v>France entière</v>
      </c>
      <c r="I68" s="603" t="s">
        <v>1567</v>
      </c>
      <c r="J68" s="603"/>
      <c r="K68" t="s">
        <v>1559</v>
      </c>
      <c r="L68" s="603" t="str" cm="1">
        <f t="array" aca="1" ref="L68" ca="1">[1]!NOM_FEUILLE('Bilans Triticale - FAM'!$A$1)</f>
        <v>Bilans Triticale - FAM</v>
      </c>
      <c r="M68" s="26" t="str">
        <f>Etiquettes!$H$11</f>
        <v>Volume</v>
      </c>
      <c r="N68" t="str">
        <f t="shared" ref="N68:N131" si="1">_xlfn.CONCAT(I68,IF(ISBLANK(C68),"",_xlfn.CONCAT(" = ",MROUND(C68,1)," ",E68))," (",K68,")")</f>
        <v>Consommation de grains par la Semoulerie = 0 kt (Bilans par campagne - FranceAgriMer)</v>
      </c>
      <c r="O68" s="26" t="str">
        <f>Etiquettes!$J$15</f>
        <v>Probable</v>
      </c>
      <c r="P68" s="603" t="str">
        <f>Etiquettes!$H$16</f>
        <v>Données collectées</v>
      </c>
      <c r="Q68" s="603" t="str">
        <f>Etiquettes!$H$17</f>
        <v>Donnée collectée (valeur du flux ou coefficient)</v>
      </c>
      <c r="R68"/>
      <c r="S68"/>
    </row>
    <row r="69" spans="1:19" s="26" customFormat="1">
      <c r="A69" t="str">
        <f>'Prétraitement bilans'!A20</f>
        <v>Grains collectés</v>
      </c>
      <c r="B69" t="str">
        <f>'Prétraitement bilans'!B20</f>
        <v>FAB</v>
      </c>
      <c r="C69" s="458">
        <f>'Prétraitement bilans'!H20</f>
        <v>591.15564299999994</v>
      </c>
      <c r="D69" s="10"/>
      <c r="E69" t="str">
        <f>Etiquettes!$C$3</f>
        <v>kt</v>
      </c>
      <c r="F69" s="26" t="str">
        <f>Etiquettes!$L$6</f>
        <v>Triticale</v>
      </c>
      <c r="G69" s="26" t="str">
        <f>Etiquettes!$H$5</f>
        <v>2015-16</v>
      </c>
      <c r="H69" t="str">
        <f>Etiquettes!$C$4</f>
        <v>France entière</v>
      </c>
      <c r="I69" s="603" t="s">
        <v>1568</v>
      </c>
      <c r="J69" s="603"/>
      <c r="K69" t="s">
        <v>1559</v>
      </c>
      <c r="L69" s="603" t="str" cm="1">
        <f t="array" aca="1" ref="L69" ca="1">[1]!NOM_FEUILLE('Bilans Triticale - FAM'!$A$1)</f>
        <v>Bilans Triticale - FAM</v>
      </c>
      <c r="M69" s="26" t="str">
        <f>Etiquettes!$H$11</f>
        <v>Volume</v>
      </c>
      <c r="N69" t="str">
        <f t="shared" si="1"/>
        <v>Consommation de grains par les FAB = 591 kt (Bilans par campagne - FranceAgriMer)</v>
      </c>
      <c r="O69" s="26" t="str">
        <f>Etiquettes!$J$15</f>
        <v>Probable</v>
      </c>
      <c r="P69" s="603" t="str">
        <f>Etiquettes!$H$16</f>
        <v>Données collectées</v>
      </c>
      <c r="Q69" s="603" t="str">
        <f>Etiquettes!$H$17</f>
        <v>Donnée collectée (valeur du flux ou coefficient)</v>
      </c>
      <c r="R69"/>
      <c r="S69"/>
    </row>
    <row r="70" spans="1:19" s="26" customFormat="1">
      <c r="A70" t="str">
        <f>'Prétraitement bilans'!A21</f>
        <v>Grains collectés</v>
      </c>
      <c r="B70" t="str">
        <f>'Prétraitement bilans'!B21</f>
        <v>Semences certifiées</v>
      </c>
      <c r="C70" s="458">
        <f>'Prétraitement bilans'!H21</f>
        <v>25.897099999999998</v>
      </c>
      <c r="D70" s="10"/>
      <c r="E70" t="str">
        <f>Etiquettes!$C$3</f>
        <v>kt</v>
      </c>
      <c r="F70" s="26" t="str">
        <f>Etiquettes!$L$6</f>
        <v>Triticale</v>
      </c>
      <c r="G70" s="26" t="str">
        <f>Etiquettes!$H$5</f>
        <v>2015-16</v>
      </c>
      <c r="H70" t="str">
        <f>Etiquettes!$C$4</f>
        <v>France entière</v>
      </c>
      <c r="I70" s="603" t="s">
        <v>1561</v>
      </c>
      <c r="J70" s="603"/>
      <c r="K70" t="s">
        <v>1559</v>
      </c>
      <c r="L70" s="603" t="str" cm="1">
        <f t="array" aca="1" ref="L70" ca="1">[1]!NOM_FEUILLE('Bilans Triticale - FAM'!$A$1)</f>
        <v>Bilans Triticale - FAM</v>
      </c>
      <c r="M70" s="26" t="str">
        <f>Etiquettes!$H$11</f>
        <v>Volume</v>
      </c>
      <c r="N70" t="str">
        <f t="shared" si="1"/>
        <v>Production de semences certifiées = 26 kt (Bilans par campagne - FranceAgriMer)</v>
      </c>
      <c r="O70" s="26" t="str">
        <f>Etiquettes!$J$15</f>
        <v>Probable</v>
      </c>
      <c r="P70" s="603" t="str">
        <f>Etiquettes!$H$16</f>
        <v>Données collectées</v>
      </c>
      <c r="Q70" s="603" t="str">
        <f>Etiquettes!$H$17</f>
        <v>Donnée collectée (valeur du flux ou coefficient)</v>
      </c>
      <c r="R70"/>
      <c r="S70"/>
    </row>
    <row r="71" spans="1:19" s="26" customFormat="1">
      <c r="A71" t="str">
        <f>'Prétraitement bilans'!A25</f>
        <v>OS</v>
      </c>
      <c r="B71" t="str">
        <f>'Prétraitement bilans'!B25</f>
        <v>Stock final</v>
      </c>
      <c r="C71" s="458">
        <f>'Prétraitement bilans'!H25</f>
        <v>48.278700000000008</v>
      </c>
      <c r="D71" s="10"/>
      <c r="E71" t="str">
        <f>Etiquettes!$C$3</f>
        <v>kt</v>
      </c>
      <c r="F71" s="26" t="str">
        <f>Etiquettes!$L$6</f>
        <v>Triticale</v>
      </c>
      <c r="G71" s="26" t="str">
        <f>Etiquettes!$H$5</f>
        <v>2015-16</v>
      </c>
      <c r="H71" t="str">
        <f>Etiquettes!$C$4</f>
        <v>France entière</v>
      </c>
      <c r="I71" s="603" t="s">
        <v>1128</v>
      </c>
      <c r="J71" s="603"/>
      <c r="K71" t="s">
        <v>1559</v>
      </c>
      <c r="L71" s="603" t="str" cm="1">
        <f t="array" aca="1" ref="L71" ca="1">[1]!NOM_FEUILLE('Bilans Triticale - FAM'!$A$1)</f>
        <v>Bilans Triticale - FAM</v>
      </c>
      <c r="M71" s="26" t="str">
        <f>Etiquettes!$H$11</f>
        <v>Volume</v>
      </c>
      <c r="N71" t="str">
        <f t="shared" si="1"/>
        <v>Stock final collecteurs = 48 kt (Bilans par campagne - FranceAgriMer)</v>
      </c>
      <c r="O71" s="26" t="str">
        <f>Etiquettes!$I$15</f>
        <v>Robuste</v>
      </c>
      <c r="P71" s="603" t="str">
        <f>Etiquettes!$H$16</f>
        <v>Données collectées</v>
      </c>
      <c r="Q71" s="603" t="str">
        <f>Etiquettes!$H$17</f>
        <v>Donnée collectée (valeur du flux ou coefficient)</v>
      </c>
      <c r="R71"/>
      <c r="S71"/>
    </row>
    <row r="72" spans="1:19" s="26" customFormat="1">
      <c r="A72" t="str">
        <f>'Prétraitement bilans'!A3</f>
        <v>Récolte</v>
      </c>
      <c r="B72" t="str">
        <f>'Prétraitement bilans'!B3</f>
        <v>Grains récoltés</v>
      </c>
      <c r="C72" s="458">
        <f>'Prétraitement bilans'!I3</f>
        <v>278.46340000000004</v>
      </c>
      <c r="D72" s="10"/>
      <c r="E72" t="str">
        <f>Etiquettes!$C$3</f>
        <v>kt</v>
      </c>
      <c r="F72" s="26" t="str">
        <f>Etiquettes!$M$6</f>
        <v>Sorgho</v>
      </c>
      <c r="G72" s="26" t="str">
        <f>Etiquettes!$H$5</f>
        <v>2015-16</v>
      </c>
      <c r="H72" t="str">
        <f>Etiquettes!$C$4</f>
        <v>France entière</v>
      </c>
      <c r="I72" s="603" t="s">
        <v>1106</v>
      </c>
      <c r="J72" s="603"/>
      <c r="K72" t="s">
        <v>1559</v>
      </c>
      <c r="L72" s="603" t="str" cm="1">
        <f t="array" aca="1" ref="L72" ca="1">[1]!NOM_FEUILLE('Bilans Sorgho - FAM'!$A$1)</f>
        <v>Bilans Sorgho - FAM</v>
      </c>
      <c r="M72" s="26" t="str">
        <f>Etiquettes!$H$11</f>
        <v>Volume</v>
      </c>
      <c r="N72" t="str">
        <f t="shared" si="1"/>
        <v>Récolte = 278 kt (Bilans par campagne - FranceAgriMer)</v>
      </c>
      <c r="O72" s="26" t="str">
        <f>Etiquettes!$H$15</f>
        <v>Fiable</v>
      </c>
      <c r="P72" s="603" t="str">
        <f>Etiquettes!$H$16</f>
        <v>Données collectées</v>
      </c>
      <c r="Q72" s="603" t="str">
        <f>Etiquettes!$H$17</f>
        <v>Donnée collectée (valeur du flux ou coefficient)</v>
      </c>
      <c r="R72"/>
      <c r="S72"/>
    </row>
    <row r="73" spans="1:19" s="26" customFormat="1">
      <c r="A73" t="str">
        <f>'Prétraitement bilans'!A4</f>
        <v>Stock initial</v>
      </c>
      <c r="B73" t="str">
        <f>'Prétraitement bilans'!B4</f>
        <v>Ferme</v>
      </c>
      <c r="C73" s="458">
        <f>'Prétraitement bilans'!I4</f>
        <v>0</v>
      </c>
      <c r="D73" s="10"/>
      <c r="E73" t="str">
        <f>Etiquettes!$C$3</f>
        <v>kt</v>
      </c>
      <c r="F73" s="26" t="str">
        <f>Etiquettes!$M$6</f>
        <v>Sorgho</v>
      </c>
      <c r="G73" s="26" t="str">
        <f>Etiquettes!$H$5</f>
        <v>2015-16</v>
      </c>
      <c r="H73" t="str">
        <f>Etiquettes!$C$4</f>
        <v>France entière</v>
      </c>
      <c r="I73" s="603" t="s">
        <v>1115</v>
      </c>
      <c r="J73" s="603"/>
      <c r="K73" t="s">
        <v>1559</v>
      </c>
      <c r="L73" s="603" t="str" cm="1">
        <f t="array" aca="1" ref="L73" ca="1">[1]!NOM_FEUILLE('Bilans Sorgho - FAM'!$A$1)</f>
        <v>Bilans Sorgho - FAM</v>
      </c>
      <c r="M73" s="26" t="str">
        <f>Etiquettes!$H$11</f>
        <v>Volume</v>
      </c>
      <c r="N73" t="str">
        <f t="shared" si="1"/>
        <v>Stock initial à la ferme = 0 kt (Bilans par campagne - FranceAgriMer)</v>
      </c>
      <c r="O73" s="26" t="str">
        <f>Etiquettes!$K$15</f>
        <v>Approximative</v>
      </c>
      <c r="P73" s="603" t="str">
        <f>Etiquettes!$H$16</f>
        <v>Données collectées</v>
      </c>
      <c r="Q73" s="603" t="str">
        <f>Etiquettes!$H$17</f>
        <v>Donnée collectée (valeur du flux ou coefficient)</v>
      </c>
      <c r="R73"/>
      <c r="S73"/>
    </row>
    <row r="74" spans="1:19" s="26" customFormat="1">
      <c r="A74" t="str">
        <f>'Prétraitement bilans'!A5</f>
        <v>Ferme</v>
      </c>
      <c r="B74" t="str">
        <f>'Prétraitement bilans'!B5</f>
        <v>Grains autoconsommés</v>
      </c>
      <c r="C74" s="458">
        <f>'Prétraitement bilans'!I5</f>
        <v>114.05505700000006</v>
      </c>
      <c r="D74" s="10"/>
      <c r="E74" t="str">
        <f>Etiquettes!$C$3</f>
        <v>kt</v>
      </c>
      <c r="F74" s="26" t="str">
        <f>Etiquettes!$M$6</f>
        <v>Sorgho</v>
      </c>
      <c r="G74" s="26" t="str">
        <f>Etiquettes!$H$5</f>
        <v>2015-16</v>
      </c>
      <c r="H74" t="str">
        <f>Etiquettes!$C$4</f>
        <v>France entière</v>
      </c>
      <c r="I74" s="603" t="s">
        <v>1560</v>
      </c>
      <c r="J74" s="603"/>
      <c r="K74" t="s">
        <v>1559</v>
      </c>
      <c r="L74" s="603" t="str" cm="1">
        <f t="array" aca="1" ref="L74" ca="1">[1]!NOM_FEUILLE('Bilans Sorgho - FAM'!$A$1)</f>
        <v>Bilans Sorgho - FAM</v>
      </c>
      <c r="M74" s="26" t="str">
        <f>Etiquettes!$H$11</f>
        <v>Volume</v>
      </c>
      <c r="N74" t="str">
        <f t="shared" si="1"/>
        <v>Autoconsommation à la ferme = 114 kt (Bilans par campagne - FranceAgriMer)</v>
      </c>
      <c r="O74" s="26" t="str">
        <f>Etiquettes!$K$15</f>
        <v>Approximative</v>
      </c>
      <c r="P74" s="603" t="str">
        <f>Etiquettes!$H$16</f>
        <v>Données collectées</v>
      </c>
      <c r="Q74" s="603" t="str">
        <f>Etiquettes!$H$17</f>
        <v>Donnée collectée (valeur du flux ou coefficient)</v>
      </c>
      <c r="R74"/>
      <c r="S74"/>
    </row>
    <row r="75" spans="1:19">
      <c r="A75" t="str">
        <f>'Prétraitement bilans'!A6</f>
        <v>Ferme</v>
      </c>
      <c r="B75" t="str">
        <f>'Prétraitement bilans'!B6</f>
        <v>Stock final</v>
      </c>
      <c r="C75" s="458">
        <f>'Prétraitement bilans'!I6</f>
        <v>0</v>
      </c>
      <c r="E75" t="str">
        <f>Etiquettes!$C$3</f>
        <v>kt</v>
      </c>
      <c r="F75" s="26" t="str">
        <f>Etiquettes!$M$6</f>
        <v>Sorgho</v>
      </c>
      <c r="G75" s="26" t="str">
        <f>Etiquettes!$H$5</f>
        <v>2015-16</v>
      </c>
      <c r="H75" t="str">
        <f>Etiquettes!$C$4</f>
        <v>France entière</v>
      </c>
      <c r="I75" s="603" t="s">
        <v>1116</v>
      </c>
      <c r="J75" s="603"/>
      <c r="K75" t="s">
        <v>1559</v>
      </c>
      <c r="L75" s="603" t="str" cm="1">
        <f t="array" aca="1" ref="L75" ca="1">[1]!NOM_FEUILLE('Bilans Sorgho - FAM'!$A$1)</f>
        <v>Bilans Sorgho - FAM</v>
      </c>
      <c r="M75" s="26" t="str">
        <f>Etiquettes!$H$11</f>
        <v>Volume</v>
      </c>
      <c r="N75" t="str">
        <f t="shared" si="1"/>
        <v>Stock final à la ferme = 0 kt (Bilans par campagne - FranceAgriMer)</v>
      </c>
      <c r="O75" s="26" t="str">
        <f>Etiquettes!$K$15</f>
        <v>Approximative</v>
      </c>
      <c r="P75" s="603" t="str">
        <f>Etiquettes!$H$16</f>
        <v>Données collectées</v>
      </c>
      <c r="Q75" s="603" t="str">
        <f>Etiquettes!$H$17</f>
        <v>Donnée collectée (valeur du flux ou coefficient)</v>
      </c>
    </row>
    <row r="76" spans="1:19">
      <c r="A76" t="str">
        <f>'Prétraitement bilans'!A7</f>
        <v>Stock initial</v>
      </c>
      <c r="B76" t="str">
        <f>'Prétraitement bilans'!B7</f>
        <v>OS</v>
      </c>
      <c r="C76" s="458">
        <f>'Prétraitement bilans'!I7</f>
        <v>27.213000000000001</v>
      </c>
      <c r="E76" t="str">
        <f>Etiquettes!$C$3</f>
        <v>kt</v>
      </c>
      <c r="F76" s="26" t="str">
        <f>Etiquettes!$M$6</f>
        <v>Sorgho</v>
      </c>
      <c r="G76" s="26" t="str">
        <f>Etiquettes!$H$5</f>
        <v>2015-16</v>
      </c>
      <c r="H76" t="str">
        <f>Etiquettes!$C$4</f>
        <v>France entière</v>
      </c>
      <c r="I76" s="603" t="s">
        <v>1127</v>
      </c>
      <c r="J76" s="603"/>
      <c r="K76" t="s">
        <v>1559</v>
      </c>
      <c r="L76" s="603" t="str" cm="1">
        <f t="array" aca="1" ref="L76" ca="1">[1]!NOM_FEUILLE('Bilans Sorgho - FAM'!$A$1)</f>
        <v>Bilans Sorgho - FAM</v>
      </c>
      <c r="M76" s="26" t="str">
        <f>Etiquettes!$H$11</f>
        <v>Volume</v>
      </c>
      <c r="N76" t="str">
        <f t="shared" si="1"/>
        <v>Stock initial collecteurs = 27 kt (Bilans par campagne - FranceAgriMer)</v>
      </c>
      <c r="O76" s="26" t="str">
        <f>Etiquettes!$I$15</f>
        <v>Robuste</v>
      </c>
      <c r="P76" s="603" t="str">
        <f>Etiquettes!$H$16</f>
        <v>Données collectées</v>
      </c>
      <c r="Q76" s="603" t="str">
        <f>Etiquettes!$H$17</f>
        <v>Donnée collectée (valeur du flux ou coefficient)</v>
      </c>
    </row>
    <row r="77" spans="1:19">
      <c r="A77" t="str">
        <f>'Prétraitement bilans'!A8</f>
        <v>Grains récoltés</v>
      </c>
      <c r="B77" t="str">
        <f>'Prétraitement bilans'!B8</f>
        <v>OS</v>
      </c>
      <c r="C77" s="458">
        <f>'Prétraitement bilans'!I8</f>
        <v>164.40834299999997</v>
      </c>
      <c r="E77" t="str">
        <f>Etiquettes!$C$3</f>
        <v>kt</v>
      </c>
      <c r="F77" s="26" t="str">
        <f>Etiquettes!$M$6</f>
        <v>Sorgho</v>
      </c>
      <c r="G77" s="26" t="str">
        <f>Etiquettes!$H$5</f>
        <v>2015-16</v>
      </c>
      <c r="H77" t="str">
        <f>Etiquettes!$C$4</f>
        <v>France entière</v>
      </c>
      <c r="I77" s="603" t="s">
        <v>317</v>
      </c>
      <c r="J77" s="603"/>
      <c r="K77" t="s">
        <v>1559</v>
      </c>
      <c r="L77" s="603" t="str" cm="1">
        <f t="array" aca="1" ref="L77" ca="1">[1]!NOM_FEUILLE('Bilans Sorgho - FAM'!$A$1)</f>
        <v>Bilans Sorgho - FAM</v>
      </c>
      <c r="M77" s="26" t="str">
        <f>Etiquettes!$H$11</f>
        <v>Volume</v>
      </c>
      <c r="N77" t="str">
        <f t="shared" si="1"/>
        <v>Collecte = 164 kt (Bilans par campagne - FranceAgriMer)</v>
      </c>
      <c r="O77" s="26" t="str">
        <f>Etiquettes!$I$15</f>
        <v>Robuste</v>
      </c>
      <c r="P77" s="603" t="str">
        <f>Etiquettes!$H$16</f>
        <v>Données collectées</v>
      </c>
      <c r="Q77" s="603" t="str">
        <f>Etiquettes!$H$17</f>
        <v>Donnée collectée (valeur du flux ou coefficient)</v>
      </c>
    </row>
    <row r="78" spans="1:19">
      <c r="A78" t="str">
        <f>'Prétraitement bilans'!A13</f>
        <v>Grains collectés</v>
      </c>
      <c r="B78" t="str">
        <f>'Prétraitement bilans'!B13</f>
        <v>Amidonnerie / Glutennerie</v>
      </c>
      <c r="C78" s="458">
        <f>'Prétraitement bilans'!I13</f>
        <v>0</v>
      </c>
      <c r="E78" t="str">
        <f>Etiquettes!$C$3</f>
        <v>kt</v>
      </c>
      <c r="F78" s="26" t="str">
        <f>Etiquettes!$M$6</f>
        <v>Sorgho</v>
      </c>
      <c r="G78" s="26" t="str">
        <f>Etiquettes!$H$5</f>
        <v>2015-16</v>
      </c>
      <c r="H78" t="str">
        <f>Etiquettes!$C$4</f>
        <v>France entière</v>
      </c>
      <c r="I78" s="603" t="s">
        <v>1563</v>
      </c>
      <c r="J78" s="603"/>
      <c r="K78" t="s">
        <v>1559</v>
      </c>
      <c r="L78" s="603" t="str" cm="1">
        <f t="array" aca="1" ref="L78" ca="1">[1]!NOM_FEUILLE('Bilans Sorgho - FAM'!$A$1)</f>
        <v>Bilans Sorgho - FAM</v>
      </c>
      <c r="M78" s="26" t="str">
        <f>Etiquettes!$H$11</f>
        <v>Volume</v>
      </c>
      <c r="N78" t="str">
        <f t="shared" si="1"/>
        <v>Consommation de grains par l'Amidonnerie = 0 kt (Bilans par campagne - FranceAgriMer)</v>
      </c>
      <c r="O78" s="26" t="str">
        <f>Etiquettes!$J$15</f>
        <v>Probable</v>
      </c>
      <c r="P78" s="603" t="str">
        <f>Etiquettes!$H$16</f>
        <v>Données collectées</v>
      </c>
      <c r="Q78" s="603" t="str">
        <f>Etiquettes!$H$17</f>
        <v>Donnée collectée (valeur du flux ou coefficient)</v>
      </c>
    </row>
    <row r="79" spans="1:19">
      <c r="A79" t="str">
        <f>'Prétraitement bilans'!A16</f>
        <v>Grains collectés</v>
      </c>
      <c r="B79" t="str">
        <f>'Prétraitement bilans'!B16</f>
        <v>Distillerie</v>
      </c>
      <c r="C79" s="458">
        <f>'Prétraitement bilans'!I16</f>
        <v>0</v>
      </c>
      <c r="E79" t="str">
        <f>Etiquettes!$C$3</f>
        <v>kt</v>
      </c>
      <c r="F79" s="26" t="str">
        <f>Etiquettes!$M$6</f>
        <v>Sorgho</v>
      </c>
      <c r="G79" s="26" t="str">
        <f>Etiquettes!$H$5</f>
        <v>2015-16</v>
      </c>
      <c r="H79" t="str">
        <f>Etiquettes!$C$4</f>
        <v>France entière</v>
      </c>
      <c r="I79" s="603" t="s">
        <v>1564</v>
      </c>
      <c r="J79" s="603"/>
      <c r="K79" t="s">
        <v>1559</v>
      </c>
      <c r="L79" s="603" t="str" cm="1">
        <f t="array" aca="1" ref="L79" ca="1">[1]!NOM_FEUILLE('Bilans Sorgho - FAM'!$A$1)</f>
        <v>Bilans Sorgho - FAM</v>
      </c>
      <c r="M79" s="26" t="str">
        <f>Etiquettes!$H$11</f>
        <v>Volume</v>
      </c>
      <c r="N79" t="str">
        <f t="shared" si="1"/>
        <v>Consommation de grains par la Distillerie = 0 kt (Bilans par campagne - FranceAgriMer)</v>
      </c>
      <c r="O79" s="26" t="str">
        <f>Etiquettes!$J$15</f>
        <v>Probable</v>
      </c>
      <c r="P79" s="603" t="str">
        <f>Etiquettes!$H$16</f>
        <v>Données collectées</v>
      </c>
      <c r="Q79" s="603" t="str">
        <f>Etiquettes!$H$17</f>
        <v>Donnée collectée (valeur du flux ou coefficient)</v>
      </c>
    </row>
    <row r="80" spans="1:19">
      <c r="A80" t="str">
        <f>'Prétraitement bilans'!A17</f>
        <v>Grains collectés</v>
      </c>
      <c r="B80" t="str">
        <f>'Prétraitement bilans'!B17</f>
        <v>Malterie</v>
      </c>
      <c r="C80" s="458">
        <f>'Prétraitement bilans'!I17</f>
        <v>0</v>
      </c>
      <c r="E80" t="str">
        <f>Etiquettes!$C$3</f>
        <v>kt</v>
      </c>
      <c r="F80" s="26" t="str">
        <f>Etiquettes!$M$6</f>
        <v>Sorgho</v>
      </c>
      <c r="G80" s="26" t="str">
        <f>Etiquettes!$H$5</f>
        <v>2015-16</v>
      </c>
      <c r="H80" t="str">
        <f>Etiquettes!$C$4</f>
        <v>France entière</v>
      </c>
      <c r="I80" s="603" t="s">
        <v>1565</v>
      </c>
      <c r="J80" s="603"/>
      <c r="K80" t="s">
        <v>1559</v>
      </c>
      <c r="L80" s="603" t="str" cm="1">
        <f t="array" aca="1" ref="L80" ca="1">[1]!NOM_FEUILLE('Bilans Sorgho - FAM'!$A$1)</f>
        <v>Bilans Sorgho - FAM</v>
      </c>
      <c r="M80" s="26" t="str">
        <f>Etiquettes!$H$11</f>
        <v>Volume</v>
      </c>
      <c r="N80" t="str">
        <f t="shared" si="1"/>
        <v>Consommation de grains par la Malterie = 0 kt (Bilans par campagne - FranceAgriMer)</v>
      </c>
      <c r="O80" s="26" t="str">
        <f>Etiquettes!$J$15</f>
        <v>Probable</v>
      </c>
      <c r="P80" s="603" t="str">
        <f>Etiquettes!$H$16</f>
        <v>Données collectées</v>
      </c>
      <c r="Q80" s="603" t="str">
        <f>Etiquettes!$H$17</f>
        <v>Donnée collectée (valeur du flux ou coefficient)</v>
      </c>
    </row>
    <row r="81" spans="1:19" s="26" customFormat="1">
      <c r="A81" t="str">
        <f>'Prétraitement bilans'!A18</f>
        <v>Grains collectés</v>
      </c>
      <c r="B81" t="str">
        <f>'Prétraitement bilans'!B18</f>
        <v>Autres IAA</v>
      </c>
      <c r="C81" s="458">
        <f>'Prétraitement bilans'!I18</f>
        <v>0</v>
      </c>
      <c r="D81" s="10"/>
      <c r="E81" t="str">
        <f>Etiquettes!$C$3</f>
        <v>kt</v>
      </c>
      <c r="F81" s="26" t="str">
        <f>Etiquettes!$M$6</f>
        <v>Sorgho</v>
      </c>
      <c r="G81" s="26" t="str">
        <f>Etiquettes!$H$5</f>
        <v>2015-16</v>
      </c>
      <c r="H81" t="str">
        <f>Etiquettes!$C$4</f>
        <v>France entière</v>
      </c>
      <c r="I81" s="603" t="s">
        <v>1566</v>
      </c>
      <c r="J81" s="603"/>
      <c r="K81" t="s">
        <v>1559</v>
      </c>
      <c r="L81" s="603" t="str" cm="1">
        <f t="array" aca="1" ref="L81" ca="1">[1]!NOM_FEUILLE('Bilans Sorgho - FAM'!$A$1)</f>
        <v>Bilans Sorgho - FAM</v>
      </c>
      <c r="M81" s="26" t="str">
        <f>Etiquettes!$H$11</f>
        <v>Volume</v>
      </c>
      <c r="N81" t="str">
        <f t="shared" si="1"/>
        <v>Consommation de grains par les autres IAA = 0 kt (Bilans par campagne - FranceAgriMer)</v>
      </c>
      <c r="O81" s="26" t="str">
        <f>Etiquettes!$J$15</f>
        <v>Probable</v>
      </c>
      <c r="P81" s="603" t="str">
        <f>Etiquettes!$H$16</f>
        <v>Données collectées</v>
      </c>
      <c r="Q81" s="603" t="str">
        <f>Etiquettes!$H$17</f>
        <v>Donnée collectée (valeur du flux ou coefficient)</v>
      </c>
      <c r="R81"/>
      <c r="S81"/>
    </row>
    <row r="82" spans="1:19" s="26" customFormat="1">
      <c r="A82" t="str">
        <f>'Prétraitement bilans'!A19</f>
        <v>Grains collectés</v>
      </c>
      <c r="B82" t="str">
        <f>'Prétraitement bilans'!B19</f>
        <v>Semoulerie</v>
      </c>
      <c r="C82" s="458">
        <f>'Prétraitement bilans'!I19</f>
        <v>0</v>
      </c>
      <c r="D82" s="10"/>
      <c r="E82" t="str">
        <f>Etiquettes!$C$3</f>
        <v>kt</v>
      </c>
      <c r="F82" s="26" t="str">
        <f>Etiquettes!$M$6</f>
        <v>Sorgho</v>
      </c>
      <c r="G82" s="26" t="str">
        <f>Etiquettes!$H$5</f>
        <v>2015-16</v>
      </c>
      <c r="H82" t="str">
        <f>Etiquettes!$C$4</f>
        <v>France entière</v>
      </c>
      <c r="I82" s="603" t="s">
        <v>1567</v>
      </c>
      <c r="J82" s="603"/>
      <c r="K82" t="s">
        <v>1559</v>
      </c>
      <c r="L82" s="603" t="str" cm="1">
        <f t="array" aca="1" ref="L82" ca="1">[1]!NOM_FEUILLE('Bilans Sorgho - FAM'!$A$1)</f>
        <v>Bilans Sorgho - FAM</v>
      </c>
      <c r="M82" s="26" t="str">
        <f>Etiquettes!$H$11</f>
        <v>Volume</v>
      </c>
      <c r="N82" t="str">
        <f t="shared" si="1"/>
        <v>Consommation de grains par la Semoulerie = 0 kt (Bilans par campagne - FranceAgriMer)</v>
      </c>
      <c r="O82" s="26" t="str">
        <f>Etiquettes!$J$15</f>
        <v>Probable</v>
      </c>
      <c r="P82" s="603" t="str">
        <f>Etiquettes!$H$16</f>
        <v>Données collectées</v>
      </c>
      <c r="Q82" s="603" t="str">
        <f>Etiquettes!$H$17</f>
        <v>Donnée collectée (valeur du flux ou coefficient)</v>
      </c>
      <c r="R82"/>
      <c r="S82"/>
    </row>
    <row r="83" spans="1:19" s="26" customFormat="1">
      <c r="A83" t="str">
        <f>'Prétraitement bilans'!A20</f>
        <v>Grains collectés</v>
      </c>
      <c r="B83" t="str">
        <f>'Prétraitement bilans'!B20</f>
        <v>FAB</v>
      </c>
      <c r="C83" s="458">
        <f>'Prétraitement bilans'!I20</f>
        <v>32.403645999999995</v>
      </c>
      <c r="D83" s="10"/>
      <c r="E83" t="str">
        <f>Etiquettes!$C$3</f>
        <v>kt</v>
      </c>
      <c r="F83" s="26" t="str">
        <f>Etiquettes!$M$6</f>
        <v>Sorgho</v>
      </c>
      <c r="G83" s="26" t="str">
        <f>Etiquettes!$H$5</f>
        <v>2015-16</v>
      </c>
      <c r="H83" t="str">
        <f>Etiquettes!$C$4</f>
        <v>France entière</v>
      </c>
      <c r="I83" s="603" t="s">
        <v>1568</v>
      </c>
      <c r="J83" s="603"/>
      <c r="K83" t="s">
        <v>1559</v>
      </c>
      <c r="L83" s="603" t="str" cm="1">
        <f t="array" aca="1" ref="L83" ca="1">[1]!NOM_FEUILLE('Bilans Sorgho - FAM'!$A$1)</f>
        <v>Bilans Sorgho - FAM</v>
      </c>
      <c r="M83" s="26" t="str">
        <f>Etiquettes!$H$11</f>
        <v>Volume</v>
      </c>
      <c r="N83" t="str">
        <f t="shared" si="1"/>
        <v>Consommation de grains par les FAB = 32 kt (Bilans par campagne - FranceAgriMer)</v>
      </c>
      <c r="O83" s="26" t="str">
        <f>Etiquettes!$J$15</f>
        <v>Probable</v>
      </c>
      <c r="P83" s="603" t="str">
        <f>Etiquettes!$H$16</f>
        <v>Données collectées</v>
      </c>
      <c r="Q83" s="603" t="str">
        <f>Etiquettes!$H$17</f>
        <v>Donnée collectée (valeur du flux ou coefficient)</v>
      </c>
      <c r="R83"/>
      <c r="S83"/>
    </row>
    <row r="84" spans="1:19" s="26" customFormat="1">
      <c r="A84" t="str">
        <f>'Prétraitement bilans'!A21</f>
        <v>Grains collectés</v>
      </c>
      <c r="B84" t="str">
        <f>'Prétraitement bilans'!B21</f>
        <v>Semences certifiées</v>
      </c>
      <c r="C84" s="458">
        <f>'Prétraitement bilans'!I21</f>
        <v>0.43619999999999998</v>
      </c>
      <c r="D84" s="10"/>
      <c r="E84" t="str">
        <f>Etiquettes!$C$3</f>
        <v>kt</v>
      </c>
      <c r="F84" s="26" t="str">
        <f>Etiquettes!$M$6</f>
        <v>Sorgho</v>
      </c>
      <c r="G84" s="26" t="str">
        <f>Etiquettes!$H$5</f>
        <v>2015-16</v>
      </c>
      <c r="H84" t="str">
        <f>Etiquettes!$C$4</f>
        <v>France entière</v>
      </c>
      <c r="I84" s="603" t="s">
        <v>1561</v>
      </c>
      <c r="J84" s="603"/>
      <c r="K84" t="s">
        <v>1559</v>
      </c>
      <c r="L84" s="603" t="str" cm="1">
        <f t="array" aca="1" ref="L84" ca="1">[1]!NOM_FEUILLE('Bilans Sorgho - FAM'!$A$1)</f>
        <v>Bilans Sorgho - FAM</v>
      </c>
      <c r="M84" s="26" t="str">
        <f>Etiquettes!$H$11</f>
        <v>Volume</v>
      </c>
      <c r="N84" t="str">
        <f t="shared" si="1"/>
        <v>Production de semences certifiées = 0 kt (Bilans par campagne - FranceAgriMer)</v>
      </c>
      <c r="O84" s="26" t="str">
        <f>Etiquettes!$J$15</f>
        <v>Probable</v>
      </c>
      <c r="P84" s="603" t="str">
        <f>Etiquettes!$H$16</f>
        <v>Données collectées</v>
      </c>
      <c r="Q84" s="603" t="str">
        <f>Etiquettes!$H$17</f>
        <v>Donnée collectée (valeur du flux ou coefficient)</v>
      </c>
      <c r="R84"/>
      <c r="S84"/>
    </row>
    <row r="85" spans="1:19" s="26" customFormat="1">
      <c r="A85" t="str">
        <f>'Prétraitement bilans'!A25</f>
        <v>OS</v>
      </c>
      <c r="B85" t="str">
        <f>'Prétraitement bilans'!B25</f>
        <v>Stock final</v>
      </c>
      <c r="C85" s="458">
        <f>'Prétraitement bilans'!I25</f>
        <v>28.222199999999997</v>
      </c>
      <c r="D85" s="10"/>
      <c r="E85" t="str">
        <f>Etiquettes!$C$3</f>
        <v>kt</v>
      </c>
      <c r="F85" s="26" t="str">
        <f>Etiquettes!$M$6</f>
        <v>Sorgho</v>
      </c>
      <c r="G85" s="26" t="str">
        <f>Etiquettes!$H$5</f>
        <v>2015-16</v>
      </c>
      <c r="H85" t="str">
        <f>Etiquettes!$C$4</f>
        <v>France entière</v>
      </c>
      <c r="I85" s="603" t="s">
        <v>1128</v>
      </c>
      <c r="J85" s="603"/>
      <c r="K85" t="s">
        <v>1559</v>
      </c>
      <c r="L85" s="603" t="str" cm="1">
        <f t="array" aca="1" ref="L85" ca="1">[1]!NOM_FEUILLE('Bilans Sorgho - FAM'!$A$1)</f>
        <v>Bilans Sorgho - FAM</v>
      </c>
      <c r="M85" s="26" t="str">
        <f>Etiquettes!$H$11</f>
        <v>Volume</v>
      </c>
      <c r="N85" t="str">
        <f t="shared" si="1"/>
        <v>Stock final collecteurs = 28 kt (Bilans par campagne - FranceAgriMer)</v>
      </c>
      <c r="O85" s="26" t="str">
        <f>Etiquettes!$I$15</f>
        <v>Robuste</v>
      </c>
      <c r="P85" s="603" t="str">
        <f>Etiquettes!$H$16</f>
        <v>Données collectées</v>
      </c>
      <c r="Q85" s="603" t="str">
        <f>Etiquettes!$H$17</f>
        <v>Donnée collectée (valeur du flux ou coefficient)</v>
      </c>
      <c r="R85"/>
      <c r="S85"/>
    </row>
    <row r="86" spans="1:19">
      <c r="A86" t="str">
        <f>'Prétraitement bilans'!A3</f>
        <v>Récolte</v>
      </c>
      <c r="B86" t="str">
        <f>'Prétraitement bilans'!B3</f>
        <v>Grains récoltés</v>
      </c>
      <c r="C86" s="458">
        <f>'Prétraitement bilans'!J3</f>
        <v>400.10309999999998</v>
      </c>
      <c r="E86" t="str">
        <f>Etiquettes!$C$3</f>
        <v>kt</v>
      </c>
      <c r="F86" s="26" t="str">
        <f>Etiquettes!$N$6</f>
        <v>Avoine</v>
      </c>
      <c r="G86" s="26" t="str">
        <f>Etiquettes!$H$5</f>
        <v>2015-16</v>
      </c>
      <c r="H86" t="str">
        <f>Etiquettes!$C$4</f>
        <v>France entière</v>
      </c>
      <c r="I86" s="603" t="s">
        <v>1106</v>
      </c>
      <c r="J86" s="603"/>
      <c r="K86" t="s">
        <v>1559</v>
      </c>
      <c r="L86" s="603" t="str" cm="1">
        <f t="array" aca="1" ref="L86" ca="1">[1]!NOM_FEUILLE('Bilans Avoine - FAM'!$A$1)</f>
        <v>Bilans Avoine - FAM</v>
      </c>
      <c r="M86" s="26" t="str">
        <f>Etiquettes!$H$11</f>
        <v>Volume</v>
      </c>
      <c r="N86" t="str">
        <f t="shared" si="1"/>
        <v>Récolte = 400 kt (Bilans par campagne - FranceAgriMer)</v>
      </c>
      <c r="O86" s="26" t="str">
        <f>Etiquettes!$H$15</f>
        <v>Fiable</v>
      </c>
      <c r="P86" s="603" t="str">
        <f>Etiquettes!$H$16</f>
        <v>Données collectées</v>
      </c>
      <c r="Q86" s="603" t="str">
        <f>Etiquettes!$H$17</f>
        <v>Donnée collectée (valeur du flux ou coefficient)</v>
      </c>
    </row>
    <row r="87" spans="1:19">
      <c r="A87" t="str">
        <f>'Prétraitement bilans'!A4</f>
        <v>Stock initial</v>
      </c>
      <c r="B87" t="str">
        <f>'Prétraitement bilans'!B4</f>
        <v>Ferme</v>
      </c>
      <c r="C87" s="458">
        <f>'Prétraitement bilans'!J4</f>
        <v>0</v>
      </c>
      <c r="E87" t="str">
        <f>Etiquettes!$C$3</f>
        <v>kt</v>
      </c>
      <c r="F87" s="26" t="str">
        <f>Etiquettes!$N$6</f>
        <v>Avoine</v>
      </c>
      <c r="G87" s="26" t="str">
        <f>Etiquettes!$H$5</f>
        <v>2015-16</v>
      </c>
      <c r="H87" t="str">
        <f>Etiquettes!$C$4</f>
        <v>France entière</v>
      </c>
      <c r="I87" s="603" t="s">
        <v>1115</v>
      </c>
      <c r="J87" s="603"/>
      <c r="K87" t="s">
        <v>1559</v>
      </c>
      <c r="L87" s="603" t="str" cm="1">
        <f t="array" aca="1" ref="L87" ca="1">[1]!NOM_FEUILLE('Bilans Avoine - FAM'!$A$1)</f>
        <v>Bilans Avoine - FAM</v>
      </c>
      <c r="M87" s="26" t="str">
        <f>Etiquettes!$H$11</f>
        <v>Volume</v>
      </c>
      <c r="N87" t="str">
        <f t="shared" si="1"/>
        <v>Stock initial à la ferme = 0 kt (Bilans par campagne - FranceAgriMer)</v>
      </c>
      <c r="O87" s="26" t="str">
        <f>Etiquettes!$K$15</f>
        <v>Approximative</v>
      </c>
      <c r="P87" s="603" t="str">
        <f>Etiquettes!$H$16</f>
        <v>Données collectées</v>
      </c>
      <c r="Q87" s="603" t="str">
        <f>Etiquettes!$H$17</f>
        <v>Donnée collectée (valeur du flux ou coefficient)</v>
      </c>
    </row>
    <row r="88" spans="1:19">
      <c r="A88" t="str">
        <f>'Prétraitement bilans'!A5</f>
        <v>Ferme</v>
      </c>
      <c r="B88" t="str">
        <f>'Prétraitement bilans'!B5</f>
        <v>Grains autoconsommés</v>
      </c>
      <c r="C88" s="458">
        <f>'Prétraitement bilans'!J5</f>
        <v>184.38104199999992</v>
      </c>
      <c r="E88" t="str">
        <f>Etiquettes!$C$3</f>
        <v>kt</v>
      </c>
      <c r="F88" s="26" t="str">
        <f>Etiquettes!$N$6</f>
        <v>Avoine</v>
      </c>
      <c r="G88" s="26" t="str">
        <f>Etiquettes!$H$5</f>
        <v>2015-16</v>
      </c>
      <c r="H88" t="str">
        <f>Etiquettes!$C$4</f>
        <v>France entière</v>
      </c>
      <c r="I88" s="603" t="s">
        <v>1560</v>
      </c>
      <c r="J88" s="603"/>
      <c r="K88" t="s">
        <v>1559</v>
      </c>
      <c r="L88" s="603" t="str" cm="1">
        <f t="array" aca="1" ref="L88" ca="1">[1]!NOM_FEUILLE('Bilans Avoine - FAM'!$A$1)</f>
        <v>Bilans Avoine - FAM</v>
      </c>
      <c r="M88" s="26" t="str">
        <f>Etiquettes!$H$11</f>
        <v>Volume</v>
      </c>
      <c r="N88" t="str">
        <f t="shared" si="1"/>
        <v>Autoconsommation à la ferme = 184 kt (Bilans par campagne - FranceAgriMer)</v>
      </c>
      <c r="O88" s="26" t="str">
        <f>Etiquettes!$K$15</f>
        <v>Approximative</v>
      </c>
      <c r="P88" s="603" t="str">
        <f>Etiquettes!$H$16</f>
        <v>Données collectées</v>
      </c>
      <c r="Q88" s="603" t="str">
        <f>Etiquettes!$H$17</f>
        <v>Donnée collectée (valeur du flux ou coefficient)</v>
      </c>
    </row>
    <row r="89" spans="1:19">
      <c r="A89" t="str">
        <f>'Prétraitement bilans'!A6</f>
        <v>Ferme</v>
      </c>
      <c r="B89" t="str">
        <f>'Prétraitement bilans'!B6</f>
        <v>Stock final</v>
      </c>
      <c r="C89" s="458">
        <f>'Prétraitement bilans'!J6</f>
        <v>0</v>
      </c>
      <c r="E89" t="str">
        <f>Etiquettes!$C$3</f>
        <v>kt</v>
      </c>
      <c r="F89" s="26" t="str">
        <f>Etiquettes!$N$6</f>
        <v>Avoine</v>
      </c>
      <c r="G89" s="26" t="str">
        <f>Etiquettes!$H$5</f>
        <v>2015-16</v>
      </c>
      <c r="H89" t="str">
        <f>Etiquettes!$C$4</f>
        <v>France entière</v>
      </c>
      <c r="I89" s="603" t="s">
        <v>1116</v>
      </c>
      <c r="J89" s="603"/>
      <c r="K89" t="s">
        <v>1559</v>
      </c>
      <c r="L89" s="603" t="str" cm="1">
        <f t="array" aca="1" ref="L89" ca="1">[1]!NOM_FEUILLE('Bilans Avoine - FAM'!$A$1)</f>
        <v>Bilans Avoine - FAM</v>
      </c>
      <c r="M89" s="26" t="str">
        <f>Etiquettes!$H$11</f>
        <v>Volume</v>
      </c>
      <c r="N89" t="str">
        <f t="shared" si="1"/>
        <v>Stock final à la ferme = 0 kt (Bilans par campagne - FranceAgriMer)</v>
      </c>
      <c r="O89" s="26" t="str">
        <f>Etiquettes!$K$15</f>
        <v>Approximative</v>
      </c>
      <c r="P89" s="603" t="str">
        <f>Etiquettes!$H$16</f>
        <v>Données collectées</v>
      </c>
      <c r="Q89" s="603" t="str">
        <f>Etiquettes!$H$17</f>
        <v>Donnée collectée (valeur du flux ou coefficient)</v>
      </c>
    </row>
    <row r="90" spans="1:19">
      <c r="A90" t="str">
        <f>'Prétraitement bilans'!A7</f>
        <v>Stock initial</v>
      </c>
      <c r="B90" t="str">
        <f>'Prétraitement bilans'!B7</f>
        <v>OS</v>
      </c>
      <c r="C90" s="458">
        <f>'Prétraitement bilans'!J7</f>
        <v>36.9039</v>
      </c>
      <c r="E90" t="str">
        <f>Etiquettes!$C$3</f>
        <v>kt</v>
      </c>
      <c r="F90" s="26" t="str">
        <f>Etiquettes!$N$6</f>
        <v>Avoine</v>
      </c>
      <c r="G90" s="26" t="str">
        <f>Etiquettes!$H$5</f>
        <v>2015-16</v>
      </c>
      <c r="H90" t="str">
        <f>Etiquettes!$C$4</f>
        <v>France entière</v>
      </c>
      <c r="I90" s="603" t="s">
        <v>1127</v>
      </c>
      <c r="J90" s="603"/>
      <c r="K90" t="s">
        <v>1559</v>
      </c>
      <c r="L90" s="603" t="str" cm="1">
        <f t="array" aca="1" ref="L90" ca="1">[1]!NOM_FEUILLE('Bilans Avoine - FAM'!$A$1)</f>
        <v>Bilans Avoine - FAM</v>
      </c>
      <c r="M90" s="26" t="str">
        <f>Etiquettes!$H$11</f>
        <v>Volume</v>
      </c>
      <c r="N90" t="str">
        <f t="shared" si="1"/>
        <v>Stock initial collecteurs = 37 kt (Bilans par campagne - FranceAgriMer)</v>
      </c>
      <c r="O90" s="26" t="str">
        <f>Etiquettes!$I$15</f>
        <v>Robuste</v>
      </c>
      <c r="P90" s="603" t="str">
        <f>Etiquettes!$H$16</f>
        <v>Données collectées</v>
      </c>
      <c r="Q90" s="603" t="str">
        <f>Etiquettes!$H$17</f>
        <v>Donnée collectée (valeur du flux ou coefficient)</v>
      </c>
    </row>
    <row r="91" spans="1:19">
      <c r="A91" t="str">
        <f>'Prétraitement bilans'!A8</f>
        <v>Grains récoltés</v>
      </c>
      <c r="B91" t="str">
        <f>'Prétraitement bilans'!B8</f>
        <v>OS</v>
      </c>
      <c r="C91" s="458">
        <f>'Prétraitement bilans'!J8</f>
        <v>215.72205800000006</v>
      </c>
      <c r="E91" t="str">
        <f>Etiquettes!$C$3</f>
        <v>kt</v>
      </c>
      <c r="F91" s="26" t="str">
        <f>Etiquettes!$N$6</f>
        <v>Avoine</v>
      </c>
      <c r="G91" s="26" t="str">
        <f>Etiquettes!$H$5</f>
        <v>2015-16</v>
      </c>
      <c r="H91" t="str">
        <f>Etiquettes!$C$4</f>
        <v>France entière</v>
      </c>
      <c r="I91" s="603" t="s">
        <v>317</v>
      </c>
      <c r="J91" s="603"/>
      <c r="K91" t="s">
        <v>1559</v>
      </c>
      <c r="L91" s="603" t="str" cm="1">
        <f t="array" aca="1" ref="L91" ca="1">[1]!NOM_FEUILLE('Bilans Avoine - FAM'!$A$1)</f>
        <v>Bilans Avoine - FAM</v>
      </c>
      <c r="M91" s="26" t="str">
        <f>Etiquettes!$H$11</f>
        <v>Volume</v>
      </c>
      <c r="N91" t="str">
        <f t="shared" si="1"/>
        <v>Collecte = 216 kt (Bilans par campagne - FranceAgriMer)</v>
      </c>
      <c r="O91" s="26" t="str">
        <f>Etiquettes!$I$15</f>
        <v>Robuste</v>
      </c>
      <c r="P91" s="603" t="str">
        <f>Etiquettes!$H$16</f>
        <v>Données collectées</v>
      </c>
      <c r="Q91" s="603" t="str">
        <f>Etiquettes!$H$17</f>
        <v>Donnée collectée (valeur du flux ou coefficient)</v>
      </c>
    </row>
    <row r="92" spans="1:19">
      <c r="A92" t="str">
        <f>'Prétraitement bilans'!A13</f>
        <v>Grains collectés</v>
      </c>
      <c r="B92" t="str">
        <f>'Prétraitement bilans'!B13</f>
        <v>Amidonnerie / Glutennerie</v>
      </c>
      <c r="C92" s="458">
        <f>'Prétraitement bilans'!J13</f>
        <v>0</v>
      </c>
      <c r="E92" t="str">
        <f>Etiquettes!$C$3</f>
        <v>kt</v>
      </c>
      <c r="F92" s="26" t="str">
        <f>Etiquettes!$N$6</f>
        <v>Avoine</v>
      </c>
      <c r="G92" s="26" t="str">
        <f>Etiquettes!$H$5</f>
        <v>2015-16</v>
      </c>
      <c r="H92" t="str">
        <f>Etiquettes!$C$4</f>
        <v>France entière</v>
      </c>
      <c r="I92" s="603" t="s">
        <v>1563</v>
      </c>
      <c r="J92" s="603"/>
      <c r="K92" t="s">
        <v>1559</v>
      </c>
      <c r="L92" s="603" t="str" cm="1">
        <f t="array" aca="1" ref="L92" ca="1">[1]!NOM_FEUILLE('Bilans Avoine - FAM'!$A$1)</f>
        <v>Bilans Avoine - FAM</v>
      </c>
      <c r="M92" s="26" t="str">
        <f>Etiquettes!$H$11</f>
        <v>Volume</v>
      </c>
      <c r="N92" t="str">
        <f t="shared" si="1"/>
        <v>Consommation de grains par l'Amidonnerie = 0 kt (Bilans par campagne - FranceAgriMer)</v>
      </c>
      <c r="O92" s="26" t="str">
        <f>Etiquettes!$J$15</f>
        <v>Probable</v>
      </c>
      <c r="P92" s="603" t="str">
        <f>Etiquettes!$H$16</f>
        <v>Données collectées</v>
      </c>
      <c r="Q92" s="603" t="str">
        <f>Etiquettes!$H$17</f>
        <v>Donnée collectée (valeur du flux ou coefficient)</v>
      </c>
    </row>
    <row r="93" spans="1:19">
      <c r="A93" t="str">
        <f>'Prétraitement bilans'!A16</f>
        <v>Grains collectés</v>
      </c>
      <c r="B93" t="str">
        <f>'Prétraitement bilans'!B16</f>
        <v>Distillerie</v>
      </c>
      <c r="C93" s="458">
        <f>'Prétraitement bilans'!J16</f>
        <v>0</v>
      </c>
      <c r="E93" t="str">
        <f>Etiquettes!$C$3</f>
        <v>kt</v>
      </c>
      <c r="F93" s="26" t="str">
        <f>Etiquettes!$N$6</f>
        <v>Avoine</v>
      </c>
      <c r="G93" s="26" t="str">
        <f>Etiquettes!$H$5</f>
        <v>2015-16</v>
      </c>
      <c r="H93" t="str">
        <f>Etiquettes!$C$4</f>
        <v>France entière</v>
      </c>
      <c r="I93" s="603" t="s">
        <v>1564</v>
      </c>
      <c r="J93" s="603"/>
      <c r="K93" t="s">
        <v>1559</v>
      </c>
      <c r="L93" s="603" t="str" cm="1">
        <f t="array" aca="1" ref="L93" ca="1">[1]!NOM_FEUILLE('Bilans Avoine - FAM'!$A$1)</f>
        <v>Bilans Avoine - FAM</v>
      </c>
      <c r="M93" s="26" t="str">
        <f>Etiquettes!$H$11</f>
        <v>Volume</v>
      </c>
      <c r="N93" t="str">
        <f t="shared" si="1"/>
        <v>Consommation de grains par la Distillerie = 0 kt (Bilans par campagne - FranceAgriMer)</v>
      </c>
      <c r="O93" s="26" t="str">
        <f>Etiquettes!$J$15</f>
        <v>Probable</v>
      </c>
      <c r="P93" s="603" t="str">
        <f>Etiquettes!$H$16</f>
        <v>Données collectées</v>
      </c>
      <c r="Q93" s="603" t="str">
        <f>Etiquettes!$H$17</f>
        <v>Donnée collectée (valeur du flux ou coefficient)</v>
      </c>
    </row>
    <row r="94" spans="1:19">
      <c r="A94" t="str">
        <f>'Prétraitement bilans'!A17</f>
        <v>Grains collectés</v>
      </c>
      <c r="B94" t="str">
        <f>'Prétraitement bilans'!B17</f>
        <v>Malterie</v>
      </c>
      <c r="C94" s="458">
        <f>'Prétraitement bilans'!J17</f>
        <v>0</v>
      </c>
      <c r="E94" t="str">
        <f>Etiquettes!$C$3</f>
        <v>kt</v>
      </c>
      <c r="F94" s="26" t="str">
        <f>Etiquettes!$N$6</f>
        <v>Avoine</v>
      </c>
      <c r="G94" s="26" t="str">
        <f>Etiquettes!$H$5</f>
        <v>2015-16</v>
      </c>
      <c r="H94" t="str">
        <f>Etiquettes!$C$4</f>
        <v>France entière</v>
      </c>
      <c r="I94" s="603" t="s">
        <v>1565</v>
      </c>
      <c r="J94" s="603"/>
      <c r="K94" t="s">
        <v>1559</v>
      </c>
      <c r="L94" s="603" t="str" cm="1">
        <f t="array" aca="1" ref="L94" ca="1">[1]!NOM_FEUILLE('Bilans Avoine - FAM'!$A$1)</f>
        <v>Bilans Avoine - FAM</v>
      </c>
      <c r="M94" s="26" t="str">
        <f>Etiquettes!$H$11</f>
        <v>Volume</v>
      </c>
      <c r="N94" t="str">
        <f t="shared" si="1"/>
        <v>Consommation de grains par la Malterie = 0 kt (Bilans par campagne - FranceAgriMer)</v>
      </c>
      <c r="O94" s="26" t="str">
        <f>Etiquettes!$J$15</f>
        <v>Probable</v>
      </c>
      <c r="P94" s="603" t="str">
        <f>Etiquettes!$H$16</f>
        <v>Données collectées</v>
      </c>
      <c r="Q94" s="603" t="str">
        <f>Etiquettes!$H$17</f>
        <v>Donnée collectée (valeur du flux ou coefficient)</v>
      </c>
    </row>
    <row r="95" spans="1:19" s="26" customFormat="1">
      <c r="A95" t="str">
        <f>'Prétraitement bilans'!A18</f>
        <v>Grains collectés</v>
      </c>
      <c r="B95" t="str">
        <f>'Prétraitement bilans'!B18</f>
        <v>Autres IAA</v>
      </c>
      <c r="C95" s="458">
        <f>'Prétraitement bilans'!J18</f>
        <v>10</v>
      </c>
      <c r="D95" s="10"/>
      <c r="E95" t="str">
        <f>Etiquettes!$C$3</f>
        <v>kt</v>
      </c>
      <c r="F95" s="26" t="str">
        <f>Etiquettes!$N$6</f>
        <v>Avoine</v>
      </c>
      <c r="G95" s="26" t="str">
        <f>Etiquettes!$H$5</f>
        <v>2015-16</v>
      </c>
      <c r="H95" t="str">
        <f>Etiquettes!$C$4</f>
        <v>France entière</v>
      </c>
      <c r="I95" s="603" t="s">
        <v>1566</v>
      </c>
      <c r="J95" s="603"/>
      <c r="K95" t="s">
        <v>1559</v>
      </c>
      <c r="L95" s="603" t="str" cm="1">
        <f t="array" aca="1" ref="L95" ca="1">[1]!NOM_FEUILLE('Bilans Avoine - FAM'!$A$1)</f>
        <v>Bilans Avoine - FAM</v>
      </c>
      <c r="M95" s="26" t="str">
        <f>Etiquettes!$H$11</f>
        <v>Volume</v>
      </c>
      <c r="N95" t="str">
        <f t="shared" si="1"/>
        <v>Consommation de grains par les autres IAA = 10 kt (Bilans par campagne - FranceAgriMer)</v>
      </c>
      <c r="O95" s="26" t="str">
        <f>Etiquettes!$J$15</f>
        <v>Probable</v>
      </c>
      <c r="P95" s="603" t="str">
        <f>Etiquettes!$H$16</f>
        <v>Données collectées</v>
      </c>
      <c r="Q95" s="603" t="str">
        <f>Etiquettes!$H$17</f>
        <v>Donnée collectée (valeur du flux ou coefficient)</v>
      </c>
      <c r="R95"/>
      <c r="S95"/>
    </row>
    <row r="96" spans="1:19" s="26" customFormat="1">
      <c r="A96" t="str">
        <f>'Prétraitement bilans'!A19</f>
        <v>Grains collectés</v>
      </c>
      <c r="B96" t="str">
        <f>'Prétraitement bilans'!B19</f>
        <v>Semoulerie</v>
      </c>
      <c r="C96" s="458">
        <f>'Prétraitement bilans'!J19</f>
        <v>0</v>
      </c>
      <c r="D96" s="10"/>
      <c r="E96" t="str">
        <f>Etiquettes!$C$3</f>
        <v>kt</v>
      </c>
      <c r="F96" s="26" t="str">
        <f>Etiquettes!$N$6</f>
        <v>Avoine</v>
      </c>
      <c r="G96" s="26" t="str">
        <f>Etiquettes!$H$5</f>
        <v>2015-16</v>
      </c>
      <c r="H96" t="str">
        <f>Etiquettes!$C$4</f>
        <v>France entière</v>
      </c>
      <c r="I96" s="603" t="s">
        <v>1567</v>
      </c>
      <c r="J96" s="603"/>
      <c r="K96" t="s">
        <v>1559</v>
      </c>
      <c r="L96" s="603" t="str" cm="1">
        <f t="array" aca="1" ref="L96" ca="1">[1]!NOM_FEUILLE('Bilans Avoine - FAM'!$A$1)</f>
        <v>Bilans Avoine - FAM</v>
      </c>
      <c r="M96" s="26" t="str">
        <f>Etiquettes!$H$11</f>
        <v>Volume</v>
      </c>
      <c r="N96" t="str">
        <f t="shared" si="1"/>
        <v>Consommation de grains par la Semoulerie = 0 kt (Bilans par campagne - FranceAgriMer)</v>
      </c>
      <c r="O96" s="26" t="str">
        <f>Etiquettes!$J$15</f>
        <v>Probable</v>
      </c>
      <c r="P96" s="603" t="str">
        <f>Etiquettes!$H$16</f>
        <v>Données collectées</v>
      </c>
      <c r="Q96" s="603" t="str">
        <f>Etiquettes!$H$17</f>
        <v>Donnée collectée (valeur du flux ou coefficient)</v>
      </c>
      <c r="R96"/>
      <c r="S96"/>
    </row>
    <row r="97" spans="1:19" s="26" customFormat="1">
      <c r="A97" t="str">
        <f>'Prétraitement bilans'!A20</f>
        <v>Grains collectés</v>
      </c>
      <c r="B97" t="str">
        <f>'Prétraitement bilans'!B20</f>
        <v>FAB</v>
      </c>
      <c r="C97" s="458">
        <f>'Prétraitement bilans'!J20</f>
        <v>85.776518999999979</v>
      </c>
      <c r="D97" s="10"/>
      <c r="E97" t="str">
        <f>Etiquettes!$C$3</f>
        <v>kt</v>
      </c>
      <c r="F97" s="26" t="str">
        <f>Etiquettes!$N$6</f>
        <v>Avoine</v>
      </c>
      <c r="G97" s="26" t="str">
        <f>Etiquettes!$H$5</f>
        <v>2015-16</v>
      </c>
      <c r="H97" t="str">
        <f>Etiquettes!$C$4</f>
        <v>France entière</v>
      </c>
      <c r="I97" s="603" t="s">
        <v>1568</v>
      </c>
      <c r="J97" s="603"/>
      <c r="K97" t="s">
        <v>1559</v>
      </c>
      <c r="L97" s="603" t="str" cm="1">
        <f t="array" aca="1" ref="L97" ca="1">[1]!NOM_FEUILLE('Bilans Avoine - FAM'!$A$1)</f>
        <v>Bilans Avoine - FAM</v>
      </c>
      <c r="M97" s="26" t="str">
        <f>Etiquettes!$H$11</f>
        <v>Volume</v>
      </c>
      <c r="N97" t="str">
        <f t="shared" si="1"/>
        <v>Consommation de grains par les FAB = 86 kt (Bilans par campagne - FranceAgriMer)</v>
      </c>
      <c r="O97" s="26" t="str">
        <f>Etiquettes!$J$15</f>
        <v>Probable</v>
      </c>
      <c r="P97" s="603" t="str">
        <f>Etiquettes!$H$16</f>
        <v>Données collectées</v>
      </c>
      <c r="Q97" s="603" t="str">
        <f>Etiquettes!$H$17</f>
        <v>Donnée collectée (valeur du flux ou coefficient)</v>
      </c>
      <c r="R97"/>
      <c r="S97"/>
    </row>
    <row r="98" spans="1:19" s="26" customFormat="1">
      <c r="A98" t="str">
        <f>'Prétraitement bilans'!A21</f>
        <v>Grains collectés</v>
      </c>
      <c r="B98" t="str">
        <f>'Prétraitement bilans'!B21</f>
        <v>Semences certifiées</v>
      </c>
      <c r="C98" s="458">
        <f>'Prétraitement bilans'!J21</f>
        <v>6.4820000000000002</v>
      </c>
      <c r="D98" s="10"/>
      <c r="E98" t="str">
        <f>Etiquettes!$C$3</f>
        <v>kt</v>
      </c>
      <c r="F98" s="26" t="str">
        <f>Etiquettes!$N$6</f>
        <v>Avoine</v>
      </c>
      <c r="G98" s="26" t="str">
        <f>Etiquettes!$H$5</f>
        <v>2015-16</v>
      </c>
      <c r="H98" t="str">
        <f>Etiquettes!$C$4</f>
        <v>France entière</v>
      </c>
      <c r="I98" s="603" t="s">
        <v>1561</v>
      </c>
      <c r="J98" s="603"/>
      <c r="K98" t="s">
        <v>1559</v>
      </c>
      <c r="L98" s="603" t="str" cm="1">
        <f t="array" aca="1" ref="L98" ca="1">[1]!NOM_FEUILLE('Bilans Avoine - FAM'!$A$1)</f>
        <v>Bilans Avoine - FAM</v>
      </c>
      <c r="M98" s="26" t="str">
        <f>Etiquettes!$H$11</f>
        <v>Volume</v>
      </c>
      <c r="N98" t="str">
        <f t="shared" si="1"/>
        <v>Production de semences certifiées = 6 kt (Bilans par campagne - FranceAgriMer)</v>
      </c>
      <c r="O98" s="26" t="str">
        <f>Etiquettes!$J$15</f>
        <v>Probable</v>
      </c>
      <c r="P98" s="603" t="str">
        <f>Etiquettes!$H$16</f>
        <v>Données collectées</v>
      </c>
      <c r="Q98" s="603" t="str">
        <f>Etiquettes!$H$17</f>
        <v>Donnée collectée (valeur du flux ou coefficient)</v>
      </c>
      <c r="R98"/>
      <c r="S98"/>
    </row>
    <row r="99" spans="1:19" s="26" customFormat="1">
      <c r="A99" t="str">
        <f>'Prétraitement bilans'!A25</f>
        <v>OS</v>
      </c>
      <c r="B99" t="str">
        <f>'Prétraitement bilans'!B25</f>
        <v>Stock final</v>
      </c>
      <c r="C99" s="458">
        <f>'Prétraitement bilans'!J25</f>
        <v>29.430199999999999</v>
      </c>
      <c r="D99" s="10"/>
      <c r="E99" t="str">
        <f>Etiquettes!$C$3</f>
        <v>kt</v>
      </c>
      <c r="F99" s="26" t="str">
        <f>Etiquettes!$N$6</f>
        <v>Avoine</v>
      </c>
      <c r="G99" s="26" t="str">
        <f>Etiquettes!$H$5</f>
        <v>2015-16</v>
      </c>
      <c r="H99" t="str">
        <f>Etiquettes!$C$4</f>
        <v>France entière</v>
      </c>
      <c r="I99" s="603" t="s">
        <v>1128</v>
      </c>
      <c r="J99" s="603"/>
      <c r="K99" t="s">
        <v>1559</v>
      </c>
      <c r="L99" s="603" t="str" cm="1">
        <f t="array" aca="1" ref="L99" ca="1">[1]!NOM_FEUILLE('Bilans Avoine - FAM'!$A$1)</f>
        <v>Bilans Avoine - FAM</v>
      </c>
      <c r="M99" s="26" t="str">
        <f>Etiquettes!$H$11</f>
        <v>Volume</v>
      </c>
      <c r="N99" t="str">
        <f t="shared" si="1"/>
        <v>Stock final collecteurs = 29 kt (Bilans par campagne - FranceAgriMer)</v>
      </c>
      <c r="O99" s="26" t="str">
        <f>Etiquettes!$I$15</f>
        <v>Robuste</v>
      </c>
      <c r="P99" s="603" t="str">
        <f>Etiquettes!$H$16</f>
        <v>Données collectées</v>
      </c>
      <c r="Q99" s="603" t="str">
        <f>Etiquettes!$H$17</f>
        <v>Donnée collectée (valeur du flux ou coefficient)</v>
      </c>
      <c r="R99"/>
      <c r="S99"/>
    </row>
    <row r="100" spans="1:19">
      <c r="A100" t="str">
        <f>'Prétraitement bilans'!A3</f>
        <v>Récolte</v>
      </c>
      <c r="B100" t="str">
        <f>'Prétraitement bilans'!B3</f>
        <v>Grains récoltés</v>
      </c>
      <c r="C100" s="458">
        <f>'Prétraitement bilans'!K3</f>
        <v>123.58670000000002</v>
      </c>
      <c r="E100" t="str">
        <f>Etiquettes!$C$3</f>
        <v>kt</v>
      </c>
      <c r="F100" s="26" t="str">
        <f>Etiquettes!$O$6</f>
        <v>Seigle</v>
      </c>
      <c r="G100" s="26" t="str">
        <f>Etiquettes!$H$5</f>
        <v>2015-16</v>
      </c>
      <c r="H100" t="str">
        <f>Etiquettes!$C$4</f>
        <v>France entière</v>
      </c>
      <c r="I100" s="603" t="s">
        <v>1106</v>
      </c>
      <c r="J100" s="603"/>
      <c r="K100" t="s">
        <v>1559</v>
      </c>
      <c r="L100" s="603" t="str" cm="1">
        <f t="array" aca="1" ref="L100" ca="1">[1]!NOM_FEUILLE('Bilans Seigle - FAM'!$A$1)</f>
        <v>Bilans Seigle - FAM</v>
      </c>
      <c r="M100" s="26" t="str">
        <f>Etiquettes!$H$11</f>
        <v>Volume</v>
      </c>
      <c r="N100" t="str">
        <f t="shared" si="1"/>
        <v>Récolte = 124 kt (Bilans par campagne - FranceAgriMer)</v>
      </c>
      <c r="O100" s="26" t="str">
        <f>Etiquettes!$H$15</f>
        <v>Fiable</v>
      </c>
      <c r="P100" s="603" t="str">
        <f>Etiquettes!$H$16</f>
        <v>Données collectées</v>
      </c>
      <c r="Q100" s="603" t="str">
        <f>Etiquettes!$H$17</f>
        <v>Donnée collectée (valeur du flux ou coefficient)</v>
      </c>
    </row>
    <row r="101" spans="1:19">
      <c r="A101" t="str">
        <f>'Prétraitement bilans'!A4</f>
        <v>Stock initial</v>
      </c>
      <c r="B101" t="str">
        <f>'Prétraitement bilans'!B4</f>
        <v>Ferme</v>
      </c>
      <c r="C101" s="458">
        <f>'Prétraitement bilans'!K4</f>
        <v>0</v>
      </c>
      <c r="E101" t="str">
        <f>Etiquettes!$C$3</f>
        <v>kt</v>
      </c>
      <c r="F101" s="26" t="str">
        <f>Etiquettes!$O$6</f>
        <v>Seigle</v>
      </c>
      <c r="G101" s="26" t="str">
        <f>Etiquettes!$H$5</f>
        <v>2015-16</v>
      </c>
      <c r="H101" t="str">
        <f>Etiquettes!$C$4</f>
        <v>France entière</v>
      </c>
      <c r="I101" s="603" t="s">
        <v>1115</v>
      </c>
      <c r="J101" s="603"/>
      <c r="K101" t="s">
        <v>1559</v>
      </c>
      <c r="L101" s="603" t="str" cm="1">
        <f t="array" aca="1" ref="L101" ca="1">[1]!NOM_FEUILLE('Bilans Seigle - FAM'!$A$1)</f>
        <v>Bilans Seigle - FAM</v>
      </c>
      <c r="M101" s="26" t="str">
        <f>Etiquettes!$H$11</f>
        <v>Volume</v>
      </c>
      <c r="N101" t="str">
        <f t="shared" si="1"/>
        <v>Stock initial à la ferme = 0 kt (Bilans par campagne - FranceAgriMer)</v>
      </c>
      <c r="O101" s="26" t="str">
        <f>Etiquettes!$K$15</f>
        <v>Approximative</v>
      </c>
      <c r="P101" s="603" t="str">
        <f>Etiquettes!$H$16</f>
        <v>Données collectées</v>
      </c>
      <c r="Q101" s="603" t="str">
        <f>Etiquettes!$H$17</f>
        <v>Donnée collectée (valeur du flux ou coefficient)</v>
      </c>
    </row>
    <row r="102" spans="1:19">
      <c r="A102" t="str">
        <f>'Prétraitement bilans'!A5</f>
        <v>Ferme</v>
      </c>
      <c r="B102" t="str">
        <f>'Prétraitement bilans'!B5</f>
        <v>Grains autoconsommés</v>
      </c>
      <c r="C102" s="458">
        <f>'Prétraitement bilans'!K5</f>
        <v>68.69815200000005</v>
      </c>
      <c r="E102" t="str">
        <f>Etiquettes!$C$3</f>
        <v>kt</v>
      </c>
      <c r="F102" s="26" t="str">
        <f>Etiquettes!$O$6</f>
        <v>Seigle</v>
      </c>
      <c r="G102" s="26" t="str">
        <f>Etiquettes!$H$5</f>
        <v>2015-16</v>
      </c>
      <c r="H102" t="str">
        <f>Etiquettes!$C$4</f>
        <v>France entière</v>
      </c>
      <c r="I102" s="603" t="s">
        <v>1560</v>
      </c>
      <c r="J102" s="603"/>
      <c r="K102" t="s">
        <v>1559</v>
      </c>
      <c r="L102" s="603" t="str" cm="1">
        <f t="array" aca="1" ref="L102" ca="1">[1]!NOM_FEUILLE('Bilans Seigle - FAM'!$A$1)</f>
        <v>Bilans Seigle - FAM</v>
      </c>
      <c r="M102" s="26" t="str">
        <f>Etiquettes!$H$11</f>
        <v>Volume</v>
      </c>
      <c r="N102" t="str">
        <f t="shared" si="1"/>
        <v>Autoconsommation à la ferme = 69 kt (Bilans par campagne - FranceAgriMer)</v>
      </c>
      <c r="O102" s="26" t="str">
        <f>Etiquettes!$K$15</f>
        <v>Approximative</v>
      </c>
      <c r="P102" s="603" t="str">
        <f>Etiquettes!$H$16</f>
        <v>Données collectées</v>
      </c>
      <c r="Q102" s="603" t="str">
        <f>Etiquettes!$H$17</f>
        <v>Donnée collectée (valeur du flux ou coefficient)</v>
      </c>
    </row>
    <row r="103" spans="1:19">
      <c r="A103" t="str">
        <f>'Prétraitement bilans'!A6</f>
        <v>Ferme</v>
      </c>
      <c r="B103" t="str">
        <f>'Prétraitement bilans'!B6</f>
        <v>Stock final</v>
      </c>
      <c r="C103" s="458">
        <f>'Prétraitement bilans'!K6</f>
        <v>0</v>
      </c>
      <c r="E103" t="str">
        <f>Etiquettes!$C$3</f>
        <v>kt</v>
      </c>
      <c r="F103" s="26" t="str">
        <f>Etiquettes!$O$6</f>
        <v>Seigle</v>
      </c>
      <c r="G103" s="26" t="str">
        <f>Etiquettes!$H$5</f>
        <v>2015-16</v>
      </c>
      <c r="H103" t="str">
        <f>Etiquettes!$C$4</f>
        <v>France entière</v>
      </c>
      <c r="I103" s="603" t="s">
        <v>1116</v>
      </c>
      <c r="J103" s="603"/>
      <c r="K103" t="s">
        <v>1559</v>
      </c>
      <c r="L103" s="603" t="str" cm="1">
        <f t="array" aca="1" ref="L103" ca="1">[1]!NOM_FEUILLE('Bilans Seigle - FAM'!$A$1)</f>
        <v>Bilans Seigle - FAM</v>
      </c>
      <c r="M103" s="26" t="str">
        <f>Etiquettes!$H$11</f>
        <v>Volume</v>
      </c>
      <c r="N103" t="str">
        <f t="shared" si="1"/>
        <v>Stock final à la ferme = 0 kt (Bilans par campagne - FranceAgriMer)</v>
      </c>
      <c r="O103" s="26" t="str">
        <f>Etiquettes!$K$15</f>
        <v>Approximative</v>
      </c>
      <c r="P103" s="603" t="str">
        <f>Etiquettes!$H$16</f>
        <v>Données collectées</v>
      </c>
      <c r="Q103" s="603" t="str">
        <f>Etiquettes!$H$17</f>
        <v>Donnée collectée (valeur du flux ou coefficient)</v>
      </c>
    </row>
    <row r="104" spans="1:19">
      <c r="A104" t="str">
        <f>'Prétraitement bilans'!A7</f>
        <v>Stock initial</v>
      </c>
      <c r="B104" t="str">
        <f>'Prétraitement bilans'!B7</f>
        <v>OS</v>
      </c>
      <c r="C104" s="458">
        <f>'Prétraitement bilans'!K7</f>
        <v>17.817900000000002</v>
      </c>
      <c r="E104" t="str">
        <f>Etiquettes!$C$3</f>
        <v>kt</v>
      </c>
      <c r="F104" s="26" t="str">
        <f>Etiquettes!$O$6</f>
        <v>Seigle</v>
      </c>
      <c r="G104" s="26" t="str">
        <f>Etiquettes!$H$5</f>
        <v>2015-16</v>
      </c>
      <c r="H104" t="str">
        <f>Etiquettes!$C$4</f>
        <v>France entière</v>
      </c>
      <c r="I104" s="603" t="s">
        <v>1127</v>
      </c>
      <c r="J104" s="603"/>
      <c r="K104" t="s">
        <v>1559</v>
      </c>
      <c r="L104" s="603" t="str" cm="1">
        <f t="array" aca="1" ref="L104" ca="1">[1]!NOM_FEUILLE('Bilans Seigle - FAM'!$A$1)</f>
        <v>Bilans Seigle - FAM</v>
      </c>
      <c r="M104" s="26" t="str">
        <f>Etiquettes!$H$11</f>
        <v>Volume</v>
      </c>
      <c r="N104" t="str">
        <f t="shared" si="1"/>
        <v>Stock initial collecteurs = 18 kt (Bilans par campagne - FranceAgriMer)</v>
      </c>
      <c r="O104" s="26" t="str">
        <f>Etiquettes!$I$15</f>
        <v>Robuste</v>
      </c>
      <c r="P104" s="603" t="str">
        <f>Etiquettes!$H$16</f>
        <v>Données collectées</v>
      </c>
      <c r="Q104" s="603" t="str">
        <f>Etiquettes!$H$17</f>
        <v>Donnée collectée (valeur du flux ou coefficient)</v>
      </c>
    </row>
    <row r="105" spans="1:19">
      <c r="A105" t="str">
        <f>'Prétraitement bilans'!A8</f>
        <v>Grains récoltés</v>
      </c>
      <c r="B105" t="str">
        <f>'Prétraitement bilans'!B8</f>
        <v>OS</v>
      </c>
      <c r="C105" s="458">
        <f>'Prétraitement bilans'!K8</f>
        <v>54.888547999999979</v>
      </c>
      <c r="E105" t="str">
        <f>Etiquettes!$C$3</f>
        <v>kt</v>
      </c>
      <c r="F105" s="26" t="str">
        <f>Etiquettes!$O$6</f>
        <v>Seigle</v>
      </c>
      <c r="G105" s="26" t="str">
        <f>Etiquettes!$H$5</f>
        <v>2015-16</v>
      </c>
      <c r="H105" t="str">
        <f>Etiquettes!$C$4</f>
        <v>France entière</v>
      </c>
      <c r="I105" s="603" t="s">
        <v>317</v>
      </c>
      <c r="J105" s="603"/>
      <c r="K105" t="s">
        <v>1559</v>
      </c>
      <c r="L105" s="603" t="str" cm="1">
        <f t="array" aca="1" ref="L105" ca="1">[1]!NOM_FEUILLE('Bilans Seigle - FAM'!$A$1)</f>
        <v>Bilans Seigle - FAM</v>
      </c>
      <c r="M105" s="26" t="str">
        <f>Etiquettes!$H$11</f>
        <v>Volume</v>
      </c>
      <c r="N105" t="str">
        <f t="shared" si="1"/>
        <v>Collecte = 55 kt (Bilans par campagne - FranceAgriMer)</v>
      </c>
      <c r="O105" s="26" t="str">
        <f>Etiquettes!$I$15</f>
        <v>Robuste</v>
      </c>
      <c r="P105" s="603" t="str">
        <f>Etiquettes!$H$16</f>
        <v>Données collectées</v>
      </c>
      <c r="Q105" s="603" t="str">
        <f>Etiquettes!$H$17</f>
        <v>Donnée collectée (valeur du flux ou coefficient)</v>
      </c>
    </row>
    <row r="106" spans="1:19">
      <c r="A106" t="str">
        <f>'Prétraitement bilans'!A13</f>
        <v>Grains collectés</v>
      </c>
      <c r="B106" t="str">
        <f>'Prétraitement bilans'!B13</f>
        <v>Amidonnerie / Glutennerie</v>
      </c>
      <c r="C106" s="458">
        <f>'Prétraitement bilans'!K13</f>
        <v>0</v>
      </c>
      <c r="E106" t="str">
        <f>Etiquettes!$C$3</f>
        <v>kt</v>
      </c>
      <c r="F106" s="26" t="str">
        <f>Etiquettes!$O$6</f>
        <v>Seigle</v>
      </c>
      <c r="G106" s="26" t="str">
        <f>Etiquettes!$H$5</f>
        <v>2015-16</v>
      </c>
      <c r="H106" t="str">
        <f>Etiquettes!$C$4</f>
        <v>France entière</v>
      </c>
      <c r="I106" s="603" t="s">
        <v>1563</v>
      </c>
      <c r="J106" s="603"/>
      <c r="K106" t="s">
        <v>1559</v>
      </c>
      <c r="L106" s="603" t="str" cm="1">
        <f t="array" aca="1" ref="L106" ca="1">[1]!NOM_FEUILLE('Bilans Seigle - FAM'!$A$1)</f>
        <v>Bilans Seigle - FAM</v>
      </c>
      <c r="M106" s="26" t="str">
        <f>Etiquettes!$H$11</f>
        <v>Volume</v>
      </c>
      <c r="N106" t="str">
        <f t="shared" si="1"/>
        <v>Consommation de grains par l'Amidonnerie = 0 kt (Bilans par campagne - FranceAgriMer)</v>
      </c>
      <c r="O106" s="26" t="str">
        <f>Etiquettes!$J$15</f>
        <v>Probable</v>
      </c>
      <c r="P106" s="603" t="str">
        <f>Etiquettes!$H$16</f>
        <v>Données collectées</v>
      </c>
      <c r="Q106" s="603" t="str">
        <f>Etiquettes!$H$17</f>
        <v>Donnée collectée (valeur du flux ou coefficient)</v>
      </c>
    </row>
    <row r="107" spans="1:19">
      <c r="A107" t="str">
        <f>'Prétraitement bilans'!A16</f>
        <v>Grains collectés</v>
      </c>
      <c r="B107" t="str">
        <f>'Prétraitement bilans'!B16</f>
        <v>Distillerie</v>
      </c>
      <c r="C107" s="458">
        <f>'Prétraitement bilans'!K16</f>
        <v>0</v>
      </c>
      <c r="E107" t="str">
        <f>Etiquettes!$C$3</f>
        <v>kt</v>
      </c>
      <c r="F107" s="26" t="str">
        <f>Etiquettes!$O$6</f>
        <v>Seigle</v>
      </c>
      <c r="G107" s="26" t="str">
        <f>Etiquettes!$H$5</f>
        <v>2015-16</v>
      </c>
      <c r="H107" t="str">
        <f>Etiquettes!$C$4</f>
        <v>France entière</v>
      </c>
      <c r="I107" s="603" t="s">
        <v>1564</v>
      </c>
      <c r="J107" s="603"/>
      <c r="K107" t="s">
        <v>1559</v>
      </c>
      <c r="L107" s="603" t="str" cm="1">
        <f t="array" aca="1" ref="L107" ca="1">[1]!NOM_FEUILLE('Bilans Seigle - FAM'!$A$1)</f>
        <v>Bilans Seigle - FAM</v>
      </c>
      <c r="M107" s="26" t="str">
        <f>Etiquettes!$H$11</f>
        <v>Volume</v>
      </c>
      <c r="N107" t="str">
        <f t="shared" si="1"/>
        <v>Consommation de grains par la Distillerie = 0 kt (Bilans par campagne - FranceAgriMer)</v>
      </c>
      <c r="O107" s="26" t="str">
        <f>Etiquettes!$J$15</f>
        <v>Probable</v>
      </c>
      <c r="P107" s="603" t="str">
        <f>Etiquettes!$H$16</f>
        <v>Données collectées</v>
      </c>
      <c r="Q107" s="603" t="str">
        <f>Etiquettes!$H$17</f>
        <v>Donnée collectée (valeur du flux ou coefficient)</v>
      </c>
    </row>
    <row r="108" spans="1:19">
      <c r="A108" t="str">
        <f>'Prétraitement bilans'!A17</f>
        <v>Grains collectés</v>
      </c>
      <c r="B108" t="str">
        <f>'Prétraitement bilans'!B17</f>
        <v>Malterie</v>
      </c>
      <c r="C108" s="458">
        <f>'Prétraitement bilans'!K17</f>
        <v>0</v>
      </c>
      <c r="E108" t="str">
        <f>Etiquettes!$C$3</f>
        <v>kt</v>
      </c>
      <c r="F108" s="26" t="str">
        <f>Etiquettes!$O$6</f>
        <v>Seigle</v>
      </c>
      <c r="G108" s="26" t="str">
        <f>Etiquettes!$H$5</f>
        <v>2015-16</v>
      </c>
      <c r="H108" t="str">
        <f>Etiquettes!$C$4</f>
        <v>France entière</v>
      </c>
      <c r="I108" s="603" t="s">
        <v>1565</v>
      </c>
      <c r="J108" s="603"/>
      <c r="K108" t="s">
        <v>1559</v>
      </c>
      <c r="L108" s="603" t="str" cm="1">
        <f t="array" aca="1" ref="L108" ca="1">[1]!NOM_FEUILLE('Bilans Seigle - FAM'!$A$1)</f>
        <v>Bilans Seigle - FAM</v>
      </c>
      <c r="M108" s="26" t="str">
        <f>Etiquettes!$H$11</f>
        <v>Volume</v>
      </c>
      <c r="N108" t="str">
        <f t="shared" si="1"/>
        <v>Consommation de grains par la Malterie = 0 kt (Bilans par campagne - FranceAgriMer)</v>
      </c>
      <c r="O108" s="26" t="str">
        <f>Etiquettes!$J$15</f>
        <v>Probable</v>
      </c>
      <c r="P108" s="603" t="str">
        <f>Etiquettes!$H$16</f>
        <v>Données collectées</v>
      </c>
      <c r="Q108" s="603" t="str">
        <f>Etiquettes!$H$17</f>
        <v>Donnée collectée (valeur du flux ou coefficient)</v>
      </c>
    </row>
    <row r="109" spans="1:19" s="26" customFormat="1">
      <c r="A109" t="str">
        <f>'Prétraitement bilans'!A18</f>
        <v>Grains collectés</v>
      </c>
      <c r="B109" t="str">
        <f>'Prétraitement bilans'!B18</f>
        <v>Autres IAA</v>
      </c>
      <c r="C109" s="458">
        <f>'Prétraitement bilans'!K18</f>
        <v>0</v>
      </c>
      <c r="D109" s="10"/>
      <c r="E109" t="str">
        <f>Etiquettes!$C$3</f>
        <v>kt</v>
      </c>
      <c r="F109" s="26" t="str">
        <f>Etiquettes!$O$6</f>
        <v>Seigle</v>
      </c>
      <c r="G109" s="26" t="str">
        <f>Etiquettes!$H$5</f>
        <v>2015-16</v>
      </c>
      <c r="H109" t="str">
        <f>Etiquettes!$C$4</f>
        <v>France entière</v>
      </c>
      <c r="I109" s="603" t="s">
        <v>1566</v>
      </c>
      <c r="J109" s="603"/>
      <c r="K109" t="s">
        <v>1559</v>
      </c>
      <c r="L109" s="603" t="str" cm="1">
        <f t="array" aca="1" ref="L109" ca="1">[1]!NOM_FEUILLE('Bilans Seigle - FAM'!$A$1)</f>
        <v>Bilans Seigle - FAM</v>
      </c>
      <c r="M109" s="26" t="str">
        <f>Etiquettes!$H$11</f>
        <v>Volume</v>
      </c>
      <c r="N109" t="str">
        <f t="shared" si="1"/>
        <v>Consommation de grains par les autres IAA = 0 kt (Bilans par campagne - FranceAgriMer)</v>
      </c>
      <c r="O109" s="26" t="str">
        <f>Etiquettes!$J$15</f>
        <v>Probable</v>
      </c>
      <c r="P109" s="603" t="str">
        <f>Etiquettes!$H$16</f>
        <v>Données collectées</v>
      </c>
      <c r="Q109" s="603" t="str">
        <f>Etiquettes!$H$17</f>
        <v>Donnée collectée (valeur du flux ou coefficient)</v>
      </c>
      <c r="R109"/>
      <c r="S109"/>
    </row>
    <row r="110" spans="1:19" s="26" customFormat="1">
      <c r="A110" t="str">
        <f>'Prétraitement bilans'!A19</f>
        <v>Grains collectés</v>
      </c>
      <c r="B110" t="str">
        <f>'Prétraitement bilans'!B19</f>
        <v>Semoulerie</v>
      </c>
      <c r="C110" s="458">
        <f>'Prétraitement bilans'!K19</f>
        <v>0</v>
      </c>
      <c r="D110" s="10"/>
      <c r="E110" t="str">
        <f>Etiquettes!$C$3</f>
        <v>kt</v>
      </c>
      <c r="F110" s="26" t="str">
        <f>Etiquettes!$O$6</f>
        <v>Seigle</v>
      </c>
      <c r="G110" s="26" t="str">
        <f>Etiquettes!$H$5</f>
        <v>2015-16</v>
      </c>
      <c r="H110" t="str">
        <f>Etiquettes!$C$4</f>
        <v>France entière</v>
      </c>
      <c r="I110" s="603" t="s">
        <v>1567</v>
      </c>
      <c r="J110" s="603"/>
      <c r="K110" t="s">
        <v>1559</v>
      </c>
      <c r="L110" s="603" t="str" cm="1">
        <f t="array" aca="1" ref="L110" ca="1">[1]!NOM_FEUILLE('Bilans Seigle - FAM'!$A$1)</f>
        <v>Bilans Seigle - FAM</v>
      </c>
      <c r="M110" s="26" t="str">
        <f>Etiquettes!$H$11</f>
        <v>Volume</v>
      </c>
      <c r="N110" t="str">
        <f t="shared" si="1"/>
        <v>Consommation de grains par la Semoulerie = 0 kt (Bilans par campagne - FranceAgriMer)</v>
      </c>
      <c r="O110" s="26" t="str">
        <f>Etiquettes!$J$15</f>
        <v>Probable</v>
      </c>
      <c r="P110" s="603" t="str">
        <f>Etiquettes!$H$16</f>
        <v>Données collectées</v>
      </c>
      <c r="Q110" s="603" t="str">
        <f>Etiquettes!$H$17</f>
        <v>Donnée collectée (valeur du flux ou coefficient)</v>
      </c>
      <c r="R110"/>
      <c r="S110"/>
    </row>
    <row r="111" spans="1:19" s="26" customFormat="1">
      <c r="A111" t="str">
        <f>'Prétraitement bilans'!A20</f>
        <v>Grains collectés</v>
      </c>
      <c r="B111" t="str">
        <f>'Prétraitement bilans'!B20</f>
        <v>FAB</v>
      </c>
      <c r="C111" s="458">
        <f>'Prétraitement bilans'!K20</f>
        <v>9.598450999999999</v>
      </c>
      <c r="D111" s="10"/>
      <c r="E111" t="str">
        <f>Etiquettes!$C$3</f>
        <v>kt</v>
      </c>
      <c r="F111" s="26" t="str">
        <f>Etiquettes!$O$6</f>
        <v>Seigle</v>
      </c>
      <c r="G111" s="26" t="str">
        <f>Etiquettes!$H$5</f>
        <v>2015-16</v>
      </c>
      <c r="H111" t="str">
        <f>Etiquettes!$C$4</f>
        <v>France entière</v>
      </c>
      <c r="I111" s="603" t="s">
        <v>1568</v>
      </c>
      <c r="J111" s="603"/>
      <c r="K111" t="s">
        <v>1559</v>
      </c>
      <c r="L111" s="603" t="str" cm="1">
        <f t="array" aca="1" ref="L111" ca="1">[1]!NOM_FEUILLE('Bilans Seigle - FAM'!$A$1)</f>
        <v>Bilans Seigle - FAM</v>
      </c>
      <c r="M111" s="26" t="str">
        <f>Etiquettes!$H$11</f>
        <v>Volume</v>
      </c>
      <c r="N111" t="str">
        <f t="shared" si="1"/>
        <v>Consommation de grains par les FAB = 10 kt (Bilans par campagne - FranceAgriMer)</v>
      </c>
      <c r="O111" s="26" t="str">
        <f>Etiquettes!$J$15</f>
        <v>Probable</v>
      </c>
      <c r="P111" s="603" t="str">
        <f>Etiquettes!$H$16</f>
        <v>Données collectées</v>
      </c>
      <c r="Q111" s="603" t="str">
        <f>Etiquettes!$H$17</f>
        <v>Donnée collectée (valeur du flux ou coefficient)</v>
      </c>
      <c r="R111"/>
      <c r="S111"/>
    </row>
    <row r="112" spans="1:19" s="26" customFormat="1">
      <c r="A112" t="str">
        <f>'Prétraitement bilans'!A21</f>
        <v>Grains collectés</v>
      </c>
      <c r="B112" t="str">
        <f>'Prétraitement bilans'!B21</f>
        <v>Semences certifiées</v>
      </c>
      <c r="C112" s="458">
        <f>'Prétraitement bilans'!K21</f>
        <v>14.268700000000001</v>
      </c>
      <c r="D112" s="10"/>
      <c r="E112" t="str">
        <f>Etiquettes!$C$3</f>
        <v>kt</v>
      </c>
      <c r="F112" s="26" t="str">
        <f>Etiquettes!$O$6</f>
        <v>Seigle</v>
      </c>
      <c r="G112" s="26" t="str">
        <f>Etiquettes!$H$5</f>
        <v>2015-16</v>
      </c>
      <c r="H112" t="str">
        <f>Etiquettes!$C$4</f>
        <v>France entière</v>
      </c>
      <c r="I112" s="603" t="s">
        <v>1561</v>
      </c>
      <c r="J112" s="603"/>
      <c r="K112" t="s">
        <v>1559</v>
      </c>
      <c r="L112" s="603" t="str" cm="1">
        <f t="array" aca="1" ref="L112" ca="1">[1]!NOM_FEUILLE('Bilans Seigle - FAM'!$A$1)</f>
        <v>Bilans Seigle - FAM</v>
      </c>
      <c r="M112" s="26" t="str">
        <f>Etiquettes!$H$11</f>
        <v>Volume</v>
      </c>
      <c r="N112" t="str">
        <f t="shared" si="1"/>
        <v>Production de semences certifiées = 14 kt (Bilans par campagne - FranceAgriMer)</v>
      </c>
      <c r="O112" s="26" t="str">
        <f>Etiquettes!$J$15</f>
        <v>Probable</v>
      </c>
      <c r="P112" s="603" t="str">
        <f>Etiquettes!$H$16</f>
        <v>Données collectées</v>
      </c>
      <c r="Q112" s="603" t="str">
        <f>Etiquettes!$H$17</f>
        <v>Donnée collectée (valeur du flux ou coefficient)</v>
      </c>
      <c r="R112"/>
      <c r="S112"/>
    </row>
    <row r="113" spans="1:19" s="26" customFormat="1">
      <c r="A113" t="str">
        <f>'Prétraitement bilans'!A25</f>
        <v>OS</v>
      </c>
      <c r="B113" t="str">
        <f>'Prétraitement bilans'!B25</f>
        <v>Stock final</v>
      </c>
      <c r="C113" s="458">
        <f>'Prétraitement bilans'!K25</f>
        <v>16.2011</v>
      </c>
      <c r="D113" s="10"/>
      <c r="E113" t="str">
        <f>Etiquettes!$C$3</f>
        <v>kt</v>
      </c>
      <c r="F113" s="26" t="str">
        <f>Etiquettes!$O$6</f>
        <v>Seigle</v>
      </c>
      <c r="G113" s="26" t="str">
        <f>Etiquettes!$H$5</f>
        <v>2015-16</v>
      </c>
      <c r="H113" t="str">
        <f>Etiquettes!$C$4</f>
        <v>France entière</v>
      </c>
      <c r="I113" s="603" t="s">
        <v>1128</v>
      </c>
      <c r="J113" s="603"/>
      <c r="K113" t="s">
        <v>1559</v>
      </c>
      <c r="L113" s="603" t="str" cm="1">
        <f t="array" aca="1" ref="L113" ca="1">[1]!NOM_FEUILLE('Bilans Seigle - FAM'!$A$1)</f>
        <v>Bilans Seigle - FAM</v>
      </c>
      <c r="M113" s="26" t="str">
        <f>Etiquettes!$H$11</f>
        <v>Volume</v>
      </c>
      <c r="N113" t="str">
        <f t="shared" si="1"/>
        <v>Stock final collecteurs = 16 kt (Bilans par campagne - FranceAgriMer)</v>
      </c>
      <c r="O113" s="26" t="str">
        <f>Etiquettes!$I$15</f>
        <v>Robuste</v>
      </c>
      <c r="P113" s="603" t="str">
        <f>Etiquettes!$H$16</f>
        <v>Données collectées</v>
      </c>
      <c r="Q113" s="603" t="str">
        <f>Etiquettes!$H$17</f>
        <v>Donnée collectée (valeur du flux ou coefficient)</v>
      </c>
      <c r="R113"/>
      <c r="S113"/>
    </row>
    <row r="114" spans="1:19">
      <c r="A114" t="str">
        <f>'Prétraitement bilans'!A3</f>
        <v>Récolte</v>
      </c>
      <c r="B114" t="str">
        <f>'Prétraitement bilans'!B3</f>
        <v>Grains récoltés</v>
      </c>
      <c r="C114" s="458">
        <f>'Prétraitement bilans'!L3</f>
        <v>21</v>
      </c>
      <c r="E114" t="str">
        <f>Etiquettes!$C$3</f>
        <v>kt</v>
      </c>
      <c r="F114" s="26" t="str">
        <f>Etiquettes!$P$6</f>
        <v>Sarrasin</v>
      </c>
      <c r="G114" s="26" t="str">
        <f>Etiquettes!$H$5</f>
        <v>2015-16</v>
      </c>
      <c r="H114" t="str">
        <f>Etiquettes!$C$4</f>
        <v>France entière</v>
      </c>
      <c r="I114" s="603" t="s">
        <v>1106</v>
      </c>
      <c r="J114" s="603"/>
      <c r="K114" t="s">
        <v>1559</v>
      </c>
      <c r="L114" s="603" t="str" cm="1">
        <f t="array" aca="1" ref="L114" ca="1">[1]!NOM_FEUILLE('Bilans Sarrasin - FAM'!$A$1)</f>
        <v>Bilans Sarrasin - FAM</v>
      </c>
      <c r="M114" s="26" t="str">
        <f>Etiquettes!$H$11</f>
        <v>Volume</v>
      </c>
      <c r="N114" t="str">
        <f t="shared" si="1"/>
        <v>Récolte = 21 kt (Bilans par campagne - FranceAgriMer)</v>
      </c>
      <c r="O114" s="26" t="str">
        <f>Etiquettes!$H$15</f>
        <v>Fiable</v>
      </c>
      <c r="P114" s="603" t="str">
        <f>Etiquettes!$H$16</f>
        <v>Données collectées</v>
      </c>
      <c r="Q114" s="603" t="str">
        <f>Etiquettes!$H$17</f>
        <v>Donnée collectée (valeur du flux ou coefficient)</v>
      </c>
    </row>
    <row r="115" spans="1:19">
      <c r="A115" t="str">
        <f>'Prétraitement bilans'!A4</f>
        <v>Stock initial</v>
      </c>
      <c r="B115" t="str">
        <f>'Prétraitement bilans'!B4</f>
        <v>Ferme</v>
      </c>
      <c r="C115" s="458">
        <f>'Prétraitement bilans'!L4</f>
        <v>0</v>
      </c>
      <c r="E115" t="str">
        <f>Etiquettes!$C$3</f>
        <v>kt</v>
      </c>
      <c r="F115" s="26" t="str">
        <f>Etiquettes!$P$6</f>
        <v>Sarrasin</v>
      </c>
      <c r="G115" s="26" t="str">
        <f>Etiquettes!$H$5</f>
        <v>2015-16</v>
      </c>
      <c r="H115" t="str">
        <f>Etiquettes!$C$4</f>
        <v>France entière</v>
      </c>
      <c r="I115" s="603" t="s">
        <v>1115</v>
      </c>
      <c r="J115" s="603"/>
      <c r="K115" t="s">
        <v>1559</v>
      </c>
      <c r="L115" s="603" t="str" cm="1">
        <f t="array" aca="1" ref="L115" ca="1">[1]!NOM_FEUILLE('Bilans Sarrasin - FAM'!$A$1)</f>
        <v>Bilans Sarrasin - FAM</v>
      </c>
      <c r="M115" s="26" t="str">
        <f>Etiquettes!$H$11</f>
        <v>Volume</v>
      </c>
      <c r="N115" t="str">
        <f t="shared" si="1"/>
        <v>Stock initial à la ferme = 0 kt (Bilans par campagne - FranceAgriMer)</v>
      </c>
      <c r="O115" s="26" t="str">
        <f>Etiquettes!$K$15</f>
        <v>Approximative</v>
      </c>
      <c r="P115" s="603" t="str">
        <f>Etiquettes!$H$16</f>
        <v>Données collectées</v>
      </c>
      <c r="Q115" s="603" t="str">
        <f>Etiquettes!$H$17</f>
        <v>Donnée collectée (valeur du flux ou coefficient)</v>
      </c>
    </row>
    <row r="116" spans="1:19">
      <c r="A116" t="str">
        <f>'Prétraitement bilans'!A5</f>
        <v>Ferme</v>
      </c>
      <c r="B116" t="str">
        <f>'Prétraitement bilans'!B5</f>
        <v>Grains autoconsommés</v>
      </c>
      <c r="C116" s="458">
        <f>'Prétraitement bilans'!L5</f>
        <v>7.1527049999999974</v>
      </c>
      <c r="E116" t="str">
        <f>Etiquettes!$C$3</f>
        <v>kt</v>
      </c>
      <c r="F116" s="26" t="str">
        <f>Etiquettes!$P$6</f>
        <v>Sarrasin</v>
      </c>
      <c r="G116" s="26" t="str">
        <f>Etiquettes!$H$5</f>
        <v>2015-16</v>
      </c>
      <c r="H116" t="str">
        <f>Etiquettes!$C$4</f>
        <v>France entière</v>
      </c>
      <c r="I116" s="603" t="s">
        <v>1560</v>
      </c>
      <c r="J116" s="603"/>
      <c r="K116" t="s">
        <v>1559</v>
      </c>
      <c r="L116" s="603" t="str" cm="1">
        <f t="array" aca="1" ref="L116" ca="1">[1]!NOM_FEUILLE('Bilans Sarrasin - FAM'!$A$1)</f>
        <v>Bilans Sarrasin - FAM</v>
      </c>
      <c r="M116" s="26" t="str">
        <f>Etiquettes!$H$11</f>
        <v>Volume</v>
      </c>
      <c r="N116" t="str">
        <f t="shared" si="1"/>
        <v>Autoconsommation à la ferme = 7 kt (Bilans par campagne - FranceAgriMer)</v>
      </c>
      <c r="O116" s="26" t="str">
        <f>Etiquettes!$K$15</f>
        <v>Approximative</v>
      </c>
      <c r="P116" s="603" t="str">
        <f>Etiquettes!$H$16</f>
        <v>Données collectées</v>
      </c>
      <c r="Q116" s="603" t="str">
        <f>Etiquettes!$H$17</f>
        <v>Donnée collectée (valeur du flux ou coefficient)</v>
      </c>
    </row>
    <row r="117" spans="1:19">
      <c r="A117" t="str">
        <f>'Prétraitement bilans'!A6</f>
        <v>Ferme</v>
      </c>
      <c r="B117" t="str">
        <f>'Prétraitement bilans'!B6</f>
        <v>Stock final</v>
      </c>
      <c r="C117" s="458">
        <f>'Prétraitement bilans'!L6</f>
        <v>0</v>
      </c>
      <c r="E117" t="str">
        <f>Etiquettes!$C$3</f>
        <v>kt</v>
      </c>
      <c r="F117" s="26" t="str">
        <f>Etiquettes!$P$6</f>
        <v>Sarrasin</v>
      </c>
      <c r="G117" s="26" t="str">
        <f>Etiquettes!$H$5</f>
        <v>2015-16</v>
      </c>
      <c r="H117" t="str">
        <f>Etiquettes!$C$4</f>
        <v>France entière</v>
      </c>
      <c r="I117" s="603" t="s">
        <v>1116</v>
      </c>
      <c r="J117" s="603"/>
      <c r="K117" t="s">
        <v>1559</v>
      </c>
      <c r="L117" s="603" t="str" cm="1">
        <f t="array" aca="1" ref="L117" ca="1">[1]!NOM_FEUILLE('Bilans Sarrasin - FAM'!$A$1)</f>
        <v>Bilans Sarrasin - FAM</v>
      </c>
      <c r="M117" s="26" t="str">
        <f>Etiquettes!$H$11</f>
        <v>Volume</v>
      </c>
      <c r="N117" t="str">
        <f t="shared" si="1"/>
        <v>Stock final à la ferme = 0 kt (Bilans par campagne - FranceAgriMer)</v>
      </c>
      <c r="O117" s="26" t="str">
        <f>Etiquettes!$K$15</f>
        <v>Approximative</v>
      </c>
      <c r="P117" s="603" t="str">
        <f>Etiquettes!$H$16</f>
        <v>Données collectées</v>
      </c>
      <c r="Q117" s="603" t="str">
        <f>Etiquettes!$H$17</f>
        <v>Donnée collectée (valeur du flux ou coefficient)</v>
      </c>
    </row>
    <row r="118" spans="1:19">
      <c r="A118" t="str">
        <f>'Prétraitement bilans'!A7</f>
        <v>Stock initial</v>
      </c>
      <c r="B118" t="str">
        <f>'Prétraitement bilans'!B7</f>
        <v>OS</v>
      </c>
      <c r="C118" s="458">
        <f>'Prétraitement bilans'!L7</f>
        <v>3.3209</v>
      </c>
      <c r="E118" t="str">
        <f>Etiquettes!$C$3</f>
        <v>kt</v>
      </c>
      <c r="F118" s="26" t="str">
        <f>Etiquettes!$P$6</f>
        <v>Sarrasin</v>
      </c>
      <c r="G118" s="26" t="str">
        <f>Etiquettes!$H$5</f>
        <v>2015-16</v>
      </c>
      <c r="H118" t="str">
        <f>Etiquettes!$C$4</f>
        <v>France entière</v>
      </c>
      <c r="I118" s="603" t="s">
        <v>1127</v>
      </c>
      <c r="J118" s="603"/>
      <c r="K118" t="s">
        <v>1559</v>
      </c>
      <c r="L118" s="603" t="str" cm="1">
        <f t="array" aca="1" ref="L118" ca="1">[1]!NOM_FEUILLE('Bilans Sarrasin - FAM'!$A$1)</f>
        <v>Bilans Sarrasin - FAM</v>
      </c>
      <c r="M118" s="26" t="str">
        <f>Etiquettes!$H$11</f>
        <v>Volume</v>
      </c>
      <c r="N118" t="str">
        <f t="shared" si="1"/>
        <v>Stock initial collecteurs = 3 kt (Bilans par campagne - FranceAgriMer)</v>
      </c>
      <c r="O118" s="26" t="str">
        <f>Etiquettes!$I$15</f>
        <v>Robuste</v>
      </c>
      <c r="P118" s="603" t="str">
        <f>Etiquettes!$H$16</f>
        <v>Données collectées</v>
      </c>
      <c r="Q118" s="603" t="str">
        <f>Etiquettes!$H$17</f>
        <v>Donnée collectée (valeur du flux ou coefficient)</v>
      </c>
    </row>
    <row r="119" spans="1:19">
      <c r="A119" t="str">
        <f>'Prétraitement bilans'!A8</f>
        <v>Grains récoltés</v>
      </c>
      <c r="B119" t="str">
        <f>'Prétraitement bilans'!B8</f>
        <v>OS</v>
      </c>
      <c r="C119" s="458">
        <f>'Prétraitement bilans'!L8</f>
        <v>13.847295000000003</v>
      </c>
      <c r="E119" t="str">
        <f>Etiquettes!$C$3</f>
        <v>kt</v>
      </c>
      <c r="F119" s="26" t="str">
        <f>Etiquettes!$P$6</f>
        <v>Sarrasin</v>
      </c>
      <c r="G119" s="26" t="str">
        <f>Etiquettes!$H$5</f>
        <v>2015-16</v>
      </c>
      <c r="H119" t="str">
        <f>Etiquettes!$C$4</f>
        <v>France entière</v>
      </c>
      <c r="I119" s="603" t="s">
        <v>317</v>
      </c>
      <c r="J119" s="603"/>
      <c r="K119" t="s">
        <v>1559</v>
      </c>
      <c r="L119" s="603" t="str" cm="1">
        <f t="array" aca="1" ref="L119" ca="1">[1]!NOM_FEUILLE('Bilans Sarrasin - FAM'!$A$1)</f>
        <v>Bilans Sarrasin - FAM</v>
      </c>
      <c r="M119" s="26" t="str">
        <f>Etiquettes!$H$11</f>
        <v>Volume</v>
      </c>
      <c r="N119" t="str">
        <f t="shared" si="1"/>
        <v>Collecte = 14 kt (Bilans par campagne - FranceAgriMer)</v>
      </c>
      <c r="O119" s="26" t="str">
        <f>Etiquettes!$I$15</f>
        <v>Robuste</v>
      </c>
      <c r="P119" s="603" t="str">
        <f>Etiquettes!$H$16</f>
        <v>Données collectées</v>
      </c>
      <c r="Q119" s="603" t="str">
        <f>Etiquettes!$H$17</f>
        <v>Donnée collectée (valeur du flux ou coefficient)</v>
      </c>
    </row>
    <row r="120" spans="1:19">
      <c r="A120" t="str">
        <f>'Prétraitement bilans'!A13</f>
        <v>Grains collectés</v>
      </c>
      <c r="B120" t="str">
        <f>'Prétraitement bilans'!B13</f>
        <v>Amidonnerie / Glutennerie</v>
      </c>
      <c r="C120" s="458">
        <f>'Prétraitement bilans'!L13</f>
        <v>0</v>
      </c>
      <c r="E120" t="str">
        <f>Etiquettes!$C$3</f>
        <v>kt</v>
      </c>
      <c r="F120" s="26" t="str">
        <f>Etiquettes!$P$6</f>
        <v>Sarrasin</v>
      </c>
      <c r="G120" s="26" t="str">
        <f>Etiquettes!$H$5</f>
        <v>2015-16</v>
      </c>
      <c r="H120" t="str">
        <f>Etiquettes!$C$4</f>
        <v>France entière</v>
      </c>
      <c r="I120" s="603" t="s">
        <v>1563</v>
      </c>
      <c r="J120" s="603"/>
      <c r="K120" t="s">
        <v>1559</v>
      </c>
      <c r="L120" s="603" t="str" cm="1">
        <f t="array" aca="1" ref="L120" ca="1">[1]!NOM_FEUILLE('Bilans Sarrasin - FAM'!$A$1)</f>
        <v>Bilans Sarrasin - FAM</v>
      </c>
      <c r="M120" s="26" t="str">
        <f>Etiquettes!$H$11</f>
        <v>Volume</v>
      </c>
      <c r="N120" t="str">
        <f t="shared" si="1"/>
        <v>Consommation de grains par l'Amidonnerie = 0 kt (Bilans par campagne - FranceAgriMer)</v>
      </c>
      <c r="O120" s="26" t="str">
        <f>Etiquettes!$J$15</f>
        <v>Probable</v>
      </c>
      <c r="P120" s="603" t="str">
        <f>Etiquettes!$H$16</f>
        <v>Données collectées</v>
      </c>
      <c r="Q120" s="603" t="str">
        <f>Etiquettes!$H$17</f>
        <v>Donnée collectée (valeur du flux ou coefficient)</v>
      </c>
    </row>
    <row r="121" spans="1:19">
      <c r="A121" t="str">
        <f>'Prétraitement bilans'!A16</f>
        <v>Grains collectés</v>
      </c>
      <c r="B121" t="str">
        <f>'Prétraitement bilans'!B16</f>
        <v>Distillerie</v>
      </c>
      <c r="C121" s="458">
        <f>'Prétraitement bilans'!L16</f>
        <v>0</v>
      </c>
      <c r="E121" t="str">
        <f>Etiquettes!$C$3</f>
        <v>kt</v>
      </c>
      <c r="F121" s="26" t="str">
        <f>Etiquettes!$P$6</f>
        <v>Sarrasin</v>
      </c>
      <c r="G121" s="26" t="str">
        <f>Etiquettes!$H$5</f>
        <v>2015-16</v>
      </c>
      <c r="H121" t="str">
        <f>Etiquettes!$C$4</f>
        <v>France entière</v>
      </c>
      <c r="I121" s="603" t="s">
        <v>1564</v>
      </c>
      <c r="J121" s="603"/>
      <c r="K121" t="s">
        <v>1559</v>
      </c>
      <c r="L121" s="603" t="str" cm="1">
        <f t="array" aca="1" ref="L121" ca="1">[1]!NOM_FEUILLE('Bilans Sarrasin - FAM'!$A$1)</f>
        <v>Bilans Sarrasin - FAM</v>
      </c>
      <c r="M121" s="26" t="str">
        <f>Etiquettes!$H$11</f>
        <v>Volume</v>
      </c>
      <c r="N121" t="str">
        <f t="shared" si="1"/>
        <v>Consommation de grains par la Distillerie = 0 kt (Bilans par campagne - FranceAgriMer)</v>
      </c>
      <c r="O121" s="26" t="str">
        <f>Etiquettes!$J$15</f>
        <v>Probable</v>
      </c>
      <c r="P121" s="603" t="str">
        <f>Etiquettes!$H$16</f>
        <v>Données collectées</v>
      </c>
      <c r="Q121" s="603" t="str">
        <f>Etiquettes!$H$17</f>
        <v>Donnée collectée (valeur du flux ou coefficient)</v>
      </c>
    </row>
    <row r="122" spans="1:19">
      <c r="A122" t="str">
        <f>'Prétraitement bilans'!A17</f>
        <v>Grains collectés</v>
      </c>
      <c r="B122" t="str">
        <f>'Prétraitement bilans'!B17</f>
        <v>Malterie</v>
      </c>
      <c r="C122" s="458">
        <f>'Prétraitement bilans'!L17</f>
        <v>0</v>
      </c>
      <c r="E122" t="str">
        <f>Etiquettes!$C$3</f>
        <v>kt</v>
      </c>
      <c r="F122" s="26" t="str">
        <f>Etiquettes!$P$6</f>
        <v>Sarrasin</v>
      </c>
      <c r="G122" s="26" t="str">
        <f>Etiquettes!$H$5</f>
        <v>2015-16</v>
      </c>
      <c r="H122" t="str">
        <f>Etiquettes!$C$4</f>
        <v>France entière</v>
      </c>
      <c r="I122" s="603" t="s">
        <v>1565</v>
      </c>
      <c r="J122" s="603"/>
      <c r="K122" t="s">
        <v>1559</v>
      </c>
      <c r="L122" s="603" t="str" cm="1">
        <f t="array" aca="1" ref="L122" ca="1">[1]!NOM_FEUILLE('Bilans Sarrasin - FAM'!$A$1)</f>
        <v>Bilans Sarrasin - FAM</v>
      </c>
      <c r="M122" s="26" t="str">
        <f>Etiquettes!$H$11</f>
        <v>Volume</v>
      </c>
      <c r="N122" t="str">
        <f t="shared" si="1"/>
        <v>Consommation de grains par la Malterie = 0 kt (Bilans par campagne - FranceAgriMer)</v>
      </c>
      <c r="O122" s="26" t="str">
        <f>Etiquettes!$J$15</f>
        <v>Probable</v>
      </c>
      <c r="P122" s="603" t="str">
        <f>Etiquettes!$H$16</f>
        <v>Données collectées</v>
      </c>
      <c r="Q122" s="603" t="str">
        <f>Etiquettes!$H$17</f>
        <v>Donnée collectée (valeur du flux ou coefficient)</v>
      </c>
    </row>
    <row r="123" spans="1:19" s="26" customFormat="1">
      <c r="A123" t="str">
        <f>'Prétraitement bilans'!A18</f>
        <v>Grains collectés</v>
      </c>
      <c r="B123" t="str">
        <f>'Prétraitement bilans'!B18</f>
        <v>Autres IAA</v>
      </c>
      <c r="C123" s="458">
        <f>'Prétraitement bilans'!L18</f>
        <v>0</v>
      </c>
      <c r="D123" s="10"/>
      <c r="E123" t="str">
        <f>Etiquettes!$C$3</f>
        <v>kt</v>
      </c>
      <c r="F123" s="26" t="str">
        <f>Etiquettes!$P$6</f>
        <v>Sarrasin</v>
      </c>
      <c r="G123" s="26" t="str">
        <f>Etiquettes!$H$5</f>
        <v>2015-16</v>
      </c>
      <c r="H123" t="str">
        <f>Etiquettes!$C$4</f>
        <v>France entière</v>
      </c>
      <c r="I123" s="603" t="s">
        <v>1566</v>
      </c>
      <c r="J123" s="603"/>
      <c r="K123" t="s">
        <v>1559</v>
      </c>
      <c r="L123" s="603" t="str" cm="1">
        <f t="array" aca="1" ref="L123" ca="1">[1]!NOM_FEUILLE('Bilans Sarrasin - FAM'!$A$1)</f>
        <v>Bilans Sarrasin - FAM</v>
      </c>
      <c r="M123" s="26" t="str">
        <f>Etiquettes!$H$11</f>
        <v>Volume</v>
      </c>
      <c r="N123" t="str">
        <f t="shared" si="1"/>
        <v>Consommation de grains par les autres IAA = 0 kt (Bilans par campagne - FranceAgriMer)</v>
      </c>
      <c r="O123" s="26" t="str">
        <f>Etiquettes!$J$15</f>
        <v>Probable</v>
      </c>
      <c r="P123" s="603" t="str">
        <f>Etiquettes!$H$16</f>
        <v>Données collectées</v>
      </c>
      <c r="Q123" s="603" t="str">
        <f>Etiquettes!$H$17</f>
        <v>Donnée collectée (valeur du flux ou coefficient)</v>
      </c>
      <c r="R123"/>
      <c r="S123"/>
    </row>
    <row r="124" spans="1:19" s="26" customFormat="1">
      <c r="A124" t="str">
        <f>'Prétraitement bilans'!A19</f>
        <v>Grains collectés</v>
      </c>
      <c r="B124" t="str">
        <f>'Prétraitement bilans'!B19</f>
        <v>Semoulerie</v>
      </c>
      <c r="C124" s="458">
        <f>'Prétraitement bilans'!L19</f>
        <v>0</v>
      </c>
      <c r="D124" s="10"/>
      <c r="E124" t="str">
        <f>Etiquettes!$C$3</f>
        <v>kt</v>
      </c>
      <c r="F124" s="26" t="str">
        <f>Etiquettes!$P$6</f>
        <v>Sarrasin</v>
      </c>
      <c r="G124" s="26" t="str">
        <f>Etiquettes!$H$5</f>
        <v>2015-16</v>
      </c>
      <c r="H124" t="str">
        <f>Etiquettes!$C$4</f>
        <v>France entière</v>
      </c>
      <c r="I124" s="603" t="s">
        <v>1567</v>
      </c>
      <c r="J124" s="603"/>
      <c r="K124" t="s">
        <v>1559</v>
      </c>
      <c r="L124" s="603" t="str" cm="1">
        <f t="array" aca="1" ref="L124" ca="1">[1]!NOM_FEUILLE('Bilans Sarrasin - FAM'!$A$1)</f>
        <v>Bilans Sarrasin - FAM</v>
      </c>
      <c r="M124" s="26" t="str">
        <f>Etiquettes!$H$11</f>
        <v>Volume</v>
      </c>
      <c r="N124" t="str">
        <f t="shared" si="1"/>
        <v>Consommation de grains par la Semoulerie = 0 kt (Bilans par campagne - FranceAgriMer)</v>
      </c>
      <c r="O124" s="26" t="str">
        <f>Etiquettes!$J$15</f>
        <v>Probable</v>
      </c>
      <c r="P124" s="603" t="str">
        <f>Etiquettes!$H$16</f>
        <v>Données collectées</v>
      </c>
      <c r="Q124" s="603" t="str">
        <f>Etiquettes!$H$17</f>
        <v>Donnée collectée (valeur du flux ou coefficient)</v>
      </c>
      <c r="R124"/>
      <c r="S124"/>
    </row>
    <row r="125" spans="1:19" s="26" customFormat="1">
      <c r="A125" t="str">
        <f>'Prétraitement bilans'!A20</f>
        <v>Grains collectés</v>
      </c>
      <c r="B125" t="str">
        <f>'Prétraitement bilans'!B20</f>
        <v>FAB</v>
      </c>
      <c r="C125" s="458">
        <f>'Prétraitement bilans'!L20</f>
        <v>2.8799999999999999E-2</v>
      </c>
      <c r="D125" s="10"/>
      <c r="E125" t="str">
        <f>Etiquettes!$C$3</f>
        <v>kt</v>
      </c>
      <c r="F125" s="26" t="str">
        <f>Etiquettes!$P$6</f>
        <v>Sarrasin</v>
      </c>
      <c r="G125" s="26" t="str">
        <f>Etiquettes!$H$5</f>
        <v>2015-16</v>
      </c>
      <c r="H125" t="str">
        <f>Etiquettes!$C$4</f>
        <v>France entière</v>
      </c>
      <c r="I125" s="603" t="s">
        <v>1568</v>
      </c>
      <c r="J125" s="603"/>
      <c r="K125" t="s">
        <v>1559</v>
      </c>
      <c r="L125" s="603" t="str" cm="1">
        <f t="array" aca="1" ref="L125" ca="1">[1]!NOM_FEUILLE('Bilans Sarrasin - FAM'!$A$1)</f>
        <v>Bilans Sarrasin - FAM</v>
      </c>
      <c r="M125" s="26" t="str">
        <f>Etiquettes!$H$11</f>
        <v>Volume</v>
      </c>
      <c r="N125" t="str">
        <f t="shared" si="1"/>
        <v>Consommation de grains par les FAB = 0 kt (Bilans par campagne - FranceAgriMer)</v>
      </c>
      <c r="O125" s="26" t="str">
        <f>Etiquettes!$J$15</f>
        <v>Probable</v>
      </c>
      <c r="P125" s="603" t="str">
        <f>Etiquettes!$H$16</f>
        <v>Données collectées</v>
      </c>
      <c r="Q125" s="603" t="str">
        <f>Etiquettes!$H$17</f>
        <v>Donnée collectée (valeur du flux ou coefficient)</v>
      </c>
      <c r="R125"/>
      <c r="S125"/>
    </row>
    <row r="126" spans="1:19" s="26" customFormat="1">
      <c r="A126" t="str">
        <f>'Prétraitement bilans'!A21</f>
        <v>Grains collectés</v>
      </c>
      <c r="B126" t="str">
        <f>'Prétraitement bilans'!B21</f>
        <v>Semences certifiées</v>
      </c>
      <c r="C126" s="458">
        <f>'Prétraitement bilans'!L21</f>
        <v>0.91239999999999999</v>
      </c>
      <c r="D126" s="10"/>
      <c r="E126" t="str">
        <f>Etiquettes!$C$3</f>
        <v>kt</v>
      </c>
      <c r="F126" s="26" t="str">
        <f>Etiquettes!$P$6</f>
        <v>Sarrasin</v>
      </c>
      <c r="G126" s="26" t="str">
        <f>Etiquettes!$H$5</f>
        <v>2015-16</v>
      </c>
      <c r="H126" t="str">
        <f>Etiquettes!$C$4</f>
        <v>France entière</v>
      </c>
      <c r="I126" s="603" t="s">
        <v>1561</v>
      </c>
      <c r="J126" s="603"/>
      <c r="K126" t="s">
        <v>1559</v>
      </c>
      <c r="L126" s="603" t="str" cm="1">
        <f t="array" aca="1" ref="L126" ca="1">[1]!NOM_FEUILLE('Bilans Sarrasin - FAM'!$A$1)</f>
        <v>Bilans Sarrasin - FAM</v>
      </c>
      <c r="M126" s="26" t="str">
        <f>Etiquettes!$H$11</f>
        <v>Volume</v>
      </c>
      <c r="N126" t="str">
        <f t="shared" si="1"/>
        <v>Production de semences certifiées = 1 kt (Bilans par campagne - FranceAgriMer)</v>
      </c>
      <c r="O126" s="26" t="str">
        <f>Etiquettes!$J$15</f>
        <v>Probable</v>
      </c>
      <c r="P126" s="603" t="str">
        <f>Etiquettes!$H$16</f>
        <v>Données collectées</v>
      </c>
      <c r="Q126" s="603" t="str">
        <f>Etiquettes!$H$17</f>
        <v>Donnée collectée (valeur du flux ou coefficient)</v>
      </c>
      <c r="R126"/>
      <c r="S126"/>
    </row>
    <row r="127" spans="1:19" s="26" customFormat="1">
      <c r="A127" t="str">
        <f>'Prétraitement bilans'!A25</f>
        <v>OS</v>
      </c>
      <c r="B127" t="str">
        <f>'Prétraitement bilans'!B25</f>
        <v>Stock final</v>
      </c>
      <c r="C127" s="458">
        <f>'Prétraitement bilans'!L25</f>
        <v>6.0173999999999994</v>
      </c>
      <c r="D127" s="10"/>
      <c r="E127" t="str">
        <f>Etiquettes!$C$3</f>
        <v>kt</v>
      </c>
      <c r="F127" s="26" t="str">
        <f>Etiquettes!$P$6</f>
        <v>Sarrasin</v>
      </c>
      <c r="G127" s="26" t="str">
        <f>Etiquettes!$H$5</f>
        <v>2015-16</v>
      </c>
      <c r="H127" t="str">
        <f>Etiquettes!$C$4</f>
        <v>France entière</v>
      </c>
      <c r="I127" s="603" t="s">
        <v>1128</v>
      </c>
      <c r="J127" s="603"/>
      <c r="K127" t="s">
        <v>1559</v>
      </c>
      <c r="L127" s="603" t="str" cm="1">
        <f t="array" aca="1" ref="L127" ca="1">[1]!NOM_FEUILLE('Bilans Sarrasin - FAM'!$A$1)</f>
        <v>Bilans Sarrasin - FAM</v>
      </c>
      <c r="M127" s="26" t="str">
        <f>Etiquettes!$H$11</f>
        <v>Volume</v>
      </c>
      <c r="N127" t="str">
        <f t="shared" si="1"/>
        <v>Stock final collecteurs = 6 kt (Bilans par campagne - FranceAgriMer)</v>
      </c>
      <c r="O127" s="26" t="str">
        <f>Etiquettes!$I$15</f>
        <v>Robuste</v>
      </c>
      <c r="P127" s="603" t="str">
        <f>Etiquettes!$H$16</f>
        <v>Données collectées</v>
      </c>
      <c r="Q127" s="603" t="str">
        <f>Etiquettes!$H$17</f>
        <v>Donnée collectée (valeur du flux ou coefficient)</v>
      </c>
      <c r="R127"/>
      <c r="S127"/>
    </row>
    <row r="128" spans="1:19">
      <c r="A128" t="str">
        <f>'Prétraitement bilans'!A3</f>
        <v>Récolte</v>
      </c>
      <c r="B128" t="str">
        <f>'Prétraitement bilans'!B3</f>
        <v>Grains récoltés</v>
      </c>
      <c r="C128" s="458">
        <f>'Prétraitement bilans'!M3</f>
        <v>39516.46160000001</v>
      </c>
      <c r="E128" t="str">
        <f>Etiquettes!$C$3</f>
        <v>kt</v>
      </c>
      <c r="F128" s="26" t="str">
        <f>Etiquettes!$H$6</f>
        <v>Blé tendre</v>
      </c>
      <c r="G128" s="26" t="str">
        <f>Etiquettes!$I$5</f>
        <v>2019-20</v>
      </c>
      <c r="H128" t="str">
        <f>Etiquettes!$C$4</f>
        <v>France entière</v>
      </c>
      <c r="I128" s="603" t="s">
        <v>1106</v>
      </c>
      <c r="J128" s="603"/>
      <c r="K128" t="s">
        <v>1559</v>
      </c>
      <c r="L128" s="603" t="str" cm="1">
        <f t="array" aca="1" ref="L128" ca="1">[1]!NOM_FEUILLE('Bilans Blé tendre - FAM'!$A$1)</f>
        <v>Bilans Blé tendre - FAM</v>
      </c>
      <c r="M128" s="26" t="str">
        <f>Etiquettes!$H$11</f>
        <v>Volume</v>
      </c>
      <c r="N128" t="str">
        <f t="shared" si="1"/>
        <v>Récolte = 39516 kt (Bilans par campagne - FranceAgriMer)</v>
      </c>
      <c r="O128" s="26" t="str">
        <f>Etiquettes!$H$15</f>
        <v>Fiable</v>
      </c>
      <c r="P128" s="603" t="str">
        <f>Etiquettes!$H$16</f>
        <v>Données collectées</v>
      </c>
      <c r="Q128" s="603" t="str">
        <f>Etiquettes!$H$17</f>
        <v>Donnée collectée (valeur du flux ou coefficient)</v>
      </c>
    </row>
    <row r="129" spans="1:19">
      <c r="A129" t="str">
        <f>'Prétraitement bilans'!A4</f>
        <v>Stock initial</v>
      </c>
      <c r="B129" t="str">
        <f>'Prétraitement bilans'!B4</f>
        <v>Ferme</v>
      </c>
      <c r="C129" s="458">
        <f>'Prétraitement bilans'!M4</f>
        <v>400</v>
      </c>
      <c r="E129" t="str">
        <f>Etiquettes!$C$3</f>
        <v>kt</v>
      </c>
      <c r="F129" s="26" t="str">
        <f>Etiquettes!$H$6</f>
        <v>Blé tendre</v>
      </c>
      <c r="G129" s="26" t="str">
        <f>Etiquettes!$I$5</f>
        <v>2019-20</v>
      </c>
      <c r="H129" t="str">
        <f>Etiquettes!$C$4</f>
        <v>France entière</v>
      </c>
      <c r="I129" s="603" t="s">
        <v>1115</v>
      </c>
      <c r="J129" s="603"/>
      <c r="K129" t="s">
        <v>1559</v>
      </c>
      <c r="L129" s="603" t="str" cm="1">
        <f t="array" aca="1" ref="L129" ca="1">[1]!NOM_FEUILLE('Bilans Blé tendre - FAM'!$A$1)</f>
        <v>Bilans Blé tendre - FAM</v>
      </c>
      <c r="M129" s="26" t="str">
        <f>Etiquettes!$H$11</f>
        <v>Volume</v>
      </c>
      <c r="N129" t="str">
        <f t="shared" si="1"/>
        <v>Stock initial à la ferme = 400 kt (Bilans par campagne - FranceAgriMer)</v>
      </c>
      <c r="O129" s="26" t="str">
        <f>Etiquettes!$K$15</f>
        <v>Approximative</v>
      </c>
      <c r="P129" s="603" t="str">
        <f>Etiquettes!$H$16</f>
        <v>Données collectées</v>
      </c>
      <c r="Q129" s="603" t="str">
        <f>Etiquettes!$H$17</f>
        <v>Donnée collectée (valeur du flux ou coefficient)</v>
      </c>
    </row>
    <row r="130" spans="1:19">
      <c r="A130" t="str">
        <f>'Prétraitement bilans'!A5</f>
        <v>Ferme</v>
      </c>
      <c r="B130" t="str">
        <f>'Prétraitement bilans'!B5</f>
        <v>Grains autoconsommés</v>
      </c>
      <c r="C130" s="458">
        <f>'Prétraitement bilans'!M5</f>
        <v>2998.4477000000115</v>
      </c>
      <c r="E130" t="str">
        <f>Etiquettes!$C$3</f>
        <v>kt</v>
      </c>
      <c r="F130" s="26" t="str">
        <f>Etiquettes!$H$6</f>
        <v>Blé tendre</v>
      </c>
      <c r="G130" s="26" t="str">
        <f>Etiquettes!$I$5</f>
        <v>2019-20</v>
      </c>
      <c r="H130" t="str">
        <f>Etiquettes!$C$4</f>
        <v>France entière</v>
      </c>
      <c r="I130" s="603" t="s">
        <v>1560</v>
      </c>
      <c r="J130" s="603"/>
      <c r="K130" t="s">
        <v>1559</v>
      </c>
      <c r="L130" s="603" t="str" cm="1">
        <f t="array" aca="1" ref="L130" ca="1">[1]!NOM_FEUILLE('Bilans Blé tendre - FAM'!$A$1)</f>
        <v>Bilans Blé tendre - FAM</v>
      </c>
      <c r="M130" s="26" t="str">
        <f>Etiquettes!$H$11</f>
        <v>Volume</v>
      </c>
      <c r="N130" t="str">
        <f t="shared" si="1"/>
        <v>Autoconsommation à la ferme = 2998 kt (Bilans par campagne - FranceAgriMer)</v>
      </c>
      <c r="O130" s="26" t="str">
        <f>Etiquettes!$K$15</f>
        <v>Approximative</v>
      </c>
      <c r="P130" s="603" t="str">
        <f>Etiquettes!$H$16</f>
        <v>Données collectées</v>
      </c>
      <c r="Q130" s="603" t="str">
        <f>Etiquettes!$H$17</f>
        <v>Donnée collectée (valeur du flux ou coefficient)</v>
      </c>
    </row>
    <row r="131" spans="1:19">
      <c r="A131" t="str">
        <f>'Prétraitement bilans'!A6</f>
        <v>Ferme</v>
      </c>
      <c r="B131" t="str">
        <f>'Prétraitement bilans'!B6</f>
        <v>Stock final</v>
      </c>
      <c r="C131" s="458">
        <f>'Prétraitement bilans'!M6</f>
        <v>400</v>
      </c>
      <c r="E131" t="str">
        <f>Etiquettes!$C$3</f>
        <v>kt</v>
      </c>
      <c r="F131" s="26" t="str">
        <f>Etiquettes!$H$6</f>
        <v>Blé tendre</v>
      </c>
      <c r="G131" s="26" t="str">
        <f>Etiquettes!$I$5</f>
        <v>2019-20</v>
      </c>
      <c r="H131" t="str">
        <f>Etiquettes!$C$4</f>
        <v>France entière</v>
      </c>
      <c r="I131" s="603" t="s">
        <v>1116</v>
      </c>
      <c r="J131" s="603"/>
      <c r="K131" t="s">
        <v>1559</v>
      </c>
      <c r="L131" s="603" t="str" cm="1">
        <f t="array" aca="1" ref="L131" ca="1">[1]!NOM_FEUILLE('Bilans Blé tendre - FAM'!$A$1)</f>
        <v>Bilans Blé tendre - FAM</v>
      </c>
      <c r="M131" s="26" t="str">
        <f>Etiquettes!$H$11</f>
        <v>Volume</v>
      </c>
      <c r="N131" t="str">
        <f t="shared" si="1"/>
        <v>Stock final à la ferme = 400 kt (Bilans par campagne - FranceAgriMer)</v>
      </c>
      <c r="O131" s="26" t="str">
        <f>Etiquettes!$K$15</f>
        <v>Approximative</v>
      </c>
      <c r="P131" s="603" t="str">
        <f>Etiquettes!$H$16</f>
        <v>Données collectées</v>
      </c>
      <c r="Q131" s="603" t="str">
        <f>Etiquettes!$H$17</f>
        <v>Donnée collectée (valeur du flux ou coefficient)</v>
      </c>
    </row>
    <row r="132" spans="1:19">
      <c r="A132" t="str">
        <f>'Prétraitement bilans'!A7</f>
        <v>Stock initial</v>
      </c>
      <c r="B132" t="str">
        <f>'Prétraitement bilans'!B7</f>
        <v>OS</v>
      </c>
      <c r="C132" s="458">
        <f>'Prétraitement bilans'!M7</f>
        <v>1866.8236000000004</v>
      </c>
      <c r="E132" t="str">
        <f>Etiquettes!$C$3</f>
        <v>kt</v>
      </c>
      <c r="F132" s="26" t="str">
        <f>Etiquettes!$H$6</f>
        <v>Blé tendre</v>
      </c>
      <c r="G132" s="26" t="str">
        <f>Etiquettes!$I$5</f>
        <v>2019-20</v>
      </c>
      <c r="H132" t="str">
        <f>Etiquettes!$C$4</f>
        <v>France entière</v>
      </c>
      <c r="I132" s="603" t="s">
        <v>1127</v>
      </c>
      <c r="J132" s="603"/>
      <c r="K132" t="s">
        <v>1559</v>
      </c>
      <c r="L132" s="603" t="str" cm="1">
        <f t="array" aca="1" ref="L132" ca="1">[1]!NOM_FEUILLE('Bilans Blé tendre - FAM'!$A$1)</f>
        <v>Bilans Blé tendre - FAM</v>
      </c>
      <c r="M132" s="26" t="str">
        <f>Etiquettes!$H$11</f>
        <v>Volume</v>
      </c>
      <c r="N132" t="str">
        <f t="shared" ref="N132:N195" si="2">_xlfn.CONCAT(I132,IF(ISBLANK(C132),"",_xlfn.CONCAT(" = ",MROUND(C132,1)," ",E132))," (",K132,")")</f>
        <v>Stock initial collecteurs = 1867 kt (Bilans par campagne - FranceAgriMer)</v>
      </c>
      <c r="O132" s="26" t="str">
        <f>Etiquettes!$I$15</f>
        <v>Robuste</v>
      </c>
      <c r="P132" s="603" t="str">
        <f>Etiquettes!$H$16</f>
        <v>Données collectées</v>
      </c>
      <c r="Q132" s="603" t="str">
        <f>Etiquettes!$H$17</f>
        <v>Donnée collectée (valeur du flux ou coefficient)</v>
      </c>
    </row>
    <row r="133" spans="1:19">
      <c r="A133" t="str">
        <f>'Prétraitement bilans'!A8</f>
        <v>Grains récoltés</v>
      </c>
      <c r="B133" t="str">
        <f>'Prétraitement bilans'!B8</f>
        <v>OS</v>
      </c>
      <c r="C133" s="458">
        <f>'Prétraitement bilans'!M8</f>
        <v>36518.013899999998</v>
      </c>
      <c r="E133" t="str">
        <f>Etiquettes!$C$3</f>
        <v>kt</v>
      </c>
      <c r="F133" s="26" t="str">
        <f>Etiquettes!$H$6</f>
        <v>Blé tendre</v>
      </c>
      <c r="G133" s="26" t="str">
        <f>Etiquettes!$I$5</f>
        <v>2019-20</v>
      </c>
      <c r="H133" t="str">
        <f>Etiquettes!$C$4</f>
        <v>France entière</v>
      </c>
      <c r="I133" s="603" t="s">
        <v>317</v>
      </c>
      <c r="J133" s="603"/>
      <c r="K133" t="s">
        <v>1559</v>
      </c>
      <c r="L133" s="603" t="str" cm="1">
        <f t="array" aca="1" ref="L133" ca="1">[1]!NOM_FEUILLE('Bilans Blé tendre - FAM'!$A$1)</f>
        <v>Bilans Blé tendre - FAM</v>
      </c>
      <c r="M133" s="26" t="str">
        <f>Etiquettes!$H$11</f>
        <v>Volume</v>
      </c>
      <c r="N133" t="str">
        <f t="shared" si="2"/>
        <v>Collecte = 36518 kt (Bilans par campagne - FranceAgriMer)</v>
      </c>
      <c r="O133" s="26" t="str">
        <f>Etiquettes!$I$15</f>
        <v>Robuste</v>
      </c>
      <c r="P133" s="603" t="str">
        <f>Etiquettes!$H$16</f>
        <v>Données collectées</v>
      </c>
      <c r="Q133" s="603" t="str">
        <f>Etiquettes!$H$17</f>
        <v>Donnée collectée (valeur du flux ou coefficient)</v>
      </c>
    </row>
    <row r="134" spans="1:19">
      <c r="A134" t="str">
        <f>'Prétraitement bilans'!A13</f>
        <v>Grains collectés</v>
      </c>
      <c r="B134" t="str">
        <f>'Prétraitement bilans'!B13</f>
        <v>Amidonnerie / Glutennerie</v>
      </c>
      <c r="C134" s="458">
        <f>'Prétraitement bilans'!M13</f>
        <v>2581.9319540000001</v>
      </c>
      <c r="E134" t="str">
        <f>Etiquettes!$C$3</f>
        <v>kt</v>
      </c>
      <c r="F134" s="26" t="str">
        <f>Etiquettes!$H$6</f>
        <v>Blé tendre</v>
      </c>
      <c r="G134" s="26" t="str">
        <f>Etiquettes!$I$5</f>
        <v>2019-20</v>
      </c>
      <c r="H134" t="str">
        <f>Etiquettes!$C$4</f>
        <v>France entière</v>
      </c>
      <c r="I134" s="603" t="s">
        <v>1563</v>
      </c>
      <c r="J134" s="603"/>
      <c r="K134" t="s">
        <v>1559</v>
      </c>
      <c r="L134" s="603" t="str" cm="1">
        <f t="array" aca="1" ref="L134" ca="1">[1]!NOM_FEUILLE('Bilans Blé tendre - FAM'!$A$1)</f>
        <v>Bilans Blé tendre - FAM</v>
      </c>
      <c r="M134" s="26" t="str">
        <f>Etiquettes!$H$11</f>
        <v>Volume</v>
      </c>
      <c r="N134" t="str">
        <f t="shared" si="2"/>
        <v>Consommation de grains par l'Amidonnerie = 2582 kt (Bilans par campagne - FranceAgriMer)</v>
      </c>
      <c r="O134" s="26" t="str">
        <f>Etiquettes!$J$15</f>
        <v>Probable</v>
      </c>
      <c r="P134" s="603" t="str">
        <f>Etiquettes!$H$16</f>
        <v>Données collectées</v>
      </c>
      <c r="Q134" s="603" t="str">
        <f>Etiquettes!$H$17</f>
        <v>Donnée collectée (valeur du flux ou coefficient)</v>
      </c>
    </row>
    <row r="135" spans="1:19">
      <c r="A135" t="str">
        <f>'Prétraitement bilans'!A16</f>
        <v>Grains collectés</v>
      </c>
      <c r="B135" t="str">
        <f>'Prétraitement bilans'!B16</f>
        <v>Distillerie</v>
      </c>
      <c r="C135" s="458">
        <f>'Prétraitement bilans'!M16</f>
        <v>1520</v>
      </c>
      <c r="E135" t="str">
        <f>Etiquettes!$C$3</f>
        <v>kt</v>
      </c>
      <c r="F135" s="26" t="str">
        <f>Etiquettes!$H$6</f>
        <v>Blé tendre</v>
      </c>
      <c r="G135" s="26" t="str">
        <f>Etiquettes!$I$5</f>
        <v>2019-20</v>
      </c>
      <c r="H135" t="str">
        <f>Etiquettes!$C$4</f>
        <v>France entière</v>
      </c>
      <c r="I135" s="603" t="s">
        <v>1564</v>
      </c>
      <c r="J135" s="603"/>
      <c r="K135" t="s">
        <v>1559</v>
      </c>
      <c r="L135" s="603" t="str" cm="1">
        <f t="array" aca="1" ref="L135" ca="1">[1]!NOM_FEUILLE('Bilans Blé tendre - FAM'!$A$1)</f>
        <v>Bilans Blé tendre - FAM</v>
      </c>
      <c r="M135" s="26" t="str">
        <f>Etiquettes!$H$11</f>
        <v>Volume</v>
      </c>
      <c r="N135" t="str">
        <f t="shared" si="2"/>
        <v>Consommation de grains par la Distillerie = 1520 kt (Bilans par campagne - FranceAgriMer)</v>
      </c>
      <c r="O135" s="26" t="str">
        <f>Etiquettes!$J$15</f>
        <v>Probable</v>
      </c>
      <c r="P135" s="603" t="str">
        <f>Etiquettes!$H$16</f>
        <v>Données collectées</v>
      </c>
      <c r="Q135" s="603" t="str">
        <f>Etiquettes!$H$17</f>
        <v>Donnée collectée (valeur du flux ou coefficient)</v>
      </c>
    </row>
    <row r="136" spans="1:19">
      <c r="A136" t="str">
        <f>'Prétraitement bilans'!A17</f>
        <v>Grains collectés</v>
      </c>
      <c r="B136" t="str">
        <f>'Prétraitement bilans'!B17</f>
        <v>Malterie</v>
      </c>
      <c r="C136" s="458"/>
      <c r="E136" t="str">
        <f>Etiquettes!$C$3</f>
        <v>kt</v>
      </c>
      <c r="F136" s="26" t="str">
        <f>Etiquettes!$H$6</f>
        <v>Blé tendre</v>
      </c>
      <c r="G136" s="26" t="str">
        <f>Etiquettes!$I$5</f>
        <v>2019-20</v>
      </c>
      <c r="H136" t="str">
        <f>Etiquettes!$C$4</f>
        <v>France entière</v>
      </c>
      <c r="I136" s="603"/>
      <c r="J136" s="603"/>
      <c r="K136"/>
      <c r="P136" s="603"/>
      <c r="Q136" s="603"/>
      <c r="R136" t="s">
        <v>1812</v>
      </c>
    </row>
    <row r="137" spans="1:19" s="26" customFormat="1">
      <c r="A137" t="str">
        <f>'Prétraitement bilans'!A18</f>
        <v>Grains collectés</v>
      </c>
      <c r="B137" t="str">
        <f>'Prétraitement bilans'!B18</f>
        <v>Autres IAA</v>
      </c>
      <c r="C137" s="458">
        <f>'Prétraitement bilans'!M18</f>
        <v>0</v>
      </c>
      <c r="D137" s="10"/>
      <c r="E137" t="str">
        <f>Etiquettes!$C$3</f>
        <v>kt</v>
      </c>
      <c r="F137" s="26" t="str">
        <f>Etiquettes!$H$6</f>
        <v>Blé tendre</v>
      </c>
      <c r="G137" s="26" t="str">
        <f>Etiquettes!$I$5</f>
        <v>2019-20</v>
      </c>
      <c r="H137" t="str">
        <f>Etiquettes!$C$4</f>
        <v>France entière</v>
      </c>
      <c r="I137" s="603" t="s">
        <v>1566</v>
      </c>
      <c r="J137" s="603"/>
      <c r="K137" t="s">
        <v>1559</v>
      </c>
      <c r="L137" s="603" t="str" cm="1">
        <f t="array" aca="1" ref="L137" ca="1">[1]!NOM_FEUILLE('Bilans Blé tendre - FAM'!$A$1)</f>
        <v>Bilans Blé tendre - FAM</v>
      </c>
      <c r="M137" s="26" t="str">
        <f>Etiquettes!$H$11</f>
        <v>Volume</v>
      </c>
      <c r="N137" t="str">
        <f t="shared" si="2"/>
        <v>Consommation de grains par les autres IAA = 0 kt (Bilans par campagne - FranceAgriMer)</v>
      </c>
      <c r="O137" s="26" t="str">
        <f>Etiquettes!$J$15</f>
        <v>Probable</v>
      </c>
      <c r="P137" s="603" t="str">
        <f>Etiquettes!$H$16</f>
        <v>Données collectées</v>
      </c>
      <c r="Q137" s="603" t="str">
        <f>Etiquettes!$H$17</f>
        <v>Donnée collectée (valeur du flux ou coefficient)</v>
      </c>
      <c r="R137"/>
      <c r="S137"/>
    </row>
    <row r="138" spans="1:19" s="26" customFormat="1">
      <c r="A138" t="str">
        <f>'Prétraitement bilans'!A19</f>
        <v>Grains collectés</v>
      </c>
      <c r="B138" t="str">
        <f>'Prétraitement bilans'!B19</f>
        <v>Semoulerie</v>
      </c>
      <c r="C138" s="458">
        <f>'Prétraitement bilans'!M19</f>
        <v>0</v>
      </c>
      <c r="D138" s="10"/>
      <c r="E138" t="str">
        <f>Etiquettes!$C$3</f>
        <v>kt</v>
      </c>
      <c r="F138" s="26" t="str">
        <f>Etiquettes!$H$6</f>
        <v>Blé tendre</v>
      </c>
      <c r="G138" s="26" t="str">
        <f>Etiquettes!$I$5</f>
        <v>2019-20</v>
      </c>
      <c r="H138" t="str">
        <f>Etiquettes!$C$4</f>
        <v>France entière</v>
      </c>
      <c r="I138" s="603" t="s">
        <v>1567</v>
      </c>
      <c r="J138" s="603"/>
      <c r="K138" t="s">
        <v>1559</v>
      </c>
      <c r="L138" s="603" t="str" cm="1">
        <f t="array" aca="1" ref="L138" ca="1">[1]!NOM_FEUILLE('Bilans Blé tendre - FAM'!$A$1)</f>
        <v>Bilans Blé tendre - FAM</v>
      </c>
      <c r="M138" s="26" t="str">
        <f>Etiquettes!$H$11</f>
        <v>Volume</v>
      </c>
      <c r="N138" t="str">
        <f t="shared" si="2"/>
        <v>Consommation de grains par la Semoulerie = 0 kt (Bilans par campagne - FranceAgriMer)</v>
      </c>
      <c r="O138" s="26" t="str">
        <f>Etiquettes!$J$15</f>
        <v>Probable</v>
      </c>
      <c r="P138" s="603" t="str">
        <f>Etiquettes!$H$16</f>
        <v>Données collectées</v>
      </c>
      <c r="Q138" s="603" t="str">
        <f>Etiquettes!$H$17</f>
        <v>Donnée collectée (valeur du flux ou coefficient)</v>
      </c>
      <c r="R138"/>
      <c r="S138"/>
    </row>
    <row r="139" spans="1:19" s="26" customFormat="1">
      <c r="A139" t="str">
        <f>'Prétraitement bilans'!A20</f>
        <v>Grains collectés</v>
      </c>
      <c r="B139" t="str">
        <f>'Prétraitement bilans'!B20</f>
        <v>FAB</v>
      </c>
      <c r="C139" s="458">
        <f>'Prétraitement bilans'!M20</f>
        <v>4958.9253820000004</v>
      </c>
      <c r="D139" s="10"/>
      <c r="E139" t="str">
        <f>Etiquettes!$C$3</f>
        <v>kt</v>
      </c>
      <c r="F139" s="26" t="str">
        <f>Etiquettes!$H$6</f>
        <v>Blé tendre</v>
      </c>
      <c r="G139" s="26" t="str">
        <f>Etiquettes!$I$5</f>
        <v>2019-20</v>
      </c>
      <c r="H139" t="str">
        <f>Etiquettes!$C$4</f>
        <v>France entière</v>
      </c>
      <c r="I139" s="603" t="s">
        <v>1568</v>
      </c>
      <c r="J139" s="603"/>
      <c r="K139" t="s">
        <v>1559</v>
      </c>
      <c r="L139" s="603" t="str" cm="1">
        <f t="array" aca="1" ref="L139" ca="1">[1]!NOM_FEUILLE('Bilans Blé tendre - FAM'!$A$1)</f>
        <v>Bilans Blé tendre - FAM</v>
      </c>
      <c r="M139" s="26" t="str">
        <f>Etiquettes!$H$11</f>
        <v>Volume</v>
      </c>
      <c r="N139" t="str">
        <f t="shared" si="2"/>
        <v>Consommation de grains par les FAB = 4959 kt (Bilans par campagne - FranceAgriMer)</v>
      </c>
      <c r="O139" s="26" t="str">
        <f>Etiquettes!$J$15</f>
        <v>Probable</v>
      </c>
      <c r="P139" s="603" t="str">
        <f>Etiquettes!$H$16</f>
        <v>Données collectées</v>
      </c>
      <c r="Q139" s="603" t="str">
        <f>Etiquettes!$H$17</f>
        <v>Donnée collectée (valeur du flux ou coefficient)</v>
      </c>
      <c r="R139"/>
      <c r="S139"/>
    </row>
    <row r="140" spans="1:19" s="26" customFormat="1">
      <c r="A140" t="str">
        <f>'Prétraitement bilans'!A21</f>
        <v>Grains collectés</v>
      </c>
      <c r="B140" t="str">
        <f>'Prétraitement bilans'!B21</f>
        <v>Semences certifiées</v>
      </c>
      <c r="C140" s="458">
        <f>'Prétraitement bilans'!M21</f>
        <v>321.3623</v>
      </c>
      <c r="D140" s="10"/>
      <c r="E140" t="str">
        <f>Etiquettes!$C$3</f>
        <v>kt</v>
      </c>
      <c r="F140" s="26" t="str">
        <f>Etiquettes!$H$6</f>
        <v>Blé tendre</v>
      </c>
      <c r="G140" s="26" t="str">
        <f>Etiquettes!$I$5</f>
        <v>2019-20</v>
      </c>
      <c r="H140" t="str">
        <f>Etiquettes!$C$4</f>
        <v>France entière</v>
      </c>
      <c r="I140" s="603" t="s">
        <v>1561</v>
      </c>
      <c r="J140" s="603"/>
      <c r="K140" t="s">
        <v>1559</v>
      </c>
      <c r="L140" s="603" t="str" cm="1">
        <f t="array" aca="1" ref="L140" ca="1">[1]!NOM_FEUILLE('Bilans Blé tendre - FAM'!$A$1)</f>
        <v>Bilans Blé tendre - FAM</v>
      </c>
      <c r="M140" s="26" t="str">
        <f>Etiquettes!$H$11</f>
        <v>Volume</v>
      </c>
      <c r="N140" t="str">
        <f t="shared" si="2"/>
        <v>Production de semences certifiées = 321 kt (Bilans par campagne - FranceAgriMer)</v>
      </c>
      <c r="O140" s="26" t="str">
        <f>Etiquettes!$J$15</f>
        <v>Probable</v>
      </c>
      <c r="P140" s="603" t="str">
        <f>Etiquettes!$H$16</f>
        <v>Données collectées</v>
      </c>
      <c r="Q140" s="603" t="str">
        <f>Etiquettes!$H$17</f>
        <v>Donnée collectée (valeur du flux ou coefficient)</v>
      </c>
      <c r="R140"/>
      <c r="S140"/>
    </row>
    <row r="141" spans="1:19" s="26" customFormat="1">
      <c r="A141" t="str">
        <f>'Prétraitement bilans'!A25</f>
        <v>OS</v>
      </c>
      <c r="B141" t="str">
        <f>'Prétraitement bilans'!B25</f>
        <v>Stock final</v>
      </c>
      <c r="C141" s="458">
        <f>'Prétraitement bilans'!M25</f>
        <v>2247.4432999999999</v>
      </c>
      <c r="D141" s="10"/>
      <c r="E141" t="str">
        <f>Etiquettes!$C$3</f>
        <v>kt</v>
      </c>
      <c r="F141" s="26" t="str">
        <f>Etiquettes!$H$6</f>
        <v>Blé tendre</v>
      </c>
      <c r="G141" s="26" t="str">
        <f>Etiquettes!$I$5</f>
        <v>2019-20</v>
      </c>
      <c r="H141" t="str">
        <f>Etiquettes!$C$4</f>
        <v>France entière</v>
      </c>
      <c r="I141" s="603" t="s">
        <v>1128</v>
      </c>
      <c r="J141" s="603"/>
      <c r="K141" t="s">
        <v>1559</v>
      </c>
      <c r="L141" s="603" t="str" cm="1">
        <f t="array" aca="1" ref="L141" ca="1">[1]!NOM_FEUILLE('Bilans Blé tendre - FAM'!$A$1)</f>
        <v>Bilans Blé tendre - FAM</v>
      </c>
      <c r="M141" s="26" t="str">
        <f>Etiquettes!$H$11</f>
        <v>Volume</v>
      </c>
      <c r="N141" t="str">
        <f t="shared" si="2"/>
        <v>Stock final collecteurs = 2247 kt (Bilans par campagne - FranceAgriMer)</v>
      </c>
      <c r="O141" s="26" t="str">
        <f>Etiquettes!$I$15</f>
        <v>Robuste</v>
      </c>
      <c r="P141" s="603" t="str">
        <f>Etiquettes!$H$16</f>
        <v>Données collectées</v>
      </c>
      <c r="Q141" s="603" t="str">
        <f>Etiquettes!$H$17</f>
        <v>Donnée collectée (valeur du flux ou coefficient)</v>
      </c>
      <c r="R141"/>
      <c r="S141"/>
    </row>
    <row r="142" spans="1:19">
      <c r="A142" t="str">
        <f>'Prétraitement bilans'!A3</f>
        <v>Récolte</v>
      </c>
      <c r="B142" t="str">
        <f>'Prétraitement bilans'!B3</f>
        <v>Grains récoltés</v>
      </c>
      <c r="C142" s="458">
        <f>'Prétraitement bilans'!N3</f>
        <v>12037.713</v>
      </c>
      <c r="E142" t="str">
        <f>Etiquettes!$C$3</f>
        <v>kt</v>
      </c>
      <c r="F142" s="26" t="str">
        <f>Etiquettes!$I$6</f>
        <v>Maïs</v>
      </c>
      <c r="G142" s="26" t="str">
        <f>Etiquettes!$I$5</f>
        <v>2019-20</v>
      </c>
      <c r="H142" t="str">
        <f>Etiquettes!$C$4</f>
        <v>France entière</v>
      </c>
      <c r="I142" s="603" t="s">
        <v>1106</v>
      </c>
      <c r="J142" s="603"/>
      <c r="K142" t="s">
        <v>1559</v>
      </c>
      <c r="L142" s="603" t="str" cm="1">
        <f t="array" aca="1" ref="L142" ca="1">[1]!NOM_FEUILLE('Bilans Maïs - FAM'!$A$1)</f>
        <v>Bilans Maïs - FAM</v>
      </c>
      <c r="M142" s="26" t="str">
        <f>Etiquettes!$H$11</f>
        <v>Volume</v>
      </c>
      <c r="N142" t="str">
        <f t="shared" si="2"/>
        <v>Récolte = 12038 kt (Bilans par campagne - FranceAgriMer)</v>
      </c>
      <c r="O142" s="26" t="str">
        <f>Etiquettes!$H$15</f>
        <v>Fiable</v>
      </c>
      <c r="P142" s="603" t="str">
        <f>Etiquettes!$H$16</f>
        <v>Données collectées</v>
      </c>
      <c r="Q142" s="603" t="str">
        <f>Etiquettes!$H$17</f>
        <v>Donnée collectée (valeur du flux ou coefficient)</v>
      </c>
    </row>
    <row r="143" spans="1:19">
      <c r="A143" t="str">
        <f>'Prétraitement bilans'!A4</f>
        <v>Stock initial</v>
      </c>
      <c r="B143" t="str">
        <f>'Prétraitement bilans'!B4</f>
        <v>Ferme</v>
      </c>
      <c r="C143" s="458">
        <f>'Prétraitement bilans'!N4</f>
        <v>0</v>
      </c>
      <c r="E143" t="str">
        <f>Etiquettes!$C$3</f>
        <v>kt</v>
      </c>
      <c r="F143" s="26" t="str">
        <f>Etiquettes!$I$6</f>
        <v>Maïs</v>
      </c>
      <c r="G143" s="26" t="str">
        <f>Etiquettes!$I$5</f>
        <v>2019-20</v>
      </c>
      <c r="H143" t="str">
        <f>Etiquettes!$C$4</f>
        <v>France entière</v>
      </c>
      <c r="I143" s="603" t="s">
        <v>1115</v>
      </c>
      <c r="J143" s="603"/>
      <c r="K143" t="s">
        <v>1559</v>
      </c>
      <c r="L143" s="603" t="str" cm="1">
        <f t="array" aca="1" ref="L143" ca="1">[1]!NOM_FEUILLE('Bilans Maïs - FAM'!$A$1)</f>
        <v>Bilans Maïs - FAM</v>
      </c>
      <c r="M143" s="26" t="str">
        <f>Etiquettes!$H$11</f>
        <v>Volume</v>
      </c>
      <c r="N143" t="str">
        <f t="shared" si="2"/>
        <v>Stock initial à la ferme = 0 kt (Bilans par campagne - FranceAgriMer)</v>
      </c>
      <c r="O143" s="26" t="str">
        <f>Etiquettes!$K$15</f>
        <v>Approximative</v>
      </c>
      <c r="P143" s="603" t="str">
        <f>Etiquettes!$H$16</f>
        <v>Données collectées</v>
      </c>
      <c r="Q143" s="603" t="str">
        <f>Etiquettes!$H$17</f>
        <v>Donnée collectée (valeur du flux ou coefficient)</v>
      </c>
    </row>
    <row r="144" spans="1:19">
      <c r="A144" t="str">
        <f>'Prétraitement bilans'!A5</f>
        <v>Ferme</v>
      </c>
      <c r="B144" t="str">
        <f>'Prétraitement bilans'!B5</f>
        <v>Grains autoconsommés</v>
      </c>
      <c r="C144" s="458">
        <f>'Prétraitement bilans'!N5</f>
        <v>1676.1973470000066</v>
      </c>
      <c r="E144" t="str">
        <f>Etiquettes!$C$3</f>
        <v>kt</v>
      </c>
      <c r="F144" s="26" t="str">
        <f>Etiquettes!$I$6</f>
        <v>Maïs</v>
      </c>
      <c r="G144" s="26" t="str">
        <f>Etiquettes!$I$5</f>
        <v>2019-20</v>
      </c>
      <c r="H144" t="str">
        <f>Etiquettes!$C$4</f>
        <v>France entière</v>
      </c>
      <c r="I144" s="603" t="s">
        <v>1560</v>
      </c>
      <c r="J144" s="603"/>
      <c r="K144" t="s">
        <v>1559</v>
      </c>
      <c r="L144" s="603" t="str" cm="1">
        <f t="array" aca="1" ref="L144" ca="1">[1]!NOM_FEUILLE('Bilans Maïs - FAM'!$A$1)</f>
        <v>Bilans Maïs - FAM</v>
      </c>
      <c r="M144" s="26" t="str">
        <f>Etiquettes!$H$11</f>
        <v>Volume</v>
      </c>
      <c r="N144" t="str">
        <f t="shared" si="2"/>
        <v>Autoconsommation à la ferme = 1676 kt (Bilans par campagne - FranceAgriMer)</v>
      </c>
      <c r="O144" s="26" t="str">
        <f>Etiquettes!$K$15</f>
        <v>Approximative</v>
      </c>
      <c r="P144" s="603" t="str">
        <f>Etiquettes!$H$16</f>
        <v>Données collectées</v>
      </c>
      <c r="Q144" s="603" t="str">
        <f>Etiquettes!$H$17</f>
        <v>Donnée collectée (valeur du flux ou coefficient)</v>
      </c>
    </row>
    <row r="145" spans="1:19">
      <c r="A145" t="str">
        <f>'Prétraitement bilans'!A6</f>
        <v>Ferme</v>
      </c>
      <c r="B145" t="str">
        <f>'Prétraitement bilans'!B6</f>
        <v>Stock final</v>
      </c>
      <c r="C145" s="458">
        <f>'Prétraitement bilans'!N6</f>
        <v>0</v>
      </c>
      <c r="E145" t="str">
        <f>Etiquettes!$C$3</f>
        <v>kt</v>
      </c>
      <c r="F145" s="26" t="str">
        <f>Etiquettes!$I$6</f>
        <v>Maïs</v>
      </c>
      <c r="G145" s="26" t="str">
        <f>Etiquettes!$I$5</f>
        <v>2019-20</v>
      </c>
      <c r="H145" t="str">
        <f>Etiquettes!$C$4</f>
        <v>France entière</v>
      </c>
      <c r="I145" s="603" t="s">
        <v>1116</v>
      </c>
      <c r="J145" s="603"/>
      <c r="K145" t="s">
        <v>1559</v>
      </c>
      <c r="L145" s="603" t="str" cm="1">
        <f t="array" aca="1" ref="L145" ca="1">[1]!NOM_FEUILLE('Bilans Maïs - FAM'!$A$1)</f>
        <v>Bilans Maïs - FAM</v>
      </c>
      <c r="M145" s="26" t="str">
        <f>Etiquettes!$H$11</f>
        <v>Volume</v>
      </c>
      <c r="N145" t="str">
        <f t="shared" si="2"/>
        <v>Stock final à la ferme = 0 kt (Bilans par campagne - FranceAgriMer)</v>
      </c>
      <c r="O145" s="26" t="str">
        <f>Etiquettes!$K$15</f>
        <v>Approximative</v>
      </c>
      <c r="P145" s="603" t="str">
        <f>Etiquettes!$H$16</f>
        <v>Données collectées</v>
      </c>
      <c r="Q145" s="603" t="str">
        <f>Etiquettes!$H$17</f>
        <v>Donnée collectée (valeur du flux ou coefficient)</v>
      </c>
    </row>
    <row r="146" spans="1:19">
      <c r="A146" t="str">
        <f>'Prétraitement bilans'!A7</f>
        <v>Stock initial</v>
      </c>
      <c r="B146" t="str">
        <f>'Prétraitement bilans'!B7</f>
        <v>OS</v>
      </c>
      <c r="C146" s="458">
        <f>'Prétraitement bilans'!N7</f>
        <v>1913.2199999999998</v>
      </c>
      <c r="E146" t="str">
        <f>Etiquettes!$C$3</f>
        <v>kt</v>
      </c>
      <c r="F146" s="26" t="str">
        <f>Etiquettes!$I$6</f>
        <v>Maïs</v>
      </c>
      <c r="G146" s="26" t="str">
        <f>Etiquettes!$I$5</f>
        <v>2019-20</v>
      </c>
      <c r="H146" t="str">
        <f>Etiquettes!$C$4</f>
        <v>France entière</v>
      </c>
      <c r="I146" s="603" t="s">
        <v>1127</v>
      </c>
      <c r="J146" s="603"/>
      <c r="K146" t="s">
        <v>1559</v>
      </c>
      <c r="L146" s="603" t="str" cm="1">
        <f t="array" aca="1" ref="L146" ca="1">[1]!NOM_FEUILLE('Bilans Maïs - FAM'!$A$1)</f>
        <v>Bilans Maïs - FAM</v>
      </c>
      <c r="M146" s="26" t="str">
        <f>Etiquettes!$H$11</f>
        <v>Volume</v>
      </c>
      <c r="N146" t="str">
        <f t="shared" si="2"/>
        <v>Stock initial collecteurs = 1913 kt (Bilans par campagne - FranceAgriMer)</v>
      </c>
      <c r="O146" s="26" t="str">
        <f>Etiquettes!$I$15</f>
        <v>Robuste</v>
      </c>
      <c r="P146" s="603" t="str">
        <f>Etiquettes!$H$16</f>
        <v>Données collectées</v>
      </c>
      <c r="Q146" s="603" t="str">
        <f>Etiquettes!$H$17</f>
        <v>Donnée collectée (valeur du flux ou coefficient)</v>
      </c>
    </row>
    <row r="147" spans="1:19">
      <c r="A147" t="str">
        <f>'Prétraitement bilans'!A8</f>
        <v>Grains récoltés</v>
      </c>
      <c r="B147" t="str">
        <f>'Prétraitement bilans'!B8</f>
        <v>OS</v>
      </c>
      <c r="C147" s="458">
        <f>'Prétraitement bilans'!N8</f>
        <v>10361.515652999993</v>
      </c>
      <c r="E147" t="str">
        <f>Etiquettes!$C$3</f>
        <v>kt</v>
      </c>
      <c r="F147" s="26" t="str">
        <f>Etiquettes!$I$6</f>
        <v>Maïs</v>
      </c>
      <c r="G147" s="26" t="str">
        <f>Etiquettes!$I$5</f>
        <v>2019-20</v>
      </c>
      <c r="H147" t="str">
        <f>Etiquettes!$C$4</f>
        <v>France entière</v>
      </c>
      <c r="I147" s="603" t="s">
        <v>317</v>
      </c>
      <c r="J147" s="603"/>
      <c r="K147" t="s">
        <v>1559</v>
      </c>
      <c r="L147" s="603" t="str" cm="1">
        <f t="array" aca="1" ref="L147" ca="1">[1]!NOM_FEUILLE('Bilans Maïs - FAM'!$A$1)</f>
        <v>Bilans Maïs - FAM</v>
      </c>
      <c r="M147" s="26" t="str">
        <f>Etiquettes!$H$11</f>
        <v>Volume</v>
      </c>
      <c r="N147" t="str">
        <f t="shared" si="2"/>
        <v>Collecte = 10362 kt (Bilans par campagne - FranceAgriMer)</v>
      </c>
      <c r="O147" s="26" t="str">
        <f>Etiquettes!$I$15</f>
        <v>Robuste</v>
      </c>
      <c r="P147" s="603" t="str">
        <f>Etiquettes!$H$16</f>
        <v>Données collectées</v>
      </c>
      <c r="Q147" s="603" t="str">
        <f>Etiquettes!$H$17</f>
        <v>Donnée collectée (valeur du flux ou coefficient)</v>
      </c>
    </row>
    <row r="148" spans="1:19">
      <c r="A148" t="str">
        <f>'Prétraitement bilans'!A13</f>
        <v>Grains collectés</v>
      </c>
      <c r="B148" t="str">
        <f>'Prétraitement bilans'!B13</f>
        <v>Amidonnerie / Glutennerie</v>
      </c>
      <c r="C148" s="458">
        <f>'Prétraitement bilans'!N13</f>
        <v>2018.6741280000001</v>
      </c>
      <c r="E148" t="str">
        <f>Etiquettes!$C$3</f>
        <v>kt</v>
      </c>
      <c r="F148" s="26" t="str">
        <f>Etiquettes!$I$6</f>
        <v>Maïs</v>
      </c>
      <c r="G148" s="26" t="str">
        <f>Etiquettes!$I$5</f>
        <v>2019-20</v>
      </c>
      <c r="H148" t="str">
        <f>Etiquettes!$C$4</f>
        <v>France entière</v>
      </c>
      <c r="I148" s="603" t="s">
        <v>1563</v>
      </c>
      <c r="J148" s="603"/>
      <c r="K148" t="s">
        <v>1559</v>
      </c>
      <c r="L148" s="603" t="str" cm="1">
        <f t="array" aca="1" ref="L148" ca="1">[1]!NOM_FEUILLE('Bilans Maïs - FAM'!$A$1)</f>
        <v>Bilans Maïs - FAM</v>
      </c>
      <c r="M148" s="26" t="str">
        <f>Etiquettes!$H$11</f>
        <v>Volume</v>
      </c>
      <c r="N148" t="str">
        <f t="shared" si="2"/>
        <v>Consommation de grains par l'Amidonnerie = 2019 kt (Bilans par campagne - FranceAgriMer)</v>
      </c>
      <c r="O148" s="26" t="str">
        <f>Etiquettes!$J$15</f>
        <v>Probable</v>
      </c>
      <c r="P148" s="603" t="str">
        <f>Etiquettes!$H$16</f>
        <v>Données collectées</v>
      </c>
      <c r="Q148" s="603" t="str">
        <f>Etiquettes!$H$17</f>
        <v>Donnée collectée (valeur du flux ou coefficient)</v>
      </c>
    </row>
    <row r="149" spans="1:19">
      <c r="A149" t="str">
        <f>'Prétraitement bilans'!A16</f>
        <v>Grains collectés</v>
      </c>
      <c r="B149" t="str">
        <f>'Prétraitement bilans'!B16</f>
        <v>Distillerie</v>
      </c>
      <c r="C149" s="458">
        <f>'Prétraitement bilans'!N16</f>
        <v>500</v>
      </c>
      <c r="E149" t="str">
        <f>Etiquettes!$C$3</f>
        <v>kt</v>
      </c>
      <c r="F149" s="26" t="str">
        <f>Etiquettes!$I$6</f>
        <v>Maïs</v>
      </c>
      <c r="G149" s="26" t="str">
        <f>Etiquettes!$I$5</f>
        <v>2019-20</v>
      </c>
      <c r="H149" t="str">
        <f>Etiquettes!$C$4</f>
        <v>France entière</v>
      </c>
      <c r="I149" s="603" t="s">
        <v>1564</v>
      </c>
      <c r="J149" s="603"/>
      <c r="K149" t="s">
        <v>1559</v>
      </c>
      <c r="L149" s="603" t="str" cm="1">
        <f t="array" aca="1" ref="L149" ca="1">[1]!NOM_FEUILLE('Bilans Maïs - FAM'!$A$1)</f>
        <v>Bilans Maïs - FAM</v>
      </c>
      <c r="M149" s="26" t="str">
        <f>Etiquettes!$H$11</f>
        <v>Volume</v>
      </c>
      <c r="N149" t="str">
        <f t="shared" si="2"/>
        <v>Consommation de grains par la Distillerie = 500 kt (Bilans par campagne - FranceAgriMer)</v>
      </c>
      <c r="O149" s="26" t="str">
        <f>Etiquettes!$J$15</f>
        <v>Probable</v>
      </c>
      <c r="P149" s="603" t="str">
        <f>Etiquettes!$H$16</f>
        <v>Données collectées</v>
      </c>
      <c r="Q149" s="603" t="str">
        <f>Etiquettes!$H$17</f>
        <v>Donnée collectée (valeur du flux ou coefficient)</v>
      </c>
    </row>
    <row r="150" spans="1:19">
      <c r="A150" t="str">
        <f>'Prétraitement bilans'!A17</f>
        <v>Grains collectés</v>
      </c>
      <c r="B150" t="str">
        <f>'Prétraitement bilans'!B17</f>
        <v>Malterie</v>
      </c>
      <c r="C150" s="458">
        <f>'Prétraitement bilans'!N17</f>
        <v>0</v>
      </c>
      <c r="E150" t="str">
        <f>Etiquettes!$C$3</f>
        <v>kt</v>
      </c>
      <c r="F150" s="26" t="str">
        <f>Etiquettes!$I$6</f>
        <v>Maïs</v>
      </c>
      <c r="G150" s="26" t="str">
        <f>Etiquettes!$I$5</f>
        <v>2019-20</v>
      </c>
      <c r="H150" t="str">
        <f>Etiquettes!$C$4</f>
        <v>France entière</v>
      </c>
      <c r="I150" s="603" t="s">
        <v>1565</v>
      </c>
      <c r="J150" s="603"/>
      <c r="K150" t="s">
        <v>1559</v>
      </c>
      <c r="L150" s="603" t="str" cm="1">
        <f t="array" aca="1" ref="L150" ca="1">[1]!NOM_FEUILLE('Bilans Maïs - FAM'!$A$1)</f>
        <v>Bilans Maïs - FAM</v>
      </c>
      <c r="M150" s="26" t="str">
        <f>Etiquettes!$H$11</f>
        <v>Volume</v>
      </c>
      <c r="N150" t="str">
        <f t="shared" si="2"/>
        <v>Consommation de grains par la Malterie = 0 kt (Bilans par campagne - FranceAgriMer)</v>
      </c>
      <c r="O150" s="26" t="str">
        <f>Etiquettes!$J$15</f>
        <v>Probable</v>
      </c>
      <c r="P150" s="603" t="str">
        <f>Etiquettes!$H$16</f>
        <v>Données collectées</v>
      </c>
      <c r="Q150" s="603" t="str">
        <f>Etiquettes!$H$17</f>
        <v>Donnée collectée (valeur du flux ou coefficient)</v>
      </c>
    </row>
    <row r="151" spans="1:19" s="26" customFormat="1">
      <c r="A151" t="str">
        <f>'Prétraitement bilans'!A18</f>
        <v>Grains collectés</v>
      </c>
      <c r="B151" t="str">
        <f>'Prétraitement bilans'!B18</f>
        <v>Autres IAA</v>
      </c>
      <c r="C151" s="458">
        <f>'Prétraitement bilans'!N18</f>
        <v>0</v>
      </c>
      <c r="D151" s="10"/>
      <c r="E151" t="str">
        <f>Etiquettes!$C$3</f>
        <v>kt</v>
      </c>
      <c r="F151" s="26" t="str">
        <f>Etiquettes!$I$6</f>
        <v>Maïs</v>
      </c>
      <c r="G151" s="26" t="str">
        <f>Etiquettes!$I$5</f>
        <v>2019-20</v>
      </c>
      <c r="H151" t="str">
        <f>Etiquettes!$C$4</f>
        <v>France entière</v>
      </c>
      <c r="I151" s="603" t="s">
        <v>1566</v>
      </c>
      <c r="J151" s="603"/>
      <c r="K151" t="s">
        <v>1559</v>
      </c>
      <c r="L151" s="603" t="str" cm="1">
        <f t="array" aca="1" ref="L151" ca="1">[1]!NOM_FEUILLE('Bilans Maïs - FAM'!$A$1)</f>
        <v>Bilans Maïs - FAM</v>
      </c>
      <c r="M151" s="26" t="str">
        <f>Etiquettes!$H$11</f>
        <v>Volume</v>
      </c>
      <c r="N151" t="str">
        <f t="shared" si="2"/>
        <v>Consommation de grains par les autres IAA = 0 kt (Bilans par campagne - FranceAgriMer)</v>
      </c>
      <c r="O151" s="26" t="str">
        <f>Etiquettes!$J$15</f>
        <v>Probable</v>
      </c>
      <c r="P151" s="603" t="str">
        <f>Etiquettes!$H$16</f>
        <v>Données collectées</v>
      </c>
      <c r="Q151" s="603" t="str">
        <f>Etiquettes!$H$17</f>
        <v>Donnée collectée (valeur du flux ou coefficient)</v>
      </c>
      <c r="R151"/>
      <c r="S151"/>
    </row>
    <row r="152" spans="1:19" s="26" customFormat="1">
      <c r="A152" t="str">
        <f>'Prétraitement bilans'!A19</f>
        <v>Grains collectés</v>
      </c>
      <c r="B152" t="str">
        <f>'Prétraitement bilans'!B19</f>
        <v>Semoulerie</v>
      </c>
      <c r="C152" s="458">
        <f>'Prétraitement bilans'!N19</f>
        <v>264.26410999999996</v>
      </c>
      <c r="D152" s="10"/>
      <c r="E152" t="str">
        <f>Etiquettes!$C$3</f>
        <v>kt</v>
      </c>
      <c r="F152" s="26" t="str">
        <f>Etiquettes!$I$6</f>
        <v>Maïs</v>
      </c>
      <c r="G152" s="26" t="str">
        <f>Etiquettes!$I$5</f>
        <v>2019-20</v>
      </c>
      <c r="H152" t="str">
        <f>Etiquettes!$C$4</f>
        <v>France entière</v>
      </c>
      <c r="I152" s="603" t="s">
        <v>1567</v>
      </c>
      <c r="J152" s="603"/>
      <c r="K152" t="s">
        <v>1559</v>
      </c>
      <c r="L152" s="603" t="str" cm="1">
        <f t="array" aca="1" ref="L152" ca="1">[1]!NOM_FEUILLE('Bilans Maïs - FAM'!$A$1)</f>
        <v>Bilans Maïs - FAM</v>
      </c>
      <c r="M152" s="26" t="str">
        <f>Etiquettes!$H$11</f>
        <v>Volume</v>
      </c>
      <c r="N152" t="str">
        <f t="shared" si="2"/>
        <v>Consommation de grains par la Semoulerie = 264 kt (Bilans par campagne - FranceAgriMer)</v>
      </c>
      <c r="O152" s="26" t="str">
        <f>Etiquettes!$J$15</f>
        <v>Probable</v>
      </c>
      <c r="P152" s="603" t="str">
        <f>Etiquettes!$H$16</f>
        <v>Données collectées</v>
      </c>
      <c r="Q152" s="603" t="str">
        <f>Etiquettes!$H$17</f>
        <v>Donnée collectée (valeur du flux ou coefficient)</v>
      </c>
      <c r="R152"/>
      <c r="S152"/>
    </row>
    <row r="153" spans="1:19" s="26" customFormat="1">
      <c r="A153" t="str">
        <f>'Prétraitement bilans'!A20</f>
        <v>Grains collectés</v>
      </c>
      <c r="B153" t="str">
        <f>'Prétraitement bilans'!B20</f>
        <v>FAB</v>
      </c>
      <c r="C153" s="458">
        <f>'Prétraitement bilans'!N20</f>
        <v>2862.7390890000006</v>
      </c>
      <c r="D153" s="10"/>
      <c r="E153" t="str">
        <f>Etiquettes!$C$3</f>
        <v>kt</v>
      </c>
      <c r="F153" s="26" t="str">
        <f>Etiquettes!$I$6</f>
        <v>Maïs</v>
      </c>
      <c r="G153" s="26" t="str">
        <f>Etiquettes!$I$5</f>
        <v>2019-20</v>
      </c>
      <c r="H153" t="str">
        <f>Etiquettes!$C$4</f>
        <v>France entière</v>
      </c>
      <c r="I153" s="603" t="s">
        <v>1568</v>
      </c>
      <c r="J153" s="603"/>
      <c r="K153" t="s">
        <v>1559</v>
      </c>
      <c r="L153" s="603" t="str" cm="1">
        <f t="array" aca="1" ref="L153" ca="1">[1]!NOM_FEUILLE('Bilans Maïs - FAM'!$A$1)</f>
        <v>Bilans Maïs - FAM</v>
      </c>
      <c r="M153" s="26" t="str">
        <f>Etiquettes!$H$11</f>
        <v>Volume</v>
      </c>
      <c r="N153" t="str">
        <f t="shared" si="2"/>
        <v>Consommation de grains par les FAB = 2863 kt (Bilans par campagne - FranceAgriMer)</v>
      </c>
      <c r="O153" s="26" t="str">
        <f>Etiquettes!$J$15</f>
        <v>Probable</v>
      </c>
      <c r="P153" s="603" t="str">
        <f>Etiquettes!$H$16</f>
        <v>Données collectées</v>
      </c>
      <c r="Q153" s="603" t="str">
        <f>Etiquettes!$H$17</f>
        <v>Donnée collectée (valeur du flux ou coefficient)</v>
      </c>
      <c r="R153"/>
      <c r="S153"/>
    </row>
    <row r="154" spans="1:19" s="26" customFormat="1">
      <c r="A154" t="str">
        <f>'Prétraitement bilans'!A21</f>
        <v>Grains collectés</v>
      </c>
      <c r="B154" t="str">
        <f>'Prétraitement bilans'!B21</f>
        <v>Semences certifiées</v>
      </c>
      <c r="C154" s="458">
        <f>'Prétraitement bilans'!N21</f>
        <v>114.63131845201721</v>
      </c>
      <c r="D154" s="10"/>
      <c r="E154" t="str">
        <f>Etiquettes!$C$3</f>
        <v>kt</v>
      </c>
      <c r="F154" s="26" t="str">
        <f>Etiquettes!$I$6</f>
        <v>Maïs</v>
      </c>
      <c r="G154" s="26" t="str">
        <f>Etiquettes!$I$5</f>
        <v>2019-20</v>
      </c>
      <c r="H154" t="str">
        <f>Etiquettes!$C$4</f>
        <v>France entière</v>
      </c>
      <c r="I154" s="603" t="s">
        <v>1561</v>
      </c>
      <c r="J154" s="603"/>
      <c r="K154" t="s">
        <v>1559</v>
      </c>
      <c r="L154" s="603" t="str" cm="1">
        <f t="array" aca="1" ref="L154" ca="1">[1]!NOM_FEUILLE('Bilans Maïs - FAM'!$A$1)</f>
        <v>Bilans Maïs - FAM</v>
      </c>
      <c r="M154" s="26" t="str">
        <f>Etiquettes!$H$11</f>
        <v>Volume</v>
      </c>
      <c r="N154" t="str">
        <f t="shared" si="2"/>
        <v>Production de semences certifiées = 115 kt (Bilans par campagne - FranceAgriMer)</v>
      </c>
      <c r="O154" s="26" t="str">
        <f>Etiquettes!$J$15</f>
        <v>Probable</v>
      </c>
      <c r="P154" s="603" t="str">
        <f>Etiquettes!$H$16</f>
        <v>Données collectées</v>
      </c>
      <c r="Q154" s="603" t="str">
        <f>Etiquettes!$H$17</f>
        <v>Donnée collectée (valeur du flux ou coefficient)</v>
      </c>
      <c r="R154"/>
      <c r="S154"/>
    </row>
    <row r="155" spans="1:19" s="26" customFormat="1">
      <c r="A155" t="str">
        <f>'Prétraitement bilans'!A25</f>
        <v>OS</v>
      </c>
      <c r="B155" t="str">
        <f>'Prétraitement bilans'!B25</f>
        <v>Stock final</v>
      </c>
      <c r="C155" s="458">
        <f>'Prétraitement bilans'!N25</f>
        <v>1851.1818000000003</v>
      </c>
      <c r="D155" s="10"/>
      <c r="E155" t="str">
        <f>Etiquettes!$C$3</f>
        <v>kt</v>
      </c>
      <c r="F155" s="26" t="str">
        <f>Etiquettes!$I$6</f>
        <v>Maïs</v>
      </c>
      <c r="G155" s="26" t="str">
        <f>Etiquettes!$I$5</f>
        <v>2019-20</v>
      </c>
      <c r="H155" t="str">
        <f>Etiquettes!$C$4</f>
        <v>France entière</v>
      </c>
      <c r="I155" s="603" t="s">
        <v>1128</v>
      </c>
      <c r="J155" s="603"/>
      <c r="K155" t="s">
        <v>1559</v>
      </c>
      <c r="L155" s="603" t="str" cm="1">
        <f t="array" aca="1" ref="L155" ca="1">[1]!NOM_FEUILLE('Bilans Maïs - FAM'!$A$1)</f>
        <v>Bilans Maïs - FAM</v>
      </c>
      <c r="M155" s="26" t="str">
        <f>Etiquettes!$H$11</f>
        <v>Volume</v>
      </c>
      <c r="N155" t="str">
        <f t="shared" si="2"/>
        <v>Stock final collecteurs = 1851 kt (Bilans par campagne - FranceAgriMer)</v>
      </c>
      <c r="O155" s="26" t="str">
        <f>Etiquettes!$I$15</f>
        <v>Robuste</v>
      </c>
      <c r="P155" s="603" t="str">
        <f>Etiquettes!$H$16</f>
        <v>Données collectées</v>
      </c>
      <c r="Q155" s="603" t="str">
        <f>Etiquettes!$H$17</f>
        <v>Donnée collectée (valeur du flux ou coefficient)</v>
      </c>
      <c r="R155"/>
      <c r="S155"/>
    </row>
    <row r="156" spans="1:19">
      <c r="A156" t="str">
        <f>'Prétraitement bilans'!A3</f>
        <v>Récolte</v>
      </c>
      <c r="B156" t="str">
        <f>'Prétraitement bilans'!B3</f>
        <v>Grains récoltés</v>
      </c>
      <c r="C156" s="458">
        <f>'Prétraitement bilans'!O3</f>
        <v>13725.0172</v>
      </c>
      <c r="E156" t="str">
        <f>Etiquettes!$C$3</f>
        <v>kt</v>
      </c>
      <c r="F156" s="26" t="str">
        <f>Etiquettes!$J$6</f>
        <v>Orge</v>
      </c>
      <c r="G156" s="26" t="str">
        <f>Etiquettes!$I$5</f>
        <v>2019-20</v>
      </c>
      <c r="H156" t="str">
        <f>Etiquettes!$C$4</f>
        <v>France entière</v>
      </c>
      <c r="I156" s="603" t="s">
        <v>1106</v>
      </c>
      <c r="J156" s="603"/>
      <c r="K156" t="s">
        <v>1559</v>
      </c>
      <c r="L156" s="603" t="str" cm="1">
        <f t="array" aca="1" ref="L156" ca="1">[1]!NOM_FEUILLE('Bilans Orge - FAM'!$A$1)</f>
        <v>Bilans Orge - FAM</v>
      </c>
      <c r="M156" s="26" t="str">
        <f>Etiquettes!$H$11</f>
        <v>Volume</v>
      </c>
      <c r="N156" t="str">
        <f t="shared" si="2"/>
        <v>Récolte = 13725 kt (Bilans par campagne - FranceAgriMer)</v>
      </c>
      <c r="O156" s="26" t="str">
        <f>Etiquettes!$H$15</f>
        <v>Fiable</v>
      </c>
      <c r="P156" s="603" t="str">
        <f>Etiquettes!$H$16</f>
        <v>Données collectées</v>
      </c>
      <c r="Q156" s="603" t="str">
        <f>Etiquettes!$H$17</f>
        <v>Donnée collectée (valeur du flux ou coefficient)</v>
      </c>
    </row>
    <row r="157" spans="1:19">
      <c r="A157" t="str">
        <f>'Prétraitement bilans'!A4</f>
        <v>Stock initial</v>
      </c>
      <c r="B157" t="str">
        <f>'Prétraitement bilans'!B4</f>
        <v>Ferme</v>
      </c>
      <c r="C157" s="458">
        <f>'Prétraitement bilans'!O4</f>
        <v>200</v>
      </c>
      <c r="E157" t="str">
        <f>Etiquettes!$C$3</f>
        <v>kt</v>
      </c>
      <c r="F157" s="26" t="str">
        <f>Etiquettes!$J$6</f>
        <v>Orge</v>
      </c>
      <c r="G157" s="26" t="str">
        <f>Etiquettes!$I$5</f>
        <v>2019-20</v>
      </c>
      <c r="H157" t="str">
        <f>Etiquettes!$C$4</f>
        <v>France entière</v>
      </c>
      <c r="I157" s="603" t="s">
        <v>1115</v>
      </c>
      <c r="J157" s="603"/>
      <c r="K157" t="s">
        <v>1559</v>
      </c>
      <c r="L157" s="603" t="str" cm="1">
        <f t="array" aca="1" ref="L157" ca="1">[1]!NOM_FEUILLE('Bilans Orge - FAM'!$A$1)</f>
        <v>Bilans Orge - FAM</v>
      </c>
      <c r="M157" s="26" t="str">
        <f>Etiquettes!$H$11</f>
        <v>Volume</v>
      </c>
      <c r="N157" t="str">
        <f t="shared" si="2"/>
        <v>Stock initial à la ferme = 200 kt (Bilans par campagne - FranceAgriMer)</v>
      </c>
      <c r="O157" s="26" t="str">
        <f>Etiquettes!$K$15</f>
        <v>Approximative</v>
      </c>
      <c r="P157" s="603" t="str">
        <f>Etiquettes!$H$16</f>
        <v>Données collectées</v>
      </c>
      <c r="Q157" s="603" t="str">
        <f>Etiquettes!$H$17</f>
        <v>Donnée collectée (valeur du flux ou coefficient)</v>
      </c>
    </row>
    <row r="158" spans="1:19">
      <c r="A158" t="str">
        <f>'Prétraitement bilans'!A5</f>
        <v>Ferme</v>
      </c>
      <c r="B158" t="str">
        <f>'Prétraitement bilans'!B5</f>
        <v>Grains autoconsommés</v>
      </c>
      <c r="C158" s="458">
        <f>'Prétraitement bilans'!O5</f>
        <v>2173.0542450000103</v>
      </c>
      <c r="E158" t="str">
        <f>Etiquettes!$C$3</f>
        <v>kt</v>
      </c>
      <c r="F158" s="26" t="str">
        <f>Etiquettes!$J$6</f>
        <v>Orge</v>
      </c>
      <c r="G158" s="26" t="str">
        <f>Etiquettes!$I$5</f>
        <v>2019-20</v>
      </c>
      <c r="H158" t="str">
        <f>Etiquettes!$C$4</f>
        <v>France entière</v>
      </c>
      <c r="I158" s="603" t="s">
        <v>1560</v>
      </c>
      <c r="J158" s="603"/>
      <c r="K158" t="s">
        <v>1559</v>
      </c>
      <c r="L158" s="603" t="str" cm="1">
        <f t="array" aca="1" ref="L158" ca="1">[1]!NOM_FEUILLE('Bilans Orge - FAM'!$A$1)</f>
        <v>Bilans Orge - FAM</v>
      </c>
      <c r="M158" s="26" t="str">
        <f>Etiquettes!$H$11</f>
        <v>Volume</v>
      </c>
      <c r="N158" t="str">
        <f t="shared" si="2"/>
        <v>Autoconsommation à la ferme = 2173 kt (Bilans par campagne - FranceAgriMer)</v>
      </c>
      <c r="O158" s="26" t="str">
        <f>Etiquettes!$K$15</f>
        <v>Approximative</v>
      </c>
      <c r="P158" s="603" t="str">
        <f>Etiquettes!$H$16</f>
        <v>Données collectées</v>
      </c>
      <c r="Q158" s="603" t="str">
        <f>Etiquettes!$H$17</f>
        <v>Donnée collectée (valeur du flux ou coefficient)</v>
      </c>
    </row>
    <row r="159" spans="1:19">
      <c r="A159" t="str">
        <f>'Prétraitement bilans'!A6</f>
        <v>Ferme</v>
      </c>
      <c r="B159" t="str">
        <f>'Prétraitement bilans'!B6</f>
        <v>Stock final</v>
      </c>
      <c r="C159" s="458">
        <f>'Prétraitement bilans'!O6</f>
        <v>200</v>
      </c>
      <c r="E159" t="str">
        <f>Etiquettes!$C$3</f>
        <v>kt</v>
      </c>
      <c r="F159" s="26" t="str">
        <f>Etiquettes!$J$6</f>
        <v>Orge</v>
      </c>
      <c r="G159" s="26" t="str">
        <f>Etiquettes!$I$5</f>
        <v>2019-20</v>
      </c>
      <c r="H159" t="str">
        <f>Etiquettes!$C$4</f>
        <v>France entière</v>
      </c>
      <c r="I159" s="603" t="s">
        <v>1116</v>
      </c>
      <c r="J159" s="603"/>
      <c r="K159" t="s">
        <v>1559</v>
      </c>
      <c r="L159" s="603" t="str" cm="1">
        <f t="array" aca="1" ref="L159" ca="1">[1]!NOM_FEUILLE('Bilans Orge - FAM'!$A$1)</f>
        <v>Bilans Orge - FAM</v>
      </c>
      <c r="M159" s="26" t="str">
        <f>Etiquettes!$H$11</f>
        <v>Volume</v>
      </c>
      <c r="N159" t="str">
        <f t="shared" si="2"/>
        <v>Stock final à la ferme = 200 kt (Bilans par campagne - FranceAgriMer)</v>
      </c>
      <c r="O159" s="26" t="str">
        <f>Etiquettes!$K$15</f>
        <v>Approximative</v>
      </c>
      <c r="P159" s="603" t="str">
        <f>Etiquettes!$H$16</f>
        <v>Données collectées</v>
      </c>
      <c r="Q159" s="603" t="str">
        <f>Etiquettes!$H$17</f>
        <v>Donnée collectée (valeur du flux ou coefficient)</v>
      </c>
    </row>
    <row r="160" spans="1:19">
      <c r="A160" t="str">
        <f>'Prétraitement bilans'!A7</f>
        <v>Stock initial</v>
      </c>
      <c r="B160" t="str">
        <f>'Prétraitement bilans'!B7</f>
        <v>OS</v>
      </c>
      <c r="C160" s="458">
        <f>'Prétraitement bilans'!O7</f>
        <v>1054.3541999999998</v>
      </c>
      <c r="E160" t="str">
        <f>Etiquettes!$C$3</f>
        <v>kt</v>
      </c>
      <c r="F160" s="26" t="str">
        <f>Etiquettes!$J$6</f>
        <v>Orge</v>
      </c>
      <c r="G160" s="26" t="str">
        <f>Etiquettes!$I$5</f>
        <v>2019-20</v>
      </c>
      <c r="H160" t="str">
        <f>Etiquettes!$C$4</f>
        <v>France entière</v>
      </c>
      <c r="I160" s="603" t="s">
        <v>1127</v>
      </c>
      <c r="J160" s="603"/>
      <c r="K160" t="s">
        <v>1559</v>
      </c>
      <c r="L160" s="603" t="str" cm="1">
        <f t="array" aca="1" ref="L160" ca="1">[1]!NOM_FEUILLE('Bilans Orge - FAM'!$A$1)</f>
        <v>Bilans Orge - FAM</v>
      </c>
      <c r="M160" s="26" t="str">
        <f>Etiquettes!$H$11</f>
        <v>Volume</v>
      </c>
      <c r="N160" t="str">
        <f t="shared" si="2"/>
        <v>Stock initial collecteurs = 1054 kt (Bilans par campagne - FranceAgriMer)</v>
      </c>
      <c r="O160" s="26" t="str">
        <f>Etiquettes!$I$15</f>
        <v>Robuste</v>
      </c>
      <c r="P160" s="603" t="str">
        <f>Etiquettes!$H$16</f>
        <v>Données collectées</v>
      </c>
      <c r="Q160" s="603" t="str">
        <f>Etiquettes!$H$17</f>
        <v>Donnée collectée (valeur du flux ou coefficient)</v>
      </c>
    </row>
    <row r="161" spans="1:19">
      <c r="A161" t="str">
        <f>'Prétraitement bilans'!A8</f>
        <v>Grains récoltés</v>
      </c>
      <c r="B161" t="str">
        <f>'Prétraitement bilans'!B8</f>
        <v>OS</v>
      </c>
      <c r="C161" s="458">
        <f>'Prétraitement bilans'!O8</f>
        <v>11551.96295499999</v>
      </c>
      <c r="E161" t="str">
        <f>Etiquettes!$C$3</f>
        <v>kt</v>
      </c>
      <c r="F161" s="26" t="str">
        <f>Etiquettes!$J$6</f>
        <v>Orge</v>
      </c>
      <c r="G161" s="26" t="str">
        <f>Etiquettes!$I$5</f>
        <v>2019-20</v>
      </c>
      <c r="H161" t="str">
        <f>Etiquettes!$C$4</f>
        <v>France entière</v>
      </c>
      <c r="I161" s="603" t="s">
        <v>317</v>
      </c>
      <c r="J161" s="603"/>
      <c r="K161" t="s">
        <v>1559</v>
      </c>
      <c r="L161" s="603" t="str" cm="1">
        <f t="array" aca="1" ref="L161" ca="1">[1]!NOM_FEUILLE('Bilans Orge - FAM'!$A$1)</f>
        <v>Bilans Orge - FAM</v>
      </c>
      <c r="M161" s="26" t="str">
        <f>Etiquettes!$H$11</f>
        <v>Volume</v>
      </c>
      <c r="N161" t="str">
        <f t="shared" si="2"/>
        <v>Collecte = 11552 kt (Bilans par campagne - FranceAgriMer)</v>
      </c>
      <c r="O161" s="26" t="str">
        <f>Etiquettes!$I$15</f>
        <v>Robuste</v>
      </c>
      <c r="P161" s="603" t="str">
        <f>Etiquettes!$H$16</f>
        <v>Données collectées</v>
      </c>
      <c r="Q161" s="603" t="str">
        <f>Etiquettes!$H$17</f>
        <v>Donnée collectée (valeur du flux ou coefficient)</v>
      </c>
    </row>
    <row r="162" spans="1:19">
      <c r="A162" t="str">
        <f>'Prétraitement bilans'!A13</f>
        <v>Grains collectés</v>
      </c>
      <c r="B162" t="str">
        <f>'Prétraitement bilans'!B13</f>
        <v>Amidonnerie / Glutennerie</v>
      </c>
      <c r="C162" s="458">
        <f>'Prétraitement bilans'!O13</f>
        <v>0</v>
      </c>
      <c r="E162" t="str">
        <f>Etiquettes!$C$3</f>
        <v>kt</v>
      </c>
      <c r="F162" s="26" t="str">
        <f>Etiquettes!$J$6</f>
        <v>Orge</v>
      </c>
      <c r="G162" s="26" t="str">
        <f>Etiquettes!$I$5</f>
        <v>2019-20</v>
      </c>
      <c r="H162" t="str">
        <f>Etiquettes!$C$4</f>
        <v>France entière</v>
      </c>
      <c r="I162" s="603" t="s">
        <v>1563</v>
      </c>
      <c r="J162" s="603"/>
      <c r="K162" t="s">
        <v>1559</v>
      </c>
      <c r="L162" s="603" t="str" cm="1">
        <f t="array" aca="1" ref="L162" ca="1">[1]!NOM_FEUILLE('Bilans Orge - FAM'!$A$1)</f>
        <v>Bilans Orge - FAM</v>
      </c>
      <c r="M162" s="26" t="str">
        <f>Etiquettes!$H$11</f>
        <v>Volume</v>
      </c>
      <c r="N162" t="str">
        <f t="shared" si="2"/>
        <v>Consommation de grains par l'Amidonnerie = 0 kt (Bilans par campagne - FranceAgriMer)</v>
      </c>
      <c r="O162" s="26" t="str">
        <f>Etiquettes!$J$15</f>
        <v>Probable</v>
      </c>
      <c r="P162" s="603" t="str">
        <f>Etiquettes!$H$16</f>
        <v>Données collectées</v>
      </c>
      <c r="Q162" s="603" t="str">
        <f>Etiquettes!$H$17</f>
        <v>Donnée collectée (valeur du flux ou coefficient)</v>
      </c>
    </row>
    <row r="163" spans="1:19">
      <c r="A163" t="str">
        <f>'Prétraitement bilans'!A16</f>
        <v>Grains collectés</v>
      </c>
      <c r="B163" t="str">
        <f>'Prétraitement bilans'!B16</f>
        <v>Distillerie</v>
      </c>
      <c r="C163" s="458">
        <f>'Prétraitement bilans'!O16</f>
        <v>0</v>
      </c>
      <c r="E163" t="str">
        <f>Etiquettes!$C$3</f>
        <v>kt</v>
      </c>
      <c r="F163" s="26" t="str">
        <f>Etiquettes!$J$6</f>
        <v>Orge</v>
      </c>
      <c r="G163" s="26" t="str">
        <f>Etiquettes!$I$5</f>
        <v>2019-20</v>
      </c>
      <c r="H163" t="str">
        <f>Etiquettes!$C$4</f>
        <v>France entière</v>
      </c>
      <c r="I163" s="603" t="s">
        <v>1564</v>
      </c>
      <c r="J163" s="603"/>
      <c r="K163" t="s">
        <v>1559</v>
      </c>
      <c r="L163" s="603" t="str" cm="1">
        <f t="array" aca="1" ref="L163" ca="1">[1]!NOM_FEUILLE('Bilans Orge - FAM'!$A$1)</f>
        <v>Bilans Orge - FAM</v>
      </c>
      <c r="M163" s="26" t="str">
        <f>Etiquettes!$H$11</f>
        <v>Volume</v>
      </c>
      <c r="N163" t="str">
        <f t="shared" si="2"/>
        <v>Consommation de grains par la Distillerie = 0 kt (Bilans par campagne - FranceAgriMer)</v>
      </c>
      <c r="O163" s="26" t="str">
        <f>Etiquettes!$J$15</f>
        <v>Probable</v>
      </c>
      <c r="P163" s="603" t="str">
        <f>Etiquettes!$H$16</f>
        <v>Données collectées</v>
      </c>
      <c r="Q163" s="603" t="str">
        <f>Etiquettes!$H$17</f>
        <v>Donnée collectée (valeur du flux ou coefficient)</v>
      </c>
    </row>
    <row r="164" spans="1:19">
      <c r="A164" t="str">
        <f>'Prétraitement bilans'!A17</f>
        <v>Grains collectés</v>
      </c>
      <c r="B164" t="str">
        <f>'Prétraitement bilans'!B17</f>
        <v>Malterie</v>
      </c>
      <c r="C164" s="458">
        <f>'Prétraitement bilans'!O17</f>
        <v>1590.3050000000001</v>
      </c>
      <c r="E164" t="str">
        <f>Etiquettes!$C$3</f>
        <v>kt</v>
      </c>
      <c r="F164" s="26" t="str">
        <f>Etiquettes!$J$6</f>
        <v>Orge</v>
      </c>
      <c r="G164" s="26" t="str">
        <f>Etiquettes!$I$5</f>
        <v>2019-20</v>
      </c>
      <c r="H164" t="str">
        <f>Etiquettes!$C$4</f>
        <v>France entière</v>
      </c>
      <c r="I164" s="603" t="s">
        <v>1565</v>
      </c>
      <c r="J164" s="603"/>
      <c r="K164" t="s">
        <v>1559</v>
      </c>
      <c r="L164" s="603" t="str" cm="1">
        <f t="array" aca="1" ref="L164" ca="1">[1]!NOM_FEUILLE('Bilans Orge - FAM'!$A$1)</f>
        <v>Bilans Orge - FAM</v>
      </c>
      <c r="M164" s="26" t="str">
        <f>Etiquettes!$H$11</f>
        <v>Volume</v>
      </c>
      <c r="N164" t="str">
        <f t="shared" si="2"/>
        <v>Consommation de grains par la Malterie = 1590 kt (Bilans par campagne - FranceAgriMer)</v>
      </c>
      <c r="O164" s="26" t="str">
        <f>Etiquettes!$J$15</f>
        <v>Probable</v>
      </c>
      <c r="P164" s="603" t="str">
        <f>Etiquettes!$H$16</f>
        <v>Données collectées</v>
      </c>
      <c r="Q164" s="603" t="str">
        <f>Etiquettes!$H$17</f>
        <v>Donnée collectée (valeur du flux ou coefficient)</v>
      </c>
    </row>
    <row r="165" spans="1:19" s="26" customFormat="1">
      <c r="A165" t="str">
        <f>'Prétraitement bilans'!A18</f>
        <v>Grains collectés</v>
      </c>
      <c r="B165" t="str">
        <f>'Prétraitement bilans'!B18</f>
        <v>Autres IAA</v>
      </c>
      <c r="C165" s="458">
        <f>'Prétraitement bilans'!O18</f>
        <v>20</v>
      </c>
      <c r="D165" s="10"/>
      <c r="E165" t="str">
        <f>Etiquettes!$C$3</f>
        <v>kt</v>
      </c>
      <c r="F165" s="26" t="str">
        <f>Etiquettes!$J$6</f>
        <v>Orge</v>
      </c>
      <c r="G165" s="26" t="str">
        <f>Etiquettes!$I$5</f>
        <v>2019-20</v>
      </c>
      <c r="H165" t="str">
        <f>Etiquettes!$C$4</f>
        <v>France entière</v>
      </c>
      <c r="I165" s="603" t="s">
        <v>1566</v>
      </c>
      <c r="J165" s="603"/>
      <c r="K165" t="s">
        <v>1559</v>
      </c>
      <c r="L165" s="603" t="str" cm="1">
        <f t="array" aca="1" ref="L165" ca="1">[1]!NOM_FEUILLE('Bilans Orge - FAM'!$A$1)</f>
        <v>Bilans Orge - FAM</v>
      </c>
      <c r="M165" s="26" t="str">
        <f>Etiquettes!$H$11</f>
        <v>Volume</v>
      </c>
      <c r="N165" t="str">
        <f t="shared" si="2"/>
        <v>Consommation de grains par les autres IAA = 20 kt (Bilans par campagne - FranceAgriMer)</v>
      </c>
      <c r="O165" s="26" t="str">
        <f>Etiquettes!$J$15</f>
        <v>Probable</v>
      </c>
      <c r="P165" s="603" t="str">
        <f>Etiquettes!$H$16</f>
        <v>Données collectées</v>
      </c>
      <c r="Q165" s="603" t="str">
        <f>Etiquettes!$H$17</f>
        <v>Donnée collectée (valeur du flux ou coefficient)</v>
      </c>
      <c r="R165"/>
      <c r="S165"/>
    </row>
    <row r="166" spans="1:19" s="26" customFormat="1">
      <c r="A166" t="str">
        <f>'Prétraitement bilans'!A19</f>
        <v>Grains collectés</v>
      </c>
      <c r="B166" t="str">
        <f>'Prétraitement bilans'!B19</f>
        <v>Semoulerie</v>
      </c>
      <c r="C166" s="458">
        <f>'Prétraitement bilans'!O19</f>
        <v>0</v>
      </c>
      <c r="D166" s="10"/>
      <c r="E166" t="str">
        <f>Etiquettes!$C$3</f>
        <v>kt</v>
      </c>
      <c r="F166" s="26" t="str">
        <f>Etiquettes!$J$6</f>
        <v>Orge</v>
      </c>
      <c r="G166" s="26" t="str">
        <f>Etiquettes!$I$5</f>
        <v>2019-20</v>
      </c>
      <c r="H166" t="str">
        <f>Etiquettes!$C$4</f>
        <v>France entière</v>
      </c>
      <c r="I166" s="603" t="s">
        <v>1567</v>
      </c>
      <c r="J166" s="603"/>
      <c r="K166" t="s">
        <v>1559</v>
      </c>
      <c r="L166" s="603" t="str" cm="1">
        <f t="array" aca="1" ref="L166" ca="1">[1]!NOM_FEUILLE('Bilans Orge - FAM'!$A$1)</f>
        <v>Bilans Orge - FAM</v>
      </c>
      <c r="M166" s="26" t="str">
        <f>Etiquettes!$H$11</f>
        <v>Volume</v>
      </c>
      <c r="N166" t="str">
        <f t="shared" si="2"/>
        <v>Consommation de grains par la Semoulerie = 0 kt (Bilans par campagne - FranceAgriMer)</v>
      </c>
      <c r="O166" s="26" t="str">
        <f>Etiquettes!$J$15</f>
        <v>Probable</v>
      </c>
      <c r="P166" s="603" t="str">
        <f>Etiquettes!$H$16</f>
        <v>Données collectées</v>
      </c>
      <c r="Q166" s="603" t="str">
        <f>Etiquettes!$H$17</f>
        <v>Donnée collectée (valeur du flux ou coefficient)</v>
      </c>
      <c r="R166"/>
      <c r="S166"/>
    </row>
    <row r="167" spans="1:19" s="26" customFormat="1">
      <c r="A167" t="str">
        <f>'Prétraitement bilans'!A20</f>
        <v>Grains collectés</v>
      </c>
      <c r="B167" t="str">
        <f>'Prétraitement bilans'!B20</f>
        <v>FAB</v>
      </c>
      <c r="C167" s="458">
        <f>'Prétraitement bilans'!O20</f>
        <v>1497.210613</v>
      </c>
      <c r="D167" s="10"/>
      <c r="E167" t="str">
        <f>Etiquettes!$C$3</f>
        <v>kt</v>
      </c>
      <c r="F167" s="26" t="str">
        <f>Etiquettes!$J$6</f>
        <v>Orge</v>
      </c>
      <c r="G167" s="26" t="str">
        <f>Etiquettes!$I$5</f>
        <v>2019-20</v>
      </c>
      <c r="H167" t="str">
        <f>Etiquettes!$C$4</f>
        <v>France entière</v>
      </c>
      <c r="I167" s="603" t="s">
        <v>1568</v>
      </c>
      <c r="J167" s="603"/>
      <c r="K167" t="s">
        <v>1559</v>
      </c>
      <c r="L167" s="603" t="str" cm="1">
        <f t="array" aca="1" ref="L167" ca="1">[1]!NOM_FEUILLE('Bilans Orge - FAM'!$A$1)</f>
        <v>Bilans Orge - FAM</v>
      </c>
      <c r="M167" s="26" t="str">
        <f>Etiquettes!$H$11</f>
        <v>Volume</v>
      </c>
      <c r="N167" t="str">
        <f t="shared" si="2"/>
        <v>Consommation de grains par les FAB = 1497 kt (Bilans par campagne - FranceAgriMer)</v>
      </c>
      <c r="O167" s="26" t="str">
        <f>Etiquettes!$J$15</f>
        <v>Probable</v>
      </c>
      <c r="P167" s="603" t="str">
        <f>Etiquettes!$H$16</f>
        <v>Données collectées</v>
      </c>
      <c r="Q167" s="603" t="str">
        <f>Etiquettes!$H$17</f>
        <v>Donnée collectée (valeur du flux ou coefficient)</v>
      </c>
      <c r="R167"/>
      <c r="S167"/>
    </row>
    <row r="168" spans="1:19" s="26" customFormat="1">
      <c r="A168" t="str">
        <f>'Prétraitement bilans'!A21</f>
        <v>Grains collectés</v>
      </c>
      <c r="B168" t="str">
        <f>'Prétraitement bilans'!B21</f>
        <v>Semences certifiées</v>
      </c>
      <c r="C168" s="458">
        <f>'Prétraitement bilans'!O21</f>
        <v>170.93779999999998</v>
      </c>
      <c r="D168" s="10"/>
      <c r="E168" t="str">
        <f>Etiquettes!$C$3</f>
        <v>kt</v>
      </c>
      <c r="F168" s="26" t="str">
        <f>Etiquettes!$J$6</f>
        <v>Orge</v>
      </c>
      <c r="G168" s="26" t="str">
        <f>Etiquettes!$I$5</f>
        <v>2019-20</v>
      </c>
      <c r="H168" t="str">
        <f>Etiquettes!$C$4</f>
        <v>France entière</v>
      </c>
      <c r="I168" s="603" t="s">
        <v>1561</v>
      </c>
      <c r="J168" s="603"/>
      <c r="K168" t="s">
        <v>1559</v>
      </c>
      <c r="L168" s="603" t="str" cm="1">
        <f t="array" aca="1" ref="L168" ca="1">[1]!NOM_FEUILLE('Bilans Orge - FAM'!$A$1)</f>
        <v>Bilans Orge - FAM</v>
      </c>
      <c r="M168" s="26" t="str">
        <f>Etiquettes!$H$11</f>
        <v>Volume</v>
      </c>
      <c r="N168" t="str">
        <f t="shared" si="2"/>
        <v>Production de semences certifiées = 171 kt (Bilans par campagne - FranceAgriMer)</v>
      </c>
      <c r="O168" s="26" t="str">
        <f>Etiquettes!$J$15</f>
        <v>Probable</v>
      </c>
      <c r="P168" s="603" t="str">
        <f>Etiquettes!$H$16</f>
        <v>Données collectées</v>
      </c>
      <c r="Q168" s="603" t="str">
        <f>Etiquettes!$H$17</f>
        <v>Donnée collectée (valeur du flux ou coefficient)</v>
      </c>
      <c r="R168"/>
      <c r="S168"/>
    </row>
    <row r="169" spans="1:19" s="26" customFormat="1">
      <c r="A169" t="str">
        <f>'Prétraitement bilans'!A25</f>
        <v>OS</v>
      </c>
      <c r="B169" t="str">
        <f>'Prétraitement bilans'!B25</f>
        <v>Stock final</v>
      </c>
      <c r="C169" s="458">
        <f>'Prétraitement bilans'!O25</f>
        <v>1107.8488</v>
      </c>
      <c r="D169" s="10"/>
      <c r="E169" t="str">
        <f>Etiquettes!$C$3</f>
        <v>kt</v>
      </c>
      <c r="F169" s="26" t="str">
        <f>Etiquettes!$J$6</f>
        <v>Orge</v>
      </c>
      <c r="G169" s="26" t="str">
        <f>Etiquettes!$I$5</f>
        <v>2019-20</v>
      </c>
      <c r="H169" t="str">
        <f>Etiquettes!$C$4</f>
        <v>France entière</v>
      </c>
      <c r="I169" s="603" t="s">
        <v>1128</v>
      </c>
      <c r="J169" s="603"/>
      <c r="K169" t="s">
        <v>1559</v>
      </c>
      <c r="L169" s="603" t="str" cm="1">
        <f t="array" aca="1" ref="L169" ca="1">[1]!NOM_FEUILLE('Bilans Orge - FAM'!$A$1)</f>
        <v>Bilans Orge - FAM</v>
      </c>
      <c r="M169" s="26" t="str">
        <f>Etiquettes!$H$11</f>
        <v>Volume</v>
      </c>
      <c r="N169" t="str">
        <f t="shared" si="2"/>
        <v>Stock final collecteurs = 1108 kt (Bilans par campagne - FranceAgriMer)</v>
      </c>
      <c r="O169" s="26" t="str">
        <f>Etiquettes!$I$15</f>
        <v>Robuste</v>
      </c>
      <c r="P169" s="603" t="str">
        <f>Etiquettes!$H$16</f>
        <v>Données collectées</v>
      </c>
      <c r="Q169" s="603" t="str">
        <f>Etiquettes!$H$17</f>
        <v>Donnée collectée (valeur du flux ou coefficient)</v>
      </c>
      <c r="R169"/>
      <c r="S169"/>
    </row>
    <row r="170" spans="1:19">
      <c r="A170" t="str">
        <f>'Prétraitement bilans'!A3</f>
        <v>Récolte</v>
      </c>
      <c r="B170" t="str">
        <f>'Prétraitement bilans'!B3</f>
        <v>Grains récoltés</v>
      </c>
      <c r="C170" s="458">
        <f>'Prétraitement bilans'!P3</f>
        <v>1566.2022000000002</v>
      </c>
      <c r="E170" t="str">
        <f>Etiquettes!$C$3</f>
        <v>kt</v>
      </c>
      <c r="F170" s="26" t="str">
        <f>Etiquettes!$K$6</f>
        <v>Blé dur</v>
      </c>
      <c r="G170" s="26" t="str">
        <f>Etiquettes!$I$5</f>
        <v>2019-20</v>
      </c>
      <c r="H170" t="str">
        <f>Etiquettes!$C$4</f>
        <v>France entière</v>
      </c>
      <c r="I170" s="603" t="s">
        <v>1106</v>
      </c>
      <c r="J170" s="603"/>
      <c r="K170" t="s">
        <v>1559</v>
      </c>
      <c r="L170" s="603" t="str" cm="1">
        <f t="array" aca="1" ref="L170" ca="1">[1]!NOM_FEUILLE('Bilans Blé dur - FAM'!$A$1)</f>
        <v>Bilans Blé dur - FAM</v>
      </c>
      <c r="M170" s="26" t="str">
        <f>Etiquettes!$H$11</f>
        <v>Volume</v>
      </c>
      <c r="N170" t="str">
        <f t="shared" si="2"/>
        <v>Récolte = 1566 kt (Bilans par campagne - FranceAgriMer)</v>
      </c>
      <c r="O170" s="26" t="str">
        <f>Etiquettes!$H$15</f>
        <v>Fiable</v>
      </c>
      <c r="P170" s="603" t="str">
        <f>Etiquettes!$H$16</f>
        <v>Données collectées</v>
      </c>
      <c r="Q170" s="603" t="str">
        <f>Etiquettes!$H$17</f>
        <v>Donnée collectée (valeur du flux ou coefficient)</v>
      </c>
    </row>
    <row r="171" spans="1:19">
      <c r="A171" t="str">
        <f>'Prétraitement bilans'!A4</f>
        <v>Stock initial</v>
      </c>
      <c r="B171" t="str">
        <f>'Prétraitement bilans'!B4</f>
        <v>Ferme</v>
      </c>
      <c r="C171" s="458">
        <f>'Prétraitement bilans'!P4</f>
        <v>183.01359929111732</v>
      </c>
      <c r="E171" t="str">
        <f>Etiquettes!$C$3</f>
        <v>kt</v>
      </c>
      <c r="F171" s="26" t="str">
        <f>Etiquettes!$K$6</f>
        <v>Blé dur</v>
      </c>
      <c r="G171" s="26" t="str">
        <f>Etiquettes!$I$5</f>
        <v>2019-20</v>
      </c>
      <c r="H171" t="str">
        <f>Etiquettes!$C$4</f>
        <v>France entière</v>
      </c>
      <c r="I171" s="603" t="s">
        <v>1115</v>
      </c>
      <c r="J171" s="603"/>
      <c r="K171" t="s">
        <v>1559</v>
      </c>
      <c r="L171" s="603" t="str" cm="1">
        <f t="array" aca="1" ref="L171" ca="1">[1]!NOM_FEUILLE('Bilans Blé dur - FAM'!$A$1)</f>
        <v>Bilans Blé dur - FAM</v>
      </c>
      <c r="M171" s="26" t="str">
        <f>Etiquettes!$H$11</f>
        <v>Volume</v>
      </c>
      <c r="N171" t="str">
        <f t="shared" si="2"/>
        <v>Stock initial à la ferme = 183 kt (Bilans par campagne - FranceAgriMer)</v>
      </c>
      <c r="O171" s="26" t="str">
        <f>Etiquettes!$K$15</f>
        <v>Approximative</v>
      </c>
      <c r="P171" s="603" t="str">
        <f>Etiquettes!$H$16</f>
        <v>Données collectées</v>
      </c>
      <c r="Q171" s="603" t="str">
        <f>Etiquettes!$H$17</f>
        <v>Donnée collectée (valeur du flux ou coefficient)</v>
      </c>
    </row>
    <row r="172" spans="1:19">
      <c r="A172" t="str">
        <f>'Prétraitement bilans'!A5</f>
        <v>Ferme</v>
      </c>
      <c r="B172" t="str">
        <f>'Prétraitement bilans'!B5</f>
        <v>Grains autoconsommés</v>
      </c>
      <c r="C172" s="458">
        <f>'Prétraitement bilans'!P5</f>
        <v>36.879000000000133</v>
      </c>
      <c r="E172" t="str">
        <f>Etiquettes!$C$3</f>
        <v>kt</v>
      </c>
      <c r="F172" s="26" t="str">
        <f>Etiquettes!$K$6</f>
        <v>Blé dur</v>
      </c>
      <c r="G172" s="26" t="str">
        <f>Etiquettes!$I$5</f>
        <v>2019-20</v>
      </c>
      <c r="H172" t="str">
        <f>Etiquettes!$C$4</f>
        <v>France entière</v>
      </c>
      <c r="I172" s="603" t="s">
        <v>1560</v>
      </c>
      <c r="J172" s="603"/>
      <c r="K172" t="s">
        <v>1559</v>
      </c>
      <c r="L172" s="603" t="str" cm="1">
        <f t="array" aca="1" ref="L172" ca="1">[1]!NOM_FEUILLE('Bilans Blé dur - FAM'!$A$1)</f>
        <v>Bilans Blé dur - FAM</v>
      </c>
      <c r="M172" s="26" t="str">
        <f>Etiquettes!$H$11</f>
        <v>Volume</v>
      </c>
      <c r="N172" t="str">
        <f t="shared" si="2"/>
        <v>Autoconsommation à la ferme = 37 kt (Bilans par campagne - FranceAgriMer)</v>
      </c>
      <c r="O172" s="26" t="str">
        <f>Etiquettes!$K$15</f>
        <v>Approximative</v>
      </c>
      <c r="P172" s="603" t="str">
        <f>Etiquettes!$H$16</f>
        <v>Données collectées</v>
      </c>
      <c r="Q172" s="603" t="str">
        <f>Etiquettes!$H$17</f>
        <v>Donnée collectée (valeur du flux ou coefficient)</v>
      </c>
    </row>
    <row r="173" spans="1:19">
      <c r="A173" t="str">
        <f>'Prétraitement bilans'!A6</f>
        <v>Ferme</v>
      </c>
      <c r="B173" t="str">
        <f>'Prétraitement bilans'!B6</f>
        <v>Stock final</v>
      </c>
      <c r="C173" s="458">
        <f>'Prétraitement bilans'!P6</f>
        <v>146.13459929111718</v>
      </c>
      <c r="E173" t="str">
        <f>Etiquettes!$C$3</f>
        <v>kt</v>
      </c>
      <c r="F173" s="26" t="str">
        <f>Etiquettes!$K$6</f>
        <v>Blé dur</v>
      </c>
      <c r="G173" s="26" t="str">
        <f>Etiquettes!$I$5</f>
        <v>2019-20</v>
      </c>
      <c r="H173" t="str">
        <f>Etiquettes!$C$4</f>
        <v>France entière</v>
      </c>
      <c r="I173" s="603" t="s">
        <v>1116</v>
      </c>
      <c r="J173" s="603"/>
      <c r="K173" t="s">
        <v>1559</v>
      </c>
      <c r="L173" s="603" t="str" cm="1">
        <f t="array" aca="1" ref="L173" ca="1">[1]!NOM_FEUILLE('Bilans Blé dur - FAM'!$A$1)</f>
        <v>Bilans Blé dur - FAM</v>
      </c>
      <c r="M173" s="26" t="str">
        <f>Etiquettes!$H$11</f>
        <v>Volume</v>
      </c>
      <c r="N173" t="str">
        <f t="shared" si="2"/>
        <v>Stock final à la ferme = 146 kt (Bilans par campagne - FranceAgriMer)</v>
      </c>
      <c r="O173" s="26" t="str">
        <f>Etiquettes!$K$15</f>
        <v>Approximative</v>
      </c>
      <c r="P173" s="603" t="str">
        <f>Etiquettes!$H$16</f>
        <v>Données collectées</v>
      </c>
      <c r="Q173" s="603" t="str">
        <f>Etiquettes!$H$17</f>
        <v>Donnée collectée (valeur du flux ou coefficient)</v>
      </c>
    </row>
    <row r="174" spans="1:19">
      <c r="A174" t="str">
        <f>'Prétraitement bilans'!A7</f>
        <v>Stock initial</v>
      </c>
      <c r="B174" t="str">
        <f>'Prétraitement bilans'!B7</f>
        <v>OS</v>
      </c>
      <c r="C174" s="458">
        <f>'Prétraitement bilans'!P7</f>
        <v>270.15610000000004</v>
      </c>
      <c r="E174" t="str">
        <f>Etiquettes!$C$3</f>
        <v>kt</v>
      </c>
      <c r="F174" s="26" t="str">
        <f>Etiquettes!$K$6</f>
        <v>Blé dur</v>
      </c>
      <c r="G174" s="26" t="str">
        <f>Etiquettes!$I$5</f>
        <v>2019-20</v>
      </c>
      <c r="H174" t="str">
        <f>Etiquettes!$C$4</f>
        <v>France entière</v>
      </c>
      <c r="I174" s="603" t="s">
        <v>1127</v>
      </c>
      <c r="J174" s="603"/>
      <c r="K174" t="s">
        <v>1559</v>
      </c>
      <c r="L174" s="603" t="str" cm="1">
        <f t="array" aca="1" ref="L174" ca="1">[1]!NOM_FEUILLE('Bilans Blé dur - FAM'!$A$1)</f>
        <v>Bilans Blé dur - FAM</v>
      </c>
      <c r="M174" s="26" t="str">
        <f>Etiquettes!$H$11</f>
        <v>Volume</v>
      </c>
      <c r="N174" t="str">
        <f t="shared" si="2"/>
        <v>Stock initial collecteurs = 270 kt (Bilans par campagne - FranceAgriMer)</v>
      </c>
      <c r="O174" s="26" t="str">
        <f>Etiquettes!$I$15</f>
        <v>Robuste</v>
      </c>
      <c r="P174" s="603" t="str">
        <f>Etiquettes!$H$16</f>
        <v>Données collectées</v>
      </c>
      <c r="Q174" s="603" t="str">
        <f>Etiquettes!$H$17</f>
        <v>Donnée collectée (valeur du flux ou coefficient)</v>
      </c>
    </row>
    <row r="175" spans="1:19">
      <c r="A175" t="str">
        <f>'Prétraitement bilans'!A8</f>
        <v>Grains récoltés</v>
      </c>
      <c r="B175" t="str">
        <f>'Prétraitement bilans'!B8</f>
        <v>OS</v>
      </c>
      <c r="C175" s="458">
        <f>'Prétraitement bilans'!P8</f>
        <v>1579.5894999999998</v>
      </c>
      <c r="E175" t="str">
        <f>Etiquettes!$C$3</f>
        <v>kt</v>
      </c>
      <c r="F175" s="26" t="str">
        <f>Etiquettes!$K$6</f>
        <v>Blé dur</v>
      </c>
      <c r="G175" s="26" t="str">
        <f>Etiquettes!$I$5</f>
        <v>2019-20</v>
      </c>
      <c r="H175" t="str">
        <f>Etiquettes!$C$4</f>
        <v>France entière</v>
      </c>
      <c r="I175" s="603" t="s">
        <v>317</v>
      </c>
      <c r="J175" s="603"/>
      <c r="K175" t="s">
        <v>1559</v>
      </c>
      <c r="L175" s="603" t="str" cm="1">
        <f t="array" aca="1" ref="L175" ca="1">[1]!NOM_FEUILLE('Bilans Blé dur - FAM'!$A$1)</f>
        <v>Bilans Blé dur - FAM</v>
      </c>
      <c r="M175" s="26" t="str">
        <f>Etiquettes!$H$11</f>
        <v>Volume</v>
      </c>
      <c r="N175" t="str">
        <f t="shared" si="2"/>
        <v>Collecte = 1580 kt (Bilans par campagne - FranceAgriMer)</v>
      </c>
      <c r="O175" s="26" t="str">
        <f>Etiquettes!$I$15</f>
        <v>Robuste</v>
      </c>
      <c r="P175" s="603" t="str">
        <f>Etiquettes!$H$16</f>
        <v>Données collectées</v>
      </c>
      <c r="Q175" s="603" t="str">
        <f>Etiquettes!$H$17</f>
        <v>Donnée collectée (valeur du flux ou coefficient)</v>
      </c>
    </row>
    <row r="176" spans="1:19">
      <c r="A176" t="str">
        <f>'Prétraitement bilans'!A13</f>
        <v>Grains collectés</v>
      </c>
      <c r="B176" t="str">
        <f>'Prétraitement bilans'!B13</f>
        <v>Amidonnerie / Glutennerie</v>
      </c>
      <c r="C176" s="458">
        <f>'Prétraitement bilans'!P13</f>
        <v>0</v>
      </c>
      <c r="E176" t="str">
        <f>Etiquettes!$C$3</f>
        <v>kt</v>
      </c>
      <c r="F176" s="26" t="str">
        <f>Etiquettes!$K$6</f>
        <v>Blé dur</v>
      </c>
      <c r="G176" s="26" t="str">
        <f>Etiquettes!$I$5</f>
        <v>2019-20</v>
      </c>
      <c r="H176" t="str">
        <f>Etiquettes!$C$4</f>
        <v>France entière</v>
      </c>
      <c r="I176" s="603" t="s">
        <v>1563</v>
      </c>
      <c r="J176" s="603"/>
      <c r="K176" t="s">
        <v>1559</v>
      </c>
      <c r="L176" s="603" t="str" cm="1">
        <f t="array" aca="1" ref="L176" ca="1">[1]!NOM_FEUILLE('Bilans Blé dur - FAM'!$A$1)</f>
        <v>Bilans Blé dur - FAM</v>
      </c>
      <c r="M176" s="26" t="str">
        <f>Etiquettes!$H$11</f>
        <v>Volume</v>
      </c>
      <c r="N176" t="str">
        <f t="shared" si="2"/>
        <v>Consommation de grains par l'Amidonnerie = 0 kt (Bilans par campagne - FranceAgriMer)</v>
      </c>
      <c r="O176" s="26" t="str">
        <f>Etiquettes!$J$15</f>
        <v>Probable</v>
      </c>
      <c r="P176" s="603" t="str">
        <f>Etiquettes!$H$16</f>
        <v>Données collectées</v>
      </c>
      <c r="Q176" s="603" t="str">
        <f>Etiquettes!$H$17</f>
        <v>Donnée collectée (valeur du flux ou coefficient)</v>
      </c>
    </row>
    <row r="177" spans="1:19">
      <c r="A177" t="str">
        <f>'Prétraitement bilans'!A16</f>
        <v>Grains collectés</v>
      </c>
      <c r="B177" t="str">
        <f>'Prétraitement bilans'!B16</f>
        <v>Distillerie</v>
      </c>
      <c r="C177" s="458">
        <f>'Prétraitement bilans'!P16</f>
        <v>0</v>
      </c>
      <c r="E177" t="str">
        <f>Etiquettes!$C$3</f>
        <v>kt</v>
      </c>
      <c r="F177" s="26" t="str">
        <f>Etiquettes!$K$6</f>
        <v>Blé dur</v>
      </c>
      <c r="G177" s="26" t="str">
        <f>Etiquettes!$I$5</f>
        <v>2019-20</v>
      </c>
      <c r="H177" t="str">
        <f>Etiquettes!$C$4</f>
        <v>France entière</v>
      </c>
      <c r="I177" s="603" t="s">
        <v>1564</v>
      </c>
      <c r="J177" s="603"/>
      <c r="K177" t="s">
        <v>1559</v>
      </c>
      <c r="L177" s="603" t="str" cm="1">
        <f t="array" aca="1" ref="L177" ca="1">[1]!NOM_FEUILLE('Bilans Blé dur - FAM'!$A$1)</f>
        <v>Bilans Blé dur - FAM</v>
      </c>
      <c r="M177" s="26" t="str">
        <f>Etiquettes!$H$11</f>
        <v>Volume</v>
      </c>
      <c r="N177" t="str">
        <f t="shared" si="2"/>
        <v>Consommation de grains par la Distillerie = 0 kt (Bilans par campagne - FranceAgriMer)</v>
      </c>
      <c r="O177" s="26" t="str">
        <f>Etiquettes!$J$15</f>
        <v>Probable</v>
      </c>
      <c r="P177" s="603" t="str">
        <f>Etiquettes!$H$16</f>
        <v>Données collectées</v>
      </c>
      <c r="Q177" s="603" t="str">
        <f>Etiquettes!$H$17</f>
        <v>Donnée collectée (valeur du flux ou coefficient)</v>
      </c>
    </row>
    <row r="178" spans="1:19">
      <c r="A178" t="str">
        <f>'Prétraitement bilans'!A17</f>
        <v>Grains collectés</v>
      </c>
      <c r="B178" t="str">
        <f>'Prétraitement bilans'!B17</f>
        <v>Malterie</v>
      </c>
      <c r="C178" s="458">
        <f>'Prétraitement bilans'!P17</f>
        <v>0</v>
      </c>
      <c r="E178" t="str">
        <f>Etiquettes!$C$3</f>
        <v>kt</v>
      </c>
      <c r="F178" s="26" t="str">
        <f>Etiquettes!$K$6</f>
        <v>Blé dur</v>
      </c>
      <c r="G178" s="26" t="str">
        <f>Etiquettes!$I$5</f>
        <v>2019-20</v>
      </c>
      <c r="H178" t="str">
        <f>Etiquettes!$C$4</f>
        <v>France entière</v>
      </c>
      <c r="I178" s="603" t="s">
        <v>1565</v>
      </c>
      <c r="J178" s="603"/>
      <c r="K178" t="s">
        <v>1559</v>
      </c>
      <c r="L178" s="603" t="str" cm="1">
        <f t="array" aca="1" ref="L178" ca="1">[1]!NOM_FEUILLE('Bilans Blé dur - FAM'!$A$1)</f>
        <v>Bilans Blé dur - FAM</v>
      </c>
      <c r="M178" s="26" t="str">
        <f>Etiquettes!$H$11</f>
        <v>Volume</v>
      </c>
      <c r="N178" t="str">
        <f t="shared" si="2"/>
        <v>Consommation de grains par la Malterie = 0 kt (Bilans par campagne - FranceAgriMer)</v>
      </c>
      <c r="O178" s="26" t="str">
        <f>Etiquettes!$J$15</f>
        <v>Probable</v>
      </c>
      <c r="P178" s="603" t="str">
        <f>Etiquettes!$H$16</f>
        <v>Données collectées</v>
      </c>
      <c r="Q178" s="603" t="str">
        <f>Etiquettes!$H$17</f>
        <v>Donnée collectée (valeur du flux ou coefficient)</v>
      </c>
    </row>
    <row r="179" spans="1:19" s="26" customFormat="1">
      <c r="A179" t="str">
        <f>'Prétraitement bilans'!A18</f>
        <v>Grains collectés</v>
      </c>
      <c r="B179" t="str">
        <f>'Prétraitement bilans'!B18</f>
        <v>Autres IAA</v>
      </c>
      <c r="C179" s="458">
        <f>'Prétraitement bilans'!P18</f>
        <v>0</v>
      </c>
      <c r="D179" s="10"/>
      <c r="E179" t="str">
        <f>Etiquettes!$C$3</f>
        <v>kt</v>
      </c>
      <c r="F179" s="26" t="str">
        <f>Etiquettes!$K$6</f>
        <v>Blé dur</v>
      </c>
      <c r="G179" s="26" t="str">
        <f>Etiquettes!$I$5</f>
        <v>2019-20</v>
      </c>
      <c r="H179" t="str">
        <f>Etiquettes!$C$4</f>
        <v>France entière</v>
      </c>
      <c r="I179" s="603" t="s">
        <v>1566</v>
      </c>
      <c r="J179" s="603"/>
      <c r="K179" t="s">
        <v>1559</v>
      </c>
      <c r="L179" s="603" t="str" cm="1">
        <f t="array" aca="1" ref="L179" ca="1">[1]!NOM_FEUILLE('Bilans Blé dur - FAM'!$A$1)</f>
        <v>Bilans Blé dur - FAM</v>
      </c>
      <c r="M179" s="26" t="str">
        <f>Etiquettes!$H$11</f>
        <v>Volume</v>
      </c>
      <c r="N179" t="str">
        <f t="shared" si="2"/>
        <v>Consommation de grains par les autres IAA = 0 kt (Bilans par campagne - FranceAgriMer)</v>
      </c>
      <c r="O179" s="26" t="str">
        <f>Etiquettes!$J$15</f>
        <v>Probable</v>
      </c>
      <c r="P179" s="603" t="str">
        <f>Etiquettes!$H$16</f>
        <v>Données collectées</v>
      </c>
      <c r="Q179" s="603" t="str">
        <f>Etiquettes!$H$17</f>
        <v>Donnée collectée (valeur du flux ou coefficient)</v>
      </c>
      <c r="R179"/>
      <c r="S179"/>
    </row>
    <row r="180" spans="1:19" s="26" customFormat="1">
      <c r="A180" t="str">
        <f>'Prétraitement bilans'!A19</f>
        <v>Grains collectés</v>
      </c>
      <c r="B180" t="str">
        <f>'Prétraitement bilans'!B19</f>
        <v>Semoulerie</v>
      </c>
      <c r="C180" s="458">
        <f>'Prétraitement bilans'!P19</f>
        <v>628.52039999999988</v>
      </c>
      <c r="D180" s="10"/>
      <c r="E180" t="str">
        <f>Etiquettes!$C$3</f>
        <v>kt</v>
      </c>
      <c r="F180" s="26" t="str">
        <f>Etiquettes!$K$6</f>
        <v>Blé dur</v>
      </c>
      <c r="G180" s="26" t="str">
        <f>Etiquettes!$I$5</f>
        <v>2019-20</v>
      </c>
      <c r="H180" t="str">
        <f>Etiquettes!$C$4</f>
        <v>France entière</v>
      </c>
      <c r="I180" s="603" t="s">
        <v>1567</v>
      </c>
      <c r="J180" s="603"/>
      <c r="K180" t="s">
        <v>1559</v>
      </c>
      <c r="L180" s="603" t="str" cm="1">
        <f t="array" aca="1" ref="L180" ca="1">[1]!NOM_FEUILLE('Bilans Blé dur - FAM'!$A$1)</f>
        <v>Bilans Blé dur - FAM</v>
      </c>
      <c r="M180" s="26" t="str">
        <f>Etiquettes!$H$11</f>
        <v>Volume</v>
      </c>
      <c r="N180" t="str">
        <f t="shared" si="2"/>
        <v>Consommation de grains par la Semoulerie = 629 kt (Bilans par campagne - FranceAgriMer)</v>
      </c>
      <c r="O180" s="26" t="str">
        <f>Etiquettes!$J$15</f>
        <v>Probable</v>
      </c>
      <c r="P180" s="603" t="str">
        <f>Etiquettes!$H$16</f>
        <v>Données collectées</v>
      </c>
      <c r="Q180" s="603" t="str">
        <f>Etiquettes!$H$17</f>
        <v>Donnée collectée (valeur du flux ou coefficient)</v>
      </c>
      <c r="R180"/>
      <c r="S180"/>
    </row>
    <row r="181" spans="1:19" s="26" customFormat="1">
      <c r="A181" t="str">
        <f>'Prétraitement bilans'!A20</f>
        <v>Grains collectés</v>
      </c>
      <c r="B181" t="str">
        <f>'Prétraitement bilans'!B20</f>
        <v>FAB</v>
      </c>
      <c r="C181" s="458">
        <f>'Prétraitement bilans'!P20</f>
        <v>6.3652370000000005</v>
      </c>
      <c r="D181" s="10"/>
      <c r="E181" t="str">
        <f>Etiquettes!$C$3</f>
        <v>kt</v>
      </c>
      <c r="F181" s="26" t="str">
        <f>Etiquettes!$K$6</f>
        <v>Blé dur</v>
      </c>
      <c r="G181" s="26" t="str">
        <f>Etiquettes!$I$5</f>
        <v>2019-20</v>
      </c>
      <c r="H181" t="str">
        <f>Etiquettes!$C$4</f>
        <v>France entière</v>
      </c>
      <c r="I181" s="603" t="s">
        <v>1568</v>
      </c>
      <c r="J181" s="603"/>
      <c r="K181" t="s">
        <v>1559</v>
      </c>
      <c r="L181" s="603" t="str" cm="1">
        <f t="array" aca="1" ref="L181" ca="1">[1]!NOM_FEUILLE('Bilans Blé dur - FAM'!$A$1)</f>
        <v>Bilans Blé dur - FAM</v>
      </c>
      <c r="M181" s="26" t="str">
        <f>Etiquettes!$H$11</f>
        <v>Volume</v>
      </c>
      <c r="N181" t="str">
        <f t="shared" si="2"/>
        <v>Consommation de grains par les FAB = 6 kt (Bilans par campagne - FranceAgriMer)</v>
      </c>
      <c r="O181" s="26" t="str">
        <f>Etiquettes!$J$15</f>
        <v>Probable</v>
      </c>
      <c r="P181" s="603" t="str">
        <f>Etiquettes!$H$16</f>
        <v>Données collectées</v>
      </c>
      <c r="Q181" s="603" t="str">
        <f>Etiquettes!$H$17</f>
        <v>Donnée collectée (valeur du flux ou coefficient)</v>
      </c>
      <c r="R181"/>
      <c r="S181"/>
    </row>
    <row r="182" spans="1:19" s="26" customFormat="1">
      <c r="A182" t="str">
        <f>'Prétraitement bilans'!A21</f>
        <v>Grains collectés</v>
      </c>
      <c r="B182" t="str">
        <f>'Prétraitement bilans'!B21</f>
        <v>Semences certifiées</v>
      </c>
      <c r="C182" s="458">
        <f>'Prétraitement bilans'!P21</f>
        <v>25.297499999999999</v>
      </c>
      <c r="D182" s="10"/>
      <c r="E182" t="str">
        <f>Etiquettes!$C$3</f>
        <v>kt</v>
      </c>
      <c r="F182" s="26" t="str">
        <f>Etiquettes!$K$6</f>
        <v>Blé dur</v>
      </c>
      <c r="G182" s="26" t="str">
        <f>Etiquettes!$I$5</f>
        <v>2019-20</v>
      </c>
      <c r="H182" t="str">
        <f>Etiquettes!$C$4</f>
        <v>France entière</v>
      </c>
      <c r="I182" s="603" t="s">
        <v>1561</v>
      </c>
      <c r="J182" s="603"/>
      <c r="K182" t="s">
        <v>1559</v>
      </c>
      <c r="L182" s="603" t="str" cm="1">
        <f t="array" aca="1" ref="L182" ca="1">[1]!NOM_FEUILLE('Bilans Blé dur - FAM'!$A$1)</f>
        <v>Bilans Blé dur - FAM</v>
      </c>
      <c r="M182" s="26" t="str">
        <f>Etiquettes!$H$11</f>
        <v>Volume</v>
      </c>
      <c r="N182" t="str">
        <f t="shared" si="2"/>
        <v>Production de semences certifiées = 25 kt (Bilans par campagne - FranceAgriMer)</v>
      </c>
      <c r="O182" s="26" t="str">
        <f>Etiquettes!$J$15</f>
        <v>Probable</v>
      </c>
      <c r="P182" s="603" t="str">
        <f>Etiquettes!$H$16</f>
        <v>Données collectées</v>
      </c>
      <c r="Q182" s="603" t="str">
        <f>Etiquettes!$H$17</f>
        <v>Donnée collectée (valeur du flux ou coefficient)</v>
      </c>
      <c r="R182"/>
      <c r="S182"/>
    </row>
    <row r="183" spans="1:19" s="26" customFormat="1">
      <c r="A183" t="str">
        <f>'Prétraitement bilans'!A25</f>
        <v>OS</v>
      </c>
      <c r="B183" t="str">
        <f>'Prétraitement bilans'!B25</f>
        <v>Stock final</v>
      </c>
      <c r="C183" s="458">
        <f>'Prétraitement bilans'!P25</f>
        <v>109.85579999999999</v>
      </c>
      <c r="D183" s="10"/>
      <c r="E183" t="str">
        <f>Etiquettes!$C$3</f>
        <v>kt</v>
      </c>
      <c r="F183" s="26" t="str">
        <f>Etiquettes!$K$6</f>
        <v>Blé dur</v>
      </c>
      <c r="G183" s="26" t="str">
        <f>Etiquettes!$I$5</f>
        <v>2019-20</v>
      </c>
      <c r="H183" t="str">
        <f>Etiquettes!$C$4</f>
        <v>France entière</v>
      </c>
      <c r="I183" s="603" t="s">
        <v>1128</v>
      </c>
      <c r="J183" s="603"/>
      <c r="K183" t="s">
        <v>1559</v>
      </c>
      <c r="L183" s="603" t="str" cm="1">
        <f t="array" aca="1" ref="L183" ca="1">[1]!NOM_FEUILLE('Bilans Blé dur - FAM'!$A$1)</f>
        <v>Bilans Blé dur - FAM</v>
      </c>
      <c r="M183" s="26" t="str">
        <f>Etiquettes!$H$11</f>
        <v>Volume</v>
      </c>
      <c r="N183" t="str">
        <f t="shared" si="2"/>
        <v>Stock final collecteurs = 110 kt (Bilans par campagne - FranceAgriMer)</v>
      </c>
      <c r="O183" s="26" t="str">
        <f>Etiquettes!$I$15</f>
        <v>Robuste</v>
      </c>
      <c r="P183" s="603" t="str">
        <f>Etiquettes!$H$16</f>
        <v>Données collectées</v>
      </c>
      <c r="Q183" s="603" t="str">
        <f>Etiquettes!$H$17</f>
        <v>Donnée collectée (valeur du flux ou coefficient)</v>
      </c>
      <c r="R183"/>
      <c r="S183"/>
    </row>
    <row r="184" spans="1:19">
      <c r="A184" t="str">
        <f>'Prétraitement bilans'!A3</f>
        <v>Récolte</v>
      </c>
      <c r="B184" t="str">
        <f>'Prétraitement bilans'!B3</f>
        <v>Grains récoltés</v>
      </c>
      <c r="C184" s="458">
        <f>'Prétraitement bilans'!Q3</f>
        <v>1660.7930000000003</v>
      </c>
      <c r="E184" t="str">
        <f>Etiquettes!$C$3</f>
        <v>kt</v>
      </c>
      <c r="F184" s="26" t="str">
        <f>Etiquettes!$L$6</f>
        <v>Triticale</v>
      </c>
      <c r="G184" s="26" t="str">
        <f>Etiquettes!$I$5</f>
        <v>2019-20</v>
      </c>
      <c r="H184" t="str">
        <f>Etiquettes!$C$4</f>
        <v>France entière</v>
      </c>
      <c r="I184" s="603" t="s">
        <v>1106</v>
      </c>
      <c r="J184" s="603"/>
      <c r="K184" t="s">
        <v>1559</v>
      </c>
      <c r="L184" s="603" t="str" cm="1">
        <f t="array" aca="1" ref="L184" ca="1">[1]!NOM_FEUILLE('Bilans Triticale - FAM'!$A$1)</f>
        <v>Bilans Triticale - FAM</v>
      </c>
      <c r="M184" s="26" t="str">
        <f>Etiquettes!$H$11</f>
        <v>Volume</v>
      </c>
      <c r="N184" t="str">
        <f t="shared" si="2"/>
        <v>Récolte = 1661 kt (Bilans par campagne - FranceAgriMer)</v>
      </c>
      <c r="O184" s="26" t="str">
        <f>Etiquettes!$H$15</f>
        <v>Fiable</v>
      </c>
      <c r="P184" s="603" t="str">
        <f>Etiquettes!$H$16</f>
        <v>Données collectées</v>
      </c>
      <c r="Q184" s="603" t="str">
        <f>Etiquettes!$H$17</f>
        <v>Donnée collectée (valeur du flux ou coefficient)</v>
      </c>
    </row>
    <row r="185" spans="1:19">
      <c r="A185" t="str">
        <f>'Prétraitement bilans'!A4</f>
        <v>Stock initial</v>
      </c>
      <c r="B185" t="str">
        <f>'Prétraitement bilans'!B4</f>
        <v>Ferme</v>
      </c>
      <c r="C185" s="458">
        <f>'Prétraitement bilans'!Q4</f>
        <v>0</v>
      </c>
      <c r="E185" t="str">
        <f>Etiquettes!$C$3</f>
        <v>kt</v>
      </c>
      <c r="F185" s="26" t="str">
        <f>Etiquettes!$L$6</f>
        <v>Triticale</v>
      </c>
      <c r="G185" s="26" t="str">
        <f>Etiquettes!$I$5</f>
        <v>2019-20</v>
      </c>
      <c r="H185" t="str">
        <f>Etiquettes!$C$4</f>
        <v>France entière</v>
      </c>
      <c r="I185" s="603" t="s">
        <v>1115</v>
      </c>
      <c r="J185" s="603"/>
      <c r="K185" t="s">
        <v>1559</v>
      </c>
      <c r="L185" s="603" t="str" cm="1">
        <f t="array" aca="1" ref="L185" ca="1">[1]!NOM_FEUILLE('Bilans Triticale - FAM'!$A$1)</f>
        <v>Bilans Triticale - FAM</v>
      </c>
      <c r="M185" s="26" t="str">
        <f>Etiquettes!$H$11</f>
        <v>Volume</v>
      </c>
      <c r="N185" t="str">
        <f t="shared" si="2"/>
        <v>Stock initial à la ferme = 0 kt (Bilans par campagne - FranceAgriMer)</v>
      </c>
      <c r="O185" s="26" t="str">
        <f>Etiquettes!$K$15</f>
        <v>Approximative</v>
      </c>
      <c r="P185" s="603" t="str">
        <f>Etiquettes!$H$16</f>
        <v>Données collectées</v>
      </c>
      <c r="Q185" s="603" t="str">
        <f>Etiquettes!$H$17</f>
        <v>Donnée collectée (valeur du flux ou coefficient)</v>
      </c>
    </row>
    <row r="186" spans="1:19">
      <c r="A186" t="str">
        <f>'Prétraitement bilans'!A5</f>
        <v>Ferme</v>
      </c>
      <c r="B186" t="str">
        <f>'Prétraitement bilans'!B5</f>
        <v>Grains autoconsommés</v>
      </c>
      <c r="C186" s="458">
        <f>'Prétraitement bilans'!Q5</f>
        <v>929.12209100000064</v>
      </c>
      <c r="E186" t="str">
        <f>Etiquettes!$C$3</f>
        <v>kt</v>
      </c>
      <c r="F186" s="26" t="str">
        <f>Etiquettes!$L$6</f>
        <v>Triticale</v>
      </c>
      <c r="G186" s="26" t="str">
        <f>Etiquettes!$I$5</f>
        <v>2019-20</v>
      </c>
      <c r="H186" t="str">
        <f>Etiquettes!$C$4</f>
        <v>France entière</v>
      </c>
      <c r="I186" s="603" t="s">
        <v>1560</v>
      </c>
      <c r="J186" s="603"/>
      <c r="K186" t="s">
        <v>1559</v>
      </c>
      <c r="L186" s="603" t="str" cm="1">
        <f t="array" aca="1" ref="L186" ca="1">[1]!NOM_FEUILLE('Bilans Triticale - FAM'!$A$1)</f>
        <v>Bilans Triticale - FAM</v>
      </c>
      <c r="M186" s="26" t="str">
        <f>Etiquettes!$H$11</f>
        <v>Volume</v>
      </c>
      <c r="N186" t="str">
        <f t="shared" si="2"/>
        <v>Autoconsommation à la ferme = 929 kt (Bilans par campagne - FranceAgriMer)</v>
      </c>
      <c r="O186" s="26" t="str">
        <f>Etiquettes!$K$15</f>
        <v>Approximative</v>
      </c>
      <c r="P186" s="603" t="str">
        <f>Etiquettes!$H$16</f>
        <v>Données collectées</v>
      </c>
      <c r="Q186" s="603" t="str">
        <f>Etiquettes!$H$17</f>
        <v>Donnée collectée (valeur du flux ou coefficient)</v>
      </c>
    </row>
    <row r="187" spans="1:19">
      <c r="A187" t="str">
        <f>'Prétraitement bilans'!A6</f>
        <v>Ferme</v>
      </c>
      <c r="B187" t="str">
        <f>'Prétraitement bilans'!B6</f>
        <v>Stock final</v>
      </c>
      <c r="C187" s="458">
        <f>'Prétraitement bilans'!Q6</f>
        <v>0</v>
      </c>
      <c r="E187" t="str">
        <f>Etiquettes!$C$3</f>
        <v>kt</v>
      </c>
      <c r="F187" s="26" t="str">
        <f>Etiquettes!$L$6</f>
        <v>Triticale</v>
      </c>
      <c r="G187" s="26" t="str">
        <f>Etiquettes!$I$5</f>
        <v>2019-20</v>
      </c>
      <c r="H187" t="str">
        <f>Etiquettes!$C$4</f>
        <v>France entière</v>
      </c>
      <c r="I187" s="603" t="s">
        <v>1116</v>
      </c>
      <c r="J187" s="603"/>
      <c r="K187" t="s">
        <v>1559</v>
      </c>
      <c r="L187" s="603" t="str" cm="1">
        <f t="array" aca="1" ref="L187" ca="1">[1]!NOM_FEUILLE('Bilans Triticale - FAM'!$A$1)</f>
        <v>Bilans Triticale - FAM</v>
      </c>
      <c r="M187" s="26" t="str">
        <f>Etiquettes!$H$11</f>
        <v>Volume</v>
      </c>
      <c r="N187" t="str">
        <f t="shared" si="2"/>
        <v>Stock final à la ferme = 0 kt (Bilans par campagne - FranceAgriMer)</v>
      </c>
      <c r="O187" s="26" t="str">
        <f>Etiquettes!$K$15</f>
        <v>Approximative</v>
      </c>
      <c r="P187" s="603" t="str">
        <f>Etiquettes!$H$16</f>
        <v>Données collectées</v>
      </c>
      <c r="Q187" s="603" t="str">
        <f>Etiquettes!$H$17</f>
        <v>Donnée collectée (valeur du flux ou coefficient)</v>
      </c>
    </row>
    <row r="188" spans="1:19">
      <c r="A188" t="str">
        <f>'Prétraitement bilans'!A7</f>
        <v>Stock initial</v>
      </c>
      <c r="B188" t="str">
        <f>'Prétraitement bilans'!B7</f>
        <v>OS</v>
      </c>
      <c r="C188" s="458">
        <f>'Prétraitement bilans'!Q7</f>
        <v>48.426499999999997</v>
      </c>
      <c r="E188" t="str">
        <f>Etiquettes!$C$3</f>
        <v>kt</v>
      </c>
      <c r="F188" s="26" t="str">
        <f>Etiquettes!$L$6</f>
        <v>Triticale</v>
      </c>
      <c r="G188" s="26" t="str">
        <f>Etiquettes!$I$5</f>
        <v>2019-20</v>
      </c>
      <c r="H188" t="str">
        <f>Etiquettes!$C$4</f>
        <v>France entière</v>
      </c>
      <c r="I188" s="603" t="s">
        <v>1127</v>
      </c>
      <c r="J188" s="603"/>
      <c r="K188" t="s">
        <v>1559</v>
      </c>
      <c r="L188" s="603" t="str" cm="1">
        <f t="array" aca="1" ref="L188" ca="1">[1]!NOM_FEUILLE('Bilans Triticale - FAM'!$A$1)</f>
        <v>Bilans Triticale - FAM</v>
      </c>
      <c r="M188" s="26" t="str">
        <f>Etiquettes!$H$11</f>
        <v>Volume</v>
      </c>
      <c r="N188" t="str">
        <f t="shared" si="2"/>
        <v>Stock initial collecteurs = 48 kt (Bilans par campagne - FranceAgriMer)</v>
      </c>
      <c r="O188" s="26" t="str">
        <f>Etiquettes!$I$15</f>
        <v>Robuste</v>
      </c>
      <c r="P188" s="603" t="str">
        <f>Etiquettes!$H$16</f>
        <v>Données collectées</v>
      </c>
      <c r="Q188" s="603" t="str">
        <f>Etiquettes!$H$17</f>
        <v>Donnée collectée (valeur du flux ou coefficient)</v>
      </c>
    </row>
    <row r="189" spans="1:19">
      <c r="A189" t="str">
        <f>'Prétraitement bilans'!A8</f>
        <v>Grains récoltés</v>
      </c>
      <c r="B189" t="str">
        <f>'Prétraitement bilans'!B8</f>
        <v>OS</v>
      </c>
      <c r="C189" s="458">
        <f>'Prétraitement bilans'!Q8</f>
        <v>731.67090899999971</v>
      </c>
      <c r="E189" t="str">
        <f>Etiquettes!$C$3</f>
        <v>kt</v>
      </c>
      <c r="F189" s="26" t="str">
        <f>Etiquettes!$L$6</f>
        <v>Triticale</v>
      </c>
      <c r="G189" s="26" t="str">
        <f>Etiquettes!$I$5</f>
        <v>2019-20</v>
      </c>
      <c r="H189" t="str">
        <f>Etiquettes!$C$4</f>
        <v>France entière</v>
      </c>
      <c r="I189" s="603" t="s">
        <v>317</v>
      </c>
      <c r="J189" s="603"/>
      <c r="K189" t="s">
        <v>1559</v>
      </c>
      <c r="L189" s="603" t="str" cm="1">
        <f t="array" aca="1" ref="L189" ca="1">[1]!NOM_FEUILLE('Bilans Triticale - FAM'!$A$1)</f>
        <v>Bilans Triticale - FAM</v>
      </c>
      <c r="M189" s="26" t="str">
        <f>Etiquettes!$H$11</f>
        <v>Volume</v>
      </c>
      <c r="N189" t="str">
        <f t="shared" si="2"/>
        <v>Collecte = 732 kt (Bilans par campagne - FranceAgriMer)</v>
      </c>
      <c r="O189" s="26" t="str">
        <f>Etiquettes!$I$15</f>
        <v>Robuste</v>
      </c>
      <c r="P189" s="603" t="str">
        <f>Etiquettes!$H$16</f>
        <v>Données collectées</v>
      </c>
      <c r="Q189" s="603" t="str">
        <f>Etiquettes!$H$17</f>
        <v>Donnée collectée (valeur du flux ou coefficient)</v>
      </c>
    </row>
    <row r="190" spans="1:19">
      <c r="A190" t="str">
        <f>'Prétraitement bilans'!A13</f>
        <v>Grains collectés</v>
      </c>
      <c r="B190" t="str">
        <f>'Prétraitement bilans'!B13</f>
        <v>Amidonnerie / Glutennerie</v>
      </c>
      <c r="C190" s="458">
        <f>'Prétraitement bilans'!Q13</f>
        <v>0</v>
      </c>
      <c r="E190" t="str">
        <f>Etiquettes!$C$3</f>
        <v>kt</v>
      </c>
      <c r="F190" s="26" t="str">
        <f>Etiquettes!$L$6</f>
        <v>Triticale</v>
      </c>
      <c r="G190" s="26" t="str">
        <f>Etiquettes!$I$5</f>
        <v>2019-20</v>
      </c>
      <c r="H190" t="str">
        <f>Etiquettes!$C$4</f>
        <v>France entière</v>
      </c>
      <c r="I190" s="603" t="s">
        <v>1563</v>
      </c>
      <c r="J190" s="603"/>
      <c r="K190" t="s">
        <v>1559</v>
      </c>
      <c r="L190" s="603" t="str" cm="1">
        <f t="array" aca="1" ref="L190" ca="1">[1]!NOM_FEUILLE('Bilans Triticale - FAM'!$A$1)</f>
        <v>Bilans Triticale - FAM</v>
      </c>
      <c r="M190" s="26" t="str">
        <f>Etiquettes!$H$11</f>
        <v>Volume</v>
      </c>
      <c r="N190" t="str">
        <f t="shared" si="2"/>
        <v>Consommation de grains par l'Amidonnerie = 0 kt (Bilans par campagne - FranceAgriMer)</v>
      </c>
      <c r="O190" s="26" t="str">
        <f>Etiquettes!$J$15</f>
        <v>Probable</v>
      </c>
      <c r="P190" s="603" t="str">
        <f>Etiquettes!$H$16</f>
        <v>Données collectées</v>
      </c>
      <c r="Q190" s="603" t="str">
        <f>Etiquettes!$H$17</f>
        <v>Donnée collectée (valeur du flux ou coefficient)</v>
      </c>
    </row>
    <row r="191" spans="1:19">
      <c r="A191" t="str">
        <f>'Prétraitement bilans'!A16</f>
        <v>Grains collectés</v>
      </c>
      <c r="B191" t="str">
        <f>'Prétraitement bilans'!B16</f>
        <v>Distillerie</v>
      </c>
      <c r="C191" s="458">
        <f>'Prétraitement bilans'!Q16</f>
        <v>0</v>
      </c>
      <c r="E191" t="str">
        <f>Etiquettes!$C$3</f>
        <v>kt</v>
      </c>
      <c r="F191" s="26" t="str">
        <f>Etiquettes!$L$6</f>
        <v>Triticale</v>
      </c>
      <c r="G191" s="26" t="str">
        <f>Etiquettes!$I$5</f>
        <v>2019-20</v>
      </c>
      <c r="H191" t="str">
        <f>Etiquettes!$C$4</f>
        <v>France entière</v>
      </c>
      <c r="I191" s="603" t="s">
        <v>1564</v>
      </c>
      <c r="J191" s="603"/>
      <c r="K191" t="s">
        <v>1559</v>
      </c>
      <c r="L191" s="603" t="str" cm="1">
        <f t="array" aca="1" ref="L191" ca="1">[1]!NOM_FEUILLE('Bilans Triticale - FAM'!$A$1)</f>
        <v>Bilans Triticale - FAM</v>
      </c>
      <c r="M191" s="26" t="str">
        <f>Etiquettes!$H$11</f>
        <v>Volume</v>
      </c>
      <c r="N191" t="str">
        <f t="shared" si="2"/>
        <v>Consommation de grains par la Distillerie = 0 kt (Bilans par campagne - FranceAgriMer)</v>
      </c>
      <c r="O191" s="26" t="str">
        <f>Etiquettes!$J$15</f>
        <v>Probable</v>
      </c>
      <c r="P191" s="603" t="str">
        <f>Etiquettes!$H$16</f>
        <v>Données collectées</v>
      </c>
      <c r="Q191" s="603" t="str">
        <f>Etiquettes!$H$17</f>
        <v>Donnée collectée (valeur du flux ou coefficient)</v>
      </c>
    </row>
    <row r="192" spans="1:19">
      <c r="A192" t="str">
        <f>'Prétraitement bilans'!A17</f>
        <v>Grains collectés</v>
      </c>
      <c r="B192" t="str">
        <f>'Prétraitement bilans'!B17</f>
        <v>Malterie</v>
      </c>
      <c r="C192" s="458">
        <f>'Prétraitement bilans'!Q17</f>
        <v>0</v>
      </c>
      <c r="E192" t="str">
        <f>Etiquettes!$C$3</f>
        <v>kt</v>
      </c>
      <c r="F192" s="26" t="str">
        <f>Etiquettes!$L$6</f>
        <v>Triticale</v>
      </c>
      <c r="G192" s="26" t="str">
        <f>Etiquettes!$I$5</f>
        <v>2019-20</v>
      </c>
      <c r="H192" t="str">
        <f>Etiquettes!$C$4</f>
        <v>France entière</v>
      </c>
      <c r="I192" s="603" t="s">
        <v>1565</v>
      </c>
      <c r="J192" s="603"/>
      <c r="K192" t="s">
        <v>1559</v>
      </c>
      <c r="L192" s="603" t="str" cm="1">
        <f t="array" aca="1" ref="L192" ca="1">[1]!NOM_FEUILLE('Bilans Triticale - FAM'!$A$1)</f>
        <v>Bilans Triticale - FAM</v>
      </c>
      <c r="M192" s="26" t="str">
        <f>Etiquettes!$H$11</f>
        <v>Volume</v>
      </c>
      <c r="N192" t="str">
        <f t="shared" si="2"/>
        <v>Consommation de grains par la Malterie = 0 kt (Bilans par campagne - FranceAgriMer)</v>
      </c>
      <c r="O192" s="26" t="str">
        <f>Etiquettes!$J$15</f>
        <v>Probable</v>
      </c>
      <c r="P192" s="603" t="str">
        <f>Etiquettes!$H$16</f>
        <v>Données collectées</v>
      </c>
      <c r="Q192" s="603" t="str">
        <f>Etiquettes!$H$17</f>
        <v>Donnée collectée (valeur du flux ou coefficient)</v>
      </c>
    </row>
    <row r="193" spans="1:19" s="26" customFormat="1">
      <c r="A193" t="str">
        <f>'Prétraitement bilans'!A18</f>
        <v>Grains collectés</v>
      </c>
      <c r="B193" t="str">
        <f>'Prétraitement bilans'!B18</f>
        <v>Autres IAA</v>
      </c>
      <c r="C193" s="458">
        <f>'Prétraitement bilans'!Q18</f>
        <v>0</v>
      </c>
      <c r="D193" s="10"/>
      <c r="E193" t="str">
        <f>Etiquettes!$C$3</f>
        <v>kt</v>
      </c>
      <c r="F193" s="26" t="str">
        <f>Etiquettes!$L$6</f>
        <v>Triticale</v>
      </c>
      <c r="G193" s="26" t="str">
        <f>Etiquettes!$I$5</f>
        <v>2019-20</v>
      </c>
      <c r="H193" t="str">
        <f>Etiquettes!$C$4</f>
        <v>France entière</v>
      </c>
      <c r="I193" s="603" t="s">
        <v>1566</v>
      </c>
      <c r="J193" s="603"/>
      <c r="K193" t="s">
        <v>1559</v>
      </c>
      <c r="L193" s="603" t="str" cm="1">
        <f t="array" aca="1" ref="L193" ca="1">[1]!NOM_FEUILLE('Bilans Triticale - FAM'!$A$1)</f>
        <v>Bilans Triticale - FAM</v>
      </c>
      <c r="M193" s="26" t="str">
        <f>Etiquettes!$H$11</f>
        <v>Volume</v>
      </c>
      <c r="N193" t="str">
        <f t="shared" si="2"/>
        <v>Consommation de grains par les autres IAA = 0 kt (Bilans par campagne - FranceAgriMer)</v>
      </c>
      <c r="O193" s="26" t="str">
        <f>Etiquettes!$J$15</f>
        <v>Probable</v>
      </c>
      <c r="P193" s="603" t="str">
        <f>Etiquettes!$H$16</f>
        <v>Données collectées</v>
      </c>
      <c r="Q193" s="603" t="str">
        <f>Etiquettes!$H$17</f>
        <v>Donnée collectée (valeur du flux ou coefficient)</v>
      </c>
      <c r="R193"/>
      <c r="S193"/>
    </row>
    <row r="194" spans="1:19" s="26" customFormat="1">
      <c r="A194" t="str">
        <f>'Prétraitement bilans'!A19</f>
        <v>Grains collectés</v>
      </c>
      <c r="B194" t="str">
        <f>'Prétraitement bilans'!B19</f>
        <v>Semoulerie</v>
      </c>
      <c r="C194" s="458">
        <f>'Prétraitement bilans'!Q19</f>
        <v>0</v>
      </c>
      <c r="D194" s="10"/>
      <c r="E194" t="str">
        <f>Etiquettes!$C$3</f>
        <v>kt</v>
      </c>
      <c r="F194" s="26" t="str">
        <f>Etiquettes!$L$6</f>
        <v>Triticale</v>
      </c>
      <c r="G194" s="26" t="str">
        <f>Etiquettes!$I$5</f>
        <v>2019-20</v>
      </c>
      <c r="H194" t="str">
        <f>Etiquettes!$C$4</f>
        <v>France entière</v>
      </c>
      <c r="I194" s="603" t="s">
        <v>1567</v>
      </c>
      <c r="J194" s="603"/>
      <c r="K194" t="s">
        <v>1559</v>
      </c>
      <c r="L194" s="603" t="str" cm="1">
        <f t="array" aca="1" ref="L194" ca="1">[1]!NOM_FEUILLE('Bilans Triticale - FAM'!$A$1)</f>
        <v>Bilans Triticale - FAM</v>
      </c>
      <c r="M194" s="26" t="str">
        <f>Etiquettes!$H$11</f>
        <v>Volume</v>
      </c>
      <c r="N194" t="str">
        <f t="shared" si="2"/>
        <v>Consommation de grains par la Semoulerie = 0 kt (Bilans par campagne - FranceAgriMer)</v>
      </c>
      <c r="O194" s="26" t="str">
        <f>Etiquettes!$J$15</f>
        <v>Probable</v>
      </c>
      <c r="P194" s="603" t="str">
        <f>Etiquettes!$H$16</f>
        <v>Données collectées</v>
      </c>
      <c r="Q194" s="603" t="str">
        <f>Etiquettes!$H$17</f>
        <v>Donnée collectée (valeur du flux ou coefficient)</v>
      </c>
      <c r="R194"/>
      <c r="S194"/>
    </row>
    <row r="195" spans="1:19" s="26" customFormat="1">
      <c r="A195" t="str">
        <f>'Prétraitement bilans'!A20</f>
        <v>Grains collectés</v>
      </c>
      <c r="B195" t="str">
        <f>'Prétraitement bilans'!B20</f>
        <v>FAB</v>
      </c>
      <c r="C195" s="458">
        <f>'Prétraitement bilans'!Q20</f>
        <v>464.45506399999994</v>
      </c>
      <c r="D195" s="10"/>
      <c r="E195" t="str">
        <f>Etiquettes!$C$3</f>
        <v>kt</v>
      </c>
      <c r="F195" s="26" t="str">
        <f>Etiquettes!$L$6</f>
        <v>Triticale</v>
      </c>
      <c r="G195" s="26" t="str">
        <f>Etiquettes!$I$5</f>
        <v>2019-20</v>
      </c>
      <c r="H195" t="str">
        <f>Etiquettes!$C$4</f>
        <v>France entière</v>
      </c>
      <c r="I195" s="603" t="s">
        <v>1568</v>
      </c>
      <c r="J195" s="603"/>
      <c r="K195" t="s">
        <v>1559</v>
      </c>
      <c r="L195" s="603" t="str" cm="1">
        <f t="array" aca="1" ref="L195" ca="1">[1]!NOM_FEUILLE('Bilans Triticale - FAM'!$A$1)</f>
        <v>Bilans Triticale - FAM</v>
      </c>
      <c r="M195" s="26" t="str">
        <f>Etiquettes!$H$11</f>
        <v>Volume</v>
      </c>
      <c r="N195" t="str">
        <f t="shared" si="2"/>
        <v>Consommation de grains par les FAB = 464 kt (Bilans par campagne - FranceAgriMer)</v>
      </c>
      <c r="O195" s="26" t="str">
        <f>Etiquettes!$J$15</f>
        <v>Probable</v>
      </c>
      <c r="P195" s="603" t="str">
        <f>Etiquettes!$H$16</f>
        <v>Données collectées</v>
      </c>
      <c r="Q195" s="603" t="str">
        <f>Etiquettes!$H$17</f>
        <v>Donnée collectée (valeur du flux ou coefficient)</v>
      </c>
      <c r="R195"/>
      <c r="S195"/>
    </row>
    <row r="196" spans="1:19" s="26" customFormat="1">
      <c r="A196" t="str">
        <f>'Prétraitement bilans'!A21</f>
        <v>Grains collectés</v>
      </c>
      <c r="B196" t="str">
        <f>'Prétraitement bilans'!B21</f>
        <v>Semences certifiées</v>
      </c>
      <c r="C196" s="458">
        <f>'Prétraitement bilans'!Q21</f>
        <v>27.142799999999998</v>
      </c>
      <c r="D196" s="10"/>
      <c r="E196" t="str">
        <f>Etiquettes!$C$3</f>
        <v>kt</v>
      </c>
      <c r="F196" s="26" t="str">
        <f>Etiquettes!$L$6</f>
        <v>Triticale</v>
      </c>
      <c r="G196" s="26" t="str">
        <f>Etiquettes!$I$5</f>
        <v>2019-20</v>
      </c>
      <c r="H196" t="str">
        <f>Etiquettes!$C$4</f>
        <v>France entière</v>
      </c>
      <c r="I196" s="603" t="s">
        <v>1561</v>
      </c>
      <c r="J196" s="603"/>
      <c r="K196" t="s">
        <v>1559</v>
      </c>
      <c r="L196" s="603" t="str" cm="1">
        <f t="array" aca="1" ref="L196" ca="1">[1]!NOM_FEUILLE('Bilans Triticale - FAM'!$A$1)</f>
        <v>Bilans Triticale - FAM</v>
      </c>
      <c r="M196" s="26" t="str">
        <f>Etiquettes!$H$11</f>
        <v>Volume</v>
      </c>
      <c r="N196" t="str">
        <f t="shared" ref="N196:N259" si="3">_xlfn.CONCAT(I196,IF(ISBLANK(C196),"",_xlfn.CONCAT(" = ",MROUND(C196,1)," ",E196))," (",K196,")")</f>
        <v>Production de semences certifiées = 27 kt (Bilans par campagne - FranceAgriMer)</v>
      </c>
      <c r="O196" s="26" t="str">
        <f>Etiquettes!$J$15</f>
        <v>Probable</v>
      </c>
      <c r="P196" s="603" t="str">
        <f>Etiquettes!$H$16</f>
        <v>Données collectées</v>
      </c>
      <c r="Q196" s="603" t="str">
        <f>Etiquettes!$H$17</f>
        <v>Donnée collectée (valeur du flux ou coefficient)</v>
      </c>
      <c r="R196"/>
      <c r="S196"/>
    </row>
    <row r="197" spans="1:19" s="26" customFormat="1">
      <c r="A197" t="str">
        <f>'Prétraitement bilans'!A25</f>
        <v>OS</v>
      </c>
      <c r="B197" t="str">
        <f>'Prétraitement bilans'!B25</f>
        <v>Stock final</v>
      </c>
      <c r="C197" s="458">
        <f>'Prétraitement bilans'!Q25</f>
        <v>93.672699999999978</v>
      </c>
      <c r="D197" s="10"/>
      <c r="E197" t="str">
        <f>Etiquettes!$C$3</f>
        <v>kt</v>
      </c>
      <c r="F197" s="26" t="str">
        <f>Etiquettes!$L$6</f>
        <v>Triticale</v>
      </c>
      <c r="G197" s="26" t="str">
        <f>Etiquettes!$I$5</f>
        <v>2019-20</v>
      </c>
      <c r="H197" t="str">
        <f>Etiquettes!$C$4</f>
        <v>France entière</v>
      </c>
      <c r="I197" s="603" t="s">
        <v>1128</v>
      </c>
      <c r="J197" s="603"/>
      <c r="K197" t="s">
        <v>1559</v>
      </c>
      <c r="L197" s="603" t="str" cm="1">
        <f t="array" aca="1" ref="L197" ca="1">[1]!NOM_FEUILLE('Bilans Triticale - FAM'!$A$1)</f>
        <v>Bilans Triticale - FAM</v>
      </c>
      <c r="M197" s="26" t="str">
        <f>Etiquettes!$H$11</f>
        <v>Volume</v>
      </c>
      <c r="N197" t="str">
        <f t="shared" si="3"/>
        <v>Stock final collecteurs = 94 kt (Bilans par campagne - FranceAgriMer)</v>
      </c>
      <c r="O197" s="26" t="str">
        <f>Etiquettes!$I$15</f>
        <v>Robuste</v>
      </c>
      <c r="P197" s="603" t="str">
        <f>Etiquettes!$H$16</f>
        <v>Données collectées</v>
      </c>
      <c r="Q197" s="603" t="str">
        <f>Etiquettes!$H$17</f>
        <v>Donnée collectée (valeur du flux ou coefficient)</v>
      </c>
      <c r="R197"/>
      <c r="S197"/>
    </row>
    <row r="198" spans="1:19">
      <c r="A198" t="str">
        <f>'Prétraitement bilans'!A3</f>
        <v>Récolte</v>
      </c>
      <c r="B198" t="str">
        <f>'Prétraitement bilans'!B3</f>
        <v>Grains récoltés</v>
      </c>
      <c r="C198" s="458">
        <f>'Prétraitement bilans'!R3</f>
        <v>427.87870000000004</v>
      </c>
      <c r="E198" t="str">
        <f>Etiquettes!$C$3</f>
        <v>kt</v>
      </c>
      <c r="F198" s="26" t="str">
        <f>Etiquettes!$M$6</f>
        <v>Sorgho</v>
      </c>
      <c r="G198" s="26" t="str">
        <f>Etiquettes!$I$5</f>
        <v>2019-20</v>
      </c>
      <c r="H198" t="str">
        <f>Etiquettes!$C$4</f>
        <v>France entière</v>
      </c>
      <c r="I198" s="603" t="s">
        <v>1106</v>
      </c>
      <c r="J198" s="603"/>
      <c r="K198" t="s">
        <v>1559</v>
      </c>
      <c r="L198" s="603" t="str" cm="1">
        <f t="array" aca="1" ref="L198" ca="1">[1]!NOM_FEUILLE('Bilans Sorgho - FAM'!$A$1)</f>
        <v>Bilans Sorgho - FAM</v>
      </c>
      <c r="M198" s="26" t="str">
        <f>Etiquettes!$H$11</f>
        <v>Volume</v>
      </c>
      <c r="N198" t="str">
        <f t="shared" si="3"/>
        <v>Récolte = 428 kt (Bilans par campagne - FranceAgriMer)</v>
      </c>
      <c r="O198" s="26" t="str">
        <f>Etiquettes!$H$15</f>
        <v>Fiable</v>
      </c>
      <c r="P198" s="603" t="str">
        <f>Etiquettes!$H$16</f>
        <v>Données collectées</v>
      </c>
      <c r="Q198" s="603" t="str">
        <f>Etiquettes!$H$17</f>
        <v>Donnée collectée (valeur du flux ou coefficient)</v>
      </c>
    </row>
    <row r="199" spans="1:19">
      <c r="A199" t="str">
        <f>'Prétraitement bilans'!A4</f>
        <v>Stock initial</v>
      </c>
      <c r="B199" t="str">
        <f>'Prétraitement bilans'!B4</f>
        <v>Ferme</v>
      </c>
      <c r="C199" s="458">
        <f>'Prétraitement bilans'!R4</f>
        <v>0</v>
      </c>
      <c r="E199" t="str">
        <f>Etiquettes!$C$3</f>
        <v>kt</v>
      </c>
      <c r="F199" s="26" t="str">
        <f>Etiquettes!$M$6</f>
        <v>Sorgho</v>
      </c>
      <c r="G199" s="26" t="str">
        <f>Etiquettes!$I$5</f>
        <v>2019-20</v>
      </c>
      <c r="H199" t="str">
        <f>Etiquettes!$C$4</f>
        <v>France entière</v>
      </c>
      <c r="I199" s="603" t="s">
        <v>1115</v>
      </c>
      <c r="J199" s="603"/>
      <c r="K199" t="s">
        <v>1559</v>
      </c>
      <c r="L199" s="603" t="str" cm="1">
        <f t="array" aca="1" ref="L199" ca="1">[1]!NOM_FEUILLE('Bilans Sorgho - FAM'!$A$1)</f>
        <v>Bilans Sorgho - FAM</v>
      </c>
      <c r="M199" s="26" t="str">
        <f>Etiquettes!$H$11</f>
        <v>Volume</v>
      </c>
      <c r="N199" t="str">
        <f t="shared" si="3"/>
        <v>Stock initial à la ferme = 0 kt (Bilans par campagne - FranceAgriMer)</v>
      </c>
      <c r="O199" s="26" t="str">
        <f>Etiquettes!$K$15</f>
        <v>Approximative</v>
      </c>
      <c r="P199" s="603" t="str">
        <f>Etiquettes!$H$16</f>
        <v>Données collectées</v>
      </c>
      <c r="Q199" s="603" t="str">
        <f>Etiquettes!$H$17</f>
        <v>Donnée collectée (valeur du flux ou coefficient)</v>
      </c>
    </row>
    <row r="200" spans="1:19">
      <c r="A200" t="str">
        <f>'Prétraitement bilans'!A5</f>
        <v>Ferme</v>
      </c>
      <c r="B200" t="str">
        <f>'Prétraitement bilans'!B5</f>
        <v>Grains autoconsommés</v>
      </c>
      <c r="C200" s="458">
        <f>'Prétraitement bilans'!R5</f>
        <v>202.78642700000003</v>
      </c>
      <c r="E200" t="str">
        <f>Etiquettes!$C$3</f>
        <v>kt</v>
      </c>
      <c r="F200" s="26" t="str">
        <f>Etiquettes!$M$6</f>
        <v>Sorgho</v>
      </c>
      <c r="G200" s="26" t="str">
        <f>Etiquettes!$I$5</f>
        <v>2019-20</v>
      </c>
      <c r="H200" t="str">
        <f>Etiquettes!$C$4</f>
        <v>France entière</v>
      </c>
      <c r="I200" s="603" t="s">
        <v>1560</v>
      </c>
      <c r="J200" s="603"/>
      <c r="K200" t="s">
        <v>1559</v>
      </c>
      <c r="L200" s="603" t="str" cm="1">
        <f t="array" aca="1" ref="L200" ca="1">[1]!NOM_FEUILLE('Bilans Sorgho - FAM'!$A$1)</f>
        <v>Bilans Sorgho - FAM</v>
      </c>
      <c r="M200" s="26" t="str">
        <f>Etiquettes!$H$11</f>
        <v>Volume</v>
      </c>
      <c r="N200" t="str">
        <f t="shared" si="3"/>
        <v>Autoconsommation à la ferme = 203 kt (Bilans par campagne - FranceAgriMer)</v>
      </c>
      <c r="O200" s="26" t="str">
        <f>Etiquettes!$K$15</f>
        <v>Approximative</v>
      </c>
      <c r="P200" s="603" t="str">
        <f>Etiquettes!$H$16</f>
        <v>Données collectées</v>
      </c>
      <c r="Q200" s="603" t="str">
        <f>Etiquettes!$H$17</f>
        <v>Donnée collectée (valeur du flux ou coefficient)</v>
      </c>
    </row>
    <row r="201" spans="1:19">
      <c r="A201" t="str">
        <f>'Prétraitement bilans'!A6</f>
        <v>Ferme</v>
      </c>
      <c r="B201" t="str">
        <f>'Prétraitement bilans'!B6</f>
        <v>Stock final</v>
      </c>
      <c r="C201" s="458">
        <f>'Prétraitement bilans'!R6</f>
        <v>0</v>
      </c>
      <c r="E201" t="str">
        <f>Etiquettes!$C$3</f>
        <v>kt</v>
      </c>
      <c r="F201" s="26" t="str">
        <f>Etiquettes!$M$6</f>
        <v>Sorgho</v>
      </c>
      <c r="G201" s="26" t="str">
        <f>Etiquettes!$I$5</f>
        <v>2019-20</v>
      </c>
      <c r="H201" t="str">
        <f>Etiquettes!$C$4</f>
        <v>France entière</v>
      </c>
      <c r="I201" s="603" t="s">
        <v>1116</v>
      </c>
      <c r="J201" s="603"/>
      <c r="K201" t="s">
        <v>1559</v>
      </c>
      <c r="L201" s="603" t="str" cm="1">
        <f t="array" aca="1" ref="L201" ca="1">[1]!NOM_FEUILLE('Bilans Sorgho - FAM'!$A$1)</f>
        <v>Bilans Sorgho - FAM</v>
      </c>
      <c r="M201" s="26" t="str">
        <f>Etiquettes!$H$11</f>
        <v>Volume</v>
      </c>
      <c r="N201" t="str">
        <f t="shared" si="3"/>
        <v>Stock final à la ferme = 0 kt (Bilans par campagne - FranceAgriMer)</v>
      </c>
      <c r="O201" s="26" t="str">
        <f>Etiquettes!$K$15</f>
        <v>Approximative</v>
      </c>
      <c r="P201" s="603" t="str">
        <f>Etiquettes!$H$16</f>
        <v>Données collectées</v>
      </c>
      <c r="Q201" s="603" t="str">
        <f>Etiquettes!$H$17</f>
        <v>Donnée collectée (valeur du flux ou coefficient)</v>
      </c>
    </row>
    <row r="202" spans="1:19">
      <c r="A202" t="str">
        <f>'Prétraitement bilans'!A7</f>
        <v>Stock initial</v>
      </c>
      <c r="B202" t="str">
        <f>'Prétraitement bilans'!B7</f>
        <v>OS</v>
      </c>
      <c r="C202" s="458">
        <f>'Prétraitement bilans'!R7</f>
        <v>35.331600000000002</v>
      </c>
      <c r="E202" t="str">
        <f>Etiquettes!$C$3</f>
        <v>kt</v>
      </c>
      <c r="F202" s="26" t="str">
        <f>Etiquettes!$M$6</f>
        <v>Sorgho</v>
      </c>
      <c r="G202" s="26" t="str">
        <f>Etiquettes!$I$5</f>
        <v>2019-20</v>
      </c>
      <c r="H202" t="str">
        <f>Etiquettes!$C$4</f>
        <v>France entière</v>
      </c>
      <c r="I202" s="603" t="s">
        <v>1127</v>
      </c>
      <c r="J202" s="603"/>
      <c r="K202" t="s">
        <v>1559</v>
      </c>
      <c r="L202" s="603" t="str" cm="1">
        <f t="array" aca="1" ref="L202" ca="1">[1]!NOM_FEUILLE('Bilans Sorgho - FAM'!$A$1)</f>
        <v>Bilans Sorgho - FAM</v>
      </c>
      <c r="M202" s="26" t="str">
        <f>Etiquettes!$H$11</f>
        <v>Volume</v>
      </c>
      <c r="N202" t="str">
        <f t="shared" si="3"/>
        <v>Stock initial collecteurs = 35 kt (Bilans par campagne - FranceAgriMer)</v>
      </c>
      <c r="O202" s="26" t="str">
        <f>Etiquettes!$I$15</f>
        <v>Robuste</v>
      </c>
      <c r="P202" s="603" t="str">
        <f>Etiquettes!$H$16</f>
        <v>Données collectées</v>
      </c>
      <c r="Q202" s="603" t="str">
        <f>Etiquettes!$H$17</f>
        <v>Donnée collectée (valeur du flux ou coefficient)</v>
      </c>
    </row>
    <row r="203" spans="1:19">
      <c r="A203" t="str">
        <f>'Prétraitement bilans'!A8</f>
        <v>Grains récoltés</v>
      </c>
      <c r="B203" t="str">
        <f>'Prétraitement bilans'!B8</f>
        <v>OS</v>
      </c>
      <c r="C203" s="458">
        <f>'Prétraitement bilans'!R8</f>
        <v>225.09227300000001</v>
      </c>
      <c r="E203" t="str">
        <f>Etiquettes!$C$3</f>
        <v>kt</v>
      </c>
      <c r="F203" s="26" t="str">
        <f>Etiquettes!$M$6</f>
        <v>Sorgho</v>
      </c>
      <c r="G203" s="26" t="str">
        <f>Etiquettes!$I$5</f>
        <v>2019-20</v>
      </c>
      <c r="H203" t="str">
        <f>Etiquettes!$C$4</f>
        <v>France entière</v>
      </c>
      <c r="I203" s="603" t="s">
        <v>317</v>
      </c>
      <c r="J203" s="603"/>
      <c r="K203" t="s">
        <v>1559</v>
      </c>
      <c r="L203" s="603" t="str" cm="1">
        <f t="array" aca="1" ref="L203" ca="1">[1]!NOM_FEUILLE('Bilans Sorgho - FAM'!$A$1)</f>
        <v>Bilans Sorgho - FAM</v>
      </c>
      <c r="M203" s="26" t="str">
        <f>Etiquettes!$H$11</f>
        <v>Volume</v>
      </c>
      <c r="N203" t="str">
        <f t="shared" si="3"/>
        <v>Collecte = 225 kt (Bilans par campagne - FranceAgriMer)</v>
      </c>
      <c r="O203" s="26" t="str">
        <f>Etiquettes!$I$15</f>
        <v>Robuste</v>
      </c>
      <c r="P203" s="603" t="str">
        <f>Etiquettes!$H$16</f>
        <v>Données collectées</v>
      </c>
      <c r="Q203" s="603" t="str">
        <f>Etiquettes!$H$17</f>
        <v>Donnée collectée (valeur du flux ou coefficient)</v>
      </c>
    </row>
    <row r="204" spans="1:19">
      <c r="A204" t="str">
        <f>'Prétraitement bilans'!A13</f>
        <v>Grains collectés</v>
      </c>
      <c r="B204" t="str">
        <f>'Prétraitement bilans'!B13</f>
        <v>Amidonnerie / Glutennerie</v>
      </c>
      <c r="C204" s="458">
        <f>'Prétraitement bilans'!R13</f>
        <v>0</v>
      </c>
      <c r="E204" t="str">
        <f>Etiquettes!$C$3</f>
        <v>kt</v>
      </c>
      <c r="F204" s="26" t="str">
        <f>Etiquettes!$M$6</f>
        <v>Sorgho</v>
      </c>
      <c r="G204" s="26" t="str">
        <f>Etiquettes!$I$5</f>
        <v>2019-20</v>
      </c>
      <c r="H204" t="str">
        <f>Etiquettes!$C$4</f>
        <v>France entière</v>
      </c>
      <c r="I204" s="603" t="s">
        <v>1563</v>
      </c>
      <c r="J204" s="603"/>
      <c r="K204" t="s">
        <v>1559</v>
      </c>
      <c r="L204" s="603" t="str" cm="1">
        <f t="array" aca="1" ref="L204" ca="1">[1]!NOM_FEUILLE('Bilans Sorgho - FAM'!$A$1)</f>
        <v>Bilans Sorgho - FAM</v>
      </c>
      <c r="M204" s="26" t="str">
        <f>Etiquettes!$H$11</f>
        <v>Volume</v>
      </c>
      <c r="N204" t="str">
        <f t="shared" si="3"/>
        <v>Consommation de grains par l'Amidonnerie = 0 kt (Bilans par campagne - FranceAgriMer)</v>
      </c>
      <c r="O204" s="26" t="str">
        <f>Etiquettes!$J$15</f>
        <v>Probable</v>
      </c>
      <c r="P204" s="603" t="str">
        <f>Etiquettes!$H$16</f>
        <v>Données collectées</v>
      </c>
      <c r="Q204" s="603" t="str">
        <f>Etiquettes!$H$17</f>
        <v>Donnée collectée (valeur du flux ou coefficient)</v>
      </c>
    </row>
    <row r="205" spans="1:19">
      <c r="A205" t="str">
        <f>'Prétraitement bilans'!A16</f>
        <v>Grains collectés</v>
      </c>
      <c r="B205" t="str">
        <f>'Prétraitement bilans'!B16</f>
        <v>Distillerie</v>
      </c>
      <c r="C205" s="458">
        <f>'Prétraitement bilans'!R16</f>
        <v>0</v>
      </c>
      <c r="E205" t="str">
        <f>Etiquettes!$C$3</f>
        <v>kt</v>
      </c>
      <c r="F205" s="26" t="str">
        <f>Etiquettes!$M$6</f>
        <v>Sorgho</v>
      </c>
      <c r="G205" s="26" t="str">
        <f>Etiquettes!$I$5</f>
        <v>2019-20</v>
      </c>
      <c r="H205" t="str">
        <f>Etiquettes!$C$4</f>
        <v>France entière</v>
      </c>
      <c r="I205" s="603" t="s">
        <v>1564</v>
      </c>
      <c r="J205" s="603"/>
      <c r="K205" t="s">
        <v>1559</v>
      </c>
      <c r="L205" s="603" t="str" cm="1">
        <f t="array" aca="1" ref="L205" ca="1">[1]!NOM_FEUILLE('Bilans Sorgho - FAM'!$A$1)</f>
        <v>Bilans Sorgho - FAM</v>
      </c>
      <c r="M205" s="26" t="str">
        <f>Etiquettes!$H$11</f>
        <v>Volume</v>
      </c>
      <c r="N205" t="str">
        <f t="shared" si="3"/>
        <v>Consommation de grains par la Distillerie = 0 kt (Bilans par campagne - FranceAgriMer)</v>
      </c>
      <c r="O205" s="26" t="str">
        <f>Etiquettes!$J$15</f>
        <v>Probable</v>
      </c>
      <c r="P205" s="603" t="str">
        <f>Etiquettes!$H$16</f>
        <v>Données collectées</v>
      </c>
      <c r="Q205" s="603" t="str">
        <f>Etiquettes!$H$17</f>
        <v>Donnée collectée (valeur du flux ou coefficient)</v>
      </c>
    </row>
    <row r="206" spans="1:19">
      <c r="A206" t="str">
        <f>'Prétraitement bilans'!A17</f>
        <v>Grains collectés</v>
      </c>
      <c r="B206" t="str">
        <f>'Prétraitement bilans'!B17</f>
        <v>Malterie</v>
      </c>
      <c r="C206" s="458">
        <f>'Prétraitement bilans'!R17</f>
        <v>0</v>
      </c>
      <c r="E206" t="str">
        <f>Etiquettes!$C$3</f>
        <v>kt</v>
      </c>
      <c r="F206" s="26" t="str">
        <f>Etiquettes!$M$6</f>
        <v>Sorgho</v>
      </c>
      <c r="G206" s="26" t="str">
        <f>Etiquettes!$I$5</f>
        <v>2019-20</v>
      </c>
      <c r="H206" t="str">
        <f>Etiquettes!$C$4</f>
        <v>France entière</v>
      </c>
      <c r="I206" s="603" t="s">
        <v>1565</v>
      </c>
      <c r="J206" s="603"/>
      <c r="K206" t="s">
        <v>1559</v>
      </c>
      <c r="L206" s="603" t="str" cm="1">
        <f t="array" aca="1" ref="L206" ca="1">[1]!NOM_FEUILLE('Bilans Sorgho - FAM'!$A$1)</f>
        <v>Bilans Sorgho - FAM</v>
      </c>
      <c r="M206" s="26" t="str">
        <f>Etiquettes!$H$11</f>
        <v>Volume</v>
      </c>
      <c r="N206" t="str">
        <f t="shared" si="3"/>
        <v>Consommation de grains par la Malterie = 0 kt (Bilans par campagne - FranceAgriMer)</v>
      </c>
      <c r="O206" s="26" t="str">
        <f>Etiquettes!$J$15</f>
        <v>Probable</v>
      </c>
      <c r="P206" s="603" t="str">
        <f>Etiquettes!$H$16</f>
        <v>Données collectées</v>
      </c>
      <c r="Q206" s="603" t="str">
        <f>Etiquettes!$H$17</f>
        <v>Donnée collectée (valeur du flux ou coefficient)</v>
      </c>
    </row>
    <row r="207" spans="1:19" s="26" customFormat="1">
      <c r="A207" t="str">
        <f>'Prétraitement bilans'!A18</f>
        <v>Grains collectés</v>
      </c>
      <c r="B207" t="str">
        <f>'Prétraitement bilans'!B18</f>
        <v>Autres IAA</v>
      </c>
      <c r="C207" s="458">
        <f>'Prétraitement bilans'!R18</f>
        <v>0</v>
      </c>
      <c r="D207" s="10"/>
      <c r="E207" t="str">
        <f>Etiquettes!$C$3</f>
        <v>kt</v>
      </c>
      <c r="F207" s="26" t="str">
        <f>Etiquettes!$M$6</f>
        <v>Sorgho</v>
      </c>
      <c r="G207" s="26" t="str">
        <f>Etiquettes!$I$5</f>
        <v>2019-20</v>
      </c>
      <c r="H207" t="str">
        <f>Etiquettes!$C$4</f>
        <v>France entière</v>
      </c>
      <c r="I207" s="603" t="s">
        <v>1566</v>
      </c>
      <c r="J207" s="603"/>
      <c r="K207" t="s">
        <v>1559</v>
      </c>
      <c r="L207" s="603" t="str" cm="1">
        <f t="array" aca="1" ref="L207" ca="1">[1]!NOM_FEUILLE('Bilans Sorgho - FAM'!$A$1)</f>
        <v>Bilans Sorgho - FAM</v>
      </c>
      <c r="M207" s="26" t="str">
        <f>Etiquettes!$H$11</f>
        <v>Volume</v>
      </c>
      <c r="N207" t="str">
        <f t="shared" si="3"/>
        <v>Consommation de grains par les autres IAA = 0 kt (Bilans par campagne - FranceAgriMer)</v>
      </c>
      <c r="O207" s="26" t="str">
        <f>Etiquettes!$J$15</f>
        <v>Probable</v>
      </c>
      <c r="P207" s="603" t="str">
        <f>Etiquettes!$H$16</f>
        <v>Données collectées</v>
      </c>
      <c r="Q207" s="603" t="str">
        <f>Etiquettes!$H$17</f>
        <v>Donnée collectée (valeur du flux ou coefficient)</v>
      </c>
      <c r="R207"/>
      <c r="S207"/>
    </row>
    <row r="208" spans="1:19" s="26" customFormat="1">
      <c r="A208" t="str">
        <f>'Prétraitement bilans'!A19</f>
        <v>Grains collectés</v>
      </c>
      <c r="B208" t="str">
        <f>'Prétraitement bilans'!B19</f>
        <v>Semoulerie</v>
      </c>
      <c r="C208" s="458">
        <f>'Prétraitement bilans'!R19</f>
        <v>0</v>
      </c>
      <c r="D208" s="10"/>
      <c r="E208" t="str">
        <f>Etiquettes!$C$3</f>
        <v>kt</v>
      </c>
      <c r="F208" s="26" t="str">
        <f>Etiquettes!$M$6</f>
        <v>Sorgho</v>
      </c>
      <c r="G208" s="26" t="str">
        <f>Etiquettes!$I$5</f>
        <v>2019-20</v>
      </c>
      <c r="H208" t="str">
        <f>Etiquettes!$C$4</f>
        <v>France entière</v>
      </c>
      <c r="I208" s="603" t="s">
        <v>1567</v>
      </c>
      <c r="J208" s="603"/>
      <c r="K208" t="s">
        <v>1559</v>
      </c>
      <c r="L208" s="603" t="str" cm="1">
        <f t="array" aca="1" ref="L208" ca="1">[1]!NOM_FEUILLE('Bilans Sorgho - FAM'!$A$1)</f>
        <v>Bilans Sorgho - FAM</v>
      </c>
      <c r="M208" s="26" t="str">
        <f>Etiquettes!$H$11</f>
        <v>Volume</v>
      </c>
      <c r="N208" t="str">
        <f t="shared" si="3"/>
        <v>Consommation de grains par la Semoulerie = 0 kt (Bilans par campagne - FranceAgriMer)</v>
      </c>
      <c r="O208" s="26" t="str">
        <f>Etiquettes!$J$15</f>
        <v>Probable</v>
      </c>
      <c r="P208" s="603" t="str">
        <f>Etiquettes!$H$16</f>
        <v>Données collectées</v>
      </c>
      <c r="Q208" s="603" t="str">
        <f>Etiquettes!$H$17</f>
        <v>Donnée collectée (valeur du flux ou coefficient)</v>
      </c>
      <c r="R208"/>
      <c r="S208"/>
    </row>
    <row r="209" spans="1:19" s="26" customFormat="1">
      <c r="A209" t="str">
        <f>'Prétraitement bilans'!A20</f>
        <v>Grains collectés</v>
      </c>
      <c r="B209" t="str">
        <f>'Prétraitement bilans'!B20</f>
        <v>FAB</v>
      </c>
      <c r="C209" s="458">
        <f>'Prétraitement bilans'!R20</f>
        <v>43.805887999999996</v>
      </c>
      <c r="D209" s="10"/>
      <c r="E209" t="str">
        <f>Etiquettes!$C$3</f>
        <v>kt</v>
      </c>
      <c r="F209" s="26" t="str">
        <f>Etiquettes!$M$6</f>
        <v>Sorgho</v>
      </c>
      <c r="G209" s="26" t="str">
        <f>Etiquettes!$I$5</f>
        <v>2019-20</v>
      </c>
      <c r="H209" t="str">
        <f>Etiquettes!$C$4</f>
        <v>France entière</v>
      </c>
      <c r="I209" s="603" t="s">
        <v>1568</v>
      </c>
      <c r="J209" s="603"/>
      <c r="K209" t="s">
        <v>1559</v>
      </c>
      <c r="L209" s="603" t="str" cm="1">
        <f t="array" aca="1" ref="L209" ca="1">[1]!NOM_FEUILLE('Bilans Sorgho - FAM'!$A$1)</f>
        <v>Bilans Sorgho - FAM</v>
      </c>
      <c r="M209" s="26" t="str">
        <f>Etiquettes!$H$11</f>
        <v>Volume</v>
      </c>
      <c r="N209" t="str">
        <f t="shared" si="3"/>
        <v>Consommation de grains par les FAB = 44 kt (Bilans par campagne - FranceAgriMer)</v>
      </c>
      <c r="O209" s="26" t="str">
        <f>Etiquettes!$J$15</f>
        <v>Probable</v>
      </c>
      <c r="P209" s="603" t="str">
        <f>Etiquettes!$H$16</f>
        <v>Données collectées</v>
      </c>
      <c r="Q209" s="603" t="str">
        <f>Etiquettes!$H$17</f>
        <v>Donnée collectée (valeur du flux ou coefficient)</v>
      </c>
      <c r="R209"/>
      <c r="S209"/>
    </row>
    <row r="210" spans="1:19" s="26" customFormat="1">
      <c r="A210" t="str">
        <f>'Prétraitement bilans'!A21</f>
        <v>Grains collectés</v>
      </c>
      <c r="B210" t="str">
        <f>'Prétraitement bilans'!B21</f>
        <v>Semences certifiées</v>
      </c>
      <c r="C210" s="458">
        <f>'Prétraitement bilans'!R21</f>
        <v>1.2053</v>
      </c>
      <c r="D210" s="10"/>
      <c r="E210" t="str">
        <f>Etiquettes!$C$3</f>
        <v>kt</v>
      </c>
      <c r="F210" s="26" t="str">
        <f>Etiquettes!$M$6</f>
        <v>Sorgho</v>
      </c>
      <c r="G210" s="26" t="str">
        <f>Etiquettes!$I$5</f>
        <v>2019-20</v>
      </c>
      <c r="H210" t="str">
        <f>Etiquettes!$C$4</f>
        <v>France entière</v>
      </c>
      <c r="I210" s="603" t="s">
        <v>1561</v>
      </c>
      <c r="J210" s="603"/>
      <c r="K210" t="s">
        <v>1559</v>
      </c>
      <c r="L210" s="603" t="str" cm="1">
        <f t="array" aca="1" ref="L210" ca="1">[1]!NOM_FEUILLE('Bilans Sorgho - FAM'!$A$1)</f>
        <v>Bilans Sorgho - FAM</v>
      </c>
      <c r="M210" s="26" t="str">
        <f>Etiquettes!$H$11</f>
        <v>Volume</v>
      </c>
      <c r="N210" t="str">
        <f t="shared" si="3"/>
        <v>Production de semences certifiées = 1 kt (Bilans par campagne - FranceAgriMer)</v>
      </c>
      <c r="O210" s="26" t="str">
        <f>Etiquettes!$J$15</f>
        <v>Probable</v>
      </c>
      <c r="P210" s="603" t="str">
        <f>Etiquettes!$H$16</f>
        <v>Données collectées</v>
      </c>
      <c r="Q210" s="603" t="str">
        <f>Etiquettes!$H$17</f>
        <v>Donnée collectée (valeur du flux ou coefficient)</v>
      </c>
      <c r="R210"/>
      <c r="S210"/>
    </row>
    <row r="211" spans="1:19" s="26" customFormat="1">
      <c r="A211" t="str">
        <f>'Prétraitement bilans'!A25</f>
        <v>OS</v>
      </c>
      <c r="B211" t="str">
        <f>'Prétraitement bilans'!B25</f>
        <v>Stock final</v>
      </c>
      <c r="C211" s="458">
        <f>'Prétraitement bilans'!R25</f>
        <v>33.088500000000003</v>
      </c>
      <c r="D211" s="10"/>
      <c r="E211" t="str">
        <f>Etiquettes!$C$3</f>
        <v>kt</v>
      </c>
      <c r="F211" s="26" t="str">
        <f>Etiquettes!$M$6</f>
        <v>Sorgho</v>
      </c>
      <c r="G211" s="26" t="str">
        <f>Etiquettes!$I$5</f>
        <v>2019-20</v>
      </c>
      <c r="H211" t="str">
        <f>Etiquettes!$C$4</f>
        <v>France entière</v>
      </c>
      <c r="I211" s="603" t="s">
        <v>1128</v>
      </c>
      <c r="J211" s="603"/>
      <c r="K211" t="s">
        <v>1559</v>
      </c>
      <c r="L211" s="603" t="str" cm="1">
        <f t="array" aca="1" ref="L211" ca="1">[1]!NOM_FEUILLE('Bilans Sorgho - FAM'!$A$1)</f>
        <v>Bilans Sorgho - FAM</v>
      </c>
      <c r="M211" s="26" t="str">
        <f>Etiquettes!$H$11</f>
        <v>Volume</v>
      </c>
      <c r="N211" t="str">
        <f t="shared" si="3"/>
        <v>Stock final collecteurs = 33 kt (Bilans par campagne - FranceAgriMer)</v>
      </c>
      <c r="O211" s="26" t="str">
        <f>Etiquettes!$I$15</f>
        <v>Robuste</v>
      </c>
      <c r="P211" s="603" t="str">
        <f>Etiquettes!$H$16</f>
        <v>Données collectées</v>
      </c>
      <c r="Q211" s="603" t="str">
        <f>Etiquettes!$H$17</f>
        <v>Donnée collectée (valeur du flux ou coefficient)</v>
      </c>
      <c r="R211"/>
      <c r="S211"/>
    </row>
    <row r="212" spans="1:19">
      <c r="A212" t="str">
        <f>'Prétraitement bilans'!A3</f>
        <v>Récolte</v>
      </c>
      <c r="B212" t="str">
        <f>'Prétraitement bilans'!B3</f>
        <v>Grains récoltés</v>
      </c>
      <c r="C212" s="458">
        <f>'Prétraitement bilans'!S3</f>
        <v>407.15910000000008</v>
      </c>
      <c r="E212" t="str">
        <f>Etiquettes!$C$3</f>
        <v>kt</v>
      </c>
      <c r="F212" s="26" t="str">
        <f>Etiquettes!$N$6</f>
        <v>Avoine</v>
      </c>
      <c r="G212" s="26" t="str">
        <f>Etiquettes!$I$5</f>
        <v>2019-20</v>
      </c>
      <c r="H212" t="str">
        <f>Etiquettes!$C$4</f>
        <v>France entière</v>
      </c>
      <c r="I212" s="603" t="s">
        <v>1106</v>
      </c>
      <c r="J212" s="603"/>
      <c r="K212" t="s">
        <v>1559</v>
      </c>
      <c r="L212" s="603" t="str" cm="1">
        <f t="array" aca="1" ref="L212" ca="1">[1]!NOM_FEUILLE('Bilans Avoine - FAM'!$A$1)</f>
        <v>Bilans Avoine - FAM</v>
      </c>
      <c r="M212" s="26" t="str">
        <f>Etiquettes!$H$11</f>
        <v>Volume</v>
      </c>
      <c r="N212" t="str">
        <f t="shared" si="3"/>
        <v>Récolte = 407 kt (Bilans par campagne - FranceAgriMer)</v>
      </c>
      <c r="O212" s="26" t="str">
        <f>Etiquettes!$H$15</f>
        <v>Fiable</v>
      </c>
      <c r="P212" s="603" t="str">
        <f>Etiquettes!$H$16</f>
        <v>Données collectées</v>
      </c>
      <c r="Q212" s="603" t="str">
        <f>Etiquettes!$H$17</f>
        <v>Donnée collectée (valeur du flux ou coefficient)</v>
      </c>
    </row>
    <row r="213" spans="1:19">
      <c r="A213" t="str">
        <f>'Prétraitement bilans'!A4</f>
        <v>Stock initial</v>
      </c>
      <c r="B213" t="str">
        <f>'Prétraitement bilans'!B4</f>
        <v>Ferme</v>
      </c>
      <c r="C213" s="458">
        <f>'Prétraitement bilans'!S4</f>
        <v>0</v>
      </c>
      <c r="E213" t="str">
        <f>Etiquettes!$C$3</f>
        <v>kt</v>
      </c>
      <c r="F213" s="26" t="str">
        <f>Etiquettes!$N$6</f>
        <v>Avoine</v>
      </c>
      <c r="G213" s="26" t="str">
        <f>Etiquettes!$I$5</f>
        <v>2019-20</v>
      </c>
      <c r="H213" t="str">
        <f>Etiquettes!$C$4</f>
        <v>France entière</v>
      </c>
      <c r="I213" s="603" t="s">
        <v>1115</v>
      </c>
      <c r="J213" s="603"/>
      <c r="K213" t="s">
        <v>1559</v>
      </c>
      <c r="L213" s="603" t="str" cm="1">
        <f t="array" aca="1" ref="L213" ca="1">[1]!NOM_FEUILLE('Bilans Avoine - FAM'!$A$1)</f>
        <v>Bilans Avoine - FAM</v>
      </c>
      <c r="M213" s="26" t="str">
        <f>Etiquettes!$H$11</f>
        <v>Volume</v>
      </c>
      <c r="N213" t="str">
        <f t="shared" si="3"/>
        <v>Stock initial à la ferme = 0 kt (Bilans par campagne - FranceAgriMer)</v>
      </c>
      <c r="O213" s="26" t="str">
        <f>Etiquettes!$K$15</f>
        <v>Approximative</v>
      </c>
      <c r="P213" s="603" t="str">
        <f>Etiquettes!$H$16</f>
        <v>Données collectées</v>
      </c>
      <c r="Q213" s="603" t="str">
        <f>Etiquettes!$H$17</f>
        <v>Donnée collectée (valeur du flux ou coefficient)</v>
      </c>
    </row>
    <row r="214" spans="1:19">
      <c r="A214" t="str">
        <f>'Prétraitement bilans'!A5</f>
        <v>Ferme</v>
      </c>
      <c r="B214" t="str">
        <f>'Prétraitement bilans'!B5</f>
        <v>Grains autoconsommés</v>
      </c>
      <c r="C214" s="458">
        <f>'Prétraitement bilans'!S5</f>
        <v>162.93552000000005</v>
      </c>
      <c r="E214" t="str">
        <f>Etiquettes!$C$3</f>
        <v>kt</v>
      </c>
      <c r="F214" s="26" t="str">
        <f>Etiquettes!$N$6</f>
        <v>Avoine</v>
      </c>
      <c r="G214" s="26" t="str">
        <f>Etiquettes!$I$5</f>
        <v>2019-20</v>
      </c>
      <c r="H214" t="str">
        <f>Etiquettes!$C$4</f>
        <v>France entière</v>
      </c>
      <c r="I214" s="603" t="s">
        <v>1560</v>
      </c>
      <c r="J214" s="603"/>
      <c r="K214" t="s">
        <v>1559</v>
      </c>
      <c r="L214" s="603" t="str" cm="1">
        <f t="array" aca="1" ref="L214" ca="1">[1]!NOM_FEUILLE('Bilans Avoine - FAM'!$A$1)</f>
        <v>Bilans Avoine - FAM</v>
      </c>
      <c r="M214" s="26" t="str">
        <f>Etiquettes!$H$11</f>
        <v>Volume</v>
      </c>
      <c r="N214" t="str">
        <f t="shared" si="3"/>
        <v>Autoconsommation à la ferme = 163 kt (Bilans par campagne - FranceAgriMer)</v>
      </c>
      <c r="O214" s="26" t="str">
        <f>Etiquettes!$K$15</f>
        <v>Approximative</v>
      </c>
      <c r="P214" s="603" t="str">
        <f>Etiquettes!$H$16</f>
        <v>Données collectées</v>
      </c>
      <c r="Q214" s="603" t="str">
        <f>Etiquettes!$H$17</f>
        <v>Donnée collectée (valeur du flux ou coefficient)</v>
      </c>
    </row>
    <row r="215" spans="1:19">
      <c r="A215" t="str">
        <f>'Prétraitement bilans'!A6</f>
        <v>Ferme</v>
      </c>
      <c r="B215" t="str">
        <f>'Prétraitement bilans'!B6</f>
        <v>Stock final</v>
      </c>
      <c r="C215" s="458">
        <f>'Prétraitement bilans'!S6</f>
        <v>0</v>
      </c>
      <c r="E215" t="str">
        <f>Etiquettes!$C$3</f>
        <v>kt</v>
      </c>
      <c r="F215" s="26" t="str">
        <f>Etiquettes!$N$6</f>
        <v>Avoine</v>
      </c>
      <c r="G215" s="26" t="str">
        <f>Etiquettes!$I$5</f>
        <v>2019-20</v>
      </c>
      <c r="H215" t="str">
        <f>Etiquettes!$C$4</f>
        <v>France entière</v>
      </c>
      <c r="I215" s="603" t="s">
        <v>1116</v>
      </c>
      <c r="J215" s="603"/>
      <c r="K215" t="s">
        <v>1559</v>
      </c>
      <c r="L215" s="603" t="str" cm="1">
        <f t="array" aca="1" ref="L215" ca="1">[1]!NOM_FEUILLE('Bilans Avoine - FAM'!$A$1)</f>
        <v>Bilans Avoine - FAM</v>
      </c>
      <c r="M215" s="26" t="str">
        <f>Etiquettes!$H$11</f>
        <v>Volume</v>
      </c>
      <c r="N215" t="str">
        <f t="shared" si="3"/>
        <v>Stock final à la ferme = 0 kt (Bilans par campagne - FranceAgriMer)</v>
      </c>
      <c r="O215" s="26" t="str">
        <f>Etiquettes!$K$15</f>
        <v>Approximative</v>
      </c>
      <c r="P215" s="603" t="str">
        <f>Etiquettes!$H$16</f>
        <v>Données collectées</v>
      </c>
      <c r="Q215" s="603" t="str">
        <f>Etiquettes!$H$17</f>
        <v>Donnée collectée (valeur du flux ou coefficient)</v>
      </c>
    </row>
    <row r="216" spans="1:19">
      <c r="A216" t="str">
        <f>'Prétraitement bilans'!A7</f>
        <v>Stock initial</v>
      </c>
      <c r="B216" t="str">
        <f>'Prétraitement bilans'!B7</f>
        <v>OS</v>
      </c>
      <c r="C216" s="458">
        <f>'Prétraitement bilans'!S7</f>
        <v>50.994900000000001</v>
      </c>
      <c r="E216" t="str">
        <f>Etiquettes!$C$3</f>
        <v>kt</v>
      </c>
      <c r="F216" s="26" t="str">
        <f>Etiquettes!$N$6</f>
        <v>Avoine</v>
      </c>
      <c r="G216" s="26" t="str">
        <f>Etiquettes!$I$5</f>
        <v>2019-20</v>
      </c>
      <c r="H216" t="str">
        <f>Etiquettes!$C$4</f>
        <v>France entière</v>
      </c>
      <c r="I216" s="603" t="s">
        <v>1127</v>
      </c>
      <c r="J216" s="603"/>
      <c r="K216" t="s">
        <v>1559</v>
      </c>
      <c r="L216" s="603" t="str" cm="1">
        <f t="array" aca="1" ref="L216" ca="1">[1]!NOM_FEUILLE('Bilans Avoine - FAM'!$A$1)</f>
        <v>Bilans Avoine - FAM</v>
      </c>
      <c r="M216" s="26" t="str">
        <f>Etiquettes!$H$11</f>
        <v>Volume</v>
      </c>
      <c r="N216" t="str">
        <f t="shared" si="3"/>
        <v>Stock initial collecteurs = 51 kt (Bilans par campagne - FranceAgriMer)</v>
      </c>
      <c r="O216" s="26" t="str">
        <f>Etiquettes!$I$15</f>
        <v>Robuste</v>
      </c>
      <c r="P216" s="603" t="str">
        <f>Etiquettes!$H$16</f>
        <v>Données collectées</v>
      </c>
      <c r="Q216" s="603" t="str">
        <f>Etiquettes!$H$17</f>
        <v>Donnée collectée (valeur du flux ou coefficient)</v>
      </c>
    </row>
    <row r="217" spans="1:19">
      <c r="A217" t="str">
        <f>'Prétraitement bilans'!A8</f>
        <v>Grains récoltés</v>
      </c>
      <c r="B217" t="str">
        <f>'Prétraitement bilans'!B8</f>
        <v>OS</v>
      </c>
      <c r="C217" s="458">
        <f>'Prétraitement bilans'!S8</f>
        <v>244.22358000000003</v>
      </c>
      <c r="E217" t="str">
        <f>Etiquettes!$C$3</f>
        <v>kt</v>
      </c>
      <c r="F217" s="26" t="str">
        <f>Etiquettes!$N$6</f>
        <v>Avoine</v>
      </c>
      <c r="G217" s="26" t="str">
        <f>Etiquettes!$I$5</f>
        <v>2019-20</v>
      </c>
      <c r="H217" t="str">
        <f>Etiquettes!$C$4</f>
        <v>France entière</v>
      </c>
      <c r="I217" s="603" t="s">
        <v>317</v>
      </c>
      <c r="J217" s="603"/>
      <c r="K217" t="s">
        <v>1559</v>
      </c>
      <c r="L217" s="603" t="str" cm="1">
        <f t="array" aca="1" ref="L217" ca="1">[1]!NOM_FEUILLE('Bilans Avoine - FAM'!$A$1)</f>
        <v>Bilans Avoine - FAM</v>
      </c>
      <c r="M217" s="26" t="str">
        <f>Etiquettes!$H$11</f>
        <v>Volume</v>
      </c>
      <c r="N217" t="str">
        <f t="shared" si="3"/>
        <v>Collecte = 244 kt (Bilans par campagne - FranceAgriMer)</v>
      </c>
      <c r="O217" s="26" t="str">
        <f>Etiquettes!$I$15</f>
        <v>Robuste</v>
      </c>
      <c r="P217" s="603" t="str">
        <f>Etiquettes!$H$16</f>
        <v>Données collectées</v>
      </c>
      <c r="Q217" s="603" t="str">
        <f>Etiquettes!$H$17</f>
        <v>Donnée collectée (valeur du flux ou coefficient)</v>
      </c>
    </row>
    <row r="218" spans="1:19">
      <c r="A218" t="str">
        <f>'Prétraitement bilans'!A13</f>
        <v>Grains collectés</v>
      </c>
      <c r="B218" t="str">
        <f>'Prétraitement bilans'!B13</f>
        <v>Amidonnerie / Glutennerie</v>
      </c>
      <c r="C218" s="458">
        <f>'Prétraitement bilans'!S13</f>
        <v>0</v>
      </c>
      <c r="E218" t="str">
        <f>Etiquettes!$C$3</f>
        <v>kt</v>
      </c>
      <c r="F218" s="26" t="str">
        <f>Etiquettes!$N$6</f>
        <v>Avoine</v>
      </c>
      <c r="G218" s="26" t="str">
        <f>Etiquettes!$I$5</f>
        <v>2019-20</v>
      </c>
      <c r="H218" t="str">
        <f>Etiquettes!$C$4</f>
        <v>France entière</v>
      </c>
      <c r="I218" s="603" t="s">
        <v>1563</v>
      </c>
      <c r="J218" s="603"/>
      <c r="K218" t="s">
        <v>1559</v>
      </c>
      <c r="L218" s="603" t="str" cm="1">
        <f t="array" aca="1" ref="L218" ca="1">[1]!NOM_FEUILLE('Bilans Avoine - FAM'!$A$1)</f>
        <v>Bilans Avoine - FAM</v>
      </c>
      <c r="M218" s="26" t="str">
        <f>Etiquettes!$H$11</f>
        <v>Volume</v>
      </c>
      <c r="N218" t="str">
        <f t="shared" si="3"/>
        <v>Consommation de grains par l'Amidonnerie = 0 kt (Bilans par campagne - FranceAgriMer)</v>
      </c>
      <c r="O218" s="26" t="str">
        <f>Etiquettes!$J$15</f>
        <v>Probable</v>
      </c>
      <c r="P218" s="603" t="str">
        <f>Etiquettes!$H$16</f>
        <v>Données collectées</v>
      </c>
      <c r="Q218" s="603" t="str">
        <f>Etiquettes!$H$17</f>
        <v>Donnée collectée (valeur du flux ou coefficient)</v>
      </c>
    </row>
    <row r="219" spans="1:19">
      <c r="A219" t="str">
        <f>'Prétraitement bilans'!A16</f>
        <v>Grains collectés</v>
      </c>
      <c r="B219" t="str">
        <f>'Prétraitement bilans'!B16</f>
        <v>Distillerie</v>
      </c>
      <c r="C219" s="458">
        <f>'Prétraitement bilans'!S16</f>
        <v>0</v>
      </c>
      <c r="E219" t="str">
        <f>Etiquettes!$C$3</f>
        <v>kt</v>
      </c>
      <c r="F219" s="26" t="str">
        <f>Etiquettes!$N$6</f>
        <v>Avoine</v>
      </c>
      <c r="G219" s="26" t="str">
        <f>Etiquettes!$I$5</f>
        <v>2019-20</v>
      </c>
      <c r="H219" t="str">
        <f>Etiquettes!$C$4</f>
        <v>France entière</v>
      </c>
      <c r="I219" s="603" t="s">
        <v>1564</v>
      </c>
      <c r="J219" s="603"/>
      <c r="K219" t="s">
        <v>1559</v>
      </c>
      <c r="L219" s="603" t="str" cm="1">
        <f t="array" aca="1" ref="L219" ca="1">[1]!NOM_FEUILLE('Bilans Avoine - FAM'!$A$1)</f>
        <v>Bilans Avoine - FAM</v>
      </c>
      <c r="M219" s="26" t="str">
        <f>Etiquettes!$H$11</f>
        <v>Volume</v>
      </c>
      <c r="N219" t="str">
        <f t="shared" si="3"/>
        <v>Consommation de grains par la Distillerie = 0 kt (Bilans par campagne - FranceAgriMer)</v>
      </c>
      <c r="O219" s="26" t="str">
        <f>Etiquettes!$J$15</f>
        <v>Probable</v>
      </c>
      <c r="P219" s="603" t="str">
        <f>Etiquettes!$H$16</f>
        <v>Données collectées</v>
      </c>
      <c r="Q219" s="603" t="str">
        <f>Etiquettes!$H$17</f>
        <v>Donnée collectée (valeur du flux ou coefficient)</v>
      </c>
    </row>
    <row r="220" spans="1:19">
      <c r="A220" t="str">
        <f>'Prétraitement bilans'!A17</f>
        <v>Grains collectés</v>
      </c>
      <c r="B220" t="str">
        <f>'Prétraitement bilans'!B17</f>
        <v>Malterie</v>
      </c>
      <c r="C220" s="458">
        <f>'Prétraitement bilans'!S17</f>
        <v>0</v>
      </c>
      <c r="E220" t="str">
        <f>Etiquettes!$C$3</f>
        <v>kt</v>
      </c>
      <c r="F220" s="26" t="str">
        <f>Etiquettes!$N$6</f>
        <v>Avoine</v>
      </c>
      <c r="G220" s="26" t="str">
        <f>Etiquettes!$I$5</f>
        <v>2019-20</v>
      </c>
      <c r="H220" t="str">
        <f>Etiquettes!$C$4</f>
        <v>France entière</v>
      </c>
      <c r="I220" s="603" t="s">
        <v>1565</v>
      </c>
      <c r="J220" s="603"/>
      <c r="K220" t="s">
        <v>1559</v>
      </c>
      <c r="L220" s="603" t="str" cm="1">
        <f t="array" aca="1" ref="L220" ca="1">[1]!NOM_FEUILLE('Bilans Avoine - FAM'!$A$1)</f>
        <v>Bilans Avoine - FAM</v>
      </c>
      <c r="M220" s="26" t="str">
        <f>Etiquettes!$H$11</f>
        <v>Volume</v>
      </c>
      <c r="N220" t="str">
        <f t="shared" si="3"/>
        <v>Consommation de grains par la Malterie = 0 kt (Bilans par campagne - FranceAgriMer)</v>
      </c>
      <c r="O220" s="26" t="str">
        <f>Etiquettes!$J$15</f>
        <v>Probable</v>
      </c>
      <c r="P220" s="603" t="str">
        <f>Etiquettes!$H$16</f>
        <v>Données collectées</v>
      </c>
      <c r="Q220" s="603" t="str">
        <f>Etiquettes!$H$17</f>
        <v>Donnée collectée (valeur du flux ou coefficient)</v>
      </c>
    </row>
    <row r="221" spans="1:19" s="26" customFormat="1">
      <c r="A221" t="str">
        <f>'Prétraitement bilans'!A18</f>
        <v>Grains collectés</v>
      </c>
      <c r="B221" t="str">
        <f>'Prétraitement bilans'!B18</f>
        <v>Autres IAA</v>
      </c>
      <c r="C221" s="458">
        <f>'Prétraitement bilans'!S18</f>
        <v>10</v>
      </c>
      <c r="D221" s="10"/>
      <c r="E221" t="str">
        <f>Etiquettes!$C$3</f>
        <v>kt</v>
      </c>
      <c r="F221" s="26" t="str">
        <f>Etiquettes!$N$6</f>
        <v>Avoine</v>
      </c>
      <c r="G221" s="26" t="str">
        <f>Etiquettes!$I$5</f>
        <v>2019-20</v>
      </c>
      <c r="H221" t="str">
        <f>Etiquettes!$C$4</f>
        <v>France entière</v>
      </c>
      <c r="I221" s="603" t="s">
        <v>1566</v>
      </c>
      <c r="J221" s="603"/>
      <c r="K221" t="s">
        <v>1559</v>
      </c>
      <c r="L221" s="603" t="str" cm="1">
        <f t="array" aca="1" ref="L221" ca="1">[1]!NOM_FEUILLE('Bilans Avoine - FAM'!$A$1)</f>
        <v>Bilans Avoine - FAM</v>
      </c>
      <c r="M221" s="26" t="str">
        <f>Etiquettes!$H$11</f>
        <v>Volume</v>
      </c>
      <c r="N221" t="str">
        <f t="shared" si="3"/>
        <v>Consommation de grains par les autres IAA = 10 kt (Bilans par campagne - FranceAgriMer)</v>
      </c>
      <c r="O221" s="26" t="str">
        <f>Etiquettes!$J$15</f>
        <v>Probable</v>
      </c>
      <c r="P221" s="603" t="str">
        <f>Etiquettes!$H$16</f>
        <v>Données collectées</v>
      </c>
      <c r="Q221" s="603" t="str">
        <f>Etiquettes!$H$17</f>
        <v>Donnée collectée (valeur du flux ou coefficient)</v>
      </c>
      <c r="R221"/>
      <c r="S221"/>
    </row>
    <row r="222" spans="1:19" s="26" customFormat="1">
      <c r="A222" t="str">
        <f>'Prétraitement bilans'!A19</f>
        <v>Grains collectés</v>
      </c>
      <c r="B222" t="str">
        <f>'Prétraitement bilans'!B19</f>
        <v>Semoulerie</v>
      </c>
      <c r="C222" s="458">
        <f>'Prétraitement bilans'!S19</f>
        <v>0</v>
      </c>
      <c r="D222" s="10"/>
      <c r="E222" t="str">
        <f>Etiquettes!$C$3</f>
        <v>kt</v>
      </c>
      <c r="F222" s="26" t="str">
        <f>Etiquettes!$N$6</f>
        <v>Avoine</v>
      </c>
      <c r="G222" s="26" t="str">
        <f>Etiquettes!$I$5</f>
        <v>2019-20</v>
      </c>
      <c r="H222" t="str">
        <f>Etiquettes!$C$4</f>
        <v>France entière</v>
      </c>
      <c r="I222" s="603" t="s">
        <v>1567</v>
      </c>
      <c r="J222" s="603"/>
      <c r="K222" t="s">
        <v>1559</v>
      </c>
      <c r="L222" s="603" t="str" cm="1">
        <f t="array" aca="1" ref="L222" ca="1">[1]!NOM_FEUILLE('Bilans Avoine - FAM'!$A$1)</f>
        <v>Bilans Avoine - FAM</v>
      </c>
      <c r="M222" s="26" t="str">
        <f>Etiquettes!$H$11</f>
        <v>Volume</v>
      </c>
      <c r="N222" t="str">
        <f t="shared" si="3"/>
        <v>Consommation de grains par la Semoulerie = 0 kt (Bilans par campagne - FranceAgriMer)</v>
      </c>
      <c r="O222" s="26" t="str">
        <f>Etiquettes!$J$15</f>
        <v>Probable</v>
      </c>
      <c r="P222" s="603" t="str">
        <f>Etiquettes!$H$16</f>
        <v>Données collectées</v>
      </c>
      <c r="Q222" s="603" t="str">
        <f>Etiquettes!$H$17</f>
        <v>Donnée collectée (valeur du flux ou coefficient)</v>
      </c>
      <c r="R222"/>
      <c r="S222"/>
    </row>
    <row r="223" spans="1:19" s="26" customFormat="1">
      <c r="A223" t="str">
        <f>'Prétraitement bilans'!A20</f>
        <v>Grains collectés</v>
      </c>
      <c r="B223" t="str">
        <f>'Prétraitement bilans'!B20</f>
        <v>FAB</v>
      </c>
      <c r="C223" s="458">
        <f>'Prétraitement bilans'!S20</f>
        <v>93.56348100000001</v>
      </c>
      <c r="D223" s="10"/>
      <c r="E223" t="str">
        <f>Etiquettes!$C$3</f>
        <v>kt</v>
      </c>
      <c r="F223" s="26" t="str">
        <f>Etiquettes!$N$6</f>
        <v>Avoine</v>
      </c>
      <c r="G223" s="26" t="str">
        <f>Etiquettes!$I$5</f>
        <v>2019-20</v>
      </c>
      <c r="H223" t="str">
        <f>Etiquettes!$C$4</f>
        <v>France entière</v>
      </c>
      <c r="I223" s="603" t="s">
        <v>1568</v>
      </c>
      <c r="J223" s="603"/>
      <c r="K223" t="s">
        <v>1559</v>
      </c>
      <c r="L223" s="603" t="str" cm="1">
        <f t="array" aca="1" ref="L223" ca="1">[1]!NOM_FEUILLE('Bilans Avoine - FAM'!$A$1)</f>
        <v>Bilans Avoine - FAM</v>
      </c>
      <c r="M223" s="26" t="str">
        <f>Etiquettes!$H$11</f>
        <v>Volume</v>
      </c>
      <c r="N223" t="str">
        <f t="shared" si="3"/>
        <v>Consommation de grains par les FAB = 94 kt (Bilans par campagne - FranceAgriMer)</v>
      </c>
      <c r="O223" s="26" t="str">
        <f>Etiquettes!$J$15</f>
        <v>Probable</v>
      </c>
      <c r="P223" s="603" t="str">
        <f>Etiquettes!$H$16</f>
        <v>Données collectées</v>
      </c>
      <c r="Q223" s="603" t="str">
        <f>Etiquettes!$H$17</f>
        <v>Donnée collectée (valeur du flux ou coefficient)</v>
      </c>
      <c r="R223"/>
      <c r="S223"/>
    </row>
    <row r="224" spans="1:19" s="26" customFormat="1">
      <c r="A224" t="str">
        <f>'Prétraitement bilans'!A21</f>
        <v>Grains collectés</v>
      </c>
      <c r="B224" t="str">
        <f>'Prétraitement bilans'!B21</f>
        <v>Semences certifiées</v>
      </c>
      <c r="C224" s="458">
        <f>'Prétraitement bilans'!S21</f>
        <v>7.7626999999999997</v>
      </c>
      <c r="D224" s="10"/>
      <c r="E224" t="str">
        <f>Etiquettes!$C$3</f>
        <v>kt</v>
      </c>
      <c r="F224" s="26" t="str">
        <f>Etiquettes!$N$6</f>
        <v>Avoine</v>
      </c>
      <c r="G224" s="26" t="str">
        <f>Etiquettes!$I$5</f>
        <v>2019-20</v>
      </c>
      <c r="H224" t="str">
        <f>Etiquettes!$C$4</f>
        <v>France entière</v>
      </c>
      <c r="I224" s="603" t="s">
        <v>1561</v>
      </c>
      <c r="J224" s="603"/>
      <c r="K224" t="s">
        <v>1559</v>
      </c>
      <c r="L224" s="603" t="str" cm="1">
        <f t="array" aca="1" ref="L224" ca="1">[1]!NOM_FEUILLE('Bilans Avoine - FAM'!$A$1)</f>
        <v>Bilans Avoine - FAM</v>
      </c>
      <c r="M224" s="26" t="str">
        <f>Etiquettes!$H$11</f>
        <v>Volume</v>
      </c>
      <c r="N224" t="str">
        <f t="shared" si="3"/>
        <v>Production de semences certifiées = 8 kt (Bilans par campagne - FranceAgriMer)</v>
      </c>
      <c r="O224" s="26" t="str">
        <f>Etiquettes!$J$15</f>
        <v>Probable</v>
      </c>
      <c r="P224" s="603" t="str">
        <f>Etiquettes!$H$16</f>
        <v>Données collectées</v>
      </c>
      <c r="Q224" s="603" t="str">
        <f>Etiquettes!$H$17</f>
        <v>Donnée collectée (valeur du flux ou coefficient)</v>
      </c>
      <c r="R224"/>
      <c r="S224"/>
    </row>
    <row r="225" spans="1:19" s="26" customFormat="1">
      <c r="A225" t="str">
        <f>'Prétraitement bilans'!A25</f>
        <v>OS</v>
      </c>
      <c r="B225" t="str">
        <f>'Prétraitement bilans'!B25</f>
        <v>Stock final</v>
      </c>
      <c r="C225" s="458">
        <f>'Prétraitement bilans'!S25</f>
        <v>31.059600000000003</v>
      </c>
      <c r="D225" s="10"/>
      <c r="E225" t="str">
        <f>Etiquettes!$C$3</f>
        <v>kt</v>
      </c>
      <c r="F225" s="26" t="str">
        <f>Etiquettes!$N$6</f>
        <v>Avoine</v>
      </c>
      <c r="G225" s="26" t="str">
        <f>Etiquettes!$I$5</f>
        <v>2019-20</v>
      </c>
      <c r="H225" t="str">
        <f>Etiquettes!$C$4</f>
        <v>France entière</v>
      </c>
      <c r="I225" s="603" t="s">
        <v>1128</v>
      </c>
      <c r="J225" s="603"/>
      <c r="K225" t="s">
        <v>1559</v>
      </c>
      <c r="L225" s="603" t="str" cm="1">
        <f t="array" aca="1" ref="L225" ca="1">[1]!NOM_FEUILLE('Bilans Avoine - FAM'!$A$1)</f>
        <v>Bilans Avoine - FAM</v>
      </c>
      <c r="M225" s="26" t="str">
        <f>Etiquettes!$H$11</f>
        <v>Volume</v>
      </c>
      <c r="N225" t="str">
        <f t="shared" si="3"/>
        <v>Stock final collecteurs = 31 kt (Bilans par campagne - FranceAgriMer)</v>
      </c>
      <c r="O225" s="26" t="str">
        <f>Etiquettes!$I$15</f>
        <v>Robuste</v>
      </c>
      <c r="P225" s="603" t="str">
        <f>Etiquettes!$H$16</f>
        <v>Données collectées</v>
      </c>
      <c r="Q225" s="603" t="str">
        <f>Etiquettes!$H$17</f>
        <v>Donnée collectée (valeur du flux ou coefficient)</v>
      </c>
      <c r="R225"/>
      <c r="S225"/>
    </row>
    <row r="226" spans="1:19">
      <c r="A226" t="str">
        <f>'Prétraitement bilans'!A3</f>
        <v>Récolte</v>
      </c>
      <c r="B226" t="str">
        <f>'Prétraitement bilans'!B3</f>
        <v>Grains récoltés</v>
      </c>
      <c r="C226" s="458">
        <f>'Prétraitement bilans'!T3</f>
        <v>136.9547</v>
      </c>
      <c r="E226" t="str">
        <f>Etiquettes!$C$3</f>
        <v>kt</v>
      </c>
      <c r="F226" s="26" t="str">
        <f>Etiquettes!$O$6</f>
        <v>Seigle</v>
      </c>
      <c r="G226" s="26" t="str">
        <f>Etiquettes!$I$5</f>
        <v>2019-20</v>
      </c>
      <c r="H226" t="str">
        <f>Etiquettes!$C$4</f>
        <v>France entière</v>
      </c>
      <c r="I226" s="603" t="s">
        <v>1106</v>
      </c>
      <c r="J226" s="603"/>
      <c r="K226" t="s">
        <v>1559</v>
      </c>
      <c r="L226" s="603" t="str" cm="1">
        <f t="array" aca="1" ref="L226" ca="1">[1]!NOM_FEUILLE('Bilans Seigle - FAM'!$A$1)</f>
        <v>Bilans Seigle - FAM</v>
      </c>
      <c r="M226" s="26" t="str">
        <f>Etiquettes!$H$11</f>
        <v>Volume</v>
      </c>
      <c r="N226" t="str">
        <f t="shared" si="3"/>
        <v>Récolte = 137 kt (Bilans par campagne - FranceAgriMer)</v>
      </c>
      <c r="O226" s="26" t="str">
        <f>Etiquettes!$H$15</f>
        <v>Fiable</v>
      </c>
      <c r="P226" s="603" t="str">
        <f>Etiquettes!$H$16</f>
        <v>Données collectées</v>
      </c>
      <c r="Q226" s="603" t="str">
        <f>Etiquettes!$H$17</f>
        <v>Donnée collectée (valeur du flux ou coefficient)</v>
      </c>
    </row>
    <row r="227" spans="1:19">
      <c r="A227" t="str">
        <f>'Prétraitement bilans'!A4</f>
        <v>Stock initial</v>
      </c>
      <c r="B227" t="str">
        <f>'Prétraitement bilans'!B4</f>
        <v>Ferme</v>
      </c>
      <c r="C227" s="458">
        <f>'Prétraitement bilans'!T4</f>
        <v>0</v>
      </c>
      <c r="E227" t="str">
        <f>Etiquettes!$C$3</f>
        <v>kt</v>
      </c>
      <c r="F227" s="26" t="str">
        <f>Etiquettes!$O$6</f>
        <v>Seigle</v>
      </c>
      <c r="G227" s="26" t="str">
        <f>Etiquettes!$I$5</f>
        <v>2019-20</v>
      </c>
      <c r="H227" t="str">
        <f>Etiquettes!$C$4</f>
        <v>France entière</v>
      </c>
      <c r="I227" s="603" t="s">
        <v>1115</v>
      </c>
      <c r="J227" s="603"/>
      <c r="K227" t="s">
        <v>1559</v>
      </c>
      <c r="L227" s="603" t="str" cm="1">
        <f t="array" aca="1" ref="L227" ca="1">[1]!NOM_FEUILLE('Bilans Seigle - FAM'!$A$1)</f>
        <v>Bilans Seigle - FAM</v>
      </c>
      <c r="M227" s="26" t="str">
        <f>Etiquettes!$H$11</f>
        <v>Volume</v>
      </c>
      <c r="N227" t="str">
        <f t="shared" si="3"/>
        <v>Stock initial à la ferme = 0 kt (Bilans par campagne - FranceAgriMer)</v>
      </c>
      <c r="O227" s="26" t="str">
        <f>Etiquettes!$K$15</f>
        <v>Approximative</v>
      </c>
      <c r="P227" s="603" t="str">
        <f>Etiquettes!$H$16</f>
        <v>Données collectées</v>
      </c>
      <c r="Q227" s="603" t="str">
        <f>Etiquettes!$H$17</f>
        <v>Donnée collectée (valeur du flux ou coefficient)</v>
      </c>
    </row>
    <row r="228" spans="1:19">
      <c r="A228" t="str">
        <f>'Prétraitement bilans'!A5</f>
        <v>Ferme</v>
      </c>
      <c r="B228" t="str">
        <f>'Prétraitement bilans'!B5</f>
        <v>Grains autoconsommés</v>
      </c>
      <c r="C228" s="458">
        <f>'Prétraitement bilans'!T5</f>
        <v>81.81013999999999</v>
      </c>
      <c r="E228" t="str">
        <f>Etiquettes!$C$3</f>
        <v>kt</v>
      </c>
      <c r="F228" s="26" t="str">
        <f>Etiquettes!$O$6</f>
        <v>Seigle</v>
      </c>
      <c r="G228" s="26" t="str">
        <f>Etiquettes!$I$5</f>
        <v>2019-20</v>
      </c>
      <c r="H228" t="str">
        <f>Etiquettes!$C$4</f>
        <v>France entière</v>
      </c>
      <c r="I228" s="603" t="s">
        <v>1560</v>
      </c>
      <c r="J228" s="603"/>
      <c r="K228" t="s">
        <v>1559</v>
      </c>
      <c r="L228" s="603" t="str" cm="1">
        <f t="array" aca="1" ref="L228" ca="1">[1]!NOM_FEUILLE('Bilans Seigle - FAM'!$A$1)</f>
        <v>Bilans Seigle - FAM</v>
      </c>
      <c r="M228" s="26" t="str">
        <f>Etiquettes!$H$11</f>
        <v>Volume</v>
      </c>
      <c r="N228" t="str">
        <f t="shared" si="3"/>
        <v>Autoconsommation à la ferme = 82 kt (Bilans par campagne - FranceAgriMer)</v>
      </c>
      <c r="O228" s="26" t="str">
        <f>Etiquettes!$K$15</f>
        <v>Approximative</v>
      </c>
      <c r="P228" s="603" t="str">
        <f>Etiquettes!$H$16</f>
        <v>Données collectées</v>
      </c>
      <c r="Q228" s="603" t="str">
        <f>Etiquettes!$H$17</f>
        <v>Donnée collectée (valeur du flux ou coefficient)</v>
      </c>
    </row>
    <row r="229" spans="1:19">
      <c r="A229" t="str">
        <f>'Prétraitement bilans'!A6</f>
        <v>Ferme</v>
      </c>
      <c r="B229" t="str">
        <f>'Prétraitement bilans'!B6</f>
        <v>Stock final</v>
      </c>
      <c r="C229" s="458">
        <f>'Prétraitement bilans'!T6</f>
        <v>0</v>
      </c>
      <c r="E229" t="str">
        <f>Etiquettes!$C$3</f>
        <v>kt</v>
      </c>
      <c r="F229" s="26" t="str">
        <f>Etiquettes!$O$6</f>
        <v>Seigle</v>
      </c>
      <c r="G229" s="26" t="str">
        <f>Etiquettes!$I$5</f>
        <v>2019-20</v>
      </c>
      <c r="H229" t="str">
        <f>Etiquettes!$C$4</f>
        <v>France entière</v>
      </c>
      <c r="I229" s="603" t="s">
        <v>1116</v>
      </c>
      <c r="J229" s="603"/>
      <c r="K229" t="s">
        <v>1559</v>
      </c>
      <c r="L229" s="603" t="str" cm="1">
        <f t="array" aca="1" ref="L229" ca="1">[1]!NOM_FEUILLE('Bilans Seigle - FAM'!$A$1)</f>
        <v>Bilans Seigle - FAM</v>
      </c>
      <c r="M229" s="26" t="str">
        <f>Etiquettes!$H$11</f>
        <v>Volume</v>
      </c>
      <c r="N229" t="str">
        <f t="shared" si="3"/>
        <v>Stock final à la ferme = 0 kt (Bilans par campagne - FranceAgriMer)</v>
      </c>
      <c r="O229" s="26" t="str">
        <f>Etiquettes!$K$15</f>
        <v>Approximative</v>
      </c>
      <c r="P229" s="603" t="str">
        <f>Etiquettes!$H$16</f>
        <v>Données collectées</v>
      </c>
      <c r="Q229" s="603" t="str">
        <f>Etiquettes!$H$17</f>
        <v>Donnée collectée (valeur du flux ou coefficient)</v>
      </c>
    </row>
    <row r="230" spans="1:19">
      <c r="A230" t="str">
        <f>'Prétraitement bilans'!A7</f>
        <v>Stock initial</v>
      </c>
      <c r="B230" t="str">
        <f>'Prétraitement bilans'!B7</f>
        <v>OS</v>
      </c>
      <c r="C230" s="458">
        <f>'Prétraitement bilans'!T7</f>
        <v>8.9812000000000012</v>
      </c>
      <c r="E230" t="str">
        <f>Etiquettes!$C$3</f>
        <v>kt</v>
      </c>
      <c r="F230" s="26" t="str">
        <f>Etiquettes!$O$6</f>
        <v>Seigle</v>
      </c>
      <c r="G230" s="26" t="str">
        <f>Etiquettes!$I$5</f>
        <v>2019-20</v>
      </c>
      <c r="H230" t="str">
        <f>Etiquettes!$C$4</f>
        <v>France entière</v>
      </c>
      <c r="I230" s="603" t="s">
        <v>1127</v>
      </c>
      <c r="J230" s="603"/>
      <c r="K230" t="s">
        <v>1559</v>
      </c>
      <c r="L230" s="603" t="str" cm="1">
        <f t="array" aca="1" ref="L230" ca="1">[1]!NOM_FEUILLE('Bilans Seigle - FAM'!$A$1)</f>
        <v>Bilans Seigle - FAM</v>
      </c>
      <c r="M230" s="26" t="str">
        <f>Etiquettes!$H$11</f>
        <v>Volume</v>
      </c>
      <c r="N230" t="str">
        <f t="shared" si="3"/>
        <v>Stock initial collecteurs = 9 kt (Bilans par campagne - FranceAgriMer)</v>
      </c>
      <c r="O230" s="26" t="str">
        <f>Etiquettes!$I$15</f>
        <v>Robuste</v>
      </c>
      <c r="P230" s="603" t="str">
        <f>Etiquettes!$H$16</f>
        <v>Données collectées</v>
      </c>
      <c r="Q230" s="603" t="str">
        <f>Etiquettes!$H$17</f>
        <v>Donnée collectée (valeur du flux ou coefficient)</v>
      </c>
    </row>
    <row r="231" spans="1:19">
      <c r="A231" t="str">
        <f>'Prétraitement bilans'!A8</f>
        <v>Grains récoltés</v>
      </c>
      <c r="B231" t="str">
        <f>'Prétraitement bilans'!B8</f>
        <v>OS</v>
      </c>
      <c r="C231" s="458">
        <f>'Prétraitement bilans'!T8</f>
        <v>55.144560000000013</v>
      </c>
      <c r="E231" t="str">
        <f>Etiquettes!$C$3</f>
        <v>kt</v>
      </c>
      <c r="F231" s="26" t="str">
        <f>Etiquettes!$O$6</f>
        <v>Seigle</v>
      </c>
      <c r="G231" s="26" t="str">
        <f>Etiquettes!$I$5</f>
        <v>2019-20</v>
      </c>
      <c r="H231" t="str">
        <f>Etiquettes!$C$4</f>
        <v>France entière</v>
      </c>
      <c r="I231" s="603" t="s">
        <v>317</v>
      </c>
      <c r="J231" s="603"/>
      <c r="K231" t="s">
        <v>1559</v>
      </c>
      <c r="L231" s="603" t="str" cm="1">
        <f t="array" aca="1" ref="L231" ca="1">[1]!NOM_FEUILLE('Bilans Seigle - FAM'!$A$1)</f>
        <v>Bilans Seigle - FAM</v>
      </c>
      <c r="M231" s="26" t="str">
        <f>Etiquettes!$H$11</f>
        <v>Volume</v>
      </c>
      <c r="N231" t="str">
        <f t="shared" si="3"/>
        <v>Collecte = 55 kt (Bilans par campagne - FranceAgriMer)</v>
      </c>
      <c r="O231" s="26" t="str">
        <f>Etiquettes!$I$15</f>
        <v>Robuste</v>
      </c>
      <c r="P231" s="603" t="str">
        <f>Etiquettes!$H$16</f>
        <v>Données collectées</v>
      </c>
      <c r="Q231" s="603" t="str">
        <f>Etiquettes!$H$17</f>
        <v>Donnée collectée (valeur du flux ou coefficient)</v>
      </c>
    </row>
    <row r="232" spans="1:19">
      <c r="A232" t="str">
        <f>'Prétraitement bilans'!A13</f>
        <v>Grains collectés</v>
      </c>
      <c r="B232" t="str">
        <f>'Prétraitement bilans'!B13</f>
        <v>Amidonnerie / Glutennerie</v>
      </c>
      <c r="C232" s="458">
        <f>'Prétraitement bilans'!T13</f>
        <v>0</v>
      </c>
      <c r="E232" t="str">
        <f>Etiquettes!$C$3</f>
        <v>kt</v>
      </c>
      <c r="F232" s="26" t="str">
        <f>Etiquettes!$O$6</f>
        <v>Seigle</v>
      </c>
      <c r="G232" s="26" t="str">
        <f>Etiquettes!$I$5</f>
        <v>2019-20</v>
      </c>
      <c r="H232" t="str">
        <f>Etiquettes!$C$4</f>
        <v>France entière</v>
      </c>
      <c r="I232" s="603" t="s">
        <v>1563</v>
      </c>
      <c r="J232" s="603"/>
      <c r="K232" t="s">
        <v>1559</v>
      </c>
      <c r="L232" s="603" t="str" cm="1">
        <f t="array" aca="1" ref="L232" ca="1">[1]!NOM_FEUILLE('Bilans Seigle - FAM'!$A$1)</f>
        <v>Bilans Seigle - FAM</v>
      </c>
      <c r="M232" s="26" t="str">
        <f>Etiquettes!$H$11</f>
        <v>Volume</v>
      </c>
      <c r="N232" t="str">
        <f t="shared" si="3"/>
        <v>Consommation de grains par l'Amidonnerie = 0 kt (Bilans par campagne - FranceAgriMer)</v>
      </c>
      <c r="O232" s="26" t="str">
        <f>Etiquettes!$J$15</f>
        <v>Probable</v>
      </c>
      <c r="P232" s="603" t="str">
        <f>Etiquettes!$H$16</f>
        <v>Données collectées</v>
      </c>
      <c r="Q232" s="603" t="str">
        <f>Etiquettes!$H$17</f>
        <v>Donnée collectée (valeur du flux ou coefficient)</v>
      </c>
    </row>
    <row r="233" spans="1:19">
      <c r="A233" t="str">
        <f>'Prétraitement bilans'!A16</f>
        <v>Grains collectés</v>
      </c>
      <c r="B233" t="str">
        <f>'Prétraitement bilans'!B16</f>
        <v>Distillerie</v>
      </c>
      <c r="C233" s="458">
        <f>'Prétraitement bilans'!T16</f>
        <v>0</v>
      </c>
      <c r="E233" t="str">
        <f>Etiquettes!$C$3</f>
        <v>kt</v>
      </c>
      <c r="F233" s="26" t="str">
        <f>Etiquettes!$O$6</f>
        <v>Seigle</v>
      </c>
      <c r="G233" s="26" t="str">
        <f>Etiquettes!$I$5</f>
        <v>2019-20</v>
      </c>
      <c r="H233" t="str">
        <f>Etiquettes!$C$4</f>
        <v>France entière</v>
      </c>
      <c r="I233" s="603" t="s">
        <v>1564</v>
      </c>
      <c r="J233" s="603"/>
      <c r="K233" t="s">
        <v>1559</v>
      </c>
      <c r="L233" s="603" t="str" cm="1">
        <f t="array" aca="1" ref="L233" ca="1">[1]!NOM_FEUILLE('Bilans Seigle - FAM'!$A$1)</f>
        <v>Bilans Seigle - FAM</v>
      </c>
      <c r="M233" s="26" t="str">
        <f>Etiquettes!$H$11</f>
        <v>Volume</v>
      </c>
      <c r="N233" t="str">
        <f t="shared" si="3"/>
        <v>Consommation de grains par la Distillerie = 0 kt (Bilans par campagne - FranceAgriMer)</v>
      </c>
      <c r="O233" s="26" t="str">
        <f>Etiquettes!$J$15</f>
        <v>Probable</v>
      </c>
      <c r="P233" s="603" t="str">
        <f>Etiquettes!$H$16</f>
        <v>Données collectées</v>
      </c>
      <c r="Q233" s="603" t="str">
        <f>Etiquettes!$H$17</f>
        <v>Donnée collectée (valeur du flux ou coefficient)</v>
      </c>
    </row>
    <row r="234" spans="1:19">
      <c r="A234" t="str">
        <f>'Prétraitement bilans'!A17</f>
        <v>Grains collectés</v>
      </c>
      <c r="B234" t="str">
        <f>'Prétraitement bilans'!B17</f>
        <v>Malterie</v>
      </c>
      <c r="C234" s="458">
        <f>'Prétraitement bilans'!T17</f>
        <v>0</v>
      </c>
      <c r="E234" t="str">
        <f>Etiquettes!$C$3</f>
        <v>kt</v>
      </c>
      <c r="F234" s="26" t="str">
        <f>Etiquettes!$O$6</f>
        <v>Seigle</v>
      </c>
      <c r="G234" s="26" t="str">
        <f>Etiquettes!$I$5</f>
        <v>2019-20</v>
      </c>
      <c r="H234" t="str">
        <f>Etiquettes!$C$4</f>
        <v>France entière</v>
      </c>
      <c r="I234" s="603" t="s">
        <v>1565</v>
      </c>
      <c r="J234" s="603"/>
      <c r="K234" t="s">
        <v>1559</v>
      </c>
      <c r="L234" s="603" t="str" cm="1">
        <f t="array" aca="1" ref="L234" ca="1">[1]!NOM_FEUILLE('Bilans Seigle - FAM'!$A$1)</f>
        <v>Bilans Seigle - FAM</v>
      </c>
      <c r="M234" s="26" t="str">
        <f>Etiquettes!$H$11</f>
        <v>Volume</v>
      </c>
      <c r="N234" t="str">
        <f t="shared" si="3"/>
        <v>Consommation de grains par la Malterie = 0 kt (Bilans par campagne - FranceAgriMer)</v>
      </c>
      <c r="O234" s="26" t="str">
        <f>Etiquettes!$J$15</f>
        <v>Probable</v>
      </c>
      <c r="P234" s="603" t="str">
        <f>Etiquettes!$H$16</f>
        <v>Données collectées</v>
      </c>
      <c r="Q234" s="603" t="str">
        <f>Etiquettes!$H$17</f>
        <v>Donnée collectée (valeur du flux ou coefficient)</v>
      </c>
    </row>
    <row r="235" spans="1:19" s="26" customFormat="1">
      <c r="A235" t="str">
        <f>'Prétraitement bilans'!A18</f>
        <v>Grains collectés</v>
      </c>
      <c r="B235" t="str">
        <f>'Prétraitement bilans'!B18</f>
        <v>Autres IAA</v>
      </c>
      <c r="C235" s="458">
        <f>'Prétraitement bilans'!T18</f>
        <v>0</v>
      </c>
      <c r="D235" s="10"/>
      <c r="E235" t="str">
        <f>Etiquettes!$C$3</f>
        <v>kt</v>
      </c>
      <c r="F235" s="26" t="str">
        <f>Etiquettes!$O$6</f>
        <v>Seigle</v>
      </c>
      <c r="G235" s="26" t="str">
        <f>Etiquettes!$I$5</f>
        <v>2019-20</v>
      </c>
      <c r="H235" t="str">
        <f>Etiquettes!$C$4</f>
        <v>France entière</v>
      </c>
      <c r="I235" s="603" t="s">
        <v>1566</v>
      </c>
      <c r="J235" s="603"/>
      <c r="K235" t="s">
        <v>1559</v>
      </c>
      <c r="L235" s="603" t="str" cm="1">
        <f t="array" aca="1" ref="L235" ca="1">[1]!NOM_FEUILLE('Bilans Seigle - FAM'!$A$1)</f>
        <v>Bilans Seigle - FAM</v>
      </c>
      <c r="M235" s="26" t="str">
        <f>Etiquettes!$H$11</f>
        <v>Volume</v>
      </c>
      <c r="N235" t="str">
        <f t="shared" si="3"/>
        <v>Consommation de grains par les autres IAA = 0 kt (Bilans par campagne - FranceAgriMer)</v>
      </c>
      <c r="O235" s="26" t="str">
        <f>Etiquettes!$J$15</f>
        <v>Probable</v>
      </c>
      <c r="P235" s="603" t="str">
        <f>Etiquettes!$H$16</f>
        <v>Données collectées</v>
      </c>
      <c r="Q235" s="603" t="str">
        <f>Etiquettes!$H$17</f>
        <v>Donnée collectée (valeur du flux ou coefficient)</v>
      </c>
      <c r="R235"/>
      <c r="S235"/>
    </row>
    <row r="236" spans="1:19" s="26" customFormat="1">
      <c r="A236" t="str">
        <f>'Prétraitement bilans'!A19</f>
        <v>Grains collectés</v>
      </c>
      <c r="B236" t="str">
        <f>'Prétraitement bilans'!B19</f>
        <v>Semoulerie</v>
      </c>
      <c r="C236" s="458">
        <f>'Prétraitement bilans'!T19</f>
        <v>0</v>
      </c>
      <c r="D236" s="10"/>
      <c r="E236" t="str">
        <f>Etiquettes!$C$3</f>
        <v>kt</v>
      </c>
      <c r="F236" s="26" t="str">
        <f>Etiquettes!$O$6</f>
        <v>Seigle</v>
      </c>
      <c r="G236" s="26" t="str">
        <f>Etiquettes!$I$5</f>
        <v>2019-20</v>
      </c>
      <c r="H236" t="str">
        <f>Etiquettes!$C$4</f>
        <v>France entière</v>
      </c>
      <c r="I236" s="603" t="s">
        <v>1567</v>
      </c>
      <c r="J236" s="603"/>
      <c r="K236" t="s">
        <v>1559</v>
      </c>
      <c r="L236" s="603" t="str" cm="1">
        <f t="array" aca="1" ref="L236" ca="1">[1]!NOM_FEUILLE('Bilans Seigle - FAM'!$A$1)</f>
        <v>Bilans Seigle - FAM</v>
      </c>
      <c r="M236" s="26" t="str">
        <f>Etiquettes!$H$11</f>
        <v>Volume</v>
      </c>
      <c r="N236" t="str">
        <f t="shared" si="3"/>
        <v>Consommation de grains par la Semoulerie = 0 kt (Bilans par campagne - FranceAgriMer)</v>
      </c>
      <c r="O236" s="26" t="str">
        <f>Etiquettes!$J$15</f>
        <v>Probable</v>
      </c>
      <c r="P236" s="603" t="str">
        <f>Etiquettes!$H$16</f>
        <v>Données collectées</v>
      </c>
      <c r="Q236" s="603" t="str">
        <f>Etiquettes!$H$17</f>
        <v>Donnée collectée (valeur du flux ou coefficient)</v>
      </c>
      <c r="R236"/>
      <c r="S236"/>
    </row>
    <row r="237" spans="1:19" s="26" customFormat="1">
      <c r="A237" t="str">
        <f>'Prétraitement bilans'!A20</f>
        <v>Grains collectés</v>
      </c>
      <c r="B237" t="str">
        <f>'Prétraitement bilans'!B20</f>
        <v>FAB</v>
      </c>
      <c r="C237" s="458">
        <f>'Prétraitement bilans'!T20</f>
        <v>4.752478</v>
      </c>
      <c r="D237" s="10"/>
      <c r="E237" t="str">
        <f>Etiquettes!$C$3</f>
        <v>kt</v>
      </c>
      <c r="F237" s="26" t="str">
        <f>Etiquettes!$O$6</f>
        <v>Seigle</v>
      </c>
      <c r="G237" s="26" t="str">
        <f>Etiquettes!$I$5</f>
        <v>2019-20</v>
      </c>
      <c r="H237" t="str">
        <f>Etiquettes!$C$4</f>
        <v>France entière</v>
      </c>
      <c r="I237" s="603" t="s">
        <v>1568</v>
      </c>
      <c r="J237" s="603"/>
      <c r="K237" t="s">
        <v>1559</v>
      </c>
      <c r="L237" s="603" t="str" cm="1">
        <f t="array" aca="1" ref="L237" ca="1">[1]!NOM_FEUILLE('Bilans Seigle - FAM'!$A$1)</f>
        <v>Bilans Seigle - FAM</v>
      </c>
      <c r="M237" s="26" t="str">
        <f>Etiquettes!$H$11</f>
        <v>Volume</v>
      </c>
      <c r="N237" t="str">
        <f t="shared" si="3"/>
        <v>Consommation de grains par les FAB = 5 kt (Bilans par campagne - FranceAgriMer)</v>
      </c>
      <c r="O237" s="26" t="str">
        <f>Etiquettes!$J$15</f>
        <v>Probable</v>
      </c>
      <c r="P237" s="603" t="str">
        <f>Etiquettes!$H$16</f>
        <v>Données collectées</v>
      </c>
      <c r="Q237" s="603" t="str">
        <f>Etiquettes!$H$17</f>
        <v>Donnée collectée (valeur du flux ou coefficient)</v>
      </c>
      <c r="R237"/>
      <c r="S237"/>
    </row>
    <row r="238" spans="1:19" s="26" customFormat="1">
      <c r="A238" t="str">
        <f>'Prétraitement bilans'!A21</f>
        <v>Grains collectés</v>
      </c>
      <c r="B238" t="str">
        <f>'Prétraitement bilans'!B21</f>
        <v>Semences certifiées</v>
      </c>
      <c r="C238" s="458">
        <f>'Prétraitement bilans'!T21</f>
        <v>12.4222</v>
      </c>
      <c r="D238" s="10"/>
      <c r="E238" t="str">
        <f>Etiquettes!$C$3</f>
        <v>kt</v>
      </c>
      <c r="F238" s="26" t="str">
        <f>Etiquettes!$O$6</f>
        <v>Seigle</v>
      </c>
      <c r="G238" s="26" t="str">
        <f>Etiquettes!$I$5</f>
        <v>2019-20</v>
      </c>
      <c r="H238" t="str">
        <f>Etiquettes!$C$4</f>
        <v>France entière</v>
      </c>
      <c r="I238" s="603" t="s">
        <v>1561</v>
      </c>
      <c r="J238" s="603"/>
      <c r="K238" t="s">
        <v>1559</v>
      </c>
      <c r="L238" s="603" t="str" cm="1">
        <f t="array" aca="1" ref="L238" ca="1">[1]!NOM_FEUILLE('Bilans Seigle - FAM'!$A$1)</f>
        <v>Bilans Seigle - FAM</v>
      </c>
      <c r="M238" s="26" t="str">
        <f>Etiquettes!$H$11</f>
        <v>Volume</v>
      </c>
      <c r="N238" t="str">
        <f t="shared" si="3"/>
        <v>Production de semences certifiées = 12 kt (Bilans par campagne - FranceAgriMer)</v>
      </c>
      <c r="O238" s="26" t="str">
        <f>Etiquettes!$J$15</f>
        <v>Probable</v>
      </c>
      <c r="P238" s="603" t="str">
        <f>Etiquettes!$H$16</f>
        <v>Données collectées</v>
      </c>
      <c r="Q238" s="603" t="str">
        <f>Etiquettes!$H$17</f>
        <v>Donnée collectée (valeur du flux ou coefficient)</v>
      </c>
      <c r="R238"/>
      <c r="S238"/>
    </row>
    <row r="239" spans="1:19" s="26" customFormat="1">
      <c r="A239" t="str">
        <f>'Prétraitement bilans'!A25</f>
        <v>OS</v>
      </c>
      <c r="B239" t="str">
        <f>'Prétraitement bilans'!B25</f>
        <v>Stock final</v>
      </c>
      <c r="C239" s="458">
        <f>'Prétraitement bilans'!T25</f>
        <v>17.017600000000002</v>
      </c>
      <c r="D239" s="10"/>
      <c r="E239" t="str">
        <f>Etiquettes!$C$3</f>
        <v>kt</v>
      </c>
      <c r="F239" s="26" t="str">
        <f>Etiquettes!$O$6</f>
        <v>Seigle</v>
      </c>
      <c r="G239" s="26" t="str">
        <f>Etiquettes!$I$5</f>
        <v>2019-20</v>
      </c>
      <c r="H239" t="str">
        <f>Etiquettes!$C$4</f>
        <v>France entière</v>
      </c>
      <c r="I239" s="603" t="s">
        <v>1128</v>
      </c>
      <c r="J239" s="603"/>
      <c r="K239" t="s">
        <v>1559</v>
      </c>
      <c r="L239" s="603" t="str" cm="1">
        <f t="array" aca="1" ref="L239" ca="1">[1]!NOM_FEUILLE('Bilans Seigle - FAM'!$A$1)</f>
        <v>Bilans Seigle - FAM</v>
      </c>
      <c r="M239" s="26" t="str">
        <f>Etiquettes!$H$11</f>
        <v>Volume</v>
      </c>
      <c r="N239" t="str">
        <f t="shared" si="3"/>
        <v>Stock final collecteurs = 17 kt (Bilans par campagne - FranceAgriMer)</v>
      </c>
      <c r="O239" s="26" t="str">
        <f>Etiquettes!$I$15</f>
        <v>Robuste</v>
      </c>
      <c r="P239" s="603" t="str">
        <f>Etiquettes!$H$16</f>
        <v>Données collectées</v>
      </c>
      <c r="Q239" s="603" t="str">
        <f>Etiquettes!$H$17</f>
        <v>Donnée collectée (valeur du flux ou coefficient)</v>
      </c>
      <c r="R239"/>
      <c r="S239"/>
    </row>
    <row r="240" spans="1:19">
      <c r="A240" t="str">
        <f>'Prétraitement bilans'!A3</f>
        <v>Récolte</v>
      </c>
      <c r="B240" t="str">
        <f>'Prétraitement bilans'!B3</f>
        <v>Grains récoltés</v>
      </c>
      <c r="C240" s="458">
        <f>'Prétraitement bilans'!U3</f>
        <v>21</v>
      </c>
      <c r="E240" t="str">
        <f>Etiquettes!$C$3</f>
        <v>kt</v>
      </c>
      <c r="F240" s="26" t="str">
        <f>Etiquettes!$P$6</f>
        <v>Sarrasin</v>
      </c>
      <c r="G240" s="26" t="str">
        <f>Etiquettes!$I$5</f>
        <v>2019-20</v>
      </c>
      <c r="H240" t="str">
        <f>Etiquettes!$C$4</f>
        <v>France entière</v>
      </c>
      <c r="I240" s="603" t="s">
        <v>1106</v>
      </c>
      <c r="J240" s="603"/>
      <c r="K240" t="s">
        <v>1559</v>
      </c>
      <c r="L240" s="603" t="str" cm="1">
        <f t="array" aca="1" ref="L240" ca="1">[1]!NOM_FEUILLE('Bilans Sarrasin - FAM'!$A$1)</f>
        <v>Bilans Sarrasin - FAM</v>
      </c>
      <c r="M240" s="26" t="str">
        <f>Etiquettes!$H$11</f>
        <v>Volume</v>
      </c>
      <c r="N240" t="str">
        <f t="shared" si="3"/>
        <v>Récolte = 21 kt (Bilans par campagne - FranceAgriMer)</v>
      </c>
      <c r="O240" s="26" t="str">
        <f>Etiquettes!$H$15</f>
        <v>Fiable</v>
      </c>
      <c r="P240" s="603" t="str">
        <f>Etiquettes!$H$16</f>
        <v>Données collectées</v>
      </c>
      <c r="Q240" s="603" t="str">
        <f>Etiquettes!$H$17</f>
        <v>Donnée collectée (valeur du flux ou coefficient)</v>
      </c>
    </row>
    <row r="241" spans="1:19">
      <c r="A241" t="str">
        <f>'Prétraitement bilans'!A4</f>
        <v>Stock initial</v>
      </c>
      <c r="B241" t="str">
        <f>'Prétraitement bilans'!B4</f>
        <v>Ferme</v>
      </c>
      <c r="C241" s="458">
        <f>'Prétraitement bilans'!U4</f>
        <v>0</v>
      </c>
      <c r="E241" t="str">
        <f>Etiquettes!$C$3</f>
        <v>kt</v>
      </c>
      <c r="F241" s="26" t="str">
        <f>Etiquettes!$P$6</f>
        <v>Sarrasin</v>
      </c>
      <c r="G241" s="26" t="str">
        <f>Etiquettes!$I$5</f>
        <v>2019-20</v>
      </c>
      <c r="H241" t="str">
        <f>Etiquettes!$C$4</f>
        <v>France entière</v>
      </c>
      <c r="I241" s="603" t="s">
        <v>1115</v>
      </c>
      <c r="J241" s="603"/>
      <c r="K241" t="s">
        <v>1559</v>
      </c>
      <c r="L241" s="603" t="str" cm="1">
        <f t="array" aca="1" ref="L241" ca="1">[1]!NOM_FEUILLE('Bilans Sarrasin - FAM'!$A$1)</f>
        <v>Bilans Sarrasin - FAM</v>
      </c>
      <c r="M241" s="26" t="str">
        <f>Etiquettes!$H$11</f>
        <v>Volume</v>
      </c>
      <c r="N241" t="str">
        <f t="shared" si="3"/>
        <v>Stock initial à la ferme = 0 kt (Bilans par campagne - FranceAgriMer)</v>
      </c>
      <c r="O241" s="26" t="str">
        <f>Etiquettes!$K$15</f>
        <v>Approximative</v>
      </c>
      <c r="P241" s="603" t="str">
        <f>Etiquettes!$H$16</f>
        <v>Données collectées</v>
      </c>
      <c r="Q241" s="603" t="str">
        <f>Etiquettes!$H$17</f>
        <v>Donnée collectée (valeur du flux ou coefficient)</v>
      </c>
    </row>
    <row r="242" spans="1:19">
      <c r="A242" t="str">
        <f>'Prétraitement bilans'!A5</f>
        <v>Ferme</v>
      </c>
      <c r="B242" t="str">
        <f>'Prétraitement bilans'!B5</f>
        <v>Grains autoconsommés</v>
      </c>
      <c r="C242" s="458">
        <f>'Prétraitement bilans'!U5</f>
        <v>9.3236820000000034</v>
      </c>
      <c r="E242" t="str">
        <f>Etiquettes!$C$3</f>
        <v>kt</v>
      </c>
      <c r="F242" s="26" t="str">
        <f>Etiquettes!$P$6</f>
        <v>Sarrasin</v>
      </c>
      <c r="G242" s="26" t="str">
        <f>Etiquettes!$I$5</f>
        <v>2019-20</v>
      </c>
      <c r="H242" t="str">
        <f>Etiquettes!$C$4</f>
        <v>France entière</v>
      </c>
      <c r="I242" s="603" t="s">
        <v>1560</v>
      </c>
      <c r="J242" s="603"/>
      <c r="K242" t="s">
        <v>1559</v>
      </c>
      <c r="L242" s="603" t="str" cm="1">
        <f t="array" aca="1" ref="L242" ca="1">[1]!NOM_FEUILLE('Bilans Sarrasin - FAM'!$A$1)</f>
        <v>Bilans Sarrasin - FAM</v>
      </c>
      <c r="M242" s="26" t="str">
        <f>Etiquettes!$H$11</f>
        <v>Volume</v>
      </c>
      <c r="N242" t="str">
        <f t="shared" si="3"/>
        <v>Autoconsommation à la ferme = 9 kt (Bilans par campagne - FranceAgriMer)</v>
      </c>
      <c r="O242" s="26" t="str">
        <f>Etiquettes!$K$15</f>
        <v>Approximative</v>
      </c>
      <c r="P242" s="603" t="str">
        <f>Etiquettes!$H$16</f>
        <v>Données collectées</v>
      </c>
      <c r="Q242" s="603" t="str">
        <f>Etiquettes!$H$17</f>
        <v>Donnée collectée (valeur du flux ou coefficient)</v>
      </c>
    </row>
    <row r="243" spans="1:19">
      <c r="A243" t="str">
        <f>'Prétraitement bilans'!A6</f>
        <v>Ferme</v>
      </c>
      <c r="B243" t="str">
        <f>'Prétraitement bilans'!B6</f>
        <v>Stock final</v>
      </c>
      <c r="C243" s="458">
        <f>'Prétraitement bilans'!U6</f>
        <v>0</v>
      </c>
      <c r="E243" t="str">
        <f>Etiquettes!$C$3</f>
        <v>kt</v>
      </c>
      <c r="F243" s="26" t="str">
        <f>Etiquettes!$P$6</f>
        <v>Sarrasin</v>
      </c>
      <c r="G243" s="26" t="str">
        <f>Etiquettes!$I$5</f>
        <v>2019-20</v>
      </c>
      <c r="H243" t="str">
        <f>Etiquettes!$C$4</f>
        <v>France entière</v>
      </c>
      <c r="I243" s="603" t="s">
        <v>1116</v>
      </c>
      <c r="J243" s="603"/>
      <c r="K243" t="s">
        <v>1559</v>
      </c>
      <c r="L243" s="603" t="str" cm="1">
        <f t="array" aca="1" ref="L243" ca="1">[1]!NOM_FEUILLE('Bilans Sarrasin - FAM'!$A$1)</f>
        <v>Bilans Sarrasin - FAM</v>
      </c>
      <c r="M243" s="26" t="str">
        <f>Etiquettes!$H$11</f>
        <v>Volume</v>
      </c>
      <c r="N243" t="str">
        <f t="shared" si="3"/>
        <v>Stock final à la ferme = 0 kt (Bilans par campagne - FranceAgriMer)</v>
      </c>
      <c r="O243" s="26" t="str">
        <f>Etiquettes!$K$15</f>
        <v>Approximative</v>
      </c>
      <c r="P243" s="603" t="str">
        <f>Etiquettes!$H$16</f>
        <v>Données collectées</v>
      </c>
      <c r="Q243" s="603" t="str">
        <f>Etiquettes!$H$17</f>
        <v>Donnée collectée (valeur du flux ou coefficient)</v>
      </c>
    </row>
    <row r="244" spans="1:19">
      <c r="A244" t="str">
        <f>'Prétraitement bilans'!A7</f>
        <v>Stock initial</v>
      </c>
      <c r="B244" t="str">
        <f>'Prétraitement bilans'!B7</f>
        <v>OS</v>
      </c>
      <c r="C244" s="458">
        <f>'Prétraitement bilans'!U7</f>
        <v>16.119799999999998</v>
      </c>
      <c r="E244" t="str">
        <f>Etiquettes!$C$3</f>
        <v>kt</v>
      </c>
      <c r="F244" s="26" t="str">
        <f>Etiquettes!$P$6</f>
        <v>Sarrasin</v>
      </c>
      <c r="G244" s="26" t="str">
        <f>Etiquettes!$I$5</f>
        <v>2019-20</v>
      </c>
      <c r="H244" t="str">
        <f>Etiquettes!$C$4</f>
        <v>France entière</v>
      </c>
      <c r="I244" s="603" t="s">
        <v>1127</v>
      </c>
      <c r="J244" s="603"/>
      <c r="K244" t="s">
        <v>1559</v>
      </c>
      <c r="L244" s="603" t="str" cm="1">
        <f t="array" aca="1" ref="L244" ca="1">[1]!NOM_FEUILLE('Bilans Sarrasin - FAM'!$A$1)</f>
        <v>Bilans Sarrasin - FAM</v>
      </c>
      <c r="M244" s="26" t="str">
        <f>Etiquettes!$H$11</f>
        <v>Volume</v>
      </c>
      <c r="N244" t="str">
        <f t="shared" si="3"/>
        <v>Stock initial collecteurs = 16 kt (Bilans par campagne - FranceAgriMer)</v>
      </c>
      <c r="O244" s="26" t="str">
        <f>Etiquettes!$I$15</f>
        <v>Robuste</v>
      </c>
      <c r="P244" s="603" t="str">
        <f>Etiquettes!$H$16</f>
        <v>Données collectées</v>
      </c>
      <c r="Q244" s="603" t="str">
        <f>Etiquettes!$H$17</f>
        <v>Donnée collectée (valeur du flux ou coefficient)</v>
      </c>
    </row>
    <row r="245" spans="1:19">
      <c r="A245" t="str">
        <f>'Prétraitement bilans'!A8</f>
        <v>Grains récoltés</v>
      </c>
      <c r="B245" t="str">
        <f>'Prétraitement bilans'!B8</f>
        <v>OS</v>
      </c>
      <c r="C245" s="458">
        <f>'Prétraitement bilans'!U8</f>
        <v>11.676317999999997</v>
      </c>
      <c r="E245" t="str">
        <f>Etiquettes!$C$3</f>
        <v>kt</v>
      </c>
      <c r="F245" s="26" t="str">
        <f>Etiquettes!$P$6</f>
        <v>Sarrasin</v>
      </c>
      <c r="G245" s="26" t="str">
        <f>Etiquettes!$I$5</f>
        <v>2019-20</v>
      </c>
      <c r="H245" t="str">
        <f>Etiquettes!$C$4</f>
        <v>France entière</v>
      </c>
      <c r="I245" s="603" t="s">
        <v>317</v>
      </c>
      <c r="J245" s="603"/>
      <c r="K245" t="s">
        <v>1559</v>
      </c>
      <c r="L245" s="603" t="str" cm="1">
        <f t="array" aca="1" ref="L245" ca="1">[1]!NOM_FEUILLE('Bilans Sarrasin - FAM'!$A$1)</f>
        <v>Bilans Sarrasin - FAM</v>
      </c>
      <c r="M245" s="26" t="str">
        <f>Etiquettes!$H$11</f>
        <v>Volume</v>
      </c>
      <c r="N245" t="str">
        <f t="shared" si="3"/>
        <v>Collecte = 12 kt (Bilans par campagne - FranceAgriMer)</v>
      </c>
      <c r="O245" s="26" t="str">
        <f>Etiquettes!$I$15</f>
        <v>Robuste</v>
      </c>
      <c r="P245" s="603" t="str">
        <f>Etiquettes!$H$16</f>
        <v>Données collectées</v>
      </c>
      <c r="Q245" s="603" t="str">
        <f>Etiquettes!$H$17</f>
        <v>Donnée collectée (valeur du flux ou coefficient)</v>
      </c>
    </row>
    <row r="246" spans="1:19">
      <c r="A246" t="str">
        <f>'Prétraitement bilans'!A13</f>
        <v>Grains collectés</v>
      </c>
      <c r="B246" t="str">
        <f>'Prétraitement bilans'!B13</f>
        <v>Amidonnerie / Glutennerie</v>
      </c>
      <c r="C246" s="458">
        <f>'Prétraitement bilans'!U13</f>
        <v>0</v>
      </c>
      <c r="E246" t="str">
        <f>Etiquettes!$C$3</f>
        <v>kt</v>
      </c>
      <c r="F246" s="26" t="str">
        <f>Etiquettes!$P$6</f>
        <v>Sarrasin</v>
      </c>
      <c r="G246" s="26" t="str">
        <f>Etiquettes!$I$5</f>
        <v>2019-20</v>
      </c>
      <c r="H246" t="str">
        <f>Etiquettes!$C$4</f>
        <v>France entière</v>
      </c>
      <c r="I246" s="603" t="s">
        <v>1563</v>
      </c>
      <c r="J246" s="603"/>
      <c r="K246" t="s">
        <v>1559</v>
      </c>
      <c r="L246" s="603" t="str" cm="1">
        <f t="array" aca="1" ref="L246" ca="1">[1]!NOM_FEUILLE('Bilans Sarrasin - FAM'!$A$1)</f>
        <v>Bilans Sarrasin - FAM</v>
      </c>
      <c r="M246" s="26" t="str">
        <f>Etiquettes!$H$11</f>
        <v>Volume</v>
      </c>
      <c r="N246" t="str">
        <f t="shared" si="3"/>
        <v>Consommation de grains par l'Amidonnerie = 0 kt (Bilans par campagne - FranceAgriMer)</v>
      </c>
      <c r="O246" s="26" t="str">
        <f>Etiquettes!$J$15</f>
        <v>Probable</v>
      </c>
      <c r="P246" s="603" t="str">
        <f>Etiquettes!$H$16</f>
        <v>Données collectées</v>
      </c>
      <c r="Q246" s="603" t="str">
        <f>Etiquettes!$H$17</f>
        <v>Donnée collectée (valeur du flux ou coefficient)</v>
      </c>
    </row>
    <row r="247" spans="1:19">
      <c r="A247" t="str">
        <f>'Prétraitement bilans'!A16</f>
        <v>Grains collectés</v>
      </c>
      <c r="B247" t="str">
        <f>'Prétraitement bilans'!B16</f>
        <v>Distillerie</v>
      </c>
      <c r="C247" s="458">
        <f>'Prétraitement bilans'!U16</f>
        <v>0</v>
      </c>
      <c r="E247" t="str">
        <f>Etiquettes!$C$3</f>
        <v>kt</v>
      </c>
      <c r="F247" s="26" t="str">
        <f>Etiquettes!$P$6</f>
        <v>Sarrasin</v>
      </c>
      <c r="G247" s="26" t="str">
        <f>Etiquettes!$I$5</f>
        <v>2019-20</v>
      </c>
      <c r="H247" t="str">
        <f>Etiquettes!$C$4</f>
        <v>France entière</v>
      </c>
      <c r="I247" s="603" t="s">
        <v>1564</v>
      </c>
      <c r="J247" s="603"/>
      <c r="K247" t="s">
        <v>1559</v>
      </c>
      <c r="L247" s="603" t="str" cm="1">
        <f t="array" aca="1" ref="L247" ca="1">[1]!NOM_FEUILLE('Bilans Sarrasin - FAM'!$A$1)</f>
        <v>Bilans Sarrasin - FAM</v>
      </c>
      <c r="M247" s="26" t="str">
        <f>Etiquettes!$H$11</f>
        <v>Volume</v>
      </c>
      <c r="N247" t="str">
        <f t="shared" si="3"/>
        <v>Consommation de grains par la Distillerie = 0 kt (Bilans par campagne - FranceAgriMer)</v>
      </c>
      <c r="O247" s="26" t="str">
        <f>Etiquettes!$J$15</f>
        <v>Probable</v>
      </c>
      <c r="P247" s="603" t="str">
        <f>Etiquettes!$H$16</f>
        <v>Données collectées</v>
      </c>
      <c r="Q247" s="603" t="str">
        <f>Etiquettes!$H$17</f>
        <v>Donnée collectée (valeur du flux ou coefficient)</v>
      </c>
    </row>
    <row r="248" spans="1:19">
      <c r="A248" t="str">
        <f>'Prétraitement bilans'!A17</f>
        <v>Grains collectés</v>
      </c>
      <c r="B248" t="str">
        <f>'Prétraitement bilans'!B17</f>
        <v>Malterie</v>
      </c>
      <c r="C248" s="458">
        <f>'Prétraitement bilans'!U17</f>
        <v>0</v>
      </c>
      <c r="E248" t="str">
        <f>Etiquettes!$C$3</f>
        <v>kt</v>
      </c>
      <c r="F248" s="26" t="str">
        <f>Etiquettes!$P$6</f>
        <v>Sarrasin</v>
      </c>
      <c r="G248" s="26" t="str">
        <f>Etiquettes!$I$5</f>
        <v>2019-20</v>
      </c>
      <c r="H248" t="str">
        <f>Etiquettes!$C$4</f>
        <v>France entière</v>
      </c>
      <c r="I248" s="603" t="s">
        <v>1565</v>
      </c>
      <c r="J248" s="603"/>
      <c r="K248" t="s">
        <v>1559</v>
      </c>
      <c r="L248" s="603" t="str" cm="1">
        <f t="array" aca="1" ref="L248" ca="1">[1]!NOM_FEUILLE('Bilans Sarrasin - FAM'!$A$1)</f>
        <v>Bilans Sarrasin - FAM</v>
      </c>
      <c r="M248" s="26" t="str">
        <f>Etiquettes!$H$11</f>
        <v>Volume</v>
      </c>
      <c r="N248" t="str">
        <f t="shared" si="3"/>
        <v>Consommation de grains par la Malterie = 0 kt (Bilans par campagne - FranceAgriMer)</v>
      </c>
      <c r="O248" s="26" t="str">
        <f>Etiquettes!$J$15</f>
        <v>Probable</v>
      </c>
      <c r="P248" s="603" t="str">
        <f>Etiquettes!$H$16</f>
        <v>Données collectées</v>
      </c>
      <c r="Q248" s="603" t="str">
        <f>Etiquettes!$H$17</f>
        <v>Donnée collectée (valeur du flux ou coefficient)</v>
      </c>
    </row>
    <row r="249" spans="1:19" s="26" customFormat="1">
      <c r="A249" t="str">
        <f>'Prétraitement bilans'!A18</f>
        <v>Grains collectés</v>
      </c>
      <c r="B249" t="str">
        <f>'Prétraitement bilans'!B18</f>
        <v>Autres IAA</v>
      </c>
      <c r="C249" s="458">
        <f>'Prétraitement bilans'!U18</f>
        <v>0</v>
      </c>
      <c r="D249" s="10"/>
      <c r="E249" t="str">
        <f>Etiquettes!$C$3</f>
        <v>kt</v>
      </c>
      <c r="F249" s="26" t="str">
        <f>Etiquettes!$P$6</f>
        <v>Sarrasin</v>
      </c>
      <c r="G249" s="26" t="str">
        <f>Etiquettes!$I$5</f>
        <v>2019-20</v>
      </c>
      <c r="H249" t="str">
        <f>Etiquettes!$C$4</f>
        <v>France entière</v>
      </c>
      <c r="I249" s="603" t="s">
        <v>1566</v>
      </c>
      <c r="J249" s="603"/>
      <c r="K249" t="s">
        <v>1559</v>
      </c>
      <c r="L249" s="603" t="str" cm="1">
        <f t="array" aca="1" ref="L249" ca="1">[1]!NOM_FEUILLE('Bilans Sarrasin - FAM'!$A$1)</f>
        <v>Bilans Sarrasin - FAM</v>
      </c>
      <c r="M249" s="26" t="str">
        <f>Etiquettes!$H$11</f>
        <v>Volume</v>
      </c>
      <c r="N249" t="str">
        <f t="shared" si="3"/>
        <v>Consommation de grains par les autres IAA = 0 kt (Bilans par campagne - FranceAgriMer)</v>
      </c>
      <c r="O249" s="26" t="str">
        <f>Etiquettes!$J$15</f>
        <v>Probable</v>
      </c>
      <c r="P249" s="603" t="str">
        <f>Etiquettes!$H$16</f>
        <v>Données collectées</v>
      </c>
      <c r="Q249" s="603" t="str">
        <f>Etiquettes!$H$17</f>
        <v>Donnée collectée (valeur du flux ou coefficient)</v>
      </c>
      <c r="R249"/>
      <c r="S249"/>
    </row>
    <row r="250" spans="1:19" s="26" customFormat="1">
      <c r="A250" t="str">
        <f>'Prétraitement bilans'!A19</f>
        <v>Grains collectés</v>
      </c>
      <c r="B250" t="str">
        <f>'Prétraitement bilans'!B19</f>
        <v>Semoulerie</v>
      </c>
      <c r="C250" s="458">
        <f>'Prétraitement bilans'!U19</f>
        <v>0</v>
      </c>
      <c r="D250" s="10"/>
      <c r="E250" t="str">
        <f>Etiquettes!$C$3</f>
        <v>kt</v>
      </c>
      <c r="F250" s="26" t="str">
        <f>Etiquettes!$P$6</f>
        <v>Sarrasin</v>
      </c>
      <c r="G250" s="26" t="str">
        <f>Etiquettes!$I$5</f>
        <v>2019-20</v>
      </c>
      <c r="H250" t="str">
        <f>Etiquettes!$C$4</f>
        <v>France entière</v>
      </c>
      <c r="I250" s="603" t="s">
        <v>1567</v>
      </c>
      <c r="J250" s="603"/>
      <c r="K250" t="s">
        <v>1559</v>
      </c>
      <c r="L250" s="603" t="str" cm="1">
        <f t="array" aca="1" ref="L250" ca="1">[1]!NOM_FEUILLE('Bilans Sarrasin - FAM'!$A$1)</f>
        <v>Bilans Sarrasin - FAM</v>
      </c>
      <c r="M250" s="26" t="str">
        <f>Etiquettes!$H$11</f>
        <v>Volume</v>
      </c>
      <c r="N250" t="str">
        <f t="shared" si="3"/>
        <v>Consommation de grains par la Semoulerie = 0 kt (Bilans par campagne - FranceAgriMer)</v>
      </c>
      <c r="O250" s="26" t="str">
        <f>Etiquettes!$J$15</f>
        <v>Probable</v>
      </c>
      <c r="P250" s="603" t="str">
        <f>Etiquettes!$H$16</f>
        <v>Données collectées</v>
      </c>
      <c r="Q250" s="603" t="str">
        <f>Etiquettes!$H$17</f>
        <v>Donnée collectée (valeur du flux ou coefficient)</v>
      </c>
      <c r="R250"/>
      <c r="S250"/>
    </row>
    <row r="251" spans="1:19" s="26" customFormat="1">
      <c r="A251" t="str">
        <f>'Prétraitement bilans'!A20</f>
        <v>Grains collectés</v>
      </c>
      <c r="B251" t="str">
        <f>'Prétraitement bilans'!B20</f>
        <v>FAB</v>
      </c>
      <c r="C251" s="458">
        <f>'Prétraitement bilans'!U20</f>
        <v>7.1399999999999996E-3</v>
      </c>
      <c r="D251" s="10"/>
      <c r="E251" t="str">
        <f>Etiquettes!$C$3</f>
        <v>kt</v>
      </c>
      <c r="F251" s="26" t="str">
        <f>Etiquettes!$P$6</f>
        <v>Sarrasin</v>
      </c>
      <c r="G251" s="26" t="str">
        <f>Etiquettes!$I$5</f>
        <v>2019-20</v>
      </c>
      <c r="H251" t="str">
        <f>Etiquettes!$C$4</f>
        <v>France entière</v>
      </c>
      <c r="I251" s="603" t="s">
        <v>1568</v>
      </c>
      <c r="J251" s="603"/>
      <c r="K251" t="s">
        <v>1559</v>
      </c>
      <c r="L251" s="603" t="str" cm="1">
        <f t="array" aca="1" ref="L251" ca="1">[1]!NOM_FEUILLE('Bilans Sarrasin - FAM'!$A$1)</f>
        <v>Bilans Sarrasin - FAM</v>
      </c>
      <c r="M251" s="26" t="str">
        <f>Etiquettes!$H$11</f>
        <v>Volume</v>
      </c>
      <c r="N251" t="str">
        <f t="shared" si="3"/>
        <v>Consommation de grains par les FAB = 0 kt (Bilans par campagne - FranceAgriMer)</v>
      </c>
      <c r="O251" s="26" t="str">
        <f>Etiquettes!$J$15</f>
        <v>Probable</v>
      </c>
      <c r="P251" s="603" t="str">
        <f>Etiquettes!$H$16</f>
        <v>Données collectées</v>
      </c>
      <c r="Q251" s="603" t="str">
        <f>Etiquettes!$H$17</f>
        <v>Donnée collectée (valeur du flux ou coefficient)</v>
      </c>
      <c r="R251"/>
      <c r="S251"/>
    </row>
    <row r="252" spans="1:19" s="26" customFormat="1">
      <c r="A252" t="str">
        <f>'Prétraitement bilans'!A21</f>
        <v>Grains collectés</v>
      </c>
      <c r="B252" t="str">
        <f>'Prétraitement bilans'!B21</f>
        <v>Semences certifiées</v>
      </c>
      <c r="C252" s="458">
        <f>'Prétraitement bilans'!U21</f>
        <v>0.62450000000000006</v>
      </c>
      <c r="D252" s="10"/>
      <c r="E252" t="str">
        <f>Etiquettes!$C$3</f>
        <v>kt</v>
      </c>
      <c r="F252" s="26" t="str">
        <f>Etiquettes!$P$6</f>
        <v>Sarrasin</v>
      </c>
      <c r="G252" s="26" t="str">
        <f>Etiquettes!$I$5</f>
        <v>2019-20</v>
      </c>
      <c r="H252" t="str">
        <f>Etiquettes!$C$4</f>
        <v>France entière</v>
      </c>
      <c r="I252" s="603" t="s">
        <v>1561</v>
      </c>
      <c r="J252" s="603"/>
      <c r="K252" t="s">
        <v>1559</v>
      </c>
      <c r="L252" s="603" t="str" cm="1">
        <f t="array" aca="1" ref="L252" ca="1">[1]!NOM_FEUILLE('Bilans Sarrasin - FAM'!$A$1)</f>
        <v>Bilans Sarrasin - FAM</v>
      </c>
      <c r="M252" s="26" t="str">
        <f>Etiquettes!$H$11</f>
        <v>Volume</v>
      </c>
      <c r="N252" t="str">
        <f t="shared" si="3"/>
        <v>Production de semences certifiées = 1 kt (Bilans par campagne - FranceAgriMer)</v>
      </c>
      <c r="O252" s="26" t="str">
        <f>Etiquettes!$J$15</f>
        <v>Probable</v>
      </c>
      <c r="P252" s="603" t="str">
        <f>Etiquettes!$H$16</f>
        <v>Données collectées</v>
      </c>
      <c r="Q252" s="603" t="str">
        <f>Etiquettes!$H$17</f>
        <v>Donnée collectée (valeur du flux ou coefficient)</v>
      </c>
      <c r="R252"/>
      <c r="S252"/>
    </row>
    <row r="253" spans="1:19" s="26" customFormat="1">
      <c r="A253" t="str">
        <f>'Prétraitement bilans'!A25</f>
        <v>OS</v>
      </c>
      <c r="B253" t="str">
        <f>'Prétraitement bilans'!B25</f>
        <v>Stock final</v>
      </c>
      <c r="C253" s="458">
        <f>'Prétraitement bilans'!U25</f>
        <v>7.0183</v>
      </c>
      <c r="D253" s="10"/>
      <c r="E253" t="str">
        <f>Etiquettes!$C$3</f>
        <v>kt</v>
      </c>
      <c r="F253" s="26" t="str">
        <f>Etiquettes!$P$6</f>
        <v>Sarrasin</v>
      </c>
      <c r="G253" s="26" t="str">
        <f>Etiquettes!$I$5</f>
        <v>2019-20</v>
      </c>
      <c r="H253" t="str">
        <f>Etiquettes!$C$4</f>
        <v>France entière</v>
      </c>
      <c r="I253" s="603" t="s">
        <v>1128</v>
      </c>
      <c r="J253" s="603"/>
      <c r="K253" t="s">
        <v>1559</v>
      </c>
      <c r="L253" s="603" t="str" cm="1">
        <f t="array" aca="1" ref="L253" ca="1">[1]!NOM_FEUILLE('Bilans Sarrasin - FAM'!$A$1)</f>
        <v>Bilans Sarrasin - FAM</v>
      </c>
      <c r="M253" s="26" t="str">
        <f>Etiquettes!$H$11</f>
        <v>Volume</v>
      </c>
      <c r="N253" t="str">
        <f t="shared" si="3"/>
        <v>Stock final collecteurs = 7 kt (Bilans par campagne - FranceAgriMer)</v>
      </c>
      <c r="O253" s="26" t="str">
        <f>Etiquettes!$I$15</f>
        <v>Robuste</v>
      </c>
      <c r="P253" s="603" t="str">
        <f>Etiquettes!$H$16</f>
        <v>Données collectées</v>
      </c>
      <c r="Q253" s="603" t="str">
        <f>Etiquettes!$H$17</f>
        <v>Donnée collectée (valeur du flux ou coefficient)</v>
      </c>
      <c r="R253"/>
      <c r="S253"/>
    </row>
    <row r="254" spans="1:19">
      <c r="A254" t="str">
        <f>'Prétraitement bilans'!A3</f>
        <v>Récolte</v>
      </c>
      <c r="B254" t="str">
        <f>'Prétraitement bilans'!B3</f>
        <v>Grains récoltés</v>
      </c>
      <c r="C254" s="458">
        <f>'Prétraitement bilans'!V3</f>
        <v>35117.663299999993</v>
      </c>
      <c r="E254" t="str">
        <f>Etiquettes!$C$3</f>
        <v>kt</v>
      </c>
      <c r="F254" s="26" t="str">
        <f>Etiquettes!$H$6</f>
        <v>Blé tendre</v>
      </c>
      <c r="G254" s="26" t="str">
        <f>Etiquettes!$J$5</f>
        <v>2023-24</v>
      </c>
      <c r="H254" t="str">
        <f>Etiquettes!$C$4</f>
        <v>France entière</v>
      </c>
      <c r="I254" s="603" t="s">
        <v>1106</v>
      </c>
      <c r="J254" s="603"/>
      <c r="K254" t="s">
        <v>1559</v>
      </c>
      <c r="L254" s="603" t="str" cm="1">
        <f t="array" aca="1" ref="L254" ca="1">[1]!NOM_FEUILLE('Bilans Blé tendre - FAM'!$A$1)</f>
        <v>Bilans Blé tendre - FAM</v>
      </c>
      <c r="M254" s="26" t="str">
        <f>Etiquettes!$H$11</f>
        <v>Volume</v>
      </c>
      <c r="N254" t="str">
        <f t="shared" si="3"/>
        <v>Récolte = 35118 kt (Bilans par campagne - FranceAgriMer)</v>
      </c>
      <c r="O254" s="26" t="str">
        <f>Etiquettes!$H$15</f>
        <v>Fiable</v>
      </c>
      <c r="P254" s="603" t="str">
        <f>Etiquettes!$H$16</f>
        <v>Données collectées</v>
      </c>
      <c r="Q254" s="603" t="str">
        <f>Etiquettes!$H$17</f>
        <v>Donnée collectée (valeur du flux ou coefficient)</v>
      </c>
    </row>
    <row r="255" spans="1:19">
      <c r="A255" t="str">
        <f>'Prétraitement bilans'!A4</f>
        <v>Stock initial</v>
      </c>
      <c r="B255" t="str">
        <f>'Prétraitement bilans'!B4</f>
        <v>Ferme</v>
      </c>
      <c r="C255" s="458">
        <f>'Prétraitement bilans'!V4</f>
        <v>400</v>
      </c>
      <c r="E255" t="str">
        <f>Etiquettes!$C$3</f>
        <v>kt</v>
      </c>
      <c r="F255" s="26" t="str">
        <f>Etiquettes!$H$6</f>
        <v>Blé tendre</v>
      </c>
      <c r="G255" s="26" t="str">
        <f>Etiquettes!$J$5</f>
        <v>2023-24</v>
      </c>
      <c r="H255" t="str">
        <f>Etiquettes!$C$4</f>
        <v>France entière</v>
      </c>
      <c r="I255" s="603" t="s">
        <v>1115</v>
      </c>
      <c r="J255" s="603"/>
      <c r="K255" t="s">
        <v>1559</v>
      </c>
      <c r="L255" s="603" t="str" cm="1">
        <f t="array" aca="1" ref="L255" ca="1">[1]!NOM_FEUILLE('Bilans Blé tendre - FAM'!$A$1)</f>
        <v>Bilans Blé tendre - FAM</v>
      </c>
      <c r="M255" s="26" t="str">
        <f>Etiquettes!$H$11</f>
        <v>Volume</v>
      </c>
      <c r="N255" t="str">
        <f t="shared" si="3"/>
        <v>Stock initial à la ferme = 400 kt (Bilans par campagne - FranceAgriMer)</v>
      </c>
      <c r="O255" s="26" t="str">
        <f>Etiquettes!$K$15</f>
        <v>Approximative</v>
      </c>
      <c r="P255" s="603" t="str">
        <f>Etiquettes!$H$16</f>
        <v>Données collectées</v>
      </c>
      <c r="Q255" s="603" t="str">
        <f>Etiquettes!$H$17</f>
        <v>Donnée collectée (valeur du flux ou coefficient)</v>
      </c>
    </row>
    <row r="256" spans="1:19">
      <c r="A256" t="str">
        <f>'Prétraitement bilans'!A5</f>
        <v>Ferme</v>
      </c>
      <c r="B256" t="str">
        <f>'Prétraitement bilans'!B5</f>
        <v>Grains autoconsommés</v>
      </c>
      <c r="C256" s="458">
        <f>'Prétraitement bilans'!V5</f>
        <v>2840.7299999999923</v>
      </c>
      <c r="E256" t="str">
        <f>Etiquettes!$C$3</f>
        <v>kt</v>
      </c>
      <c r="F256" s="26" t="str">
        <f>Etiquettes!$H$6</f>
        <v>Blé tendre</v>
      </c>
      <c r="G256" s="26" t="str">
        <f>Etiquettes!$J$5</f>
        <v>2023-24</v>
      </c>
      <c r="H256" t="str">
        <f>Etiquettes!$C$4</f>
        <v>France entière</v>
      </c>
      <c r="I256" s="603" t="s">
        <v>1560</v>
      </c>
      <c r="J256" s="603"/>
      <c r="K256" t="s">
        <v>1559</v>
      </c>
      <c r="L256" s="603" t="str" cm="1">
        <f t="array" aca="1" ref="L256" ca="1">[1]!NOM_FEUILLE('Bilans Blé tendre - FAM'!$A$1)</f>
        <v>Bilans Blé tendre - FAM</v>
      </c>
      <c r="M256" s="26" t="str">
        <f>Etiquettes!$H$11</f>
        <v>Volume</v>
      </c>
      <c r="N256" t="str">
        <f t="shared" si="3"/>
        <v>Autoconsommation à la ferme = 2841 kt (Bilans par campagne - FranceAgriMer)</v>
      </c>
      <c r="O256" s="26" t="str">
        <f>Etiquettes!$K$15</f>
        <v>Approximative</v>
      </c>
      <c r="P256" s="603" t="str">
        <f>Etiquettes!$H$16</f>
        <v>Données collectées</v>
      </c>
      <c r="Q256" s="603" t="str">
        <f>Etiquettes!$H$17</f>
        <v>Donnée collectée (valeur du flux ou coefficient)</v>
      </c>
    </row>
    <row r="257" spans="1:19">
      <c r="A257" t="str">
        <f>'Prétraitement bilans'!A6</f>
        <v>Ferme</v>
      </c>
      <c r="B257" t="str">
        <f>'Prétraitement bilans'!B6</f>
        <v>Stock final</v>
      </c>
      <c r="C257" s="458">
        <f>'Prétraitement bilans'!V6</f>
        <v>800</v>
      </c>
      <c r="E257" t="str">
        <f>Etiquettes!$C$3</f>
        <v>kt</v>
      </c>
      <c r="F257" s="26" t="str">
        <f>Etiquettes!$H$6</f>
        <v>Blé tendre</v>
      </c>
      <c r="G257" s="26" t="str">
        <f>Etiquettes!$J$5</f>
        <v>2023-24</v>
      </c>
      <c r="H257" t="str">
        <f>Etiquettes!$C$4</f>
        <v>France entière</v>
      </c>
      <c r="I257" s="603" t="s">
        <v>1116</v>
      </c>
      <c r="J257" s="603"/>
      <c r="K257" t="s">
        <v>1559</v>
      </c>
      <c r="L257" s="603" t="str" cm="1">
        <f t="array" aca="1" ref="L257" ca="1">[1]!NOM_FEUILLE('Bilans Blé tendre - FAM'!$A$1)</f>
        <v>Bilans Blé tendre - FAM</v>
      </c>
      <c r="M257" s="26" t="str">
        <f>Etiquettes!$H$11</f>
        <v>Volume</v>
      </c>
      <c r="N257" t="str">
        <f t="shared" si="3"/>
        <v>Stock final à la ferme = 800 kt (Bilans par campagne - FranceAgriMer)</v>
      </c>
      <c r="O257" s="26" t="str">
        <f>Etiquettes!$K$15</f>
        <v>Approximative</v>
      </c>
      <c r="P257" s="603" t="str">
        <f>Etiquettes!$H$16</f>
        <v>Données collectées</v>
      </c>
      <c r="Q257" s="603" t="str">
        <f>Etiquettes!$H$17</f>
        <v>Donnée collectée (valeur du flux ou coefficient)</v>
      </c>
    </row>
    <row r="258" spans="1:19">
      <c r="A258" t="str">
        <f>'Prétraitement bilans'!A7</f>
        <v>Stock initial</v>
      </c>
      <c r="B258" t="str">
        <f>'Prétraitement bilans'!B7</f>
        <v>OS</v>
      </c>
      <c r="C258" s="458">
        <f>'Prétraitement bilans'!V7</f>
        <v>1787.9988999999998</v>
      </c>
      <c r="E258" t="str">
        <f>Etiquettes!$C$3</f>
        <v>kt</v>
      </c>
      <c r="F258" s="26" t="str">
        <f>Etiquettes!$H$6</f>
        <v>Blé tendre</v>
      </c>
      <c r="G258" s="26" t="str">
        <f>Etiquettes!$J$5</f>
        <v>2023-24</v>
      </c>
      <c r="H258" t="str">
        <f>Etiquettes!$C$4</f>
        <v>France entière</v>
      </c>
      <c r="I258" s="603" t="s">
        <v>1127</v>
      </c>
      <c r="J258" s="603"/>
      <c r="K258" t="s">
        <v>1559</v>
      </c>
      <c r="L258" s="603" t="str" cm="1">
        <f t="array" aca="1" ref="L258" ca="1">[1]!NOM_FEUILLE('Bilans Blé tendre - FAM'!$A$1)</f>
        <v>Bilans Blé tendre - FAM</v>
      </c>
      <c r="M258" s="26" t="str">
        <f>Etiquettes!$H$11</f>
        <v>Volume</v>
      </c>
      <c r="N258" t="str">
        <f t="shared" si="3"/>
        <v>Stock initial collecteurs = 1788 kt (Bilans par campagne - FranceAgriMer)</v>
      </c>
      <c r="O258" s="26" t="str">
        <f>Etiquettes!$I$15</f>
        <v>Robuste</v>
      </c>
      <c r="P258" s="603" t="str">
        <f>Etiquettes!$H$16</f>
        <v>Données collectées</v>
      </c>
      <c r="Q258" s="603" t="str">
        <f>Etiquettes!$H$17</f>
        <v>Donnée collectée (valeur du flux ou coefficient)</v>
      </c>
    </row>
    <row r="259" spans="1:19">
      <c r="A259" t="str">
        <f>'Prétraitement bilans'!A8</f>
        <v>Grains récoltés</v>
      </c>
      <c r="B259" t="str">
        <f>'Prétraitement bilans'!B8</f>
        <v>OS</v>
      </c>
      <c r="C259" s="458">
        <f>'Prétraitement bilans'!V8</f>
        <v>31876.933300000001</v>
      </c>
      <c r="E259" t="str">
        <f>Etiquettes!$C$3</f>
        <v>kt</v>
      </c>
      <c r="F259" s="26" t="str">
        <f>Etiquettes!$H$6</f>
        <v>Blé tendre</v>
      </c>
      <c r="G259" s="26" t="str">
        <f>Etiquettes!$J$5</f>
        <v>2023-24</v>
      </c>
      <c r="H259" t="str">
        <f>Etiquettes!$C$4</f>
        <v>France entière</v>
      </c>
      <c r="I259" s="603" t="s">
        <v>317</v>
      </c>
      <c r="J259" s="603"/>
      <c r="K259" t="s">
        <v>1559</v>
      </c>
      <c r="L259" s="603" t="str" cm="1">
        <f t="array" aca="1" ref="L259" ca="1">[1]!NOM_FEUILLE('Bilans Blé tendre - FAM'!$A$1)</f>
        <v>Bilans Blé tendre - FAM</v>
      </c>
      <c r="M259" s="26" t="str">
        <f>Etiquettes!$H$11</f>
        <v>Volume</v>
      </c>
      <c r="N259" t="str">
        <f t="shared" si="3"/>
        <v>Collecte = 31877 kt (Bilans par campagne - FranceAgriMer)</v>
      </c>
      <c r="O259" s="26" t="str">
        <f>Etiquettes!$I$15</f>
        <v>Robuste</v>
      </c>
      <c r="P259" s="603" t="str">
        <f>Etiquettes!$H$16</f>
        <v>Données collectées</v>
      </c>
      <c r="Q259" s="603" t="str">
        <f>Etiquettes!$H$17</f>
        <v>Donnée collectée (valeur du flux ou coefficient)</v>
      </c>
    </row>
    <row r="260" spans="1:19">
      <c r="A260" t="str">
        <f>'Prétraitement bilans'!A13</f>
        <v>Grains collectés</v>
      </c>
      <c r="B260" t="str">
        <f>'Prétraitement bilans'!B13</f>
        <v>Amidonnerie / Glutennerie</v>
      </c>
      <c r="C260" s="458">
        <f>'Prétraitement bilans'!V13</f>
        <v>2112.4152110010004</v>
      </c>
      <c r="E260" t="str">
        <f>Etiquettes!$C$3</f>
        <v>kt</v>
      </c>
      <c r="F260" s="26" t="str">
        <f>Etiquettes!$H$6</f>
        <v>Blé tendre</v>
      </c>
      <c r="G260" s="26" t="str">
        <f>Etiquettes!$J$5</f>
        <v>2023-24</v>
      </c>
      <c r="H260" t="str">
        <f>Etiquettes!$C$4</f>
        <v>France entière</v>
      </c>
      <c r="I260" s="603" t="s">
        <v>1563</v>
      </c>
      <c r="J260" s="603"/>
      <c r="K260" t="s">
        <v>1559</v>
      </c>
      <c r="L260" s="603" t="str" cm="1">
        <f t="array" aca="1" ref="L260" ca="1">[1]!NOM_FEUILLE('Bilans Blé tendre - FAM'!$A$1)</f>
        <v>Bilans Blé tendre - FAM</v>
      </c>
      <c r="M260" s="26" t="str">
        <f>Etiquettes!$H$11</f>
        <v>Volume</v>
      </c>
      <c r="N260" t="str">
        <f t="shared" ref="N260:N323" si="4">_xlfn.CONCAT(I260,IF(ISBLANK(C260),"",_xlfn.CONCAT(" = ",MROUND(C260,1)," ",E260))," (",K260,")")</f>
        <v>Consommation de grains par l'Amidonnerie = 2112 kt (Bilans par campagne - FranceAgriMer)</v>
      </c>
      <c r="O260" s="26" t="str">
        <f>Etiquettes!$J$15</f>
        <v>Probable</v>
      </c>
      <c r="P260" s="603" t="str">
        <f>Etiquettes!$H$16</f>
        <v>Données collectées</v>
      </c>
      <c r="Q260" s="603" t="str">
        <f>Etiquettes!$H$17</f>
        <v>Donnée collectée (valeur du flux ou coefficient)</v>
      </c>
    </row>
    <row r="261" spans="1:19">
      <c r="A261" t="str">
        <f>'Prétraitement bilans'!A16</f>
        <v>Grains collectés</v>
      </c>
      <c r="B261" t="str">
        <f>'Prétraitement bilans'!B16</f>
        <v>Distillerie</v>
      </c>
      <c r="C261" s="458">
        <f>'Prétraitement bilans'!V16</f>
        <v>1620</v>
      </c>
      <c r="E261" t="str">
        <f>Etiquettes!$C$3</f>
        <v>kt</v>
      </c>
      <c r="F261" s="26" t="str">
        <f>Etiquettes!$H$6</f>
        <v>Blé tendre</v>
      </c>
      <c r="G261" s="26" t="str">
        <f>Etiquettes!$J$5</f>
        <v>2023-24</v>
      </c>
      <c r="H261" t="str">
        <f>Etiquettes!$C$4</f>
        <v>France entière</v>
      </c>
      <c r="I261" s="603" t="s">
        <v>1564</v>
      </c>
      <c r="J261" s="603"/>
      <c r="K261" t="s">
        <v>1559</v>
      </c>
      <c r="L261" s="603" t="str" cm="1">
        <f t="array" aca="1" ref="L261" ca="1">[1]!NOM_FEUILLE('Bilans Blé tendre - FAM'!$A$1)</f>
        <v>Bilans Blé tendre - FAM</v>
      </c>
      <c r="M261" s="26" t="str">
        <f>Etiquettes!$H$11</f>
        <v>Volume</v>
      </c>
      <c r="N261" t="str">
        <f t="shared" si="4"/>
        <v>Consommation de grains par la Distillerie = 1620 kt (Bilans par campagne - FranceAgriMer)</v>
      </c>
      <c r="O261" s="26" t="str">
        <f>Etiquettes!$J$15</f>
        <v>Probable</v>
      </c>
      <c r="P261" s="603" t="str">
        <f>Etiquettes!$H$16</f>
        <v>Données collectées</v>
      </c>
      <c r="Q261" s="603" t="str">
        <f>Etiquettes!$H$17</f>
        <v>Donnée collectée (valeur du flux ou coefficient)</v>
      </c>
    </row>
    <row r="262" spans="1:19">
      <c r="A262" t="str">
        <f>'Prétraitement bilans'!A17</f>
        <v>Grains collectés</v>
      </c>
      <c r="B262" t="str">
        <f>'Prétraitement bilans'!B17</f>
        <v>Malterie</v>
      </c>
      <c r="C262" s="458"/>
      <c r="E262" t="str">
        <f>Etiquettes!$C$3</f>
        <v>kt</v>
      </c>
      <c r="F262" s="26" t="str">
        <f>Etiquettes!$H$6</f>
        <v>Blé tendre</v>
      </c>
      <c r="G262" s="26" t="str">
        <f>Etiquettes!$J$5</f>
        <v>2023-24</v>
      </c>
      <c r="H262" t="str">
        <f>Etiquettes!$C$4</f>
        <v>France entière</v>
      </c>
      <c r="I262" s="603"/>
      <c r="J262" s="603"/>
      <c r="K262"/>
      <c r="P262" s="603"/>
      <c r="Q262" s="603"/>
      <c r="R262" t="s">
        <v>1812</v>
      </c>
    </row>
    <row r="263" spans="1:19" s="26" customFormat="1">
      <c r="A263" t="str">
        <f>'Prétraitement bilans'!A18</f>
        <v>Grains collectés</v>
      </c>
      <c r="B263" t="str">
        <f>'Prétraitement bilans'!B18</f>
        <v>Autres IAA</v>
      </c>
      <c r="C263" s="458">
        <f>'Prétraitement bilans'!V18</f>
        <v>0</v>
      </c>
      <c r="D263" s="10"/>
      <c r="E263" t="str">
        <f>Etiquettes!$C$3</f>
        <v>kt</v>
      </c>
      <c r="F263" s="26" t="str">
        <f>Etiquettes!$H$6</f>
        <v>Blé tendre</v>
      </c>
      <c r="G263" s="26" t="str">
        <f>Etiquettes!$J$5</f>
        <v>2023-24</v>
      </c>
      <c r="H263" t="str">
        <f>Etiquettes!$C$4</f>
        <v>France entière</v>
      </c>
      <c r="I263" s="603" t="s">
        <v>1566</v>
      </c>
      <c r="J263" s="603"/>
      <c r="K263" t="s">
        <v>1559</v>
      </c>
      <c r="L263" s="603" t="str" cm="1">
        <f t="array" aca="1" ref="L263" ca="1">[1]!NOM_FEUILLE('Bilans Blé tendre - FAM'!$A$1)</f>
        <v>Bilans Blé tendre - FAM</v>
      </c>
      <c r="M263" s="26" t="str">
        <f>Etiquettes!$H$11</f>
        <v>Volume</v>
      </c>
      <c r="N263" t="str">
        <f t="shared" si="4"/>
        <v>Consommation de grains par les autres IAA = 0 kt (Bilans par campagne - FranceAgriMer)</v>
      </c>
      <c r="O263" s="26" t="str">
        <f>Etiquettes!$J$15</f>
        <v>Probable</v>
      </c>
      <c r="P263" s="603" t="str">
        <f>Etiquettes!$H$16</f>
        <v>Données collectées</v>
      </c>
      <c r="Q263" s="603" t="str">
        <f>Etiquettes!$H$17</f>
        <v>Donnée collectée (valeur du flux ou coefficient)</v>
      </c>
      <c r="R263"/>
      <c r="S263"/>
    </row>
    <row r="264" spans="1:19" s="26" customFormat="1">
      <c r="A264" t="str">
        <f>'Prétraitement bilans'!A19</f>
        <v>Grains collectés</v>
      </c>
      <c r="B264" t="str">
        <f>'Prétraitement bilans'!B19</f>
        <v>Semoulerie</v>
      </c>
      <c r="C264" s="458">
        <f>'Prétraitement bilans'!V19</f>
        <v>0</v>
      </c>
      <c r="D264" s="10"/>
      <c r="E264" t="str">
        <f>Etiquettes!$C$3</f>
        <v>kt</v>
      </c>
      <c r="F264" s="26" t="str">
        <f>Etiquettes!$H$6</f>
        <v>Blé tendre</v>
      </c>
      <c r="G264" s="26" t="str">
        <f>Etiquettes!$J$5</f>
        <v>2023-24</v>
      </c>
      <c r="H264" t="str">
        <f>Etiquettes!$C$4</f>
        <v>France entière</v>
      </c>
      <c r="I264" s="603" t="s">
        <v>1567</v>
      </c>
      <c r="J264" s="603"/>
      <c r="K264" t="s">
        <v>1559</v>
      </c>
      <c r="L264" s="603" t="str" cm="1">
        <f t="array" aca="1" ref="L264" ca="1">[1]!NOM_FEUILLE('Bilans Blé tendre - FAM'!$A$1)</f>
        <v>Bilans Blé tendre - FAM</v>
      </c>
      <c r="M264" s="26" t="str">
        <f>Etiquettes!$H$11</f>
        <v>Volume</v>
      </c>
      <c r="N264" t="str">
        <f t="shared" si="4"/>
        <v>Consommation de grains par la Semoulerie = 0 kt (Bilans par campagne - FranceAgriMer)</v>
      </c>
      <c r="O264" s="26" t="str">
        <f>Etiquettes!$J$15</f>
        <v>Probable</v>
      </c>
      <c r="P264" s="603" t="str">
        <f>Etiquettes!$H$16</f>
        <v>Données collectées</v>
      </c>
      <c r="Q264" s="603" t="str">
        <f>Etiquettes!$H$17</f>
        <v>Donnée collectée (valeur du flux ou coefficient)</v>
      </c>
      <c r="R264"/>
      <c r="S264"/>
    </row>
    <row r="265" spans="1:19" s="26" customFormat="1">
      <c r="A265" t="str">
        <f>'Prétraitement bilans'!A20</f>
        <v>Grains collectés</v>
      </c>
      <c r="B265" t="str">
        <f>'Prétraitement bilans'!B20</f>
        <v>FAB</v>
      </c>
      <c r="C265" s="458">
        <f>'Prétraitement bilans'!V20</f>
        <v>4495.5036689999997</v>
      </c>
      <c r="D265" s="10"/>
      <c r="E265" t="str">
        <f>Etiquettes!$C$3</f>
        <v>kt</v>
      </c>
      <c r="F265" s="26" t="str">
        <f>Etiquettes!$H$6</f>
        <v>Blé tendre</v>
      </c>
      <c r="G265" s="26" t="str">
        <f>Etiquettes!$J$5</f>
        <v>2023-24</v>
      </c>
      <c r="H265" t="str">
        <f>Etiquettes!$C$4</f>
        <v>France entière</v>
      </c>
      <c r="I265" s="603" t="s">
        <v>1568</v>
      </c>
      <c r="J265" s="603"/>
      <c r="K265" t="s">
        <v>1559</v>
      </c>
      <c r="L265" s="603" t="str" cm="1">
        <f t="array" aca="1" ref="L265" ca="1">[1]!NOM_FEUILLE('Bilans Blé tendre - FAM'!$A$1)</f>
        <v>Bilans Blé tendre - FAM</v>
      </c>
      <c r="M265" s="26" t="str">
        <f>Etiquettes!$H$11</f>
        <v>Volume</v>
      </c>
      <c r="N265" t="str">
        <f t="shared" si="4"/>
        <v>Consommation de grains par les FAB = 4496 kt (Bilans par campagne - FranceAgriMer)</v>
      </c>
      <c r="O265" s="26" t="str">
        <f>Etiquettes!$J$15</f>
        <v>Probable</v>
      </c>
      <c r="P265" s="603" t="str">
        <f>Etiquettes!$H$16</f>
        <v>Données collectées</v>
      </c>
      <c r="Q265" s="603" t="str">
        <f>Etiquettes!$H$17</f>
        <v>Donnée collectée (valeur du flux ou coefficient)</v>
      </c>
      <c r="R265"/>
      <c r="S265"/>
    </row>
    <row r="266" spans="1:19" s="26" customFormat="1">
      <c r="A266" t="str">
        <f>'Prétraitement bilans'!A21</f>
        <v>Grains collectés</v>
      </c>
      <c r="B266" t="str">
        <f>'Prétraitement bilans'!B21</f>
        <v>Semences certifiées</v>
      </c>
      <c r="C266" s="458">
        <f>'Prétraitement bilans'!V21</f>
        <v>305.46080000000001</v>
      </c>
      <c r="D266" s="10"/>
      <c r="E266" t="str">
        <f>Etiquettes!$C$3</f>
        <v>kt</v>
      </c>
      <c r="F266" s="26" t="str">
        <f>Etiquettes!$H$6</f>
        <v>Blé tendre</v>
      </c>
      <c r="G266" s="26" t="str">
        <f>Etiquettes!$J$5</f>
        <v>2023-24</v>
      </c>
      <c r="H266" t="str">
        <f>Etiquettes!$C$4</f>
        <v>France entière</v>
      </c>
      <c r="I266" s="603" t="s">
        <v>1561</v>
      </c>
      <c r="J266" s="603"/>
      <c r="K266" t="s">
        <v>1559</v>
      </c>
      <c r="L266" s="603" t="str" cm="1">
        <f t="array" aca="1" ref="L266" ca="1">[1]!NOM_FEUILLE('Bilans Blé tendre - FAM'!$A$1)</f>
        <v>Bilans Blé tendre - FAM</v>
      </c>
      <c r="M266" s="26" t="str">
        <f>Etiquettes!$H$11</f>
        <v>Volume</v>
      </c>
      <c r="N266" t="str">
        <f t="shared" si="4"/>
        <v>Production de semences certifiées = 305 kt (Bilans par campagne - FranceAgriMer)</v>
      </c>
      <c r="O266" s="26" t="str">
        <f>Etiquettes!$J$15</f>
        <v>Probable</v>
      </c>
      <c r="P266" s="603" t="str">
        <f>Etiquettes!$H$16</f>
        <v>Données collectées</v>
      </c>
      <c r="Q266" s="603" t="str">
        <f>Etiquettes!$H$17</f>
        <v>Donnée collectée (valeur du flux ou coefficient)</v>
      </c>
      <c r="R266"/>
      <c r="S266"/>
    </row>
    <row r="267" spans="1:19" s="26" customFormat="1">
      <c r="A267" t="str">
        <f>'Prétraitement bilans'!A25</f>
        <v>OS</v>
      </c>
      <c r="B267" t="str">
        <f>'Prétraitement bilans'!B25</f>
        <v>Stock final</v>
      </c>
      <c r="C267" s="458">
        <f>'Prétraitement bilans'!V25</f>
        <v>2429.2547999999997</v>
      </c>
      <c r="D267" s="10"/>
      <c r="E267" t="str">
        <f>Etiquettes!$C$3</f>
        <v>kt</v>
      </c>
      <c r="F267" s="26" t="str">
        <f>Etiquettes!$H$6</f>
        <v>Blé tendre</v>
      </c>
      <c r="G267" s="26" t="str">
        <f>Etiquettes!$J$5</f>
        <v>2023-24</v>
      </c>
      <c r="H267" t="str">
        <f>Etiquettes!$C$4</f>
        <v>France entière</v>
      </c>
      <c r="I267" s="603" t="s">
        <v>1128</v>
      </c>
      <c r="J267" s="603"/>
      <c r="K267" t="s">
        <v>1559</v>
      </c>
      <c r="L267" s="603" t="str" cm="1">
        <f t="array" aca="1" ref="L267" ca="1">[1]!NOM_FEUILLE('Bilans Blé tendre - FAM'!$A$1)</f>
        <v>Bilans Blé tendre - FAM</v>
      </c>
      <c r="M267" s="26" t="str">
        <f>Etiquettes!$H$11</f>
        <v>Volume</v>
      </c>
      <c r="N267" t="str">
        <f t="shared" si="4"/>
        <v>Stock final collecteurs = 2429 kt (Bilans par campagne - FranceAgriMer)</v>
      </c>
      <c r="O267" s="26" t="str">
        <f>Etiquettes!$I$15</f>
        <v>Robuste</v>
      </c>
      <c r="P267" s="603" t="str">
        <f>Etiquettes!$H$16</f>
        <v>Données collectées</v>
      </c>
      <c r="Q267" s="603" t="str">
        <f>Etiquettes!$H$17</f>
        <v>Donnée collectée (valeur du flux ou coefficient)</v>
      </c>
      <c r="R267"/>
      <c r="S267"/>
    </row>
    <row r="268" spans="1:19">
      <c r="A268" t="str">
        <f>'Prétraitement bilans'!A3</f>
        <v>Récolte</v>
      </c>
      <c r="B268" t="str">
        <f>'Prétraitement bilans'!B3</f>
        <v>Grains récoltés</v>
      </c>
      <c r="C268" s="458">
        <f>'Prétraitement bilans'!W3</f>
        <v>12055.824200000001</v>
      </c>
      <c r="E268" t="str">
        <f>Etiquettes!$C$3</f>
        <v>kt</v>
      </c>
      <c r="F268" s="26" t="str">
        <f>Etiquettes!$I$6</f>
        <v>Maïs</v>
      </c>
      <c r="G268" s="26" t="str">
        <f>Etiquettes!$J$5</f>
        <v>2023-24</v>
      </c>
      <c r="H268" t="str">
        <f>Etiquettes!$C$4</f>
        <v>France entière</v>
      </c>
      <c r="I268" s="603" t="s">
        <v>1106</v>
      </c>
      <c r="J268" s="603"/>
      <c r="K268" t="s">
        <v>1559</v>
      </c>
      <c r="L268" s="603" t="str" cm="1">
        <f t="array" aca="1" ref="L268" ca="1">[1]!NOM_FEUILLE('Bilans Maïs - FAM'!$A$1)</f>
        <v>Bilans Maïs - FAM</v>
      </c>
      <c r="M268" s="26" t="str">
        <f>Etiquettes!$H$11</f>
        <v>Volume</v>
      </c>
      <c r="N268" t="str">
        <f t="shared" si="4"/>
        <v>Récolte = 12056 kt (Bilans par campagne - FranceAgriMer)</v>
      </c>
      <c r="O268" s="26" t="str">
        <f>Etiquettes!$H$15</f>
        <v>Fiable</v>
      </c>
      <c r="P268" s="603" t="str">
        <f>Etiquettes!$H$16</f>
        <v>Données collectées</v>
      </c>
      <c r="Q268" s="603" t="str">
        <f>Etiquettes!$H$17</f>
        <v>Donnée collectée (valeur du flux ou coefficient)</v>
      </c>
    </row>
    <row r="269" spans="1:19">
      <c r="A269" t="str">
        <f>'Prétraitement bilans'!A4</f>
        <v>Stock initial</v>
      </c>
      <c r="B269" t="str">
        <f>'Prétraitement bilans'!B4</f>
        <v>Ferme</v>
      </c>
      <c r="C269" s="458">
        <f>'Prétraitement bilans'!W4</f>
        <v>0</v>
      </c>
      <c r="E269" t="str">
        <f>Etiquettes!$C$3</f>
        <v>kt</v>
      </c>
      <c r="F269" s="26" t="str">
        <f>Etiquettes!$I$6</f>
        <v>Maïs</v>
      </c>
      <c r="G269" s="26" t="str">
        <f>Etiquettes!$J$5</f>
        <v>2023-24</v>
      </c>
      <c r="H269" t="str">
        <f>Etiquettes!$C$4</f>
        <v>France entière</v>
      </c>
      <c r="I269" s="603" t="s">
        <v>1115</v>
      </c>
      <c r="J269" s="603"/>
      <c r="K269" t="s">
        <v>1559</v>
      </c>
      <c r="L269" s="603" t="str" cm="1">
        <f t="array" aca="1" ref="L269" ca="1">[1]!NOM_FEUILLE('Bilans Maïs - FAM'!$A$1)</f>
        <v>Bilans Maïs - FAM</v>
      </c>
      <c r="M269" s="26" t="str">
        <f>Etiquettes!$H$11</f>
        <v>Volume</v>
      </c>
      <c r="N269" t="str">
        <f t="shared" si="4"/>
        <v>Stock initial à la ferme = 0 kt (Bilans par campagne - FranceAgriMer)</v>
      </c>
      <c r="O269" s="26" t="str">
        <f>Etiquettes!$K$15</f>
        <v>Approximative</v>
      </c>
      <c r="P269" s="603" t="str">
        <f>Etiquettes!$H$16</f>
        <v>Données collectées</v>
      </c>
      <c r="Q269" s="603" t="str">
        <f>Etiquettes!$H$17</f>
        <v>Donnée collectée (valeur du flux ou coefficient)</v>
      </c>
    </row>
    <row r="270" spans="1:19">
      <c r="A270" t="str">
        <f>'Prétraitement bilans'!A5</f>
        <v>Ferme</v>
      </c>
      <c r="B270" t="str">
        <f>'Prétraitement bilans'!B5</f>
        <v>Grains autoconsommés</v>
      </c>
      <c r="C270" s="458">
        <f>'Prétraitement bilans'!W5</f>
        <v>1439.8242000000009</v>
      </c>
      <c r="E270" t="str">
        <f>Etiquettes!$C$3</f>
        <v>kt</v>
      </c>
      <c r="F270" s="26" t="str">
        <f>Etiquettes!$I$6</f>
        <v>Maïs</v>
      </c>
      <c r="G270" s="26" t="str">
        <f>Etiquettes!$J$5</f>
        <v>2023-24</v>
      </c>
      <c r="H270" t="str">
        <f>Etiquettes!$C$4</f>
        <v>France entière</v>
      </c>
      <c r="I270" s="603" t="s">
        <v>1560</v>
      </c>
      <c r="J270" s="603"/>
      <c r="K270" t="s">
        <v>1559</v>
      </c>
      <c r="L270" s="603" t="str" cm="1">
        <f t="array" aca="1" ref="L270" ca="1">[1]!NOM_FEUILLE('Bilans Maïs - FAM'!$A$1)</f>
        <v>Bilans Maïs - FAM</v>
      </c>
      <c r="M270" s="26" t="str">
        <f>Etiquettes!$H$11</f>
        <v>Volume</v>
      </c>
      <c r="N270" t="str">
        <f t="shared" si="4"/>
        <v>Autoconsommation à la ferme = 1440 kt (Bilans par campagne - FranceAgriMer)</v>
      </c>
      <c r="O270" s="26" t="str">
        <f>Etiquettes!$K$15</f>
        <v>Approximative</v>
      </c>
      <c r="P270" s="603" t="str">
        <f>Etiquettes!$H$16</f>
        <v>Données collectées</v>
      </c>
      <c r="Q270" s="603" t="str">
        <f>Etiquettes!$H$17</f>
        <v>Donnée collectée (valeur du flux ou coefficient)</v>
      </c>
    </row>
    <row r="271" spans="1:19">
      <c r="A271" t="str">
        <f>'Prétraitement bilans'!A6</f>
        <v>Ferme</v>
      </c>
      <c r="B271" t="str">
        <f>'Prétraitement bilans'!B6</f>
        <v>Stock final</v>
      </c>
      <c r="C271" s="458">
        <f>'Prétraitement bilans'!W6</f>
        <v>0</v>
      </c>
      <c r="E271" t="str">
        <f>Etiquettes!$C$3</f>
        <v>kt</v>
      </c>
      <c r="F271" s="26" t="str">
        <f>Etiquettes!$I$6</f>
        <v>Maïs</v>
      </c>
      <c r="G271" s="26" t="str">
        <f>Etiquettes!$J$5</f>
        <v>2023-24</v>
      </c>
      <c r="H271" t="str">
        <f>Etiquettes!$C$4</f>
        <v>France entière</v>
      </c>
      <c r="I271" s="603" t="s">
        <v>1116</v>
      </c>
      <c r="J271" s="603"/>
      <c r="K271" t="s">
        <v>1559</v>
      </c>
      <c r="L271" s="603" t="str" cm="1">
        <f t="array" aca="1" ref="L271" ca="1">[1]!NOM_FEUILLE('Bilans Maïs - FAM'!$A$1)</f>
        <v>Bilans Maïs - FAM</v>
      </c>
      <c r="M271" s="26" t="str">
        <f>Etiquettes!$H$11</f>
        <v>Volume</v>
      </c>
      <c r="N271" t="str">
        <f t="shared" si="4"/>
        <v>Stock final à la ferme = 0 kt (Bilans par campagne - FranceAgriMer)</v>
      </c>
      <c r="O271" s="26" t="str">
        <f>Etiquettes!$K$15</f>
        <v>Approximative</v>
      </c>
      <c r="P271" s="603" t="str">
        <f>Etiquettes!$H$16</f>
        <v>Données collectées</v>
      </c>
      <c r="Q271" s="603" t="str">
        <f>Etiquettes!$H$17</f>
        <v>Donnée collectée (valeur du flux ou coefficient)</v>
      </c>
    </row>
    <row r="272" spans="1:19">
      <c r="A272" t="str">
        <f>'Prétraitement bilans'!A7</f>
        <v>Stock initial</v>
      </c>
      <c r="B272" t="str">
        <f>'Prétraitement bilans'!B7</f>
        <v>OS</v>
      </c>
      <c r="C272" s="458">
        <f>'Prétraitement bilans'!W7</f>
        <v>1477.1908000000001</v>
      </c>
      <c r="E272" t="str">
        <f>Etiquettes!$C$3</f>
        <v>kt</v>
      </c>
      <c r="F272" s="26" t="str">
        <f>Etiquettes!$I$6</f>
        <v>Maïs</v>
      </c>
      <c r="G272" s="26" t="str">
        <f>Etiquettes!$J$5</f>
        <v>2023-24</v>
      </c>
      <c r="H272" t="str">
        <f>Etiquettes!$C$4</f>
        <v>France entière</v>
      </c>
      <c r="I272" s="603" t="s">
        <v>1127</v>
      </c>
      <c r="J272" s="603"/>
      <c r="K272" t="s">
        <v>1559</v>
      </c>
      <c r="L272" s="603" t="str" cm="1">
        <f t="array" aca="1" ref="L272" ca="1">[1]!NOM_FEUILLE('Bilans Maïs - FAM'!$A$1)</f>
        <v>Bilans Maïs - FAM</v>
      </c>
      <c r="M272" s="26" t="str">
        <f>Etiquettes!$H$11</f>
        <v>Volume</v>
      </c>
      <c r="N272" t="str">
        <f t="shared" si="4"/>
        <v>Stock initial collecteurs = 1477 kt (Bilans par campagne - FranceAgriMer)</v>
      </c>
      <c r="O272" s="26" t="str">
        <f>Etiquettes!$I$15</f>
        <v>Robuste</v>
      </c>
      <c r="P272" s="603" t="str">
        <f>Etiquettes!$H$16</f>
        <v>Données collectées</v>
      </c>
      <c r="Q272" s="603" t="str">
        <f>Etiquettes!$H$17</f>
        <v>Donnée collectée (valeur du flux ou coefficient)</v>
      </c>
    </row>
    <row r="273" spans="1:19">
      <c r="A273" t="str">
        <f>'Prétraitement bilans'!A8</f>
        <v>Grains récoltés</v>
      </c>
      <c r="B273" t="str">
        <f>'Prétraitement bilans'!B8</f>
        <v>OS</v>
      </c>
      <c r="C273" s="458">
        <f>'Prétraitement bilans'!W8</f>
        <v>10616</v>
      </c>
      <c r="E273" t="str">
        <f>Etiquettes!$C$3</f>
        <v>kt</v>
      </c>
      <c r="F273" s="26" t="str">
        <f>Etiquettes!$I$6</f>
        <v>Maïs</v>
      </c>
      <c r="G273" s="26" t="str">
        <f>Etiquettes!$J$5</f>
        <v>2023-24</v>
      </c>
      <c r="H273" t="str">
        <f>Etiquettes!$C$4</f>
        <v>France entière</v>
      </c>
      <c r="I273" s="603" t="s">
        <v>317</v>
      </c>
      <c r="J273" s="603"/>
      <c r="K273" t="s">
        <v>1559</v>
      </c>
      <c r="L273" s="603" t="str" cm="1">
        <f t="array" aca="1" ref="L273" ca="1">[1]!NOM_FEUILLE('Bilans Maïs - FAM'!$A$1)</f>
        <v>Bilans Maïs - FAM</v>
      </c>
      <c r="M273" s="26" t="str">
        <f>Etiquettes!$H$11</f>
        <v>Volume</v>
      </c>
      <c r="N273" t="str">
        <f t="shared" si="4"/>
        <v>Collecte = 10616 kt (Bilans par campagne - FranceAgriMer)</v>
      </c>
      <c r="O273" s="26" t="str">
        <f>Etiquettes!$I$15</f>
        <v>Robuste</v>
      </c>
      <c r="P273" s="603" t="str">
        <f>Etiquettes!$H$16</f>
        <v>Données collectées</v>
      </c>
      <c r="Q273" s="603" t="str">
        <f>Etiquettes!$H$17</f>
        <v>Donnée collectée (valeur du flux ou coefficient)</v>
      </c>
    </row>
    <row r="274" spans="1:19">
      <c r="A274" t="str">
        <f>'Prétraitement bilans'!A13</f>
        <v>Grains collectés</v>
      </c>
      <c r="B274" t="str">
        <f>'Prétraitement bilans'!B13</f>
        <v>Amidonnerie / Glutennerie</v>
      </c>
      <c r="C274" s="458">
        <f>'Prétraitement bilans'!W13</f>
        <v>1543.125597</v>
      </c>
      <c r="E274" t="str">
        <f>Etiquettes!$C$3</f>
        <v>kt</v>
      </c>
      <c r="F274" s="26" t="str">
        <f>Etiquettes!$I$6</f>
        <v>Maïs</v>
      </c>
      <c r="G274" s="26" t="str">
        <f>Etiquettes!$J$5</f>
        <v>2023-24</v>
      </c>
      <c r="H274" t="str">
        <f>Etiquettes!$C$4</f>
        <v>France entière</v>
      </c>
      <c r="I274" s="603" t="s">
        <v>1563</v>
      </c>
      <c r="J274" s="603"/>
      <c r="K274" t="s">
        <v>1559</v>
      </c>
      <c r="L274" s="603" t="str" cm="1">
        <f t="array" aca="1" ref="L274" ca="1">[1]!NOM_FEUILLE('Bilans Maïs - FAM'!$A$1)</f>
        <v>Bilans Maïs - FAM</v>
      </c>
      <c r="M274" s="26" t="str">
        <f>Etiquettes!$H$11</f>
        <v>Volume</v>
      </c>
      <c r="N274" t="str">
        <f t="shared" si="4"/>
        <v>Consommation de grains par l'Amidonnerie = 1543 kt (Bilans par campagne - FranceAgriMer)</v>
      </c>
      <c r="O274" s="26" t="str">
        <f>Etiquettes!$J$15</f>
        <v>Probable</v>
      </c>
      <c r="P274" s="603" t="str">
        <f>Etiquettes!$H$16</f>
        <v>Données collectées</v>
      </c>
      <c r="Q274" s="603" t="str">
        <f>Etiquettes!$H$17</f>
        <v>Donnée collectée (valeur du flux ou coefficient)</v>
      </c>
    </row>
    <row r="275" spans="1:19">
      <c r="A275" t="str">
        <f>'Prétraitement bilans'!A16</f>
        <v>Grains collectés</v>
      </c>
      <c r="B275" t="str">
        <f>'Prétraitement bilans'!B16</f>
        <v>Distillerie</v>
      </c>
      <c r="C275" s="458">
        <f>'Prétraitement bilans'!W16</f>
        <v>530</v>
      </c>
      <c r="E275" t="str">
        <f>Etiquettes!$C$3</f>
        <v>kt</v>
      </c>
      <c r="F275" s="26" t="str">
        <f>Etiquettes!$I$6</f>
        <v>Maïs</v>
      </c>
      <c r="G275" s="26" t="str">
        <f>Etiquettes!$J$5</f>
        <v>2023-24</v>
      </c>
      <c r="H275" t="str">
        <f>Etiquettes!$C$4</f>
        <v>France entière</v>
      </c>
      <c r="I275" s="603" t="s">
        <v>1564</v>
      </c>
      <c r="J275" s="603"/>
      <c r="K275" t="s">
        <v>1559</v>
      </c>
      <c r="L275" s="603" t="str" cm="1">
        <f t="array" aca="1" ref="L275" ca="1">[1]!NOM_FEUILLE('Bilans Maïs - FAM'!$A$1)</f>
        <v>Bilans Maïs - FAM</v>
      </c>
      <c r="M275" s="26" t="str">
        <f>Etiquettes!$H$11</f>
        <v>Volume</v>
      </c>
      <c r="N275" t="str">
        <f t="shared" si="4"/>
        <v>Consommation de grains par la Distillerie = 530 kt (Bilans par campagne - FranceAgriMer)</v>
      </c>
      <c r="O275" s="26" t="str">
        <f>Etiquettes!$J$15</f>
        <v>Probable</v>
      </c>
      <c r="P275" s="603" t="str">
        <f>Etiquettes!$H$16</f>
        <v>Données collectées</v>
      </c>
      <c r="Q275" s="603" t="str">
        <f>Etiquettes!$H$17</f>
        <v>Donnée collectée (valeur du flux ou coefficient)</v>
      </c>
    </row>
    <row r="276" spans="1:19">
      <c r="A276" t="str">
        <f>'Prétraitement bilans'!A17</f>
        <v>Grains collectés</v>
      </c>
      <c r="B276" t="str">
        <f>'Prétraitement bilans'!B17</f>
        <v>Malterie</v>
      </c>
      <c r="C276" s="458">
        <f>'Prétraitement bilans'!W17</f>
        <v>0</v>
      </c>
      <c r="E276" t="str">
        <f>Etiquettes!$C$3</f>
        <v>kt</v>
      </c>
      <c r="F276" s="26" t="str">
        <f>Etiquettes!$I$6</f>
        <v>Maïs</v>
      </c>
      <c r="G276" s="26" t="str">
        <f>Etiquettes!$J$5</f>
        <v>2023-24</v>
      </c>
      <c r="H276" t="str">
        <f>Etiquettes!$C$4</f>
        <v>France entière</v>
      </c>
      <c r="I276" s="603" t="s">
        <v>1565</v>
      </c>
      <c r="J276" s="603"/>
      <c r="K276" t="s">
        <v>1559</v>
      </c>
      <c r="L276" s="603" t="str" cm="1">
        <f t="array" aca="1" ref="L276" ca="1">[1]!NOM_FEUILLE('Bilans Maïs - FAM'!$A$1)</f>
        <v>Bilans Maïs - FAM</v>
      </c>
      <c r="M276" s="26" t="str">
        <f>Etiquettes!$H$11</f>
        <v>Volume</v>
      </c>
      <c r="N276" t="str">
        <f t="shared" si="4"/>
        <v>Consommation de grains par la Malterie = 0 kt (Bilans par campagne - FranceAgriMer)</v>
      </c>
      <c r="O276" s="26" t="str">
        <f>Etiquettes!$J$15</f>
        <v>Probable</v>
      </c>
      <c r="P276" s="603" t="str">
        <f>Etiquettes!$H$16</f>
        <v>Données collectées</v>
      </c>
      <c r="Q276" s="603" t="str">
        <f>Etiquettes!$H$17</f>
        <v>Donnée collectée (valeur du flux ou coefficient)</v>
      </c>
    </row>
    <row r="277" spans="1:19" s="26" customFormat="1">
      <c r="A277" t="str">
        <f>'Prétraitement bilans'!A18</f>
        <v>Grains collectés</v>
      </c>
      <c r="B277" t="str">
        <f>'Prétraitement bilans'!B18</f>
        <v>Autres IAA</v>
      </c>
      <c r="C277" s="458">
        <f>'Prétraitement bilans'!W18</f>
        <v>0</v>
      </c>
      <c r="D277" s="10"/>
      <c r="E277" t="str">
        <f>Etiquettes!$C$3</f>
        <v>kt</v>
      </c>
      <c r="F277" s="26" t="str">
        <f>Etiquettes!$I$6</f>
        <v>Maïs</v>
      </c>
      <c r="G277" s="26" t="str">
        <f>Etiquettes!$J$5</f>
        <v>2023-24</v>
      </c>
      <c r="H277" t="str">
        <f>Etiquettes!$C$4</f>
        <v>France entière</v>
      </c>
      <c r="I277" s="603" t="s">
        <v>1566</v>
      </c>
      <c r="J277" s="603"/>
      <c r="K277" t="s">
        <v>1559</v>
      </c>
      <c r="L277" s="603" t="str" cm="1">
        <f t="array" aca="1" ref="L277" ca="1">[1]!NOM_FEUILLE('Bilans Maïs - FAM'!$A$1)</f>
        <v>Bilans Maïs - FAM</v>
      </c>
      <c r="M277" s="26" t="str">
        <f>Etiquettes!$H$11</f>
        <v>Volume</v>
      </c>
      <c r="N277" t="str">
        <f t="shared" si="4"/>
        <v>Consommation de grains par les autres IAA = 0 kt (Bilans par campagne - FranceAgriMer)</v>
      </c>
      <c r="O277" s="26" t="str">
        <f>Etiquettes!$J$15</f>
        <v>Probable</v>
      </c>
      <c r="P277" s="603" t="str">
        <f>Etiquettes!$H$16</f>
        <v>Données collectées</v>
      </c>
      <c r="Q277" s="603" t="str">
        <f>Etiquettes!$H$17</f>
        <v>Donnée collectée (valeur du flux ou coefficient)</v>
      </c>
      <c r="R277"/>
      <c r="S277"/>
    </row>
    <row r="278" spans="1:19" s="26" customFormat="1">
      <c r="A278" t="str">
        <f>'Prétraitement bilans'!A19</f>
        <v>Grains collectés</v>
      </c>
      <c r="B278" t="str">
        <f>'Prétraitement bilans'!B19</f>
        <v>Semoulerie</v>
      </c>
      <c r="C278" s="458">
        <f>'Prétraitement bilans'!W19</f>
        <v>245.67962</v>
      </c>
      <c r="D278" s="10"/>
      <c r="E278" t="str">
        <f>Etiquettes!$C$3</f>
        <v>kt</v>
      </c>
      <c r="F278" s="26" t="str">
        <f>Etiquettes!$I$6</f>
        <v>Maïs</v>
      </c>
      <c r="G278" s="26" t="str">
        <f>Etiquettes!$J$5</f>
        <v>2023-24</v>
      </c>
      <c r="H278" t="str">
        <f>Etiquettes!$C$4</f>
        <v>France entière</v>
      </c>
      <c r="I278" s="603" t="s">
        <v>1567</v>
      </c>
      <c r="J278" s="603"/>
      <c r="K278" t="s">
        <v>1559</v>
      </c>
      <c r="L278" s="603" t="str" cm="1">
        <f t="array" aca="1" ref="L278" ca="1">[1]!NOM_FEUILLE('Bilans Maïs - FAM'!$A$1)</f>
        <v>Bilans Maïs - FAM</v>
      </c>
      <c r="M278" s="26" t="str">
        <f>Etiquettes!$H$11</f>
        <v>Volume</v>
      </c>
      <c r="N278" t="str">
        <f t="shared" si="4"/>
        <v>Consommation de grains par la Semoulerie = 246 kt (Bilans par campagne - FranceAgriMer)</v>
      </c>
      <c r="O278" s="26" t="str">
        <f>Etiquettes!$J$15</f>
        <v>Probable</v>
      </c>
      <c r="P278" s="603" t="str">
        <f>Etiquettes!$H$16</f>
        <v>Données collectées</v>
      </c>
      <c r="Q278" s="603" t="str">
        <f>Etiquettes!$H$17</f>
        <v>Donnée collectée (valeur du flux ou coefficient)</v>
      </c>
      <c r="R278"/>
      <c r="S278"/>
    </row>
    <row r="279" spans="1:19" s="26" customFormat="1">
      <c r="A279" t="str">
        <f>'Prétraitement bilans'!A20</f>
        <v>Grains collectés</v>
      </c>
      <c r="B279" t="str">
        <f>'Prétraitement bilans'!B20</f>
        <v>FAB</v>
      </c>
      <c r="C279" s="458">
        <f>'Prétraitement bilans'!W20</f>
        <v>2816</v>
      </c>
      <c r="D279" s="10"/>
      <c r="E279" t="str">
        <f>Etiquettes!$C$3</f>
        <v>kt</v>
      </c>
      <c r="F279" s="26" t="str">
        <f>Etiquettes!$I$6</f>
        <v>Maïs</v>
      </c>
      <c r="G279" s="26" t="str">
        <f>Etiquettes!$J$5</f>
        <v>2023-24</v>
      </c>
      <c r="H279" t="str">
        <f>Etiquettes!$C$4</f>
        <v>France entière</v>
      </c>
      <c r="I279" s="603" t="s">
        <v>1568</v>
      </c>
      <c r="J279" s="603"/>
      <c r="K279" t="s">
        <v>1559</v>
      </c>
      <c r="L279" s="603" t="str" cm="1">
        <f t="array" aca="1" ref="L279" ca="1">[1]!NOM_FEUILLE('Bilans Maïs - FAM'!$A$1)</f>
        <v>Bilans Maïs - FAM</v>
      </c>
      <c r="M279" s="26" t="str">
        <f>Etiquettes!$H$11</f>
        <v>Volume</v>
      </c>
      <c r="N279" t="str">
        <f t="shared" si="4"/>
        <v>Consommation de grains par les FAB = 2816 kt (Bilans par campagne - FranceAgriMer)</v>
      </c>
      <c r="O279" s="26" t="str">
        <f>Etiquettes!$J$15</f>
        <v>Probable</v>
      </c>
      <c r="P279" s="603" t="str">
        <f>Etiquettes!$H$16</f>
        <v>Données collectées</v>
      </c>
      <c r="Q279" s="603" t="str">
        <f>Etiquettes!$H$17</f>
        <v>Donnée collectée (valeur du flux ou coefficient)</v>
      </c>
      <c r="R279"/>
      <c r="S279"/>
    </row>
    <row r="280" spans="1:19" s="26" customFormat="1">
      <c r="A280" t="str">
        <f>'Prétraitement bilans'!A21</f>
        <v>Grains collectés</v>
      </c>
      <c r="B280" t="str">
        <f>'Prétraitement bilans'!B21</f>
        <v>Semences certifiées</v>
      </c>
      <c r="C280" s="458">
        <f>'Prétraitement bilans'!W21</f>
        <v>105.8360460287458</v>
      </c>
      <c r="D280" s="10"/>
      <c r="E280" t="str">
        <f>Etiquettes!$C$3</f>
        <v>kt</v>
      </c>
      <c r="F280" s="26" t="str">
        <f>Etiquettes!$I$6</f>
        <v>Maïs</v>
      </c>
      <c r="G280" s="26" t="str">
        <f>Etiquettes!$J$5</f>
        <v>2023-24</v>
      </c>
      <c r="H280" t="str">
        <f>Etiquettes!$C$4</f>
        <v>France entière</v>
      </c>
      <c r="I280" s="603" t="s">
        <v>1561</v>
      </c>
      <c r="J280" s="603"/>
      <c r="K280" t="s">
        <v>1559</v>
      </c>
      <c r="L280" s="603" t="str" cm="1">
        <f t="array" aca="1" ref="L280" ca="1">[1]!NOM_FEUILLE('Bilans Maïs - FAM'!$A$1)</f>
        <v>Bilans Maïs - FAM</v>
      </c>
      <c r="M280" s="26" t="str">
        <f>Etiquettes!$H$11</f>
        <v>Volume</v>
      </c>
      <c r="N280" t="str">
        <f t="shared" si="4"/>
        <v>Production de semences certifiées = 106 kt (Bilans par campagne - FranceAgriMer)</v>
      </c>
      <c r="O280" s="26" t="str">
        <f>Etiquettes!$J$15</f>
        <v>Probable</v>
      </c>
      <c r="P280" s="603" t="str">
        <f>Etiquettes!$H$16</f>
        <v>Données collectées</v>
      </c>
      <c r="Q280" s="603" t="str">
        <f>Etiquettes!$H$17</f>
        <v>Donnée collectée (valeur du flux ou coefficient)</v>
      </c>
      <c r="R280"/>
      <c r="S280"/>
    </row>
    <row r="281" spans="1:19" s="26" customFormat="1">
      <c r="A281" t="str">
        <f>'Prétraitement bilans'!A25</f>
        <v>OS</v>
      </c>
      <c r="B281" t="str">
        <f>'Prétraitement bilans'!B25</f>
        <v>Stock final</v>
      </c>
      <c r="C281" s="458">
        <f>'Prétraitement bilans'!W25</f>
        <v>1795.3820000000001</v>
      </c>
      <c r="D281" s="10"/>
      <c r="E281" t="str">
        <f>Etiquettes!$C$3</f>
        <v>kt</v>
      </c>
      <c r="F281" s="26" t="str">
        <f>Etiquettes!$I$6</f>
        <v>Maïs</v>
      </c>
      <c r="G281" s="26" t="str">
        <f>Etiquettes!$J$5</f>
        <v>2023-24</v>
      </c>
      <c r="H281" t="str">
        <f>Etiquettes!$C$4</f>
        <v>France entière</v>
      </c>
      <c r="I281" s="603" t="s">
        <v>1128</v>
      </c>
      <c r="J281" s="603"/>
      <c r="K281" t="s">
        <v>1559</v>
      </c>
      <c r="L281" s="603" t="str" cm="1">
        <f t="array" aca="1" ref="L281" ca="1">[1]!NOM_FEUILLE('Bilans Maïs - FAM'!$A$1)</f>
        <v>Bilans Maïs - FAM</v>
      </c>
      <c r="M281" s="26" t="str">
        <f>Etiquettes!$H$11</f>
        <v>Volume</v>
      </c>
      <c r="N281" t="str">
        <f t="shared" si="4"/>
        <v>Stock final collecteurs = 1795 kt (Bilans par campagne - FranceAgriMer)</v>
      </c>
      <c r="O281" s="26" t="str">
        <f>Etiquettes!$I$15</f>
        <v>Robuste</v>
      </c>
      <c r="P281" s="603" t="str">
        <f>Etiquettes!$H$16</f>
        <v>Données collectées</v>
      </c>
      <c r="Q281" s="603" t="str">
        <f>Etiquettes!$H$17</f>
        <v>Donnée collectée (valeur du flux ou coefficient)</v>
      </c>
      <c r="R281"/>
      <c r="S281"/>
    </row>
    <row r="282" spans="1:19">
      <c r="A282" t="str">
        <f>'Prétraitement bilans'!A3</f>
        <v>Récolte</v>
      </c>
      <c r="B282" t="str">
        <f>'Prétraitement bilans'!B3</f>
        <v>Grains récoltés</v>
      </c>
      <c r="C282" s="458">
        <f>'Prétraitement bilans'!X3</f>
        <v>12286.3518</v>
      </c>
      <c r="E282" t="str">
        <f>Etiquettes!$C$3</f>
        <v>kt</v>
      </c>
      <c r="F282" s="26" t="str">
        <f>Etiquettes!$J$6</f>
        <v>Orge</v>
      </c>
      <c r="G282" s="26" t="str">
        <f>Etiquettes!$J$5</f>
        <v>2023-24</v>
      </c>
      <c r="H282" t="str">
        <f>Etiquettes!$C$4</f>
        <v>France entière</v>
      </c>
      <c r="I282" s="603" t="s">
        <v>1106</v>
      </c>
      <c r="J282" s="603"/>
      <c r="K282" t="s">
        <v>1559</v>
      </c>
      <c r="L282" s="603" t="str" cm="1">
        <f t="array" aca="1" ref="L282" ca="1">[1]!NOM_FEUILLE('Bilans Orge - FAM'!$A$1)</f>
        <v>Bilans Orge - FAM</v>
      </c>
      <c r="M282" s="26" t="str">
        <f>Etiquettes!$H$11</f>
        <v>Volume</v>
      </c>
      <c r="N282" t="str">
        <f t="shared" si="4"/>
        <v>Récolte = 12286 kt (Bilans par campagne - FranceAgriMer)</v>
      </c>
      <c r="O282" s="26" t="str">
        <f>Etiquettes!$H$15</f>
        <v>Fiable</v>
      </c>
      <c r="P282" s="603" t="str">
        <f>Etiquettes!$H$16</f>
        <v>Données collectées</v>
      </c>
      <c r="Q282" s="603" t="str">
        <f>Etiquettes!$H$17</f>
        <v>Donnée collectée (valeur du flux ou coefficient)</v>
      </c>
    </row>
    <row r="283" spans="1:19">
      <c r="A283" t="str">
        <f>'Prétraitement bilans'!A4</f>
        <v>Stock initial</v>
      </c>
      <c r="B283" t="str">
        <f>'Prétraitement bilans'!B4</f>
        <v>Ferme</v>
      </c>
      <c r="C283" s="458">
        <f>'Prétraitement bilans'!X4</f>
        <v>200</v>
      </c>
      <c r="E283" t="str">
        <f>Etiquettes!$C$3</f>
        <v>kt</v>
      </c>
      <c r="F283" s="26" t="str">
        <f>Etiquettes!$J$6</f>
        <v>Orge</v>
      </c>
      <c r="G283" s="26" t="str">
        <f>Etiquettes!$J$5</f>
        <v>2023-24</v>
      </c>
      <c r="H283" t="str">
        <f>Etiquettes!$C$4</f>
        <v>France entière</v>
      </c>
      <c r="I283" s="603" t="s">
        <v>1115</v>
      </c>
      <c r="J283" s="603"/>
      <c r="K283" t="s">
        <v>1559</v>
      </c>
      <c r="L283" s="603" t="str" cm="1">
        <f t="array" aca="1" ref="L283" ca="1">[1]!NOM_FEUILLE('Bilans Orge - FAM'!$A$1)</f>
        <v>Bilans Orge - FAM</v>
      </c>
      <c r="M283" s="26" t="str">
        <f>Etiquettes!$H$11</f>
        <v>Volume</v>
      </c>
      <c r="N283" t="str">
        <f t="shared" si="4"/>
        <v>Stock initial à la ferme = 200 kt (Bilans par campagne - FranceAgriMer)</v>
      </c>
      <c r="O283" s="26" t="str">
        <f>Etiquettes!$K$15</f>
        <v>Approximative</v>
      </c>
      <c r="P283" s="603" t="str">
        <f>Etiquettes!$H$16</f>
        <v>Données collectées</v>
      </c>
      <c r="Q283" s="603" t="str">
        <f>Etiquettes!$H$17</f>
        <v>Donnée collectée (valeur du flux ou coefficient)</v>
      </c>
    </row>
    <row r="284" spans="1:19">
      <c r="A284" t="str">
        <f>'Prétraitement bilans'!A5</f>
        <v>Ferme</v>
      </c>
      <c r="B284" t="str">
        <f>'Prétraitement bilans'!B5</f>
        <v>Grains autoconsommés</v>
      </c>
      <c r="C284" s="458">
        <f>'Prétraitement bilans'!X5</f>
        <v>1695.8366000000005</v>
      </c>
      <c r="E284" t="str">
        <f>Etiquettes!$C$3</f>
        <v>kt</v>
      </c>
      <c r="F284" s="26" t="str">
        <f>Etiquettes!$J$6</f>
        <v>Orge</v>
      </c>
      <c r="G284" s="26" t="str">
        <f>Etiquettes!$J$5</f>
        <v>2023-24</v>
      </c>
      <c r="H284" t="str">
        <f>Etiquettes!$C$4</f>
        <v>France entière</v>
      </c>
      <c r="I284" s="603" t="s">
        <v>1560</v>
      </c>
      <c r="J284" s="603"/>
      <c r="K284" t="s">
        <v>1559</v>
      </c>
      <c r="L284" s="603" t="str" cm="1">
        <f t="array" aca="1" ref="L284" ca="1">[1]!NOM_FEUILLE('Bilans Orge - FAM'!$A$1)</f>
        <v>Bilans Orge - FAM</v>
      </c>
      <c r="M284" s="26" t="str">
        <f>Etiquettes!$H$11</f>
        <v>Volume</v>
      </c>
      <c r="N284" t="str">
        <f t="shared" si="4"/>
        <v>Autoconsommation à la ferme = 1696 kt (Bilans par campagne - FranceAgriMer)</v>
      </c>
      <c r="O284" s="26" t="str">
        <f>Etiquettes!$K$15</f>
        <v>Approximative</v>
      </c>
      <c r="P284" s="603" t="str">
        <f>Etiquettes!$H$16</f>
        <v>Données collectées</v>
      </c>
      <c r="Q284" s="603" t="str">
        <f>Etiquettes!$H$17</f>
        <v>Donnée collectée (valeur du flux ou coefficient)</v>
      </c>
    </row>
    <row r="285" spans="1:19">
      <c r="A285" t="str">
        <f>'Prétraitement bilans'!A6</f>
        <v>Ferme</v>
      </c>
      <c r="B285" t="str">
        <f>'Prétraitement bilans'!B6</f>
        <v>Stock final</v>
      </c>
      <c r="C285" s="458">
        <f>'Prétraitement bilans'!X6</f>
        <v>200</v>
      </c>
      <c r="E285" t="str">
        <f>Etiquettes!$C$3</f>
        <v>kt</v>
      </c>
      <c r="F285" s="26" t="str">
        <f>Etiquettes!$J$6</f>
        <v>Orge</v>
      </c>
      <c r="G285" s="26" t="str">
        <f>Etiquettes!$J$5</f>
        <v>2023-24</v>
      </c>
      <c r="H285" t="str">
        <f>Etiquettes!$C$4</f>
        <v>France entière</v>
      </c>
      <c r="I285" s="603" t="s">
        <v>1116</v>
      </c>
      <c r="J285" s="603"/>
      <c r="K285" t="s">
        <v>1559</v>
      </c>
      <c r="L285" s="603" t="str" cm="1">
        <f t="array" aca="1" ref="L285" ca="1">[1]!NOM_FEUILLE('Bilans Orge - FAM'!$A$1)</f>
        <v>Bilans Orge - FAM</v>
      </c>
      <c r="M285" s="26" t="str">
        <f>Etiquettes!$H$11</f>
        <v>Volume</v>
      </c>
      <c r="N285" t="str">
        <f t="shared" si="4"/>
        <v>Stock final à la ferme = 200 kt (Bilans par campagne - FranceAgriMer)</v>
      </c>
      <c r="O285" s="26" t="str">
        <f>Etiquettes!$K$15</f>
        <v>Approximative</v>
      </c>
      <c r="P285" s="603" t="str">
        <f>Etiquettes!$H$16</f>
        <v>Données collectées</v>
      </c>
      <c r="Q285" s="603" t="str">
        <f>Etiquettes!$H$17</f>
        <v>Donnée collectée (valeur du flux ou coefficient)</v>
      </c>
    </row>
    <row r="286" spans="1:19">
      <c r="A286" t="str">
        <f>'Prétraitement bilans'!A7</f>
        <v>Stock initial</v>
      </c>
      <c r="B286" t="str">
        <f>'Prétraitement bilans'!B7</f>
        <v>OS</v>
      </c>
      <c r="C286" s="458">
        <f>'Prétraitement bilans'!X7</f>
        <v>687.6848</v>
      </c>
      <c r="E286" t="str">
        <f>Etiquettes!$C$3</f>
        <v>kt</v>
      </c>
      <c r="F286" s="26" t="str">
        <f>Etiquettes!$J$6</f>
        <v>Orge</v>
      </c>
      <c r="G286" s="26" t="str">
        <f>Etiquettes!$J$5</f>
        <v>2023-24</v>
      </c>
      <c r="H286" t="str">
        <f>Etiquettes!$C$4</f>
        <v>France entière</v>
      </c>
      <c r="I286" s="603" t="s">
        <v>1127</v>
      </c>
      <c r="J286" s="603"/>
      <c r="K286" t="s">
        <v>1559</v>
      </c>
      <c r="L286" s="603" t="str" cm="1">
        <f t="array" aca="1" ref="L286" ca="1">[1]!NOM_FEUILLE('Bilans Orge - FAM'!$A$1)</f>
        <v>Bilans Orge - FAM</v>
      </c>
      <c r="M286" s="26" t="str">
        <f>Etiquettes!$H$11</f>
        <v>Volume</v>
      </c>
      <c r="N286" t="str">
        <f t="shared" si="4"/>
        <v>Stock initial collecteurs = 688 kt (Bilans par campagne - FranceAgriMer)</v>
      </c>
      <c r="O286" s="26" t="str">
        <f>Etiquettes!$I$15</f>
        <v>Robuste</v>
      </c>
      <c r="P286" s="603" t="str">
        <f>Etiquettes!$H$16</f>
        <v>Données collectées</v>
      </c>
      <c r="Q286" s="603" t="str">
        <f>Etiquettes!$H$17</f>
        <v>Donnée collectée (valeur du flux ou coefficient)</v>
      </c>
    </row>
    <row r="287" spans="1:19">
      <c r="A287" t="str">
        <f>'Prétraitement bilans'!A8</f>
        <v>Grains récoltés</v>
      </c>
      <c r="B287" t="str">
        <f>'Prétraitement bilans'!B8</f>
        <v>OS</v>
      </c>
      <c r="C287" s="458">
        <f>'Prétraitement bilans'!X8</f>
        <v>10590.5152</v>
      </c>
      <c r="E287" t="str">
        <f>Etiquettes!$C$3</f>
        <v>kt</v>
      </c>
      <c r="F287" s="26" t="str">
        <f>Etiquettes!$J$6</f>
        <v>Orge</v>
      </c>
      <c r="G287" s="26" t="str">
        <f>Etiquettes!$J$5</f>
        <v>2023-24</v>
      </c>
      <c r="H287" t="str">
        <f>Etiquettes!$C$4</f>
        <v>France entière</v>
      </c>
      <c r="I287" s="603" t="s">
        <v>317</v>
      </c>
      <c r="J287" s="603"/>
      <c r="K287" t="s">
        <v>1559</v>
      </c>
      <c r="L287" s="603" t="str" cm="1">
        <f t="array" aca="1" ref="L287" ca="1">[1]!NOM_FEUILLE('Bilans Orge - FAM'!$A$1)</f>
        <v>Bilans Orge - FAM</v>
      </c>
      <c r="M287" s="26" t="str">
        <f>Etiquettes!$H$11</f>
        <v>Volume</v>
      </c>
      <c r="N287" t="str">
        <f t="shared" si="4"/>
        <v>Collecte = 10591 kt (Bilans par campagne - FranceAgriMer)</v>
      </c>
      <c r="O287" s="26" t="str">
        <f>Etiquettes!$I$15</f>
        <v>Robuste</v>
      </c>
      <c r="P287" s="603" t="str">
        <f>Etiquettes!$H$16</f>
        <v>Données collectées</v>
      </c>
      <c r="Q287" s="603" t="str">
        <f>Etiquettes!$H$17</f>
        <v>Donnée collectée (valeur du flux ou coefficient)</v>
      </c>
    </row>
    <row r="288" spans="1:19">
      <c r="A288" t="str">
        <f>'Prétraitement bilans'!A13</f>
        <v>Grains collectés</v>
      </c>
      <c r="B288" t="str">
        <f>'Prétraitement bilans'!B13</f>
        <v>Amidonnerie / Glutennerie</v>
      </c>
      <c r="C288" s="458">
        <f>'Prétraitement bilans'!X13</f>
        <v>0</v>
      </c>
      <c r="E288" t="str">
        <f>Etiquettes!$C$3</f>
        <v>kt</v>
      </c>
      <c r="F288" s="26" t="str">
        <f>Etiquettes!$J$6</f>
        <v>Orge</v>
      </c>
      <c r="G288" s="26" t="str">
        <f>Etiquettes!$J$5</f>
        <v>2023-24</v>
      </c>
      <c r="H288" t="str">
        <f>Etiquettes!$C$4</f>
        <v>France entière</v>
      </c>
      <c r="I288" s="603" t="s">
        <v>1563</v>
      </c>
      <c r="J288" s="603"/>
      <c r="K288" t="s">
        <v>1559</v>
      </c>
      <c r="L288" s="603" t="str" cm="1">
        <f t="array" aca="1" ref="L288" ca="1">[1]!NOM_FEUILLE('Bilans Orge - FAM'!$A$1)</f>
        <v>Bilans Orge - FAM</v>
      </c>
      <c r="M288" s="26" t="str">
        <f>Etiquettes!$H$11</f>
        <v>Volume</v>
      </c>
      <c r="N288" t="str">
        <f t="shared" si="4"/>
        <v>Consommation de grains par l'Amidonnerie = 0 kt (Bilans par campagne - FranceAgriMer)</v>
      </c>
      <c r="O288" s="26" t="str">
        <f>Etiquettes!$J$15</f>
        <v>Probable</v>
      </c>
      <c r="P288" s="603" t="str">
        <f>Etiquettes!$H$16</f>
        <v>Données collectées</v>
      </c>
      <c r="Q288" s="603" t="str">
        <f>Etiquettes!$H$17</f>
        <v>Donnée collectée (valeur du flux ou coefficient)</v>
      </c>
    </row>
    <row r="289" spans="1:19">
      <c r="A289" t="str">
        <f>'Prétraitement bilans'!A16</f>
        <v>Grains collectés</v>
      </c>
      <c r="B289" t="str">
        <f>'Prétraitement bilans'!B16</f>
        <v>Distillerie</v>
      </c>
      <c r="C289" s="458">
        <f>'Prétraitement bilans'!X16</f>
        <v>0</v>
      </c>
      <c r="E289" t="str">
        <f>Etiquettes!$C$3</f>
        <v>kt</v>
      </c>
      <c r="F289" s="26" t="str">
        <f>Etiquettes!$J$6</f>
        <v>Orge</v>
      </c>
      <c r="G289" s="26" t="str">
        <f>Etiquettes!$J$5</f>
        <v>2023-24</v>
      </c>
      <c r="H289" t="str">
        <f>Etiquettes!$C$4</f>
        <v>France entière</v>
      </c>
      <c r="I289" s="603" t="s">
        <v>1564</v>
      </c>
      <c r="J289" s="603"/>
      <c r="K289" t="s">
        <v>1559</v>
      </c>
      <c r="L289" s="603" t="str" cm="1">
        <f t="array" aca="1" ref="L289" ca="1">[1]!NOM_FEUILLE('Bilans Orge - FAM'!$A$1)</f>
        <v>Bilans Orge - FAM</v>
      </c>
      <c r="M289" s="26" t="str">
        <f>Etiquettes!$H$11</f>
        <v>Volume</v>
      </c>
      <c r="N289" t="str">
        <f t="shared" si="4"/>
        <v>Consommation de grains par la Distillerie = 0 kt (Bilans par campagne - FranceAgriMer)</v>
      </c>
      <c r="O289" s="26" t="str">
        <f>Etiquettes!$J$15</f>
        <v>Probable</v>
      </c>
      <c r="P289" s="603" t="str">
        <f>Etiquettes!$H$16</f>
        <v>Données collectées</v>
      </c>
      <c r="Q289" s="603" t="str">
        <f>Etiquettes!$H$17</f>
        <v>Donnée collectée (valeur du flux ou coefficient)</v>
      </c>
    </row>
    <row r="290" spans="1:19">
      <c r="A290" t="str">
        <f>'Prétraitement bilans'!A17</f>
        <v>Grains collectés</v>
      </c>
      <c r="B290" t="str">
        <f>'Prétraitement bilans'!B17</f>
        <v>Malterie</v>
      </c>
      <c r="C290" s="458">
        <f>'Prétraitement bilans'!X17</f>
        <v>1667.3180000000002</v>
      </c>
      <c r="E290" t="str">
        <f>Etiquettes!$C$3</f>
        <v>kt</v>
      </c>
      <c r="F290" s="26" t="str">
        <f>Etiquettes!$J$6</f>
        <v>Orge</v>
      </c>
      <c r="G290" s="26" t="str">
        <f>Etiquettes!$J$5</f>
        <v>2023-24</v>
      </c>
      <c r="H290" t="str">
        <f>Etiquettes!$C$4</f>
        <v>France entière</v>
      </c>
      <c r="I290" s="603" t="s">
        <v>1565</v>
      </c>
      <c r="J290" s="603"/>
      <c r="K290" t="s">
        <v>1559</v>
      </c>
      <c r="L290" s="603" t="str" cm="1">
        <f t="array" aca="1" ref="L290" ca="1">[1]!NOM_FEUILLE('Bilans Orge - FAM'!$A$1)</f>
        <v>Bilans Orge - FAM</v>
      </c>
      <c r="M290" s="26" t="str">
        <f>Etiquettes!$H$11</f>
        <v>Volume</v>
      </c>
      <c r="N290" t="str">
        <f t="shared" si="4"/>
        <v>Consommation de grains par la Malterie = 1667 kt (Bilans par campagne - FranceAgriMer)</v>
      </c>
      <c r="O290" s="26" t="str">
        <f>Etiquettes!$J$15</f>
        <v>Probable</v>
      </c>
      <c r="P290" s="603" t="str">
        <f>Etiquettes!$H$16</f>
        <v>Données collectées</v>
      </c>
      <c r="Q290" s="603" t="str">
        <f>Etiquettes!$H$17</f>
        <v>Donnée collectée (valeur du flux ou coefficient)</v>
      </c>
    </row>
    <row r="291" spans="1:19" s="26" customFormat="1">
      <c r="A291" t="str">
        <f>'Prétraitement bilans'!A18</f>
        <v>Grains collectés</v>
      </c>
      <c r="B291" t="str">
        <f>'Prétraitement bilans'!B18</f>
        <v>Autres IAA</v>
      </c>
      <c r="C291" s="458">
        <f>'Prétraitement bilans'!X18</f>
        <v>20</v>
      </c>
      <c r="D291" s="10"/>
      <c r="E291" t="str">
        <f>Etiquettes!$C$3</f>
        <v>kt</v>
      </c>
      <c r="F291" s="26" t="str">
        <f>Etiquettes!$J$6</f>
        <v>Orge</v>
      </c>
      <c r="G291" s="26" t="str">
        <f>Etiquettes!$J$5</f>
        <v>2023-24</v>
      </c>
      <c r="H291" t="str">
        <f>Etiquettes!$C$4</f>
        <v>France entière</v>
      </c>
      <c r="I291" s="603" t="s">
        <v>1566</v>
      </c>
      <c r="J291" s="603"/>
      <c r="K291" t="s">
        <v>1559</v>
      </c>
      <c r="L291" s="603" t="str" cm="1">
        <f t="array" aca="1" ref="L291" ca="1">[1]!NOM_FEUILLE('Bilans Orge - FAM'!$A$1)</f>
        <v>Bilans Orge - FAM</v>
      </c>
      <c r="M291" s="26" t="str">
        <f>Etiquettes!$H$11</f>
        <v>Volume</v>
      </c>
      <c r="N291" t="str">
        <f t="shared" si="4"/>
        <v>Consommation de grains par les autres IAA = 20 kt (Bilans par campagne - FranceAgriMer)</v>
      </c>
      <c r="O291" s="26" t="str">
        <f>Etiquettes!$J$15</f>
        <v>Probable</v>
      </c>
      <c r="P291" s="603" t="str">
        <f>Etiquettes!$H$16</f>
        <v>Données collectées</v>
      </c>
      <c r="Q291" s="603" t="str">
        <f>Etiquettes!$H$17</f>
        <v>Donnée collectée (valeur du flux ou coefficient)</v>
      </c>
      <c r="R291"/>
      <c r="S291"/>
    </row>
    <row r="292" spans="1:19" s="26" customFormat="1">
      <c r="A292" t="str">
        <f>'Prétraitement bilans'!A19</f>
        <v>Grains collectés</v>
      </c>
      <c r="B292" t="str">
        <f>'Prétraitement bilans'!B19</f>
        <v>Semoulerie</v>
      </c>
      <c r="C292" s="458">
        <f>'Prétraitement bilans'!X19</f>
        <v>0</v>
      </c>
      <c r="D292" s="10"/>
      <c r="E292" t="str">
        <f>Etiquettes!$C$3</f>
        <v>kt</v>
      </c>
      <c r="F292" s="26" t="str">
        <f>Etiquettes!$J$6</f>
        <v>Orge</v>
      </c>
      <c r="G292" s="26" t="str">
        <f>Etiquettes!$J$5</f>
        <v>2023-24</v>
      </c>
      <c r="H292" t="str">
        <f>Etiquettes!$C$4</f>
        <v>France entière</v>
      </c>
      <c r="I292" s="603" t="s">
        <v>1567</v>
      </c>
      <c r="J292" s="603"/>
      <c r="K292" t="s">
        <v>1559</v>
      </c>
      <c r="L292" s="603" t="str" cm="1">
        <f t="array" aca="1" ref="L292" ca="1">[1]!NOM_FEUILLE('Bilans Orge - FAM'!$A$1)</f>
        <v>Bilans Orge - FAM</v>
      </c>
      <c r="M292" s="26" t="str">
        <f>Etiquettes!$H$11</f>
        <v>Volume</v>
      </c>
      <c r="N292" t="str">
        <f t="shared" si="4"/>
        <v>Consommation de grains par la Semoulerie = 0 kt (Bilans par campagne - FranceAgriMer)</v>
      </c>
      <c r="O292" s="26" t="str">
        <f>Etiquettes!$J$15</f>
        <v>Probable</v>
      </c>
      <c r="P292" s="603" t="str">
        <f>Etiquettes!$H$16</f>
        <v>Données collectées</v>
      </c>
      <c r="Q292" s="603" t="str">
        <f>Etiquettes!$H$17</f>
        <v>Donnée collectée (valeur du flux ou coefficient)</v>
      </c>
      <c r="R292"/>
      <c r="S292"/>
    </row>
    <row r="293" spans="1:19" s="26" customFormat="1">
      <c r="A293" t="str">
        <f>'Prétraitement bilans'!A20</f>
        <v>Grains collectés</v>
      </c>
      <c r="B293" t="str">
        <f>'Prétraitement bilans'!B20</f>
        <v>FAB</v>
      </c>
      <c r="C293" s="458">
        <f>'Prétraitement bilans'!X20</f>
        <v>1109.8301700000002</v>
      </c>
      <c r="D293" s="10"/>
      <c r="E293" t="str">
        <f>Etiquettes!$C$3</f>
        <v>kt</v>
      </c>
      <c r="F293" s="26" t="str">
        <f>Etiquettes!$J$6</f>
        <v>Orge</v>
      </c>
      <c r="G293" s="26" t="str">
        <f>Etiquettes!$J$5</f>
        <v>2023-24</v>
      </c>
      <c r="H293" t="str">
        <f>Etiquettes!$C$4</f>
        <v>France entière</v>
      </c>
      <c r="I293" s="603" t="s">
        <v>1568</v>
      </c>
      <c r="J293" s="603"/>
      <c r="K293" t="s">
        <v>1559</v>
      </c>
      <c r="L293" s="603" t="str" cm="1">
        <f t="array" aca="1" ref="L293" ca="1">[1]!NOM_FEUILLE('Bilans Orge - FAM'!$A$1)</f>
        <v>Bilans Orge - FAM</v>
      </c>
      <c r="M293" s="26" t="str">
        <f>Etiquettes!$H$11</f>
        <v>Volume</v>
      </c>
      <c r="N293" t="str">
        <f t="shared" si="4"/>
        <v>Consommation de grains par les FAB = 1110 kt (Bilans par campagne - FranceAgriMer)</v>
      </c>
      <c r="O293" s="26" t="str">
        <f>Etiquettes!$J$15</f>
        <v>Probable</v>
      </c>
      <c r="P293" s="603" t="str">
        <f>Etiquettes!$H$16</f>
        <v>Données collectées</v>
      </c>
      <c r="Q293" s="603" t="str">
        <f>Etiquettes!$H$17</f>
        <v>Donnée collectée (valeur du flux ou coefficient)</v>
      </c>
      <c r="R293"/>
      <c r="S293"/>
    </row>
    <row r="294" spans="1:19" s="26" customFormat="1">
      <c r="A294" t="str">
        <f>'Prétraitement bilans'!A21</f>
        <v>Grains collectés</v>
      </c>
      <c r="B294" t="str">
        <f>'Prétraitement bilans'!B21</f>
        <v>Semences certifiées</v>
      </c>
      <c r="C294" s="458">
        <f>'Prétraitement bilans'!X21</f>
        <v>137.91550000000001</v>
      </c>
      <c r="D294" s="10"/>
      <c r="E294" t="str">
        <f>Etiquettes!$C$3</f>
        <v>kt</v>
      </c>
      <c r="F294" s="26" t="str">
        <f>Etiquettes!$J$6</f>
        <v>Orge</v>
      </c>
      <c r="G294" s="26" t="str">
        <f>Etiquettes!$J$5</f>
        <v>2023-24</v>
      </c>
      <c r="H294" t="str">
        <f>Etiquettes!$C$4</f>
        <v>France entière</v>
      </c>
      <c r="I294" s="603" t="s">
        <v>1561</v>
      </c>
      <c r="J294" s="603"/>
      <c r="K294" t="s">
        <v>1559</v>
      </c>
      <c r="L294" s="603" t="str" cm="1">
        <f t="array" aca="1" ref="L294" ca="1">[1]!NOM_FEUILLE('Bilans Orge - FAM'!$A$1)</f>
        <v>Bilans Orge - FAM</v>
      </c>
      <c r="M294" s="26" t="str">
        <f>Etiquettes!$H$11</f>
        <v>Volume</v>
      </c>
      <c r="N294" t="str">
        <f t="shared" si="4"/>
        <v>Production de semences certifiées = 138 kt (Bilans par campagne - FranceAgriMer)</v>
      </c>
      <c r="O294" s="26" t="str">
        <f>Etiquettes!$J$15</f>
        <v>Probable</v>
      </c>
      <c r="P294" s="603" t="str">
        <f>Etiquettes!$H$16</f>
        <v>Données collectées</v>
      </c>
      <c r="Q294" s="603" t="str">
        <f>Etiquettes!$H$17</f>
        <v>Donnée collectée (valeur du flux ou coefficient)</v>
      </c>
      <c r="R294"/>
      <c r="S294"/>
    </row>
    <row r="295" spans="1:19" s="26" customFormat="1">
      <c r="A295" t="str">
        <f>'Prétraitement bilans'!A25</f>
        <v>OS</v>
      </c>
      <c r="B295" t="str">
        <f>'Prétraitement bilans'!B25</f>
        <v>Stock final</v>
      </c>
      <c r="C295" s="458">
        <f>'Prétraitement bilans'!X25</f>
        <v>976.98649999999998</v>
      </c>
      <c r="D295" s="10"/>
      <c r="E295" t="str">
        <f>Etiquettes!$C$3</f>
        <v>kt</v>
      </c>
      <c r="F295" s="26" t="str">
        <f>Etiquettes!$J$6</f>
        <v>Orge</v>
      </c>
      <c r="G295" s="26" t="str">
        <f>Etiquettes!$J$5</f>
        <v>2023-24</v>
      </c>
      <c r="H295" t="str">
        <f>Etiquettes!$C$4</f>
        <v>France entière</v>
      </c>
      <c r="I295" s="603" t="s">
        <v>1128</v>
      </c>
      <c r="J295" s="603"/>
      <c r="K295" t="s">
        <v>1559</v>
      </c>
      <c r="L295" s="603" t="str" cm="1">
        <f t="array" aca="1" ref="L295" ca="1">[1]!NOM_FEUILLE('Bilans Orge - FAM'!$A$1)</f>
        <v>Bilans Orge - FAM</v>
      </c>
      <c r="M295" s="26" t="str">
        <f>Etiquettes!$H$11</f>
        <v>Volume</v>
      </c>
      <c r="N295" t="str">
        <f t="shared" si="4"/>
        <v>Stock final collecteurs = 977 kt (Bilans par campagne - FranceAgriMer)</v>
      </c>
      <c r="O295" s="26" t="str">
        <f>Etiquettes!$I$15</f>
        <v>Robuste</v>
      </c>
      <c r="P295" s="603" t="str">
        <f>Etiquettes!$H$16</f>
        <v>Données collectées</v>
      </c>
      <c r="Q295" s="603" t="str">
        <f>Etiquettes!$H$17</f>
        <v>Donnée collectée (valeur du flux ou coefficient)</v>
      </c>
      <c r="R295"/>
      <c r="S295"/>
    </row>
    <row r="296" spans="1:19">
      <c r="A296" t="str">
        <f>'Prétraitement bilans'!A3</f>
        <v>Récolte</v>
      </c>
      <c r="B296" t="str">
        <f>'Prétraitement bilans'!B3</f>
        <v>Grains récoltés</v>
      </c>
      <c r="C296" s="458">
        <f>'Prétraitement bilans'!Y3</f>
        <v>1301.3882999999998</v>
      </c>
      <c r="E296" t="str">
        <f>Etiquettes!$C$3</f>
        <v>kt</v>
      </c>
      <c r="F296" s="26" t="str">
        <f>Etiquettes!$K$6</f>
        <v>Blé dur</v>
      </c>
      <c r="G296" s="26" t="str">
        <f>Etiquettes!$J$5</f>
        <v>2023-24</v>
      </c>
      <c r="H296" t="str">
        <f>Etiquettes!$C$4</f>
        <v>France entière</v>
      </c>
      <c r="I296" s="603" t="s">
        <v>1106</v>
      </c>
      <c r="J296" s="603"/>
      <c r="K296" t="s">
        <v>1559</v>
      </c>
      <c r="L296" s="603" t="str" cm="1">
        <f t="array" aca="1" ref="L296" ca="1">[1]!NOM_FEUILLE('Bilans Blé dur - FAM'!$A$1)</f>
        <v>Bilans Blé dur - FAM</v>
      </c>
      <c r="M296" s="26" t="str">
        <f>Etiquettes!$H$11</f>
        <v>Volume</v>
      </c>
      <c r="N296" t="str">
        <f t="shared" si="4"/>
        <v>Récolte = 1301 kt (Bilans par campagne - FranceAgriMer)</v>
      </c>
      <c r="O296" s="26" t="str">
        <f>Etiquettes!$H$15</f>
        <v>Fiable</v>
      </c>
      <c r="P296" s="603" t="str">
        <f>Etiquettes!$H$16</f>
        <v>Données collectées</v>
      </c>
      <c r="Q296" s="603" t="str">
        <f>Etiquettes!$H$17</f>
        <v>Donnée collectée (valeur du flux ou coefficient)</v>
      </c>
    </row>
    <row r="297" spans="1:19">
      <c r="A297" t="str">
        <f>'Prétraitement bilans'!A4</f>
        <v>Stock initial</v>
      </c>
      <c r="B297" t="str">
        <f>'Prétraitement bilans'!B4</f>
        <v>Ferme</v>
      </c>
      <c r="C297" s="458">
        <f>'Prétraitement bilans'!Y4</f>
        <v>240</v>
      </c>
      <c r="E297" t="str">
        <f>Etiquettes!$C$3</f>
        <v>kt</v>
      </c>
      <c r="F297" s="26" t="str">
        <f>Etiquettes!$K$6</f>
        <v>Blé dur</v>
      </c>
      <c r="G297" s="26" t="str">
        <f>Etiquettes!$J$5</f>
        <v>2023-24</v>
      </c>
      <c r="H297" t="str">
        <f>Etiquettes!$C$4</f>
        <v>France entière</v>
      </c>
      <c r="I297" s="603" t="s">
        <v>1115</v>
      </c>
      <c r="J297" s="603"/>
      <c r="K297" t="s">
        <v>1559</v>
      </c>
      <c r="L297" s="603" t="str" cm="1">
        <f t="array" aca="1" ref="L297" ca="1">[1]!NOM_FEUILLE('Bilans Blé dur - FAM'!$A$1)</f>
        <v>Bilans Blé dur - FAM</v>
      </c>
      <c r="M297" s="26" t="str">
        <f>Etiquettes!$H$11</f>
        <v>Volume</v>
      </c>
      <c r="N297" t="str">
        <f t="shared" si="4"/>
        <v>Stock initial à la ferme = 240 kt (Bilans par campagne - FranceAgriMer)</v>
      </c>
      <c r="O297" s="26" t="str">
        <f>Etiquettes!$K$15</f>
        <v>Approximative</v>
      </c>
      <c r="P297" s="603" t="str">
        <f>Etiquettes!$H$16</f>
        <v>Données collectées</v>
      </c>
      <c r="Q297" s="603" t="str">
        <f>Etiquettes!$H$17</f>
        <v>Donnée collectée (valeur du flux ou coefficient)</v>
      </c>
    </row>
    <row r="298" spans="1:19">
      <c r="A298" t="str">
        <f>'Prétraitement bilans'!A5</f>
        <v>Ferme</v>
      </c>
      <c r="B298" t="str">
        <f>'Prétraitement bilans'!B5</f>
        <v>Grains autoconsommés</v>
      </c>
      <c r="C298" s="458">
        <f>'Prétraitement bilans'!Y5</f>
        <v>48.989999999999782</v>
      </c>
      <c r="E298" t="str">
        <f>Etiquettes!$C$3</f>
        <v>kt</v>
      </c>
      <c r="F298" s="26" t="str">
        <f>Etiquettes!$K$6</f>
        <v>Blé dur</v>
      </c>
      <c r="G298" s="26" t="str">
        <f>Etiquettes!$J$5</f>
        <v>2023-24</v>
      </c>
      <c r="H298" t="str">
        <f>Etiquettes!$C$4</f>
        <v>France entière</v>
      </c>
      <c r="I298" s="603" t="s">
        <v>1560</v>
      </c>
      <c r="J298" s="603"/>
      <c r="K298" t="s">
        <v>1559</v>
      </c>
      <c r="L298" s="603" t="str" cm="1">
        <f t="array" aca="1" ref="L298" ca="1">[1]!NOM_FEUILLE('Bilans Blé dur - FAM'!$A$1)</f>
        <v>Bilans Blé dur - FAM</v>
      </c>
      <c r="M298" s="26" t="str">
        <f>Etiquettes!$H$11</f>
        <v>Volume</v>
      </c>
      <c r="N298" t="str">
        <f t="shared" si="4"/>
        <v>Autoconsommation à la ferme = 49 kt (Bilans par campagne - FranceAgriMer)</v>
      </c>
      <c r="O298" s="26" t="str">
        <f>Etiquettes!$K$15</f>
        <v>Approximative</v>
      </c>
      <c r="P298" s="603" t="str">
        <f>Etiquettes!$H$16</f>
        <v>Données collectées</v>
      </c>
      <c r="Q298" s="603" t="str">
        <f>Etiquettes!$H$17</f>
        <v>Donnée collectée (valeur du flux ou coefficient)</v>
      </c>
    </row>
    <row r="299" spans="1:19">
      <c r="A299" t="str">
        <f>'Prétraitement bilans'!A6</f>
        <v>Ferme</v>
      </c>
      <c r="B299" t="str">
        <f>'Prétraitement bilans'!B6</f>
        <v>Stock final</v>
      </c>
      <c r="C299" s="458">
        <f>'Prétraitement bilans'!Y6</f>
        <v>240</v>
      </c>
      <c r="E299" t="str">
        <f>Etiquettes!$C$3</f>
        <v>kt</v>
      </c>
      <c r="F299" s="26" t="str">
        <f>Etiquettes!$K$6</f>
        <v>Blé dur</v>
      </c>
      <c r="G299" s="26" t="str">
        <f>Etiquettes!$J$5</f>
        <v>2023-24</v>
      </c>
      <c r="H299" t="str">
        <f>Etiquettes!$C$4</f>
        <v>France entière</v>
      </c>
      <c r="I299" s="603" t="s">
        <v>1116</v>
      </c>
      <c r="J299" s="603"/>
      <c r="K299" t="s">
        <v>1559</v>
      </c>
      <c r="L299" s="603" t="str" cm="1">
        <f t="array" aca="1" ref="L299" ca="1">[1]!NOM_FEUILLE('Bilans Blé dur - FAM'!$A$1)</f>
        <v>Bilans Blé dur - FAM</v>
      </c>
      <c r="M299" s="26" t="str">
        <f>Etiquettes!$H$11</f>
        <v>Volume</v>
      </c>
      <c r="N299" t="str">
        <f t="shared" si="4"/>
        <v>Stock final à la ferme = 240 kt (Bilans par campagne - FranceAgriMer)</v>
      </c>
      <c r="O299" s="26" t="str">
        <f>Etiquettes!$K$15</f>
        <v>Approximative</v>
      </c>
      <c r="P299" s="603" t="str">
        <f>Etiquettes!$H$16</f>
        <v>Données collectées</v>
      </c>
      <c r="Q299" s="603" t="str">
        <f>Etiquettes!$H$17</f>
        <v>Donnée collectée (valeur du flux ou coefficient)</v>
      </c>
    </row>
    <row r="300" spans="1:19">
      <c r="A300" t="str">
        <f>'Prétraitement bilans'!A7</f>
        <v>Stock initial</v>
      </c>
      <c r="B300" t="str">
        <f>'Prétraitement bilans'!B7</f>
        <v>OS</v>
      </c>
      <c r="C300" s="458">
        <f>'Prétraitement bilans'!Y7</f>
        <v>111.6108</v>
      </c>
      <c r="E300" t="str">
        <f>Etiquettes!$C$3</f>
        <v>kt</v>
      </c>
      <c r="F300" s="26" t="str">
        <f>Etiquettes!$K$6</f>
        <v>Blé dur</v>
      </c>
      <c r="G300" s="26" t="str">
        <f>Etiquettes!$J$5</f>
        <v>2023-24</v>
      </c>
      <c r="H300" t="str">
        <f>Etiquettes!$C$4</f>
        <v>France entière</v>
      </c>
      <c r="I300" s="603" t="s">
        <v>1127</v>
      </c>
      <c r="J300" s="603"/>
      <c r="K300" t="s">
        <v>1559</v>
      </c>
      <c r="L300" s="603" t="str" cm="1">
        <f t="array" aca="1" ref="L300" ca="1">[1]!NOM_FEUILLE('Bilans Blé dur - FAM'!$A$1)</f>
        <v>Bilans Blé dur - FAM</v>
      </c>
      <c r="M300" s="26" t="str">
        <f>Etiquettes!$H$11</f>
        <v>Volume</v>
      </c>
      <c r="N300" t="str">
        <f t="shared" si="4"/>
        <v>Stock initial collecteurs = 112 kt (Bilans par campagne - FranceAgriMer)</v>
      </c>
      <c r="O300" s="26" t="str">
        <f>Etiquettes!$I$15</f>
        <v>Robuste</v>
      </c>
      <c r="P300" s="603" t="str">
        <f>Etiquettes!$H$16</f>
        <v>Données collectées</v>
      </c>
      <c r="Q300" s="603" t="str">
        <f>Etiquettes!$H$17</f>
        <v>Donnée collectée (valeur du flux ou coefficient)</v>
      </c>
    </row>
    <row r="301" spans="1:19">
      <c r="A301" t="str">
        <f>'Prétraitement bilans'!A8</f>
        <v>Grains récoltés</v>
      </c>
      <c r="B301" t="str">
        <f>'Prétraitement bilans'!B8</f>
        <v>OS</v>
      </c>
      <c r="C301" s="458">
        <f>'Prétraitement bilans'!Y8</f>
        <v>1252.3983000000001</v>
      </c>
      <c r="E301" t="str">
        <f>Etiquettes!$C$3</f>
        <v>kt</v>
      </c>
      <c r="F301" s="26" t="str">
        <f>Etiquettes!$K$6</f>
        <v>Blé dur</v>
      </c>
      <c r="G301" s="26" t="str">
        <f>Etiquettes!$J$5</f>
        <v>2023-24</v>
      </c>
      <c r="H301" t="str">
        <f>Etiquettes!$C$4</f>
        <v>France entière</v>
      </c>
      <c r="I301" s="603" t="s">
        <v>317</v>
      </c>
      <c r="J301" s="603"/>
      <c r="K301" t="s">
        <v>1559</v>
      </c>
      <c r="L301" s="603" t="str" cm="1">
        <f t="array" aca="1" ref="L301" ca="1">[1]!NOM_FEUILLE('Bilans Blé dur - FAM'!$A$1)</f>
        <v>Bilans Blé dur - FAM</v>
      </c>
      <c r="M301" s="26" t="str">
        <f>Etiquettes!$H$11</f>
        <v>Volume</v>
      </c>
      <c r="N301" t="str">
        <f t="shared" si="4"/>
        <v>Collecte = 1252 kt (Bilans par campagne - FranceAgriMer)</v>
      </c>
      <c r="O301" s="26" t="str">
        <f>Etiquettes!$I$15</f>
        <v>Robuste</v>
      </c>
      <c r="P301" s="603" t="str">
        <f>Etiquettes!$H$16</f>
        <v>Données collectées</v>
      </c>
      <c r="Q301" s="603" t="str">
        <f>Etiquettes!$H$17</f>
        <v>Donnée collectée (valeur du flux ou coefficient)</v>
      </c>
    </row>
    <row r="302" spans="1:19">
      <c r="A302" t="str">
        <f>'Prétraitement bilans'!A13</f>
        <v>Grains collectés</v>
      </c>
      <c r="B302" t="str">
        <f>'Prétraitement bilans'!B13</f>
        <v>Amidonnerie / Glutennerie</v>
      </c>
      <c r="C302" s="458">
        <f>'Prétraitement bilans'!Y13</f>
        <v>0</v>
      </c>
      <c r="E302" t="str">
        <f>Etiquettes!$C$3</f>
        <v>kt</v>
      </c>
      <c r="F302" s="26" t="str">
        <f>Etiquettes!$K$6</f>
        <v>Blé dur</v>
      </c>
      <c r="G302" s="26" t="str">
        <f>Etiquettes!$J$5</f>
        <v>2023-24</v>
      </c>
      <c r="H302" t="str">
        <f>Etiquettes!$C$4</f>
        <v>France entière</v>
      </c>
      <c r="I302" s="603" t="s">
        <v>1563</v>
      </c>
      <c r="J302" s="603"/>
      <c r="K302" t="s">
        <v>1559</v>
      </c>
      <c r="L302" s="603" t="str" cm="1">
        <f t="array" aca="1" ref="L302" ca="1">[1]!NOM_FEUILLE('Bilans Blé dur - FAM'!$A$1)</f>
        <v>Bilans Blé dur - FAM</v>
      </c>
      <c r="M302" s="26" t="str">
        <f>Etiquettes!$H$11</f>
        <v>Volume</v>
      </c>
      <c r="N302" t="str">
        <f t="shared" si="4"/>
        <v>Consommation de grains par l'Amidonnerie = 0 kt (Bilans par campagne - FranceAgriMer)</v>
      </c>
      <c r="O302" s="26" t="str">
        <f>Etiquettes!$J$15</f>
        <v>Probable</v>
      </c>
      <c r="P302" s="603" t="str">
        <f>Etiquettes!$H$16</f>
        <v>Données collectées</v>
      </c>
      <c r="Q302" s="603" t="str">
        <f>Etiquettes!$H$17</f>
        <v>Donnée collectée (valeur du flux ou coefficient)</v>
      </c>
    </row>
    <row r="303" spans="1:19">
      <c r="A303" t="str">
        <f>'Prétraitement bilans'!A16</f>
        <v>Grains collectés</v>
      </c>
      <c r="B303" t="str">
        <f>'Prétraitement bilans'!B16</f>
        <v>Distillerie</v>
      </c>
      <c r="C303" s="458">
        <f>'Prétraitement bilans'!Y16</f>
        <v>0</v>
      </c>
      <c r="E303" t="str">
        <f>Etiquettes!$C$3</f>
        <v>kt</v>
      </c>
      <c r="F303" s="26" t="str">
        <f>Etiquettes!$K$6</f>
        <v>Blé dur</v>
      </c>
      <c r="G303" s="26" t="str">
        <f>Etiquettes!$J$5</f>
        <v>2023-24</v>
      </c>
      <c r="H303" t="str">
        <f>Etiquettes!$C$4</f>
        <v>France entière</v>
      </c>
      <c r="I303" s="603" t="s">
        <v>1564</v>
      </c>
      <c r="J303" s="603"/>
      <c r="K303" t="s">
        <v>1559</v>
      </c>
      <c r="L303" s="603" t="str" cm="1">
        <f t="array" aca="1" ref="L303" ca="1">[1]!NOM_FEUILLE('Bilans Blé dur - FAM'!$A$1)</f>
        <v>Bilans Blé dur - FAM</v>
      </c>
      <c r="M303" s="26" t="str">
        <f>Etiquettes!$H$11</f>
        <v>Volume</v>
      </c>
      <c r="N303" t="str">
        <f t="shared" si="4"/>
        <v>Consommation de grains par la Distillerie = 0 kt (Bilans par campagne - FranceAgriMer)</v>
      </c>
      <c r="O303" s="26" t="str">
        <f>Etiquettes!$J$15</f>
        <v>Probable</v>
      </c>
      <c r="P303" s="603" t="str">
        <f>Etiquettes!$H$16</f>
        <v>Données collectées</v>
      </c>
      <c r="Q303" s="603" t="str">
        <f>Etiquettes!$H$17</f>
        <v>Donnée collectée (valeur du flux ou coefficient)</v>
      </c>
    </row>
    <row r="304" spans="1:19">
      <c r="A304" t="str">
        <f>'Prétraitement bilans'!A17</f>
        <v>Grains collectés</v>
      </c>
      <c r="B304" t="str">
        <f>'Prétraitement bilans'!B17</f>
        <v>Malterie</v>
      </c>
      <c r="C304" s="458">
        <f>'Prétraitement bilans'!Y17</f>
        <v>0</v>
      </c>
      <c r="E304" t="str">
        <f>Etiquettes!$C$3</f>
        <v>kt</v>
      </c>
      <c r="F304" s="26" t="str">
        <f>Etiquettes!$K$6</f>
        <v>Blé dur</v>
      </c>
      <c r="G304" s="26" t="str">
        <f>Etiquettes!$J$5</f>
        <v>2023-24</v>
      </c>
      <c r="H304" t="str">
        <f>Etiquettes!$C$4</f>
        <v>France entière</v>
      </c>
      <c r="I304" s="603" t="s">
        <v>1565</v>
      </c>
      <c r="J304" s="603"/>
      <c r="K304" t="s">
        <v>1559</v>
      </c>
      <c r="L304" s="603" t="str" cm="1">
        <f t="array" aca="1" ref="L304" ca="1">[1]!NOM_FEUILLE('Bilans Blé dur - FAM'!$A$1)</f>
        <v>Bilans Blé dur - FAM</v>
      </c>
      <c r="M304" s="26" t="str">
        <f>Etiquettes!$H$11</f>
        <v>Volume</v>
      </c>
      <c r="N304" t="str">
        <f t="shared" si="4"/>
        <v>Consommation de grains par la Malterie = 0 kt (Bilans par campagne - FranceAgriMer)</v>
      </c>
      <c r="O304" s="26" t="str">
        <f>Etiquettes!$J$15</f>
        <v>Probable</v>
      </c>
      <c r="P304" s="603" t="str">
        <f>Etiquettes!$H$16</f>
        <v>Données collectées</v>
      </c>
      <c r="Q304" s="603" t="str">
        <f>Etiquettes!$H$17</f>
        <v>Donnée collectée (valeur du flux ou coefficient)</v>
      </c>
    </row>
    <row r="305" spans="1:19" s="26" customFormat="1">
      <c r="A305" t="str">
        <f>'Prétraitement bilans'!A18</f>
        <v>Grains collectés</v>
      </c>
      <c r="B305" t="str">
        <f>'Prétraitement bilans'!B18</f>
        <v>Autres IAA</v>
      </c>
      <c r="C305" s="458">
        <f>'Prétraitement bilans'!Y18</f>
        <v>0</v>
      </c>
      <c r="D305" s="10"/>
      <c r="E305" t="str">
        <f>Etiquettes!$C$3</f>
        <v>kt</v>
      </c>
      <c r="F305" s="26" t="str">
        <f>Etiquettes!$K$6</f>
        <v>Blé dur</v>
      </c>
      <c r="G305" s="26" t="str">
        <f>Etiquettes!$J$5</f>
        <v>2023-24</v>
      </c>
      <c r="H305" t="str">
        <f>Etiquettes!$C$4</f>
        <v>France entière</v>
      </c>
      <c r="I305" s="603" t="s">
        <v>1566</v>
      </c>
      <c r="J305" s="603"/>
      <c r="K305" t="s">
        <v>1559</v>
      </c>
      <c r="L305" s="603" t="str" cm="1">
        <f t="array" aca="1" ref="L305" ca="1">[1]!NOM_FEUILLE('Bilans Blé dur - FAM'!$A$1)</f>
        <v>Bilans Blé dur - FAM</v>
      </c>
      <c r="M305" s="26" t="str">
        <f>Etiquettes!$H$11</f>
        <v>Volume</v>
      </c>
      <c r="N305" t="str">
        <f t="shared" si="4"/>
        <v>Consommation de grains par les autres IAA = 0 kt (Bilans par campagne - FranceAgriMer)</v>
      </c>
      <c r="O305" s="26" t="str">
        <f>Etiquettes!$J$15</f>
        <v>Probable</v>
      </c>
      <c r="P305" s="603" t="str">
        <f>Etiquettes!$H$16</f>
        <v>Données collectées</v>
      </c>
      <c r="Q305" s="603" t="str">
        <f>Etiquettes!$H$17</f>
        <v>Donnée collectée (valeur du flux ou coefficient)</v>
      </c>
      <c r="R305"/>
      <c r="S305"/>
    </row>
    <row r="306" spans="1:19" s="26" customFormat="1">
      <c r="A306" t="str">
        <f>'Prétraitement bilans'!A19</f>
        <v>Grains collectés</v>
      </c>
      <c r="B306" t="str">
        <f>'Prétraitement bilans'!B19</f>
        <v>Semoulerie</v>
      </c>
      <c r="C306" s="458">
        <f>'Prétraitement bilans'!Y19</f>
        <v>587</v>
      </c>
      <c r="D306" s="10"/>
      <c r="E306" t="str">
        <f>Etiquettes!$C$3</f>
        <v>kt</v>
      </c>
      <c r="F306" s="26" t="str">
        <f>Etiquettes!$K$6</f>
        <v>Blé dur</v>
      </c>
      <c r="G306" s="26" t="str">
        <f>Etiquettes!$J$5</f>
        <v>2023-24</v>
      </c>
      <c r="H306" t="str">
        <f>Etiquettes!$C$4</f>
        <v>France entière</v>
      </c>
      <c r="I306" s="603" t="s">
        <v>1567</v>
      </c>
      <c r="J306" s="603"/>
      <c r="K306" t="s">
        <v>1559</v>
      </c>
      <c r="L306" s="603" t="str" cm="1">
        <f t="array" aca="1" ref="L306" ca="1">[1]!NOM_FEUILLE('Bilans Blé dur - FAM'!$A$1)</f>
        <v>Bilans Blé dur - FAM</v>
      </c>
      <c r="M306" s="26" t="str">
        <f>Etiquettes!$H$11</f>
        <v>Volume</v>
      </c>
      <c r="N306" t="str">
        <f t="shared" si="4"/>
        <v>Consommation de grains par la Semoulerie = 587 kt (Bilans par campagne - FranceAgriMer)</v>
      </c>
      <c r="O306" s="26" t="str">
        <f>Etiquettes!$J$15</f>
        <v>Probable</v>
      </c>
      <c r="P306" s="603" t="str">
        <f>Etiquettes!$H$16</f>
        <v>Données collectées</v>
      </c>
      <c r="Q306" s="603" t="str">
        <f>Etiquettes!$H$17</f>
        <v>Donnée collectée (valeur du flux ou coefficient)</v>
      </c>
      <c r="R306"/>
      <c r="S306"/>
    </row>
    <row r="307" spans="1:19" s="26" customFormat="1">
      <c r="A307" t="str">
        <f>'Prétraitement bilans'!A20</f>
        <v>Grains collectés</v>
      </c>
      <c r="B307" t="str">
        <f>'Prétraitement bilans'!B20</f>
        <v>FAB</v>
      </c>
      <c r="C307" s="458">
        <f>'Prétraitement bilans'!Y20</f>
        <v>1</v>
      </c>
      <c r="D307" s="10"/>
      <c r="E307" t="str">
        <f>Etiquettes!$C$3</f>
        <v>kt</v>
      </c>
      <c r="F307" s="26" t="str">
        <f>Etiquettes!$K$6</f>
        <v>Blé dur</v>
      </c>
      <c r="G307" s="26" t="str">
        <f>Etiquettes!$J$5</f>
        <v>2023-24</v>
      </c>
      <c r="H307" t="str">
        <f>Etiquettes!$C$4</f>
        <v>France entière</v>
      </c>
      <c r="I307" s="603" t="s">
        <v>1568</v>
      </c>
      <c r="J307" s="603"/>
      <c r="K307" t="s">
        <v>1559</v>
      </c>
      <c r="L307" s="603" t="str" cm="1">
        <f t="array" aca="1" ref="L307" ca="1">[1]!NOM_FEUILLE('Bilans Blé dur - FAM'!$A$1)</f>
        <v>Bilans Blé dur - FAM</v>
      </c>
      <c r="M307" s="26" t="str">
        <f>Etiquettes!$H$11</f>
        <v>Volume</v>
      </c>
      <c r="N307" t="str">
        <f t="shared" si="4"/>
        <v>Consommation de grains par les FAB = 1 kt (Bilans par campagne - FranceAgriMer)</v>
      </c>
      <c r="O307" s="26" t="str">
        <f>Etiquettes!$J$15</f>
        <v>Probable</v>
      </c>
      <c r="P307" s="603" t="str">
        <f>Etiquettes!$H$16</f>
        <v>Données collectées</v>
      </c>
      <c r="Q307" s="603" t="str">
        <f>Etiquettes!$H$17</f>
        <v>Donnée collectée (valeur du flux ou coefficient)</v>
      </c>
      <c r="R307"/>
      <c r="S307"/>
    </row>
    <row r="308" spans="1:19" s="26" customFormat="1">
      <c r="A308" t="str">
        <f>'Prétraitement bilans'!A21</f>
        <v>Grains collectés</v>
      </c>
      <c r="B308" t="str">
        <f>'Prétraitement bilans'!B21</f>
        <v>Semences certifiées</v>
      </c>
      <c r="C308" s="458">
        <f>'Prétraitement bilans'!Y21</f>
        <v>20</v>
      </c>
      <c r="D308" s="10"/>
      <c r="E308" t="str">
        <f>Etiquettes!$C$3</f>
        <v>kt</v>
      </c>
      <c r="F308" s="26" t="str">
        <f>Etiquettes!$K$6</f>
        <v>Blé dur</v>
      </c>
      <c r="G308" s="26" t="str">
        <f>Etiquettes!$J$5</f>
        <v>2023-24</v>
      </c>
      <c r="H308" t="str">
        <f>Etiquettes!$C$4</f>
        <v>France entière</v>
      </c>
      <c r="I308" s="603" t="s">
        <v>1561</v>
      </c>
      <c r="J308" s="603"/>
      <c r="K308" t="s">
        <v>1559</v>
      </c>
      <c r="L308" s="603" t="str" cm="1">
        <f t="array" aca="1" ref="L308" ca="1">[1]!NOM_FEUILLE('Bilans Blé dur - FAM'!$A$1)</f>
        <v>Bilans Blé dur - FAM</v>
      </c>
      <c r="M308" s="26" t="str">
        <f>Etiquettes!$H$11</f>
        <v>Volume</v>
      </c>
      <c r="N308" t="str">
        <f t="shared" si="4"/>
        <v>Production de semences certifiées = 20 kt (Bilans par campagne - FranceAgriMer)</v>
      </c>
      <c r="O308" s="26" t="str">
        <f>Etiquettes!$J$15</f>
        <v>Probable</v>
      </c>
      <c r="P308" s="603" t="str">
        <f>Etiquettes!$H$16</f>
        <v>Données collectées</v>
      </c>
      <c r="Q308" s="603" t="str">
        <f>Etiquettes!$H$17</f>
        <v>Donnée collectée (valeur du flux ou coefficient)</v>
      </c>
      <c r="R308"/>
      <c r="S308"/>
    </row>
    <row r="309" spans="1:19" s="26" customFormat="1">
      <c r="A309" t="str">
        <f>'Prétraitement bilans'!A25</f>
        <v>OS</v>
      </c>
      <c r="B309" t="str">
        <f>'Prétraitement bilans'!B25</f>
        <v>Stock final</v>
      </c>
      <c r="C309" s="458">
        <f>'Prétraitement bilans'!Y25</f>
        <v>90.578100000000006</v>
      </c>
      <c r="D309" s="10"/>
      <c r="E309" t="str">
        <f>Etiquettes!$C$3</f>
        <v>kt</v>
      </c>
      <c r="F309" s="26" t="str">
        <f>Etiquettes!$K$6</f>
        <v>Blé dur</v>
      </c>
      <c r="G309" s="26" t="str">
        <f>Etiquettes!$J$5</f>
        <v>2023-24</v>
      </c>
      <c r="H309" t="str">
        <f>Etiquettes!$C$4</f>
        <v>France entière</v>
      </c>
      <c r="I309" s="603" t="s">
        <v>1128</v>
      </c>
      <c r="J309" s="603"/>
      <c r="K309" t="s">
        <v>1559</v>
      </c>
      <c r="L309" s="603" t="str" cm="1">
        <f t="array" aca="1" ref="L309" ca="1">[1]!NOM_FEUILLE('Bilans Blé dur - FAM'!$A$1)</f>
        <v>Bilans Blé dur - FAM</v>
      </c>
      <c r="M309" s="26" t="str">
        <f>Etiquettes!$H$11</f>
        <v>Volume</v>
      </c>
      <c r="N309" t="str">
        <f t="shared" si="4"/>
        <v>Stock final collecteurs = 91 kt (Bilans par campagne - FranceAgriMer)</v>
      </c>
      <c r="O309" s="26" t="str">
        <f>Etiquettes!$I$15</f>
        <v>Robuste</v>
      </c>
      <c r="P309" s="603" t="str">
        <f>Etiquettes!$H$16</f>
        <v>Données collectées</v>
      </c>
      <c r="Q309" s="603" t="str">
        <f>Etiquettes!$H$17</f>
        <v>Donnée collectée (valeur du flux ou coefficient)</v>
      </c>
      <c r="R309"/>
      <c r="S309"/>
    </row>
    <row r="310" spans="1:19">
      <c r="A310" t="str">
        <f>'Prétraitement bilans'!A3</f>
        <v>Récolte</v>
      </c>
      <c r="B310" t="str">
        <f>'Prétraitement bilans'!B3</f>
        <v>Grains récoltés</v>
      </c>
      <c r="C310" s="458">
        <f>'Prétraitement bilans'!Z3</f>
        <v>1665.8331000000001</v>
      </c>
      <c r="E310" t="str">
        <f>Etiquettes!$C$3</f>
        <v>kt</v>
      </c>
      <c r="F310" s="26" t="str">
        <f>Etiquettes!$L$6</f>
        <v>Triticale</v>
      </c>
      <c r="G310" s="26" t="str">
        <f>Etiquettes!$J$5</f>
        <v>2023-24</v>
      </c>
      <c r="H310" t="str">
        <f>Etiquettes!$C$4</f>
        <v>France entière</v>
      </c>
      <c r="I310" s="603" t="s">
        <v>1106</v>
      </c>
      <c r="J310" s="603"/>
      <c r="K310" t="s">
        <v>1559</v>
      </c>
      <c r="L310" s="603" t="str" cm="1">
        <f t="array" aca="1" ref="L310" ca="1">[1]!NOM_FEUILLE('Bilans Triticale - FAM'!$A$1)</f>
        <v>Bilans Triticale - FAM</v>
      </c>
      <c r="M310" s="26" t="str">
        <f>Etiquettes!$H$11</f>
        <v>Volume</v>
      </c>
      <c r="N310" t="str">
        <f t="shared" si="4"/>
        <v>Récolte = 1666 kt (Bilans par campagne - FranceAgriMer)</v>
      </c>
      <c r="O310" s="26" t="str">
        <f>Etiquettes!$H$15</f>
        <v>Fiable</v>
      </c>
      <c r="P310" s="603" t="str">
        <f>Etiquettes!$H$16</f>
        <v>Données collectées</v>
      </c>
      <c r="Q310" s="603" t="str">
        <f>Etiquettes!$H$17</f>
        <v>Donnée collectée (valeur du flux ou coefficient)</v>
      </c>
    </row>
    <row r="311" spans="1:19">
      <c r="A311" t="str">
        <f>'Prétraitement bilans'!A4</f>
        <v>Stock initial</v>
      </c>
      <c r="B311" t="str">
        <f>'Prétraitement bilans'!B4</f>
        <v>Ferme</v>
      </c>
      <c r="C311" s="458">
        <f>'Prétraitement bilans'!Z4</f>
        <v>0</v>
      </c>
      <c r="E311" t="str">
        <f>Etiquettes!$C$3</f>
        <v>kt</v>
      </c>
      <c r="F311" s="26" t="str">
        <f>Etiquettes!$L$6</f>
        <v>Triticale</v>
      </c>
      <c r="G311" s="26" t="str">
        <f>Etiquettes!$J$5</f>
        <v>2023-24</v>
      </c>
      <c r="H311" t="str">
        <f>Etiquettes!$C$4</f>
        <v>France entière</v>
      </c>
      <c r="I311" s="603" t="s">
        <v>1115</v>
      </c>
      <c r="J311" s="603"/>
      <c r="K311" t="s">
        <v>1559</v>
      </c>
      <c r="L311" s="603" t="str" cm="1">
        <f t="array" aca="1" ref="L311" ca="1">[1]!NOM_FEUILLE('Bilans Triticale - FAM'!$A$1)</f>
        <v>Bilans Triticale - FAM</v>
      </c>
      <c r="M311" s="26" t="str">
        <f>Etiquettes!$H$11</f>
        <v>Volume</v>
      </c>
      <c r="N311" t="str">
        <f t="shared" si="4"/>
        <v>Stock initial à la ferme = 0 kt (Bilans par campagne - FranceAgriMer)</v>
      </c>
      <c r="O311" s="26" t="str">
        <f>Etiquettes!$K$15</f>
        <v>Approximative</v>
      </c>
      <c r="P311" s="603" t="str">
        <f>Etiquettes!$H$16</f>
        <v>Données collectées</v>
      </c>
      <c r="Q311" s="603" t="str">
        <f>Etiquettes!$H$17</f>
        <v>Donnée collectée (valeur du flux ou coefficient)</v>
      </c>
    </row>
    <row r="312" spans="1:19">
      <c r="A312" t="str">
        <f>'Prétraitement bilans'!A5</f>
        <v>Ferme</v>
      </c>
      <c r="B312" t="str">
        <f>'Prétraitement bilans'!B5</f>
        <v>Grains autoconsommés</v>
      </c>
      <c r="C312" s="458">
        <f>'Prétraitement bilans'!Z5</f>
        <v>860.85230000000001</v>
      </c>
      <c r="E312" t="str">
        <f>Etiquettes!$C$3</f>
        <v>kt</v>
      </c>
      <c r="F312" s="26" t="str">
        <f>Etiquettes!$L$6</f>
        <v>Triticale</v>
      </c>
      <c r="G312" s="26" t="str">
        <f>Etiquettes!$J$5</f>
        <v>2023-24</v>
      </c>
      <c r="H312" t="str">
        <f>Etiquettes!$C$4</f>
        <v>France entière</v>
      </c>
      <c r="I312" s="603" t="s">
        <v>1560</v>
      </c>
      <c r="J312" s="603"/>
      <c r="K312" t="s">
        <v>1559</v>
      </c>
      <c r="L312" s="603" t="str" cm="1">
        <f t="array" aca="1" ref="L312" ca="1">[1]!NOM_FEUILLE('Bilans Triticale - FAM'!$A$1)</f>
        <v>Bilans Triticale - FAM</v>
      </c>
      <c r="M312" s="26" t="str">
        <f>Etiquettes!$H$11</f>
        <v>Volume</v>
      </c>
      <c r="N312" t="str">
        <f t="shared" si="4"/>
        <v>Autoconsommation à la ferme = 861 kt (Bilans par campagne - FranceAgriMer)</v>
      </c>
      <c r="O312" s="26" t="str">
        <f>Etiquettes!$K$15</f>
        <v>Approximative</v>
      </c>
      <c r="P312" s="603" t="str">
        <f>Etiquettes!$H$16</f>
        <v>Données collectées</v>
      </c>
      <c r="Q312" s="603" t="str">
        <f>Etiquettes!$H$17</f>
        <v>Donnée collectée (valeur du flux ou coefficient)</v>
      </c>
    </row>
    <row r="313" spans="1:19">
      <c r="A313" t="str">
        <f>'Prétraitement bilans'!A6</f>
        <v>Ferme</v>
      </c>
      <c r="B313" t="str">
        <f>'Prétraitement bilans'!B6</f>
        <v>Stock final</v>
      </c>
      <c r="C313" s="458">
        <f>'Prétraitement bilans'!Z6</f>
        <v>0</v>
      </c>
      <c r="E313" t="str">
        <f>Etiquettes!$C$3</f>
        <v>kt</v>
      </c>
      <c r="F313" s="26" t="str">
        <f>Etiquettes!$L$6</f>
        <v>Triticale</v>
      </c>
      <c r="G313" s="26" t="str">
        <f>Etiquettes!$J$5</f>
        <v>2023-24</v>
      </c>
      <c r="H313" t="str">
        <f>Etiquettes!$C$4</f>
        <v>France entière</v>
      </c>
      <c r="I313" s="603" t="s">
        <v>1116</v>
      </c>
      <c r="J313" s="603"/>
      <c r="K313" t="s">
        <v>1559</v>
      </c>
      <c r="L313" s="603" t="str" cm="1">
        <f t="array" aca="1" ref="L313" ca="1">[1]!NOM_FEUILLE('Bilans Triticale - FAM'!$A$1)</f>
        <v>Bilans Triticale - FAM</v>
      </c>
      <c r="M313" s="26" t="str">
        <f>Etiquettes!$H$11</f>
        <v>Volume</v>
      </c>
      <c r="N313" t="str">
        <f t="shared" si="4"/>
        <v>Stock final à la ferme = 0 kt (Bilans par campagne - FranceAgriMer)</v>
      </c>
      <c r="O313" s="26" t="str">
        <f>Etiquettes!$K$15</f>
        <v>Approximative</v>
      </c>
      <c r="P313" s="603" t="str">
        <f>Etiquettes!$H$16</f>
        <v>Données collectées</v>
      </c>
      <c r="Q313" s="603" t="str">
        <f>Etiquettes!$H$17</f>
        <v>Donnée collectée (valeur du flux ou coefficient)</v>
      </c>
    </row>
    <row r="314" spans="1:19">
      <c r="A314" t="str">
        <f>'Prétraitement bilans'!A7</f>
        <v>Stock initial</v>
      </c>
      <c r="B314" t="str">
        <f>'Prétraitement bilans'!B7</f>
        <v>OS</v>
      </c>
      <c r="C314" s="458">
        <f>'Prétraitement bilans'!Z7</f>
        <v>52.422699999999999</v>
      </c>
      <c r="E314" t="str">
        <f>Etiquettes!$C$3</f>
        <v>kt</v>
      </c>
      <c r="F314" s="26" t="str">
        <f>Etiquettes!$L$6</f>
        <v>Triticale</v>
      </c>
      <c r="G314" s="26" t="str">
        <f>Etiquettes!$J$5</f>
        <v>2023-24</v>
      </c>
      <c r="H314" t="str">
        <f>Etiquettes!$C$4</f>
        <v>France entière</v>
      </c>
      <c r="I314" s="603" t="s">
        <v>1127</v>
      </c>
      <c r="J314" s="603"/>
      <c r="K314" t="s">
        <v>1559</v>
      </c>
      <c r="L314" s="603" t="str" cm="1">
        <f t="array" aca="1" ref="L314" ca="1">[1]!NOM_FEUILLE('Bilans Triticale - FAM'!$A$1)</f>
        <v>Bilans Triticale - FAM</v>
      </c>
      <c r="M314" s="26" t="str">
        <f>Etiquettes!$H$11</f>
        <v>Volume</v>
      </c>
      <c r="N314" t="str">
        <f t="shared" si="4"/>
        <v>Stock initial collecteurs = 52 kt (Bilans par campagne - FranceAgriMer)</v>
      </c>
      <c r="O314" s="26" t="str">
        <f>Etiquettes!$I$15</f>
        <v>Robuste</v>
      </c>
      <c r="P314" s="603" t="str">
        <f>Etiquettes!$H$16</f>
        <v>Données collectées</v>
      </c>
      <c r="Q314" s="603" t="str">
        <f>Etiquettes!$H$17</f>
        <v>Donnée collectée (valeur du flux ou coefficient)</v>
      </c>
    </row>
    <row r="315" spans="1:19">
      <c r="A315" t="str">
        <f>'Prétraitement bilans'!A8</f>
        <v>Grains récoltés</v>
      </c>
      <c r="B315" t="str">
        <f>'Prétraitement bilans'!B8</f>
        <v>OS</v>
      </c>
      <c r="C315" s="458">
        <f>'Prétraitement bilans'!Z8</f>
        <v>804.98080000000004</v>
      </c>
      <c r="E315" t="str">
        <f>Etiquettes!$C$3</f>
        <v>kt</v>
      </c>
      <c r="F315" s="26" t="str">
        <f>Etiquettes!$L$6</f>
        <v>Triticale</v>
      </c>
      <c r="G315" s="26" t="str">
        <f>Etiquettes!$J$5</f>
        <v>2023-24</v>
      </c>
      <c r="H315" t="str">
        <f>Etiquettes!$C$4</f>
        <v>France entière</v>
      </c>
      <c r="I315" s="603" t="s">
        <v>317</v>
      </c>
      <c r="J315" s="603"/>
      <c r="K315" t="s">
        <v>1559</v>
      </c>
      <c r="L315" s="603" t="str" cm="1">
        <f t="array" aca="1" ref="L315" ca="1">[1]!NOM_FEUILLE('Bilans Triticale - FAM'!$A$1)</f>
        <v>Bilans Triticale - FAM</v>
      </c>
      <c r="M315" s="26" t="str">
        <f>Etiquettes!$H$11</f>
        <v>Volume</v>
      </c>
      <c r="N315" t="str">
        <f t="shared" si="4"/>
        <v>Collecte = 805 kt (Bilans par campagne - FranceAgriMer)</v>
      </c>
      <c r="O315" s="26" t="str">
        <f>Etiquettes!$I$15</f>
        <v>Robuste</v>
      </c>
      <c r="P315" s="603" t="str">
        <f>Etiquettes!$H$16</f>
        <v>Données collectées</v>
      </c>
      <c r="Q315" s="603" t="str">
        <f>Etiquettes!$H$17</f>
        <v>Donnée collectée (valeur du flux ou coefficient)</v>
      </c>
    </row>
    <row r="316" spans="1:19">
      <c r="A316" t="str">
        <f>'Prétraitement bilans'!A13</f>
        <v>Grains collectés</v>
      </c>
      <c r="B316" t="str">
        <f>'Prétraitement bilans'!B13</f>
        <v>Amidonnerie / Glutennerie</v>
      </c>
      <c r="C316" s="458">
        <f>'Prétraitement bilans'!Z13</f>
        <v>0</v>
      </c>
      <c r="E316" t="str">
        <f>Etiquettes!$C$3</f>
        <v>kt</v>
      </c>
      <c r="F316" s="26" t="str">
        <f>Etiquettes!$L$6</f>
        <v>Triticale</v>
      </c>
      <c r="G316" s="26" t="str">
        <f>Etiquettes!$J$5</f>
        <v>2023-24</v>
      </c>
      <c r="H316" t="str">
        <f>Etiquettes!$C$4</f>
        <v>France entière</v>
      </c>
      <c r="I316" s="603" t="s">
        <v>1563</v>
      </c>
      <c r="J316" s="603"/>
      <c r="K316" t="s">
        <v>1559</v>
      </c>
      <c r="L316" s="603" t="str" cm="1">
        <f t="array" aca="1" ref="L316" ca="1">[1]!NOM_FEUILLE('Bilans Triticale - FAM'!$A$1)</f>
        <v>Bilans Triticale - FAM</v>
      </c>
      <c r="M316" s="26" t="str">
        <f>Etiquettes!$H$11</f>
        <v>Volume</v>
      </c>
      <c r="N316" t="str">
        <f t="shared" si="4"/>
        <v>Consommation de grains par l'Amidonnerie = 0 kt (Bilans par campagne - FranceAgriMer)</v>
      </c>
      <c r="O316" s="26" t="str">
        <f>Etiquettes!$J$15</f>
        <v>Probable</v>
      </c>
      <c r="P316" s="603" t="str">
        <f>Etiquettes!$H$16</f>
        <v>Données collectées</v>
      </c>
      <c r="Q316" s="603" t="str">
        <f>Etiquettes!$H$17</f>
        <v>Donnée collectée (valeur du flux ou coefficient)</v>
      </c>
    </row>
    <row r="317" spans="1:19">
      <c r="A317" t="str">
        <f>'Prétraitement bilans'!A16</f>
        <v>Grains collectés</v>
      </c>
      <c r="B317" t="str">
        <f>'Prétraitement bilans'!B16</f>
        <v>Distillerie</v>
      </c>
      <c r="C317" s="458">
        <f>'Prétraitement bilans'!Z16</f>
        <v>0</v>
      </c>
      <c r="E317" t="str">
        <f>Etiquettes!$C$3</f>
        <v>kt</v>
      </c>
      <c r="F317" s="26" t="str">
        <f>Etiquettes!$L$6</f>
        <v>Triticale</v>
      </c>
      <c r="G317" s="26" t="str">
        <f>Etiquettes!$J$5</f>
        <v>2023-24</v>
      </c>
      <c r="H317" t="str">
        <f>Etiquettes!$C$4</f>
        <v>France entière</v>
      </c>
      <c r="I317" s="603" t="s">
        <v>1564</v>
      </c>
      <c r="J317" s="603"/>
      <c r="K317" t="s">
        <v>1559</v>
      </c>
      <c r="L317" s="603" t="str" cm="1">
        <f t="array" aca="1" ref="L317" ca="1">[1]!NOM_FEUILLE('Bilans Triticale - FAM'!$A$1)</f>
        <v>Bilans Triticale - FAM</v>
      </c>
      <c r="M317" s="26" t="str">
        <f>Etiquettes!$H$11</f>
        <v>Volume</v>
      </c>
      <c r="N317" t="str">
        <f t="shared" si="4"/>
        <v>Consommation de grains par la Distillerie = 0 kt (Bilans par campagne - FranceAgriMer)</v>
      </c>
      <c r="O317" s="26" t="str">
        <f>Etiquettes!$J$15</f>
        <v>Probable</v>
      </c>
      <c r="P317" s="603" t="str">
        <f>Etiquettes!$H$16</f>
        <v>Données collectées</v>
      </c>
      <c r="Q317" s="603" t="str">
        <f>Etiquettes!$H$17</f>
        <v>Donnée collectée (valeur du flux ou coefficient)</v>
      </c>
    </row>
    <row r="318" spans="1:19">
      <c r="A318" t="str">
        <f>'Prétraitement bilans'!A17</f>
        <v>Grains collectés</v>
      </c>
      <c r="B318" t="str">
        <f>'Prétraitement bilans'!B17</f>
        <v>Malterie</v>
      </c>
      <c r="C318" s="458">
        <f>'Prétraitement bilans'!Z17</f>
        <v>0</v>
      </c>
      <c r="E318" t="str">
        <f>Etiquettes!$C$3</f>
        <v>kt</v>
      </c>
      <c r="F318" s="26" t="str">
        <f>Etiquettes!$L$6</f>
        <v>Triticale</v>
      </c>
      <c r="G318" s="26" t="str">
        <f>Etiquettes!$J$5</f>
        <v>2023-24</v>
      </c>
      <c r="H318" t="str">
        <f>Etiquettes!$C$4</f>
        <v>France entière</v>
      </c>
      <c r="I318" s="603" t="s">
        <v>1565</v>
      </c>
      <c r="J318" s="603"/>
      <c r="K318" t="s">
        <v>1559</v>
      </c>
      <c r="L318" s="603" t="str" cm="1">
        <f t="array" aca="1" ref="L318" ca="1">[1]!NOM_FEUILLE('Bilans Triticale - FAM'!$A$1)</f>
        <v>Bilans Triticale - FAM</v>
      </c>
      <c r="M318" s="26" t="str">
        <f>Etiquettes!$H$11</f>
        <v>Volume</v>
      </c>
      <c r="N318" t="str">
        <f t="shared" si="4"/>
        <v>Consommation de grains par la Malterie = 0 kt (Bilans par campagne - FranceAgriMer)</v>
      </c>
      <c r="O318" s="26" t="str">
        <f>Etiquettes!$J$15</f>
        <v>Probable</v>
      </c>
      <c r="P318" s="603" t="str">
        <f>Etiquettes!$H$16</f>
        <v>Données collectées</v>
      </c>
      <c r="Q318" s="603" t="str">
        <f>Etiquettes!$H$17</f>
        <v>Donnée collectée (valeur du flux ou coefficient)</v>
      </c>
    </row>
    <row r="319" spans="1:19" s="26" customFormat="1">
      <c r="A319" t="str">
        <f>'Prétraitement bilans'!A18</f>
        <v>Grains collectés</v>
      </c>
      <c r="B319" t="str">
        <f>'Prétraitement bilans'!B18</f>
        <v>Autres IAA</v>
      </c>
      <c r="C319" s="458">
        <f>'Prétraitement bilans'!Z18</f>
        <v>0</v>
      </c>
      <c r="D319" s="10"/>
      <c r="E319" t="str">
        <f>Etiquettes!$C$3</f>
        <v>kt</v>
      </c>
      <c r="F319" s="26" t="str">
        <f>Etiquettes!$L$6</f>
        <v>Triticale</v>
      </c>
      <c r="G319" s="26" t="str">
        <f>Etiquettes!$J$5</f>
        <v>2023-24</v>
      </c>
      <c r="H319" t="str">
        <f>Etiquettes!$C$4</f>
        <v>France entière</v>
      </c>
      <c r="I319" s="603" t="s">
        <v>1566</v>
      </c>
      <c r="J319" s="603"/>
      <c r="K319" t="s">
        <v>1559</v>
      </c>
      <c r="L319" s="603" t="str" cm="1">
        <f t="array" aca="1" ref="L319" ca="1">[1]!NOM_FEUILLE('Bilans Triticale - FAM'!$A$1)</f>
        <v>Bilans Triticale - FAM</v>
      </c>
      <c r="M319" s="26" t="str">
        <f>Etiquettes!$H$11</f>
        <v>Volume</v>
      </c>
      <c r="N319" t="str">
        <f t="shared" si="4"/>
        <v>Consommation de grains par les autres IAA = 0 kt (Bilans par campagne - FranceAgriMer)</v>
      </c>
      <c r="O319" s="26" t="str">
        <f>Etiquettes!$J$15</f>
        <v>Probable</v>
      </c>
      <c r="P319" s="603" t="str">
        <f>Etiquettes!$H$16</f>
        <v>Données collectées</v>
      </c>
      <c r="Q319" s="603" t="str">
        <f>Etiquettes!$H$17</f>
        <v>Donnée collectée (valeur du flux ou coefficient)</v>
      </c>
      <c r="R319"/>
      <c r="S319"/>
    </row>
    <row r="320" spans="1:19" s="26" customFormat="1">
      <c r="A320" t="str">
        <f>'Prétraitement bilans'!A19</f>
        <v>Grains collectés</v>
      </c>
      <c r="B320" t="str">
        <f>'Prétraitement bilans'!B19</f>
        <v>Semoulerie</v>
      </c>
      <c r="C320" s="458">
        <f>'Prétraitement bilans'!Z19</f>
        <v>0</v>
      </c>
      <c r="D320" s="10"/>
      <c r="E320" t="str">
        <f>Etiquettes!$C$3</f>
        <v>kt</v>
      </c>
      <c r="F320" s="26" t="str">
        <f>Etiquettes!$L$6</f>
        <v>Triticale</v>
      </c>
      <c r="G320" s="26" t="str">
        <f>Etiquettes!$J$5</f>
        <v>2023-24</v>
      </c>
      <c r="H320" t="str">
        <f>Etiquettes!$C$4</f>
        <v>France entière</v>
      </c>
      <c r="I320" s="603" t="s">
        <v>1567</v>
      </c>
      <c r="J320" s="603"/>
      <c r="K320" t="s">
        <v>1559</v>
      </c>
      <c r="L320" s="603" t="str" cm="1">
        <f t="array" aca="1" ref="L320" ca="1">[1]!NOM_FEUILLE('Bilans Triticale - FAM'!$A$1)</f>
        <v>Bilans Triticale - FAM</v>
      </c>
      <c r="M320" s="26" t="str">
        <f>Etiquettes!$H$11</f>
        <v>Volume</v>
      </c>
      <c r="N320" t="str">
        <f t="shared" si="4"/>
        <v>Consommation de grains par la Semoulerie = 0 kt (Bilans par campagne - FranceAgriMer)</v>
      </c>
      <c r="O320" s="26" t="str">
        <f>Etiquettes!$J$15</f>
        <v>Probable</v>
      </c>
      <c r="P320" s="603" t="str">
        <f>Etiquettes!$H$16</f>
        <v>Données collectées</v>
      </c>
      <c r="Q320" s="603" t="str">
        <f>Etiquettes!$H$17</f>
        <v>Donnée collectée (valeur du flux ou coefficient)</v>
      </c>
      <c r="R320"/>
      <c r="S320"/>
    </row>
    <row r="321" spans="1:19" s="26" customFormat="1">
      <c r="A321" t="str">
        <f>'Prétraitement bilans'!A20</f>
        <v>Grains collectés</v>
      </c>
      <c r="B321" t="str">
        <f>'Prétraitement bilans'!B20</f>
        <v>FAB</v>
      </c>
      <c r="C321" s="458">
        <f>'Prétraitement bilans'!Z20</f>
        <v>507.97990499999997</v>
      </c>
      <c r="D321" s="10"/>
      <c r="E321" t="str">
        <f>Etiquettes!$C$3</f>
        <v>kt</v>
      </c>
      <c r="F321" s="26" t="str">
        <f>Etiquettes!$L$6</f>
        <v>Triticale</v>
      </c>
      <c r="G321" s="26" t="str">
        <f>Etiquettes!$J$5</f>
        <v>2023-24</v>
      </c>
      <c r="H321" t="str">
        <f>Etiquettes!$C$4</f>
        <v>France entière</v>
      </c>
      <c r="I321" s="603" t="s">
        <v>1568</v>
      </c>
      <c r="J321" s="603"/>
      <c r="K321" t="s">
        <v>1559</v>
      </c>
      <c r="L321" s="603" t="str" cm="1">
        <f t="array" aca="1" ref="L321" ca="1">[1]!NOM_FEUILLE('Bilans Triticale - FAM'!$A$1)</f>
        <v>Bilans Triticale - FAM</v>
      </c>
      <c r="M321" s="26" t="str">
        <f>Etiquettes!$H$11</f>
        <v>Volume</v>
      </c>
      <c r="N321" t="str">
        <f t="shared" si="4"/>
        <v>Consommation de grains par les FAB = 508 kt (Bilans par campagne - FranceAgriMer)</v>
      </c>
      <c r="O321" s="26" t="str">
        <f>Etiquettes!$J$15</f>
        <v>Probable</v>
      </c>
      <c r="P321" s="603" t="str">
        <f>Etiquettes!$H$16</f>
        <v>Données collectées</v>
      </c>
      <c r="Q321" s="603" t="str">
        <f>Etiquettes!$H$17</f>
        <v>Donnée collectée (valeur du flux ou coefficient)</v>
      </c>
      <c r="R321"/>
      <c r="S321"/>
    </row>
    <row r="322" spans="1:19" s="26" customFormat="1">
      <c r="A322" t="str">
        <f>'Prétraitement bilans'!A21</f>
        <v>Grains collectés</v>
      </c>
      <c r="B322" t="str">
        <f>'Prétraitement bilans'!B21</f>
        <v>Semences certifiées</v>
      </c>
      <c r="C322" s="458">
        <f>'Prétraitement bilans'!Z21</f>
        <v>25.143599999999999</v>
      </c>
      <c r="D322" s="10"/>
      <c r="E322" t="str">
        <f>Etiquettes!$C$3</f>
        <v>kt</v>
      </c>
      <c r="F322" s="26" t="str">
        <f>Etiquettes!$L$6</f>
        <v>Triticale</v>
      </c>
      <c r="G322" s="26" t="str">
        <f>Etiquettes!$J$5</f>
        <v>2023-24</v>
      </c>
      <c r="H322" t="str">
        <f>Etiquettes!$C$4</f>
        <v>France entière</v>
      </c>
      <c r="I322" s="603" t="s">
        <v>1561</v>
      </c>
      <c r="J322" s="603"/>
      <c r="K322" t="s">
        <v>1559</v>
      </c>
      <c r="L322" s="603" t="str" cm="1">
        <f t="array" aca="1" ref="L322" ca="1">[1]!NOM_FEUILLE('Bilans Triticale - FAM'!$A$1)</f>
        <v>Bilans Triticale - FAM</v>
      </c>
      <c r="M322" s="26" t="str">
        <f>Etiquettes!$H$11</f>
        <v>Volume</v>
      </c>
      <c r="N322" t="str">
        <f t="shared" si="4"/>
        <v>Production de semences certifiées = 25 kt (Bilans par campagne - FranceAgriMer)</v>
      </c>
      <c r="O322" s="26" t="str">
        <f>Etiquettes!$J$15</f>
        <v>Probable</v>
      </c>
      <c r="P322" s="603" t="str">
        <f>Etiquettes!$H$16</f>
        <v>Données collectées</v>
      </c>
      <c r="Q322" s="603" t="str">
        <f>Etiquettes!$H$17</f>
        <v>Donnée collectée (valeur du flux ou coefficient)</v>
      </c>
      <c r="R322"/>
      <c r="S322"/>
    </row>
    <row r="323" spans="1:19" s="26" customFormat="1">
      <c r="A323" t="str">
        <f>'Prétraitement bilans'!A25</f>
        <v>OS</v>
      </c>
      <c r="B323" t="str">
        <f>'Prétraitement bilans'!B25</f>
        <v>Stock final</v>
      </c>
      <c r="C323" s="458">
        <f>'Prétraitement bilans'!Z25</f>
        <v>81.069199999999995</v>
      </c>
      <c r="D323" s="10"/>
      <c r="E323" t="str">
        <f>Etiquettes!$C$3</f>
        <v>kt</v>
      </c>
      <c r="F323" s="26" t="str">
        <f>Etiquettes!$L$6</f>
        <v>Triticale</v>
      </c>
      <c r="G323" s="26" t="str">
        <f>Etiquettes!$J$5</f>
        <v>2023-24</v>
      </c>
      <c r="H323" t="str">
        <f>Etiquettes!$C$4</f>
        <v>France entière</v>
      </c>
      <c r="I323" s="603" t="s">
        <v>1128</v>
      </c>
      <c r="J323" s="603"/>
      <c r="K323" t="s">
        <v>1559</v>
      </c>
      <c r="L323" s="603" t="str" cm="1">
        <f t="array" aca="1" ref="L323" ca="1">[1]!NOM_FEUILLE('Bilans Triticale - FAM'!$A$1)</f>
        <v>Bilans Triticale - FAM</v>
      </c>
      <c r="M323" s="26" t="str">
        <f>Etiquettes!$H$11</f>
        <v>Volume</v>
      </c>
      <c r="N323" t="str">
        <f t="shared" si="4"/>
        <v>Stock final collecteurs = 81 kt (Bilans par campagne - FranceAgriMer)</v>
      </c>
      <c r="O323" s="26" t="str">
        <f>Etiquettes!$I$15</f>
        <v>Robuste</v>
      </c>
      <c r="P323" s="603" t="str">
        <f>Etiquettes!$H$16</f>
        <v>Données collectées</v>
      </c>
      <c r="Q323" s="603" t="str">
        <f>Etiquettes!$H$17</f>
        <v>Donnée collectée (valeur du flux ou coefficient)</v>
      </c>
      <c r="R323"/>
      <c r="S323"/>
    </row>
    <row r="324" spans="1:19">
      <c r="A324" t="str">
        <f>'Prétraitement bilans'!A3</f>
        <v>Récolte</v>
      </c>
      <c r="B324" t="str">
        <f>'Prétraitement bilans'!B3</f>
        <v>Grains récoltés</v>
      </c>
      <c r="C324" s="458">
        <f>'Prétraitement bilans'!AA3</f>
        <v>300.77590000000004</v>
      </c>
      <c r="E324" t="str">
        <f>Etiquettes!$C$3</f>
        <v>kt</v>
      </c>
      <c r="F324" s="26" t="str">
        <f>Etiquettes!$M$6</f>
        <v>Sorgho</v>
      </c>
      <c r="G324" s="26" t="str">
        <f>Etiquettes!$J$5</f>
        <v>2023-24</v>
      </c>
      <c r="H324" t="str">
        <f>Etiquettes!$C$4</f>
        <v>France entière</v>
      </c>
      <c r="I324" s="603" t="s">
        <v>1106</v>
      </c>
      <c r="J324" s="603"/>
      <c r="K324" t="s">
        <v>1559</v>
      </c>
      <c r="L324" s="603" t="str" cm="1">
        <f t="array" aca="1" ref="L324" ca="1">[1]!NOM_FEUILLE('Bilans Sorgho - FAM'!$A$1)</f>
        <v>Bilans Sorgho - FAM</v>
      </c>
      <c r="M324" s="26" t="str">
        <f>Etiquettes!$H$11</f>
        <v>Volume</v>
      </c>
      <c r="N324" t="str">
        <f t="shared" ref="N324:N379" si="5">_xlfn.CONCAT(I324,IF(ISBLANK(C324),"",_xlfn.CONCAT(" = ",MROUND(C324,1)," ",E324))," (",K324,")")</f>
        <v>Récolte = 301 kt (Bilans par campagne - FranceAgriMer)</v>
      </c>
      <c r="O324" s="26" t="str">
        <f>Etiquettes!$H$15</f>
        <v>Fiable</v>
      </c>
      <c r="P324" s="603" t="str">
        <f>Etiquettes!$H$16</f>
        <v>Données collectées</v>
      </c>
      <c r="Q324" s="603" t="str">
        <f>Etiquettes!$H$17</f>
        <v>Donnée collectée (valeur du flux ou coefficient)</v>
      </c>
    </row>
    <row r="325" spans="1:19">
      <c r="A325" t="str">
        <f>'Prétraitement bilans'!A4</f>
        <v>Stock initial</v>
      </c>
      <c r="B325" t="str">
        <f>'Prétraitement bilans'!B4</f>
        <v>Ferme</v>
      </c>
      <c r="C325" s="458">
        <f>'Prétraitement bilans'!AA4</f>
        <v>0</v>
      </c>
      <c r="E325" t="str">
        <f>Etiquettes!$C$3</f>
        <v>kt</v>
      </c>
      <c r="F325" s="26" t="str">
        <f>Etiquettes!$M$6</f>
        <v>Sorgho</v>
      </c>
      <c r="G325" s="26" t="str">
        <f>Etiquettes!$J$5</f>
        <v>2023-24</v>
      </c>
      <c r="H325" t="str">
        <f>Etiquettes!$C$4</f>
        <v>France entière</v>
      </c>
      <c r="I325" s="603" t="s">
        <v>1115</v>
      </c>
      <c r="J325" s="603"/>
      <c r="K325" t="s">
        <v>1559</v>
      </c>
      <c r="L325" s="603" t="str" cm="1">
        <f t="array" aca="1" ref="L325" ca="1">[1]!NOM_FEUILLE('Bilans Sorgho - FAM'!$A$1)</f>
        <v>Bilans Sorgho - FAM</v>
      </c>
      <c r="M325" s="26" t="str">
        <f>Etiquettes!$H$11</f>
        <v>Volume</v>
      </c>
      <c r="N325" t="str">
        <f t="shared" si="5"/>
        <v>Stock initial à la ferme = 0 kt (Bilans par campagne - FranceAgriMer)</v>
      </c>
      <c r="O325" s="26" t="str">
        <f>Etiquettes!$K$15</f>
        <v>Approximative</v>
      </c>
      <c r="P325" s="603" t="str">
        <f>Etiquettes!$H$16</f>
        <v>Données collectées</v>
      </c>
      <c r="Q325" s="603" t="str">
        <f>Etiquettes!$H$17</f>
        <v>Donnée collectée (valeur du flux ou coefficient)</v>
      </c>
    </row>
    <row r="326" spans="1:19">
      <c r="A326" t="str">
        <f>'Prétraitement bilans'!A5</f>
        <v>Ferme</v>
      </c>
      <c r="B326" t="str">
        <f>'Prétraitement bilans'!B5</f>
        <v>Grains autoconsommés</v>
      </c>
      <c r="C326" s="458">
        <f>'Prétraitement bilans'!AA5</f>
        <v>69.994400000000041</v>
      </c>
      <c r="E326" t="str">
        <f>Etiquettes!$C$3</f>
        <v>kt</v>
      </c>
      <c r="F326" s="26" t="str">
        <f>Etiquettes!$M$6</f>
        <v>Sorgho</v>
      </c>
      <c r="G326" s="26" t="str">
        <f>Etiquettes!$J$5</f>
        <v>2023-24</v>
      </c>
      <c r="H326" t="str">
        <f>Etiquettes!$C$4</f>
        <v>France entière</v>
      </c>
      <c r="I326" s="603" t="s">
        <v>1560</v>
      </c>
      <c r="J326" s="603"/>
      <c r="K326" t="s">
        <v>1559</v>
      </c>
      <c r="L326" s="603" t="str" cm="1">
        <f t="array" aca="1" ref="L326" ca="1">[1]!NOM_FEUILLE('Bilans Sorgho - FAM'!$A$1)</f>
        <v>Bilans Sorgho - FAM</v>
      </c>
      <c r="M326" s="26" t="str">
        <f>Etiquettes!$H$11</f>
        <v>Volume</v>
      </c>
      <c r="N326" t="str">
        <f t="shared" si="5"/>
        <v>Autoconsommation à la ferme = 70 kt (Bilans par campagne - FranceAgriMer)</v>
      </c>
      <c r="O326" s="26" t="str">
        <f>Etiquettes!$K$15</f>
        <v>Approximative</v>
      </c>
      <c r="P326" s="603" t="str">
        <f>Etiquettes!$H$16</f>
        <v>Données collectées</v>
      </c>
      <c r="Q326" s="603" t="str">
        <f>Etiquettes!$H$17</f>
        <v>Donnée collectée (valeur du flux ou coefficient)</v>
      </c>
    </row>
    <row r="327" spans="1:19">
      <c r="A327" t="str">
        <f>'Prétraitement bilans'!A6</f>
        <v>Ferme</v>
      </c>
      <c r="B327" t="str">
        <f>'Prétraitement bilans'!B6</f>
        <v>Stock final</v>
      </c>
      <c r="C327" s="458">
        <f>'Prétraitement bilans'!AA6</f>
        <v>0</v>
      </c>
      <c r="E327" t="str">
        <f>Etiquettes!$C$3</f>
        <v>kt</v>
      </c>
      <c r="F327" s="26" t="str">
        <f>Etiquettes!$M$6</f>
        <v>Sorgho</v>
      </c>
      <c r="G327" s="26" t="str">
        <f>Etiquettes!$J$5</f>
        <v>2023-24</v>
      </c>
      <c r="H327" t="str">
        <f>Etiquettes!$C$4</f>
        <v>France entière</v>
      </c>
      <c r="I327" s="603" t="s">
        <v>1116</v>
      </c>
      <c r="J327" s="603"/>
      <c r="K327" t="s">
        <v>1559</v>
      </c>
      <c r="L327" s="603" t="str" cm="1">
        <f t="array" aca="1" ref="L327" ca="1">[1]!NOM_FEUILLE('Bilans Sorgho - FAM'!$A$1)</f>
        <v>Bilans Sorgho - FAM</v>
      </c>
      <c r="M327" s="26" t="str">
        <f>Etiquettes!$H$11</f>
        <v>Volume</v>
      </c>
      <c r="N327" t="str">
        <f t="shared" si="5"/>
        <v>Stock final à la ferme = 0 kt (Bilans par campagne - FranceAgriMer)</v>
      </c>
      <c r="O327" s="26" t="str">
        <f>Etiquettes!$K$15</f>
        <v>Approximative</v>
      </c>
      <c r="P327" s="603" t="str">
        <f>Etiquettes!$H$16</f>
        <v>Données collectées</v>
      </c>
      <c r="Q327" s="603" t="str">
        <f>Etiquettes!$H$17</f>
        <v>Donnée collectée (valeur du flux ou coefficient)</v>
      </c>
    </row>
    <row r="328" spans="1:19">
      <c r="A328" t="str">
        <f>'Prétraitement bilans'!A7</f>
        <v>Stock initial</v>
      </c>
      <c r="B328" t="str">
        <f>'Prétraitement bilans'!B7</f>
        <v>OS</v>
      </c>
      <c r="C328" s="458">
        <f>'Prétraitement bilans'!AA7</f>
        <v>17.452099999999998</v>
      </c>
      <c r="E328" t="str">
        <f>Etiquettes!$C$3</f>
        <v>kt</v>
      </c>
      <c r="F328" s="26" t="str">
        <f>Etiquettes!$M$6</f>
        <v>Sorgho</v>
      </c>
      <c r="G328" s="26" t="str">
        <f>Etiquettes!$J$5</f>
        <v>2023-24</v>
      </c>
      <c r="H328" t="str">
        <f>Etiquettes!$C$4</f>
        <v>France entière</v>
      </c>
      <c r="I328" s="603" t="s">
        <v>1127</v>
      </c>
      <c r="J328" s="603"/>
      <c r="K328" t="s">
        <v>1559</v>
      </c>
      <c r="L328" s="603" t="str" cm="1">
        <f t="array" aca="1" ref="L328" ca="1">[1]!NOM_FEUILLE('Bilans Sorgho - FAM'!$A$1)</f>
        <v>Bilans Sorgho - FAM</v>
      </c>
      <c r="M328" s="26" t="str">
        <f>Etiquettes!$H$11</f>
        <v>Volume</v>
      </c>
      <c r="N328" t="str">
        <f t="shared" si="5"/>
        <v>Stock initial collecteurs = 17 kt (Bilans par campagne - FranceAgriMer)</v>
      </c>
      <c r="O328" s="26" t="str">
        <f>Etiquettes!$I$15</f>
        <v>Robuste</v>
      </c>
      <c r="P328" s="603" t="str">
        <f>Etiquettes!$H$16</f>
        <v>Données collectées</v>
      </c>
      <c r="Q328" s="603" t="str">
        <f>Etiquettes!$H$17</f>
        <v>Donnée collectée (valeur du flux ou coefficient)</v>
      </c>
    </row>
    <row r="329" spans="1:19">
      <c r="A329" t="str">
        <f>'Prétraitement bilans'!A8</f>
        <v>Grains récoltés</v>
      </c>
      <c r="B329" t="str">
        <f>'Prétraitement bilans'!B8</f>
        <v>OS</v>
      </c>
      <c r="C329" s="458">
        <f>'Prétraitement bilans'!AA8</f>
        <v>230.78149999999999</v>
      </c>
      <c r="E329" t="str">
        <f>Etiquettes!$C$3</f>
        <v>kt</v>
      </c>
      <c r="F329" s="26" t="str">
        <f>Etiquettes!$M$6</f>
        <v>Sorgho</v>
      </c>
      <c r="G329" s="26" t="str">
        <f>Etiquettes!$J$5</f>
        <v>2023-24</v>
      </c>
      <c r="H329" t="str">
        <f>Etiquettes!$C$4</f>
        <v>France entière</v>
      </c>
      <c r="I329" s="603" t="s">
        <v>317</v>
      </c>
      <c r="J329" s="603"/>
      <c r="K329" t="s">
        <v>1559</v>
      </c>
      <c r="L329" s="603" t="str" cm="1">
        <f t="array" aca="1" ref="L329" ca="1">[1]!NOM_FEUILLE('Bilans Sorgho - FAM'!$A$1)</f>
        <v>Bilans Sorgho - FAM</v>
      </c>
      <c r="M329" s="26" t="str">
        <f>Etiquettes!$H$11</f>
        <v>Volume</v>
      </c>
      <c r="N329" t="str">
        <f t="shared" si="5"/>
        <v>Collecte = 231 kt (Bilans par campagne - FranceAgriMer)</v>
      </c>
      <c r="O329" s="26" t="str">
        <f>Etiquettes!$I$15</f>
        <v>Robuste</v>
      </c>
      <c r="P329" s="603" t="str">
        <f>Etiquettes!$H$16</f>
        <v>Données collectées</v>
      </c>
      <c r="Q329" s="603" t="str">
        <f>Etiquettes!$H$17</f>
        <v>Donnée collectée (valeur du flux ou coefficient)</v>
      </c>
    </row>
    <row r="330" spans="1:19">
      <c r="A330" t="str">
        <f>'Prétraitement bilans'!A13</f>
        <v>Grains collectés</v>
      </c>
      <c r="B330" t="str">
        <f>'Prétraitement bilans'!B13</f>
        <v>Amidonnerie / Glutennerie</v>
      </c>
      <c r="C330" s="458">
        <f>'Prétraitement bilans'!AA13</f>
        <v>0</v>
      </c>
      <c r="E330" t="str">
        <f>Etiquettes!$C$3</f>
        <v>kt</v>
      </c>
      <c r="F330" s="26" t="str">
        <f>Etiquettes!$M$6</f>
        <v>Sorgho</v>
      </c>
      <c r="G330" s="26" t="str">
        <f>Etiquettes!$J$5</f>
        <v>2023-24</v>
      </c>
      <c r="H330" t="str">
        <f>Etiquettes!$C$4</f>
        <v>France entière</v>
      </c>
      <c r="I330" s="603" t="s">
        <v>1563</v>
      </c>
      <c r="J330" s="603"/>
      <c r="K330" t="s">
        <v>1559</v>
      </c>
      <c r="L330" s="603" t="str" cm="1">
        <f t="array" aca="1" ref="L330" ca="1">[1]!NOM_FEUILLE('Bilans Sorgho - FAM'!$A$1)</f>
        <v>Bilans Sorgho - FAM</v>
      </c>
      <c r="M330" s="26" t="str">
        <f>Etiquettes!$H$11</f>
        <v>Volume</v>
      </c>
      <c r="N330" t="str">
        <f t="shared" si="5"/>
        <v>Consommation de grains par l'Amidonnerie = 0 kt (Bilans par campagne - FranceAgriMer)</v>
      </c>
      <c r="O330" s="26" t="str">
        <f>Etiquettes!$J$15</f>
        <v>Probable</v>
      </c>
      <c r="P330" s="603" t="str">
        <f>Etiquettes!$H$16</f>
        <v>Données collectées</v>
      </c>
      <c r="Q330" s="603" t="str">
        <f>Etiquettes!$H$17</f>
        <v>Donnée collectée (valeur du flux ou coefficient)</v>
      </c>
    </row>
    <row r="331" spans="1:19">
      <c r="A331" t="str">
        <f>'Prétraitement bilans'!A16</f>
        <v>Grains collectés</v>
      </c>
      <c r="B331" t="str">
        <f>'Prétraitement bilans'!B16</f>
        <v>Distillerie</v>
      </c>
      <c r="C331" s="458">
        <f>'Prétraitement bilans'!AA16</f>
        <v>0</v>
      </c>
      <c r="E331" t="str">
        <f>Etiquettes!$C$3</f>
        <v>kt</v>
      </c>
      <c r="F331" s="26" t="str">
        <f>Etiquettes!$M$6</f>
        <v>Sorgho</v>
      </c>
      <c r="G331" s="26" t="str">
        <f>Etiquettes!$J$5</f>
        <v>2023-24</v>
      </c>
      <c r="H331" t="str">
        <f>Etiquettes!$C$4</f>
        <v>France entière</v>
      </c>
      <c r="I331" s="603" t="s">
        <v>1564</v>
      </c>
      <c r="J331" s="603"/>
      <c r="K331" t="s">
        <v>1559</v>
      </c>
      <c r="L331" s="603" t="str" cm="1">
        <f t="array" aca="1" ref="L331" ca="1">[1]!NOM_FEUILLE('Bilans Sorgho - FAM'!$A$1)</f>
        <v>Bilans Sorgho - FAM</v>
      </c>
      <c r="M331" s="26" t="str">
        <f>Etiquettes!$H$11</f>
        <v>Volume</v>
      </c>
      <c r="N331" t="str">
        <f t="shared" si="5"/>
        <v>Consommation de grains par la Distillerie = 0 kt (Bilans par campagne - FranceAgriMer)</v>
      </c>
      <c r="O331" s="26" t="str">
        <f>Etiquettes!$J$15</f>
        <v>Probable</v>
      </c>
      <c r="P331" s="603" t="str">
        <f>Etiquettes!$H$16</f>
        <v>Données collectées</v>
      </c>
      <c r="Q331" s="603" t="str">
        <f>Etiquettes!$H$17</f>
        <v>Donnée collectée (valeur du flux ou coefficient)</v>
      </c>
    </row>
    <row r="332" spans="1:19">
      <c r="A332" t="str">
        <f>'Prétraitement bilans'!A17</f>
        <v>Grains collectés</v>
      </c>
      <c r="B332" t="str">
        <f>'Prétraitement bilans'!B17</f>
        <v>Malterie</v>
      </c>
      <c r="C332" s="458">
        <f>'Prétraitement bilans'!AA17</f>
        <v>0</v>
      </c>
      <c r="E332" t="str">
        <f>Etiquettes!$C$3</f>
        <v>kt</v>
      </c>
      <c r="F332" s="26" t="str">
        <f>Etiquettes!$M$6</f>
        <v>Sorgho</v>
      </c>
      <c r="G332" s="26" t="str">
        <f>Etiquettes!$J$5</f>
        <v>2023-24</v>
      </c>
      <c r="H332" t="str">
        <f>Etiquettes!$C$4</f>
        <v>France entière</v>
      </c>
      <c r="I332" s="603" t="s">
        <v>1565</v>
      </c>
      <c r="J332" s="603"/>
      <c r="K332" t="s">
        <v>1559</v>
      </c>
      <c r="L332" s="603" t="str" cm="1">
        <f t="array" aca="1" ref="L332" ca="1">[1]!NOM_FEUILLE('Bilans Sorgho - FAM'!$A$1)</f>
        <v>Bilans Sorgho - FAM</v>
      </c>
      <c r="M332" s="26" t="str">
        <f>Etiquettes!$H$11</f>
        <v>Volume</v>
      </c>
      <c r="N332" t="str">
        <f t="shared" si="5"/>
        <v>Consommation de grains par la Malterie = 0 kt (Bilans par campagne - FranceAgriMer)</v>
      </c>
      <c r="O332" s="26" t="str">
        <f>Etiquettes!$J$15</f>
        <v>Probable</v>
      </c>
      <c r="P332" s="603" t="str">
        <f>Etiquettes!$H$16</f>
        <v>Données collectées</v>
      </c>
      <c r="Q332" s="603" t="str">
        <f>Etiquettes!$H$17</f>
        <v>Donnée collectée (valeur du flux ou coefficient)</v>
      </c>
    </row>
    <row r="333" spans="1:19" s="26" customFormat="1">
      <c r="A333" t="str">
        <f>'Prétraitement bilans'!A18</f>
        <v>Grains collectés</v>
      </c>
      <c r="B333" t="str">
        <f>'Prétraitement bilans'!B18</f>
        <v>Autres IAA</v>
      </c>
      <c r="C333" s="458">
        <f>'Prétraitement bilans'!AA18</f>
        <v>0</v>
      </c>
      <c r="D333" s="10"/>
      <c r="E333" t="str">
        <f>Etiquettes!$C$3</f>
        <v>kt</v>
      </c>
      <c r="F333" s="26" t="str">
        <f>Etiquettes!$M$6</f>
        <v>Sorgho</v>
      </c>
      <c r="G333" s="26" t="str">
        <f>Etiquettes!$J$5</f>
        <v>2023-24</v>
      </c>
      <c r="H333" t="str">
        <f>Etiquettes!$C$4</f>
        <v>France entière</v>
      </c>
      <c r="I333" s="603" t="s">
        <v>1566</v>
      </c>
      <c r="J333" s="603"/>
      <c r="K333" t="s">
        <v>1559</v>
      </c>
      <c r="L333" s="603" t="str" cm="1">
        <f t="array" aca="1" ref="L333" ca="1">[1]!NOM_FEUILLE('Bilans Sorgho - FAM'!$A$1)</f>
        <v>Bilans Sorgho - FAM</v>
      </c>
      <c r="M333" s="26" t="str">
        <f>Etiquettes!$H$11</f>
        <v>Volume</v>
      </c>
      <c r="N333" t="str">
        <f t="shared" si="5"/>
        <v>Consommation de grains par les autres IAA = 0 kt (Bilans par campagne - FranceAgriMer)</v>
      </c>
      <c r="O333" s="26" t="str">
        <f>Etiquettes!$J$15</f>
        <v>Probable</v>
      </c>
      <c r="P333" s="603" t="str">
        <f>Etiquettes!$H$16</f>
        <v>Données collectées</v>
      </c>
      <c r="Q333" s="603" t="str">
        <f>Etiquettes!$H$17</f>
        <v>Donnée collectée (valeur du flux ou coefficient)</v>
      </c>
      <c r="R333"/>
      <c r="S333"/>
    </row>
    <row r="334" spans="1:19" s="26" customFormat="1">
      <c r="A334" t="str">
        <f>'Prétraitement bilans'!A19</f>
        <v>Grains collectés</v>
      </c>
      <c r="B334" t="str">
        <f>'Prétraitement bilans'!B19</f>
        <v>Semoulerie</v>
      </c>
      <c r="C334" s="458">
        <f>'Prétraitement bilans'!AA19</f>
        <v>0</v>
      </c>
      <c r="D334" s="10"/>
      <c r="E334" t="str">
        <f>Etiquettes!$C$3</f>
        <v>kt</v>
      </c>
      <c r="F334" s="26" t="str">
        <f>Etiquettes!$M$6</f>
        <v>Sorgho</v>
      </c>
      <c r="G334" s="26" t="str">
        <f>Etiquettes!$J$5</f>
        <v>2023-24</v>
      </c>
      <c r="H334" t="str">
        <f>Etiquettes!$C$4</f>
        <v>France entière</v>
      </c>
      <c r="I334" s="603" t="s">
        <v>1567</v>
      </c>
      <c r="J334" s="603"/>
      <c r="K334" t="s">
        <v>1559</v>
      </c>
      <c r="L334" s="603" t="str" cm="1">
        <f t="array" aca="1" ref="L334" ca="1">[1]!NOM_FEUILLE('Bilans Sorgho - FAM'!$A$1)</f>
        <v>Bilans Sorgho - FAM</v>
      </c>
      <c r="M334" s="26" t="str">
        <f>Etiquettes!$H$11</f>
        <v>Volume</v>
      </c>
      <c r="N334" t="str">
        <f t="shared" si="5"/>
        <v>Consommation de grains par la Semoulerie = 0 kt (Bilans par campagne - FranceAgriMer)</v>
      </c>
      <c r="O334" s="26" t="str">
        <f>Etiquettes!$J$15</f>
        <v>Probable</v>
      </c>
      <c r="P334" s="603" t="str">
        <f>Etiquettes!$H$16</f>
        <v>Données collectées</v>
      </c>
      <c r="Q334" s="603" t="str">
        <f>Etiquettes!$H$17</f>
        <v>Donnée collectée (valeur du flux ou coefficient)</v>
      </c>
      <c r="R334"/>
      <c r="S334"/>
    </row>
    <row r="335" spans="1:19" s="26" customFormat="1">
      <c r="A335" t="str">
        <f>'Prétraitement bilans'!A20</f>
        <v>Grains collectés</v>
      </c>
      <c r="B335" t="str">
        <f>'Prétraitement bilans'!B20</f>
        <v>FAB</v>
      </c>
      <c r="C335" s="458">
        <f>'Prétraitement bilans'!AA20</f>
        <v>37.006300000000003</v>
      </c>
      <c r="D335" s="10"/>
      <c r="E335" t="str">
        <f>Etiquettes!$C$3</f>
        <v>kt</v>
      </c>
      <c r="F335" s="26" t="str">
        <f>Etiquettes!$M$6</f>
        <v>Sorgho</v>
      </c>
      <c r="G335" s="26" t="str">
        <f>Etiquettes!$J$5</f>
        <v>2023-24</v>
      </c>
      <c r="H335" t="str">
        <f>Etiquettes!$C$4</f>
        <v>France entière</v>
      </c>
      <c r="I335" s="603" t="s">
        <v>1568</v>
      </c>
      <c r="J335" s="603"/>
      <c r="K335" t="s">
        <v>1559</v>
      </c>
      <c r="L335" s="603" t="str" cm="1">
        <f t="array" aca="1" ref="L335" ca="1">[1]!NOM_FEUILLE('Bilans Sorgho - FAM'!$A$1)</f>
        <v>Bilans Sorgho - FAM</v>
      </c>
      <c r="M335" s="26" t="str">
        <f>Etiquettes!$H$11</f>
        <v>Volume</v>
      </c>
      <c r="N335" t="str">
        <f t="shared" si="5"/>
        <v>Consommation de grains par les FAB = 37 kt (Bilans par campagne - FranceAgriMer)</v>
      </c>
      <c r="O335" s="26" t="str">
        <f>Etiquettes!$J$15</f>
        <v>Probable</v>
      </c>
      <c r="P335" s="603" t="str">
        <f>Etiquettes!$H$16</f>
        <v>Données collectées</v>
      </c>
      <c r="Q335" s="603" t="str">
        <f>Etiquettes!$H$17</f>
        <v>Donnée collectée (valeur du flux ou coefficient)</v>
      </c>
      <c r="R335"/>
      <c r="S335"/>
    </row>
    <row r="336" spans="1:19" s="26" customFormat="1">
      <c r="A336" t="str">
        <f>'Prétraitement bilans'!A21</f>
        <v>Grains collectés</v>
      </c>
      <c r="B336" t="str">
        <f>'Prétraitement bilans'!B21</f>
        <v>Semences certifiées</v>
      </c>
      <c r="C336" s="458">
        <f>'Prétraitement bilans'!AA21</f>
        <v>1.8331</v>
      </c>
      <c r="D336" s="10"/>
      <c r="E336" t="str">
        <f>Etiquettes!$C$3</f>
        <v>kt</v>
      </c>
      <c r="F336" s="26" t="str">
        <f>Etiquettes!$M$6</f>
        <v>Sorgho</v>
      </c>
      <c r="G336" s="26" t="str">
        <f>Etiquettes!$J$5</f>
        <v>2023-24</v>
      </c>
      <c r="H336" t="str">
        <f>Etiquettes!$C$4</f>
        <v>France entière</v>
      </c>
      <c r="I336" s="603" t="s">
        <v>1561</v>
      </c>
      <c r="J336" s="603"/>
      <c r="K336" t="s">
        <v>1559</v>
      </c>
      <c r="L336" s="603" t="str" cm="1">
        <f t="array" aca="1" ref="L336" ca="1">[1]!NOM_FEUILLE('Bilans Sorgho - FAM'!$A$1)</f>
        <v>Bilans Sorgho - FAM</v>
      </c>
      <c r="M336" s="26" t="str">
        <f>Etiquettes!$H$11</f>
        <v>Volume</v>
      </c>
      <c r="N336" t="str">
        <f t="shared" si="5"/>
        <v>Production de semences certifiées = 2 kt (Bilans par campagne - FranceAgriMer)</v>
      </c>
      <c r="O336" s="26" t="str">
        <f>Etiquettes!$J$15</f>
        <v>Probable</v>
      </c>
      <c r="P336" s="603" t="str">
        <f>Etiquettes!$H$16</f>
        <v>Données collectées</v>
      </c>
      <c r="Q336" s="603" t="str">
        <f>Etiquettes!$H$17</f>
        <v>Donnée collectée (valeur du flux ou coefficient)</v>
      </c>
      <c r="R336"/>
      <c r="S336"/>
    </row>
    <row r="337" spans="1:19" s="26" customFormat="1">
      <c r="A337" t="str">
        <f>'Prétraitement bilans'!A25</f>
        <v>OS</v>
      </c>
      <c r="B337" t="str">
        <f>'Prétraitement bilans'!B25</f>
        <v>Stock final</v>
      </c>
      <c r="C337" s="458">
        <f>'Prétraitement bilans'!AA25</f>
        <v>30.900299999999998</v>
      </c>
      <c r="D337" s="10"/>
      <c r="E337" t="str">
        <f>Etiquettes!$C$3</f>
        <v>kt</v>
      </c>
      <c r="F337" s="26" t="str">
        <f>Etiquettes!$M$6</f>
        <v>Sorgho</v>
      </c>
      <c r="G337" s="26" t="str">
        <f>Etiquettes!$J$5</f>
        <v>2023-24</v>
      </c>
      <c r="H337" t="str">
        <f>Etiquettes!$C$4</f>
        <v>France entière</v>
      </c>
      <c r="I337" s="603" t="s">
        <v>1128</v>
      </c>
      <c r="J337" s="603"/>
      <c r="K337" t="s">
        <v>1559</v>
      </c>
      <c r="L337" s="603" t="str" cm="1">
        <f t="array" aca="1" ref="L337" ca="1">[1]!NOM_FEUILLE('Bilans Sorgho - FAM'!$A$1)</f>
        <v>Bilans Sorgho - FAM</v>
      </c>
      <c r="M337" s="26" t="str">
        <f>Etiquettes!$H$11</f>
        <v>Volume</v>
      </c>
      <c r="N337" t="str">
        <f t="shared" si="5"/>
        <v>Stock final collecteurs = 31 kt (Bilans par campagne - FranceAgriMer)</v>
      </c>
      <c r="O337" s="26" t="str">
        <f>Etiquettes!$I$15</f>
        <v>Robuste</v>
      </c>
      <c r="P337" s="603" t="str">
        <f>Etiquettes!$H$16</f>
        <v>Données collectées</v>
      </c>
      <c r="Q337" s="603" t="str">
        <f>Etiquettes!$H$17</f>
        <v>Donnée collectée (valeur du flux ou coefficient)</v>
      </c>
      <c r="R337"/>
      <c r="S337"/>
    </row>
    <row r="338" spans="1:19">
      <c r="A338" t="str">
        <f>'Prétraitement bilans'!A3</f>
        <v>Récolte</v>
      </c>
      <c r="B338" t="str">
        <f>'Prétraitement bilans'!B3</f>
        <v>Grains récoltés</v>
      </c>
      <c r="C338" s="458">
        <f>'Prétraitement bilans'!AB3</f>
        <v>341.30380000000008</v>
      </c>
      <c r="E338" t="str">
        <f>Etiquettes!$C$3</f>
        <v>kt</v>
      </c>
      <c r="F338" s="26" t="str">
        <f>Etiquettes!$N$6</f>
        <v>Avoine</v>
      </c>
      <c r="G338" s="26" t="str">
        <f>Etiquettes!$J$5</f>
        <v>2023-24</v>
      </c>
      <c r="H338" t="str">
        <f>Etiquettes!$C$4</f>
        <v>France entière</v>
      </c>
      <c r="I338" s="603" t="s">
        <v>1106</v>
      </c>
      <c r="J338" s="603"/>
      <c r="K338" t="s">
        <v>1559</v>
      </c>
      <c r="L338" s="603" t="str" cm="1">
        <f t="array" aca="1" ref="L338" ca="1">[1]!NOM_FEUILLE('Bilans Avoine - FAM'!$A$1)</f>
        <v>Bilans Avoine - FAM</v>
      </c>
      <c r="M338" s="26" t="str">
        <f>Etiquettes!$H$11</f>
        <v>Volume</v>
      </c>
      <c r="N338" t="str">
        <f t="shared" si="5"/>
        <v>Récolte = 341 kt (Bilans par campagne - FranceAgriMer)</v>
      </c>
      <c r="O338" s="26" t="str">
        <f>Etiquettes!$H$15</f>
        <v>Fiable</v>
      </c>
      <c r="P338" s="603" t="str">
        <f>Etiquettes!$H$16</f>
        <v>Données collectées</v>
      </c>
      <c r="Q338" s="603" t="str">
        <f>Etiquettes!$H$17</f>
        <v>Donnée collectée (valeur du flux ou coefficient)</v>
      </c>
    </row>
    <row r="339" spans="1:19">
      <c r="A339" t="str">
        <f>'Prétraitement bilans'!A4</f>
        <v>Stock initial</v>
      </c>
      <c r="B339" t="str">
        <f>'Prétraitement bilans'!B4</f>
        <v>Ferme</v>
      </c>
      <c r="C339" s="458">
        <f>'Prétraitement bilans'!AB4</f>
        <v>0</v>
      </c>
      <c r="E339" t="str">
        <f>Etiquettes!$C$3</f>
        <v>kt</v>
      </c>
      <c r="F339" s="26" t="str">
        <f>Etiquettes!$N$6</f>
        <v>Avoine</v>
      </c>
      <c r="G339" s="26" t="str">
        <f>Etiquettes!$J$5</f>
        <v>2023-24</v>
      </c>
      <c r="H339" t="str">
        <f>Etiquettes!$C$4</f>
        <v>France entière</v>
      </c>
      <c r="I339" s="603" t="s">
        <v>1115</v>
      </c>
      <c r="J339" s="603"/>
      <c r="K339" t="s">
        <v>1559</v>
      </c>
      <c r="L339" s="603" t="str" cm="1">
        <f t="array" aca="1" ref="L339" ca="1">[1]!NOM_FEUILLE('Bilans Avoine - FAM'!$A$1)</f>
        <v>Bilans Avoine - FAM</v>
      </c>
      <c r="M339" s="26" t="str">
        <f>Etiquettes!$H$11</f>
        <v>Volume</v>
      </c>
      <c r="N339" t="str">
        <f t="shared" si="5"/>
        <v>Stock initial à la ferme = 0 kt (Bilans par campagne - FranceAgriMer)</v>
      </c>
      <c r="O339" s="26" t="str">
        <f>Etiquettes!$K$15</f>
        <v>Approximative</v>
      </c>
      <c r="P339" s="603" t="str">
        <f>Etiquettes!$H$16</f>
        <v>Données collectées</v>
      </c>
      <c r="Q339" s="603" t="str">
        <f>Etiquettes!$H$17</f>
        <v>Donnée collectée (valeur du flux ou coefficient)</v>
      </c>
    </row>
    <row r="340" spans="1:19">
      <c r="A340" t="str">
        <f>'Prétraitement bilans'!A5</f>
        <v>Ferme</v>
      </c>
      <c r="B340" t="str">
        <f>'Prétraitement bilans'!B5</f>
        <v>Grains autoconsommés</v>
      </c>
      <c r="C340" s="458">
        <f>'Prétraitement bilans'!AB5</f>
        <v>111.58580000000006</v>
      </c>
      <c r="E340" t="str">
        <f>Etiquettes!$C$3</f>
        <v>kt</v>
      </c>
      <c r="F340" s="26" t="str">
        <f>Etiquettes!$N$6</f>
        <v>Avoine</v>
      </c>
      <c r="G340" s="26" t="str">
        <f>Etiquettes!$J$5</f>
        <v>2023-24</v>
      </c>
      <c r="H340" t="str">
        <f>Etiquettes!$C$4</f>
        <v>France entière</v>
      </c>
      <c r="I340" s="603" t="s">
        <v>1560</v>
      </c>
      <c r="J340" s="603"/>
      <c r="K340" t="s">
        <v>1559</v>
      </c>
      <c r="L340" s="603" t="str" cm="1">
        <f t="array" aca="1" ref="L340" ca="1">[1]!NOM_FEUILLE('Bilans Avoine - FAM'!$A$1)</f>
        <v>Bilans Avoine - FAM</v>
      </c>
      <c r="M340" s="26" t="str">
        <f>Etiquettes!$H$11</f>
        <v>Volume</v>
      </c>
      <c r="N340" t="str">
        <f t="shared" si="5"/>
        <v>Autoconsommation à la ferme = 112 kt (Bilans par campagne - FranceAgriMer)</v>
      </c>
      <c r="O340" s="26" t="str">
        <f>Etiquettes!$K$15</f>
        <v>Approximative</v>
      </c>
      <c r="P340" s="603" t="str">
        <f>Etiquettes!$H$16</f>
        <v>Données collectées</v>
      </c>
      <c r="Q340" s="603" t="str">
        <f>Etiquettes!$H$17</f>
        <v>Donnée collectée (valeur du flux ou coefficient)</v>
      </c>
    </row>
    <row r="341" spans="1:19">
      <c r="A341" t="str">
        <f>'Prétraitement bilans'!A6</f>
        <v>Ferme</v>
      </c>
      <c r="B341" t="str">
        <f>'Prétraitement bilans'!B6</f>
        <v>Stock final</v>
      </c>
      <c r="C341" s="458">
        <f>'Prétraitement bilans'!AB6</f>
        <v>0</v>
      </c>
      <c r="E341" t="str">
        <f>Etiquettes!$C$3</f>
        <v>kt</v>
      </c>
      <c r="F341" s="26" t="str">
        <f>Etiquettes!$N$6</f>
        <v>Avoine</v>
      </c>
      <c r="G341" s="26" t="str">
        <f>Etiquettes!$J$5</f>
        <v>2023-24</v>
      </c>
      <c r="H341" t="str">
        <f>Etiquettes!$C$4</f>
        <v>France entière</v>
      </c>
      <c r="I341" s="603" t="s">
        <v>1116</v>
      </c>
      <c r="J341" s="603"/>
      <c r="K341" t="s">
        <v>1559</v>
      </c>
      <c r="L341" s="603" t="str" cm="1">
        <f t="array" aca="1" ref="L341" ca="1">[1]!NOM_FEUILLE('Bilans Avoine - FAM'!$A$1)</f>
        <v>Bilans Avoine - FAM</v>
      </c>
      <c r="M341" s="26" t="str">
        <f>Etiquettes!$H$11</f>
        <v>Volume</v>
      </c>
      <c r="N341" t="str">
        <f t="shared" si="5"/>
        <v>Stock final à la ferme = 0 kt (Bilans par campagne - FranceAgriMer)</v>
      </c>
      <c r="O341" s="26" t="str">
        <f>Etiquettes!$K$15</f>
        <v>Approximative</v>
      </c>
      <c r="P341" s="603" t="str">
        <f>Etiquettes!$H$16</f>
        <v>Données collectées</v>
      </c>
      <c r="Q341" s="603" t="str">
        <f>Etiquettes!$H$17</f>
        <v>Donnée collectée (valeur du flux ou coefficient)</v>
      </c>
    </row>
    <row r="342" spans="1:19">
      <c r="A342" t="str">
        <f>'Prétraitement bilans'!A7</f>
        <v>Stock initial</v>
      </c>
      <c r="B342" t="str">
        <f>'Prétraitement bilans'!B7</f>
        <v>OS</v>
      </c>
      <c r="C342" s="458">
        <f>'Prétraitement bilans'!AB7</f>
        <v>49.138800000000003</v>
      </c>
      <c r="E342" t="str">
        <f>Etiquettes!$C$3</f>
        <v>kt</v>
      </c>
      <c r="F342" s="26" t="str">
        <f>Etiquettes!$N$6</f>
        <v>Avoine</v>
      </c>
      <c r="G342" s="26" t="str">
        <f>Etiquettes!$J$5</f>
        <v>2023-24</v>
      </c>
      <c r="H342" t="str">
        <f>Etiquettes!$C$4</f>
        <v>France entière</v>
      </c>
      <c r="I342" s="603" t="s">
        <v>1127</v>
      </c>
      <c r="J342" s="603"/>
      <c r="K342" t="s">
        <v>1559</v>
      </c>
      <c r="L342" s="603" t="str" cm="1">
        <f t="array" aca="1" ref="L342" ca="1">[1]!NOM_FEUILLE('Bilans Avoine - FAM'!$A$1)</f>
        <v>Bilans Avoine - FAM</v>
      </c>
      <c r="M342" s="26" t="str">
        <f>Etiquettes!$H$11</f>
        <v>Volume</v>
      </c>
      <c r="N342" t="str">
        <f t="shared" si="5"/>
        <v>Stock initial collecteurs = 49 kt (Bilans par campagne - FranceAgriMer)</v>
      </c>
      <c r="O342" s="26" t="str">
        <f>Etiquettes!$I$15</f>
        <v>Robuste</v>
      </c>
      <c r="P342" s="603" t="str">
        <f>Etiquettes!$H$16</f>
        <v>Données collectées</v>
      </c>
      <c r="Q342" s="603" t="str">
        <f>Etiquettes!$H$17</f>
        <v>Donnée collectée (valeur du flux ou coefficient)</v>
      </c>
    </row>
    <row r="343" spans="1:19">
      <c r="A343" t="str">
        <f>'Prétraitement bilans'!A8</f>
        <v>Grains récoltés</v>
      </c>
      <c r="B343" t="str">
        <f>'Prétraitement bilans'!B8</f>
        <v>OS</v>
      </c>
      <c r="C343" s="458">
        <f>'Prétraitement bilans'!AB8</f>
        <v>229.71800000000002</v>
      </c>
      <c r="E343" t="str">
        <f>Etiquettes!$C$3</f>
        <v>kt</v>
      </c>
      <c r="F343" s="26" t="str">
        <f>Etiquettes!$N$6</f>
        <v>Avoine</v>
      </c>
      <c r="G343" s="26" t="str">
        <f>Etiquettes!$J$5</f>
        <v>2023-24</v>
      </c>
      <c r="H343" t="str">
        <f>Etiquettes!$C$4</f>
        <v>France entière</v>
      </c>
      <c r="I343" s="603" t="s">
        <v>317</v>
      </c>
      <c r="J343" s="603"/>
      <c r="K343" t="s">
        <v>1559</v>
      </c>
      <c r="L343" s="603" t="str" cm="1">
        <f t="array" aca="1" ref="L343" ca="1">[1]!NOM_FEUILLE('Bilans Avoine - FAM'!$A$1)</f>
        <v>Bilans Avoine - FAM</v>
      </c>
      <c r="M343" s="26" t="str">
        <f>Etiquettes!$H$11</f>
        <v>Volume</v>
      </c>
      <c r="N343" t="str">
        <f t="shared" si="5"/>
        <v>Collecte = 230 kt (Bilans par campagne - FranceAgriMer)</v>
      </c>
      <c r="O343" s="26" t="str">
        <f>Etiquettes!$I$15</f>
        <v>Robuste</v>
      </c>
      <c r="P343" s="603" t="str">
        <f>Etiquettes!$H$16</f>
        <v>Données collectées</v>
      </c>
      <c r="Q343" s="603" t="str">
        <f>Etiquettes!$H$17</f>
        <v>Donnée collectée (valeur du flux ou coefficient)</v>
      </c>
    </row>
    <row r="344" spans="1:19">
      <c r="A344" t="str">
        <f>'Prétraitement bilans'!A13</f>
        <v>Grains collectés</v>
      </c>
      <c r="B344" t="str">
        <f>'Prétraitement bilans'!B13</f>
        <v>Amidonnerie / Glutennerie</v>
      </c>
      <c r="C344" s="458">
        <f>'Prétraitement bilans'!AB13</f>
        <v>0</v>
      </c>
      <c r="E344" t="str">
        <f>Etiquettes!$C$3</f>
        <v>kt</v>
      </c>
      <c r="F344" s="26" t="str">
        <f>Etiquettes!$N$6</f>
        <v>Avoine</v>
      </c>
      <c r="G344" s="26" t="str">
        <f>Etiquettes!$J$5</f>
        <v>2023-24</v>
      </c>
      <c r="H344" t="str">
        <f>Etiquettes!$C$4</f>
        <v>France entière</v>
      </c>
      <c r="I344" s="603" t="s">
        <v>1563</v>
      </c>
      <c r="J344" s="603"/>
      <c r="K344" t="s">
        <v>1559</v>
      </c>
      <c r="L344" s="603" t="str" cm="1">
        <f t="array" aca="1" ref="L344" ca="1">[1]!NOM_FEUILLE('Bilans Avoine - FAM'!$A$1)</f>
        <v>Bilans Avoine - FAM</v>
      </c>
      <c r="M344" s="26" t="str">
        <f>Etiquettes!$H$11</f>
        <v>Volume</v>
      </c>
      <c r="N344" t="str">
        <f t="shared" si="5"/>
        <v>Consommation de grains par l'Amidonnerie = 0 kt (Bilans par campagne - FranceAgriMer)</v>
      </c>
      <c r="O344" s="26" t="str">
        <f>Etiquettes!$J$15</f>
        <v>Probable</v>
      </c>
      <c r="P344" s="603" t="str">
        <f>Etiquettes!$H$16</f>
        <v>Données collectées</v>
      </c>
      <c r="Q344" s="603" t="str">
        <f>Etiquettes!$H$17</f>
        <v>Donnée collectée (valeur du flux ou coefficient)</v>
      </c>
    </row>
    <row r="345" spans="1:19">
      <c r="A345" t="str">
        <f>'Prétraitement bilans'!A16</f>
        <v>Grains collectés</v>
      </c>
      <c r="B345" t="str">
        <f>'Prétraitement bilans'!B16</f>
        <v>Distillerie</v>
      </c>
      <c r="C345" s="458">
        <f>'Prétraitement bilans'!AB16</f>
        <v>0</v>
      </c>
      <c r="E345" t="str">
        <f>Etiquettes!$C$3</f>
        <v>kt</v>
      </c>
      <c r="F345" s="26" t="str">
        <f>Etiquettes!$N$6</f>
        <v>Avoine</v>
      </c>
      <c r="G345" s="26" t="str">
        <f>Etiquettes!$J$5</f>
        <v>2023-24</v>
      </c>
      <c r="H345" t="str">
        <f>Etiquettes!$C$4</f>
        <v>France entière</v>
      </c>
      <c r="I345" s="603" t="s">
        <v>1564</v>
      </c>
      <c r="J345" s="603"/>
      <c r="K345" t="s">
        <v>1559</v>
      </c>
      <c r="L345" s="603" t="str" cm="1">
        <f t="array" aca="1" ref="L345" ca="1">[1]!NOM_FEUILLE('Bilans Avoine - FAM'!$A$1)</f>
        <v>Bilans Avoine - FAM</v>
      </c>
      <c r="M345" s="26" t="str">
        <f>Etiquettes!$H$11</f>
        <v>Volume</v>
      </c>
      <c r="N345" t="str">
        <f t="shared" si="5"/>
        <v>Consommation de grains par la Distillerie = 0 kt (Bilans par campagne - FranceAgriMer)</v>
      </c>
      <c r="O345" s="26" t="str">
        <f>Etiquettes!$J$15</f>
        <v>Probable</v>
      </c>
      <c r="P345" s="603" t="str">
        <f>Etiquettes!$H$16</f>
        <v>Données collectées</v>
      </c>
      <c r="Q345" s="603" t="str">
        <f>Etiquettes!$H$17</f>
        <v>Donnée collectée (valeur du flux ou coefficient)</v>
      </c>
    </row>
    <row r="346" spans="1:19">
      <c r="A346" t="str">
        <f>'Prétraitement bilans'!A17</f>
        <v>Grains collectés</v>
      </c>
      <c r="B346" t="str">
        <f>'Prétraitement bilans'!B17</f>
        <v>Malterie</v>
      </c>
      <c r="C346" s="458">
        <f>'Prétraitement bilans'!AB17</f>
        <v>0</v>
      </c>
      <c r="E346" t="str">
        <f>Etiquettes!$C$3</f>
        <v>kt</v>
      </c>
      <c r="F346" s="26" t="str">
        <f>Etiquettes!$N$6</f>
        <v>Avoine</v>
      </c>
      <c r="G346" s="26" t="str">
        <f>Etiquettes!$J$5</f>
        <v>2023-24</v>
      </c>
      <c r="H346" t="str">
        <f>Etiquettes!$C$4</f>
        <v>France entière</v>
      </c>
      <c r="I346" s="603" t="s">
        <v>1565</v>
      </c>
      <c r="J346" s="603"/>
      <c r="K346" t="s">
        <v>1559</v>
      </c>
      <c r="L346" s="603" t="str" cm="1">
        <f t="array" aca="1" ref="L346" ca="1">[1]!NOM_FEUILLE('Bilans Avoine - FAM'!$A$1)</f>
        <v>Bilans Avoine - FAM</v>
      </c>
      <c r="M346" s="26" t="str">
        <f>Etiquettes!$H$11</f>
        <v>Volume</v>
      </c>
      <c r="N346" t="str">
        <f t="shared" si="5"/>
        <v>Consommation de grains par la Malterie = 0 kt (Bilans par campagne - FranceAgriMer)</v>
      </c>
      <c r="O346" s="26" t="str">
        <f>Etiquettes!$J$15</f>
        <v>Probable</v>
      </c>
      <c r="P346" s="603" t="str">
        <f>Etiquettes!$H$16</f>
        <v>Données collectées</v>
      </c>
      <c r="Q346" s="603" t="str">
        <f>Etiquettes!$H$17</f>
        <v>Donnée collectée (valeur du flux ou coefficient)</v>
      </c>
    </row>
    <row r="347" spans="1:19" s="26" customFormat="1">
      <c r="A347" t="str">
        <f>'Prétraitement bilans'!A18</f>
        <v>Grains collectés</v>
      </c>
      <c r="B347" t="str">
        <f>'Prétraitement bilans'!B18</f>
        <v>Autres IAA</v>
      </c>
      <c r="C347" s="458">
        <f>'Prétraitement bilans'!AB18</f>
        <v>10</v>
      </c>
      <c r="D347" s="10"/>
      <c r="E347" t="str">
        <f>Etiquettes!$C$3</f>
        <v>kt</v>
      </c>
      <c r="F347" s="26" t="str">
        <f>Etiquettes!$N$6</f>
        <v>Avoine</v>
      </c>
      <c r="G347" s="26" t="str">
        <f>Etiquettes!$J$5</f>
        <v>2023-24</v>
      </c>
      <c r="H347" t="str">
        <f>Etiquettes!$C$4</f>
        <v>France entière</v>
      </c>
      <c r="I347" s="603" t="s">
        <v>1566</v>
      </c>
      <c r="J347" s="603"/>
      <c r="K347" t="s">
        <v>1559</v>
      </c>
      <c r="L347" s="603" t="str" cm="1">
        <f t="array" aca="1" ref="L347" ca="1">[1]!NOM_FEUILLE('Bilans Avoine - FAM'!$A$1)</f>
        <v>Bilans Avoine - FAM</v>
      </c>
      <c r="M347" s="26" t="str">
        <f>Etiquettes!$H$11</f>
        <v>Volume</v>
      </c>
      <c r="N347" t="str">
        <f t="shared" si="5"/>
        <v>Consommation de grains par les autres IAA = 10 kt (Bilans par campagne - FranceAgriMer)</v>
      </c>
      <c r="O347" s="26" t="str">
        <f>Etiquettes!$J$15</f>
        <v>Probable</v>
      </c>
      <c r="P347" s="603" t="str">
        <f>Etiquettes!$H$16</f>
        <v>Données collectées</v>
      </c>
      <c r="Q347" s="603" t="str">
        <f>Etiquettes!$H$17</f>
        <v>Donnée collectée (valeur du flux ou coefficient)</v>
      </c>
      <c r="R347"/>
      <c r="S347"/>
    </row>
    <row r="348" spans="1:19" s="26" customFormat="1">
      <c r="A348" t="str">
        <f>'Prétraitement bilans'!A19</f>
        <v>Grains collectés</v>
      </c>
      <c r="B348" t="str">
        <f>'Prétraitement bilans'!B19</f>
        <v>Semoulerie</v>
      </c>
      <c r="C348" s="458">
        <f>'Prétraitement bilans'!AB19</f>
        <v>0</v>
      </c>
      <c r="D348" s="10"/>
      <c r="E348" t="str">
        <f>Etiquettes!$C$3</f>
        <v>kt</v>
      </c>
      <c r="F348" s="26" t="str">
        <f>Etiquettes!$N$6</f>
        <v>Avoine</v>
      </c>
      <c r="G348" s="26" t="str">
        <f>Etiquettes!$J$5</f>
        <v>2023-24</v>
      </c>
      <c r="H348" t="str">
        <f>Etiquettes!$C$4</f>
        <v>France entière</v>
      </c>
      <c r="I348" s="603" t="s">
        <v>1567</v>
      </c>
      <c r="J348" s="603"/>
      <c r="K348" t="s">
        <v>1559</v>
      </c>
      <c r="L348" s="603" t="str" cm="1">
        <f t="array" aca="1" ref="L348" ca="1">[1]!NOM_FEUILLE('Bilans Avoine - FAM'!$A$1)</f>
        <v>Bilans Avoine - FAM</v>
      </c>
      <c r="M348" s="26" t="str">
        <f>Etiquettes!$H$11</f>
        <v>Volume</v>
      </c>
      <c r="N348" t="str">
        <f t="shared" si="5"/>
        <v>Consommation de grains par la Semoulerie = 0 kt (Bilans par campagne - FranceAgriMer)</v>
      </c>
      <c r="O348" s="26" t="str">
        <f>Etiquettes!$J$15</f>
        <v>Probable</v>
      </c>
      <c r="P348" s="603" t="str">
        <f>Etiquettes!$H$16</f>
        <v>Données collectées</v>
      </c>
      <c r="Q348" s="603" t="str">
        <f>Etiquettes!$H$17</f>
        <v>Donnée collectée (valeur du flux ou coefficient)</v>
      </c>
      <c r="R348"/>
      <c r="S348"/>
    </row>
    <row r="349" spans="1:19" s="26" customFormat="1">
      <c r="A349" t="str">
        <f>'Prétraitement bilans'!A20</f>
        <v>Grains collectés</v>
      </c>
      <c r="B349" t="str">
        <f>'Prétraitement bilans'!B20</f>
        <v>FAB</v>
      </c>
      <c r="C349" s="458">
        <f>'Prétraitement bilans'!AB20</f>
        <v>67.351899000000003</v>
      </c>
      <c r="D349" s="10"/>
      <c r="E349" t="str">
        <f>Etiquettes!$C$3</f>
        <v>kt</v>
      </c>
      <c r="F349" s="26" t="str">
        <f>Etiquettes!$N$6</f>
        <v>Avoine</v>
      </c>
      <c r="G349" s="26" t="str">
        <f>Etiquettes!$J$5</f>
        <v>2023-24</v>
      </c>
      <c r="H349" t="str">
        <f>Etiquettes!$C$4</f>
        <v>France entière</v>
      </c>
      <c r="I349" s="603" t="s">
        <v>1568</v>
      </c>
      <c r="J349" s="603"/>
      <c r="K349" t="s">
        <v>1559</v>
      </c>
      <c r="L349" s="603" t="str" cm="1">
        <f t="array" aca="1" ref="L349" ca="1">[1]!NOM_FEUILLE('Bilans Avoine - FAM'!$A$1)</f>
        <v>Bilans Avoine - FAM</v>
      </c>
      <c r="M349" s="26" t="str">
        <f>Etiquettes!$H$11</f>
        <v>Volume</v>
      </c>
      <c r="N349" t="str">
        <f t="shared" si="5"/>
        <v>Consommation de grains par les FAB = 67 kt (Bilans par campagne - FranceAgriMer)</v>
      </c>
      <c r="O349" s="26" t="str">
        <f>Etiquettes!$J$15</f>
        <v>Probable</v>
      </c>
      <c r="P349" s="603" t="str">
        <f>Etiquettes!$H$16</f>
        <v>Données collectées</v>
      </c>
      <c r="Q349" s="603" t="str">
        <f>Etiquettes!$H$17</f>
        <v>Donnée collectée (valeur du flux ou coefficient)</v>
      </c>
      <c r="R349"/>
      <c r="S349"/>
    </row>
    <row r="350" spans="1:19" s="26" customFormat="1">
      <c r="A350" t="str">
        <f>'Prétraitement bilans'!A21</f>
        <v>Grains collectés</v>
      </c>
      <c r="B350" t="str">
        <f>'Prétraitement bilans'!B21</f>
        <v>Semences certifiées</v>
      </c>
      <c r="C350" s="458">
        <f>'Prétraitement bilans'!AB21</f>
        <v>6.3176000000000005</v>
      </c>
      <c r="D350" s="10"/>
      <c r="E350" t="str">
        <f>Etiquettes!$C$3</f>
        <v>kt</v>
      </c>
      <c r="F350" s="26" t="str">
        <f>Etiquettes!$N$6</f>
        <v>Avoine</v>
      </c>
      <c r="G350" s="26" t="str">
        <f>Etiquettes!$J$5</f>
        <v>2023-24</v>
      </c>
      <c r="H350" t="str">
        <f>Etiquettes!$C$4</f>
        <v>France entière</v>
      </c>
      <c r="I350" s="603" t="s">
        <v>1561</v>
      </c>
      <c r="J350" s="603"/>
      <c r="K350" t="s">
        <v>1559</v>
      </c>
      <c r="L350" s="603" t="str" cm="1">
        <f t="array" aca="1" ref="L350" ca="1">[1]!NOM_FEUILLE('Bilans Avoine - FAM'!$A$1)</f>
        <v>Bilans Avoine - FAM</v>
      </c>
      <c r="M350" s="26" t="str">
        <f>Etiquettes!$H$11</f>
        <v>Volume</v>
      </c>
      <c r="N350" t="str">
        <f t="shared" si="5"/>
        <v>Production de semences certifiées = 6 kt (Bilans par campagne - FranceAgriMer)</v>
      </c>
      <c r="O350" s="26" t="str">
        <f>Etiquettes!$J$15</f>
        <v>Probable</v>
      </c>
      <c r="P350" s="603" t="str">
        <f>Etiquettes!$H$16</f>
        <v>Données collectées</v>
      </c>
      <c r="Q350" s="603" t="str">
        <f>Etiquettes!$H$17</f>
        <v>Donnée collectée (valeur du flux ou coefficient)</v>
      </c>
      <c r="R350"/>
      <c r="S350"/>
    </row>
    <row r="351" spans="1:19" s="26" customFormat="1">
      <c r="A351" t="str">
        <f>'Prétraitement bilans'!A25</f>
        <v>OS</v>
      </c>
      <c r="B351" t="str">
        <f>'Prétraitement bilans'!B25</f>
        <v>Stock final</v>
      </c>
      <c r="C351" s="458">
        <f>'Prétraitement bilans'!AB25</f>
        <v>26.225200000000001</v>
      </c>
      <c r="D351" s="10"/>
      <c r="E351" t="str">
        <f>Etiquettes!$C$3</f>
        <v>kt</v>
      </c>
      <c r="F351" s="26" t="str">
        <f>Etiquettes!$N$6</f>
        <v>Avoine</v>
      </c>
      <c r="G351" s="26" t="str">
        <f>Etiquettes!$J$5</f>
        <v>2023-24</v>
      </c>
      <c r="H351" t="str">
        <f>Etiquettes!$C$4</f>
        <v>France entière</v>
      </c>
      <c r="I351" s="603" t="s">
        <v>1128</v>
      </c>
      <c r="J351" s="603"/>
      <c r="K351" t="s">
        <v>1559</v>
      </c>
      <c r="L351" s="603" t="str" cm="1">
        <f t="array" aca="1" ref="L351" ca="1">[1]!NOM_FEUILLE('Bilans Avoine - FAM'!$A$1)</f>
        <v>Bilans Avoine - FAM</v>
      </c>
      <c r="M351" s="26" t="str">
        <f>Etiquettes!$H$11</f>
        <v>Volume</v>
      </c>
      <c r="N351" t="str">
        <f t="shared" si="5"/>
        <v>Stock final collecteurs = 26 kt (Bilans par campagne - FranceAgriMer)</v>
      </c>
      <c r="O351" s="26" t="str">
        <f>Etiquettes!$I$15</f>
        <v>Robuste</v>
      </c>
      <c r="P351" s="603" t="str">
        <f>Etiquettes!$H$16</f>
        <v>Données collectées</v>
      </c>
      <c r="Q351" s="603" t="str">
        <f>Etiquettes!$H$17</f>
        <v>Donnée collectée (valeur du flux ou coefficient)</v>
      </c>
      <c r="R351"/>
      <c r="S351"/>
    </row>
    <row r="352" spans="1:19">
      <c r="A352" t="str">
        <f>'Prétraitement bilans'!A3</f>
        <v>Récolte</v>
      </c>
      <c r="B352" t="str">
        <f>'Prétraitement bilans'!B3</f>
        <v>Grains récoltés</v>
      </c>
      <c r="C352" s="458">
        <f>'Prétraitement bilans'!AC3</f>
        <v>170.29000000000002</v>
      </c>
      <c r="E352" t="str">
        <f>Etiquettes!$C$3</f>
        <v>kt</v>
      </c>
      <c r="F352" s="26" t="str">
        <f>Etiquettes!$O$6</f>
        <v>Seigle</v>
      </c>
      <c r="G352" s="26" t="str">
        <f>Etiquettes!$J$5</f>
        <v>2023-24</v>
      </c>
      <c r="H352" t="str">
        <f>Etiquettes!$C$4</f>
        <v>France entière</v>
      </c>
      <c r="I352" s="603" t="s">
        <v>1106</v>
      </c>
      <c r="J352" s="603"/>
      <c r="K352" t="s">
        <v>1559</v>
      </c>
      <c r="L352" s="603" t="str" cm="1">
        <f t="array" aca="1" ref="L352" ca="1">[1]!NOM_FEUILLE('Bilans Seigle - FAM'!$A$1)</f>
        <v>Bilans Seigle - FAM</v>
      </c>
      <c r="M352" s="26" t="str">
        <f>Etiquettes!$H$11</f>
        <v>Volume</v>
      </c>
      <c r="N352" t="str">
        <f t="shared" si="5"/>
        <v>Récolte = 170 kt (Bilans par campagne - FranceAgriMer)</v>
      </c>
      <c r="O352" s="26" t="str">
        <f>Etiquettes!$H$15</f>
        <v>Fiable</v>
      </c>
      <c r="P352" s="603" t="str">
        <f>Etiquettes!$H$16</f>
        <v>Données collectées</v>
      </c>
      <c r="Q352" s="603" t="str">
        <f>Etiquettes!$H$17</f>
        <v>Donnée collectée (valeur du flux ou coefficient)</v>
      </c>
    </row>
    <row r="353" spans="1:19">
      <c r="A353" t="str">
        <f>'Prétraitement bilans'!A4</f>
        <v>Stock initial</v>
      </c>
      <c r="B353" t="str">
        <f>'Prétraitement bilans'!B4</f>
        <v>Ferme</v>
      </c>
      <c r="C353" s="458">
        <f>'Prétraitement bilans'!AC4</f>
        <v>0</v>
      </c>
      <c r="E353" t="str">
        <f>Etiquettes!$C$3</f>
        <v>kt</v>
      </c>
      <c r="F353" s="26" t="str">
        <f>Etiquettes!$O$6</f>
        <v>Seigle</v>
      </c>
      <c r="G353" s="26" t="str">
        <f>Etiquettes!$J$5</f>
        <v>2023-24</v>
      </c>
      <c r="H353" t="str">
        <f>Etiquettes!$C$4</f>
        <v>France entière</v>
      </c>
      <c r="I353" s="603" t="s">
        <v>1115</v>
      </c>
      <c r="J353" s="603"/>
      <c r="K353" t="s">
        <v>1559</v>
      </c>
      <c r="L353" s="603" t="str" cm="1">
        <f t="array" aca="1" ref="L353" ca="1">[1]!NOM_FEUILLE('Bilans Seigle - FAM'!$A$1)</f>
        <v>Bilans Seigle - FAM</v>
      </c>
      <c r="M353" s="26" t="str">
        <f>Etiquettes!$H$11</f>
        <v>Volume</v>
      </c>
      <c r="N353" t="str">
        <f t="shared" si="5"/>
        <v>Stock initial à la ferme = 0 kt (Bilans par campagne - FranceAgriMer)</v>
      </c>
      <c r="O353" s="26" t="str">
        <f>Etiquettes!$K$15</f>
        <v>Approximative</v>
      </c>
      <c r="P353" s="603" t="str">
        <f>Etiquettes!$H$16</f>
        <v>Données collectées</v>
      </c>
      <c r="Q353" s="603" t="str">
        <f>Etiquettes!$H$17</f>
        <v>Donnée collectée (valeur du flux ou coefficient)</v>
      </c>
    </row>
    <row r="354" spans="1:19">
      <c r="A354" t="str">
        <f>'Prétraitement bilans'!A5</f>
        <v>Ferme</v>
      </c>
      <c r="B354" t="str">
        <f>'Prétraitement bilans'!B5</f>
        <v>Grains autoconsommés</v>
      </c>
      <c r="C354" s="458">
        <f>'Prétraitement bilans'!AC5</f>
        <v>97.001400000000018</v>
      </c>
      <c r="E354" t="str">
        <f>Etiquettes!$C$3</f>
        <v>kt</v>
      </c>
      <c r="F354" s="26" t="str">
        <f>Etiquettes!$O$6</f>
        <v>Seigle</v>
      </c>
      <c r="G354" s="26" t="str">
        <f>Etiquettes!$J$5</f>
        <v>2023-24</v>
      </c>
      <c r="H354" t="str">
        <f>Etiquettes!$C$4</f>
        <v>France entière</v>
      </c>
      <c r="I354" s="603" t="s">
        <v>1560</v>
      </c>
      <c r="J354" s="603"/>
      <c r="K354" t="s">
        <v>1559</v>
      </c>
      <c r="L354" s="603" t="str" cm="1">
        <f t="array" aca="1" ref="L354" ca="1">[1]!NOM_FEUILLE('Bilans Seigle - FAM'!$A$1)</f>
        <v>Bilans Seigle - FAM</v>
      </c>
      <c r="M354" s="26" t="str">
        <f>Etiquettes!$H$11</f>
        <v>Volume</v>
      </c>
      <c r="N354" t="str">
        <f t="shared" si="5"/>
        <v>Autoconsommation à la ferme = 97 kt (Bilans par campagne - FranceAgriMer)</v>
      </c>
      <c r="O354" s="26" t="str">
        <f>Etiquettes!$K$15</f>
        <v>Approximative</v>
      </c>
      <c r="P354" s="603" t="str">
        <f>Etiquettes!$H$16</f>
        <v>Données collectées</v>
      </c>
      <c r="Q354" s="603" t="str">
        <f>Etiquettes!$H$17</f>
        <v>Donnée collectée (valeur du flux ou coefficient)</v>
      </c>
    </row>
    <row r="355" spans="1:19">
      <c r="A355" t="str">
        <f>'Prétraitement bilans'!A6</f>
        <v>Ferme</v>
      </c>
      <c r="B355" t="str">
        <f>'Prétraitement bilans'!B6</f>
        <v>Stock final</v>
      </c>
      <c r="C355" s="458">
        <f>'Prétraitement bilans'!AC6</f>
        <v>0</v>
      </c>
      <c r="E355" t="str">
        <f>Etiquettes!$C$3</f>
        <v>kt</v>
      </c>
      <c r="F355" s="26" t="str">
        <f>Etiquettes!$O$6</f>
        <v>Seigle</v>
      </c>
      <c r="G355" s="26" t="str">
        <f>Etiquettes!$J$5</f>
        <v>2023-24</v>
      </c>
      <c r="H355" t="str">
        <f>Etiquettes!$C$4</f>
        <v>France entière</v>
      </c>
      <c r="I355" s="603" t="s">
        <v>1116</v>
      </c>
      <c r="J355" s="603"/>
      <c r="K355" t="s">
        <v>1559</v>
      </c>
      <c r="L355" s="603" t="str" cm="1">
        <f t="array" aca="1" ref="L355" ca="1">[1]!NOM_FEUILLE('Bilans Seigle - FAM'!$A$1)</f>
        <v>Bilans Seigle - FAM</v>
      </c>
      <c r="M355" s="26" t="str">
        <f>Etiquettes!$H$11</f>
        <v>Volume</v>
      </c>
      <c r="N355" t="str">
        <f t="shared" si="5"/>
        <v>Stock final à la ferme = 0 kt (Bilans par campagne - FranceAgriMer)</v>
      </c>
      <c r="O355" s="26" t="str">
        <f>Etiquettes!$K$15</f>
        <v>Approximative</v>
      </c>
      <c r="P355" s="603" t="str">
        <f>Etiquettes!$H$16</f>
        <v>Données collectées</v>
      </c>
      <c r="Q355" s="603" t="str">
        <f>Etiquettes!$H$17</f>
        <v>Donnée collectée (valeur du flux ou coefficient)</v>
      </c>
    </row>
    <row r="356" spans="1:19">
      <c r="A356" t="str">
        <f>'Prétraitement bilans'!A7</f>
        <v>Stock initial</v>
      </c>
      <c r="B356" t="str">
        <f>'Prétraitement bilans'!B7</f>
        <v>OS</v>
      </c>
      <c r="C356" s="458">
        <f>'Prétraitement bilans'!AC7</f>
        <v>19.127299999999998</v>
      </c>
      <c r="E356" t="str">
        <f>Etiquettes!$C$3</f>
        <v>kt</v>
      </c>
      <c r="F356" s="26" t="str">
        <f>Etiquettes!$O$6</f>
        <v>Seigle</v>
      </c>
      <c r="G356" s="26" t="str">
        <f>Etiquettes!$J$5</f>
        <v>2023-24</v>
      </c>
      <c r="H356" t="str">
        <f>Etiquettes!$C$4</f>
        <v>France entière</v>
      </c>
      <c r="I356" s="603" t="s">
        <v>1127</v>
      </c>
      <c r="J356" s="603"/>
      <c r="K356" t="s">
        <v>1559</v>
      </c>
      <c r="L356" s="603" t="str" cm="1">
        <f t="array" aca="1" ref="L356" ca="1">[1]!NOM_FEUILLE('Bilans Seigle - FAM'!$A$1)</f>
        <v>Bilans Seigle - FAM</v>
      </c>
      <c r="M356" s="26" t="str">
        <f>Etiquettes!$H$11</f>
        <v>Volume</v>
      </c>
      <c r="N356" t="str">
        <f t="shared" si="5"/>
        <v>Stock initial collecteurs = 19 kt (Bilans par campagne - FranceAgriMer)</v>
      </c>
      <c r="O356" s="26" t="str">
        <f>Etiquettes!$I$15</f>
        <v>Robuste</v>
      </c>
      <c r="P356" s="603" t="str">
        <f>Etiquettes!$H$16</f>
        <v>Données collectées</v>
      </c>
      <c r="Q356" s="603" t="str">
        <f>Etiquettes!$H$17</f>
        <v>Donnée collectée (valeur du flux ou coefficient)</v>
      </c>
    </row>
    <row r="357" spans="1:19">
      <c r="A357" t="str">
        <f>'Prétraitement bilans'!A8</f>
        <v>Grains récoltés</v>
      </c>
      <c r="B357" t="str">
        <f>'Prétraitement bilans'!B8</f>
        <v>OS</v>
      </c>
      <c r="C357" s="458">
        <f>'Prétraitement bilans'!AC8</f>
        <v>73.288600000000002</v>
      </c>
      <c r="E357" t="str">
        <f>Etiquettes!$C$3</f>
        <v>kt</v>
      </c>
      <c r="F357" s="26" t="str">
        <f>Etiquettes!$O$6</f>
        <v>Seigle</v>
      </c>
      <c r="G357" s="26" t="str">
        <f>Etiquettes!$J$5</f>
        <v>2023-24</v>
      </c>
      <c r="H357" t="str">
        <f>Etiquettes!$C$4</f>
        <v>France entière</v>
      </c>
      <c r="I357" s="603" t="s">
        <v>317</v>
      </c>
      <c r="J357" s="603"/>
      <c r="K357" t="s">
        <v>1559</v>
      </c>
      <c r="L357" s="603" t="str" cm="1">
        <f t="array" aca="1" ref="L357" ca="1">[1]!NOM_FEUILLE('Bilans Seigle - FAM'!$A$1)</f>
        <v>Bilans Seigle - FAM</v>
      </c>
      <c r="M357" s="26" t="str">
        <f>Etiquettes!$H$11</f>
        <v>Volume</v>
      </c>
      <c r="N357" t="str">
        <f t="shared" si="5"/>
        <v>Collecte = 73 kt (Bilans par campagne - FranceAgriMer)</v>
      </c>
      <c r="O357" s="26" t="str">
        <f>Etiquettes!$I$15</f>
        <v>Robuste</v>
      </c>
      <c r="P357" s="603" t="str">
        <f>Etiquettes!$H$16</f>
        <v>Données collectées</v>
      </c>
      <c r="Q357" s="603" t="str">
        <f>Etiquettes!$H$17</f>
        <v>Donnée collectée (valeur du flux ou coefficient)</v>
      </c>
    </row>
    <row r="358" spans="1:19">
      <c r="A358" t="str">
        <f>'Prétraitement bilans'!A13</f>
        <v>Grains collectés</v>
      </c>
      <c r="B358" t="str">
        <f>'Prétraitement bilans'!B13</f>
        <v>Amidonnerie / Glutennerie</v>
      </c>
      <c r="C358" s="458">
        <f>'Prétraitement bilans'!AC13</f>
        <v>0</v>
      </c>
      <c r="E358" t="str">
        <f>Etiquettes!$C$3</f>
        <v>kt</v>
      </c>
      <c r="F358" s="26" t="str">
        <f>Etiquettes!$O$6</f>
        <v>Seigle</v>
      </c>
      <c r="G358" s="26" t="str">
        <f>Etiquettes!$J$5</f>
        <v>2023-24</v>
      </c>
      <c r="H358" t="str">
        <f>Etiquettes!$C$4</f>
        <v>France entière</v>
      </c>
      <c r="I358" s="603" t="s">
        <v>1563</v>
      </c>
      <c r="J358" s="603"/>
      <c r="K358" t="s">
        <v>1559</v>
      </c>
      <c r="L358" s="603" t="str" cm="1">
        <f t="array" aca="1" ref="L358" ca="1">[1]!NOM_FEUILLE('Bilans Seigle - FAM'!$A$1)</f>
        <v>Bilans Seigle - FAM</v>
      </c>
      <c r="M358" s="26" t="str">
        <f>Etiquettes!$H$11</f>
        <v>Volume</v>
      </c>
      <c r="N358" t="str">
        <f t="shared" si="5"/>
        <v>Consommation de grains par l'Amidonnerie = 0 kt (Bilans par campagne - FranceAgriMer)</v>
      </c>
      <c r="O358" s="26" t="str">
        <f>Etiquettes!$J$15</f>
        <v>Probable</v>
      </c>
      <c r="P358" s="603" t="str">
        <f>Etiquettes!$H$16</f>
        <v>Données collectées</v>
      </c>
      <c r="Q358" s="603" t="str">
        <f>Etiquettes!$H$17</f>
        <v>Donnée collectée (valeur du flux ou coefficient)</v>
      </c>
    </row>
    <row r="359" spans="1:19">
      <c r="A359" t="str">
        <f>'Prétraitement bilans'!A16</f>
        <v>Grains collectés</v>
      </c>
      <c r="B359" t="str">
        <f>'Prétraitement bilans'!B16</f>
        <v>Distillerie</v>
      </c>
      <c r="C359" s="458">
        <f>'Prétraitement bilans'!AC16</f>
        <v>0</v>
      </c>
      <c r="E359" t="str">
        <f>Etiquettes!$C$3</f>
        <v>kt</v>
      </c>
      <c r="F359" s="26" t="str">
        <f>Etiquettes!$O$6</f>
        <v>Seigle</v>
      </c>
      <c r="G359" s="26" t="str">
        <f>Etiquettes!$J$5</f>
        <v>2023-24</v>
      </c>
      <c r="H359" t="str">
        <f>Etiquettes!$C$4</f>
        <v>France entière</v>
      </c>
      <c r="I359" s="603" t="s">
        <v>1564</v>
      </c>
      <c r="J359" s="603"/>
      <c r="K359" t="s">
        <v>1559</v>
      </c>
      <c r="L359" s="603" t="str" cm="1">
        <f t="array" aca="1" ref="L359" ca="1">[1]!NOM_FEUILLE('Bilans Seigle - FAM'!$A$1)</f>
        <v>Bilans Seigle - FAM</v>
      </c>
      <c r="M359" s="26" t="str">
        <f>Etiquettes!$H$11</f>
        <v>Volume</v>
      </c>
      <c r="N359" t="str">
        <f t="shared" si="5"/>
        <v>Consommation de grains par la Distillerie = 0 kt (Bilans par campagne - FranceAgriMer)</v>
      </c>
      <c r="O359" s="26" t="str">
        <f>Etiquettes!$J$15</f>
        <v>Probable</v>
      </c>
      <c r="P359" s="603" t="str">
        <f>Etiquettes!$H$16</f>
        <v>Données collectées</v>
      </c>
      <c r="Q359" s="603" t="str">
        <f>Etiquettes!$H$17</f>
        <v>Donnée collectée (valeur du flux ou coefficient)</v>
      </c>
    </row>
    <row r="360" spans="1:19">
      <c r="A360" t="str">
        <f>'Prétraitement bilans'!A17</f>
        <v>Grains collectés</v>
      </c>
      <c r="B360" t="str">
        <f>'Prétraitement bilans'!B17</f>
        <v>Malterie</v>
      </c>
      <c r="C360" s="458">
        <f>'Prétraitement bilans'!AC17</f>
        <v>0</v>
      </c>
      <c r="E360" t="str">
        <f>Etiquettes!$C$3</f>
        <v>kt</v>
      </c>
      <c r="F360" s="26" t="str">
        <f>Etiquettes!$O$6</f>
        <v>Seigle</v>
      </c>
      <c r="G360" s="26" t="str">
        <f>Etiquettes!$J$5</f>
        <v>2023-24</v>
      </c>
      <c r="H360" t="str">
        <f>Etiquettes!$C$4</f>
        <v>France entière</v>
      </c>
      <c r="I360" s="603" t="s">
        <v>1565</v>
      </c>
      <c r="J360" s="603"/>
      <c r="K360" t="s">
        <v>1559</v>
      </c>
      <c r="L360" s="603" t="str" cm="1">
        <f t="array" aca="1" ref="L360" ca="1">[1]!NOM_FEUILLE('Bilans Seigle - FAM'!$A$1)</f>
        <v>Bilans Seigle - FAM</v>
      </c>
      <c r="M360" s="26" t="str">
        <f>Etiquettes!$H$11</f>
        <v>Volume</v>
      </c>
      <c r="N360" t="str">
        <f t="shared" si="5"/>
        <v>Consommation de grains par la Malterie = 0 kt (Bilans par campagne - FranceAgriMer)</v>
      </c>
      <c r="O360" s="26" t="str">
        <f>Etiquettes!$J$15</f>
        <v>Probable</v>
      </c>
      <c r="P360" s="603" t="str">
        <f>Etiquettes!$H$16</f>
        <v>Données collectées</v>
      </c>
      <c r="Q360" s="603" t="str">
        <f>Etiquettes!$H$17</f>
        <v>Donnée collectée (valeur du flux ou coefficient)</v>
      </c>
    </row>
    <row r="361" spans="1:19" s="26" customFormat="1">
      <c r="A361" t="str">
        <f>'Prétraitement bilans'!A18</f>
        <v>Grains collectés</v>
      </c>
      <c r="B361" t="str">
        <f>'Prétraitement bilans'!B18</f>
        <v>Autres IAA</v>
      </c>
      <c r="C361" s="458">
        <f>'Prétraitement bilans'!AC18</f>
        <v>0</v>
      </c>
      <c r="D361" s="10"/>
      <c r="E361" t="str">
        <f>Etiquettes!$C$3</f>
        <v>kt</v>
      </c>
      <c r="F361" s="26" t="str">
        <f>Etiquettes!$O$6</f>
        <v>Seigle</v>
      </c>
      <c r="G361" s="26" t="str">
        <f>Etiquettes!$J$5</f>
        <v>2023-24</v>
      </c>
      <c r="H361" t="str">
        <f>Etiquettes!$C$4</f>
        <v>France entière</v>
      </c>
      <c r="I361" s="603" t="s">
        <v>1566</v>
      </c>
      <c r="J361" s="603"/>
      <c r="K361" t="s">
        <v>1559</v>
      </c>
      <c r="L361" s="603" t="str" cm="1">
        <f t="array" aca="1" ref="L361" ca="1">[1]!NOM_FEUILLE('Bilans Seigle - FAM'!$A$1)</f>
        <v>Bilans Seigle - FAM</v>
      </c>
      <c r="M361" s="26" t="str">
        <f>Etiquettes!$H$11</f>
        <v>Volume</v>
      </c>
      <c r="N361" t="str">
        <f t="shared" si="5"/>
        <v>Consommation de grains par les autres IAA = 0 kt (Bilans par campagne - FranceAgriMer)</v>
      </c>
      <c r="O361" s="26" t="str">
        <f>Etiquettes!$J$15</f>
        <v>Probable</v>
      </c>
      <c r="P361" s="603" t="str">
        <f>Etiquettes!$H$16</f>
        <v>Données collectées</v>
      </c>
      <c r="Q361" s="603" t="str">
        <f>Etiquettes!$H$17</f>
        <v>Donnée collectée (valeur du flux ou coefficient)</v>
      </c>
      <c r="R361"/>
      <c r="S361"/>
    </row>
    <row r="362" spans="1:19" s="26" customFormat="1">
      <c r="A362" t="str">
        <f>'Prétraitement bilans'!A19</f>
        <v>Grains collectés</v>
      </c>
      <c r="B362" t="str">
        <f>'Prétraitement bilans'!B19</f>
        <v>Semoulerie</v>
      </c>
      <c r="C362" s="458">
        <f>'Prétraitement bilans'!AC19</f>
        <v>0</v>
      </c>
      <c r="D362" s="10"/>
      <c r="E362" t="str">
        <f>Etiquettes!$C$3</f>
        <v>kt</v>
      </c>
      <c r="F362" s="26" t="str">
        <f>Etiquettes!$O$6</f>
        <v>Seigle</v>
      </c>
      <c r="G362" s="26" t="str">
        <f>Etiquettes!$J$5</f>
        <v>2023-24</v>
      </c>
      <c r="H362" t="str">
        <f>Etiquettes!$C$4</f>
        <v>France entière</v>
      </c>
      <c r="I362" s="603" t="s">
        <v>1567</v>
      </c>
      <c r="J362" s="603"/>
      <c r="K362" t="s">
        <v>1559</v>
      </c>
      <c r="L362" s="603" t="str" cm="1">
        <f t="array" aca="1" ref="L362" ca="1">[1]!NOM_FEUILLE('Bilans Seigle - FAM'!$A$1)</f>
        <v>Bilans Seigle - FAM</v>
      </c>
      <c r="M362" s="26" t="str">
        <f>Etiquettes!$H$11</f>
        <v>Volume</v>
      </c>
      <c r="N362" t="str">
        <f t="shared" si="5"/>
        <v>Consommation de grains par la Semoulerie = 0 kt (Bilans par campagne - FranceAgriMer)</v>
      </c>
      <c r="O362" s="26" t="str">
        <f>Etiquettes!$J$15</f>
        <v>Probable</v>
      </c>
      <c r="P362" s="603" t="str">
        <f>Etiquettes!$H$16</f>
        <v>Données collectées</v>
      </c>
      <c r="Q362" s="603" t="str">
        <f>Etiquettes!$H$17</f>
        <v>Donnée collectée (valeur du flux ou coefficient)</v>
      </c>
      <c r="R362"/>
      <c r="S362"/>
    </row>
    <row r="363" spans="1:19" s="26" customFormat="1">
      <c r="A363" t="str">
        <f>'Prétraitement bilans'!A20</f>
        <v>Grains collectés</v>
      </c>
      <c r="B363" t="str">
        <f>'Prétraitement bilans'!B20</f>
        <v>FAB</v>
      </c>
      <c r="C363" s="458">
        <f>'Prétraitement bilans'!AC20</f>
        <v>7.230111</v>
      </c>
      <c r="D363" s="10"/>
      <c r="E363" t="str">
        <f>Etiquettes!$C$3</f>
        <v>kt</v>
      </c>
      <c r="F363" s="26" t="str">
        <f>Etiquettes!$O$6</f>
        <v>Seigle</v>
      </c>
      <c r="G363" s="26" t="str">
        <f>Etiquettes!$J$5</f>
        <v>2023-24</v>
      </c>
      <c r="H363" t="str">
        <f>Etiquettes!$C$4</f>
        <v>France entière</v>
      </c>
      <c r="I363" s="603" t="s">
        <v>1568</v>
      </c>
      <c r="J363" s="603"/>
      <c r="K363" t="s">
        <v>1559</v>
      </c>
      <c r="L363" s="603" t="str" cm="1">
        <f t="array" aca="1" ref="L363" ca="1">[1]!NOM_FEUILLE('Bilans Seigle - FAM'!$A$1)</f>
        <v>Bilans Seigle - FAM</v>
      </c>
      <c r="M363" s="26" t="str">
        <f>Etiquettes!$H$11</f>
        <v>Volume</v>
      </c>
      <c r="N363" t="str">
        <f t="shared" si="5"/>
        <v>Consommation de grains par les FAB = 7 kt (Bilans par campagne - FranceAgriMer)</v>
      </c>
      <c r="O363" s="26" t="str">
        <f>Etiquettes!$J$15</f>
        <v>Probable</v>
      </c>
      <c r="P363" s="603" t="str">
        <f>Etiquettes!$H$16</f>
        <v>Données collectées</v>
      </c>
      <c r="Q363" s="603" t="str">
        <f>Etiquettes!$H$17</f>
        <v>Donnée collectée (valeur du flux ou coefficient)</v>
      </c>
      <c r="R363"/>
      <c r="S363"/>
    </row>
    <row r="364" spans="1:19" s="26" customFormat="1">
      <c r="A364" t="str">
        <f>'Prétraitement bilans'!A21</f>
        <v>Grains collectés</v>
      </c>
      <c r="B364" t="str">
        <f>'Prétraitement bilans'!B21</f>
        <v>Semences certifiées</v>
      </c>
      <c r="C364" s="458">
        <f>'Prétraitement bilans'!AC21</f>
        <v>8.5670000000000002</v>
      </c>
      <c r="D364" s="10"/>
      <c r="E364" t="str">
        <f>Etiquettes!$C$3</f>
        <v>kt</v>
      </c>
      <c r="F364" s="26" t="str">
        <f>Etiquettes!$O$6</f>
        <v>Seigle</v>
      </c>
      <c r="G364" s="26" t="str">
        <f>Etiquettes!$J$5</f>
        <v>2023-24</v>
      </c>
      <c r="H364" t="str">
        <f>Etiquettes!$C$4</f>
        <v>France entière</v>
      </c>
      <c r="I364" s="603" t="s">
        <v>1561</v>
      </c>
      <c r="J364" s="603"/>
      <c r="K364" t="s">
        <v>1559</v>
      </c>
      <c r="L364" s="603" t="str" cm="1">
        <f t="array" aca="1" ref="L364" ca="1">[1]!NOM_FEUILLE('Bilans Seigle - FAM'!$A$1)</f>
        <v>Bilans Seigle - FAM</v>
      </c>
      <c r="M364" s="26" t="str">
        <f>Etiquettes!$H$11</f>
        <v>Volume</v>
      </c>
      <c r="N364" t="str">
        <f t="shared" si="5"/>
        <v>Production de semences certifiées = 9 kt (Bilans par campagne - FranceAgriMer)</v>
      </c>
      <c r="O364" s="26" t="str">
        <f>Etiquettes!$J$15</f>
        <v>Probable</v>
      </c>
      <c r="P364" s="603" t="str">
        <f>Etiquettes!$H$16</f>
        <v>Données collectées</v>
      </c>
      <c r="Q364" s="603" t="str">
        <f>Etiquettes!$H$17</f>
        <v>Donnée collectée (valeur du flux ou coefficient)</v>
      </c>
      <c r="R364"/>
      <c r="S364"/>
    </row>
    <row r="365" spans="1:19" s="26" customFormat="1">
      <c r="A365" t="str">
        <f>'Prétraitement bilans'!A25</f>
        <v>OS</v>
      </c>
      <c r="B365" t="str">
        <f>'Prétraitement bilans'!B25</f>
        <v>Stock final</v>
      </c>
      <c r="C365" s="458">
        <f>'Prétraitement bilans'!AC25</f>
        <v>28.5928</v>
      </c>
      <c r="D365" s="10"/>
      <c r="E365" t="str">
        <f>Etiquettes!$C$3</f>
        <v>kt</v>
      </c>
      <c r="F365" s="26" t="str">
        <f>Etiquettes!$O$6</f>
        <v>Seigle</v>
      </c>
      <c r="G365" s="26" t="str">
        <f>Etiquettes!$J$5</f>
        <v>2023-24</v>
      </c>
      <c r="H365" t="str">
        <f>Etiquettes!$C$4</f>
        <v>France entière</v>
      </c>
      <c r="I365" s="603" t="s">
        <v>1128</v>
      </c>
      <c r="J365" s="603"/>
      <c r="K365" t="s">
        <v>1559</v>
      </c>
      <c r="L365" s="603" t="str" cm="1">
        <f t="array" aca="1" ref="L365" ca="1">[1]!NOM_FEUILLE('Bilans Seigle - FAM'!$A$1)</f>
        <v>Bilans Seigle - FAM</v>
      </c>
      <c r="M365" s="26" t="str">
        <f>Etiquettes!$H$11</f>
        <v>Volume</v>
      </c>
      <c r="N365" t="str">
        <f t="shared" si="5"/>
        <v>Stock final collecteurs = 29 kt (Bilans par campagne - FranceAgriMer)</v>
      </c>
      <c r="O365" s="26" t="str">
        <f>Etiquettes!$I$15</f>
        <v>Robuste</v>
      </c>
      <c r="P365" s="603" t="str">
        <f>Etiquettes!$H$16</f>
        <v>Données collectées</v>
      </c>
      <c r="Q365" s="603" t="str">
        <f>Etiquettes!$H$17</f>
        <v>Donnée collectée (valeur du flux ou coefficient)</v>
      </c>
      <c r="R365"/>
      <c r="S365"/>
    </row>
    <row r="366" spans="1:19">
      <c r="A366" t="str">
        <f>'Prétraitement bilans'!A3</f>
        <v>Récolte</v>
      </c>
      <c r="B366" t="str">
        <f>'Prétraitement bilans'!B3</f>
        <v>Grains récoltés</v>
      </c>
      <c r="C366" s="458">
        <f>'Prétraitement bilans'!AD3</f>
        <v>21</v>
      </c>
      <c r="E366" t="str">
        <f>Etiquettes!$C$3</f>
        <v>kt</v>
      </c>
      <c r="F366" s="26" t="str">
        <f>Etiquettes!$P$6</f>
        <v>Sarrasin</v>
      </c>
      <c r="G366" s="26" t="str">
        <f>Etiquettes!$J$5</f>
        <v>2023-24</v>
      </c>
      <c r="H366" t="str">
        <f>Etiquettes!$C$4</f>
        <v>France entière</v>
      </c>
      <c r="I366" s="603" t="s">
        <v>1106</v>
      </c>
      <c r="J366" s="603"/>
      <c r="K366" t="s">
        <v>1559</v>
      </c>
      <c r="L366" s="603" t="str" cm="1">
        <f t="array" aca="1" ref="L366" ca="1">[1]!NOM_FEUILLE('Bilans Sarrasin - FAM'!$A$1)</f>
        <v>Bilans Sarrasin - FAM</v>
      </c>
      <c r="M366" s="26" t="str">
        <f>Etiquettes!$H$11</f>
        <v>Volume</v>
      </c>
      <c r="N366" t="str">
        <f t="shared" si="5"/>
        <v>Récolte = 21 kt (Bilans par campagne - FranceAgriMer)</v>
      </c>
      <c r="O366" s="26" t="str">
        <f>Etiquettes!$H$15</f>
        <v>Fiable</v>
      </c>
      <c r="P366" s="603" t="str">
        <f>Etiquettes!$H$16</f>
        <v>Données collectées</v>
      </c>
      <c r="Q366" s="603" t="str">
        <f>Etiquettes!$H$17</f>
        <v>Donnée collectée (valeur du flux ou coefficient)</v>
      </c>
    </row>
    <row r="367" spans="1:19">
      <c r="A367" t="str">
        <f>'Prétraitement bilans'!A4</f>
        <v>Stock initial</v>
      </c>
      <c r="B367" t="str">
        <f>'Prétraitement bilans'!B4</f>
        <v>Ferme</v>
      </c>
      <c r="C367" s="458">
        <f>'Prétraitement bilans'!AD4</f>
        <v>0</v>
      </c>
      <c r="E367" t="str">
        <f>Etiquettes!$C$3</f>
        <v>kt</v>
      </c>
      <c r="F367" s="26" t="str">
        <f>Etiquettes!$P$6</f>
        <v>Sarrasin</v>
      </c>
      <c r="G367" s="26" t="str">
        <f>Etiquettes!$J$5</f>
        <v>2023-24</v>
      </c>
      <c r="H367" t="str">
        <f>Etiquettes!$C$4</f>
        <v>France entière</v>
      </c>
      <c r="I367" s="603" t="s">
        <v>1115</v>
      </c>
      <c r="J367" s="603"/>
      <c r="K367" t="s">
        <v>1559</v>
      </c>
      <c r="L367" s="603" t="str" cm="1">
        <f t="array" aca="1" ref="L367" ca="1">[1]!NOM_FEUILLE('Bilans Sarrasin - FAM'!$A$1)</f>
        <v>Bilans Sarrasin - FAM</v>
      </c>
      <c r="M367" s="26" t="str">
        <f>Etiquettes!$H$11</f>
        <v>Volume</v>
      </c>
      <c r="N367" t="str">
        <f t="shared" si="5"/>
        <v>Stock initial à la ferme = 0 kt (Bilans par campagne - FranceAgriMer)</v>
      </c>
      <c r="O367" s="26" t="str">
        <f>Etiquettes!$K$15</f>
        <v>Approximative</v>
      </c>
      <c r="P367" s="603" t="str">
        <f>Etiquettes!$H$16</f>
        <v>Données collectées</v>
      </c>
      <c r="Q367" s="603" t="str">
        <f>Etiquettes!$H$17</f>
        <v>Donnée collectée (valeur du flux ou coefficient)</v>
      </c>
    </row>
    <row r="368" spans="1:19">
      <c r="A368" t="str">
        <f>'Prétraitement bilans'!A5</f>
        <v>Ferme</v>
      </c>
      <c r="B368" t="str">
        <f>'Prétraitement bilans'!B5</f>
        <v>Grains autoconsommés</v>
      </c>
      <c r="C368" s="458">
        <f>'Prétraitement bilans'!AD5</f>
        <v>0</v>
      </c>
      <c r="E368" t="str">
        <f>Etiquettes!$C$3</f>
        <v>kt</v>
      </c>
      <c r="F368" s="26" t="str">
        <f>Etiquettes!$P$6</f>
        <v>Sarrasin</v>
      </c>
      <c r="G368" s="26" t="str">
        <f>Etiquettes!$J$5</f>
        <v>2023-24</v>
      </c>
      <c r="H368" t="str">
        <f>Etiquettes!$C$4</f>
        <v>France entière</v>
      </c>
      <c r="I368" s="603" t="s">
        <v>1560</v>
      </c>
      <c r="J368" s="603"/>
      <c r="K368" t="s">
        <v>1559</v>
      </c>
      <c r="L368" s="603" t="str" cm="1">
        <f t="array" aca="1" ref="L368" ca="1">[1]!NOM_FEUILLE('Bilans Sarrasin - FAM'!$A$1)</f>
        <v>Bilans Sarrasin - FAM</v>
      </c>
      <c r="M368" s="26" t="str">
        <f>Etiquettes!$H$11</f>
        <v>Volume</v>
      </c>
      <c r="N368" t="str">
        <f t="shared" si="5"/>
        <v>Autoconsommation à la ferme = 0 kt (Bilans par campagne - FranceAgriMer)</v>
      </c>
      <c r="O368" s="26" t="str">
        <f>Etiquettes!$K$15</f>
        <v>Approximative</v>
      </c>
      <c r="P368" s="603" t="str">
        <f>Etiquettes!$H$16</f>
        <v>Données collectées</v>
      </c>
      <c r="Q368" s="603" t="str">
        <f>Etiquettes!$H$17</f>
        <v>Donnée collectée (valeur du flux ou coefficient)</v>
      </c>
    </row>
    <row r="369" spans="1:19">
      <c r="A369" t="str">
        <f>'Prétraitement bilans'!A6</f>
        <v>Ferme</v>
      </c>
      <c r="B369" t="str">
        <f>'Prétraitement bilans'!B6</f>
        <v>Stock final</v>
      </c>
      <c r="C369" s="458">
        <f>'Prétraitement bilans'!AD6</f>
        <v>0</v>
      </c>
      <c r="E369" t="str">
        <f>Etiquettes!$C$3</f>
        <v>kt</v>
      </c>
      <c r="F369" s="26" t="str">
        <f>Etiquettes!$P$6</f>
        <v>Sarrasin</v>
      </c>
      <c r="G369" s="26" t="str">
        <f>Etiquettes!$J$5</f>
        <v>2023-24</v>
      </c>
      <c r="H369" t="str">
        <f>Etiquettes!$C$4</f>
        <v>France entière</v>
      </c>
      <c r="I369" s="603" t="s">
        <v>1116</v>
      </c>
      <c r="J369" s="603"/>
      <c r="K369" t="s">
        <v>1559</v>
      </c>
      <c r="L369" s="603" t="str" cm="1">
        <f t="array" aca="1" ref="L369" ca="1">[1]!NOM_FEUILLE('Bilans Sarrasin - FAM'!$A$1)</f>
        <v>Bilans Sarrasin - FAM</v>
      </c>
      <c r="M369" s="26" t="str">
        <f>Etiquettes!$H$11</f>
        <v>Volume</v>
      </c>
      <c r="N369" t="str">
        <f t="shared" si="5"/>
        <v>Stock final à la ferme = 0 kt (Bilans par campagne - FranceAgriMer)</v>
      </c>
      <c r="O369" s="26" t="str">
        <f>Etiquettes!$K$15</f>
        <v>Approximative</v>
      </c>
      <c r="P369" s="603" t="str">
        <f>Etiquettes!$H$16</f>
        <v>Données collectées</v>
      </c>
      <c r="Q369" s="603" t="str">
        <f>Etiquettes!$H$17</f>
        <v>Donnée collectée (valeur du flux ou coefficient)</v>
      </c>
    </row>
    <row r="370" spans="1:19">
      <c r="A370" t="str">
        <f>'Prétraitement bilans'!A7</f>
        <v>Stock initial</v>
      </c>
      <c r="B370" t="str">
        <f>'Prétraitement bilans'!B7</f>
        <v>OS</v>
      </c>
      <c r="C370" s="458">
        <f>'Prétraitement bilans'!AD7</f>
        <v>12.622200000000001</v>
      </c>
      <c r="E370" t="str">
        <f>Etiquettes!$C$3</f>
        <v>kt</v>
      </c>
      <c r="F370" s="26" t="str">
        <f>Etiquettes!$P$6</f>
        <v>Sarrasin</v>
      </c>
      <c r="G370" s="26" t="str">
        <f>Etiquettes!$J$5</f>
        <v>2023-24</v>
      </c>
      <c r="H370" t="str">
        <f>Etiquettes!$C$4</f>
        <v>France entière</v>
      </c>
      <c r="I370" s="603" t="s">
        <v>1127</v>
      </c>
      <c r="J370" s="603"/>
      <c r="K370" t="s">
        <v>1559</v>
      </c>
      <c r="L370" s="603" t="str" cm="1">
        <f t="array" aca="1" ref="L370" ca="1">[1]!NOM_FEUILLE('Bilans Sarrasin - FAM'!$A$1)</f>
        <v>Bilans Sarrasin - FAM</v>
      </c>
      <c r="M370" s="26" t="str">
        <f>Etiquettes!$H$11</f>
        <v>Volume</v>
      </c>
      <c r="N370" t="str">
        <f t="shared" si="5"/>
        <v>Stock initial collecteurs = 13 kt (Bilans par campagne - FranceAgriMer)</v>
      </c>
      <c r="O370" s="26" t="str">
        <f>Etiquettes!$I$15</f>
        <v>Robuste</v>
      </c>
      <c r="P370" s="603" t="str">
        <f>Etiquettes!$H$16</f>
        <v>Données collectées</v>
      </c>
      <c r="Q370" s="603" t="str">
        <f>Etiquettes!$H$17</f>
        <v>Donnée collectée (valeur du flux ou coefficient)</v>
      </c>
    </row>
    <row r="371" spans="1:19">
      <c r="A371" t="str">
        <f>'Prétraitement bilans'!A8</f>
        <v>Grains récoltés</v>
      </c>
      <c r="B371" t="str">
        <f>'Prétraitement bilans'!B8</f>
        <v>OS</v>
      </c>
      <c r="C371" s="458">
        <f>'Prétraitement bilans'!AD8</f>
        <v>35.331900000000005</v>
      </c>
      <c r="E371" t="str">
        <f>Etiquettes!$C$3</f>
        <v>kt</v>
      </c>
      <c r="F371" s="26" t="str">
        <f>Etiquettes!$P$6</f>
        <v>Sarrasin</v>
      </c>
      <c r="G371" s="26" t="str">
        <f>Etiquettes!$J$5</f>
        <v>2023-24</v>
      </c>
      <c r="H371" t="str">
        <f>Etiquettes!$C$4</f>
        <v>France entière</v>
      </c>
      <c r="I371" s="603" t="s">
        <v>317</v>
      </c>
      <c r="J371" s="603"/>
      <c r="K371" t="s">
        <v>1559</v>
      </c>
      <c r="L371" s="603" t="str" cm="1">
        <f t="array" aca="1" ref="L371" ca="1">[1]!NOM_FEUILLE('Bilans Sarrasin - FAM'!$A$1)</f>
        <v>Bilans Sarrasin - FAM</v>
      </c>
      <c r="M371" s="26" t="str">
        <f>Etiquettes!$H$11</f>
        <v>Volume</v>
      </c>
      <c r="N371" t="str">
        <f t="shared" si="5"/>
        <v>Collecte = 35 kt (Bilans par campagne - FranceAgriMer)</v>
      </c>
      <c r="O371" s="26" t="str">
        <f>Etiquettes!$I$15</f>
        <v>Robuste</v>
      </c>
      <c r="P371" s="603" t="str">
        <f>Etiquettes!$H$16</f>
        <v>Données collectées</v>
      </c>
      <c r="Q371" s="603" t="str">
        <f>Etiquettes!$H$17</f>
        <v>Donnée collectée (valeur du flux ou coefficient)</v>
      </c>
    </row>
    <row r="372" spans="1:19">
      <c r="A372" t="str">
        <f>'Prétraitement bilans'!A13</f>
        <v>Grains collectés</v>
      </c>
      <c r="B372" t="str">
        <f>'Prétraitement bilans'!B13</f>
        <v>Amidonnerie / Glutennerie</v>
      </c>
      <c r="C372" s="458">
        <f>'Prétraitement bilans'!AD13</f>
        <v>0</v>
      </c>
      <c r="E372" t="str">
        <f>Etiquettes!$C$3</f>
        <v>kt</v>
      </c>
      <c r="F372" s="26" t="str">
        <f>Etiquettes!$P$6</f>
        <v>Sarrasin</v>
      </c>
      <c r="G372" s="26" t="str">
        <f>Etiquettes!$J$5</f>
        <v>2023-24</v>
      </c>
      <c r="H372" t="str">
        <f>Etiquettes!$C$4</f>
        <v>France entière</v>
      </c>
      <c r="I372" s="603" t="s">
        <v>1563</v>
      </c>
      <c r="J372" s="603"/>
      <c r="K372" t="s">
        <v>1559</v>
      </c>
      <c r="L372" s="603" t="str" cm="1">
        <f t="array" aca="1" ref="L372" ca="1">[1]!NOM_FEUILLE('Bilans Sarrasin - FAM'!$A$1)</f>
        <v>Bilans Sarrasin - FAM</v>
      </c>
      <c r="M372" s="26" t="str">
        <f>Etiquettes!$H$11</f>
        <v>Volume</v>
      </c>
      <c r="N372" t="str">
        <f t="shared" si="5"/>
        <v>Consommation de grains par l'Amidonnerie = 0 kt (Bilans par campagne - FranceAgriMer)</v>
      </c>
      <c r="O372" s="26" t="str">
        <f>Etiquettes!$J$15</f>
        <v>Probable</v>
      </c>
      <c r="P372" s="603" t="str">
        <f>Etiquettes!$H$16</f>
        <v>Données collectées</v>
      </c>
      <c r="Q372" s="603" t="str">
        <f>Etiquettes!$H$17</f>
        <v>Donnée collectée (valeur du flux ou coefficient)</v>
      </c>
    </row>
    <row r="373" spans="1:19">
      <c r="A373" t="str">
        <f>'Prétraitement bilans'!A16</f>
        <v>Grains collectés</v>
      </c>
      <c r="B373" t="str">
        <f>'Prétraitement bilans'!B16</f>
        <v>Distillerie</v>
      </c>
      <c r="C373" s="458">
        <f>'Prétraitement bilans'!AD16</f>
        <v>0</v>
      </c>
      <c r="E373" t="str">
        <f>Etiquettes!$C$3</f>
        <v>kt</v>
      </c>
      <c r="F373" s="26" t="str">
        <f>Etiquettes!$P$6</f>
        <v>Sarrasin</v>
      </c>
      <c r="G373" s="26" t="str">
        <f>Etiquettes!$J$5</f>
        <v>2023-24</v>
      </c>
      <c r="H373" t="str">
        <f>Etiquettes!$C$4</f>
        <v>France entière</v>
      </c>
      <c r="I373" s="603" t="s">
        <v>1564</v>
      </c>
      <c r="J373" s="603"/>
      <c r="K373" t="s">
        <v>1559</v>
      </c>
      <c r="L373" s="603" t="str" cm="1">
        <f t="array" aca="1" ref="L373" ca="1">[1]!NOM_FEUILLE('Bilans Sarrasin - FAM'!$A$1)</f>
        <v>Bilans Sarrasin - FAM</v>
      </c>
      <c r="M373" s="26" t="str">
        <f>Etiquettes!$H$11</f>
        <v>Volume</v>
      </c>
      <c r="N373" t="str">
        <f t="shared" si="5"/>
        <v>Consommation de grains par la Distillerie = 0 kt (Bilans par campagne - FranceAgriMer)</v>
      </c>
      <c r="O373" s="26" t="str">
        <f>Etiquettes!$J$15</f>
        <v>Probable</v>
      </c>
      <c r="P373" s="603" t="str">
        <f>Etiquettes!$H$16</f>
        <v>Données collectées</v>
      </c>
      <c r="Q373" s="603" t="str">
        <f>Etiquettes!$H$17</f>
        <v>Donnée collectée (valeur du flux ou coefficient)</v>
      </c>
    </row>
    <row r="374" spans="1:19">
      <c r="A374" t="str">
        <f>'Prétraitement bilans'!A17</f>
        <v>Grains collectés</v>
      </c>
      <c r="B374" t="str">
        <f>'Prétraitement bilans'!B17</f>
        <v>Malterie</v>
      </c>
      <c r="C374" s="458">
        <f>'Prétraitement bilans'!AD17</f>
        <v>0</v>
      </c>
      <c r="E374" t="str">
        <f>Etiquettes!$C$3</f>
        <v>kt</v>
      </c>
      <c r="F374" s="26" t="str">
        <f>Etiquettes!$P$6</f>
        <v>Sarrasin</v>
      </c>
      <c r="G374" s="26" t="str">
        <f>Etiquettes!$J$5</f>
        <v>2023-24</v>
      </c>
      <c r="H374" t="str">
        <f>Etiquettes!$C$4</f>
        <v>France entière</v>
      </c>
      <c r="I374" s="603" t="s">
        <v>1565</v>
      </c>
      <c r="J374" s="603"/>
      <c r="K374" t="s">
        <v>1559</v>
      </c>
      <c r="L374" s="603" t="str" cm="1">
        <f t="array" aca="1" ref="L374" ca="1">[1]!NOM_FEUILLE('Bilans Sarrasin - FAM'!$A$1)</f>
        <v>Bilans Sarrasin - FAM</v>
      </c>
      <c r="M374" s="26" t="str">
        <f>Etiquettes!$H$11</f>
        <v>Volume</v>
      </c>
      <c r="N374" t="str">
        <f t="shared" si="5"/>
        <v>Consommation de grains par la Malterie = 0 kt (Bilans par campagne - FranceAgriMer)</v>
      </c>
      <c r="O374" s="26" t="str">
        <f>Etiquettes!$J$15</f>
        <v>Probable</v>
      </c>
      <c r="P374" s="603" t="str">
        <f>Etiquettes!$H$16</f>
        <v>Données collectées</v>
      </c>
      <c r="Q374" s="603" t="str">
        <f>Etiquettes!$H$17</f>
        <v>Donnée collectée (valeur du flux ou coefficient)</v>
      </c>
    </row>
    <row r="375" spans="1:19" s="26" customFormat="1">
      <c r="A375" t="str">
        <f>'Prétraitement bilans'!A18</f>
        <v>Grains collectés</v>
      </c>
      <c r="B375" t="str">
        <f>'Prétraitement bilans'!B18</f>
        <v>Autres IAA</v>
      </c>
      <c r="C375" s="458">
        <f>'Prétraitement bilans'!AD18</f>
        <v>0</v>
      </c>
      <c r="D375" s="10"/>
      <c r="E375" t="str">
        <f>Etiquettes!$C$3</f>
        <v>kt</v>
      </c>
      <c r="F375" s="26" t="str">
        <f>Etiquettes!$P$6</f>
        <v>Sarrasin</v>
      </c>
      <c r="G375" s="26" t="str">
        <f>Etiquettes!$J$5</f>
        <v>2023-24</v>
      </c>
      <c r="H375" t="str">
        <f>Etiquettes!$C$4</f>
        <v>France entière</v>
      </c>
      <c r="I375" s="603" t="s">
        <v>1566</v>
      </c>
      <c r="J375" s="603"/>
      <c r="K375" t="s">
        <v>1559</v>
      </c>
      <c r="L375" s="603" t="str" cm="1">
        <f t="array" aca="1" ref="L375" ca="1">[1]!NOM_FEUILLE('Bilans Sarrasin - FAM'!$A$1)</f>
        <v>Bilans Sarrasin - FAM</v>
      </c>
      <c r="M375" s="26" t="str">
        <f>Etiquettes!$H$11</f>
        <v>Volume</v>
      </c>
      <c r="N375" t="str">
        <f t="shared" si="5"/>
        <v>Consommation de grains par les autres IAA = 0 kt (Bilans par campagne - FranceAgriMer)</v>
      </c>
      <c r="O375" s="26" t="str">
        <f>Etiquettes!$J$15</f>
        <v>Probable</v>
      </c>
      <c r="P375" s="603" t="str">
        <f>Etiquettes!$H$16</f>
        <v>Données collectées</v>
      </c>
      <c r="Q375" s="603" t="str">
        <f>Etiquettes!$H$17</f>
        <v>Donnée collectée (valeur du flux ou coefficient)</v>
      </c>
      <c r="R375"/>
      <c r="S375"/>
    </row>
    <row r="376" spans="1:19" s="26" customFormat="1">
      <c r="A376" t="str">
        <f>'Prétraitement bilans'!A19</f>
        <v>Grains collectés</v>
      </c>
      <c r="B376" t="str">
        <f>'Prétraitement bilans'!B19</f>
        <v>Semoulerie</v>
      </c>
      <c r="C376" s="458">
        <f>'Prétraitement bilans'!AD19</f>
        <v>0</v>
      </c>
      <c r="D376" s="10"/>
      <c r="E376" t="str">
        <f>Etiquettes!$C$3</f>
        <v>kt</v>
      </c>
      <c r="F376" s="26" t="str">
        <f>Etiquettes!$P$6</f>
        <v>Sarrasin</v>
      </c>
      <c r="G376" s="26" t="str">
        <f>Etiquettes!$J$5</f>
        <v>2023-24</v>
      </c>
      <c r="H376" t="str">
        <f>Etiquettes!$C$4</f>
        <v>France entière</v>
      </c>
      <c r="I376" s="603" t="s">
        <v>1567</v>
      </c>
      <c r="J376" s="603"/>
      <c r="K376" t="s">
        <v>1559</v>
      </c>
      <c r="L376" s="603" t="str" cm="1">
        <f t="array" aca="1" ref="L376" ca="1">[1]!NOM_FEUILLE('Bilans Sarrasin - FAM'!$A$1)</f>
        <v>Bilans Sarrasin - FAM</v>
      </c>
      <c r="M376" s="26" t="str">
        <f>Etiquettes!$H$11</f>
        <v>Volume</v>
      </c>
      <c r="N376" t="str">
        <f t="shared" si="5"/>
        <v>Consommation de grains par la Semoulerie = 0 kt (Bilans par campagne - FranceAgriMer)</v>
      </c>
      <c r="O376" s="26" t="str">
        <f>Etiquettes!$J$15</f>
        <v>Probable</v>
      </c>
      <c r="P376" s="603" t="str">
        <f>Etiquettes!$H$16</f>
        <v>Données collectées</v>
      </c>
      <c r="Q376" s="603" t="str">
        <f>Etiquettes!$H$17</f>
        <v>Donnée collectée (valeur du flux ou coefficient)</v>
      </c>
      <c r="R376"/>
      <c r="S376"/>
    </row>
    <row r="377" spans="1:19" s="26" customFormat="1">
      <c r="A377" t="str">
        <f>'Prétraitement bilans'!A20</f>
        <v>Grains collectés</v>
      </c>
      <c r="B377" t="str">
        <f>'Prétraitement bilans'!B20</f>
        <v>FAB</v>
      </c>
      <c r="C377" s="458">
        <f>'Prétraitement bilans'!AD20</f>
        <v>0</v>
      </c>
      <c r="D377" s="10"/>
      <c r="E377" t="str">
        <f>Etiquettes!$C$3</f>
        <v>kt</v>
      </c>
      <c r="F377" s="26" t="str">
        <f>Etiquettes!$P$6</f>
        <v>Sarrasin</v>
      </c>
      <c r="G377" s="26" t="str">
        <f>Etiquettes!$J$5</f>
        <v>2023-24</v>
      </c>
      <c r="H377" t="str">
        <f>Etiquettes!$C$4</f>
        <v>France entière</v>
      </c>
      <c r="I377" s="603" t="s">
        <v>1568</v>
      </c>
      <c r="J377" s="603"/>
      <c r="K377" t="s">
        <v>1559</v>
      </c>
      <c r="L377" s="603" t="str" cm="1">
        <f t="array" aca="1" ref="L377" ca="1">[1]!NOM_FEUILLE('Bilans Sarrasin - FAM'!$A$1)</f>
        <v>Bilans Sarrasin - FAM</v>
      </c>
      <c r="M377" s="26" t="str">
        <f>Etiquettes!$H$11</f>
        <v>Volume</v>
      </c>
      <c r="N377" t="str">
        <f t="shared" si="5"/>
        <v>Consommation de grains par les FAB = 0 kt (Bilans par campagne - FranceAgriMer)</v>
      </c>
      <c r="O377" s="26" t="str">
        <f>Etiquettes!$J$15</f>
        <v>Probable</v>
      </c>
      <c r="P377" s="603" t="str">
        <f>Etiquettes!$H$16</f>
        <v>Données collectées</v>
      </c>
      <c r="Q377" s="603" t="str">
        <f>Etiquettes!$H$17</f>
        <v>Donnée collectée (valeur du flux ou coefficient)</v>
      </c>
      <c r="R377"/>
      <c r="S377"/>
    </row>
    <row r="378" spans="1:19" s="26" customFormat="1">
      <c r="A378" t="str">
        <f>'Prétraitement bilans'!A21</f>
        <v>Grains collectés</v>
      </c>
      <c r="B378" t="str">
        <f>'Prétraitement bilans'!B21</f>
        <v>Semences certifiées</v>
      </c>
      <c r="C378" s="458">
        <f>'Prétraitement bilans'!AD21</f>
        <v>0.35331900000000005</v>
      </c>
      <c r="D378" s="10"/>
      <c r="E378" t="str">
        <f>Etiquettes!$C$3</f>
        <v>kt</v>
      </c>
      <c r="F378" s="26" t="str">
        <f>Etiquettes!$P$6</f>
        <v>Sarrasin</v>
      </c>
      <c r="G378" s="26" t="str">
        <f>Etiquettes!$J$5</f>
        <v>2023-24</v>
      </c>
      <c r="H378" t="str">
        <f>Etiquettes!$C$4</f>
        <v>France entière</v>
      </c>
      <c r="I378" s="603" t="s">
        <v>1561</v>
      </c>
      <c r="J378" s="603"/>
      <c r="K378" t="s">
        <v>1559</v>
      </c>
      <c r="L378" s="603" t="str" cm="1">
        <f t="array" aca="1" ref="L378" ca="1">[1]!NOM_FEUILLE('Bilans Sarrasin - FAM'!$A$1)</f>
        <v>Bilans Sarrasin - FAM</v>
      </c>
      <c r="M378" s="26" t="str">
        <f>Etiquettes!$H$11</f>
        <v>Volume</v>
      </c>
      <c r="N378" t="str">
        <f t="shared" si="5"/>
        <v>Production de semences certifiées = 0 kt (Bilans par campagne - FranceAgriMer)</v>
      </c>
      <c r="O378" s="26" t="str">
        <f>Etiquettes!$J$15</f>
        <v>Probable</v>
      </c>
      <c r="P378" s="603" t="str">
        <f>Etiquettes!$H$16</f>
        <v>Données collectées</v>
      </c>
      <c r="Q378" s="603" t="str">
        <f>Etiquettes!$H$17</f>
        <v>Donnée collectée (valeur du flux ou coefficient)</v>
      </c>
      <c r="R378"/>
      <c r="S378"/>
    </row>
    <row r="379" spans="1:19" s="26" customFormat="1">
      <c r="A379" t="str">
        <f>'Prétraitement bilans'!A25</f>
        <v>OS</v>
      </c>
      <c r="B379" t="str">
        <f>'Prétraitement bilans'!B25</f>
        <v>Stock final</v>
      </c>
      <c r="C379" s="458">
        <f>'Prétraitement bilans'!AD25</f>
        <v>19.4175</v>
      </c>
      <c r="D379" s="10"/>
      <c r="E379" t="str">
        <f>Etiquettes!$C$3</f>
        <v>kt</v>
      </c>
      <c r="F379" s="26" t="str">
        <f>Etiquettes!$P$6</f>
        <v>Sarrasin</v>
      </c>
      <c r="G379" s="26" t="str">
        <f>Etiquettes!$J$5</f>
        <v>2023-24</v>
      </c>
      <c r="H379" t="str">
        <f>Etiquettes!$C$4</f>
        <v>France entière</v>
      </c>
      <c r="I379" s="603" t="s">
        <v>1128</v>
      </c>
      <c r="J379" s="603"/>
      <c r="K379" t="s">
        <v>1559</v>
      </c>
      <c r="L379" s="603" t="str" cm="1">
        <f t="array" aca="1" ref="L379" ca="1">[1]!NOM_FEUILLE('Bilans Sarrasin - FAM'!$A$1)</f>
        <v>Bilans Sarrasin - FAM</v>
      </c>
      <c r="M379" s="26" t="str">
        <f>Etiquettes!$H$11</f>
        <v>Volume</v>
      </c>
      <c r="N379" t="str">
        <f t="shared" si="5"/>
        <v>Stock final collecteurs = 19 kt (Bilans par campagne - FranceAgriMer)</v>
      </c>
      <c r="O379" s="26" t="str">
        <f>Etiquettes!$I$15</f>
        <v>Robuste</v>
      </c>
      <c r="P379" s="603" t="str">
        <f>Etiquettes!$H$16</f>
        <v>Données collectées</v>
      </c>
      <c r="Q379" s="603" t="str">
        <f>Etiquettes!$H$17</f>
        <v>Donnée collectée (valeur du flux ou coefficient)</v>
      </c>
      <c r="R379"/>
      <c r="S379"/>
    </row>
    <row r="380" spans="1:19">
      <c r="A380" t="str">
        <f>Secteurs!$B$2</f>
        <v>Récolte</v>
      </c>
      <c r="B380" t="str">
        <f>Produits!$B$2</f>
        <v>Grains récoltés</v>
      </c>
      <c r="C380">
        <f>'Epeautre et Millet - Ceresco'!C33</f>
        <v>110</v>
      </c>
      <c r="E380" t="str">
        <f>Etiquettes!$C$3</f>
        <v>kt</v>
      </c>
      <c r="F380" s="26" t="str">
        <f>Etiquettes!$R$6</f>
        <v>Epeautre</v>
      </c>
      <c r="G380" s="26" t="str">
        <f>Etiquettes!$J$5</f>
        <v>2023-24</v>
      </c>
      <c r="H380" t="str">
        <f>Etiquettes!$C$4</f>
        <v>France entière</v>
      </c>
      <c r="I380" s="603" t="s">
        <v>1106</v>
      </c>
      <c r="J380" s="603" t="s">
        <v>1774</v>
      </c>
      <c r="K380" t="s">
        <v>1740</v>
      </c>
      <c r="L380" s="603" t="str" cm="1">
        <f t="array" aca="1" ref="L380" ca="1">[1]!NOM_FEUILLE('Epeautre et Millet - Ceresco'!$A$1)</f>
        <v>Epeautre et Millet - Ceresco</v>
      </c>
      <c r="M380" s="26" t="str">
        <f>Etiquettes!$H$11</f>
        <v>Volume</v>
      </c>
      <c r="N380" t="str">
        <f t="shared" ref="N380:N394" si="6">_xlfn.CONCAT(I380,IF(ISBLANK(C380),"",_xlfn.CONCAT(" = ",MROUND(C380,1)," ",E380))," (",K380,")")</f>
        <v>Récolte = 110 kt (Monographie des céréales secondaires, Ceresco - Intercéréales)</v>
      </c>
      <c r="O380" s="26" t="str">
        <f>Etiquettes!$I$15</f>
        <v>Robuste</v>
      </c>
      <c r="P380" s="603" t="str">
        <f>Etiquettes!$H$16</f>
        <v>Données collectées</v>
      </c>
      <c r="Q380" s="603" t="str">
        <f>Etiquettes!$H$17</f>
        <v>Donnée collectée (valeur du flux ou coefficient)</v>
      </c>
    </row>
    <row r="381" spans="1:19">
      <c r="A381" t="str">
        <f>Produits!$B$50</f>
        <v>Stock initial</v>
      </c>
      <c r="B381" t="str">
        <f>Secteurs!$B$3</f>
        <v>Ferme</v>
      </c>
      <c r="C381">
        <v>0</v>
      </c>
      <c r="E381" t="str">
        <f>Etiquettes!$C$3</f>
        <v>kt</v>
      </c>
      <c r="F381" s="26" t="str">
        <f>Etiquettes!$R$6</f>
        <v>Epeautre</v>
      </c>
      <c r="G381" s="26" t="str">
        <f>Etiquettes!$J$5</f>
        <v>2023-24</v>
      </c>
      <c r="H381" t="str">
        <f>Etiquettes!$C$4</f>
        <v>France entière</v>
      </c>
      <c r="I381" s="603" t="s">
        <v>1115</v>
      </c>
      <c r="J381" s="603" t="s">
        <v>1739</v>
      </c>
      <c r="K381" t="s">
        <v>1740</v>
      </c>
      <c r="L381" s="603" t="str" cm="1">
        <f t="array" aca="1" ref="L381" ca="1">[1]!NOM_FEUILLE('Epeautre et Millet - Ceresco'!$A$1)</f>
        <v>Epeautre et Millet - Ceresco</v>
      </c>
      <c r="M381" s="26" t="str">
        <f>Etiquettes!$H$11</f>
        <v>Volume</v>
      </c>
      <c r="N381" t="str">
        <f t="shared" si="6"/>
        <v>Stock initial à la ferme = 0 kt (Monographie des céréales secondaires, Ceresco - Intercéréales)</v>
      </c>
      <c r="O381" s="26" t="str">
        <f>Etiquettes!$L$15</f>
        <v>Indicative</v>
      </c>
      <c r="P381" s="603" t="str">
        <f>Etiquettes!$H$16</f>
        <v>Données collectées</v>
      </c>
      <c r="Q381" s="603" t="str">
        <f>Etiquettes!$H$17</f>
        <v>Donnée collectée (valeur du flux ou coefficient)</v>
      </c>
    </row>
    <row r="382" spans="1:19">
      <c r="A382" t="str">
        <f>Secteurs!$B$3</f>
        <v>Ferme</v>
      </c>
      <c r="B382" t="str">
        <f>Produits!$B$51</f>
        <v>Stock final</v>
      </c>
      <c r="C382">
        <v>0</v>
      </c>
      <c r="E382" t="str">
        <f>Etiquettes!$C$3</f>
        <v>kt</v>
      </c>
      <c r="F382" s="26" t="str">
        <f>Etiquettes!$R$6</f>
        <v>Epeautre</v>
      </c>
      <c r="G382" s="26" t="str">
        <f>Etiquettes!$J$5</f>
        <v>2023-24</v>
      </c>
      <c r="H382" t="str">
        <f>Etiquettes!$C$4</f>
        <v>France entière</v>
      </c>
      <c r="I382" s="603" t="s">
        <v>1116</v>
      </c>
      <c r="J382" s="603" t="s">
        <v>1739</v>
      </c>
      <c r="K382" t="s">
        <v>1740</v>
      </c>
      <c r="L382" s="603" t="str" cm="1">
        <f t="array" aca="1" ref="L382" ca="1">[1]!NOM_FEUILLE('Epeautre et Millet - Ceresco'!$A$1)</f>
        <v>Epeautre et Millet - Ceresco</v>
      </c>
      <c r="M382" s="26" t="str">
        <f>Etiquettes!$H$11</f>
        <v>Volume</v>
      </c>
      <c r="N382" t="str">
        <f t="shared" si="6"/>
        <v>Stock final à la ferme = 0 kt (Monographie des céréales secondaires, Ceresco - Intercéréales)</v>
      </c>
      <c r="O382" s="26" t="str">
        <f>Etiquettes!$L$15</f>
        <v>Indicative</v>
      </c>
      <c r="P382" s="603" t="str">
        <f>Etiquettes!$H$16</f>
        <v>Données collectées</v>
      </c>
      <c r="Q382" s="603" t="str">
        <f>Etiquettes!$H$17</f>
        <v>Donnée collectée (valeur du flux ou coefficient)</v>
      </c>
    </row>
    <row r="383" spans="1:19">
      <c r="A383" t="str">
        <f>Produits!$B$50</f>
        <v>Stock initial</v>
      </c>
      <c r="B383" t="str">
        <f>Secteurs!$B$4</f>
        <v>OS</v>
      </c>
      <c r="C383">
        <f>'Epeautre et Millet - Ceresco'!C37</f>
        <v>11</v>
      </c>
      <c r="E383" t="str">
        <f>Etiquettes!$C$3</f>
        <v>kt</v>
      </c>
      <c r="F383" s="26" t="str">
        <f>Etiquettes!$R$6</f>
        <v>Epeautre</v>
      </c>
      <c r="G383" s="26" t="str">
        <f>Etiquettes!$J$5</f>
        <v>2023-24</v>
      </c>
      <c r="H383" t="str">
        <f>Etiquettes!$C$4</f>
        <v>France entière</v>
      </c>
      <c r="I383" s="603" t="s">
        <v>1127</v>
      </c>
      <c r="J383" s="603" t="s">
        <v>1774</v>
      </c>
      <c r="K383" t="s">
        <v>1740</v>
      </c>
      <c r="L383" s="603" t="str" cm="1">
        <f t="array" aca="1" ref="L383" ca="1">[1]!NOM_FEUILLE('Epeautre et Millet - Ceresco'!$A$1)</f>
        <v>Epeautre et Millet - Ceresco</v>
      </c>
      <c r="M383" s="26" t="str">
        <f>Etiquettes!$H$11</f>
        <v>Volume</v>
      </c>
      <c r="N383" t="str">
        <f t="shared" si="6"/>
        <v>Stock initial collecteurs = 11 kt (Monographie des céréales secondaires, Ceresco - Intercéréales)</v>
      </c>
      <c r="O383" s="26" t="str">
        <f>Etiquettes!$J$15</f>
        <v>Probable</v>
      </c>
      <c r="P383" s="603" t="str">
        <f>Etiquettes!$H$16</f>
        <v>Données collectées</v>
      </c>
      <c r="Q383" s="603" t="str">
        <f>Etiquettes!$H$17</f>
        <v>Donnée collectée (valeur du flux ou coefficient)</v>
      </c>
    </row>
    <row r="384" spans="1:19">
      <c r="A384" t="str">
        <f>Produits!$B$2</f>
        <v>Grains récoltés</v>
      </c>
      <c r="B384" t="str">
        <f>Secteurs!$B$4</f>
        <v>OS</v>
      </c>
      <c r="C384">
        <f>'Epeautre et Millet - Ceresco'!C35</f>
        <v>31</v>
      </c>
      <c r="E384" t="str">
        <f>Etiquettes!$C$3</f>
        <v>kt</v>
      </c>
      <c r="F384" s="26" t="str">
        <f>Etiquettes!$R$6</f>
        <v>Epeautre</v>
      </c>
      <c r="G384" s="26" t="str">
        <f>Etiquettes!$J$5</f>
        <v>2023-24</v>
      </c>
      <c r="H384" t="str">
        <f>Etiquettes!$C$4</f>
        <v>France entière</v>
      </c>
      <c r="I384" s="603" t="s">
        <v>317</v>
      </c>
      <c r="J384" s="603" t="s">
        <v>1774</v>
      </c>
      <c r="K384" t="s">
        <v>1740</v>
      </c>
      <c r="L384" s="603" t="str" cm="1">
        <f t="array" aca="1" ref="L384" ca="1">[1]!NOM_FEUILLE('Epeautre et Millet - Ceresco'!$A$1)</f>
        <v>Epeautre et Millet - Ceresco</v>
      </c>
      <c r="M384" s="26" t="str">
        <f>Etiquettes!$H$11</f>
        <v>Volume</v>
      </c>
      <c r="N384" t="str">
        <f t="shared" si="6"/>
        <v>Collecte = 31 kt (Monographie des céréales secondaires, Ceresco - Intercéréales)</v>
      </c>
      <c r="O384" s="26" t="str">
        <f>Etiquettes!$J$15</f>
        <v>Probable</v>
      </c>
      <c r="P384" s="603" t="str">
        <f>Etiquettes!$H$16</f>
        <v>Données collectées</v>
      </c>
      <c r="Q384" s="603" t="str">
        <f>Etiquettes!$H$17</f>
        <v>Donnée collectée (valeur du flux ou coefficient)</v>
      </c>
    </row>
    <row r="385" spans="1:17">
      <c r="A385" t="str">
        <f>Produits!$B$4</f>
        <v>Grains collectés</v>
      </c>
      <c r="B385" t="str">
        <f>Secteurs!$B$9</f>
        <v>Amidonnerie / Glutennerie</v>
      </c>
      <c r="C385">
        <v>0</v>
      </c>
      <c r="E385" t="str">
        <f>Etiquettes!$C$3</f>
        <v>kt</v>
      </c>
      <c r="F385" s="26" t="str">
        <f>Etiquettes!$R$6</f>
        <v>Epeautre</v>
      </c>
      <c r="G385" s="26" t="str">
        <f>Etiquettes!$J$5</f>
        <v>2023-24</v>
      </c>
      <c r="H385" t="str">
        <f>Etiquettes!$C$4</f>
        <v>France entière</v>
      </c>
      <c r="I385" s="603" t="s">
        <v>1563</v>
      </c>
      <c r="J385" s="603"/>
      <c r="K385" t="s">
        <v>1740</v>
      </c>
      <c r="L385" s="603" t="str" cm="1">
        <f t="array" aca="1" ref="L385" ca="1">[1]!NOM_FEUILLE('Epeautre et Millet - Ceresco'!$A$1)</f>
        <v>Epeautre et Millet - Ceresco</v>
      </c>
      <c r="M385" s="26" t="str">
        <f>Etiquettes!$H$11</f>
        <v>Volume</v>
      </c>
      <c r="N385" t="str">
        <f t="shared" si="6"/>
        <v>Consommation de grains par l'Amidonnerie = 0 kt (Monographie des céréales secondaires, Ceresco - Intercéréales)</v>
      </c>
      <c r="O385" s="26" t="str">
        <f>Etiquettes!$K$15</f>
        <v>Approximative</v>
      </c>
      <c r="P385" s="603" t="str">
        <f>Etiquettes!$H$16</f>
        <v>Données collectées</v>
      </c>
      <c r="Q385" s="603" t="str">
        <f>Etiquettes!$H$17</f>
        <v>Donnée collectée (valeur du flux ou coefficient)</v>
      </c>
    </row>
    <row r="386" spans="1:17">
      <c r="A386" t="str">
        <f>Produits!$B$4</f>
        <v>Grains collectés</v>
      </c>
      <c r="B386" t="str">
        <f>Secteurs!$B$14</f>
        <v>Distillerie</v>
      </c>
      <c r="C386">
        <v>0</v>
      </c>
      <c r="E386" t="str">
        <f>Etiquettes!$C$3</f>
        <v>kt</v>
      </c>
      <c r="F386" s="26" t="str">
        <f>Etiquettes!$R$6</f>
        <v>Epeautre</v>
      </c>
      <c r="G386" s="26" t="str">
        <f>Etiquettes!$J$5</f>
        <v>2023-24</v>
      </c>
      <c r="H386" t="str">
        <f>Etiquettes!$C$4</f>
        <v>France entière</v>
      </c>
      <c r="I386" s="603" t="s">
        <v>1564</v>
      </c>
      <c r="J386" s="603"/>
      <c r="K386" t="s">
        <v>1740</v>
      </c>
      <c r="L386" s="603" t="str" cm="1">
        <f t="array" aca="1" ref="L386" ca="1">[1]!NOM_FEUILLE('Epeautre et Millet - Ceresco'!$A$1)</f>
        <v>Epeautre et Millet - Ceresco</v>
      </c>
      <c r="M386" s="26" t="str">
        <f>Etiquettes!$H$11</f>
        <v>Volume</v>
      </c>
      <c r="N386" t="str">
        <f t="shared" si="6"/>
        <v>Consommation de grains par la Distillerie = 0 kt (Monographie des céréales secondaires, Ceresco - Intercéréales)</v>
      </c>
      <c r="O386" s="26" t="str">
        <f>Etiquettes!$K$15</f>
        <v>Approximative</v>
      </c>
      <c r="P386" s="603" t="str">
        <f>Etiquettes!$H$16</f>
        <v>Données collectées</v>
      </c>
      <c r="Q386" s="603" t="str">
        <f>Etiquettes!$H$17</f>
        <v>Donnée collectée (valeur du flux ou coefficient)</v>
      </c>
    </row>
    <row r="387" spans="1:17">
      <c r="A387" t="str">
        <f>Produits!$B$4</f>
        <v>Grains collectés</v>
      </c>
      <c r="B387" t="str">
        <f>Secteurs!$B$12</f>
        <v>Malterie</v>
      </c>
      <c r="C387">
        <v>0</v>
      </c>
      <c r="E387" t="str">
        <f>Etiquettes!$C$3</f>
        <v>kt</v>
      </c>
      <c r="F387" s="26" t="str">
        <f>Etiquettes!$R$6</f>
        <v>Epeautre</v>
      </c>
      <c r="G387" s="26" t="str">
        <f>Etiquettes!$J$5</f>
        <v>2023-24</v>
      </c>
      <c r="H387" t="str">
        <f>Etiquettes!$C$4</f>
        <v>France entière</v>
      </c>
      <c r="I387" s="603" t="s">
        <v>1565</v>
      </c>
      <c r="J387" s="603"/>
      <c r="K387" t="s">
        <v>1740</v>
      </c>
      <c r="L387" s="603" t="str" cm="1">
        <f t="array" aca="1" ref="L387" ca="1">[1]!NOM_FEUILLE('Epeautre et Millet - Ceresco'!$A$1)</f>
        <v>Epeautre et Millet - Ceresco</v>
      </c>
      <c r="M387" s="26" t="str">
        <f>Etiquettes!$H$11</f>
        <v>Volume</v>
      </c>
      <c r="N387" t="str">
        <f t="shared" si="6"/>
        <v>Consommation de grains par la Malterie = 0 kt (Monographie des céréales secondaires, Ceresco - Intercéréales)</v>
      </c>
      <c r="O387" s="26" t="str">
        <f>Etiquettes!$K$15</f>
        <v>Approximative</v>
      </c>
      <c r="P387" s="603" t="str">
        <f>Etiquettes!$H$16</f>
        <v>Données collectées</v>
      </c>
      <c r="Q387" s="603" t="str">
        <f>Etiquettes!$H$17</f>
        <v>Donnée collectée (valeur du flux ou coefficient)</v>
      </c>
    </row>
    <row r="388" spans="1:17">
      <c r="A388" t="str">
        <f>Produits!$B$4</f>
        <v>Grains collectés</v>
      </c>
      <c r="B388" t="str">
        <f>Secteurs!$B$30</f>
        <v>Autres IAA</v>
      </c>
      <c r="C388">
        <v>0</v>
      </c>
      <c r="E388" t="str">
        <f>Etiquettes!$C$3</f>
        <v>kt</v>
      </c>
      <c r="F388" s="26" t="str">
        <f>Etiquettes!$R$6</f>
        <v>Epeautre</v>
      </c>
      <c r="G388" s="26" t="str">
        <f>Etiquettes!$J$5</f>
        <v>2023-24</v>
      </c>
      <c r="H388" t="str">
        <f>Etiquettes!$C$4</f>
        <v>France entière</v>
      </c>
      <c r="I388" s="603" t="s">
        <v>1566</v>
      </c>
      <c r="J388" s="603"/>
      <c r="K388" t="s">
        <v>1740</v>
      </c>
      <c r="L388" s="603" t="str" cm="1">
        <f t="array" aca="1" ref="L388" ca="1">[1]!NOM_FEUILLE('Epeautre et Millet - Ceresco'!$A$1)</f>
        <v>Epeautre et Millet - Ceresco</v>
      </c>
      <c r="M388" s="26" t="str">
        <f>Etiquettes!$H$11</f>
        <v>Volume</v>
      </c>
      <c r="N388" t="str">
        <f t="shared" si="6"/>
        <v>Consommation de grains par les autres IAA = 0 kt (Monographie des céréales secondaires, Ceresco - Intercéréales)</v>
      </c>
      <c r="O388" s="26" t="str">
        <f>Etiquettes!$K$15</f>
        <v>Approximative</v>
      </c>
      <c r="P388" s="603" t="str">
        <f>Etiquettes!$H$16</f>
        <v>Données collectées</v>
      </c>
      <c r="Q388" s="603" t="str">
        <f>Etiquettes!$H$17</f>
        <v>Donnée collectée (valeur du flux ou coefficient)</v>
      </c>
    </row>
    <row r="389" spans="1:17">
      <c r="A389" t="str">
        <f>Produits!$B$4</f>
        <v>Grains collectés</v>
      </c>
      <c r="B389" t="str">
        <f>Secteurs!$B$10</f>
        <v>Semoulerie</v>
      </c>
      <c r="C389">
        <v>0</v>
      </c>
      <c r="E389" t="str">
        <f>Etiquettes!$C$3</f>
        <v>kt</v>
      </c>
      <c r="F389" s="26" t="str">
        <f>Etiquettes!$R$6</f>
        <v>Epeautre</v>
      </c>
      <c r="G389" s="26" t="str">
        <f>Etiquettes!$J$5</f>
        <v>2023-24</v>
      </c>
      <c r="H389" t="str">
        <f>Etiquettes!$C$4</f>
        <v>France entière</v>
      </c>
      <c r="I389" s="603" t="s">
        <v>1567</v>
      </c>
      <c r="J389" s="603"/>
      <c r="K389" t="s">
        <v>1740</v>
      </c>
      <c r="L389" s="603" t="str" cm="1">
        <f t="array" aca="1" ref="L389" ca="1">[1]!NOM_FEUILLE('Epeautre et Millet - Ceresco'!$A$1)</f>
        <v>Epeautre et Millet - Ceresco</v>
      </c>
      <c r="M389" s="26" t="str">
        <f>Etiquettes!$H$11</f>
        <v>Volume</v>
      </c>
      <c r="N389" t="str">
        <f t="shared" si="6"/>
        <v>Consommation de grains par la Semoulerie = 0 kt (Monographie des céréales secondaires, Ceresco - Intercéréales)</v>
      </c>
      <c r="O389" s="26" t="str">
        <f>Etiquettes!$K$15</f>
        <v>Approximative</v>
      </c>
      <c r="P389" s="603" t="str">
        <f>Etiquettes!$H$16</f>
        <v>Données collectées</v>
      </c>
      <c r="Q389" s="603" t="str">
        <f>Etiquettes!$H$17</f>
        <v>Donnée collectée (valeur du flux ou coefficient)</v>
      </c>
    </row>
    <row r="390" spans="1:17">
      <c r="A390" t="str">
        <f>Produits!$B$4</f>
        <v>Grains collectés</v>
      </c>
      <c r="B390" t="str">
        <f>Secteurs!$B$33</f>
        <v>FAB</v>
      </c>
      <c r="C390">
        <f>'Epeautre et Millet - Ceresco'!C39</f>
        <v>0.2</v>
      </c>
      <c r="E390" t="str">
        <f>Etiquettes!$C$3</f>
        <v>kt</v>
      </c>
      <c r="F390" s="26" t="str">
        <f>Etiquettes!$R$6</f>
        <v>Epeautre</v>
      </c>
      <c r="G390" s="26" t="str">
        <f>Etiquettes!$J$5</f>
        <v>2023-24</v>
      </c>
      <c r="H390" t="str">
        <f>Etiquettes!$C$4</f>
        <v>France entière</v>
      </c>
      <c r="I390" s="603" t="s">
        <v>1568</v>
      </c>
      <c r="J390" s="603" t="s">
        <v>1774</v>
      </c>
      <c r="K390" t="s">
        <v>1740</v>
      </c>
      <c r="L390" s="603" t="str" cm="1">
        <f t="array" aca="1" ref="L390" ca="1">[1]!NOM_FEUILLE('Epeautre et Millet - Ceresco'!$A$1)</f>
        <v>Epeautre et Millet - Ceresco</v>
      </c>
      <c r="M390" s="26" t="str">
        <f>Etiquettes!$H$11</f>
        <v>Volume</v>
      </c>
      <c r="N390" t="str">
        <f t="shared" si="6"/>
        <v>Consommation de grains par les FAB = 0 kt (Monographie des céréales secondaires, Ceresco - Intercéréales)</v>
      </c>
      <c r="O390" s="26" t="str">
        <f>Etiquettes!$K$15</f>
        <v>Approximative</v>
      </c>
      <c r="P390" s="603" t="str">
        <f>Etiquettes!$H$16</f>
        <v>Données collectées</v>
      </c>
      <c r="Q390" s="603" t="str">
        <f>Etiquettes!$H$17</f>
        <v>Donnée collectée (valeur du flux ou coefficient)</v>
      </c>
    </row>
    <row r="391" spans="1:17">
      <c r="A391" t="str">
        <f>Produits!$B$4</f>
        <v>Grains collectés</v>
      </c>
      <c r="B391" t="str">
        <f>Secteurs!$B$7</f>
        <v>Semences certifiées</v>
      </c>
      <c r="C391">
        <f>'Epeautre et Millet - Ceresco'!C42</f>
        <v>0.8</v>
      </c>
      <c r="E391" t="str">
        <f>Etiquettes!$C$3</f>
        <v>kt</v>
      </c>
      <c r="F391" s="26" t="str">
        <f>Etiquettes!$R$6</f>
        <v>Epeautre</v>
      </c>
      <c r="G391" s="26" t="str">
        <f>Etiquettes!$J$5</f>
        <v>2023-24</v>
      </c>
      <c r="H391" t="str">
        <f>Etiquettes!$C$4</f>
        <v>France entière</v>
      </c>
      <c r="I391" s="603" t="s">
        <v>1561</v>
      </c>
      <c r="J391" s="603" t="s">
        <v>1774</v>
      </c>
      <c r="K391" t="s">
        <v>1740</v>
      </c>
      <c r="L391" s="603" t="str" cm="1">
        <f t="array" aca="1" ref="L391" ca="1">[1]!NOM_FEUILLE('Epeautre et Millet - Ceresco'!$A$1)</f>
        <v>Epeautre et Millet - Ceresco</v>
      </c>
      <c r="M391" s="26" t="str">
        <f>Etiquettes!$H$11</f>
        <v>Volume</v>
      </c>
      <c r="N391" t="str">
        <f t="shared" si="6"/>
        <v>Production de semences certifiées = 1 kt (Monographie des céréales secondaires, Ceresco - Intercéréales)</v>
      </c>
      <c r="O391" s="26" t="str">
        <f>Etiquettes!$K$15</f>
        <v>Approximative</v>
      </c>
      <c r="P391" s="603" t="str">
        <f>Etiquettes!$H$16</f>
        <v>Données collectées</v>
      </c>
      <c r="Q391" s="603" t="str">
        <f>Etiquettes!$H$17</f>
        <v>Donnée collectée (valeur du flux ou coefficient)</v>
      </c>
    </row>
    <row r="392" spans="1:17">
      <c r="A392" t="str">
        <f>Secteurs!$B$55</f>
        <v>Importations</v>
      </c>
      <c r="B392" t="str">
        <f>Produits!$B$4</f>
        <v>Grains collectés</v>
      </c>
      <c r="C392">
        <f>'Epeautre et Millet - Ceresco'!C36</f>
        <v>0</v>
      </c>
      <c r="E392" t="str">
        <f>Etiquettes!$C$3</f>
        <v>kt</v>
      </c>
      <c r="F392" s="26" t="str">
        <f>Etiquettes!$R$6</f>
        <v>Epeautre</v>
      </c>
      <c r="G392" s="26" t="str">
        <f>Etiquettes!$J$5</f>
        <v>2023-24</v>
      </c>
      <c r="H392" t="str">
        <f>Etiquettes!$C$4</f>
        <v>France entière</v>
      </c>
      <c r="I392" s="603" t="s">
        <v>1738</v>
      </c>
      <c r="J392" s="603"/>
      <c r="K392" t="s">
        <v>1740</v>
      </c>
      <c r="L392" s="603" t="str" cm="1">
        <f t="array" aca="1" ref="L392" ca="1">[1]!NOM_FEUILLE('Epeautre et Millet - Ceresco'!$A$1)</f>
        <v>Epeautre et Millet - Ceresco</v>
      </c>
      <c r="M392" s="26" t="str">
        <f>Etiquettes!$H$11</f>
        <v>Volume</v>
      </c>
      <c r="N392" t="str">
        <f t="shared" si="6"/>
        <v>Importations de grains = 0 kt (Monographie des céréales secondaires, Ceresco - Intercéréales)</v>
      </c>
      <c r="O392" s="26" t="str">
        <f>Etiquettes!$K$15</f>
        <v>Approximative</v>
      </c>
      <c r="P392" s="603" t="str">
        <f>Etiquettes!$H$16</f>
        <v>Données collectées</v>
      </c>
      <c r="Q392" s="603" t="str">
        <f>Etiquettes!$H$17</f>
        <v>Donnée collectée (valeur du flux ou coefficient)</v>
      </c>
    </row>
    <row r="393" spans="1:17">
      <c r="A393" t="str">
        <f>Produits!$B$4</f>
        <v>Grains collectés</v>
      </c>
      <c r="B393" t="str">
        <f>Secteurs!$B$56</f>
        <v>Exportations</v>
      </c>
      <c r="C393">
        <f>'Epeautre et Millet - Ceresco'!C43</f>
        <v>0</v>
      </c>
      <c r="E393" t="str">
        <f>Etiquettes!$C$3</f>
        <v>kt</v>
      </c>
      <c r="F393" s="26" t="str">
        <f>Etiquettes!$R$6</f>
        <v>Epeautre</v>
      </c>
      <c r="G393" s="26" t="str">
        <f>Etiquettes!$J$5</f>
        <v>2023-24</v>
      </c>
      <c r="H393" t="str">
        <f>Etiquettes!$C$4</f>
        <v>France entière</v>
      </c>
      <c r="I393" s="26" t="s">
        <v>1042</v>
      </c>
      <c r="K393" t="s">
        <v>1740</v>
      </c>
      <c r="L393" s="603" t="str" cm="1">
        <f t="array" aca="1" ref="L393" ca="1">[1]!NOM_FEUILLE('Epeautre et Millet - Ceresco'!$A$1)</f>
        <v>Epeautre et Millet - Ceresco</v>
      </c>
      <c r="M393" s="26" t="str">
        <f>Etiquettes!$H$11</f>
        <v>Volume</v>
      </c>
      <c r="N393" t="str">
        <f t="shared" si="6"/>
        <v>Exportations de grains = 0 kt (Monographie des céréales secondaires, Ceresco - Intercéréales)</v>
      </c>
      <c r="O393" s="26" t="str">
        <f>Etiquettes!$K$15</f>
        <v>Approximative</v>
      </c>
      <c r="P393" s="603" t="str">
        <f>Etiquettes!$H$16</f>
        <v>Données collectées</v>
      </c>
      <c r="Q393" s="603" t="str">
        <f>Etiquettes!$H$17</f>
        <v>Donnée collectée (valeur du flux ou coefficient)</v>
      </c>
    </row>
    <row r="394" spans="1:17">
      <c r="A394" t="str">
        <f>Produits!$B$4</f>
        <v>Grains collectés</v>
      </c>
      <c r="B394" t="str">
        <f>Secteurs!$B$54</f>
        <v>Indéterminé - Débouchés</v>
      </c>
      <c r="C394">
        <f>'Epeautre et Millet - Ceresco'!C41</f>
        <v>16</v>
      </c>
      <c r="E394" t="str">
        <f>Etiquettes!$C$3</f>
        <v>kt</v>
      </c>
      <c r="F394" s="26" t="str">
        <f>Etiquettes!$R$6</f>
        <v>Epeautre</v>
      </c>
      <c r="G394" s="26" t="str">
        <f>Etiquettes!$J$5</f>
        <v>2023-24</v>
      </c>
      <c r="H394" t="str">
        <f>Etiquettes!$C$4</f>
        <v>France entière</v>
      </c>
      <c r="I394" s="26" t="s">
        <v>1743</v>
      </c>
      <c r="J394" s="603" t="s">
        <v>1774</v>
      </c>
      <c r="K394" t="s">
        <v>1740</v>
      </c>
      <c r="L394" s="603" t="str" cm="1">
        <f t="array" aca="1" ref="L394" ca="1">[1]!NOM_FEUILLE('Epeautre et Millet - Ceresco'!$A$1)</f>
        <v>Epeautre et Millet - Ceresco</v>
      </c>
      <c r="M394" s="26" t="str">
        <f>Etiquettes!$H$11</f>
        <v>Volume</v>
      </c>
      <c r="N394" t="str">
        <f t="shared" si="6"/>
        <v>Autres usages de grains = 16 kt (Monographie des céréales secondaires, Ceresco - Intercéréales)</v>
      </c>
      <c r="O394" s="26" t="str">
        <f>Etiquettes!$K$15</f>
        <v>Approximative</v>
      </c>
      <c r="P394" s="603" t="str">
        <f>Etiquettes!$H$16</f>
        <v>Données collectées</v>
      </c>
      <c r="Q394" s="603" t="str">
        <f>Etiquettes!$H$17</f>
        <v>Donnée collectée (valeur du flux ou coefficient)</v>
      </c>
    </row>
    <row r="395" spans="1:17">
      <c r="A395" t="str">
        <f>Secteurs!$B$2</f>
        <v>Récolte</v>
      </c>
      <c r="B395" t="str">
        <f>Produits!$B$2</f>
        <v>Grains récoltés</v>
      </c>
      <c r="C395">
        <f>'Epeautre et Millet - Ceresco'!N33</f>
        <v>68.337999999999994</v>
      </c>
      <c r="E395" t="str">
        <f>Etiquettes!$C$3</f>
        <v>kt</v>
      </c>
      <c r="F395" s="26" t="str">
        <f>Etiquettes!$S$6</f>
        <v>Millet</v>
      </c>
      <c r="G395" s="26" t="str">
        <f>Etiquettes!$J$5</f>
        <v>2023-24</v>
      </c>
      <c r="H395" t="str">
        <f>Etiquettes!$C$4</f>
        <v>France entière</v>
      </c>
      <c r="I395" s="603" t="s">
        <v>1106</v>
      </c>
      <c r="J395" s="603" t="s">
        <v>1774</v>
      </c>
      <c r="K395" t="s">
        <v>1740</v>
      </c>
      <c r="L395" s="603" t="str" cm="1">
        <f t="array" aca="1" ref="L395" ca="1">[1]!NOM_FEUILLE('Epeautre et Millet - Ceresco'!$A$1)</f>
        <v>Epeautre et Millet - Ceresco</v>
      </c>
      <c r="M395" s="26" t="str">
        <f>Etiquettes!$H$11</f>
        <v>Volume</v>
      </c>
      <c r="N395" t="str">
        <f t="shared" ref="N395:N409" si="7">_xlfn.CONCAT(I395,IF(ISBLANK(C395),"",_xlfn.CONCAT(" = ",MROUND(C395,1)," ",E395))," (",K395,")")</f>
        <v>Récolte = 68 kt (Monographie des céréales secondaires, Ceresco - Intercéréales)</v>
      </c>
      <c r="O395" s="26" t="str">
        <f>Etiquettes!$I$15</f>
        <v>Robuste</v>
      </c>
      <c r="P395" s="603" t="str">
        <f>Etiquettes!$H$16</f>
        <v>Données collectées</v>
      </c>
      <c r="Q395" s="603" t="str">
        <f>Etiquettes!$H$17</f>
        <v>Donnée collectée (valeur du flux ou coefficient)</v>
      </c>
    </row>
    <row r="396" spans="1:17">
      <c r="A396" t="str">
        <f>Produits!$B$50</f>
        <v>Stock initial</v>
      </c>
      <c r="B396" t="str">
        <f>Secteurs!$B$3</f>
        <v>Ferme</v>
      </c>
      <c r="C396">
        <v>0</v>
      </c>
      <c r="E396" t="str">
        <f>Etiquettes!$C$3</f>
        <v>kt</v>
      </c>
      <c r="F396" s="26" t="str">
        <f>Etiquettes!$S$6</f>
        <v>Millet</v>
      </c>
      <c r="G396" s="26" t="str">
        <f>Etiquettes!$J$5</f>
        <v>2023-24</v>
      </c>
      <c r="H396" t="str">
        <f>Etiquettes!$C$4</f>
        <v>France entière</v>
      </c>
      <c r="I396" s="603" t="s">
        <v>1115</v>
      </c>
      <c r="J396" s="603" t="s">
        <v>1739</v>
      </c>
      <c r="K396" t="s">
        <v>1740</v>
      </c>
      <c r="L396" s="603" t="str" cm="1">
        <f t="array" aca="1" ref="L396" ca="1">[1]!NOM_FEUILLE('Epeautre et Millet - Ceresco'!$A$1)</f>
        <v>Epeautre et Millet - Ceresco</v>
      </c>
      <c r="M396" s="26" t="str">
        <f>Etiquettes!$H$11</f>
        <v>Volume</v>
      </c>
      <c r="N396" t="str">
        <f t="shared" si="7"/>
        <v>Stock initial à la ferme = 0 kt (Monographie des céréales secondaires, Ceresco - Intercéréales)</v>
      </c>
      <c r="O396" s="26" t="str">
        <f>Etiquettes!$L$15</f>
        <v>Indicative</v>
      </c>
      <c r="P396" s="603" t="str">
        <f>Etiquettes!$H$16</f>
        <v>Données collectées</v>
      </c>
      <c r="Q396" s="603" t="str">
        <f>Etiquettes!$H$17</f>
        <v>Donnée collectée (valeur du flux ou coefficient)</v>
      </c>
    </row>
    <row r="397" spans="1:17">
      <c r="A397" t="str">
        <f>Secteurs!$B$3</f>
        <v>Ferme</v>
      </c>
      <c r="B397" t="str">
        <f>Produits!$B$51</f>
        <v>Stock final</v>
      </c>
      <c r="C397">
        <v>0</v>
      </c>
      <c r="E397" t="str">
        <f>Etiquettes!$C$3</f>
        <v>kt</v>
      </c>
      <c r="F397" s="26" t="str">
        <f>Etiquettes!$S$6</f>
        <v>Millet</v>
      </c>
      <c r="G397" s="26" t="str">
        <f>Etiquettes!$J$5</f>
        <v>2023-24</v>
      </c>
      <c r="H397" t="str">
        <f>Etiquettes!$C$4</f>
        <v>France entière</v>
      </c>
      <c r="I397" s="603" t="s">
        <v>1116</v>
      </c>
      <c r="J397" s="603" t="s">
        <v>1739</v>
      </c>
      <c r="K397" t="s">
        <v>1740</v>
      </c>
      <c r="L397" s="603" t="str" cm="1">
        <f t="array" aca="1" ref="L397" ca="1">[1]!NOM_FEUILLE('Epeautre et Millet - Ceresco'!$A$1)</f>
        <v>Epeautre et Millet - Ceresco</v>
      </c>
      <c r="M397" s="26" t="str">
        <f>Etiquettes!$H$11</f>
        <v>Volume</v>
      </c>
      <c r="N397" t="str">
        <f t="shared" si="7"/>
        <v>Stock final à la ferme = 0 kt (Monographie des céréales secondaires, Ceresco - Intercéréales)</v>
      </c>
      <c r="O397" s="26" t="str">
        <f>Etiquettes!$L$15</f>
        <v>Indicative</v>
      </c>
      <c r="P397" s="603" t="str">
        <f>Etiquettes!$H$16</f>
        <v>Données collectées</v>
      </c>
      <c r="Q397" s="603" t="str">
        <f>Etiquettes!$H$17</f>
        <v>Donnée collectée (valeur du flux ou coefficient)</v>
      </c>
    </row>
    <row r="398" spans="1:17">
      <c r="A398" t="str">
        <f>Produits!$B$50</f>
        <v>Stock initial</v>
      </c>
      <c r="B398" t="str">
        <f>Secteurs!$B$4</f>
        <v>OS</v>
      </c>
      <c r="C398">
        <f>'Epeautre et Millet - Ceresco'!N37</f>
        <v>19</v>
      </c>
      <c r="E398" t="str">
        <f>Etiquettes!$C$3</f>
        <v>kt</v>
      </c>
      <c r="F398" s="26" t="str">
        <f>Etiquettes!$S$6</f>
        <v>Millet</v>
      </c>
      <c r="G398" s="26" t="str">
        <f>Etiquettes!$J$5</f>
        <v>2023-24</v>
      </c>
      <c r="H398" t="str">
        <f>Etiquettes!$C$4</f>
        <v>France entière</v>
      </c>
      <c r="I398" s="603" t="s">
        <v>1127</v>
      </c>
      <c r="J398" s="603" t="s">
        <v>1774</v>
      </c>
      <c r="K398" t="s">
        <v>1740</v>
      </c>
      <c r="L398" s="603" t="str" cm="1">
        <f t="array" aca="1" ref="L398" ca="1">[1]!NOM_FEUILLE('Epeautre et Millet - Ceresco'!$A$1)</f>
        <v>Epeautre et Millet - Ceresco</v>
      </c>
      <c r="M398" s="26" t="str">
        <f>Etiquettes!$H$11</f>
        <v>Volume</v>
      </c>
      <c r="N398" t="str">
        <f t="shared" si="7"/>
        <v>Stock initial collecteurs = 19 kt (Monographie des céréales secondaires, Ceresco - Intercéréales)</v>
      </c>
      <c r="O398" s="26" t="str">
        <f>Etiquettes!$J$15</f>
        <v>Probable</v>
      </c>
      <c r="P398" s="603" t="str">
        <f>Etiquettes!$H$16</f>
        <v>Données collectées</v>
      </c>
      <c r="Q398" s="603" t="str">
        <f>Etiquettes!$H$17</f>
        <v>Donnée collectée (valeur du flux ou coefficient)</v>
      </c>
    </row>
    <row r="399" spans="1:17">
      <c r="A399" t="str">
        <f>Produits!$B$2</f>
        <v>Grains récoltés</v>
      </c>
      <c r="B399" t="str">
        <f>Secteurs!$B$4</f>
        <v>OS</v>
      </c>
      <c r="C399">
        <f>'Epeautre et Millet - Ceresco'!N35</f>
        <v>25</v>
      </c>
      <c r="E399" t="str">
        <f>Etiquettes!$C$3</f>
        <v>kt</v>
      </c>
      <c r="F399" s="26" t="str">
        <f>Etiquettes!$S$6</f>
        <v>Millet</v>
      </c>
      <c r="G399" s="26" t="str">
        <f>Etiquettes!$J$5</f>
        <v>2023-24</v>
      </c>
      <c r="H399" t="str">
        <f>Etiquettes!$C$4</f>
        <v>France entière</v>
      </c>
      <c r="I399" s="603" t="s">
        <v>317</v>
      </c>
      <c r="J399" s="603" t="s">
        <v>1774</v>
      </c>
      <c r="K399" t="s">
        <v>1740</v>
      </c>
      <c r="L399" s="603" t="str" cm="1">
        <f t="array" aca="1" ref="L399" ca="1">[1]!NOM_FEUILLE('Epeautre et Millet - Ceresco'!$A$1)</f>
        <v>Epeautre et Millet - Ceresco</v>
      </c>
      <c r="M399" s="26" t="str">
        <f>Etiquettes!$H$11</f>
        <v>Volume</v>
      </c>
      <c r="N399" t="str">
        <f t="shared" si="7"/>
        <v>Collecte = 25 kt (Monographie des céréales secondaires, Ceresco - Intercéréales)</v>
      </c>
      <c r="O399" s="26" t="str">
        <f>Etiquettes!$J$15</f>
        <v>Probable</v>
      </c>
      <c r="P399" s="603" t="str">
        <f>Etiquettes!$H$16</f>
        <v>Données collectées</v>
      </c>
      <c r="Q399" s="603" t="str">
        <f>Etiquettes!$H$17</f>
        <v>Donnée collectée (valeur du flux ou coefficient)</v>
      </c>
    </row>
    <row r="400" spans="1:17">
      <c r="A400" t="str">
        <f>Produits!$B$4</f>
        <v>Grains collectés</v>
      </c>
      <c r="B400" t="str">
        <f>Secteurs!$B$9</f>
        <v>Amidonnerie / Glutennerie</v>
      </c>
      <c r="C400">
        <v>0</v>
      </c>
      <c r="E400" t="str">
        <f>Etiquettes!$C$3</f>
        <v>kt</v>
      </c>
      <c r="F400" s="26" t="str">
        <f>Etiquettes!$S$6</f>
        <v>Millet</v>
      </c>
      <c r="G400" s="26" t="str">
        <f>Etiquettes!$J$5</f>
        <v>2023-24</v>
      </c>
      <c r="H400" t="str">
        <f>Etiquettes!$C$4</f>
        <v>France entière</v>
      </c>
      <c r="I400" s="603" t="s">
        <v>1563</v>
      </c>
      <c r="J400" s="603"/>
      <c r="K400" t="s">
        <v>1740</v>
      </c>
      <c r="L400" s="603" t="str" cm="1">
        <f t="array" aca="1" ref="L400" ca="1">[1]!NOM_FEUILLE('Epeautre et Millet - Ceresco'!$A$1)</f>
        <v>Epeautre et Millet - Ceresco</v>
      </c>
      <c r="M400" s="26" t="str">
        <f>Etiquettes!$H$11</f>
        <v>Volume</v>
      </c>
      <c r="N400" t="str">
        <f t="shared" si="7"/>
        <v>Consommation de grains par l'Amidonnerie = 0 kt (Monographie des céréales secondaires, Ceresco - Intercéréales)</v>
      </c>
      <c r="O400" s="26" t="str">
        <f>Etiquettes!$K$15</f>
        <v>Approximative</v>
      </c>
      <c r="P400" s="603" t="str">
        <f>Etiquettes!$H$16</f>
        <v>Données collectées</v>
      </c>
      <c r="Q400" s="603" t="str">
        <f>Etiquettes!$H$17</f>
        <v>Donnée collectée (valeur du flux ou coefficient)</v>
      </c>
    </row>
    <row r="401" spans="1:19">
      <c r="A401" t="str">
        <f>Produits!$B$4</f>
        <v>Grains collectés</v>
      </c>
      <c r="B401" t="str">
        <f>Secteurs!$B$14</f>
        <v>Distillerie</v>
      </c>
      <c r="C401">
        <v>0</v>
      </c>
      <c r="E401" t="str">
        <f>Etiquettes!$C$3</f>
        <v>kt</v>
      </c>
      <c r="F401" s="26" t="str">
        <f>Etiquettes!$S$6</f>
        <v>Millet</v>
      </c>
      <c r="G401" s="26" t="str">
        <f>Etiquettes!$J$5</f>
        <v>2023-24</v>
      </c>
      <c r="H401" t="str">
        <f>Etiquettes!$C$4</f>
        <v>France entière</v>
      </c>
      <c r="I401" s="603" t="s">
        <v>1564</v>
      </c>
      <c r="J401" s="603"/>
      <c r="K401" t="s">
        <v>1740</v>
      </c>
      <c r="L401" s="603" t="str" cm="1">
        <f t="array" aca="1" ref="L401" ca="1">[1]!NOM_FEUILLE('Epeautre et Millet - Ceresco'!$A$1)</f>
        <v>Epeautre et Millet - Ceresco</v>
      </c>
      <c r="M401" s="26" t="str">
        <f>Etiquettes!$H$11</f>
        <v>Volume</v>
      </c>
      <c r="N401" t="str">
        <f t="shared" si="7"/>
        <v>Consommation de grains par la Distillerie = 0 kt (Monographie des céréales secondaires, Ceresco - Intercéréales)</v>
      </c>
      <c r="O401" s="26" t="str">
        <f>Etiquettes!$K$15</f>
        <v>Approximative</v>
      </c>
      <c r="P401" s="603" t="str">
        <f>Etiquettes!$H$16</f>
        <v>Données collectées</v>
      </c>
      <c r="Q401" s="603" t="str">
        <f>Etiquettes!$H$17</f>
        <v>Donnée collectée (valeur du flux ou coefficient)</v>
      </c>
    </row>
    <row r="402" spans="1:19">
      <c r="A402" t="str">
        <f>Produits!$B$4</f>
        <v>Grains collectés</v>
      </c>
      <c r="B402" t="str">
        <f>Secteurs!$B$12</f>
        <v>Malterie</v>
      </c>
      <c r="C402">
        <v>0</v>
      </c>
      <c r="E402" t="str">
        <f>Etiquettes!$C$3</f>
        <v>kt</v>
      </c>
      <c r="F402" s="26" t="str">
        <f>Etiquettes!$S$6</f>
        <v>Millet</v>
      </c>
      <c r="G402" s="26" t="str">
        <f>Etiquettes!$J$5</f>
        <v>2023-24</v>
      </c>
      <c r="H402" t="str">
        <f>Etiquettes!$C$4</f>
        <v>France entière</v>
      </c>
      <c r="I402" s="603" t="s">
        <v>1565</v>
      </c>
      <c r="J402" s="603"/>
      <c r="K402" t="s">
        <v>1740</v>
      </c>
      <c r="L402" s="603" t="str" cm="1">
        <f t="array" aca="1" ref="L402" ca="1">[1]!NOM_FEUILLE('Epeautre et Millet - Ceresco'!$A$1)</f>
        <v>Epeautre et Millet - Ceresco</v>
      </c>
      <c r="M402" s="26" t="str">
        <f>Etiquettes!$H$11</f>
        <v>Volume</v>
      </c>
      <c r="N402" t="str">
        <f t="shared" si="7"/>
        <v>Consommation de grains par la Malterie = 0 kt (Monographie des céréales secondaires, Ceresco - Intercéréales)</v>
      </c>
      <c r="O402" s="26" t="str">
        <f>Etiquettes!$K$15</f>
        <v>Approximative</v>
      </c>
      <c r="P402" s="603" t="str">
        <f>Etiquettes!$H$16</f>
        <v>Données collectées</v>
      </c>
      <c r="Q402" s="603" t="str">
        <f>Etiquettes!$H$17</f>
        <v>Donnée collectée (valeur du flux ou coefficient)</v>
      </c>
    </row>
    <row r="403" spans="1:19">
      <c r="A403" t="str">
        <f>Produits!$B$4</f>
        <v>Grains collectés</v>
      </c>
      <c r="B403" t="str">
        <f>Secteurs!$B$30</f>
        <v>Autres IAA</v>
      </c>
      <c r="C403">
        <f>'Epeautre et Millet - Ceresco'!N38</f>
        <v>17</v>
      </c>
      <c r="E403" t="str">
        <f>Etiquettes!$C$3</f>
        <v>kt</v>
      </c>
      <c r="F403" s="26" t="str">
        <f>Etiquettes!$S$6</f>
        <v>Millet</v>
      </c>
      <c r="G403" s="26" t="str">
        <f>Etiquettes!$J$5</f>
        <v>2023-24</v>
      </c>
      <c r="H403" t="str">
        <f>Etiquettes!$C$4</f>
        <v>France entière</v>
      </c>
      <c r="I403" s="603" t="s">
        <v>1566</v>
      </c>
      <c r="J403" s="603" t="s">
        <v>1774</v>
      </c>
      <c r="K403" t="s">
        <v>1740</v>
      </c>
      <c r="L403" s="603" t="str" cm="1">
        <f t="array" aca="1" ref="L403" ca="1">[1]!NOM_FEUILLE('Epeautre et Millet - Ceresco'!$A$1)</f>
        <v>Epeautre et Millet - Ceresco</v>
      </c>
      <c r="M403" s="26" t="str">
        <f>Etiquettes!$H$11</f>
        <v>Volume</v>
      </c>
      <c r="N403" t="str">
        <f t="shared" si="7"/>
        <v>Consommation de grains par les autres IAA = 17 kt (Monographie des céréales secondaires, Ceresco - Intercéréales)</v>
      </c>
      <c r="O403" s="26" t="str">
        <f>Etiquettes!$K$15</f>
        <v>Approximative</v>
      </c>
      <c r="P403" s="603" t="str">
        <f>Etiquettes!$H$16</f>
        <v>Données collectées</v>
      </c>
      <c r="Q403" s="603" t="str">
        <f>Etiquettes!$H$17</f>
        <v>Donnée collectée (valeur du flux ou coefficient)</v>
      </c>
    </row>
    <row r="404" spans="1:19">
      <c r="A404" t="str">
        <f>Produits!$B$4</f>
        <v>Grains collectés</v>
      </c>
      <c r="B404" t="str">
        <f>Secteurs!$B$10</f>
        <v>Semoulerie</v>
      </c>
      <c r="C404">
        <v>0</v>
      </c>
      <c r="E404" t="str">
        <f>Etiquettes!$C$3</f>
        <v>kt</v>
      </c>
      <c r="F404" s="26" t="str">
        <f>Etiquettes!$S$6</f>
        <v>Millet</v>
      </c>
      <c r="G404" s="26" t="str">
        <f>Etiquettes!$J$5</f>
        <v>2023-24</v>
      </c>
      <c r="H404" t="str">
        <f>Etiquettes!$C$4</f>
        <v>France entière</v>
      </c>
      <c r="I404" s="603" t="s">
        <v>1567</v>
      </c>
      <c r="J404" s="603"/>
      <c r="K404" t="s">
        <v>1740</v>
      </c>
      <c r="L404" s="603" t="str" cm="1">
        <f t="array" aca="1" ref="L404" ca="1">[1]!NOM_FEUILLE('Epeautre et Millet - Ceresco'!$A$1)</f>
        <v>Epeautre et Millet - Ceresco</v>
      </c>
      <c r="M404" s="26" t="str">
        <f>Etiquettes!$H$11</f>
        <v>Volume</v>
      </c>
      <c r="N404" t="str">
        <f t="shared" si="7"/>
        <v>Consommation de grains par la Semoulerie = 0 kt (Monographie des céréales secondaires, Ceresco - Intercéréales)</v>
      </c>
      <c r="O404" s="26" t="str">
        <f>Etiquettes!$K$15</f>
        <v>Approximative</v>
      </c>
      <c r="P404" s="603" t="str">
        <f>Etiquettes!$H$16</f>
        <v>Données collectées</v>
      </c>
      <c r="Q404" s="603" t="str">
        <f>Etiquettes!$H$17</f>
        <v>Donnée collectée (valeur du flux ou coefficient)</v>
      </c>
    </row>
    <row r="405" spans="1:19">
      <c r="A405" t="str">
        <f>Produits!$B$4</f>
        <v>Grains collectés</v>
      </c>
      <c r="B405" t="str">
        <f>Secteurs!$B$33</f>
        <v>FAB</v>
      </c>
      <c r="C405">
        <f>'Epeautre et Millet - Ceresco'!N39</f>
        <v>0.2</v>
      </c>
      <c r="E405" t="str">
        <f>Etiquettes!$C$3</f>
        <v>kt</v>
      </c>
      <c r="F405" s="26" t="str">
        <f>Etiquettes!$S$6</f>
        <v>Millet</v>
      </c>
      <c r="G405" s="26" t="str">
        <f>Etiquettes!$J$5</f>
        <v>2023-24</v>
      </c>
      <c r="H405" t="str">
        <f>Etiquettes!$C$4</f>
        <v>France entière</v>
      </c>
      <c r="I405" s="603" t="s">
        <v>1568</v>
      </c>
      <c r="J405" s="603" t="s">
        <v>1774</v>
      </c>
      <c r="K405" t="s">
        <v>1740</v>
      </c>
      <c r="L405" s="603" t="str" cm="1">
        <f t="array" aca="1" ref="L405" ca="1">[1]!NOM_FEUILLE('Epeautre et Millet - Ceresco'!$A$1)</f>
        <v>Epeautre et Millet - Ceresco</v>
      </c>
      <c r="M405" s="26" t="str">
        <f>Etiquettes!$H$11</f>
        <v>Volume</v>
      </c>
      <c r="N405" t="str">
        <f t="shared" si="7"/>
        <v>Consommation de grains par les FAB = 0 kt (Monographie des céréales secondaires, Ceresco - Intercéréales)</v>
      </c>
      <c r="O405" s="26" t="str">
        <f>Etiquettes!$K$15</f>
        <v>Approximative</v>
      </c>
      <c r="P405" s="603" t="str">
        <f>Etiquettes!$H$16</f>
        <v>Données collectées</v>
      </c>
      <c r="Q405" s="603" t="str">
        <f>Etiquettes!$H$17</f>
        <v>Donnée collectée (valeur du flux ou coefficient)</v>
      </c>
    </row>
    <row r="406" spans="1:19">
      <c r="A406" t="str">
        <f>Produits!$B$4</f>
        <v>Grains collectés</v>
      </c>
      <c r="B406" t="str">
        <f>Secteurs!$B$7</f>
        <v>Semences certifiées</v>
      </c>
      <c r="C406">
        <v>0</v>
      </c>
      <c r="E406" t="str">
        <f>Etiquettes!$C$3</f>
        <v>kt</v>
      </c>
      <c r="F406" s="26" t="str">
        <f>Etiquettes!$S$6</f>
        <v>Millet</v>
      </c>
      <c r="G406" s="26" t="str">
        <f>Etiquettes!$J$5</f>
        <v>2023-24</v>
      </c>
      <c r="H406" t="str">
        <f>Etiquettes!$C$4</f>
        <v>France entière</v>
      </c>
      <c r="I406" s="603" t="s">
        <v>1561</v>
      </c>
      <c r="J406" s="603"/>
      <c r="K406" t="s">
        <v>1740</v>
      </c>
      <c r="L406" s="603" t="str" cm="1">
        <f t="array" aca="1" ref="L406" ca="1">[1]!NOM_FEUILLE('Epeautre et Millet - Ceresco'!$A$1)</f>
        <v>Epeautre et Millet - Ceresco</v>
      </c>
      <c r="M406" s="26" t="str">
        <f>Etiquettes!$H$11</f>
        <v>Volume</v>
      </c>
      <c r="N406" t="str">
        <f t="shared" si="7"/>
        <v>Production de semences certifiées = 0 kt (Monographie des céréales secondaires, Ceresco - Intercéréales)</v>
      </c>
      <c r="O406" s="26" t="str">
        <f>Etiquettes!$K$15</f>
        <v>Approximative</v>
      </c>
      <c r="P406" s="603" t="str">
        <f>Etiquettes!$H$16</f>
        <v>Données collectées</v>
      </c>
      <c r="Q406" s="603" t="str">
        <f>Etiquettes!$H$17</f>
        <v>Donnée collectée (valeur du flux ou coefficient)</v>
      </c>
    </row>
    <row r="407" spans="1:19">
      <c r="A407" t="str">
        <f>Secteurs!$B$55</f>
        <v>Importations</v>
      </c>
      <c r="B407" t="str">
        <f>Produits!$B$4</f>
        <v>Grains collectés</v>
      </c>
      <c r="C407">
        <f>'Epeautre et Millet - Ceresco'!N36</f>
        <v>3</v>
      </c>
      <c r="E407" t="str">
        <f>Etiquettes!$C$3</f>
        <v>kt</v>
      </c>
      <c r="F407" s="26" t="str">
        <f>Etiquettes!$S$6</f>
        <v>Millet</v>
      </c>
      <c r="G407" s="26" t="str">
        <f>Etiquettes!$J$5</f>
        <v>2023-24</v>
      </c>
      <c r="H407" t="str">
        <f>Etiquettes!$C$4</f>
        <v>France entière</v>
      </c>
      <c r="I407" s="603" t="s">
        <v>1738</v>
      </c>
      <c r="J407" s="603" t="s">
        <v>1774</v>
      </c>
      <c r="K407" t="s">
        <v>1740</v>
      </c>
      <c r="L407" s="603" t="str" cm="1">
        <f t="array" aca="1" ref="L407" ca="1">[1]!NOM_FEUILLE('Epeautre et Millet - Ceresco'!$A$1)</f>
        <v>Epeautre et Millet - Ceresco</v>
      </c>
      <c r="M407" s="26" t="str">
        <f>Etiquettes!$H$11</f>
        <v>Volume</v>
      </c>
      <c r="N407" t="str">
        <f t="shared" si="7"/>
        <v>Importations de grains = 3 kt (Monographie des céréales secondaires, Ceresco - Intercéréales)</v>
      </c>
      <c r="O407" s="26" t="str">
        <f>Etiquettes!$K$15</f>
        <v>Approximative</v>
      </c>
      <c r="P407" s="603" t="str">
        <f>Etiquettes!$H$16</f>
        <v>Données collectées</v>
      </c>
      <c r="Q407" s="603" t="str">
        <f>Etiquettes!$H$17</f>
        <v>Donnée collectée (valeur du flux ou coefficient)</v>
      </c>
    </row>
    <row r="408" spans="1:19">
      <c r="A408" t="str">
        <f>Produits!$B$4</f>
        <v>Grains collectés</v>
      </c>
      <c r="B408" t="str">
        <f>Secteurs!$B$56</f>
        <v>Exportations</v>
      </c>
      <c r="C408">
        <f>'Epeautre et Millet - Ceresco'!N41</f>
        <v>21</v>
      </c>
      <c r="E408" t="str">
        <f>Etiquettes!$C$3</f>
        <v>kt</v>
      </c>
      <c r="F408" s="26" t="str">
        <f>Etiquettes!$S$6</f>
        <v>Millet</v>
      </c>
      <c r="G408" s="26" t="str">
        <f>Etiquettes!$J$5</f>
        <v>2023-24</v>
      </c>
      <c r="H408" t="str">
        <f>Etiquettes!$C$4</f>
        <v>France entière</v>
      </c>
      <c r="I408" s="26" t="s">
        <v>1042</v>
      </c>
      <c r="J408" s="603" t="s">
        <v>1774</v>
      </c>
      <c r="K408" t="s">
        <v>1740</v>
      </c>
      <c r="L408" s="603" t="str" cm="1">
        <f t="array" aca="1" ref="L408" ca="1">[1]!NOM_FEUILLE('Epeautre et Millet - Ceresco'!$A$1)</f>
        <v>Epeautre et Millet - Ceresco</v>
      </c>
      <c r="M408" s="26" t="str">
        <f>Etiquettes!$H$11</f>
        <v>Volume</v>
      </c>
      <c r="N408" t="str">
        <f t="shared" si="7"/>
        <v>Exportations de grains = 21 kt (Monographie des céréales secondaires, Ceresco - Intercéréales)</v>
      </c>
      <c r="O408" s="26" t="str">
        <f>Etiquettes!$K$15</f>
        <v>Approximative</v>
      </c>
      <c r="P408" s="603" t="str">
        <f>Etiquettes!$H$16</f>
        <v>Données collectées</v>
      </c>
      <c r="Q408" s="603" t="str">
        <f>Etiquettes!$H$17</f>
        <v>Donnée collectée (valeur du flux ou coefficient)</v>
      </c>
    </row>
    <row r="409" spans="1:19">
      <c r="A409" t="str">
        <f>Produits!$B$4</f>
        <v>Grains collectés</v>
      </c>
      <c r="B409" t="str">
        <f>Secteurs!$B$54</f>
        <v>Indéterminé - Débouchés</v>
      </c>
      <c r="C409">
        <v>0</v>
      </c>
      <c r="E409" t="str">
        <f>Etiquettes!$C$3</f>
        <v>kt</v>
      </c>
      <c r="F409" s="26" t="str">
        <f>Etiquettes!$S$6</f>
        <v>Millet</v>
      </c>
      <c r="G409" s="26" t="str">
        <f>Etiquettes!$J$5</f>
        <v>2023-24</v>
      </c>
      <c r="H409" t="str">
        <f>Etiquettes!$C$4</f>
        <v>France entière</v>
      </c>
      <c r="I409" s="26" t="s">
        <v>1743</v>
      </c>
      <c r="K409" t="s">
        <v>1740</v>
      </c>
      <c r="L409" s="603" t="str" cm="1">
        <f t="array" aca="1" ref="L409" ca="1">[1]!NOM_FEUILLE('Epeautre et Millet - Ceresco'!$A$1)</f>
        <v>Epeautre et Millet - Ceresco</v>
      </c>
      <c r="M409" s="26" t="str">
        <f>Etiquettes!$H$11</f>
        <v>Volume</v>
      </c>
      <c r="N409" t="str">
        <f t="shared" si="7"/>
        <v>Autres usages de grains = 0 kt (Monographie des céréales secondaires, Ceresco - Intercéréales)</v>
      </c>
      <c r="O409" s="26" t="str">
        <f>Etiquettes!$K$15</f>
        <v>Approximative</v>
      </c>
      <c r="P409" s="603" t="str">
        <f>Etiquettes!$H$16</f>
        <v>Données collectées</v>
      </c>
      <c r="Q409" s="603" t="str">
        <f>Etiquettes!$H$17</f>
        <v>Donnée collectée (valeur du flux ou coefficient)</v>
      </c>
    </row>
    <row r="410" spans="1:19">
      <c r="A410" t="str">
        <f>Secteurs!$B$2</f>
        <v>Récolte</v>
      </c>
      <c r="B410" t="str">
        <f>Produits!$B$2</f>
        <v>Grains récoltés</v>
      </c>
      <c r="C410">
        <v>0</v>
      </c>
      <c r="E410" t="str">
        <f>Etiquettes!$C$3</f>
        <v>kt</v>
      </c>
      <c r="F410" s="26" t="s">
        <v>1741</v>
      </c>
      <c r="G410" s="26" t="s">
        <v>1410</v>
      </c>
      <c r="H410" t="str">
        <f>Etiquettes!$C$4</f>
        <v>France entière</v>
      </c>
      <c r="P410" s="603"/>
      <c r="Q410" s="603"/>
      <c r="R410" s="693" t="s">
        <v>1742</v>
      </c>
    </row>
    <row r="411" spans="1:19">
      <c r="A411" t="str">
        <f>Produits!$B$50</f>
        <v>Stock initial</v>
      </c>
      <c r="B411" t="str">
        <f>Secteurs!$B$3</f>
        <v>Ferme</v>
      </c>
      <c r="C411">
        <v>0</v>
      </c>
      <c r="E411" t="str">
        <f>Etiquettes!$C$3</f>
        <v>kt</v>
      </c>
      <c r="F411" s="26" t="s">
        <v>1741</v>
      </c>
      <c r="G411" s="26" t="s">
        <v>1410</v>
      </c>
      <c r="H411" t="str">
        <f>Etiquettes!$C$4</f>
        <v>France entière</v>
      </c>
      <c r="P411" s="603"/>
      <c r="Q411" s="603"/>
      <c r="R411" s="693"/>
    </row>
    <row r="412" spans="1:19">
      <c r="A412" t="str">
        <f>Produits!$B$50</f>
        <v>Stock initial</v>
      </c>
      <c r="B412" t="str">
        <f>Secteurs!$B$4</f>
        <v>OS</v>
      </c>
      <c r="C412">
        <v>0</v>
      </c>
      <c r="E412" t="str">
        <f>Etiquettes!$C$3</f>
        <v>kt</v>
      </c>
      <c r="F412" s="26" t="s">
        <v>1741</v>
      </c>
      <c r="G412" s="26" t="s">
        <v>1410</v>
      </c>
      <c r="H412" t="str">
        <f>Etiquettes!$C$4</f>
        <v>France entière</v>
      </c>
      <c r="P412" s="603"/>
      <c r="Q412" s="603"/>
      <c r="R412" s="693"/>
    </row>
    <row r="413" spans="1:19">
      <c r="A413" t="str">
        <f>Secteurs!$B$55</f>
        <v>Importations</v>
      </c>
      <c r="B413" t="str">
        <f>Produits!$B$4</f>
        <v>Grains collectés</v>
      </c>
      <c r="C413">
        <v>0</v>
      </c>
      <c r="E413" t="str">
        <f>Etiquettes!$C$3</f>
        <v>kt</v>
      </c>
      <c r="F413" s="26" t="s">
        <v>1741</v>
      </c>
      <c r="G413" s="26" t="s">
        <v>1410</v>
      </c>
      <c r="H413" t="str">
        <f>Etiquettes!$C$4</f>
        <v>France entière</v>
      </c>
      <c r="P413" s="603"/>
      <c r="Q413" s="603"/>
      <c r="R413" s="693"/>
    </row>
    <row r="414" spans="1:19">
      <c r="A414" t="str">
        <f>Produits!$B$50</f>
        <v>Stock initial</v>
      </c>
      <c r="B414" t="str">
        <f>Produits!$B$4</f>
        <v>Grains collectés</v>
      </c>
      <c r="C414" s="86">
        <f>'Bilans Blé tendre - FAM'!T62</f>
        <v>374</v>
      </c>
      <c r="E414" t="str">
        <f>Etiquettes!$C$3</f>
        <v>kt</v>
      </c>
      <c r="F414" s="26" t="str">
        <f>Etiquettes!$H$6</f>
        <v>Blé tendre</v>
      </c>
      <c r="G414" s="26" t="str">
        <f>Etiquettes!$H$5</f>
        <v>2015-16</v>
      </c>
      <c r="H414" t="str">
        <f>Etiquettes!$C$4</f>
        <v>France entière</v>
      </c>
      <c r="I414" s="603" t="s">
        <v>1746</v>
      </c>
      <c r="K414" t="s">
        <v>1559</v>
      </c>
      <c r="L414" s="603" t="str" cm="1">
        <f t="array" aca="1" ref="L414" ca="1">[1]!NOM_FEUILLE('Bilans Blé tendre - FAM'!$A$1)</f>
        <v>Bilans Blé tendre - FAM</v>
      </c>
      <c r="M414" s="26" t="str">
        <f>Etiquettes!$H$11</f>
        <v>Volume</v>
      </c>
      <c r="N414" t="str">
        <f>_xlfn.CONCAT(I414,IF(ISBLANK(C414),"",_xlfn.CONCAT(" = ",MROUND(C414,1)," ",E414))," (",K414,")")</f>
        <v>Stock initial de grains en silos portuaires = 374 kt (Bilans par campagne - FranceAgriMer)</v>
      </c>
      <c r="O414" s="26" t="str">
        <f>Etiquettes!$J$15</f>
        <v>Probable</v>
      </c>
      <c r="P414" s="603" t="str">
        <f>Etiquettes!$H$16</f>
        <v>Données collectées</v>
      </c>
      <c r="Q414" s="603" t="str">
        <f>Etiquettes!$H$17</f>
        <v>Donnée collectée (valeur du flux ou coefficient)</v>
      </c>
      <c r="S414" s="693" t="s">
        <v>1756</v>
      </c>
    </row>
    <row r="415" spans="1:19">
      <c r="A415" t="str">
        <f>Produits!$B$4</f>
        <v>Grains collectés</v>
      </c>
      <c r="B415" t="str">
        <f>Produits!$B$51</f>
        <v>Stock final</v>
      </c>
      <c r="C415" s="86">
        <f>'Bilans Blé tendre - FAM'!U62</f>
        <v>296</v>
      </c>
      <c r="E415" t="str">
        <f>Etiquettes!$C$3</f>
        <v>kt</v>
      </c>
      <c r="F415" s="26" t="str">
        <f>Etiquettes!$H$6</f>
        <v>Blé tendre</v>
      </c>
      <c r="G415" s="26" t="str">
        <f>Etiquettes!$H$5</f>
        <v>2015-16</v>
      </c>
      <c r="H415" t="str">
        <f>Etiquettes!$C$4</f>
        <v>France entière</v>
      </c>
      <c r="I415" s="603" t="s">
        <v>1747</v>
      </c>
      <c r="K415" t="s">
        <v>1559</v>
      </c>
      <c r="L415" s="603" t="str" cm="1">
        <f t="array" aca="1" ref="L415" ca="1">[1]!NOM_FEUILLE('Bilans Blé tendre - FAM'!$A$1)</f>
        <v>Bilans Blé tendre - FAM</v>
      </c>
      <c r="M415" s="26" t="str">
        <f>Etiquettes!$H$11</f>
        <v>Volume</v>
      </c>
      <c r="N415" t="str">
        <f t="shared" ref="N415:N431" si="8">_xlfn.CONCAT(I415,IF(ISBLANK(C415),"",_xlfn.CONCAT(" = ",MROUND(C415,1)," ",E415))," (",K415,")")</f>
        <v>Stock final de grains en silos portuaires = 296 kt (Bilans par campagne - FranceAgriMer)</v>
      </c>
      <c r="O415" s="26" t="str">
        <f>Etiquettes!$J$15</f>
        <v>Probable</v>
      </c>
      <c r="P415" s="603" t="str">
        <f>Etiquettes!$H$16</f>
        <v>Données collectées</v>
      </c>
      <c r="Q415" s="603" t="str">
        <f>Etiquettes!$H$17</f>
        <v>Donnée collectée (valeur du flux ou coefficient)</v>
      </c>
      <c r="S415" s="693"/>
    </row>
    <row r="416" spans="1:19">
      <c r="A416" t="str">
        <f>Produits!$B$50</f>
        <v>Stock initial</v>
      </c>
      <c r="B416" t="str">
        <f>Secteurs!$B$8</f>
        <v>Meunerie</v>
      </c>
      <c r="C416" s="86">
        <f>'Bilans Blé tendre - FAM'!T60</f>
        <v>389.36495088999999</v>
      </c>
      <c r="E416" t="str">
        <f>Etiquettes!$C$3</f>
        <v>kt</v>
      </c>
      <c r="F416" s="26" t="str">
        <f>Etiquettes!$H$6</f>
        <v>Blé tendre</v>
      </c>
      <c r="G416" s="26" t="str">
        <f>Etiquettes!$H$5</f>
        <v>2015-16</v>
      </c>
      <c r="H416" t="str">
        <f>Etiquettes!$C$4</f>
        <v>France entière</v>
      </c>
      <c r="I416" s="603" t="s">
        <v>1748</v>
      </c>
      <c r="K416" t="s">
        <v>1559</v>
      </c>
      <c r="L416" s="603" t="str" cm="1">
        <f t="array" aca="1" ref="L416" ca="1">[1]!NOM_FEUILLE('Bilans Blé tendre - FAM'!$A$1)</f>
        <v>Bilans Blé tendre - FAM</v>
      </c>
      <c r="M416" s="26" t="str">
        <f>Etiquettes!$H$11</f>
        <v>Volume</v>
      </c>
      <c r="N416" t="str">
        <f t="shared" si="8"/>
        <v>Stock initial de grains en meunerie = 389 kt (Bilans par campagne - FranceAgriMer)</v>
      </c>
      <c r="O416" s="26" t="str">
        <f>Etiquettes!$J$15</f>
        <v>Probable</v>
      </c>
      <c r="P416" s="603" t="str">
        <f>Etiquettes!$H$16</f>
        <v>Données collectées</v>
      </c>
      <c r="Q416" s="603" t="str">
        <f>Etiquettes!$H$17</f>
        <v>Donnée collectée (valeur du flux ou coefficient)</v>
      </c>
      <c r="S416" s="693"/>
    </row>
    <row r="417" spans="1:19">
      <c r="A417" t="str">
        <f>Secteurs!$B$8</f>
        <v>Meunerie</v>
      </c>
      <c r="B417" t="str">
        <f>Produits!$B$51</f>
        <v>Stock final</v>
      </c>
      <c r="C417" s="86">
        <f>'Bilans Blé tendre - FAM'!U60</f>
        <v>421.38429553000003</v>
      </c>
      <c r="E417" t="str">
        <f>Etiquettes!$C$3</f>
        <v>kt</v>
      </c>
      <c r="F417" s="26" t="str">
        <f>Etiquettes!$H$6</f>
        <v>Blé tendre</v>
      </c>
      <c r="G417" s="26" t="str">
        <f>Etiquettes!$H$5</f>
        <v>2015-16</v>
      </c>
      <c r="H417" t="str">
        <f>Etiquettes!$C$4</f>
        <v>France entière</v>
      </c>
      <c r="I417" s="603" t="s">
        <v>1749</v>
      </c>
      <c r="K417" t="s">
        <v>1559</v>
      </c>
      <c r="L417" s="603" t="str" cm="1">
        <f t="array" aca="1" ref="L417" ca="1">[1]!NOM_FEUILLE('Bilans Blé tendre - FAM'!$A$1)</f>
        <v>Bilans Blé tendre - FAM</v>
      </c>
      <c r="M417" s="26" t="str">
        <f>Etiquettes!$H$11</f>
        <v>Volume</v>
      </c>
      <c r="N417" t="str">
        <f t="shared" si="8"/>
        <v>Stock final de grains en meunerie = 421 kt (Bilans par campagne - FranceAgriMer)</v>
      </c>
      <c r="O417" s="26" t="str">
        <f>Etiquettes!$J$15</f>
        <v>Probable</v>
      </c>
      <c r="P417" s="603" t="str">
        <f>Etiquettes!$H$16</f>
        <v>Données collectées</v>
      </c>
      <c r="Q417" s="603" t="str">
        <f>Etiquettes!$H$17</f>
        <v>Donnée collectée (valeur du flux ou coefficient)</v>
      </c>
      <c r="S417" s="693"/>
    </row>
    <row r="418" spans="1:19">
      <c r="A418" t="str">
        <f>Produits!$B$50</f>
        <v>Stock initial</v>
      </c>
      <c r="B418" t="str">
        <f>Secteurs!$B$9</f>
        <v>Amidonnerie / Glutennerie</v>
      </c>
      <c r="C418" s="86">
        <f>'Bilans Blé tendre - FAM'!T61</f>
        <v>88.304099999999991</v>
      </c>
      <c r="E418" t="str">
        <f>Etiquettes!$C$3</f>
        <v>kt</v>
      </c>
      <c r="F418" s="26" t="str">
        <f>Etiquettes!$H$6</f>
        <v>Blé tendre</v>
      </c>
      <c r="G418" s="26" t="str">
        <f>Etiquettes!$H$5</f>
        <v>2015-16</v>
      </c>
      <c r="H418" t="str">
        <f>Etiquettes!$C$4</f>
        <v>France entière</v>
      </c>
      <c r="I418" s="603" t="s">
        <v>1750</v>
      </c>
      <c r="K418" t="s">
        <v>1559</v>
      </c>
      <c r="L418" s="603" t="str" cm="1">
        <f t="array" aca="1" ref="L418" ca="1">[1]!NOM_FEUILLE('Bilans Blé tendre - FAM'!$A$1)</f>
        <v>Bilans Blé tendre - FAM</v>
      </c>
      <c r="M418" s="26" t="str">
        <f>Etiquettes!$H$11</f>
        <v>Volume</v>
      </c>
      <c r="N418" t="str">
        <f t="shared" si="8"/>
        <v>Stock initial de grains en amidonnerie = 88 kt (Bilans par campagne - FranceAgriMer)</v>
      </c>
      <c r="O418" s="26" t="str">
        <f>Etiquettes!$J$15</f>
        <v>Probable</v>
      </c>
      <c r="P418" s="603" t="str">
        <f>Etiquettes!$H$16</f>
        <v>Données collectées</v>
      </c>
      <c r="Q418" s="603" t="str">
        <f>Etiquettes!$H$17</f>
        <v>Donnée collectée (valeur du flux ou coefficient)</v>
      </c>
      <c r="S418" s="693"/>
    </row>
    <row r="419" spans="1:19">
      <c r="A419" t="str">
        <f>Secteurs!$B$9</f>
        <v>Amidonnerie / Glutennerie</v>
      </c>
      <c r="B419" t="str">
        <f>Produits!$B$51</f>
        <v>Stock final</v>
      </c>
      <c r="C419" s="86">
        <f>'Bilans Blé tendre - FAM'!U61</f>
        <v>90.948800000000006</v>
      </c>
      <c r="E419" t="str">
        <f>Etiquettes!$C$3</f>
        <v>kt</v>
      </c>
      <c r="F419" s="26" t="str">
        <f>Etiquettes!$H$6</f>
        <v>Blé tendre</v>
      </c>
      <c r="G419" s="26" t="str">
        <f>Etiquettes!$H$5</f>
        <v>2015-16</v>
      </c>
      <c r="H419" t="str">
        <f>Etiquettes!$C$4</f>
        <v>France entière</v>
      </c>
      <c r="I419" s="603" t="s">
        <v>1751</v>
      </c>
      <c r="K419" t="s">
        <v>1559</v>
      </c>
      <c r="L419" s="603" t="str" cm="1">
        <f t="array" aca="1" ref="L419" ca="1">[1]!NOM_FEUILLE('Bilans Blé tendre - FAM'!$A$1)</f>
        <v>Bilans Blé tendre - FAM</v>
      </c>
      <c r="M419" s="26" t="str">
        <f>Etiquettes!$H$11</f>
        <v>Volume</v>
      </c>
      <c r="N419" t="str">
        <f t="shared" si="8"/>
        <v>Stock final de grains en amidonnerie = 91 kt (Bilans par campagne - FranceAgriMer)</v>
      </c>
      <c r="O419" s="26" t="str">
        <f>Etiquettes!$J$15</f>
        <v>Probable</v>
      </c>
      <c r="P419" s="603" t="str">
        <f>Etiquettes!$H$16</f>
        <v>Données collectées</v>
      </c>
      <c r="Q419" s="603" t="str">
        <f>Etiquettes!$H$17</f>
        <v>Donnée collectée (valeur du flux ou coefficient)</v>
      </c>
      <c r="S419" s="693"/>
    </row>
    <row r="420" spans="1:19">
      <c r="A420" t="str">
        <f>Produits!$B$50</f>
        <v>Stock initial</v>
      </c>
      <c r="B420" t="str">
        <f>Produits!$B$4</f>
        <v>Grains collectés</v>
      </c>
      <c r="C420" s="86">
        <f>'Bilans Blé tendre - FAM'!X62</f>
        <v>178</v>
      </c>
      <c r="E420" t="str">
        <f>Etiquettes!$C$3</f>
        <v>kt</v>
      </c>
      <c r="F420" s="26" t="str">
        <f>Etiquettes!$H$6</f>
        <v>Blé tendre</v>
      </c>
      <c r="G420" s="26" t="str">
        <f>Etiquettes!$I$5</f>
        <v>2019-20</v>
      </c>
      <c r="H420" t="str">
        <f>Etiquettes!$C$4</f>
        <v>France entière</v>
      </c>
      <c r="I420" s="603" t="s">
        <v>1746</v>
      </c>
      <c r="K420" t="s">
        <v>1559</v>
      </c>
      <c r="L420" s="603" t="str" cm="1">
        <f t="array" aca="1" ref="L420" ca="1">[1]!NOM_FEUILLE('Bilans Blé tendre - FAM'!$A$1)</f>
        <v>Bilans Blé tendre - FAM</v>
      </c>
      <c r="M420" s="26" t="str">
        <f>Etiquettes!$H$11</f>
        <v>Volume</v>
      </c>
      <c r="N420" t="str">
        <f t="shared" si="8"/>
        <v>Stock initial de grains en silos portuaires = 178 kt (Bilans par campagne - FranceAgriMer)</v>
      </c>
      <c r="O420" s="26" t="str">
        <f>Etiquettes!$J$15</f>
        <v>Probable</v>
      </c>
      <c r="P420" s="603" t="str">
        <f>Etiquettes!$H$16</f>
        <v>Données collectées</v>
      </c>
      <c r="Q420" s="603" t="str">
        <f>Etiquettes!$H$17</f>
        <v>Donnée collectée (valeur du flux ou coefficient)</v>
      </c>
      <c r="S420" s="693"/>
    </row>
    <row r="421" spans="1:19">
      <c r="A421" t="str">
        <f>Produits!$B$4</f>
        <v>Grains collectés</v>
      </c>
      <c r="B421" t="str">
        <f>Produits!$B$51</f>
        <v>Stock final</v>
      </c>
      <c r="C421" s="86">
        <f>'Bilans Blé tendre - FAM'!Y62</f>
        <v>178</v>
      </c>
      <c r="E421" t="str">
        <f>Etiquettes!$C$3</f>
        <v>kt</v>
      </c>
      <c r="F421" s="26" t="str">
        <f>Etiquettes!$H$6</f>
        <v>Blé tendre</v>
      </c>
      <c r="G421" s="26" t="str">
        <f>Etiquettes!$I$5</f>
        <v>2019-20</v>
      </c>
      <c r="H421" t="str">
        <f>Etiquettes!$C$4</f>
        <v>France entière</v>
      </c>
      <c r="I421" s="603" t="s">
        <v>1747</v>
      </c>
      <c r="K421" t="s">
        <v>1559</v>
      </c>
      <c r="L421" s="603" t="str" cm="1">
        <f t="array" aca="1" ref="L421" ca="1">[1]!NOM_FEUILLE('Bilans Blé tendre - FAM'!$A$1)</f>
        <v>Bilans Blé tendre - FAM</v>
      </c>
      <c r="M421" s="26" t="str">
        <f>Etiquettes!$H$11</f>
        <v>Volume</v>
      </c>
      <c r="N421" t="str">
        <f t="shared" si="8"/>
        <v>Stock final de grains en silos portuaires = 178 kt (Bilans par campagne - FranceAgriMer)</v>
      </c>
      <c r="O421" s="26" t="str">
        <f>Etiquettes!$J$15</f>
        <v>Probable</v>
      </c>
      <c r="P421" s="603" t="str">
        <f>Etiquettes!$H$16</f>
        <v>Données collectées</v>
      </c>
      <c r="Q421" s="603" t="str">
        <f>Etiquettes!$H$17</f>
        <v>Donnée collectée (valeur du flux ou coefficient)</v>
      </c>
      <c r="S421" s="693"/>
    </row>
    <row r="422" spans="1:19">
      <c r="A422" t="str">
        <f>Produits!$B$50</f>
        <v>Stock initial</v>
      </c>
      <c r="B422" t="str">
        <f>Secteurs!$B$8</f>
        <v>Meunerie</v>
      </c>
      <c r="C422" s="86">
        <f>'Bilans Blé tendre - FAM'!X60</f>
        <v>416.47640186000007</v>
      </c>
      <c r="E422" t="str">
        <f>Etiquettes!$C$3</f>
        <v>kt</v>
      </c>
      <c r="F422" s="26" t="str">
        <f>Etiquettes!$H$6</f>
        <v>Blé tendre</v>
      </c>
      <c r="G422" s="26" t="str">
        <f>Etiquettes!$I$5</f>
        <v>2019-20</v>
      </c>
      <c r="H422" t="str">
        <f>Etiquettes!$C$4</f>
        <v>France entière</v>
      </c>
      <c r="I422" s="603" t="s">
        <v>1748</v>
      </c>
      <c r="K422" t="s">
        <v>1559</v>
      </c>
      <c r="L422" s="603" t="str" cm="1">
        <f t="array" aca="1" ref="L422" ca="1">[1]!NOM_FEUILLE('Bilans Blé tendre - FAM'!$A$1)</f>
        <v>Bilans Blé tendre - FAM</v>
      </c>
      <c r="M422" s="26" t="str">
        <f>Etiquettes!$H$11</f>
        <v>Volume</v>
      </c>
      <c r="N422" t="str">
        <f t="shared" si="8"/>
        <v>Stock initial de grains en meunerie = 416 kt (Bilans par campagne - FranceAgriMer)</v>
      </c>
      <c r="O422" s="26" t="str">
        <f>Etiquettes!$J$15</f>
        <v>Probable</v>
      </c>
      <c r="P422" s="603" t="str">
        <f>Etiquettes!$H$16</f>
        <v>Données collectées</v>
      </c>
      <c r="Q422" s="603" t="str">
        <f>Etiquettes!$H$17</f>
        <v>Donnée collectée (valeur du flux ou coefficient)</v>
      </c>
      <c r="S422" s="693"/>
    </row>
    <row r="423" spans="1:19">
      <c r="A423" t="str">
        <f>Secteurs!$B$8</f>
        <v>Meunerie</v>
      </c>
      <c r="B423" t="str">
        <f>Produits!$B$51</f>
        <v>Stock final</v>
      </c>
      <c r="C423" s="86">
        <f>'Bilans Blé tendre - FAM'!Y60</f>
        <v>395.50348395000003</v>
      </c>
      <c r="E423" t="str">
        <f>Etiquettes!$C$3</f>
        <v>kt</v>
      </c>
      <c r="F423" s="26" t="str">
        <f>Etiquettes!$H$6</f>
        <v>Blé tendre</v>
      </c>
      <c r="G423" s="26" t="str">
        <f>Etiquettes!$I$5</f>
        <v>2019-20</v>
      </c>
      <c r="H423" t="str">
        <f>Etiquettes!$C$4</f>
        <v>France entière</v>
      </c>
      <c r="I423" s="603" t="s">
        <v>1749</v>
      </c>
      <c r="K423" t="s">
        <v>1559</v>
      </c>
      <c r="L423" s="603" t="str" cm="1">
        <f t="array" aca="1" ref="L423" ca="1">[1]!NOM_FEUILLE('Bilans Blé tendre - FAM'!$A$1)</f>
        <v>Bilans Blé tendre - FAM</v>
      </c>
      <c r="M423" s="26" t="str">
        <f>Etiquettes!$H$11</f>
        <v>Volume</v>
      </c>
      <c r="N423" t="str">
        <f t="shared" si="8"/>
        <v>Stock final de grains en meunerie = 396 kt (Bilans par campagne - FranceAgriMer)</v>
      </c>
      <c r="O423" s="26" t="str">
        <f>Etiquettes!$J$15</f>
        <v>Probable</v>
      </c>
      <c r="P423" s="603" t="str">
        <f>Etiquettes!$H$16</f>
        <v>Données collectées</v>
      </c>
      <c r="Q423" s="603" t="str">
        <f>Etiquettes!$H$17</f>
        <v>Donnée collectée (valeur du flux ou coefficient)</v>
      </c>
      <c r="S423" s="693"/>
    </row>
    <row r="424" spans="1:19">
      <c r="A424" t="str">
        <f>Produits!$B$50</f>
        <v>Stock initial</v>
      </c>
      <c r="B424" t="str">
        <f>Secteurs!$B$9</f>
        <v>Amidonnerie / Glutennerie</v>
      </c>
      <c r="C424" s="86">
        <f>'Bilans Blé tendre - FAM'!X61</f>
        <v>67.465181999999999</v>
      </c>
      <c r="E424" t="str">
        <f>Etiquettes!$C$3</f>
        <v>kt</v>
      </c>
      <c r="F424" s="26" t="str">
        <f>Etiquettes!$H$6</f>
        <v>Blé tendre</v>
      </c>
      <c r="G424" s="26" t="str">
        <f>Etiquettes!$I$5</f>
        <v>2019-20</v>
      </c>
      <c r="H424" t="str">
        <f>Etiquettes!$C$4</f>
        <v>France entière</v>
      </c>
      <c r="I424" s="603" t="s">
        <v>1750</v>
      </c>
      <c r="K424" t="s">
        <v>1559</v>
      </c>
      <c r="L424" s="603" t="str" cm="1">
        <f t="array" aca="1" ref="L424" ca="1">[1]!NOM_FEUILLE('Bilans Blé tendre - FAM'!$A$1)</f>
        <v>Bilans Blé tendre - FAM</v>
      </c>
      <c r="M424" s="26" t="str">
        <f>Etiquettes!$H$11</f>
        <v>Volume</v>
      </c>
      <c r="N424" t="str">
        <f t="shared" si="8"/>
        <v>Stock initial de grains en amidonnerie = 67 kt (Bilans par campagne - FranceAgriMer)</v>
      </c>
      <c r="O424" s="26" t="str">
        <f>Etiquettes!$J$15</f>
        <v>Probable</v>
      </c>
      <c r="P424" s="603" t="str">
        <f>Etiquettes!$H$16</f>
        <v>Données collectées</v>
      </c>
      <c r="Q424" s="603" t="str">
        <f>Etiquettes!$H$17</f>
        <v>Donnée collectée (valeur du flux ou coefficient)</v>
      </c>
      <c r="S424" s="693"/>
    </row>
    <row r="425" spans="1:19">
      <c r="A425" t="str">
        <f>Secteurs!$B$9</f>
        <v>Amidonnerie / Glutennerie</v>
      </c>
      <c r="B425" t="str">
        <f>Produits!$B$51</f>
        <v>Stock final</v>
      </c>
      <c r="C425" s="86">
        <f>'Bilans Blé tendre - FAM'!Y61</f>
        <v>68.395572000000001</v>
      </c>
      <c r="E425" t="str">
        <f>Etiquettes!$C$3</f>
        <v>kt</v>
      </c>
      <c r="F425" s="26" t="str">
        <f>Etiquettes!$H$6</f>
        <v>Blé tendre</v>
      </c>
      <c r="G425" s="26" t="str">
        <f>Etiquettes!$I$5</f>
        <v>2019-20</v>
      </c>
      <c r="H425" t="str">
        <f>Etiquettes!$C$4</f>
        <v>France entière</v>
      </c>
      <c r="I425" s="603" t="s">
        <v>1751</v>
      </c>
      <c r="K425" t="s">
        <v>1559</v>
      </c>
      <c r="L425" s="603" t="str" cm="1">
        <f t="array" aca="1" ref="L425" ca="1">[1]!NOM_FEUILLE('Bilans Blé tendre - FAM'!$A$1)</f>
        <v>Bilans Blé tendre - FAM</v>
      </c>
      <c r="M425" s="26" t="str">
        <f>Etiquettes!$H$11</f>
        <v>Volume</v>
      </c>
      <c r="N425" t="str">
        <f t="shared" si="8"/>
        <v>Stock final de grains en amidonnerie = 68 kt (Bilans par campagne - FranceAgriMer)</v>
      </c>
      <c r="O425" s="26" t="str">
        <f>Etiquettes!$J$15</f>
        <v>Probable</v>
      </c>
      <c r="P425" s="603" t="str">
        <f>Etiquettes!$H$16</f>
        <v>Données collectées</v>
      </c>
      <c r="Q425" s="603" t="str">
        <f>Etiquettes!$H$17</f>
        <v>Donnée collectée (valeur du flux ou coefficient)</v>
      </c>
      <c r="S425" s="693"/>
    </row>
    <row r="426" spans="1:19">
      <c r="A426" t="str">
        <f>Produits!$B$50</f>
        <v>Stock initial</v>
      </c>
      <c r="B426" t="str">
        <f>Produits!$B$4</f>
        <v>Grains collectés</v>
      </c>
      <c r="C426" s="86">
        <f>'Bilans Blé tendre - FAM'!AB62</f>
        <v>178</v>
      </c>
      <c r="E426" t="str">
        <f>Etiquettes!$C$3</f>
        <v>kt</v>
      </c>
      <c r="F426" s="26" t="str">
        <f>Etiquettes!$H$6</f>
        <v>Blé tendre</v>
      </c>
      <c r="G426" s="26" t="str">
        <f>Etiquettes!$J$5</f>
        <v>2023-24</v>
      </c>
      <c r="H426" t="str">
        <f>Etiquettes!$C$4</f>
        <v>France entière</v>
      </c>
      <c r="I426" s="603" t="s">
        <v>1746</v>
      </c>
      <c r="K426" t="s">
        <v>1559</v>
      </c>
      <c r="L426" s="603" t="str" cm="1">
        <f t="array" aca="1" ref="L426" ca="1">[1]!NOM_FEUILLE('Bilans Blé tendre - FAM'!$A$1)</f>
        <v>Bilans Blé tendre - FAM</v>
      </c>
      <c r="M426" s="26" t="str">
        <f>Etiquettes!$H$11</f>
        <v>Volume</v>
      </c>
      <c r="N426" t="str">
        <f t="shared" si="8"/>
        <v>Stock initial de grains en silos portuaires = 178 kt (Bilans par campagne - FranceAgriMer)</v>
      </c>
      <c r="O426" s="26" t="str">
        <f>Etiquettes!$J$15</f>
        <v>Probable</v>
      </c>
      <c r="P426" s="603" t="str">
        <f>Etiquettes!$H$16</f>
        <v>Données collectées</v>
      </c>
      <c r="Q426" s="603" t="str">
        <f>Etiquettes!$H$17</f>
        <v>Donnée collectée (valeur du flux ou coefficient)</v>
      </c>
      <c r="S426" s="693"/>
    </row>
    <row r="427" spans="1:19">
      <c r="A427" t="str">
        <f>Produits!$B$4</f>
        <v>Grains collectés</v>
      </c>
      <c r="B427" t="str">
        <f>Produits!$B$51</f>
        <v>Stock final</v>
      </c>
      <c r="C427" s="86">
        <f>'Bilans Blé tendre - FAM'!AC62</f>
        <v>178</v>
      </c>
      <c r="E427" t="str">
        <f>Etiquettes!$C$3</f>
        <v>kt</v>
      </c>
      <c r="F427" s="26" t="str">
        <f>Etiquettes!$H$6</f>
        <v>Blé tendre</v>
      </c>
      <c r="G427" s="26" t="str">
        <f>Etiquettes!$J$5</f>
        <v>2023-24</v>
      </c>
      <c r="H427" t="str">
        <f>Etiquettes!$C$4</f>
        <v>France entière</v>
      </c>
      <c r="I427" s="603" t="s">
        <v>1747</v>
      </c>
      <c r="K427" t="s">
        <v>1559</v>
      </c>
      <c r="L427" s="603" t="str" cm="1">
        <f t="array" aca="1" ref="L427" ca="1">[1]!NOM_FEUILLE('Bilans Blé tendre - FAM'!$A$1)</f>
        <v>Bilans Blé tendre - FAM</v>
      </c>
      <c r="M427" s="26" t="str">
        <f>Etiquettes!$H$11</f>
        <v>Volume</v>
      </c>
      <c r="N427" t="str">
        <f t="shared" si="8"/>
        <v>Stock final de grains en silos portuaires = 178 kt (Bilans par campagne - FranceAgriMer)</v>
      </c>
      <c r="O427" s="26" t="str">
        <f>Etiquettes!$J$15</f>
        <v>Probable</v>
      </c>
      <c r="P427" s="603" t="str">
        <f>Etiquettes!$H$16</f>
        <v>Données collectées</v>
      </c>
      <c r="Q427" s="603" t="str">
        <f>Etiquettes!$H$17</f>
        <v>Donnée collectée (valeur du flux ou coefficient)</v>
      </c>
      <c r="S427" s="693"/>
    </row>
    <row r="428" spans="1:19">
      <c r="A428" t="str">
        <f>Produits!$B$50</f>
        <v>Stock initial</v>
      </c>
      <c r="B428" t="str">
        <f>Secteurs!$B$8</f>
        <v>Meunerie</v>
      </c>
      <c r="C428" s="86">
        <f>'Bilans Blé tendre - FAM'!AB60</f>
        <v>361.01577023039596</v>
      </c>
      <c r="E428" t="str">
        <f>Etiquettes!$C$3</f>
        <v>kt</v>
      </c>
      <c r="F428" s="26" t="str">
        <f>Etiquettes!$H$6</f>
        <v>Blé tendre</v>
      </c>
      <c r="G428" s="26" t="str">
        <f>Etiquettes!$J$5</f>
        <v>2023-24</v>
      </c>
      <c r="H428" t="str">
        <f>Etiquettes!$C$4</f>
        <v>France entière</v>
      </c>
      <c r="I428" s="603" t="s">
        <v>1748</v>
      </c>
      <c r="K428" t="s">
        <v>1559</v>
      </c>
      <c r="L428" s="603" t="str" cm="1">
        <f t="array" aca="1" ref="L428" ca="1">[1]!NOM_FEUILLE('Bilans Blé tendre - FAM'!$A$1)</f>
        <v>Bilans Blé tendre - FAM</v>
      </c>
      <c r="M428" s="26" t="str">
        <f>Etiquettes!$H$11</f>
        <v>Volume</v>
      </c>
      <c r="N428" t="str">
        <f t="shared" si="8"/>
        <v>Stock initial de grains en meunerie = 361 kt (Bilans par campagne - FranceAgriMer)</v>
      </c>
      <c r="O428" s="26" t="str">
        <f>Etiquettes!$J$15</f>
        <v>Probable</v>
      </c>
      <c r="P428" s="603" t="str">
        <f>Etiquettes!$H$16</f>
        <v>Données collectées</v>
      </c>
      <c r="Q428" s="603" t="str">
        <f>Etiquettes!$H$17</f>
        <v>Donnée collectée (valeur du flux ou coefficient)</v>
      </c>
      <c r="S428" s="693"/>
    </row>
    <row r="429" spans="1:19">
      <c r="A429" t="str">
        <f>Secteurs!$B$8</f>
        <v>Meunerie</v>
      </c>
      <c r="B429" t="str">
        <f>Produits!$B$51</f>
        <v>Stock final</v>
      </c>
      <c r="C429" s="86">
        <f>'Bilans Blé tendre - FAM'!AC60</f>
        <v>361.09649395114604</v>
      </c>
      <c r="E429" t="str">
        <f>Etiquettes!$C$3</f>
        <v>kt</v>
      </c>
      <c r="F429" s="26" t="str">
        <f>Etiquettes!$H$6</f>
        <v>Blé tendre</v>
      </c>
      <c r="G429" s="26" t="str">
        <f>Etiquettes!$J$5</f>
        <v>2023-24</v>
      </c>
      <c r="H429" t="str">
        <f>Etiquettes!$C$4</f>
        <v>France entière</v>
      </c>
      <c r="I429" s="603" t="s">
        <v>1749</v>
      </c>
      <c r="K429" t="s">
        <v>1559</v>
      </c>
      <c r="L429" s="603" t="str" cm="1">
        <f t="array" aca="1" ref="L429" ca="1">[1]!NOM_FEUILLE('Bilans Blé tendre - FAM'!$A$1)</f>
        <v>Bilans Blé tendre - FAM</v>
      </c>
      <c r="M429" s="26" t="str">
        <f>Etiquettes!$H$11</f>
        <v>Volume</v>
      </c>
      <c r="N429" t="str">
        <f t="shared" si="8"/>
        <v>Stock final de grains en meunerie = 361 kt (Bilans par campagne - FranceAgriMer)</v>
      </c>
      <c r="O429" s="26" t="str">
        <f>Etiquettes!$J$15</f>
        <v>Probable</v>
      </c>
      <c r="P429" s="603" t="str">
        <f>Etiquettes!$H$16</f>
        <v>Données collectées</v>
      </c>
      <c r="Q429" s="603" t="str">
        <f>Etiquettes!$H$17</f>
        <v>Donnée collectée (valeur du flux ou coefficient)</v>
      </c>
      <c r="S429" s="693"/>
    </row>
    <row r="430" spans="1:19">
      <c r="A430" t="str">
        <f>Produits!$B$50</f>
        <v>Stock initial</v>
      </c>
      <c r="B430" t="str">
        <f>Secteurs!$B$9</f>
        <v>Amidonnerie / Glutennerie</v>
      </c>
      <c r="C430" s="86">
        <f>'Bilans Blé tendre - FAM'!AB61</f>
        <v>74.923172000000008</v>
      </c>
      <c r="E430" t="str">
        <f>Etiquettes!$C$3</f>
        <v>kt</v>
      </c>
      <c r="F430" s="26" t="str">
        <f>Etiquettes!$H$6</f>
        <v>Blé tendre</v>
      </c>
      <c r="G430" s="26" t="str">
        <f>Etiquettes!$J$5</f>
        <v>2023-24</v>
      </c>
      <c r="H430" t="str">
        <f>Etiquettes!$C$4</f>
        <v>France entière</v>
      </c>
      <c r="I430" s="603" t="s">
        <v>1750</v>
      </c>
      <c r="K430" t="s">
        <v>1559</v>
      </c>
      <c r="L430" s="603" t="str" cm="1">
        <f t="array" aca="1" ref="L430" ca="1">[1]!NOM_FEUILLE('Bilans Blé tendre - FAM'!$A$1)</f>
        <v>Bilans Blé tendre - FAM</v>
      </c>
      <c r="M430" s="26" t="str">
        <f>Etiquettes!$H$11</f>
        <v>Volume</v>
      </c>
      <c r="N430" t="str">
        <f t="shared" si="8"/>
        <v>Stock initial de grains en amidonnerie = 75 kt (Bilans par campagne - FranceAgriMer)</v>
      </c>
      <c r="O430" s="26" t="str">
        <f>Etiquettes!$J$15</f>
        <v>Probable</v>
      </c>
      <c r="P430" s="603" t="str">
        <f>Etiquettes!$H$16</f>
        <v>Données collectées</v>
      </c>
      <c r="Q430" s="603" t="str">
        <f>Etiquettes!$H$17</f>
        <v>Donnée collectée (valeur du flux ou coefficient)</v>
      </c>
      <c r="S430" s="693"/>
    </row>
    <row r="431" spans="1:19">
      <c r="A431" t="str">
        <f>Secteurs!$B$9</f>
        <v>Amidonnerie / Glutennerie</v>
      </c>
      <c r="B431" t="str">
        <f>Produits!$B$51</f>
        <v>Stock final</v>
      </c>
      <c r="C431" s="86">
        <f>'Bilans Blé tendre - FAM'!AC61</f>
        <v>58.198072000000003</v>
      </c>
      <c r="E431" t="str">
        <f>Etiquettes!$C$3</f>
        <v>kt</v>
      </c>
      <c r="F431" s="26" t="str">
        <f>Etiquettes!$H$6</f>
        <v>Blé tendre</v>
      </c>
      <c r="G431" s="26" t="str">
        <f>Etiquettes!$J$5</f>
        <v>2023-24</v>
      </c>
      <c r="H431" t="str">
        <f>Etiquettes!$C$4</f>
        <v>France entière</v>
      </c>
      <c r="I431" s="603" t="s">
        <v>1751</v>
      </c>
      <c r="K431" t="s">
        <v>1559</v>
      </c>
      <c r="L431" s="603" t="str" cm="1">
        <f t="array" aca="1" ref="L431" ca="1">[1]!NOM_FEUILLE('Bilans Blé tendre - FAM'!$A$1)</f>
        <v>Bilans Blé tendre - FAM</v>
      </c>
      <c r="M431" s="26" t="str">
        <f>Etiquettes!$H$11</f>
        <v>Volume</v>
      </c>
      <c r="N431" t="str">
        <f t="shared" si="8"/>
        <v>Stock final de grains en amidonnerie = 58 kt (Bilans par campagne - FranceAgriMer)</v>
      </c>
      <c r="O431" s="26" t="str">
        <f>Etiquettes!$J$15</f>
        <v>Probable</v>
      </c>
      <c r="P431" s="603" t="str">
        <f>Etiquettes!$H$16</f>
        <v>Données collectées</v>
      </c>
      <c r="Q431" s="603" t="str">
        <f>Etiquettes!$H$17</f>
        <v>Donnée collectée (valeur du flux ou coefficient)</v>
      </c>
      <c r="S431" s="693"/>
    </row>
    <row r="432" spans="1:19">
      <c r="A432" t="str">
        <f>Produits!$B$50</f>
        <v>Stock initial</v>
      </c>
      <c r="B432" t="str">
        <f>Produits!$B$4</f>
        <v>Grains collectés</v>
      </c>
      <c r="C432" s="86">
        <f>'Bilans Maïs - FAM'!T54</f>
        <v>42.823</v>
      </c>
      <c r="E432" t="str">
        <f>Etiquettes!$C$3</f>
        <v>kt</v>
      </c>
      <c r="F432" s="26" t="str">
        <f>Etiquettes!$I$6</f>
        <v>Maïs</v>
      </c>
      <c r="G432" s="26" t="str">
        <f>Etiquettes!$H$5</f>
        <v>2015-16</v>
      </c>
      <c r="H432" t="str">
        <f>Etiquettes!$C$4</f>
        <v>France entière</v>
      </c>
      <c r="I432" s="603" t="s">
        <v>1746</v>
      </c>
      <c r="K432" t="s">
        <v>1559</v>
      </c>
      <c r="L432" s="603" t="str" cm="1">
        <f t="array" aca="1" ref="L432" ca="1">[1]!NOM_FEUILLE('Bilans Blé tendre - FAM'!$A$1)</f>
        <v>Bilans Blé tendre - FAM</v>
      </c>
      <c r="M432" s="26" t="str">
        <f>Etiquettes!$H$11</f>
        <v>Volume</v>
      </c>
      <c r="N432" t="str">
        <f t="shared" ref="N432:N437" si="9">_xlfn.CONCAT(I432,IF(ISBLANK(C432),"",_xlfn.CONCAT(" = ",MROUND(C432,1)," ",E432))," (",K432,")")</f>
        <v>Stock initial de grains en silos portuaires = 43 kt (Bilans par campagne - FranceAgriMer)</v>
      </c>
      <c r="O432" s="26" t="str">
        <f>Etiquettes!$J$15</f>
        <v>Probable</v>
      </c>
      <c r="P432" s="603" t="str">
        <f>Etiquettes!$H$16</f>
        <v>Données collectées</v>
      </c>
      <c r="Q432" s="603" t="str">
        <f>Etiquettes!$H$17</f>
        <v>Donnée collectée (valeur du flux ou coefficient)</v>
      </c>
      <c r="S432" s="693"/>
    </row>
    <row r="433" spans="1:19">
      <c r="A433" t="str">
        <f>Produits!$B$4</f>
        <v>Grains collectés</v>
      </c>
      <c r="B433" t="str">
        <f>Produits!$B$51</f>
        <v>Stock final</v>
      </c>
      <c r="C433" s="86">
        <f>'Bilans Maïs - FAM'!U54</f>
        <v>35.801000000000002</v>
      </c>
      <c r="E433" t="str">
        <f>Etiquettes!$C$3</f>
        <v>kt</v>
      </c>
      <c r="F433" s="26" t="str">
        <f>Etiquettes!$I$6</f>
        <v>Maïs</v>
      </c>
      <c r="G433" s="26" t="str">
        <f>Etiquettes!$H$5</f>
        <v>2015-16</v>
      </c>
      <c r="H433" t="str">
        <f>Etiquettes!$C$4</f>
        <v>France entière</v>
      </c>
      <c r="I433" s="603" t="s">
        <v>1747</v>
      </c>
      <c r="K433" t="s">
        <v>1559</v>
      </c>
      <c r="L433" s="603" t="str" cm="1">
        <f t="array" aca="1" ref="L433" ca="1">[1]!NOM_FEUILLE('Bilans Blé tendre - FAM'!$A$1)</f>
        <v>Bilans Blé tendre - FAM</v>
      </c>
      <c r="M433" s="26" t="str">
        <f>Etiquettes!$H$11</f>
        <v>Volume</v>
      </c>
      <c r="N433" t="str">
        <f t="shared" si="9"/>
        <v>Stock final de grains en silos portuaires = 36 kt (Bilans par campagne - FranceAgriMer)</v>
      </c>
      <c r="O433" s="26" t="str">
        <f>Etiquettes!$J$15</f>
        <v>Probable</v>
      </c>
      <c r="P433" s="603" t="str">
        <f>Etiquettes!$H$16</f>
        <v>Données collectées</v>
      </c>
      <c r="Q433" s="603" t="str">
        <f>Etiquettes!$H$17</f>
        <v>Donnée collectée (valeur du flux ou coefficient)</v>
      </c>
      <c r="S433" s="693"/>
    </row>
    <row r="434" spans="1:19">
      <c r="A434" t="str">
        <f>Produits!$B$50</f>
        <v>Stock initial</v>
      </c>
      <c r="B434" t="str">
        <f>Secteurs!$B$10</f>
        <v>Semoulerie</v>
      </c>
      <c r="C434" s="86">
        <f>'Bilans Maïs - FAM'!T53</f>
        <v>8.3501300000000018</v>
      </c>
      <c r="E434" t="str">
        <f>Etiquettes!$C$3</f>
        <v>kt</v>
      </c>
      <c r="F434" s="26" t="str">
        <f>Etiquettes!$I$6</f>
        <v>Maïs</v>
      </c>
      <c r="G434" s="26" t="str">
        <f>Etiquettes!$H$5</f>
        <v>2015-16</v>
      </c>
      <c r="H434" t="str">
        <f>Etiquettes!$C$4</f>
        <v>France entière</v>
      </c>
      <c r="I434" s="603" t="s">
        <v>1752</v>
      </c>
      <c r="K434" t="s">
        <v>1559</v>
      </c>
      <c r="L434" s="603" t="str" cm="1">
        <f t="array" aca="1" ref="L434" ca="1">[1]!NOM_FEUILLE('Bilans Blé tendre - FAM'!$A$1)</f>
        <v>Bilans Blé tendre - FAM</v>
      </c>
      <c r="M434" s="26" t="str">
        <f>Etiquettes!$H$11</f>
        <v>Volume</v>
      </c>
      <c r="N434" t="str">
        <f t="shared" si="9"/>
        <v>Stock initial de grains en semoulerie = 8 kt (Bilans par campagne - FranceAgriMer)</v>
      </c>
      <c r="O434" s="26" t="str">
        <f>Etiquettes!$J$15</f>
        <v>Probable</v>
      </c>
      <c r="P434" s="603" t="str">
        <f>Etiquettes!$H$16</f>
        <v>Données collectées</v>
      </c>
      <c r="Q434" s="603" t="str">
        <f>Etiquettes!$H$17</f>
        <v>Donnée collectée (valeur du flux ou coefficient)</v>
      </c>
      <c r="S434" s="693"/>
    </row>
    <row r="435" spans="1:19">
      <c r="A435" t="str">
        <f>Secteurs!$B$10</f>
        <v>Semoulerie</v>
      </c>
      <c r="B435" t="str">
        <f>Produits!$B$51</f>
        <v>Stock final</v>
      </c>
      <c r="C435" s="86">
        <f>'Bilans Maïs - FAM'!U53</f>
        <v>8.5472100000000015</v>
      </c>
      <c r="E435" t="str">
        <f>Etiquettes!$C$3</f>
        <v>kt</v>
      </c>
      <c r="F435" s="26" t="str">
        <f>Etiquettes!$I$6</f>
        <v>Maïs</v>
      </c>
      <c r="G435" s="26" t="str">
        <f>Etiquettes!$H$5</f>
        <v>2015-16</v>
      </c>
      <c r="H435" t="str">
        <f>Etiquettes!$C$4</f>
        <v>France entière</v>
      </c>
      <c r="I435" s="603" t="s">
        <v>1753</v>
      </c>
      <c r="K435" t="s">
        <v>1559</v>
      </c>
      <c r="L435" s="603" t="str" cm="1">
        <f t="array" aca="1" ref="L435" ca="1">[1]!NOM_FEUILLE('Bilans Blé tendre - FAM'!$A$1)</f>
        <v>Bilans Blé tendre - FAM</v>
      </c>
      <c r="M435" s="26" t="str">
        <f>Etiquettes!$H$11</f>
        <v>Volume</v>
      </c>
      <c r="N435" t="str">
        <f t="shared" si="9"/>
        <v>Stock final de grains en semoulerie = 9 kt (Bilans par campagne - FranceAgriMer)</v>
      </c>
      <c r="O435" s="26" t="str">
        <f>Etiquettes!$J$15</f>
        <v>Probable</v>
      </c>
      <c r="P435" s="603" t="str">
        <f>Etiquettes!$H$16</f>
        <v>Données collectées</v>
      </c>
      <c r="Q435" s="603" t="str">
        <f>Etiquettes!$H$17</f>
        <v>Donnée collectée (valeur du flux ou coefficient)</v>
      </c>
      <c r="S435" s="693"/>
    </row>
    <row r="436" spans="1:19">
      <c r="A436" t="str">
        <f>Produits!$B$50</f>
        <v>Stock initial</v>
      </c>
      <c r="B436" t="str">
        <f>Secteurs!$B$9</f>
        <v>Amidonnerie / Glutennerie</v>
      </c>
      <c r="C436" s="86">
        <f>'Bilans Maïs - FAM'!T52</f>
        <v>66.411928000000003</v>
      </c>
      <c r="E436" t="str">
        <f>Etiquettes!$C$3</f>
        <v>kt</v>
      </c>
      <c r="F436" s="26" t="str">
        <f>Etiquettes!$I$6</f>
        <v>Maïs</v>
      </c>
      <c r="G436" s="26" t="str">
        <f>Etiquettes!$H$5</f>
        <v>2015-16</v>
      </c>
      <c r="H436" t="str">
        <f>Etiquettes!$C$4</f>
        <v>France entière</v>
      </c>
      <c r="I436" s="603" t="s">
        <v>1750</v>
      </c>
      <c r="K436" t="s">
        <v>1559</v>
      </c>
      <c r="L436" s="603" t="str" cm="1">
        <f t="array" aca="1" ref="L436" ca="1">[1]!NOM_FEUILLE('Bilans Blé tendre - FAM'!$A$1)</f>
        <v>Bilans Blé tendre - FAM</v>
      </c>
      <c r="M436" s="26" t="str">
        <f>Etiquettes!$H$11</f>
        <v>Volume</v>
      </c>
      <c r="N436" t="str">
        <f t="shared" si="9"/>
        <v>Stock initial de grains en amidonnerie = 66 kt (Bilans par campagne - FranceAgriMer)</v>
      </c>
      <c r="O436" s="26" t="str">
        <f>Etiquettes!$J$15</f>
        <v>Probable</v>
      </c>
      <c r="P436" s="603" t="str">
        <f>Etiquettes!$H$16</f>
        <v>Données collectées</v>
      </c>
      <c r="Q436" s="603" t="str">
        <f>Etiquettes!$H$17</f>
        <v>Donnée collectée (valeur du flux ou coefficient)</v>
      </c>
      <c r="S436" s="693"/>
    </row>
    <row r="437" spans="1:19">
      <c r="A437" t="str">
        <f>Secteurs!$B$9</f>
        <v>Amidonnerie / Glutennerie</v>
      </c>
      <c r="B437" t="str">
        <f>Produits!$B$51</f>
        <v>Stock final</v>
      </c>
      <c r="C437" s="86">
        <f>'Bilans Maïs - FAM'!U52</f>
        <v>73.414590000000004</v>
      </c>
      <c r="E437" t="str">
        <f>Etiquettes!$C$3</f>
        <v>kt</v>
      </c>
      <c r="F437" s="26" t="str">
        <f>Etiquettes!$I$6</f>
        <v>Maïs</v>
      </c>
      <c r="G437" s="26" t="str">
        <f>Etiquettes!$H$5</f>
        <v>2015-16</v>
      </c>
      <c r="H437" t="str">
        <f>Etiquettes!$C$4</f>
        <v>France entière</v>
      </c>
      <c r="I437" s="603" t="s">
        <v>1751</v>
      </c>
      <c r="K437" t="s">
        <v>1559</v>
      </c>
      <c r="L437" s="603" t="str" cm="1">
        <f t="array" aca="1" ref="L437" ca="1">[1]!NOM_FEUILLE('Bilans Blé tendre - FAM'!$A$1)</f>
        <v>Bilans Blé tendre - FAM</v>
      </c>
      <c r="M437" s="26" t="str">
        <f>Etiquettes!$H$11</f>
        <v>Volume</v>
      </c>
      <c r="N437" t="str">
        <f t="shared" si="9"/>
        <v>Stock final de grains en amidonnerie = 73 kt (Bilans par campagne - FranceAgriMer)</v>
      </c>
      <c r="O437" s="26" t="str">
        <f>Etiquettes!$J$15</f>
        <v>Probable</v>
      </c>
      <c r="P437" s="603" t="str">
        <f>Etiquettes!$H$16</f>
        <v>Données collectées</v>
      </c>
      <c r="Q437" s="603" t="str">
        <f>Etiquettes!$H$17</f>
        <v>Donnée collectée (valeur du flux ou coefficient)</v>
      </c>
      <c r="S437" s="693"/>
    </row>
    <row r="438" spans="1:19">
      <c r="A438" t="str">
        <f>Produits!$B$50</f>
        <v>Stock initial</v>
      </c>
      <c r="B438" t="str">
        <f>Produits!$B$4</f>
        <v>Grains collectés</v>
      </c>
      <c r="C438" s="86">
        <f>'Bilans Maïs - FAM'!X54</f>
        <v>27</v>
      </c>
      <c r="E438" t="str">
        <f>Etiquettes!$C$3</f>
        <v>kt</v>
      </c>
      <c r="F438" s="26" t="str">
        <f>Etiquettes!$I$6</f>
        <v>Maïs</v>
      </c>
      <c r="G438" s="26" t="str">
        <f>Etiquettes!$I$5</f>
        <v>2019-20</v>
      </c>
      <c r="H438" t="str">
        <f>Etiquettes!$C$4</f>
        <v>France entière</v>
      </c>
      <c r="I438" s="603" t="s">
        <v>1746</v>
      </c>
      <c r="K438" t="s">
        <v>1559</v>
      </c>
      <c r="L438" s="603" t="str" cm="1">
        <f t="array" aca="1" ref="L438" ca="1">[1]!NOM_FEUILLE('Bilans Blé tendre - FAM'!$A$1)</f>
        <v>Bilans Blé tendre - FAM</v>
      </c>
      <c r="M438" s="26" t="str">
        <f>Etiquettes!$H$11</f>
        <v>Volume</v>
      </c>
      <c r="N438" t="str">
        <f t="shared" ref="N438:N449" si="10">_xlfn.CONCAT(I438,IF(ISBLANK(C438),"",_xlfn.CONCAT(" = ",MROUND(C438,1)," ",E438))," (",K438,")")</f>
        <v>Stock initial de grains en silos portuaires = 27 kt (Bilans par campagne - FranceAgriMer)</v>
      </c>
      <c r="O438" s="26" t="str">
        <f>Etiquettes!$J$15</f>
        <v>Probable</v>
      </c>
      <c r="P438" s="603" t="str">
        <f>Etiquettes!$H$16</f>
        <v>Données collectées</v>
      </c>
      <c r="Q438" s="603" t="str">
        <f>Etiquettes!$H$17</f>
        <v>Donnée collectée (valeur du flux ou coefficient)</v>
      </c>
      <c r="S438" s="693"/>
    </row>
    <row r="439" spans="1:19">
      <c r="A439" t="str">
        <f>Produits!$B$4</f>
        <v>Grains collectés</v>
      </c>
      <c r="B439" t="str">
        <f>Produits!$B$51</f>
        <v>Stock final</v>
      </c>
      <c r="C439" s="86">
        <f>'Bilans Maïs - FAM'!Y54</f>
        <v>24</v>
      </c>
      <c r="E439" t="str">
        <f>Etiquettes!$C$3</f>
        <v>kt</v>
      </c>
      <c r="F439" s="26" t="str">
        <f>Etiquettes!$I$6</f>
        <v>Maïs</v>
      </c>
      <c r="G439" s="26" t="str">
        <f>Etiquettes!$I$5</f>
        <v>2019-20</v>
      </c>
      <c r="H439" t="str">
        <f>Etiquettes!$C$4</f>
        <v>France entière</v>
      </c>
      <c r="I439" s="603" t="s">
        <v>1747</v>
      </c>
      <c r="K439" t="s">
        <v>1559</v>
      </c>
      <c r="L439" s="603" t="str" cm="1">
        <f t="array" aca="1" ref="L439" ca="1">[1]!NOM_FEUILLE('Bilans Blé tendre - FAM'!$A$1)</f>
        <v>Bilans Blé tendre - FAM</v>
      </c>
      <c r="M439" s="26" t="str">
        <f>Etiquettes!$H$11</f>
        <v>Volume</v>
      </c>
      <c r="N439" t="str">
        <f t="shared" si="10"/>
        <v>Stock final de grains en silos portuaires = 24 kt (Bilans par campagne - FranceAgriMer)</v>
      </c>
      <c r="O439" s="26" t="str">
        <f>Etiquettes!$J$15</f>
        <v>Probable</v>
      </c>
      <c r="P439" s="603" t="str">
        <f>Etiquettes!$H$16</f>
        <v>Données collectées</v>
      </c>
      <c r="Q439" s="603" t="str">
        <f>Etiquettes!$H$17</f>
        <v>Donnée collectée (valeur du flux ou coefficient)</v>
      </c>
      <c r="S439" s="693"/>
    </row>
    <row r="440" spans="1:19">
      <c r="A440" t="str">
        <f>Produits!$B$50</f>
        <v>Stock initial</v>
      </c>
      <c r="B440" t="str">
        <f>Secteurs!$B$10</f>
        <v>Semoulerie</v>
      </c>
      <c r="C440" s="86">
        <f>'Bilans Maïs - FAM'!X53</f>
        <v>0.74496000000000007</v>
      </c>
      <c r="E440" t="str">
        <f>Etiquettes!$C$3</f>
        <v>kt</v>
      </c>
      <c r="F440" s="26" t="str">
        <f>Etiquettes!$I$6</f>
        <v>Maïs</v>
      </c>
      <c r="G440" s="26" t="str">
        <f>Etiquettes!$I$5</f>
        <v>2019-20</v>
      </c>
      <c r="H440" t="str">
        <f>Etiquettes!$C$4</f>
        <v>France entière</v>
      </c>
      <c r="I440" s="603" t="s">
        <v>1752</v>
      </c>
      <c r="K440" t="s">
        <v>1559</v>
      </c>
      <c r="L440" s="603" t="str" cm="1">
        <f t="array" aca="1" ref="L440" ca="1">[1]!NOM_FEUILLE('Bilans Blé tendre - FAM'!$A$1)</f>
        <v>Bilans Blé tendre - FAM</v>
      </c>
      <c r="M440" s="26" t="str">
        <f>Etiquettes!$H$11</f>
        <v>Volume</v>
      </c>
      <c r="N440" t="str">
        <f t="shared" si="10"/>
        <v>Stock initial de grains en semoulerie = 1 kt (Bilans par campagne - FranceAgriMer)</v>
      </c>
      <c r="O440" s="26" t="str">
        <f>Etiquettes!$J$15</f>
        <v>Probable</v>
      </c>
      <c r="P440" s="603" t="str">
        <f>Etiquettes!$H$16</f>
        <v>Données collectées</v>
      </c>
      <c r="Q440" s="603" t="str">
        <f>Etiquettes!$H$17</f>
        <v>Donnée collectée (valeur du flux ou coefficient)</v>
      </c>
      <c r="S440" s="693"/>
    </row>
    <row r="441" spans="1:19">
      <c r="A441" t="str">
        <f>Secteurs!$B$10</f>
        <v>Semoulerie</v>
      </c>
      <c r="B441" t="str">
        <f>Produits!$B$51</f>
        <v>Stock final</v>
      </c>
      <c r="C441" s="86">
        <f>'Bilans Maïs - FAM'!Y53</f>
        <v>1.2324999999999999</v>
      </c>
      <c r="E441" t="str">
        <f>Etiquettes!$C$3</f>
        <v>kt</v>
      </c>
      <c r="F441" s="26" t="str">
        <f>Etiquettes!$I$6</f>
        <v>Maïs</v>
      </c>
      <c r="G441" s="26" t="str">
        <f>Etiquettes!$I$5</f>
        <v>2019-20</v>
      </c>
      <c r="H441" t="str">
        <f>Etiquettes!$C$4</f>
        <v>France entière</v>
      </c>
      <c r="I441" s="603" t="s">
        <v>1753</v>
      </c>
      <c r="K441" t="s">
        <v>1559</v>
      </c>
      <c r="L441" s="603" t="str" cm="1">
        <f t="array" aca="1" ref="L441" ca="1">[1]!NOM_FEUILLE('Bilans Blé tendre - FAM'!$A$1)</f>
        <v>Bilans Blé tendre - FAM</v>
      </c>
      <c r="M441" s="26" t="str">
        <f>Etiquettes!$H$11</f>
        <v>Volume</v>
      </c>
      <c r="N441" t="str">
        <f t="shared" si="10"/>
        <v>Stock final de grains en semoulerie = 1 kt (Bilans par campagne - FranceAgriMer)</v>
      </c>
      <c r="O441" s="26" t="str">
        <f>Etiquettes!$J$15</f>
        <v>Probable</v>
      </c>
      <c r="P441" s="603" t="str">
        <f>Etiquettes!$H$16</f>
        <v>Données collectées</v>
      </c>
      <c r="Q441" s="603" t="str">
        <f>Etiquettes!$H$17</f>
        <v>Donnée collectée (valeur du flux ou coefficient)</v>
      </c>
      <c r="S441" s="693"/>
    </row>
    <row r="442" spans="1:19">
      <c r="A442" t="str">
        <f>Produits!$B$50</f>
        <v>Stock initial</v>
      </c>
      <c r="B442" t="str">
        <f>Secteurs!$B$9</f>
        <v>Amidonnerie / Glutennerie</v>
      </c>
      <c r="C442" s="86">
        <f>'Bilans Maïs - FAM'!X52</f>
        <v>56.414638999999994</v>
      </c>
      <c r="E442" t="str">
        <f>Etiquettes!$C$3</f>
        <v>kt</v>
      </c>
      <c r="F442" s="26" t="str">
        <f>Etiquettes!$I$6</f>
        <v>Maïs</v>
      </c>
      <c r="G442" s="26" t="str">
        <f>Etiquettes!$I$5</f>
        <v>2019-20</v>
      </c>
      <c r="H442" t="str">
        <f>Etiquettes!$C$4</f>
        <v>France entière</v>
      </c>
      <c r="I442" s="603" t="s">
        <v>1750</v>
      </c>
      <c r="K442" t="s">
        <v>1559</v>
      </c>
      <c r="L442" s="603" t="str" cm="1">
        <f t="array" aca="1" ref="L442" ca="1">[1]!NOM_FEUILLE('Bilans Blé tendre - FAM'!$A$1)</f>
        <v>Bilans Blé tendre - FAM</v>
      </c>
      <c r="M442" s="26" t="str">
        <f>Etiquettes!$H$11</f>
        <v>Volume</v>
      </c>
      <c r="N442" t="str">
        <f t="shared" si="10"/>
        <v>Stock initial de grains en amidonnerie = 56 kt (Bilans par campagne - FranceAgriMer)</v>
      </c>
      <c r="O442" s="26" t="str">
        <f>Etiquettes!$J$15</f>
        <v>Probable</v>
      </c>
      <c r="P442" s="603" t="str">
        <f>Etiquettes!$H$16</f>
        <v>Données collectées</v>
      </c>
      <c r="Q442" s="603" t="str">
        <f>Etiquettes!$H$17</f>
        <v>Donnée collectée (valeur du flux ou coefficient)</v>
      </c>
      <c r="S442" s="693"/>
    </row>
    <row r="443" spans="1:19">
      <c r="A443" t="str">
        <f>Secteurs!$B$9</f>
        <v>Amidonnerie / Glutennerie</v>
      </c>
      <c r="B443" t="str">
        <f>Produits!$B$51</f>
        <v>Stock final</v>
      </c>
      <c r="C443" s="86">
        <f>'Bilans Maïs - FAM'!Y52</f>
        <v>74.976597999999996</v>
      </c>
      <c r="E443" t="str">
        <f>Etiquettes!$C$3</f>
        <v>kt</v>
      </c>
      <c r="F443" s="26" t="str">
        <f>Etiquettes!$I$6</f>
        <v>Maïs</v>
      </c>
      <c r="G443" s="26" t="str">
        <f>Etiquettes!$I$5</f>
        <v>2019-20</v>
      </c>
      <c r="H443" t="str">
        <f>Etiquettes!$C$4</f>
        <v>France entière</v>
      </c>
      <c r="I443" s="603" t="s">
        <v>1751</v>
      </c>
      <c r="K443" t="s">
        <v>1559</v>
      </c>
      <c r="L443" s="603" t="str" cm="1">
        <f t="array" aca="1" ref="L443" ca="1">[1]!NOM_FEUILLE('Bilans Blé tendre - FAM'!$A$1)</f>
        <v>Bilans Blé tendre - FAM</v>
      </c>
      <c r="M443" s="26" t="str">
        <f>Etiquettes!$H$11</f>
        <v>Volume</v>
      </c>
      <c r="N443" t="str">
        <f t="shared" si="10"/>
        <v>Stock final de grains en amidonnerie = 75 kt (Bilans par campagne - FranceAgriMer)</v>
      </c>
      <c r="O443" s="26" t="str">
        <f>Etiquettes!$J$15</f>
        <v>Probable</v>
      </c>
      <c r="P443" s="603" t="str">
        <f>Etiquettes!$H$16</f>
        <v>Données collectées</v>
      </c>
      <c r="Q443" s="603" t="str">
        <f>Etiquettes!$H$17</f>
        <v>Donnée collectée (valeur du flux ou coefficient)</v>
      </c>
      <c r="S443" s="693"/>
    </row>
    <row r="444" spans="1:19">
      <c r="A444" t="str">
        <f>Produits!$B$50</f>
        <v>Stock initial</v>
      </c>
      <c r="B444" t="str">
        <f>Produits!$B$4</f>
        <v>Grains collectés</v>
      </c>
      <c r="C444" s="86">
        <f>'Bilans Maïs - FAM'!AB54</f>
        <v>24</v>
      </c>
      <c r="E444" t="str">
        <f>Etiquettes!$C$3</f>
        <v>kt</v>
      </c>
      <c r="F444" s="26" t="str">
        <f>Etiquettes!$I$6</f>
        <v>Maïs</v>
      </c>
      <c r="G444" s="26" t="str">
        <f>Etiquettes!$J$5</f>
        <v>2023-24</v>
      </c>
      <c r="H444" t="str">
        <f>Etiquettes!$C$4</f>
        <v>France entière</v>
      </c>
      <c r="I444" s="603" t="s">
        <v>1746</v>
      </c>
      <c r="K444" t="s">
        <v>1559</v>
      </c>
      <c r="L444" s="603" t="str" cm="1">
        <f t="array" aca="1" ref="L444" ca="1">[1]!NOM_FEUILLE('Bilans Blé tendre - FAM'!$A$1)</f>
        <v>Bilans Blé tendre - FAM</v>
      </c>
      <c r="M444" s="26" t="str">
        <f>Etiquettes!$H$11</f>
        <v>Volume</v>
      </c>
      <c r="N444" t="str">
        <f t="shared" si="10"/>
        <v>Stock initial de grains en silos portuaires = 24 kt (Bilans par campagne - FranceAgriMer)</v>
      </c>
      <c r="O444" s="26" t="str">
        <f>Etiquettes!$J$15</f>
        <v>Probable</v>
      </c>
      <c r="P444" s="603" t="str">
        <f>Etiquettes!$H$16</f>
        <v>Données collectées</v>
      </c>
      <c r="Q444" s="603" t="str">
        <f>Etiquettes!$H$17</f>
        <v>Donnée collectée (valeur du flux ou coefficient)</v>
      </c>
      <c r="S444" s="693"/>
    </row>
    <row r="445" spans="1:19">
      <c r="A445" t="str">
        <f>Produits!$B$4</f>
        <v>Grains collectés</v>
      </c>
      <c r="B445" t="str">
        <f>Produits!$B$51</f>
        <v>Stock final</v>
      </c>
      <c r="C445" s="86">
        <f>'Bilans Maïs - FAM'!AC54</f>
        <v>24</v>
      </c>
      <c r="E445" t="str">
        <f>Etiquettes!$C$3</f>
        <v>kt</v>
      </c>
      <c r="F445" s="26" t="str">
        <f>Etiquettes!$I$6</f>
        <v>Maïs</v>
      </c>
      <c r="G445" s="26" t="str">
        <f>Etiquettes!$J$5</f>
        <v>2023-24</v>
      </c>
      <c r="H445" t="str">
        <f>Etiquettes!$C$4</f>
        <v>France entière</v>
      </c>
      <c r="I445" s="603" t="s">
        <v>1747</v>
      </c>
      <c r="K445" t="s">
        <v>1559</v>
      </c>
      <c r="L445" s="603" t="str" cm="1">
        <f t="array" aca="1" ref="L445" ca="1">[1]!NOM_FEUILLE('Bilans Blé tendre - FAM'!$A$1)</f>
        <v>Bilans Blé tendre - FAM</v>
      </c>
      <c r="M445" s="26" t="str">
        <f>Etiquettes!$H$11</f>
        <v>Volume</v>
      </c>
      <c r="N445" t="str">
        <f t="shared" si="10"/>
        <v>Stock final de grains en silos portuaires = 24 kt (Bilans par campagne - FranceAgriMer)</v>
      </c>
      <c r="O445" s="26" t="str">
        <f>Etiquettes!$J$15</f>
        <v>Probable</v>
      </c>
      <c r="P445" s="603" t="str">
        <f>Etiquettes!$H$16</f>
        <v>Données collectées</v>
      </c>
      <c r="Q445" s="603" t="str">
        <f>Etiquettes!$H$17</f>
        <v>Donnée collectée (valeur du flux ou coefficient)</v>
      </c>
      <c r="S445" s="693"/>
    </row>
    <row r="446" spans="1:19">
      <c r="A446" t="str">
        <f>Produits!$B$50</f>
        <v>Stock initial</v>
      </c>
      <c r="B446" t="str">
        <f>Secteurs!$B$10</f>
        <v>Semoulerie</v>
      </c>
      <c r="C446" s="86">
        <f>'Bilans Maïs - FAM'!AB53</f>
        <v>0.88400000000000001</v>
      </c>
      <c r="E446" t="str">
        <f>Etiquettes!$C$3</f>
        <v>kt</v>
      </c>
      <c r="F446" s="26" t="str">
        <f>Etiquettes!$I$6</f>
        <v>Maïs</v>
      </c>
      <c r="G446" s="26" t="str">
        <f>Etiquettes!$J$5</f>
        <v>2023-24</v>
      </c>
      <c r="H446" t="str">
        <f>Etiquettes!$C$4</f>
        <v>France entière</v>
      </c>
      <c r="I446" s="603" t="s">
        <v>1752</v>
      </c>
      <c r="K446" t="s">
        <v>1559</v>
      </c>
      <c r="L446" s="603" t="str" cm="1">
        <f t="array" aca="1" ref="L446" ca="1">[1]!NOM_FEUILLE('Bilans Blé tendre - FAM'!$A$1)</f>
        <v>Bilans Blé tendre - FAM</v>
      </c>
      <c r="M446" s="26" t="str">
        <f>Etiquettes!$H$11</f>
        <v>Volume</v>
      </c>
      <c r="N446" t="str">
        <f t="shared" si="10"/>
        <v>Stock initial de grains en semoulerie = 1 kt (Bilans par campagne - FranceAgriMer)</v>
      </c>
      <c r="O446" s="26" t="str">
        <f>Etiquettes!$J$15</f>
        <v>Probable</v>
      </c>
      <c r="P446" s="603" t="str">
        <f>Etiquettes!$H$16</f>
        <v>Données collectées</v>
      </c>
      <c r="Q446" s="603" t="str">
        <f>Etiquettes!$H$17</f>
        <v>Donnée collectée (valeur du flux ou coefficient)</v>
      </c>
      <c r="S446" s="693"/>
    </row>
    <row r="447" spans="1:19">
      <c r="A447" t="str">
        <f>Secteurs!$B$10</f>
        <v>Semoulerie</v>
      </c>
      <c r="B447" t="str">
        <f>Produits!$B$51</f>
        <v>Stock final</v>
      </c>
      <c r="C447" s="86">
        <f>'Bilans Maïs - FAM'!AC53</f>
        <v>0.85399999999999998</v>
      </c>
      <c r="E447" t="str">
        <f>Etiquettes!$C$3</f>
        <v>kt</v>
      </c>
      <c r="F447" s="26" t="str">
        <f>Etiquettes!$I$6</f>
        <v>Maïs</v>
      </c>
      <c r="G447" s="26" t="str">
        <f>Etiquettes!$J$5</f>
        <v>2023-24</v>
      </c>
      <c r="H447" t="str">
        <f>Etiquettes!$C$4</f>
        <v>France entière</v>
      </c>
      <c r="I447" s="603" t="s">
        <v>1753</v>
      </c>
      <c r="K447" t="s">
        <v>1559</v>
      </c>
      <c r="L447" s="603" t="str" cm="1">
        <f t="array" aca="1" ref="L447" ca="1">[1]!NOM_FEUILLE('Bilans Blé tendre - FAM'!$A$1)</f>
        <v>Bilans Blé tendre - FAM</v>
      </c>
      <c r="M447" s="26" t="str">
        <f>Etiquettes!$H$11</f>
        <v>Volume</v>
      </c>
      <c r="N447" t="str">
        <f t="shared" si="10"/>
        <v>Stock final de grains en semoulerie = 1 kt (Bilans par campagne - FranceAgriMer)</v>
      </c>
      <c r="O447" s="26" t="str">
        <f>Etiquettes!$J$15</f>
        <v>Probable</v>
      </c>
      <c r="P447" s="603" t="str">
        <f>Etiquettes!$H$16</f>
        <v>Données collectées</v>
      </c>
      <c r="Q447" s="603" t="str">
        <f>Etiquettes!$H$17</f>
        <v>Donnée collectée (valeur du flux ou coefficient)</v>
      </c>
      <c r="S447" s="693"/>
    </row>
    <row r="448" spans="1:19">
      <c r="A448" t="str">
        <f>Produits!$B$50</f>
        <v>Stock initial</v>
      </c>
      <c r="B448" t="str">
        <f>Secteurs!$B$9</f>
        <v>Amidonnerie / Glutennerie</v>
      </c>
      <c r="C448" s="86">
        <f>'Bilans Maïs - FAM'!AB52</f>
        <v>36.231070000000003</v>
      </c>
      <c r="E448" t="str">
        <f>Etiquettes!$C$3</f>
        <v>kt</v>
      </c>
      <c r="F448" s="26" t="str">
        <f>Etiquettes!$I$6</f>
        <v>Maïs</v>
      </c>
      <c r="G448" s="26" t="str">
        <f>Etiquettes!$J$5</f>
        <v>2023-24</v>
      </c>
      <c r="H448" t="str">
        <f>Etiquettes!$C$4</f>
        <v>France entière</v>
      </c>
      <c r="I448" s="603" t="s">
        <v>1750</v>
      </c>
      <c r="K448" t="s">
        <v>1559</v>
      </c>
      <c r="L448" s="603" t="str" cm="1">
        <f t="array" aca="1" ref="L448" ca="1">[1]!NOM_FEUILLE('Bilans Blé tendre - FAM'!$A$1)</f>
        <v>Bilans Blé tendre - FAM</v>
      </c>
      <c r="M448" s="26" t="str">
        <f>Etiquettes!$H$11</f>
        <v>Volume</v>
      </c>
      <c r="N448" t="str">
        <f t="shared" si="10"/>
        <v>Stock initial de grains en amidonnerie = 36 kt (Bilans par campagne - FranceAgriMer)</v>
      </c>
      <c r="O448" s="26" t="str">
        <f>Etiquettes!$J$15</f>
        <v>Probable</v>
      </c>
      <c r="P448" s="603" t="str">
        <f>Etiquettes!$H$16</f>
        <v>Données collectées</v>
      </c>
      <c r="Q448" s="603" t="str">
        <f>Etiquettes!$H$17</f>
        <v>Donnée collectée (valeur du flux ou coefficient)</v>
      </c>
      <c r="S448" s="693"/>
    </row>
    <row r="449" spans="1:19">
      <c r="A449" t="str">
        <f>Secteurs!$B$9</f>
        <v>Amidonnerie / Glutennerie</v>
      </c>
      <c r="B449" t="str">
        <f>Produits!$B$51</f>
        <v>Stock final</v>
      </c>
      <c r="C449" s="86">
        <f>'Bilans Maïs - FAM'!AC52</f>
        <v>34.146395000000005</v>
      </c>
      <c r="E449" t="str">
        <f>Etiquettes!$C$3</f>
        <v>kt</v>
      </c>
      <c r="F449" s="26" t="str">
        <f>Etiquettes!$I$6</f>
        <v>Maïs</v>
      </c>
      <c r="G449" s="26" t="str">
        <f>Etiquettes!$J$5</f>
        <v>2023-24</v>
      </c>
      <c r="H449" t="str">
        <f>Etiquettes!$C$4</f>
        <v>France entière</v>
      </c>
      <c r="I449" s="603" t="s">
        <v>1751</v>
      </c>
      <c r="K449" t="s">
        <v>1559</v>
      </c>
      <c r="L449" s="603" t="str" cm="1">
        <f t="array" aca="1" ref="L449" ca="1">[1]!NOM_FEUILLE('Bilans Blé tendre - FAM'!$A$1)</f>
        <v>Bilans Blé tendre - FAM</v>
      </c>
      <c r="M449" s="26" t="str">
        <f>Etiquettes!$H$11</f>
        <v>Volume</v>
      </c>
      <c r="N449" t="str">
        <f t="shared" si="10"/>
        <v>Stock final de grains en amidonnerie = 34 kt (Bilans par campagne - FranceAgriMer)</v>
      </c>
      <c r="O449" s="26" t="str">
        <f>Etiquettes!$J$15</f>
        <v>Probable</v>
      </c>
      <c r="P449" s="603" t="str">
        <f>Etiquettes!$H$16</f>
        <v>Données collectées</v>
      </c>
      <c r="Q449" s="603" t="str">
        <f>Etiquettes!$H$17</f>
        <v>Donnée collectée (valeur du flux ou coefficient)</v>
      </c>
      <c r="S449" s="693"/>
    </row>
    <row r="450" spans="1:19">
      <c r="A450" t="str">
        <f>Produits!$B$50</f>
        <v>Stock initial</v>
      </c>
      <c r="B450" t="str">
        <f>Produits!$B$4</f>
        <v>Grains collectés</v>
      </c>
      <c r="C450" s="86">
        <f>'Bilans Orge - FAM'!T56</f>
        <v>15.868</v>
      </c>
      <c r="E450" t="str">
        <f>Etiquettes!$C$3</f>
        <v>kt</v>
      </c>
      <c r="F450" s="26" t="str">
        <f>Etiquettes!$J$6</f>
        <v>Orge</v>
      </c>
      <c r="G450" s="26" t="str">
        <f>Etiquettes!$H$5</f>
        <v>2015-16</v>
      </c>
      <c r="H450" t="str">
        <f>Etiquettes!$C$4</f>
        <v>France entière</v>
      </c>
      <c r="I450" s="603" t="s">
        <v>1746</v>
      </c>
      <c r="K450" t="s">
        <v>1559</v>
      </c>
      <c r="L450" s="603" t="str" cm="1">
        <f t="array" aca="1" ref="L450" ca="1">[1]!NOM_FEUILLE('Bilans Blé tendre - FAM'!$A$1)</f>
        <v>Bilans Blé tendre - FAM</v>
      </c>
      <c r="M450" s="26" t="str">
        <f>Etiquettes!$H$11</f>
        <v>Volume</v>
      </c>
      <c r="N450" t="str">
        <f>_xlfn.CONCAT(I450,IF(ISBLANK(C450),"",_xlfn.CONCAT(" = ",MROUND(C450,1)," ",E450))," (",K450,")")</f>
        <v>Stock initial de grains en silos portuaires = 16 kt (Bilans par campagne - FranceAgriMer)</v>
      </c>
      <c r="O450" s="26" t="str">
        <f>Etiquettes!$J$15</f>
        <v>Probable</v>
      </c>
      <c r="P450" s="603" t="str">
        <f>Etiquettes!$H$16</f>
        <v>Données collectées</v>
      </c>
      <c r="Q450" s="603" t="str">
        <f>Etiquettes!$H$17</f>
        <v>Donnée collectée (valeur du flux ou coefficient)</v>
      </c>
      <c r="S450" s="693"/>
    </row>
    <row r="451" spans="1:19">
      <c r="A451" t="str">
        <f>Produits!$B$4</f>
        <v>Grains collectés</v>
      </c>
      <c r="B451" t="str">
        <f>Produits!$B$51</f>
        <v>Stock final</v>
      </c>
      <c r="C451" s="86">
        <f>'Bilans Orge - FAM'!U56</f>
        <v>139.839</v>
      </c>
      <c r="E451" t="str">
        <f>Etiquettes!$C$3</f>
        <v>kt</v>
      </c>
      <c r="F451" s="26" t="str">
        <f>Etiquettes!$J$6</f>
        <v>Orge</v>
      </c>
      <c r="G451" s="26" t="str">
        <f>Etiquettes!$H$5</f>
        <v>2015-16</v>
      </c>
      <c r="H451" t="str">
        <f>Etiquettes!$C$4</f>
        <v>France entière</v>
      </c>
      <c r="I451" s="603" t="s">
        <v>1747</v>
      </c>
      <c r="K451" t="s">
        <v>1559</v>
      </c>
      <c r="L451" s="603" t="str" cm="1">
        <f t="array" aca="1" ref="L451" ca="1">[1]!NOM_FEUILLE('Bilans Blé tendre - FAM'!$A$1)</f>
        <v>Bilans Blé tendre - FAM</v>
      </c>
      <c r="M451" s="26" t="str">
        <f>Etiquettes!$H$11</f>
        <v>Volume</v>
      </c>
      <c r="N451" t="str">
        <f>_xlfn.CONCAT(I451,IF(ISBLANK(C451),"",_xlfn.CONCAT(" = ",MROUND(C451,1)," ",E451))," (",K451,")")</f>
        <v>Stock final de grains en silos portuaires = 140 kt (Bilans par campagne - FranceAgriMer)</v>
      </c>
      <c r="O451" s="26" t="str">
        <f>Etiquettes!$J$15</f>
        <v>Probable</v>
      </c>
      <c r="P451" s="603" t="str">
        <f>Etiquettes!$H$16</f>
        <v>Données collectées</v>
      </c>
      <c r="Q451" s="603" t="str">
        <f>Etiquettes!$H$17</f>
        <v>Donnée collectée (valeur du flux ou coefficient)</v>
      </c>
      <c r="S451" s="693"/>
    </row>
    <row r="452" spans="1:19">
      <c r="A452" t="str">
        <f>Produits!$B$50</f>
        <v>Stock initial</v>
      </c>
      <c r="B452" t="str">
        <f>Secteurs!$B$12</f>
        <v>Malterie</v>
      </c>
      <c r="C452" s="86">
        <f>'Bilans Orge - FAM'!T55</f>
        <v>106.453</v>
      </c>
      <c r="E452" t="str">
        <f>Etiquettes!$C$3</f>
        <v>kt</v>
      </c>
      <c r="F452" s="26" t="str">
        <f>Etiquettes!$J$6</f>
        <v>Orge</v>
      </c>
      <c r="G452" s="26" t="str">
        <f>Etiquettes!$H$5</f>
        <v>2015-16</v>
      </c>
      <c r="H452" t="str">
        <f>Etiquettes!$C$4</f>
        <v>France entière</v>
      </c>
      <c r="I452" s="603" t="s">
        <v>1754</v>
      </c>
      <c r="K452" t="s">
        <v>1559</v>
      </c>
      <c r="L452" s="603" t="str" cm="1">
        <f t="array" aca="1" ref="L452" ca="1">[1]!NOM_FEUILLE('Bilans Blé tendre - FAM'!$A$1)</f>
        <v>Bilans Blé tendre - FAM</v>
      </c>
      <c r="M452" s="26" t="str">
        <f>Etiquettes!$H$11</f>
        <v>Volume</v>
      </c>
      <c r="N452" t="str">
        <f>_xlfn.CONCAT(I452,IF(ISBLANK(C452),"",_xlfn.CONCAT(" = ",MROUND(C452,1)," ",E452))," (",K452,")")</f>
        <v>Stock initial de grains en malterie = 106 kt (Bilans par campagne - FranceAgriMer)</v>
      </c>
      <c r="O452" s="26" t="str">
        <f>Etiquettes!$J$15</f>
        <v>Probable</v>
      </c>
      <c r="P452" s="603" t="str">
        <f>Etiquettes!$H$16</f>
        <v>Données collectées</v>
      </c>
      <c r="Q452" s="603" t="str">
        <f>Etiquettes!$H$17</f>
        <v>Donnée collectée (valeur du flux ou coefficient)</v>
      </c>
      <c r="S452" s="693"/>
    </row>
    <row r="453" spans="1:19">
      <c r="A453" t="str">
        <f>Secteurs!$B$12</f>
        <v>Malterie</v>
      </c>
      <c r="B453" t="str">
        <f>Produits!$B$51</f>
        <v>Stock final</v>
      </c>
      <c r="C453" s="86">
        <f>'Bilans Orge - FAM'!U55</f>
        <v>120.285</v>
      </c>
      <c r="E453" t="str">
        <f>Etiquettes!$C$3</f>
        <v>kt</v>
      </c>
      <c r="F453" s="26" t="str">
        <f>Etiquettes!$J$6</f>
        <v>Orge</v>
      </c>
      <c r="G453" s="26" t="str">
        <f>Etiquettes!$H$5</f>
        <v>2015-16</v>
      </c>
      <c r="H453" t="str">
        <f>Etiquettes!$C$4</f>
        <v>France entière</v>
      </c>
      <c r="I453" s="603" t="s">
        <v>1755</v>
      </c>
      <c r="K453" t="s">
        <v>1559</v>
      </c>
      <c r="L453" s="603" t="str" cm="1">
        <f t="array" aca="1" ref="L453" ca="1">[1]!NOM_FEUILLE('Bilans Blé tendre - FAM'!$A$1)</f>
        <v>Bilans Blé tendre - FAM</v>
      </c>
      <c r="M453" s="26" t="str">
        <f>Etiquettes!$H$11</f>
        <v>Volume</v>
      </c>
      <c r="N453" t="str">
        <f>_xlfn.CONCAT(I453,IF(ISBLANK(C453),"",_xlfn.CONCAT(" = ",MROUND(C453,1)," ",E453))," (",K453,")")</f>
        <v>Stock final de grains en malterie = 120 kt (Bilans par campagne - FranceAgriMer)</v>
      </c>
      <c r="O453" s="26" t="str">
        <f>Etiquettes!$J$15</f>
        <v>Probable</v>
      </c>
      <c r="P453" s="603" t="str">
        <f>Etiquettes!$H$16</f>
        <v>Données collectées</v>
      </c>
      <c r="Q453" s="603" t="str">
        <f>Etiquettes!$H$17</f>
        <v>Donnée collectée (valeur du flux ou coefficient)</v>
      </c>
      <c r="S453" s="693"/>
    </row>
    <row r="454" spans="1:19">
      <c r="A454" t="str">
        <f>Produits!$B$50</f>
        <v>Stock initial</v>
      </c>
      <c r="B454" t="str">
        <f>Produits!$B$4</f>
        <v>Grains collectés</v>
      </c>
      <c r="C454" s="86">
        <f>'Bilans Orge - FAM'!X56</f>
        <v>117.94633333333333</v>
      </c>
      <c r="E454" t="str">
        <f>Etiquettes!$C$3</f>
        <v>kt</v>
      </c>
      <c r="F454" s="26" t="str">
        <f>Etiquettes!$J$6</f>
        <v>Orge</v>
      </c>
      <c r="G454" s="26" t="str">
        <f>Etiquettes!$I$5</f>
        <v>2019-20</v>
      </c>
      <c r="H454" t="str">
        <f>Etiquettes!$C$4</f>
        <v>France entière</v>
      </c>
      <c r="I454" s="603" t="s">
        <v>1746</v>
      </c>
      <c r="K454" t="s">
        <v>1559</v>
      </c>
      <c r="L454" s="603" t="str" cm="1">
        <f t="array" aca="1" ref="L454" ca="1">[1]!NOM_FEUILLE('Bilans Blé tendre - FAM'!$A$1)</f>
        <v>Bilans Blé tendre - FAM</v>
      </c>
      <c r="M454" s="26" t="str">
        <f>Etiquettes!$H$11</f>
        <v>Volume</v>
      </c>
      <c r="N454" t="str">
        <f t="shared" ref="N454:N461" si="11">_xlfn.CONCAT(I454,IF(ISBLANK(C454),"",_xlfn.CONCAT(" = ",MROUND(C454,1)," ",E454))," (",K454,")")</f>
        <v>Stock initial de grains en silos portuaires = 118 kt (Bilans par campagne - FranceAgriMer)</v>
      </c>
      <c r="O454" s="26" t="str">
        <f>Etiquettes!$J$15</f>
        <v>Probable</v>
      </c>
      <c r="P454" s="603" t="str">
        <f>Etiquettes!$H$16</f>
        <v>Données collectées</v>
      </c>
      <c r="Q454" s="603" t="str">
        <f>Etiquettes!$H$17</f>
        <v>Donnée collectée (valeur du flux ou coefficient)</v>
      </c>
      <c r="S454" s="693"/>
    </row>
    <row r="455" spans="1:19">
      <c r="A455" t="str">
        <f>Produits!$B$4</f>
        <v>Grains collectés</v>
      </c>
      <c r="B455" t="str">
        <f>Produits!$B$51</f>
        <v>Stock final</v>
      </c>
      <c r="C455" s="86">
        <f>'Bilans Orge - FAM'!Y56</f>
        <v>113</v>
      </c>
      <c r="E455" t="str">
        <f>Etiquettes!$C$3</f>
        <v>kt</v>
      </c>
      <c r="F455" s="26" t="str">
        <f>Etiquettes!$J$6</f>
        <v>Orge</v>
      </c>
      <c r="G455" s="26" t="str">
        <f>Etiquettes!$I$5</f>
        <v>2019-20</v>
      </c>
      <c r="H455" t="str">
        <f>Etiquettes!$C$4</f>
        <v>France entière</v>
      </c>
      <c r="I455" s="603" t="s">
        <v>1747</v>
      </c>
      <c r="K455" t="s">
        <v>1559</v>
      </c>
      <c r="L455" s="603" t="str" cm="1">
        <f t="array" aca="1" ref="L455" ca="1">[1]!NOM_FEUILLE('Bilans Blé tendre - FAM'!$A$1)</f>
        <v>Bilans Blé tendre - FAM</v>
      </c>
      <c r="M455" s="26" t="str">
        <f>Etiquettes!$H$11</f>
        <v>Volume</v>
      </c>
      <c r="N455" t="str">
        <f t="shared" si="11"/>
        <v>Stock final de grains en silos portuaires = 113 kt (Bilans par campagne - FranceAgriMer)</v>
      </c>
      <c r="O455" s="26" t="str">
        <f>Etiquettes!$J$15</f>
        <v>Probable</v>
      </c>
      <c r="P455" s="603" t="str">
        <f>Etiquettes!$H$16</f>
        <v>Données collectées</v>
      </c>
      <c r="Q455" s="603" t="str">
        <f>Etiquettes!$H$17</f>
        <v>Donnée collectée (valeur du flux ou coefficient)</v>
      </c>
      <c r="S455" s="693"/>
    </row>
    <row r="456" spans="1:19">
      <c r="A456" t="str">
        <f>Produits!$B$50</f>
        <v>Stock initial</v>
      </c>
      <c r="B456" t="str">
        <f>Secteurs!$B$12</f>
        <v>Malterie</v>
      </c>
      <c r="C456" s="86">
        <f>'Bilans Orge - FAM'!X55</f>
        <v>114.09099999999999</v>
      </c>
      <c r="E456" t="str">
        <f>Etiquettes!$C$3</f>
        <v>kt</v>
      </c>
      <c r="F456" s="26" t="str">
        <f>Etiquettes!$J$6</f>
        <v>Orge</v>
      </c>
      <c r="G456" s="26" t="str">
        <f>Etiquettes!$I$5</f>
        <v>2019-20</v>
      </c>
      <c r="H456" t="str">
        <f>Etiquettes!$C$4</f>
        <v>France entière</v>
      </c>
      <c r="I456" s="603" t="s">
        <v>1754</v>
      </c>
      <c r="K456" t="s">
        <v>1559</v>
      </c>
      <c r="L456" s="603" t="str" cm="1">
        <f t="array" aca="1" ref="L456" ca="1">[1]!NOM_FEUILLE('Bilans Blé tendre - FAM'!$A$1)</f>
        <v>Bilans Blé tendre - FAM</v>
      </c>
      <c r="M456" s="26" t="str">
        <f>Etiquettes!$H$11</f>
        <v>Volume</v>
      </c>
      <c r="N456" t="str">
        <f t="shared" si="11"/>
        <v>Stock initial de grains en malterie = 114 kt (Bilans par campagne - FranceAgriMer)</v>
      </c>
      <c r="O456" s="26" t="str">
        <f>Etiquettes!$J$15</f>
        <v>Probable</v>
      </c>
      <c r="P456" s="603" t="str">
        <f>Etiquettes!$H$16</f>
        <v>Données collectées</v>
      </c>
      <c r="Q456" s="603" t="str">
        <f>Etiquettes!$H$17</f>
        <v>Donnée collectée (valeur du flux ou coefficient)</v>
      </c>
      <c r="S456" s="693"/>
    </row>
    <row r="457" spans="1:19">
      <c r="A457" t="str">
        <f>Secteurs!$B$12</f>
        <v>Malterie</v>
      </c>
      <c r="B457" t="str">
        <f>Produits!$B$51</f>
        <v>Stock final</v>
      </c>
      <c r="C457" s="86">
        <f>'Bilans Orge - FAM'!Y55</f>
        <v>102.524</v>
      </c>
      <c r="E457" t="str">
        <f>Etiquettes!$C$3</f>
        <v>kt</v>
      </c>
      <c r="F457" s="26" t="str">
        <f>Etiquettes!$J$6</f>
        <v>Orge</v>
      </c>
      <c r="G457" s="26" t="str">
        <f>Etiquettes!$I$5</f>
        <v>2019-20</v>
      </c>
      <c r="H457" t="str">
        <f>Etiquettes!$C$4</f>
        <v>France entière</v>
      </c>
      <c r="I457" s="603" t="s">
        <v>1755</v>
      </c>
      <c r="K457" t="s">
        <v>1559</v>
      </c>
      <c r="L457" s="603" t="str" cm="1">
        <f t="array" aca="1" ref="L457" ca="1">[1]!NOM_FEUILLE('Bilans Blé tendre - FAM'!$A$1)</f>
        <v>Bilans Blé tendre - FAM</v>
      </c>
      <c r="M457" s="26" t="str">
        <f>Etiquettes!$H$11</f>
        <v>Volume</v>
      </c>
      <c r="N457" t="str">
        <f t="shared" si="11"/>
        <v>Stock final de grains en malterie = 103 kt (Bilans par campagne - FranceAgriMer)</v>
      </c>
      <c r="O457" s="26" t="str">
        <f>Etiquettes!$J$15</f>
        <v>Probable</v>
      </c>
      <c r="P457" s="603" t="str">
        <f>Etiquettes!$H$16</f>
        <v>Données collectées</v>
      </c>
      <c r="Q457" s="603" t="str">
        <f>Etiquettes!$H$17</f>
        <v>Donnée collectée (valeur du flux ou coefficient)</v>
      </c>
      <c r="S457" s="693"/>
    </row>
    <row r="458" spans="1:19">
      <c r="A458" t="str">
        <f>Produits!$B$50</f>
        <v>Stock initial</v>
      </c>
      <c r="B458" t="str">
        <f>Produits!$B$4</f>
        <v>Grains collectés</v>
      </c>
      <c r="C458" s="86">
        <f>'Bilans Orge - FAM'!AB56</f>
        <v>113</v>
      </c>
      <c r="E458" t="str">
        <f>Etiquettes!$C$3</f>
        <v>kt</v>
      </c>
      <c r="F458" s="26" t="str">
        <f>Etiquettes!$J$6</f>
        <v>Orge</v>
      </c>
      <c r="G458" s="26" t="str">
        <f>Etiquettes!$J$5</f>
        <v>2023-24</v>
      </c>
      <c r="H458" t="str">
        <f>Etiquettes!$C$4</f>
        <v>France entière</v>
      </c>
      <c r="I458" s="603" t="s">
        <v>1746</v>
      </c>
      <c r="K458" t="s">
        <v>1559</v>
      </c>
      <c r="L458" s="603" t="str" cm="1">
        <f t="array" aca="1" ref="L458" ca="1">[1]!NOM_FEUILLE('Bilans Blé tendre - FAM'!$A$1)</f>
        <v>Bilans Blé tendre - FAM</v>
      </c>
      <c r="M458" s="26" t="str">
        <f>Etiquettes!$H$11</f>
        <v>Volume</v>
      </c>
      <c r="N458" t="str">
        <f t="shared" si="11"/>
        <v>Stock initial de grains en silos portuaires = 113 kt (Bilans par campagne - FranceAgriMer)</v>
      </c>
      <c r="O458" s="26" t="str">
        <f>Etiquettes!$J$15</f>
        <v>Probable</v>
      </c>
      <c r="P458" s="603" t="str">
        <f>Etiquettes!$H$16</f>
        <v>Données collectées</v>
      </c>
      <c r="Q458" s="603" t="str">
        <f>Etiquettes!$H$17</f>
        <v>Donnée collectée (valeur du flux ou coefficient)</v>
      </c>
      <c r="S458" s="693"/>
    </row>
    <row r="459" spans="1:19">
      <c r="A459" t="str">
        <f>Produits!$B$4</f>
        <v>Grains collectés</v>
      </c>
      <c r="B459" t="str">
        <f>Produits!$B$51</f>
        <v>Stock final</v>
      </c>
      <c r="C459" s="86">
        <f>'Bilans Orge - FAM'!AC56</f>
        <v>113</v>
      </c>
      <c r="E459" t="str">
        <f>Etiquettes!$C$3</f>
        <v>kt</v>
      </c>
      <c r="F459" s="26" t="str">
        <f>Etiquettes!$J$6</f>
        <v>Orge</v>
      </c>
      <c r="G459" s="26" t="str">
        <f>Etiquettes!$J$5</f>
        <v>2023-24</v>
      </c>
      <c r="H459" t="str">
        <f>Etiquettes!$C$4</f>
        <v>France entière</v>
      </c>
      <c r="I459" s="603" t="s">
        <v>1747</v>
      </c>
      <c r="K459" t="s">
        <v>1559</v>
      </c>
      <c r="L459" s="603" t="str" cm="1">
        <f t="array" aca="1" ref="L459" ca="1">[1]!NOM_FEUILLE('Bilans Blé tendre - FAM'!$A$1)</f>
        <v>Bilans Blé tendre - FAM</v>
      </c>
      <c r="M459" s="26" t="str">
        <f>Etiquettes!$H$11</f>
        <v>Volume</v>
      </c>
      <c r="N459" t="str">
        <f t="shared" si="11"/>
        <v>Stock final de grains en silos portuaires = 113 kt (Bilans par campagne - FranceAgriMer)</v>
      </c>
      <c r="O459" s="26" t="str">
        <f>Etiquettes!$J$15</f>
        <v>Probable</v>
      </c>
      <c r="P459" s="603" t="str">
        <f>Etiquettes!$H$16</f>
        <v>Données collectées</v>
      </c>
      <c r="Q459" s="603" t="str">
        <f>Etiquettes!$H$17</f>
        <v>Donnée collectée (valeur du flux ou coefficient)</v>
      </c>
      <c r="S459" s="693"/>
    </row>
    <row r="460" spans="1:19">
      <c r="A460" t="str">
        <f>Produits!$B$50</f>
        <v>Stock initial</v>
      </c>
      <c r="B460" t="str">
        <f>Secteurs!$B$12</f>
        <v>Malterie</v>
      </c>
      <c r="C460" s="86">
        <f>'Bilans Orge - FAM'!AB55</f>
        <v>142.96899999999999</v>
      </c>
      <c r="E460" t="str">
        <f>Etiquettes!$C$3</f>
        <v>kt</v>
      </c>
      <c r="F460" s="26" t="str">
        <f>Etiquettes!$J$6</f>
        <v>Orge</v>
      </c>
      <c r="G460" s="26" t="str">
        <f>Etiquettes!$J$5</f>
        <v>2023-24</v>
      </c>
      <c r="H460" t="str">
        <f>Etiquettes!$C$4</f>
        <v>France entière</v>
      </c>
      <c r="I460" s="603" t="s">
        <v>1754</v>
      </c>
      <c r="K460" t="s">
        <v>1559</v>
      </c>
      <c r="L460" s="603" t="str" cm="1">
        <f t="array" aca="1" ref="L460" ca="1">[1]!NOM_FEUILLE('Bilans Blé tendre - FAM'!$A$1)</f>
        <v>Bilans Blé tendre - FAM</v>
      </c>
      <c r="M460" s="26" t="str">
        <f>Etiquettes!$H$11</f>
        <v>Volume</v>
      </c>
      <c r="N460" t="str">
        <f t="shared" si="11"/>
        <v>Stock initial de grains en malterie = 143 kt (Bilans par campagne - FranceAgriMer)</v>
      </c>
      <c r="O460" s="26" t="str">
        <f>Etiquettes!$J$15</f>
        <v>Probable</v>
      </c>
      <c r="P460" s="603" t="str">
        <f>Etiquettes!$H$16</f>
        <v>Données collectées</v>
      </c>
      <c r="Q460" s="603" t="str">
        <f>Etiquettes!$H$17</f>
        <v>Donnée collectée (valeur du flux ou coefficient)</v>
      </c>
      <c r="S460" s="693"/>
    </row>
    <row r="461" spans="1:19">
      <c r="A461" t="str">
        <f>Secteurs!$B$12</f>
        <v>Malterie</v>
      </c>
      <c r="B461" t="str">
        <f>Produits!$B$51</f>
        <v>Stock final</v>
      </c>
      <c r="C461" s="86">
        <f>'Bilans Orge - FAM'!AC55</f>
        <v>138.06299999999999</v>
      </c>
      <c r="E461" t="str">
        <f>Etiquettes!$C$3</f>
        <v>kt</v>
      </c>
      <c r="F461" s="26" t="str">
        <f>Etiquettes!$J$6</f>
        <v>Orge</v>
      </c>
      <c r="G461" s="26" t="str">
        <f>Etiquettes!$J$5</f>
        <v>2023-24</v>
      </c>
      <c r="H461" t="str">
        <f>Etiquettes!$C$4</f>
        <v>France entière</v>
      </c>
      <c r="I461" s="603" t="s">
        <v>1755</v>
      </c>
      <c r="K461" t="s">
        <v>1559</v>
      </c>
      <c r="L461" s="603" t="str" cm="1">
        <f t="array" aca="1" ref="L461" ca="1">[1]!NOM_FEUILLE('Bilans Blé tendre - FAM'!$A$1)</f>
        <v>Bilans Blé tendre - FAM</v>
      </c>
      <c r="M461" s="26" t="str">
        <f>Etiquettes!$H$11</f>
        <v>Volume</v>
      </c>
      <c r="N461" t="str">
        <f t="shared" si="11"/>
        <v>Stock final de grains en malterie = 138 kt (Bilans par campagne - FranceAgriMer)</v>
      </c>
      <c r="O461" s="26" t="str">
        <f>Etiquettes!$J$15</f>
        <v>Probable</v>
      </c>
      <c r="P461" s="603" t="str">
        <f>Etiquettes!$H$16</f>
        <v>Données collectées</v>
      </c>
      <c r="Q461" s="603" t="str">
        <f>Etiquettes!$H$17</f>
        <v>Donnée collectée (valeur du flux ou coefficient)</v>
      </c>
      <c r="S461" s="693"/>
    </row>
    <row r="462" spans="1:19">
      <c r="A462" t="str">
        <f>Produits!$B$50</f>
        <v>Stock initial</v>
      </c>
      <c r="B462" t="str">
        <f>Produits!$B$4</f>
        <v>Grains collectés</v>
      </c>
      <c r="C462" s="86">
        <f>'Bilans Blé dur - FAM'!Z52</f>
        <v>1.421</v>
      </c>
      <c r="E462" t="str">
        <f>Etiquettes!$C$3</f>
        <v>kt</v>
      </c>
      <c r="F462" s="26" t="str">
        <f>Etiquettes!$K$6</f>
        <v>Blé dur</v>
      </c>
      <c r="G462" s="26" t="str">
        <f>Etiquettes!$H$5</f>
        <v>2015-16</v>
      </c>
      <c r="H462" t="str">
        <f>Etiquettes!$C$4</f>
        <v>France entière</v>
      </c>
      <c r="I462" s="603" t="s">
        <v>1746</v>
      </c>
      <c r="K462" t="s">
        <v>1559</v>
      </c>
      <c r="L462" s="603" t="str" cm="1">
        <f t="array" aca="1" ref="L462" ca="1">[1]!NOM_FEUILLE('Bilans Blé tendre - FAM'!$A$1)</f>
        <v>Bilans Blé tendre - FAM</v>
      </c>
      <c r="M462" s="26" t="str">
        <f>Etiquettes!$H$11</f>
        <v>Volume</v>
      </c>
      <c r="N462" t="str">
        <f>_xlfn.CONCAT(I462,IF(ISBLANK(C462),"",_xlfn.CONCAT(" = ",MROUND(C462,1)," ",E462))," (",K462,")")</f>
        <v>Stock initial de grains en silos portuaires = 1 kt (Bilans par campagne - FranceAgriMer)</v>
      </c>
      <c r="O462" s="26" t="str">
        <f>Etiquettes!$J$15</f>
        <v>Probable</v>
      </c>
      <c r="P462" s="603" t="str">
        <f>Etiquettes!$H$16</f>
        <v>Données collectées</v>
      </c>
      <c r="Q462" s="603" t="str">
        <f>Etiquettes!$H$17</f>
        <v>Donnée collectée (valeur du flux ou coefficient)</v>
      </c>
      <c r="S462" s="693"/>
    </row>
    <row r="463" spans="1:19">
      <c r="A463" t="str">
        <f>Produits!$B$4</f>
        <v>Grains collectés</v>
      </c>
      <c r="B463" t="str">
        <f>Produits!$B$51</f>
        <v>Stock final</v>
      </c>
      <c r="C463" s="86">
        <f>'Bilans Blé dur - FAM'!AA52</f>
        <v>16.405999999999999</v>
      </c>
      <c r="E463" t="str">
        <f>Etiquettes!$C$3</f>
        <v>kt</v>
      </c>
      <c r="F463" s="26" t="str">
        <f>Etiquettes!$K$6</f>
        <v>Blé dur</v>
      </c>
      <c r="G463" s="26" t="str">
        <f>Etiquettes!$H$5</f>
        <v>2015-16</v>
      </c>
      <c r="H463" t="str">
        <f>Etiquettes!$C$4</f>
        <v>France entière</v>
      </c>
      <c r="I463" s="603" t="s">
        <v>1747</v>
      </c>
      <c r="K463" t="s">
        <v>1559</v>
      </c>
      <c r="L463" s="603" t="str" cm="1">
        <f t="array" aca="1" ref="L463" ca="1">[1]!NOM_FEUILLE('Bilans Blé tendre - FAM'!$A$1)</f>
        <v>Bilans Blé tendre - FAM</v>
      </c>
      <c r="M463" s="26" t="str">
        <f>Etiquettes!$H$11</f>
        <v>Volume</v>
      </c>
      <c r="N463" t="str">
        <f>_xlfn.CONCAT(I463,IF(ISBLANK(C463),"",_xlfn.CONCAT(" = ",MROUND(C463,1)," ",E463))," (",K463,")")</f>
        <v>Stock final de grains en silos portuaires = 16 kt (Bilans par campagne - FranceAgriMer)</v>
      </c>
      <c r="O463" s="26" t="str">
        <f>Etiquettes!$J$15</f>
        <v>Probable</v>
      </c>
      <c r="P463" s="603" t="str">
        <f>Etiquettes!$H$16</f>
        <v>Données collectées</v>
      </c>
      <c r="Q463" s="603" t="str">
        <f>Etiquettes!$H$17</f>
        <v>Donnée collectée (valeur du flux ou coefficient)</v>
      </c>
      <c r="S463" s="693"/>
    </row>
    <row r="464" spans="1:19">
      <c r="A464" t="str">
        <f>Produits!$B$50</f>
        <v>Stock initial</v>
      </c>
      <c r="B464" t="str">
        <f>Secteurs!$B$10</f>
        <v>Semoulerie</v>
      </c>
      <c r="C464" s="86">
        <f>'Bilans Blé dur - FAM'!Z51</f>
        <v>24.302499999999998</v>
      </c>
      <c r="E464" t="str">
        <f>Etiquettes!$C$3</f>
        <v>kt</v>
      </c>
      <c r="F464" s="26" t="str">
        <f>Etiquettes!$K$6</f>
        <v>Blé dur</v>
      </c>
      <c r="G464" s="26" t="str">
        <f>Etiquettes!$H$5</f>
        <v>2015-16</v>
      </c>
      <c r="H464" t="str">
        <f>Etiquettes!$C$4</f>
        <v>France entière</v>
      </c>
      <c r="I464" s="603" t="s">
        <v>1752</v>
      </c>
      <c r="K464" t="s">
        <v>1559</v>
      </c>
      <c r="L464" s="603" t="str" cm="1">
        <f t="array" aca="1" ref="L464" ca="1">[1]!NOM_FEUILLE('Bilans Blé tendre - FAM'!$A$1)</f>
        <v>Bilans Blé tendre - FAM</v>
      </c>
      <c r="M464" s="26" t="str">
        <f>Etiquettes!$H$11</f>
        <v>Volume</v>
      </c>
      <c r="N464" t="str">
        <f>_xlfn.CONCAT(I464,IF(ISBLANK(C464),"",_xlfn.CONCAT(" = ",MROUND(C464,1)," ",E464))," (",K464,")")</f>
        <v>Stock initial de grains en semoulerie = 24 kt (Bilans par campagne - FranceAgriMer)</v>
      </c>
      <c r="O464" s="26" t="str">
        <f>Etiquettes!$J$15</f>
        <v>Probable</v>
      </c>
      <c r="P464" s="603" t="str">
        <f>Etiquettes!$H$16</f>
        <v>Données collectées</v>
      </c>
      <c r="Q464" s="603" t="str">
        <f>Etiquettes!$H$17</f>
        <v>Donnée collectée (valeur du flux ou coefficient)</v>
      </c>
      <c r="S464" s="693"/>
    </row>
    <row r="465" spans="1:19">
      <c r="A465" t="str">
        <f>Secteurs!$B$10</f>
        <v>Semoulerie</v>
      </c>
      <c r="B465" t="str">
        <f>Produits!$B$51</f>
        <v>Stock final</v>
      </c>
      <c r="C465" s="86">
        <f>'Bilans Blé dur - FAM'!AA51</f>
        <v>24.4511</v>
      </c>
      <c r="E465" t="str">
        <f>Etiquettes!$C$3</f>
        <v>kt</v>
      </c>
      <c r="F465" s="26" t="str">
        <f>Etiquettes!$K$6</f>
        <v>Blé dur</v>
      </c>
      <c r="G465" s="26" t="str">
        <f>Etiquettes!$H$5</f>
        <v>2015-16</v>
      </c>
      <c r="H465" t="str">
        <f>Etiquettes!$C$4</f>
        <v>France entière</v>
      </c>
      <c r="I465" s="603" t="s">
        <v>1753</v>
      </c>
      <c r="K465" t="s">
        <v>1559</v>
      </c>
      <c r="L465" s="603" t="str" cm="1">
        <f t="array" aca="1" ref="L465" ca="1">[1]!NOM_FEUILLE('Bilans Blé tendre - FAM'!$A$1)</f>
        <v>Bilans Blé tendre - FAM</v>
      </c>
      <c r="M465" s="26" t="str">
        <f>Etiquettes!$H$11</f>
        <v>Volume</v>
      </c>
      <c r="N465" t="str">
        <f>_xlfn.CONCAT(I465,IF(ISBLANK(C465),"",_xlfn.CONCAT(" = ",MROUND(C465,1)," ",E465))," (",K465,")")</f>
        <v>Stock final de grains en semoulerie = 24 kt (Bilans par campagne - FranceAgriMer)</v>
      </c>
      <c r="O465" s="26" t="str">
        <f>Etiquettes!$J$15</f>
        <v>Probable</v>
      </c>
      <c r="P465" s="603" t="str">
        <f>Etiquettes!$H$16</f>
        <v>Données collectées</v>
      </c>
      <c r="Q465" s="603" t="str">
        <f>Etiquettes!$H$17</f>
        <v>Donnée collectée (valeur du flux ou coefficient)</v>
      </c>
      <c r="S465" s="693"/>
    </row>
    <row r="466" spans="1:19">
      <c r="A466" t="str">
        <f>Produits!$B$50</f>
        <v>Stock initial</v>
      </c>
      <c r="B466" t="str">
        <f>Produits!$B$4</f>
        <v>Grains collectés</v>
      </c>
      <c r="C466" s="86">
        <f>'Bilans Blé dur - FAM'!AD52</f>
        <v>5</v>
      </c>
      <c r="E466" t="str">
        <f>Etiquettes!$C$3</f>
        <v>kt</v>
      </c>
      <c r="F466" s="26" t="str">
        <f>Etiquettes!$K$6</f>
        <v>Blé dur</v>
      </c>
      <c r="G466" s="26" t="str">
        <f>Etiquettes!$I$5</f>
        <v>2019-20</v>
      </c>
      <c r="H466" t="str">
        <f>Etiquettes!$C$4</f>
        <v>France entière</v>
      </c>
      <c r="I466" s="603" t="s">
        <v>1746</v>
      </c>
      <c r="K466" t="s">
        <v>1559</v>
      </c>
      <c r="L466" s="603" t="str" cm="1">
        <f t="array" aca="1" ref="L466" ca="1">[1]!NOM_FEUILLE('Bilans Blé tendre - FAM'!$A$1)</f>
        <v>Bilans Blé tendre - FAM</v>
      </c>
      <c r="M466" s="26" t="str">
        <f>Etiquettes!$H$11</f>
        <v>Volume</v>
      </c>
      <c r="N466" t="str">
        <f t="shared" ref="N466:N473" si="12">_xlfn.CONCAT(I466,IF(ISBLANK(C466),"",_xlfn.CONCAT(" = ",MROUND(C466,1)," ",E466))," (",K466,")")</f>
        <v>Stock initial de grains en silos portuaires = 5 kt (Bilans par campagne - FranceAgriMer)</v>
      </c>
      <c r="O466" s="26" t="str">
        <f>Etiquettes!$J$15</f>
        <v>Probable</v>
      </c>
      <c r="P466" s="603" t="str">
        <f>Etiquettes!$H$16</f>
        <v>Données collectées</v>
      </c>
      <c r="Q466" s="603" t="str">
        <f>Etiquettes!$H$17</f>
        <v>Donnée collectée (valeur du flux ou coefficient)</v>
      </c>
      <c r="S466" s="693"/>
    </row>
    <row r="467" spans="1:19">
      <c r="A467" t="str">
        <f>Produits!$B$4</f>
        <v>Grains collectés</v>
      </c>
      <c r="B467" t="str">
        <f>Produits!$B$51</f>
        <v>Stock final</v>
      </c>
      <c r="C467" s="86">
        <f>'Bilans Blé dur - FAM'!AE52</f>
        <v>5</v>
      </c>
      <c r="E467" t="str">
        <f>Etiquettes!$C$3</f>
        <v>kt</v>
      </c>
      <c r="F467" s="26" t="str">
        <f>Etiquettes!$K$6</f>
        <v>Blé dur</v>
      </c>
      <c r="G467" s="26" t="str">
        <f>Etiquettes!$I$5</f>
        <v>2019-20</v>
      </c>
      <c r="H467" t="str">
        <f>Etiquettes!$C$4</f>
        <v>France entière</v>
      </c>
      <c r="I467" s="603" t="s">
        <v>1747</v>
      </c>
      <c r="K467" t="s">
        <v>1559</v>
      </c>
      <c r="L467" s="603" t="str" cm="1">
        <f t="array" aca="1" ref="L467" ca="1">[1]!NOM_FEUILLE('Bilans Blé tendre - FAM'!$A$1)</f>
        <v>Bilans Blé tendre - FAM</v>
      </c>
      <c r="M467" s="26" t="str">
        <f>Etiquettes!$H$11</f>
        <v>Volume</v>
      </c>
      <c r="N467" t="str">
        <f t="shared" si="12"/>
        <v>Stock final de grains en silos portuaires = 5 kt (Bilans par campagne - FranceAgriMer)</v>
      </c>
      <c r="O467" s="26" t="str">
        <f>Etiquettes!$J$15</f>
        <v>Probable</v>
      </c>
      <c r="P467" s="603" t="str">
        <f>Etiquettes!$H$16</f>
        <v>Données collectées</v>
      </c>
      <c r="Q467" s="603" t="str">
        <f>Etiquettes!$H$17</f>
        <v>Donnée collectée (valeur du flux ou coefficient)</v>
      </c>
      <c r="S467" s="693"/>
    </row>
    <row r="468" spans="1:19">
      <c r="A468" t="str">
        <f>Produits!$B$50</f>
        <v>Stock initial</v>
      </c>
      <c r="B468" t="str">
        <f>Secteurs!$B$10</f>
        <v>Semoulerie</v>
      </c>
      <c r="C468" s="86">
        <f>'Bilans Blé dur - FAM'!AD51</f>
        <v>75.817300000000003</v>
      </c>
      <c r="E468" t="str">
        <f>Etiquettes!$C$3</f>
        <v>kt</v>
      </c>
      <c r="F468" s="26" t="str">
        <f>Etiquettes!$K$6</f>
        <v>Blé dur</v>
      </c>
      <c r="G468" s="26" t="str">
        <f>Etiquettes!$I$5</f>
        <v>2019-20</v>
      </c>
      <c r="H468" t="str">
        <f>Etiquettes!$C$4</f>
        <v>France entière</v>
      </c>
      <c r="I468" s="603" t="s">
        <v>1752</v>
      </c>
      <c r="K468" t="s">
        <v>1559</v>
      </c>
      <c r="L468" s="603" t="str" cm="1">
        <f t="array" aca="1" ref="L468" ca="1">[1]!NOM_FEUILLE('Bilans Blé tendre - FAM'!$A$1)</f>
        <v>Bilans Blé tendre - FAM</v>
      </c>
      <c r="M468" s="26" t="str">
        <f>Etiquettes!$H$11</f>
        <v>Volume</v>
      </c>
      <c r="N468" t="str">
        <f t="shared" si="12"/>
        <v>Stock initial de grains en semoulerie = 76 kt (Bilans par campagne - FranceAgriMer)</v>
      </c>
      <c r="O468" s="26" t="str">
        <f>Etiquettes!$J$15</f>
        <v>Probable</v>
      </c>
      <c r="P468" s="603" t="str">
        <f>Etiquettes!$H$16</f>
        <v>Données collectées</v>
      </c>
      <c r="Q468" s="603" t="str">
        <f>Etiquettes!$H$17</f>
        <v>Donnée collectée (valeur du flux ou coefficient)</v>
      </c>
      <c r="S468" s="693"/>
    </row>
    <row r="469" spans="1:19">
      <c r="A469" t="str">
        <f>Secteurs!$B$10</f>
        <v>Semoulerie</v>
      </c>
      <c r="B469" t="str">
        <f>Produits!$B$51</f>
        <v>Stock final</v>
      </c>
      <c r="C469" s="86">
        <f>'Bilans Blé dur - FAM'!AE51</f>
        <v>73.421899999999994</v>
      </c>
      <c r="E469" t="str">
        <f>Etiquettes!$C$3</f>
        <v>kt</v>
      </c>
      <c r="F469" s="26" t="str">
        <f>Etiquettes!$K$6</f>
        <v>Blé dur</v>
      </c>
      <c r="G469" s="26" t="str">
        <f>Etiquettes!$I$5</f>
        <v>2019-20</v>
      </c>
      <c r="H469" t="str">
        <f>Etiquettes!$C$4</f>
        <v>France entière</v>
      </c>
      <c r="I469" s="603" t="s">
        <v>1753</v>
      </c>
      <c r="K469" t="s">
        <v>1559</v>
      </c>
      <c r="L469" s="603" t="str" cm="1">
        <f t="array" aca="1" ref="L469" ca="1">[1]!NOM_FEUILLE('Bilans Blé tendre - FAM'!$A$1)</f>
        <v>Bilans Blé tendre - FAM</v>
      </c>
      <c r="M469" s="26" t="str">
        <f>Etiquettes!$H$11</f>
        <v>Volume</v>
      </c>
      <c r="N469" t="str">
        <f t="shared" si="12"/>
        <v>Stock final de grains en semoulerie = 73 kt (Bilans par campagne - FranceAgriMer)</v>
      </c>
      <c r="O469" s="26" t="str">
        <f>Etiquettes!$J$15</f>
        <v>Probable</v>
      </c>
      <c r="P469" s="603" t="str">
        <f>Etiquettes!$H$16</f>
        <v>Données collectées</v>
      </c>
      <c r="Q469" s="603" t="str">
        <f>Etiquettes!$H$17</f>
        <v>Donnée collectée (valeur du flux ou coefficient)</v>
      </c>
      <c r="S469" s="693"/>
    </row>
    <row r="470" spans="1:19">
      <c r="A470" t="str">
        <f>Produits!$B$50</f>
        <v>Stock initial</v>
      </c>
      <c r="B470" t="str">
        <f>Produits!$B$4</f>
        <v>Grains collectés</v>
      </c>
      <c r="C470" s="86">
        <f>'Bilans Blé dur - FAM'!AH52</f>
        <v>5</v>
      </c>
      <c r="E470" t="str">
        <f>Etiquettes!$C$3</f>
        <v>kt</v>
      </c>
      <c r="F470" s="26" t="str">
        <f>Etiquettes!$K$6</f>
        <v>Blé dur</v>
      </c>
      <c r="G470" s="26" t="str">
        <f>Etiquettes!$J$5</f>
        <v>2023-24</v>
      </c>
      <c r="H470" t="str">
        <f>Etiquettes!$C$4</f>
        <v>France entière</v>
      </c>
      <c r="I470" s="603" t="s">
        <v>1746</v>
      </c>
      <c r="K470" t="s">
        <v>1559</v>
      </c>
      <c r="L470" s="603" t="str" cm="1">
        <f t="array" aca="1" ref="L470" ca="1">[1]!NOM_FEUILLE('Bilans Blé tendre - FAM'!$A$1)</f>
        <v>Bilans Blé tendre - FAM</v>
      </c>
      <c r="M470" s="26" t="str">
        <f>Etiquettes!$H$11</f>
        <v>Volume</v>
      </c>
      <c r="N470" t="str">
        <f t="shared" si="12"/>
        <v>Stock initial de grains en silos portuaires = 5 kt (Bilans par campagne - FranceAgriMer)</v>
      </c>
      <c r="O470" s="26" t="str">
        <f>Etiquettes!$J$15</f>
        <v>Probable</v>
      </c>
      <c r="P470" s="603" t="str">
        <f>Etiquettes!$H$16</f>
        <v>Données collectées</v>
      </c>
      <c r="Q470" s="603" t="str">
        <f>Etiquettes!$H$17</f>
        <v>Donnée collectée (valeur du flux ou coefficient)</v>
      </c>
      <c r="S470" s="693"/>
    </row>
    <row r="471" spans="1:19">
      <c r="A471" t="str">
        <f>Produits!$B$4</f>
        <v>Grains collectés</v>
      </c>
      <c r="B471" t="str">
        <f>Produits!$B$51</f>
        <v>Stock final</v>
      </c>
      <c r="C471" s="86">
        <f>'Bilans Blé dur - FAM'!AI52</f>
        <v>5</v>
      </c>
      <c r="E471" t="str">
        <f>Etiquettes!$C$3</f>
        <v>kt</v>
      </c>
      <c r="F471" s="26" t="str">
        <f>Etiquettes!$K$6</f>
        <v>Blé dur</v>
      </c>
      <c r="G471" s="26" t="str">
        <f>Etiquettes!$J$5</f>
        <v>2023-24</v>
      </c>
      <c r="H471" t="str">
        <f>Etiquettes!$C$4</f>
        <v>France entière</v>
      </c>
      <c r="I471" s="603" t="s">
        <v>1747</v>
      </c>
      <c r="K471" t="s">
        <v>1559</v>
      </c>
      <c r="L471" s="603" t="str" cm="1">
        <f t="array" aca="1" ref="L471" ca="1">[1]!NOM_FEUILLE('Bilans Blé tendre - FAM'!$A$1)</f>
        <v>Bilans Blé tendre - FAM</v>
      </c>
      <c r="M471" s="26" t="str">
        <f>Etiquettes!$H$11</f>
        <v>Volume</v>
      </c>
      <c r="N471" t="str">
        <f t="shared" si="12"/>
        <v>Stock final de grains en silos portuaires = 5 kt (Bilans par campagne - FranceAgriMer)</v>
      </c>
      <c r="O471" s="26" t="str">
        <f>Etiquettes!$J$15</f>
        <v>Probable</v>
      </c>
      <c r="P471" s="603" t="str">
        <f>Etiquettes!$H$16</f>
        <v>Données collectées</v>
      </c>
      <c r="Q471" s="603" t="str">
        <f>Etiquettes!$H$17</f>
        <v>Donnée collectée (valeur du flux ou coefficient)</v>
      </c>
      <c r="S471" s="693"/>
    </row>
    <row r="472" spans="1:19">
      <c r="A472" t="str">
        <f>Produits!$B$50</f>
        <v>Stock initial</v>
      </c>
      <c r="B472" t="str">
        <f>Secteurs!$B$10</f>
        <v>Semoulerie</v>
      </c>
      <c r="C472" s="86">
        <f>'Bilans Blé dur - FAM'!AH51</f>
        <v>45.734999999999999</v>
      </c>
      <c r="E472" t="str">
        <f>Etiquettes!$C$3</f>
        <v>kt</v>
      </c>
      <c r="F472" s="26" t="str">
        <f>Etiquettes!$K$6</f>
        <v>Blé dur</v>
      </c>
      <c r="G472" s="26" t="str">
        <f>Etiquettes!$J$5</f>
        <v>2023-24</v>
      </c>
      <c r="H472" t="str">
        <f>Etiquettes!$C$4</f>
        <v>France entière</v>
      </c>
      <c r="I472" s="603" t="s">
        <v>1752</v>
      </c>
      <c r="K472" t="s">
        <v>1559</v>
      </c>
      <c r="L472" s="603" t="str" cm="1">
        <f t="array" aca="1" ref="L472" ca="1">[1]!NOM_FEUILLE('Bilans Blé tendre - FAM'!$A$1)</f>
        <v>Bilans Blé tendre - FAM</v>
      </c>
      <c r="M472" s="26" t="str">
        <f>Etiquettes!$H$11</f>
        <v>Volume</v>
      </c>
      <c r="N472" t="str">
        <f t="shared" si="12"/>
        <v>Stock initial de grains en semoulerie = 46 kt (Bilans par campagne - FranceAgriMer)</v>
      </c>
      <c r="O472" s="26" t="str">
        <f>Etiquettes!$J$15</f>
        <v>Probable</v>
      </c>
      <c r="P472" s="603" t="str">
        <f>Etiquettes!$H$16</f>
        <v>Données collectées</v>
      </c>
      <c r="Q472" s="603" t="str">
        <f>Etiquettes!$H$17</f>
        <v>Donnée collectée (valeur du flux ou coefficient)</v>
      </c>
      <c r="S472" s="693"/>
    </row>
    <row r="473" spans="1:19">
      <c r="A473" t="str">
        <f>Secteurs!$B$10</f>
        <v>Semoulerie</v>
      </c>
      <c r="B473" t="str">
        <f>Produits!$B$51</f>
        <v>Stock final</v>
      </c>
      <c r="C473" s="86">
        <f>'Bilans Blé dur - FAM'!AI51</f>
        <v>43.828800000000001</v>
      </c>
      <c r="E473" t="str">
        <f>Etiquettes!$C$3</f>
        <v>kt</v>
      </c>
      <c r="F473" s="26" t="str">
        <f>Etiquettes!$K$6</f>
        <v>Blé dur</v>
      </c>
      <c r="G473" s="26" t="str">
        <f>Etiquettes!$J$5</f>
        <v>2023-24</v>
      </c>
      <c r="H473" t="str">
        <f>Etiquettes!$C$4</f>
        <v>France entière</v>
      </c>
      <c r="I473" s="603" t="s">
        <v>1753</v>
      </c>
      <c r="K473" t="s">
        <v>1559</v>
      </c>
      <c r="L473" s="603" t="str" cm="1">
        <f t="array" aca="1" ref="L473" ca="1">[1]!NOM_FEUILLE('Bilans Blé tendre - FAM'!$A$1)</f>
        <v>Bilans Blé tendre - FAM</v>
      </c>
      <c r="M473" s="26" t="str">
        <f>Etiquettes!$H$11</f>
        <v>Volume</v>
      </c>
      <c r="N473" t="str">
        <f t="shared" si="12"/>
        <v>Stock final de grains en semoulerie = 44 kt (Bilans par campagne - FranceAgriMer)</v>
      </c>
      <c r="O473" s="26" t="str">
        <f>Etiquettes!$J$15</f>
        <v>Probable</v>
      </c>
      <c r="P473" s="603" t="str">
        <f>Etiquettes!$H$16</f>
        <v>Données collectées</v>
      </c>
      <c r="Q473" s="603" t="str">
        <f>Etiquettes!$H$17</f>
        <v>Donnée collectée (valeur du flux ou coefficient)</v>
      </c>
      <c r="S473" s="693"/>
    </row>
    <row r="474" spans="1:19">
      <c r="A474" t="str">
        <f>Produits!$B$50</f>
        <v>Stock initial</v>
      </c>
      <c r="B474" t="str">
        <f>Secteurs!$B$8</f>
        <v>Meunerie</v>
      </c>
      <c r="C474" s="86">
        <f>'Bilans Seigle - FAM'!Q43</f>
        <v>2.1056919999999999</v>
      </c>
      <c r="E474" t="str">
        <f>Etiquettes!$C$3</f>
        <v>kt</v>
      </c>
      <c r="F474" s="26" t="str">
        <f>Etiquettes!$O$6</f>
        <v>Seigle</v>
      </c>
      <c r="G474" s="26" t="str">
        <f>Etiquettes!$H$5</f>
        <v>2015-16</v>
      </c>
      <c r="H474" t="str">
        <f>Etiquettes!$C$4</f>
        <v>France entière</v>
      </c>
      <c r="I474" s="603" t="s">
        <v>1748</v>
      </c>
      <c r="K474" t="s">
        <v>1559</v>
      </c>
      <c r="L474" s="603" t="str" cm="1">
        <f t="array" aca="1" ref="L474" ca="1">[1]!NOM_FEUILLE('Bilans Blé tendre - FAM'!$A$1)</f>
        <v>Bilans Blé tendre - FAM</v>
      </c>
      <c r="M474" s="26" t="str">
        <f>Etiquettes!$H$11</f>
        <v>Volume</v>
      </c>
      <c r="N474" t="str">
        <f>_xlfn.CONCAT(I474,IF(ISBLANK(C474),"",_xlfn.CONCAT(" = ",MROUND(C474,1)," ",E474))," (",K474,")")</f>
        <v>Stock initial de grains en meunerie = 2 kt (Bilans par campagne - FranceAgriMer)</v>
      </c>
      <c r="O474" s="26" t="str">
        <f>Etiquettes!$J$15</f>
        <v>Probable</v>
      </c>
      <c r="P474" s="603" t="str">
        <f>Etiquettes!$H$16</f>
        <v>Données collectées</v>
      </c>
      <c r="Q474" s="603" t="str">
        <f>Etiquettes!$H$17</f>
        <v>Donnée collectée (valeur du flux ou coefficient)</v>
      </c>
      <c r="S474" s="693"/>
    </row>
    <row r="475" spans="1:19">
      <c r="A475" t="str">
        <f>Secteurs!$B$8</f>
        <v>Meunerie</v>
      </c>
      <c r="B475" t="str">
        <f>Produits!$B$51</f>
        <v>Stock final</v>
      </c>
      <c r="C475" s="86">
        <f>'Bilans Seigle - FAM'!R43</f>
        <v>2.0244210000000002</v>
      </c>
      <c r="E475" t="str">
        <f>Etiquettes!$C$3</f>
        <v>kt</v>
      </c>
      <c r="F475" s="26" t="str">
        <f>Etiquettes!$O$6</f>
        <v>Seigle</v>
      </c>
      <c r="G475" s="26" t="str">
        <f>Etiquettes!$H$5</f>
        <v>2015-16</v>
      </c>
      <c r="H475" t="str">
        <f>Etiquettes!$C$4</f>
        <v>France entière</v>
      </c>
      <c r="I475" s="603" t="s">
        <v>1749</v>
      </c>
      <c r="K475" t="s">
        <v>1559</v>
      </c>
      <c r="L475" s="603" t="str" cm="1">
        <f t="array" aca="1" ref="L475" ca="1">[1]!NOM_FEUILLE('Bilans Blé tendre - FAM'!$A$1)</f>
        <v>Bilans Blé tendre - FAM</v>
      </c>
      <c r="M475" s="26" t="str">
        <f>Etiquettes!$H$11</f>
        <v>Volume</v>
      </c>
      <c r="N475" t="str">
        <f>_xlfn.CONCAT(I475,IF(ISBLANK(C475),"",_xlfn.CONCAT(" = ",MROUND(C475,1)," ",E475))," (",K475,")")</f>
        <v>Stock final de grains en meunerie = 2 kt (Bilans par campagne - FranceAgriMer)</v>
      </c>
      <c r="O475" s="26" t="str">
        <f>Etiquettes!$J$15</f>
        <v>Probable</v>
      </c>
      <c r="P475" s="603" t="str">
        <f>Etiquettes!$H$16</f>
        <v>Données collectées</v>
      </c>
      <c r="Q475" s="603" t="str">
        <f>Etiquettes!$H$17</f>
        <v>Donnée collectée (valeur du flux ou coefficient)</v>
      </c>
      <c r="S475" s="693"/>
    </row>
    <row r="476" spans="1:19">
      <c r="A476" t="str">
        <f>Produits!$B$50</f>
        <v>Stock initial</v>
      </c>
      <c r="B476" t="str">
        <f>Secteurs!$B$8</f>
        <v>Meunerie</v>
      </c>
      <c r="C476" s="86">
        <f>'Bilans Seigle - FAM'!U43</f>
        <v>1.5376569999999998</v>
      </c>
      <c r="E476" t="str">
        <f>Etiquettes!$C$3</f>
        <v>kt</v>
      </c>
      <c r="F476" s="26" t="str">
        <f>Etiquettes!$O$6</f>
        <v>Seigle</v>
      </c>
      <c r="G476" s="26" t="str">
        <f>Etiquettes!$I$5</f>
        <v>2019-20</v>
      </c>
      <c r="H476" t="str">
        <f>Etiquettes!$C$4</f>
        <v>France entière</v>
      </c>
      <c r="I476" s="603" t="s">
        <v>1748</v>
      </c>
      <c r="K476" t="s">
        <v>1559</v>
      </c>
      <c r="L476" s="603" t="str" cm="1">
        <f t="array" aca="1" ref="L476" ca="1">[1]!NOM_FEUILLE('Bilans Blé tendre - FAM'!$A$1)</f>
        <v>Bilans Blé tendre - FAM</v>
      </c>
      <c r="M476" s="26" t="str">
        <f>Etiquettes!$H$11</f>
        <v>Volume</v>
      </c>
      <c r="N476" t="str">
        <f t="shared" ref="N476:N479" si="13">_xlfn.CONCAT(I476,IF(ISBLANK(C476),"",_xlfn.CONCAT(" = ",MROUND(C476,1)," ",E476))," (",K476,")")</f>
        <v>Stock initial de grains en meunerie = 2 kt (Bilans par campagne - FranceAgriMer)</v>
      </c>
      <c r="O476" s="26" t="str">
        <f>Etiquettes!$J$15</f>
        <v>Probable</v>
      </c>
      <c r="P476" s="603" t="str">
        <f>Etiquettes!$H$16</f>
        <v>Données collectées</v>
      </c>
      <c r="Q476" s="603" t="str">
        <f>Etiquettes!$H$17</f>
        <v>Donnée collectée (valeur du flux ou coefficient)</v>
      </c>
      <c r="S476" s="693"/>
    </row>
    <row r="477" spans="1:19">
      <c r="A477" t="str">
        <f>Secteurs!$B$8</f>
        <v>Meunerie</v>
      </c>
      <c r="B477" t="str">
        <f>Produits!$B$51</f>
        <v>Stock final</v>
      </c>
      <c r="C477" s="86">
        <f>'Bilans Seigle - FAM'!V43</f>
        <v>1.6178140000000001</v>
      </c>
      <c r="E477" t="str">
        <f>Etiquettes!$C$3</f>
        <v>kt</v>
      </c>
      <c r="F477" s="26" t="str">
        <f>Etiquettes!$O$6</f>
        <v>Seigle</v>
      </c>
      <c r="G477" s="26" t="str">
        <f>Etiquettes!$I$5</f>
        <v>2019-20</v>
      </c>
      <c r="H477" t="str">
        <f>Etiquettes!$C$4</f>
        <v>France entière</v>
      </c>
      <c r="I477" s="603" t="s">
        <v>1749</v>
      </c>
      <c r="K477" t="s">
        <v>1559</v>
      </c>
      <c r="L477" s="603" t="str" cm="1">
        <f t="array" aca="1" ref="L477" ca="1">[1]!NOM_FEUILLE('Bilans Blé tendre - FAM'!$A$1)</f>
        <v>Bilans Blé tendre - FAM</v>
      </c>
      <c r="M477" s="26" t="str">
        <f>Etiquettes!$H$11</f>
        <v>Volume</v>
      </c>
      <c r="N477" t="str">
        <f t="shared" si="13"/>
        <v>Stock final de grains en meunerie = 2 kt (Bilans par campagne - FranceAgriMer)</v>
      </c>
      <c r="O477" s="26" t="str">
        <f>Etiquettes!$J$15</f>
        <v>Probable</v>
      </c>
      <c r="P477" s="603" t="str">
        <f>Etiquettes!$H$16</f>
        <v>Données collectées</v>
      </c>
      <c r="Q477" s="603" t="str">
        <f>Etiquettes!$H$17</f>
        <v>Donnée collectée (valeur du flux ou coefficient)</v>
      </c>
      <c r="S477" s="693"/>
    </row>
    <row r="478" spans="1:19">
      <c r="A478" t="str">
        <f>Produits!$B$50</f>
        <v>Stock initial</v>
      </c>
      <c r="B478" t="str">
        <f>Secteurs!$B$8</f>
        <v>Meunerie</v>
      </c>
      <c r="C478" s="86">
        <f>'Bilans Seigle - FAM'!Y43</f>
        <v>1.59775</v>
      </c>
      <c r="E478" t="str">
        <f>Etiquettes!$C$3</f>
        <v>kt</v>
      </c>
      <c r="F478" s="26" t="str">
        <f>Etiquettes!$O$6</f>
        <v>Seigle</v>
      </c>
      <c r="G478" s="26" t="str">
        <f>Etiquettes!$J$5</f>
        <v>2023-24</v>
      </c>
      <c r="H478" t="str">
        <f>Etiquettes!$C$4</f>
        <v>France entière</v>
      </c>
      <c r="I478" s="603" t="s">
        <v>1748</v>
      </c>
      <c r="K478" t="s">
        <v>1559</v>
      </c>
      <c r="L478" s="603" t="str" cm="1">
        <f t="array" aca="1" ref="L478" ca="1">[1]!NOM_FEUILLE('Bilans Blé tendre - FAM'!$A$1)</f>
        <v>Bilans Blé tendre - FAM</v>
      </c>
      <c r="M478" s="26" t="str">
        <f>Etiquettes!$H$11</f>
        <v>Volume</v>
      </c>
      <c r="N478" t="str">
        <f t="shared" si="13"/>
        <v>Stock initial de grains en meunerie = 2 kt (Bilans par campagne - FranceAgriMer)</v>
      </c>
      <c r="O478" s="26" t="str">
        <f>Etiquettes!$J$15</f>
        <v>Probable</v>
      </c>
      <c r="P478" s="603" t="str">
        <f>Etiquettes!$H$16</f>
        <v>Données collectées</v>
      </c>
      <c r="Q478" s="603" t="str">
        <f>Etiquettes!$H$17</f>
        <v>Donnée collectée (valeur du flux ou coefficient)</v>
      </c>
      <c r="S478" s="693"/>
    </row>
    <row r="479" spans="1:19">
      <c r="A479" t="str">
        <f>Secteurs!$B$8</f>
        <v>Meunerie</v>
      </c>
      <c r="B479" t="str">
        <f>Produits!$B$51</f>
        <v>Stock final</v>
      </c>
      <c r="C479" s="86">
        <f>'Bilans Seigle - FAM'!Z43</f>
        <v>1.894423</v>
      </c>
      <c r="E479" t="str">
        <f>Etiquettes!$C$3</f>
        <v>kt</v>
      </c>
      <c r="F479" s="26" t="str">
        <f>Etiquettes!$O$6</f>
        <v>Seigle</v>
      </c>
      <c r="G479" s="26" t="str">
        <f>Etiquettes!$J$5</f>
        <v>2023-24</v>
      </c>
      <c r="H479" t="str">
        <f>Etiquettes!$C$4</f>
        <v>France entière</v>
      </c>
      <c r="I479" s="603" t="s">
        <v>1749</v>
      </c>
      <c r="K479" t="s">
        <v>1559</v>
      </c>
      <c r="L479" s="603" t="str" cm="1">
        <f t="array" aca="1" ref="L479" ca="1">[1]!NOM_FEUILLE('Bilans Blé tendre - FAM'!$A$1)</f>
        <v>Bilans Blé tendre - FAM</v>
      </c>
      <c r="M479" s="26" t="str">
        <f>Etiquettes!$H$11</f>
        <v>Volume</v>
      </c>
      <c r="N479" t="str">
        <f t="shared" si="13"/>
        <v>Stock final de grains en meunerie = 2 kt (Bilans par campagne - FranceAgriMer)</v>
      </c>
      <c r="O479" s="26" t="str">
        <f>Etiquettes!$J$15</f>
        <v>Probable</v>
      </c>
      <c r="P479" s="603" t="str">
        <f>Etiquettes!$H$16</f>
        <v>Données collectées</v>
      </c>
      <c r="Q479" s="603" t="str">
        <f>Etiquettes!$H$17</f>
        <v>Donnée collectée (valeur du flux ou coefficient)</v>
      </c>
      <c r="S479" s="693"/>
    </row>
    <row r="480" spans="1:19">
      <c r="A480" t="str">
        <f>Produits!$B$50</f>
        <v>Stock initial</v>
      </c>
      <c r="B480" t="str">
        <f>Secteurs!$B$8</f>
        <v>Meunerie</v>
      </c>
      <c r="C480" s="86">
        <f>'Bilans Sarrasin - FAM'!N43</f>
        <v>1.134595</v>
      </c>
      <c r="E480" t="str">
        <f>Etiquettes!$C$3</f>
        <v>kt</v>
      </c>
      <c r="F480" s="26" t="str">
        <f>Etiquettes!$P$6</f>
        <v>Sarrasin</v>
      </c>
      <c r="G480" s="26" t="str">
        <f>Etiquettes!$H$5</f>
        <v>2015-16</v>
      </c>
      <c r="H480" t="str">
        <f>Etiquettes!$C$4</f>
        <v>France entière</v>
      </c>
      <c r="I480" s="603" t="s">
        <v>1748</v>
      </c>
      <c r="K480" t="s">
        <v>1559</v>
      </c>
      <c r="L480" s="603" t="str" cm="1">
        <f t="array" aca="1" ref="L480" ca="1">[1]!NOM_FEUILLE('Bilans Blé tendre - FAM'!$A$1)</f>
        <v>Bilans Blé tendre - FAM</v>
      </c>
      <c r="M480" s="26" t="str">
        <f>Etiquettes!$H$11</f>
        <v>Volume</v>
      </c>
      <c r="N480" t="str">
        <f>_xlfn.CONCAT(I480,IF(ISBLANK(C480),"",_xlfn.CONCAT(" = ",MROUND(C480,1)," ",E480))," (",K480,")")</f>
        <v>Stock initial de grains en meunerie = 1 kt (Bilans par campagne - FranceAgriMer)</v>
      </c>
      <c r="O480" s="26" t="str">
        <f>Etiquettes!$J$15</f>
        <v>Probable</v>
      </c>
      <c r="P480" s="603" t="str">
        <f>Etiquettes!$H$16</f>
        <v>Données collectées</v>
      </c>
      <c r="Q480" s="603" t="str">
        <f>Etiquettes!$H$17</f>
        <v>Donnée collectée (valeur du flux ou coefficient)</v>
      </c>
      <c r="S480" s="693"/>
    </row>
    <row r="481" spans="1:19">
      <c r="A481" t="str">
        <f>Secteurs!$B$8</f>
        <v>Meunerie</v>
      </c>
      <c r="B481" t="str">
        <f>Produits!$B$51</f>
        <v>Stock final</v>
      </c>
      <c r="C481" s="86">
        <f>'Bilans Sarrasin - FAM'!O43</f>
        <v>1.1228320000000003</v>
      </c>
      <c r="E481" t="str">
        <f>Etiquettes!$C$3</f>
        <v>kt</v>
      </c>
      <c r="F481" s="26" t="str">
        <f>Etiquettes!$P$6</f>
        <v>Sarrasin</v>
      </c>
      <c r="G481" s="26" t="str">
        <f>Etiquettes!$H$5</f>
        <v>2015-16</v>
      </c>
      <c r="H481" t="str">
        <f>Etiquettes!$C$4</f>
        <v>France entière</v>
      </c>
      <c r="I481" s="603" t="s">
        <v>1749</v>
      </c>
      <c r="K481" t="s">
        <v>1559</v>
      </c>
      <c r="L481" s="603" t="str" cm="1">
        <f t="array" aca="1" ref="L481" ca="1">[1]!NOM_FEUILLE('Bilans Blé tendre - FAM'!$A$1)</f>
        <v>Bilans Blé tendre - FAM</v>
      </c>
      <c r="M481" s="26" t="str">
        <f>Etiquettes!$H$11</f>
        <v>Volume</v>
      </c>
      <c r="N481" t="str">
        <f>_xlfn.CONCAT(I481,IF(ISBLANK(C481),"",_xlfn.CONCAT(" = ",MROUND(C481,1)," ",E481))," (",K481,")")</f>
        <v>Stock final de grains en meunerie = 1 kt (Bilans par campagne - FranceAgriMer)</v>
      </c>
      <c r="O481" s="26" t="str">
        <f>Etiquettes!$J$15</f>
        <v>Probable</v>
      </c>
      <c r="P481" s="603" t="str">
        <f>Etiquettes!$H$16</f>
        <v>Données collectées</v>
      </c>
      <c r="Q481" s="603" t="str">
        <f>Etiquettes!$H$17</f>
        <v>Donnée collectée (valeur du flux ou coefficient)</v>
      </c>
      <c r="S481" s="693"/>
    </row>
    <row r="482" spans="1:19">
      <c r="A482" t="str">
        <f>Produits!$B$50</f>
        <v>Stock initial</v>
      </c>
      <c r="B482" t="str">
        <f>Secteurs!$B$8</f>
        <v>Meunerie</v>
      </c>
      <c r="C482" s="86">
        <f>'Bilans Sarrasin - FAM'!R43</f>
        <v>1.1019310000000002</v>
      </c>
      <c r="E482" t="str">
        <f>Etiquettes!$C$3</f>
        <v>kt</v>
      </c>
      <c r="F482" s="26" t="str">
        <f>Etiquettes!$P$6</f>
        <v>Sarrasin</v>
      </c>
      <c r="G482" s="26" t="str">
        <f>Etiquettes!$I$5</f>
        <v>2019-20</v>
      </c>
      <c r="H482" t="str">
        <f>Etiquettes!$C$4</f>
        <v>France entière</v>
      </c>
      <c r="I482" s="603" t="s">
        <v>1748</v>
      </c>
      <c r="K482" t="s">
        <v>1559</v>
      </c>
      <c r="L482" s="603" t="str" cm="1">
        <f t="array" aca="1" ref="L482" ca="1">[1]!NOM_FEUILLE('Bilans Blé tendre - FAM'!$A$1)</f>
        <v>Bilans Blé tendre - FAM</v>
      </c>
      <c r="M482" s="26" t="str">
        <f>Etiquettes!$H$11</f>
        <v>Volume</v>
      </c>
      <c r="N482" t="str">
        <f t="shared" ref="N482:N485" si="14">_xlfn.CONCAT(I482,IF(ISBLANK(C482),"",_xlfn.CONCAT(" = ",MROUND(C482,1)," ",E482))," (",K482,")")</f>
        <v>Stock initial de grains en meunerie = 1 kt (Bilans par campagne - FranceAgriMer)</v>
      </c>
      <c r="O482" s="26" t="str">
        <f>Etiquettes!$J$15</f>
        <v>Probable</v>
      </c>
      <c r="P482" s="603" t="str">
        <f>Etiquettes!$H$16</f>
        <v>Données collectées</v>
      </c>
      <c r="Q482" s="603" t="str">
        <f>Etiquettes!$H$17</f>
        <v>Donnée collectée (valeur du flux ou coefficient)</v>
      </c>
      <c r="S482" s="693"/>
    </row>
    <row r="483" spans="1:19">
      <c r="A483" t="str">
        <f>Secteurs!$B$8</f>
        <v>Meunerie</v>
      </c>
      <c r="B483" t="str">
        <f>Produits!$B$51</f>
        <v>Stock final</v>
      </c>
      <c r="C483" s="86">
        <f>'Bilans Sarrasin - FAM'!S43</f>
        <v>1.1788180000000004</v>
      </c>
      <c r="E483" t="str">
        <f>Etiquettes!$C$3</f>
        <v>kt</v>
      </c>
      <c r="F483" s="26" t="str">
        <f>Etiquettes!$P$6</f>
        <v>Sarrasin</v>
      </c>
      <c r="G483" s="26" t="str">
        <f>Etiquettes!$I$5</f>
        <v>2019-20</v>
      </c>
      <c r="H483" t="str">
        <f>Etiquettes!$C$4</f>
        <v>France entière</v>
      </c>
      <c r="I483" s="603" t="s">
        <v>1749</v>
      </c>
      <c r="K483" t="s">
        <v>1559</v>
      </c>
      <c r="L483" s="603" t="str" cm="1">
        <f t="array" aca="1" ref="L483" ca="1">[1]!NOM_FEUILLE('Bilans Blé tendre - FAM'!$A$1)</f>
        <v>Bilans Blé tendre - FAM</v>
      </c>
      <c r="M483" s="26" t="str">
        <f>Etiquettes!$H$11</f>
        <v>Volume</v>
      </c>
      <c r="N483" t="str">
        <f t="shared" si="14"/>
        <v>Stock final de grains en meunerie = 1 kt (Bilans par campagne - FranceAgriMer)</v>
      </c>
      <c r="O483" s="26" t="str">
        <f>Etiquettes!$J$15</f>
        <v>Probable</v>
      </c>
      <c r="P483" s="603" t="str">
        <f>Etiquettes!$H$16</f>
        <v>Données collectées</v>
      </c>
      <c r="Q483" s="603" t="str">
        <f>Etiquettes!$H$17</f>
        <v>Donnée collectée (valeur du flux ou coefficient)</v>
      </c>
      <c r="S483" s="693"/>
    </row>
    <row r="484" spans="1:19">
      <c r="A484" t="str">
        <f>Produits!$B$50</f>
        <v>Stock initial</v>
      </c>
      <c r="B484" t="str">
        <f>Secteurs!$B$8</f>
        <v>Meunerie</v>
      </c>
      <c r="C484" s="86">
        <f>'Bilans Sarrasin - FAM'!V43</f>
        <v>2.6448309999999999</v>
      </c>
      <c r="E484" t="str">
        <f>Etiquettes!$C$3</f>
        <v>kt</v>
      </c>
      <c r="F484" s="26" t="str">
        <f>Etiquettes!$P$6</f>
        <v>Sarrasin</v>
      </c>
      <c r="G484" s="26" t="str">
        <f>Etiquettes!$J$5</f>
        <v>2023-24</v>
      </c>
      <c r="H484" t="str">
        <f>Etiquettes!$C$4</f>
        <v>France entière</v>
      </c>
      <c r="I484" s="603" t="s">
        <v>1748</v>
      </c>
      <c r="K484" t="s">
        <v>1559</v>
      </c>
      <c r="L484" s="603" t="str" cm="1">
        <f t="array" aca="1" ref="L484" ca="1">[1]!NOM_FEUILLE('Bilans Blé tendre - FAM'!$A$1)</f>
        <v>Bilans Blé tendre - FAM</v>
      </c>
      <c r="M484" s="26" t="str">
        <f>Etiquettes!$H$11</f>
        <v>Volume</v>
      </c>
      <c r="N484" t="str">
        <f t="shared" si="14"/>
        <v>Stock initial de grains en meunerie = 3 kt (Bilans par campagne - FranceAgriMer)</v>
      </c>
      <c r="O484" s="26" t="str">
        <f>Etiquettes!$J$15</f>
        <v>Probable</v>
      </c>
      <c r="P484" s="603" t="str">
        <f>Etiquettes!$H$16</f>
        <v>Données collectées</v>
      </c>
      <c r="Q484" s="603" t="str">
        <f>Etiquettes!$H$17</f>
        <v>Donnée collectée (valeur du flux ou coefficient)</v>
      </c>
      <c r="S484" s="693"/>
    </row>
    <row r="485" spans="1:19">
      <c r="A485" t="str">
        <f>Secteurs!$B$8</f>
        <v>Meunerie</v>
      </c>
      <c r="B485" t="str">
        <f>Produits!$B$51</f>
        <v>Stock final</v>
      </c>
      <c r="C485" s="86">
        <f>'Bilans Sarrasin - FAM'!W43</f>
        <v>1.989608</v>
      </c>
      <c r="E485" t="str">
        <f>Etiquettes!$C$3</f>
        <v>kt</v>
      </c>
      <c r="F485" s="26" t="str">
        <f>Etiquettes!$P$6</f>
        <v>Sarrasin</v>
      </c>
      <c r="G485" s="26" t="str">
        <f>Etiquettes!$J$5</f>
        <v>2023-24</v>
      </c>
      <c r="H485" t="str">
        <f>Etiquettes!$C$4</f>
        <v>France entière</v>
      </c>
      <c r="I485" s="603" t="s">
        <v>1749</v>
      </c>
      <c r="K485" t="s">
        <v>1559</v>
      </c>
      <c r="L485" s="603" t="str" cm="1">
        <f t="array" aca="1" ref="L485" ca="1">[1]!NOM_FEUILLE('Bilans Blé tendre - FAM'!$A$1)</f>
        <v>Bilans Blé tendre - FAM</v>
      </c>
      <c r="M485" s="26" t="str">
        <f>Etiquettes!$H$11</f>
        <v>Volume</v>
      </c>
      <c r="N485" t="str">
        <f t="shared" si="14"/>
        <v>Stock final de grains en meunerie = 2 kt (Bilans par campagne - FranceAgriMer)</v>
      </c>
      <c r="O485" s="26" t="str">
        <f>Etiquettes!$J$15</f>
        <v>Probable</v>
      </c>
      <c r="P485" s="603" t="str">
        <f>Etiquettes!$H$16</f>
        <v>Données collectées</v>
      </c>
      <c r="Q485" s="603" t="str">
        <f>Etiquettes!$H$17</f>
        <v>Donnée collectée (valeur du flux ou coefficient)</v>
      </c>
      <c r="S485" s="693"/>
    </row>
    <row r="486" spans="1:19">
      <c r="A486" t="str">
        <f>Produits!$B$50</f>
        <v>Stock initial</v>
      </c>
      <c r="B486" t="str">
        <f>Produits!$B$4</f>
        <v>Grains collectés</v>
      </c>
      <c r="C486" s="571">
        <v>0</v>
      </c>
      <c r="E486" t="str">
        <f>Etiquettes!$C$3</f>
        <v>kt</v>
      </c>
      <c r="F486" s="26" t="s">
        <v>1758</v>
      </c>
      <c r="G486" s="26" t="str">
        <f>Etiquettes!$C$5</f>
        <v>2015-16:2019-20:2023-24</v>
      </c>
      <c r="H486" t="str">
        <f>Etiquettes!$C$4</f>
        <v>France entière</v>
      </c>
      <c r="I486" s="603" t="s">
        <v>1746</v>
      </c>
      <c r="K486" t="s">
        <v>1559</v>
      </c>
      <c r="L486" s="603" t="str" cm="1">
        <f t="array" aca="1" ref="L486" ca="1">[1]!NOM_FEUILLE('Bilans Blé tendre - FAM'!$A$1)</f>
        <v>Bilans Blé tendre - FAM</v>
      </c>
      <c r="M486" s="26" t="str">
        <f>Etiquettes!$H$11</f>
        <v>Volume</v>
      </c>
      <c r="N486" t="str">
        <f>_xlfn.CONCAT(I486,IF(ISBLANK(C486),"",_xlfn.CONCAT(" = ",MROUND(C486,1)," ",E486))," (",K486,")")</f>
        <v>Stock initial de grains en silos portuaires = 0 kt (Bilans par campagne - FranceAgriMer)</v>
      </c>
      <c r="O486" s="26" t="str">
        <f>Etiquettes!$J$15</f>
        <v>Probable</v>
      </c>
      <c r="P486" s="603" t="str">
        <f>Etiquettes!$H$16</f>
        <v>Données collectées</v>
      </c>
      <c r="Q486" s="603" t="str">
        <f>Etiquettes!$H$17</f>
        <v>Donnée collectée (valeur du flux ou coefficient)</v>
      </c>
      <c r="R486" s="693" t="s">
        <v>1757</v>
      </c>
      <c r="S486" s="693"/>
    </row>
    <row r="487" spans="1:19">
      <c r="A487" t="str">
        <f>Produits!$B$4</f>
        <v>Grains collectés</v>
      </c>
      <c r="B487" t="str">
        <f>Produits!$B$51</f>
        <v>Stock final</v>
      </c>
      <c r="C487" s="571">
        <v>0</v>
      </c>
      <c r="E487" t="str">
        <f>Etiquettes!$C$3</f>
        <v>kt</v>
      </c>
      <c r="F487" s="26" t="s">
        <v>1758</v>
      </c>
      <c r="G487" s="26" t="str">
        <f>Etiquettes!$C$5</f>
        <v>2015-16:2019-20:2023-24</v>
      </c>
      <c r="H487" t="str">
        <f>Etiquettes!$C$4</f>
        <v>France entière</v>
      </c>
      <c r="I487" s="603" t="s">
        <v>1747</v>
      </c>
      <c r="K487" t="s">
        <v>1559</v>
      </c>
      <c r="L487" s="603" t="str" cm="1">
        <f t="array" aca="1" ref="L487" ca="1">[1]!NOM_FEUILLE('Bilans Blé tendre - FAM'!$A$1)</f>
        <v>Bilans Blé tendre - FAM</v>
      </c>
      <c r="M487" s="26" t="str">
        <f>Etiquettes!$H$11</f>
        <v>Volume</v>
      </c>
      <c r="N487" t="str">
        <f t="shared" ref="N487:N491" si="15">_xlfn.CONCAT(I487,IF(ISBLANK(C487),"",_xlfn.CONCAT(" = ",MROUND(C487,1)," ",E487))," (",K487,")")</f>
        <v>Stock final de grains en silos portuaires = 0 kt (Bilans par campagne - FranceAgriMer)</v>
      </c>
      <c r="O487" s="26" t="str">
        <f>Etiquettes!$J$15</f>
        <v>Probable</v>
      </c>
      <c r="P487" s="603" t="str">
        <f>Etiquettes!$H$16</f>
        <v>Données collectées</v>
      </c>
      <c r="Q487" s="603" t="str">
        <f>Etiquettes!$H$17</f>
        <v>Donnée collectée (valeur du flux ou coefficient)</v>
      </c>
      <c r="R487" s="693"/>
      <c r="S487" s="693"/>
    </row>
    <row r="488" spans="1:19">
      <c r="A488" t="str">
        <f>Produits!$B$50</f>
        <v>Stock initial</v>
      </c>
      <c r="B488" t="str">
        <f>Secteurs!$B$8</f>
        <v>Meunerie</v>
      </c>
      <c r="C488" s="571">
        <v>0</v>
      </c>
      <c r="E488" t="str">
        <f>Etiquettes!$C$3</f>
        <v>kt</v>
      </c>
      <c r="F488" s="26" t="s">
        <v>1759</v>
      </c>
      <c r="G488" s="26" t="str">
        <f>Etiquettes!$C$5</f>
        <v>2015-16:2019-20:2023-24</v>
      </c>
      <c r="H488" t="str">
        <f>Etiquettes!$C$4</f>
        <v>France entière</v>
      </c>
      <c r="I488" s="603" t="s">
        <v>1748</v>
      </c>
      <c r="K488" t="s">
        <v>1559</v>
      </c>
      <c r="L488" s="603" t="str" cm="1">
        <f t="array" aca="1" ref="L488" ca="1">[1]!NOM_FEUILLE('Bilans Blé tendre - FAM'!$A$1)</f>
        <v>Bilans Blé tendre - FAM</v>
      </c>
      <c r="M488" s="26" t="str">
        <f>Etiquettes!$H$11</f>
        <v>Volume</v>
      </c>
      <c r="N488" t="str">
        <f t="shared" si="15"/>
        <v>Stock initial de grains en meunerie = 0 kt (Bilans par campagne - FranceAgriMer)</v>
      </c>
      <c r="O488" s="26" t="str">
        <f>Etiquettes!$J$15</f>
        <v>Probable</v>
      </c>
      <c r="P488" s="603" t="str">
        <f>Etiquettes!$H$16</f>
        <v>Données collectées</v>
      </c>
      <c r="Q488" s="603" t="str">
        <f>Etiquettes!$H$17</f>
        <v>Donnée collectée (valeur du flux ou coefficient)</v>
      </c>
      <c r="R488" s="693"/>
      <c r="S488" s="693"/>
    </row>
    <row r="489" spans="1:19">
      <c r="A489" t="str">
        <f>Secteurs!$B$8</f>
        <v>Meunerie</v>
      </c>
      <c r="B489" t="str">
        <f>Produits!$B$51</f>
        <v>Stock final</v>
      </c>
      <c r="C489" s="571">
        <v>0</v>
      </c>
      <c r="E489" t="str">
        <f>Etiquettes!$C$3</f>
        <v>kt</v>
      </c>
      <c r="F489" s="26" t="s">
        <v>1759</v>
      </c>
      <c r="G489" s="26" t="str">
        <f>Etiquettes!$C$5</f>
        <v>2015-16:2019-20:2023-24</v>
      </c>
      <c r="H489" t="str">
        <f>Etiquettes!$C$4</f>
        <v>France entière</v>
      </c>
      <c r="I489" s="603" t="s">
        <v>1749</v>
      </c>
      <c r="K489" t="s">
        <v>1559</v>
      </c>
      <c r="L489" s="603" t="str" cm="1">
        <f t="array" aca="1" ref="L489" ca="1">[1]!NOM_FEUILLE('Bilans Blé tendre - FAM'!$A$1)</f>
        <v>Bilans Blé tendre - FAM</v>
      </c>
      <c r="M489" s="26" t="str">
        <f>Etiquettes!$H$11</f>
        <v>Volume</v>
      </c>
      <c r="N489" t="str">
        <f t="shared" si="15"/>
        <v>Stock final de grains en meunerie = 0 kt (Bilans par campagne - FranceAgriMer)</v>
      </c>
      <c r="O489" s="26" t="str">
        <f>Etiquettes!$J$15</f>
        <v>Probable</v>
      </c>
      <c r="P489" s="603" t="str">
        <f>Etiquettes!$H$16</f>
        <v>Données collectées</v>
      </c>
      <c r="Q489" s="603" t="str">
        <f>Etiquettes!$H$17</f>
        <v>Donnée collectée (valeur du flux ou coefficient)</v>
      </c>
      <c r="R489" s="693"/>
      <c r="S489" s="693"/>
    </row>
    <row r="490" spans="1:19">
      <c r="A490" t="str">
        <f>Produits!$B$50</f>
        <v>Stock initial</v>
      </c>
      <c r="B490" t="str">
        <f>Secteurs!$B$9</f>
        <v>Amidonnerie / Glutennerie</v>
      </c>
      <c r="C490" s="571">
        <v>0</v>
      </c>
      <c r="E490" t="str">
        <f>Etiquettes!$C$3</f>
        <v>kt</v>
      </c>
      <c r="F490" s="26" t="s">
        <v>1713</v>
      </c>
      <c r="G490" s="26" t="str">
        <f>Etiquettes!$C$5</f>
        <v>2015-16:2019-20:2023-24</v>
      </c>
      <c r="H490" t="str">
        <f>Etiquettes!$C$4</f>
        <v>France entière</v>
      </c>
      <c r="I490" s="603" t="s">
        <v>1750</v>
      </c>
      <c r="K490" t="s">
        <v>1559</v>
      </c>
      <c r="L490" s="603" t="str" cm="1">
        <f t="array" aca="1" ref="L490" ca="1">[1]!NOM_FEUILLE('Bilans Blé tendre - FAM'!$A$1)</f>
        <v>Bilans Blé tendre - FAM</v>
      </c>
      <c r="M490" s="26" t="str">
        <f>Etiquettes!$H$11</f>
        <v>Volume</v>
      </c>
      <c r="N490" t="str">
        <f t="shared" si="15"/>
        <v>Stock initial de grains en amidonnerie = 0 kt (Bilans par campagne - FranceAgriMer)</v>
      </c>
      <c r="O490" s="26" t="str">
        <f>Etiquettes!$J$15</f>
        <v>Probable</v>
      </c>
      <c r="P490" s="603" t="str">
        <f>Etiquettes!$H$16</f>
        <v>Données collectées</v>
      </c>
      <c r="Q490" s="603" t="str">
        <f>Etiquettes!$H$17</f>
        <v>Donnée collectée (valeur du flux ou coefficient)</v>
      </c>
      <c r="R490" s="693"/>
      <c r="S490" s="693"/>
    </row>
    <row r="491" spans="1:19">
      <c r="A491" t="str">
        <f>Secteurs!$B$9</f>
        <v>Amidonnerie / Glutennerie</v>
      </c>
      <c r="B491" t="str">
        <f>Produits!$B$51</f>
        <v>Stock final</v>
      </c>
      <c r="C491" s="571">
        <v>0</v>
      </c>
      <c r="E491" t="str">
        <f>Etiquettes!$C$3</f>
        <v>kt</v>
      </c>
      <c r="F491" s="26" t="s">
        <v>1713</v>
      </c>
      <c r="G491" s="26" t="str">
        <f>Etiquettes!$C$5</f>
        <v>2015-16:2019-20:2023-24</v>
      </c>
      <c r="H491" t="str">
        <f>Etiquettes!$C$4</f>
        <v>France entière</v>
      </c>
      <c r="I491" s="603" t="s">
        <v>1751</v>
      </c>
      <c r="K491" t="s">
        <v>1559</v>
      </c>
      <c r="L491" s="603" t="str" cm="1">
        <f t="array" aca="1" ref="L491" ca="1">[1]!NOM_FEUILLE('Bilans Blé tendre - FAM'!$A$1)</f>
        <v>Bilans Blé tendre - FAM</v>
      </c>
      <c r="M491" s="26" t="str">
        <f>Etiquettes!$H$11</f>
        <v>Volume</v>
      </c>
      <c r="N491" t="str">
        <f t="shared" si="15"/>
        <v>Stock final de grains en amidonnerie = 0 kt (Bilans par campagne - FranceAgriMer)</v>
      </c>
      <c r="O491" s="26" t="str">
        <f>Etiquettes!$J$15</f>
        <v>Probable</v>
      </c>
      <c r="P491" s="603" t="str">
        <f>Etiquettes!$H$16</f>
        <v>Données collectées</v>
      </c>
      <c r="Q491" s="603" t="str">
        <f>Etiquettes!$H$17</f>
        <v>Donnée collectée (valeur du flux ou coefficient)</v>
      </c>
      <c r="R491" s="693"/>
      <c r="S491" s="693"/>
    </row>
    <row r="492" spans="1:19">
      <c r="A492" t="str">
        <f>Produits!$B$50</f>
        <v>Stock initial</v>
      </c>
      <c r="B492" t="str">
        <f>Secteurs!$B$10</f>
        <v>Semoulerie</v>
      </c>
      <c r="C492" s="571">
        <v>0</v>
      </c>
      <c r="E492" t="str">
        <f>Etiquettes!$C$3</f>
        <v>kt</v>
      </c>
      <c r="F492" s="26" t="s">
        <v>1760</v>
      </c>
      <c r="G492" s="26" t="str">
        <f>Etiquettes!$C$5</f>
        <v>2015-16:2019-20:2023-24</v>
      </c>
      <c r="H492" t="str">
        <f>Etiquettes!$C$4</f>
        <v>France entière</v>
      </c>
      <c r="I492" s="603" t="s">
        <v>1752</v>
      </c>
      <c r="K492" t="s">
        <v>1559</v>
      </c>
      <c r="L492" s="603" t="str" cm="1">
        <f t="array" aca="1" ref="L492" ca="1">[1]!NOM_FEUILLE('Bilans Blé tendre - FAM'!$A$1)</f>
        <v>Bilans Blé tendre - FAM</v>
      </c>
      <c r="M492" s="26" t="str">
        <f>Etiquettes!$H$11</f>
        <v>Volume</v>
      </c>
      <c r="N492" t="str">
        <f>_xlfn.CONCAT(I492,IF(ISBLANK(C492),"",_xlfn.CONCAT(" = ",MROUND(C492,1)," ",E492))," (",K492,")")</f>
        <v>Stock initial de grains en semoulerie = 0 kt (Bilans par campagne - FranceAgriMer)</v>
      </c>
      <c r="O492" s="26" t="str">
        <f>Etiquettes!$J$15</f>
        <v>Probable</v>
      </c>
      <c r="P492" s="603" t="str">
        <f>Etiquettes!$H$16</f>
        <v>Données collectées</v>
      </c>
      <c r="Q492" s="603" t="str">
        <f>Etiquettes!$H$17</f>
        <v>Donnée collectée (valeur du flux ou coefficient)</v>
      </c>
      <c r="R492" s="693"/>
      <c r="S492" s="693"/>
    </row>
    <row r="493" spans="1:19">
      <c r="A493" t="str">
        <f>Secteurs!$B$10</f>
        <v>Semoulerie</v>
      </c>
      <c r="B493" t="str">
        <f>Produits!$B$51</f>
        <v>Stock final</v>
      </c>
      <c r="C493" s="571">
        <v>0</v>
      </c>
      <c r="E493" t="str">
        <f>Etiquettes!$C$3</f>
        <v>kt</v>
      </c>
      <c r="F493" s="26" t="s">
        <v>1760</v>
      </c>
      <c r="G493" s="26" t="str">
        <f>Etiquettes!$C$5</f>
        <v>2015-16:2019-20:2023-24</v>
      </c>
      <c r="H493" t="str">
        <f>Etiquettes!$C$4</f>
        <v>France entière</v>
      </c>
      <c r="I493" s="603" t="s">
        <v>1753</v>
      </c>
      <c r="K493" t="s">
        <v>1559</v>
      </c>
      <c r="L493" s="603" t="str" cm="1">
        <f t="array" aca="1" ref="L493" ca="1">[1]!NOM_FEUILLE('Bilans Blé tendre - FAM'!$A$1)</f>
        <v>Bilans Blé tendre - FAM</v>
      </c>
      <c r="M493" s="26" t="str">
        <f>Etiquettes!$H$11</f>
        <v>Volume</v>
      </c>
      <c r="N493" t="str">
        <f>_xlfn.CONCAT(I493,IF(ISBLANK(C493),"",_xlfn.CONCAT(" = ",MROUND(C493,1)," ",E493))," (",K493,")")</f>
        <v>Stock final de grains en semoulerie = 0 kt (Bilans par campagne - FranceAgriMer)</v>
      </c>
      <c r="O493" s="26" t="str">
        <f>Etiquettes!$J$15</f>
        <v>Probable</v>
      </c>
      <c r="P493" s="603" t="str">
        <f>Etiquettes!$H$16</f>
        <v>Données collectées</v>
      </c>
      <c r="Q493" s="603" t="str">
        <f>Etiquettes!$H$17</f>
        <v>Donnée collectée (valeur du flux ou coefficient)</v>
      </c>
      <c r="R493" s="693"/>
      <c r="S493" s="693"/>
    </row>
    <row r="494" spans="1:19">
      <c r="A494" t="str">
        <f>Produits!$B$50</f>
        <v>Stock initial</v>
      </c>
      <c r="B494" t="str">
        <f>Secteurs!$B$12</f>
        <v>Malterie</v>
      </c>
      <c r="C494" s="571">
        <v>0</v>
      </c>
      <c r="E494" t="str">
        <f>Etiquettes!$C$3</f>
        <v>kt</v>
      </c>
      <c r="F494" s="26" t="s">
        <v>1761</v>
      </c>
      <c r="G494" s="26" t="str">
        <f>Etiquettes!$C$5</f>
        <v>2015-16:2019-20:2023-24</v>
      </c>
      <c r="H494" t="str">
        <f>Etiquettes!$C$4</f>
        <v>France entière</v>
      </c>
      <c r="I494" s="603" t="s">
        <v>1754</v>
      </c>
      <c r="K494" t="s">
        <v>1559</v>
      </c>
      <c r="L494" s="603" t="str" cm="1">
        <f t="array" aca="1" ref="L494" ca="1">[1]!NOM_FEUILLE('Bilans Blé tendre - FAM'!$A$1)</f>
        <v>Bilans Blé tendre - FAM</v>
      </c>
      <c r="M494" s="26" t="str">
        <f>Etiquettes!$H$11</f>
        <v>Volume</v>
      </c>
      <c r="N494" t="str">
        <f>_xlfn.CONCAT(I494,IF(ISBLANK(C494),"",_xlfn.CONCAT(" = ",MROUND(C494,1)," ",E494))," (",K494,")")</f>
        <v>Stock initial de grains en malterie = 0 kt (Bilans par campagne - FranceAgriMer)</v>
      </c>
      <c r="O494" s="26" t="str">
        <f>Etiquettes!$J$15</f>
        <v>Probable</v>
      </c>
      <c r="P494" s="603" t="str">
        <f>Etiquettes!$H$16</f>
        <v>Données collectées</v>
      </c>
      <c r="Q494" s="603" t="str">
        <f>Etiquettes!$H$17</f>
        <v>Donnée collectée (valeur du flux ou coefficient)</v>
      </c>
      <c r="R494" s="693"/>
      <c r="S494" s="693"/>
    </row>
    <row r="495" spans="1:19">
      <c r="A495" t="str">
        <f>Secteurs!$B$12</f>
        <v>Malterie</v>
      </c>
      <c r="B495" t="str">
        <f>Produits!$B$51</f>
        <v>Stock final</v>
      </c>
      <c r="C495" s="571">
        <v>0</v>
      </c>
      <c r="E495" t="str">
        <f>Etiquettes!$C$3</f>
        <v>kt</v>
      </c>
      <c r="F495" s="26" t="s">
        <v>1761</v>
      </c>
      <c r="G495" s="26" t="str">
        <f>Etiquettes!$C$5</f>
        <v>2015-16:2019-20:2023-24</v>
      </c>
      <c r="H495" t="str">
        <f>Etiquettes!$C$4</f>
        <v>France entière</v>
      </c>
      <c r="I495" s="603" t="s">
        <v>1755</v>
      </c>
      <c r="K495" t="s">
        <v>1559</v>
      </c>
      <c r="L495" s="603" t="str" cm="1">
        <f t="array" aca="1" ref="L495" ca="1">[1]!NOM_FEUILLE('Bilans Blé tendre - FAM'!$A$1)</f>
        <v>Bilans Blé tendre - FAM</v>
      </c>
      <c r="M495" s="26" t="str">
        <f>Etiquettes!$H$11</f>
        <v>Volume</v>
      </c>
      <c r="N495" t="str">
        <f>_xlfn.CONCAT(I495,IF(ISBLANK(C495),"",_xlfn.CONCAT(" = ",MROUND(C495,1)," ",E495))," (",K495,")")</f>
        <v>Stock final de grains en malterie = 0 kt (Bilans par campagne - FranceAgriMer)</v>
      </c>
      <c r="O495" s="26" t="str">
        <f>Etiquettes!$J$15</f>
        <v>Probable</v>
      </c>
      <c r="P495" s="603" t="str">
        <f>Etiquettes!$H$16</f>
        <v>Données collectées</v>
      </c>
      <c r="Q495" s="603" t="str">
        <f>Etiquettes!$H$17</f>
        <v>Donnée collectée (valeur du flux ou coefficient)</v>
      </c>
      <c r="R495" s="693"/>
      <c r="S495" s="693"/>
    </row>
    <row r="496" spans="1:19">
      <c r="C496" s="571"/>
    </row>
  </sheetData>
  <mergeCells count="3">
    <mergeCell ref="R410:R413"/>
    <mergeCell ref="S414:S495"/>
    <mergeCell ref="R486:R495"/>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7185A-E126-406A-ADCD-52C88C41DD63}">
  <dimension ref="A1"/>
  <sheetViews>
    <sheetView workbookViewId="0">
      <selection activeCell="L33" sqref="L33"/>
    </sheetView>
  </sheetViews>
  <sheetFormatPr baseColWidth="10" defaultRowHeight="14.4"/>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17E-3820-4474-88E5-DF1A73A812EF}">
  <dimension ref="A1:G3085"/>
  <sheetViews>
    <sheetView zoomScaleNormal="100" workbookViewId="0">
      <pane xSplit="5" ySplit="5" topLeftCell="F1716" activePane="bottomRight" state="frozen"/>
      <selection activeCell="L33" sqref="L33"/>
      <selection pane="topRight" activeCell="L33" sqref="L33"/>
      <selection pane="bottomLeft" activeCell="L33" sqref="L33"/>
      <selection pane="bottomRight" activeCell="L33" sqref="L33"/>
    </sheetView>
  </sheetViews>
  <sheetFormatPr baseColWidth="10" defaultRowHeight="12" customHeight="1"/>
  <cols>
    <col min="1" max="7" width="15.6640625" style="49" bestFit="1" customWidth="1"/>
    <col min="8" max="16384" width="11.5546875" style="49"/>
  </cols>
  <sheetData>
    <row r="1" spans="1:7" ht="39" customHeight="1">
      <c r="A1" s="777" t="s">
        <v>140</v>
      </c>
      <c r="B1" s="738"/>
      <c r="C1" s="738"/>
      <c r="D1" s="738"/>
      <c r="E1" s="738"/>
      <c r="F1" s="738"/>
      <c r="G1" s="738"/>
    </row>
    <row r="2" spans="1:7" ht="16.95" customHeight="1">
      <c r="A2" s="780" t="s">
        <v>89</v>
      </c>
      <c r="B2" s="738"/>
      <c r="C2" s="738"/>
      <c r="D2" s="738"/>
      <c r="E2" s="738"/>
      <c r="F2" s="738"/>
      <c r="G2" s="738"/>
    </row>
    <row r="3" spans="1:7" ht="12" customHeight="1">
      <c r="A3" s="781" t="s">
        <v>141</v>
      </c>
      <c r="B3" s="738"/>
      <c r="C3" s="738"/>
      <c r="D3" s="738"/>
      <c r="E3" s="738"/>
      <c r="F3" s="738"/>
      <c r="G3" s="738"/>
    </row>
    <row r="5" spans="1:7" ht="30" customHeight="1">
      <c r="A5" s="56" t="s">
        <v>142</v>
      </c>
      <c r="B5" s="56" t="s">
        <v>143</v>
      </c>
      <c r="C5" s="56" t="s">
        <v>92</v>
      </c>
      <c r="D5" s="56" t="s">
        <v>93</v>
      </c>
      <c r="E5" s="56" t="s">
        <v>94</v>
      </c>
      <c r="F5" s="56" t="s">
        <v>144</v>
      </c>
      <c r="G5" s="56" t="s">
        <v>145</v>
      </c>
    </row>
    <row r="6" spans="1:7" ht="10.050000000000001" customHeight="1">
      <c r="A6" s="52" t="s">
        <v>421</v>
      </c>
      <c r="B6" s="52" t="s">
        <v>314</v>
      </c>
      <c r="C6" s="53">
        <v>2000</v>
      </c>
      <c r="D6" s="52" t="s">
        <v>105</v>
      </c>
      <c r="E6" s="54">
        <v>7</v>
      </c>
      <c r="F6" s="55">
        <v>0</v>
      </c>
      <c r="G6" s="55">
        <v>15</v>
      </c>
    </row>
    <row r="7" spans="1:7" ht="10.050000000000001" customHeight="1">
      <c r="A7" s="52" t="s">
        <v>421</v>
      </c>
      <c r="B7" s="52" t="s">
        <v>314</v>
      </c>
      <c r="C7" s="53">
        <v>2000</v>
      </c>
      <c r="D7" s="52" t="s">
        <v>105</v>
      </c>
      <c r="E7" s="54">
        <v>8</v>
      </c>
      <c r="F7" s="55">
        <v>0</v>
      </c>
      <c r="G7" s="55">
        <v>15</v>
      </c>
    </row>
    <row r="8" spans="1:7" ht="10.050000000000001" customHeight="1">
      <c r="A8" s="52" t="s">
        <v>421</v>
      </c>
      <c r="B8" s="52" t="s">
        <v>314</v>
      </c>
      <c r="C8" s="53">
        <v>2000</v>
      </c>
      <c r="D8" s="52" t="s">
        <v>105</v>
      </c>
      <c r="E8" s="54">
        <v>9</v>
      </c>
      <c r="F8" s="55">
        <v>51</v>
      </c>
      <c r="G8" s="55">
        <v>8</v>
      </c>
    </row>
    <row r="9" spans="1:7" ht="10.050000000000001" customHeight="1">
      <c r="A9" s="52" t="s">
        <v>421</v>
      </c>
      <c r="B9" s="52" t="s">
        <v>314</v>
      </c>
      <c r="C9" s="53">
        <v>2000</v>
      </c>
      <c r="D9" s="52" t="s">
        <v>105</v>
      </c>
      <c r="E9" s="54">
        <v>10</v>
      </c>
      <c r="F9" s="55">
        <v>0</v>
      </c>
      <c r="G9" s="55">
        <v>30</v>
      </c>
    </row>
    <row r="10" spans="1:7" ht="10.050000000000001" customHeight="1">
      <c r="A10" s="52" t="s">
        <v>421</v>
      </c>
      <c r="B10" s="52" t="s">
        <v>314</v>
      </c>
      <c r="C10" s="53">
        <v>2000</v>
      </c>
      <c r="D10" s="52" t="s">
        <v>105</v>
      </c>
      <c r="E10" s="54">
        <v>11</v>
      </c>
      <c r="F10" s="55">
        <v>0</v>
      </c>
      <c r="G10" s="55">
        <v>30</v>
      </c>
    </row>
    <row r="11" spans="1:7" ht="10.050000000000001" customHeight="1">
      <c r="A11" s="52" t="s">
        <v>421</v>
      </c>
      <c r="B11" s="52" t="s">
        <v>314</v>
      </c>
      <c r="C11" s="53">
        <v>2000</v>
      </c>
      <c r="D11" s="52" t="s">
        <v>105</v>
      </c>
      <c r="E11" s="54">
        <v>12</v>
      </c>
      <c r="F11" s="55">
        <v>0</v>
      </c>
      <c r="G11" s="55">
        <v>30</v>
      </c>
    </row>
    <row r="12" spans="1:7" ht="10.050000000000001" customHeight="1">
      <c r="A12" s="52" t="s">
        <v>421</v>
      </c>
      <c r="B12" s="52" t="s">
        <v>314</v>
      </c>
      <c r="C12" s="53">
        <v>2001</v>
      </c>
      <c r="D12" s="52" t="s">
        <v>105</v>
      </c>
      <c r="E12" s="54">
        <v>1</v>
      </c>
      <c r="F12" s="55">
        <v>0</v>
      </c>
      <c r="G12" s="55">
        <v>30</v>
      </c>
    </row>
    <row r="13" spans="1:7" ht="10.050000000000001" customHeight="1">
      <c r="A13" s="52" t="s">
        <v>421</v>
      </c>
      <c r="B13" s="52" t="s">
        <v>314</v>
      </c>
      <c r="C13" s="53">
        <v>2001</v>
      </c>
      <c r="D13" s="52" t="s">
        <v>105</v>
      </c>
      <c r="E13" s="54">
        <v>2</v>
      </c>
      <c r="F13" s="55">
        <v>0</v>
      </c>
      <c r="G13" s="55">
        <v>30</v>
      </c>
    </row>
    <row r="14" spans="1:7" ht="10.050000000000001" customHeight="1">
      <c r="A14" s="52" t="s">
        <v>421</v>
      </c>
      <c r="B14" s="52" t="s">
        <v>314</v>
      </c>
      <c r="C14" s="53">
        <v>2001</v>
      </c>
      <c r="D14" s="52" t="s">
        <v>105</v>
      </c>
      <c r="E14" s="54">
        <v>3</v>
      </c>
      <c r="F14" s="55">
        <v>0</v>
      </c>
      <c r="G14" s="55">
        <v>30</v>
      </c>
    </row>
    <row r="15" spans="1:7" ht="10.050000000000001" customHeight="1">
      <c r="A15" s="52" t="s">
        <v>421</v>
      </c>
      <c r="B15" s="52" t="s">
        <v>314</v>
      </c>
      <c r="C15" s="53">
        <v>2001</v>
      </c>
      <c r="D15" s="52" t="s">
        <v>105</v>
      </c>
      <c r="E15" s="54">
        <v>4</v>
      </c>
      <c r="F15" s="55">
        <v>0</v>
      </c>
      <c r="G15" s="55">
        <v>30</v>
      </c>
    </row>
    <row r="16" spans="1:7" ht="10.050000000000001" customHeight="1">
      <c r="A16" s="52" t="s">
        <v>421</v>
      </c>
      <c r="B16" s="52" t="s">
        <v>314</v>
      </c>
      <c r="C16" s="53">
        <v>2001</v>
      </c>
      <c r="D16" s="52" t="s">
        <v>105</v>
      </c>
      <c r="E16" s="54">
        <v>5</v>
      </c>
      <c r="F16" s="55">
        <v>0</v>
      </c>
      <c r="G16" s="55">
        <v>30</v>
      </c>
    </row>
    <row r="17" spans="1:7" ht="10.050000000000001" customHeight="1">
      <c r="A17" s="52" t="s">
        <v>421</v>
      </c>
      <c r="B17" s="52" t="s">
        <v>314</v>
      </c>
      <c r="C17" s="53">
        <v>2001</v>
      </c>
      <c r="D17" s="52" t="s">
        <v>105</v>
      </c>
      <c r="E17" s="54">
        <v>6</v>
      </c>
      <c r="F17" s="55">
        <v>0</v>
      </c>
      <c r="G17" s="55">
        <v>30</v>
      </c>
    </row>
    <row r="18" spans="1:7" ht="10.050000000000001" customHeight="1">
      <c r="A18" s="52" t="s">
        <v>421</v>
      </c>
      <c r="B18" s="52" t="s">
        <v>314</v>
      </c>
      <c r="C18" s="53">
        <v>2001</v>
      </c>
      <c r="D18" s="52" t="s">
        <v>108</v>
      </c>
      <c r="E18" s="54">
        <v>7</v>
      </c>
      <c r="F18" s="55">
        <v>0</v>
      </c>
      <c r="G18" s="55">
        <v>30</v>
      </c>
    </row>
    <row r="19" spans="1:7" ht="10.050000000000001" customHeight="1">
      <c r="A19" s="52" t="s">
        <v>421</v>
      </c>
      <c r="B19" s="52" t="s">
        <v>314</v>
      </c>
      <c r="C19" s="53">
        <v>2001</v>
      </c>
      <c r="D19" s="52" t="s">
        <v>108</v>
      </c>
      <c r="E19" s="54">
        <v>8</v>
      </c>
      <c r="F19" s="55">
        <v>0</v>
      </c>
      <c r="G19" s="55">
        <v>30</v>
      </c>
    </row>
    <row r="20" spans="1:7" ht="10.050000000000001" customHeight="1">
      <c r="A20" s="52" t="s">
        <v>421</v>
      </c>
      <c r="B20" s="52" t="s">
        <v>314</v>
      </c>
      <c r="C20" s="53">
        <v>2001</v>
      </c>
      <c r="D20" s="52" t="s">
        <v>108</v>
      </c>
      <c r="E20" s="54">
        <v>9</v>
      </c>
      <c r="F20" s="55">
        <v>0</v>
      </c>
      <c r="G20" s="55">
        <v>30</v>
      </c>
    </row>
    <row r="21" spans="1:7" ht="10.050000000000001" customHeight="1">
      <c r="A21" s="52" t="s">
        <v>421</v>
      </c>
      <c r="B21" s="52" t="s">
        <v>314</v>
      </c>
      <c r="C21" s="53">
        <v>2001</v>
      </c>
      <c r="D21" s="52" t="s">
        <v>108</v>
      </c>
      <c r="E21" s="54">
        <v>10</v>
      </c>
      <c r="F21" s="55">
        <v>0</v>
      </c>
      <c r="G21" s="55">
        <v>30</v>
      </c>
    </row>
    <row r="22" spans="1:7" ht="10.050000000000001" customHeight="1">
      <c r="A22" s="52" t="s">
        <v>421</v>
      </c>
      <c r="B22" s="52" t="s">
        <v>314</v>
      </c>
      <c r="C22" s="53">
        <v>2001</v>
      </c>
      <c r="D22" s="52" t="s">
        <v>108</v>
      </c>
      <c r="E22" s="54">
        <v>11</v>
      </c>
      <c r="F22" s="55">
        <v>0</v>
      </c>
      <c r="G22" s="55">
        <v>30</v>
      </c>
    </row>
    <row r="23" spans="1:7" ht="10.050000000000001" customHeight="1">
      <c r="A23" s="52" t="s">
        <v>421</v>
      </c>
      <c r="B23" s="52" t="s">
        <v>314</v>
      </c>
      <c r="C23" s="53">
        <v>2001</v>
      </c>
      <c r="D23" s="52" t="s">
        <v>108</v>
      </c>
      <c r="E23" s="54">
        <v>12</v>
      </c>
      <c r="F23" s="55">
        <v>0</v>
      </c>
      <c r="G23" s="55">
        <v>30</v>
      </c>
    </row>
    <row r="24" spans="1:7" ht="10.050000000000001" customHeight="1">
      <c r="A24" s="52" t="s">
        <v>421</v>
      </c>
      <c r="B24" s="52" t="s">
        <v>314</v>
      </c>
      <c r="C24" s="53">
        <v>2002</v>
      </c>
      <c r="D24" s="52" t="s">
        <v>108</v>
      </c>
      <c r="E24" s="54">
        <v>1</v>
      </c>
      <c r="F24" s="55">
        <v>0</v>
      </c>
      <c r="G24" s="55">
        <v>30</v>
      </c>
    </row>
    <row r="25" spans="1:7" ht="10.050000000000001" customHeight="1">
      <c r="A25" s="52" t="s">
        <v>421</v>
      </c>
      <c r="B25" s="52" t="s">
        <v>314</v>
      </c>
      <c r="C25" s="53">
        <v>2002</v>
      </c>
      <c r="D25" s="52" t="s">
        <v>108</v>
      </c>
      <c r="E25" s="54">
        <v>2</v>
      </c>
      <c r="F25" s="55">
        <v>0</v>
      </c>
      <c r="G25" s="55">
        <v>30</v>
      </c>
    </row>
    <row r="26" spans="1:7" ht="10.050000000000001" customHeight="1">
      <c r="A26" s="52" t="s">
        <v>421</v>
      </c>
      <c r="B26" s="52" t="s">
        <v>314</v>
      </c>
      <c r="C26" s="53">
        <v>2002</v>
      </c>
      <c r="D26" s="52" t="s">
        <v>108</v>
      </c>
      <c r="E26" s="54">
        <v>3</v>
      </c>
      <c r="F26" s="55">
        <v>0</v>
      </c>
      <c r="G26" s="55">
        <v>30</v>
      </c>
    </row>
    <row r="27" spans="1:7" ht="10.050000000000001" customHeight="1">
      <c r="A27" s="52" t="s">
        <v>421</v>
      </c>
      <c r="B27" s="52" t="s">
        <v>314</v>
      </c>
      <c r="C27" s="53">
        <v>2002</v>
      </c>
      <c r="D27" s="52" t="s">
        <v>108</v>
      </c>
      <c r="E27" s="54">
        <v>4</v>
      </c>
      <c r="F27" s="55">
        <v>0</v>
      </c>
      <c r="G27" s="55">
        <v>30</v>
      </c>
    </row>
    <row r="28" spans="1:7" ht="10.050000000000001" customHeight="1">
      <c r="A28" s="52" t="s">
        <v>421</v>
      </c>
      <c r="B28" s="52" t="s">
        <v>314</v>
      </c>
      <c r="C28" s="53">
        <v>2002</v>
      </c>
      <c r="D28" s="52" t="s">
        <v>108</v>
      </c>
      <c r="E28" s="54">
        <v>5</v>
      </c>
      <c r="F28" s="55">
        <v>0</v>
      </c>
      <c r="G28" s="55">
        <v>30</v>
      </c>
    </row>
    <row r="29" spans="1:7" ht="10.050000000000001" customHeight="1">
      <c r="A29" s="52" t="s">
        <v>421</v>
      </c>
      <c r="B29" s="52" t="s">
        <v>314</v>
      </c>
      <c r="C29" s="53">
        <v>2002</v>
      </c>
      <c r="D29" s="52" t="s">
        <v>108</v>
      </c>
      <c r="E29" s="54">
        <v>6</v>
      </c>
      <c r="F29" s="55">
        <v>0</v>
      </c>
      <c r="G29" s="55">
        <v>30</v>
      </c>
    </row>
    <row r="30" spans="1:7" ht="10.050000000000001" customHeight="1">
      <c r="A30" s="52" t="s">
        <v>421</v>
      </c>
      <c r="B30" s="52" t="s">
        <v>314</v>
      </c>
      <c r="C30" s="53">
        <v>2002</v>
      </c>
      <c r="D30" s="52" t="s">
        <v>109</v>
      </c>
      <c r="E30" s="54">
        <v>7</v>
      </c>
      <c r="F30" s="55">
        <v>0</v>
      </c>
      <c r="G30" s="55">
        <v>30</v>
      </c>
    </row>
    <row r="31" spans="1:7" ht="10.050000000000001" customHeight="1">
      <c r="A31" s="52" t="s">
        <v>421</v>
      </c>
      <c r="B31" s="52" t="s">
        <v>314</v>
      </c>
      <c r="C31" s="53">
        <v>2002</v>
      </c>
      <c r="D31" s="52" t="s">
        <v>109</v>
      </c>
      <c r="E31" s="54">
        <v>8</v>
      </c>
      <c r="F31" s="55">
        <v>0</v>
      </c>
      <c r="G31" s="55">
        <v>30</v>
      </c>
    </row>
    <row r="32" spans="1:7" ht="10.050000000000001" customHeight="1">
      <c r="A32" s="52" t="s">
        <v>421</v>
      </c>
      <c r="B32" s="52" t="s">
        <v>314</v>
      </c>
      <c r="C32" s="53">
        <v>2002</v>
      </c>
      <c r="D32" s="52" t="s">
        <v>109</v>
      </c>
      <c r="E32" s="54">
        <v>9</v>
      </c>
      <c r="F32" s="55">
        <v>0</v>
      </c>
      <c r="G32" s="55">
        <v>30</v>
      </c>
    </row>
    <row r="33" spans="1:7" ht="10.050000000000001" customHeight="1">
      <c r="A33" s="52" t="s">
        <v>421</v>
      </c>
      <c r="B33" s="52" t="s">
        <v>314</v>
      </c>
      <c r="C33" s="53">
        <v>2002</v>
      </c>
      <c r="D33" s="52" t="s">
        <v>109</v>
      </c>
      <c r="E33" s="54">
        <v>10</v>
      </c>
      <c r="F33" s="55">
        <v>0</v>
      </c>
      <c r="G33" s="55">
        <v>30</v>
      </c>
    </row>
    <row r="34" spans="1:7" ht="10.050000000000001" customHeight="1">
      <c r="A34" s="52" t="s">
        <v>421</v>
      </c>
      <c r="B34" s="52" t="s">
        <v>314</v>
      </c>
      <c r="C34" s="53">
        <v>2002</v>
      </c>
      <c r="D34" s="52" t="s">
        <v>109</v>
      </c>
      <c r="E34" s="54">
        <v>11</v>
      </c>
      <c r="F34" s="55">
        <v>0</v>
      </c>
      <c r="G34" s="55">
        <v>30</v>
      </c>
    </row>
    <row r="35" spans="1:7" ht="10.050000000000001" customHeight="1">
      <c r="A35" s="52" t="s">
        <v>421</v>
      </c>
      <c r="B35" s="52" t="s">
        <v>314</v>
      </c>
      <c r="C35" s="53">
        <v>2002</v>
      </c>
      <c r="D35" s="52" t="s">
        <v>109</v>
      </c>
      <c r="E35" s="54">
        <v>12</v>
      </c>
      <c r="F35" s="55">
        <v>0</v>
      </c>
      <c r="G35" s="55">
        <v>30</v>
      </c>
    </row>
    <row r="36" spans="1:7" ht="10.050000000000001" customHeight="1">
      <c r="A36" s="52" t="s">
        <v>421</v>
      </c>
      <c r="B36" s="52" t="s">
        <v>314</v>
      </c>
      <c r="C36" s="53">
        <v>2003</v>
      </c>
      <c r="D36" s="52" t="s">
        <v>109</v>
      </c>
      <c r="E36" s="54">
        <v>1</v>
      </c>
      <c r="F36" s="55">
        <v>0</v>
      </c>
      <c r="G36" s="55">
        <v>30</v>
      </c>
    </row>
    <row r="37" spans="1:7" ht="10.050000000000001" customHeight="1">
      <c r="A37" s="52" t="s">
        <v>421</v>
      </c>
      <c r="B37" s="52" t="s">
        <v>314</v>
      </c>
      <c r="C37" s="53">
        <v>2003</v>
      </c>
      <c r="D37" s="52" t="s">
        <v>109</v>
      </c>
      <c r="E37" s="54">
        <v>2</v>
      </c>
      <c r="F37" s="55">
        <v>0</v>
      </c>
      <c r="G37" s="55">
        <v>30</v>
      </c>
    </row>
    <row r="38" spans="1:7" ht="10.050000000000001" customHeight="1">
      <c r="A38" s="52" t="s">
        <v>421</v>
      </c>
      <c r="B38" s="52" t="s">
        <v>314</v>
      </c>
      <c r="C38" s="53">
        <v>2003</v>
      </c>
      <c r="D38" s="52" t="s">
        <v>109</v>
      </c>
      <c r="E38" s="54">
        <v>3</v>
      </c>
      <c r="F38" s="55">
        <v>0</v>
      </c>
      <c r="G38" s="55">
        <v>30</v>
      </c>
    </row>
    <row r="39" spans="1:7" ht="10.050000000000001" customHeight="1">
      <c r="A39" s="52" t="s">
        <v>421</v>
      </c>
      <c r="B39" s="52" t="s">
        <v>314</v>
      </c>
      <c r="C39" s="53">
        <v>2003</v>
      </c>
      <c r="D39" s="52" t="s">
        <v>109</v>
      </c>
      <c r="E39" s="54">
        <v>4</v>
      </c>
      <c r="F39" s="55">
        <v>0</v>
      </c>
      <c r="G39" s="55">
        <v>30</v>
      </c>
    </row>
    <row r="40" spans="1:7" ht="10.050000000000001" customHeight="1">
      <c r="A40" s="52" t="s">
        <v>421</v>
      </c>
      <c r="B40" s="52" t="s">
        <v>314</v>
      </c>
      <c r="C40" s="53">
        <v>2003</v>
      </c>
      <c r="D40" s="52" t="s">
        <v>109</v>
      </c>
      <c r="E40" s="54">
        <v>5</v>
      </c>
      <c r="F40" s="55">
        <v>0</v>
      </c>
      <c r="G40" s="55">
        <v>30</v>
      </c>
    </row>
    <row r="41" spans="1:7" ht="10.050000000000001" customHeight="1">
      <c r="A41" s="52" t="s">
        <v>421</v>
      </c>
      <c r="B41" s="52" t="s">
        <v>314</v>
      </c>
      <c r="C41" s="53">
        <v>2003</v>
      </c>
      <c r="D41" s="52" t="s">
        <v>109</v>
      </c>
      <c r="E41" s="54">
        <v>6</v>
      </c>
      <c r="F41" s="55">
        <v>0</v>
      </c>
      <c r="G41" s="55">
        <v>30</v>
      </c>
    </row>
    <row r="42" spans="1:7" ht="10.050000000000001" customHeight="1">
      <c r="A42" s="52" t="s">
        <v>421</v>
      </c>
      <c r="B42" s="52" t="s">
        <v>314</v>
      </c>
      <c r="C42" s="53">
        <v>2003</v>
      </c>
      <c r="D42" s="52" t="s">
        <v>106</v>
      </c>
      <c r="E42" s="54">
        <v>7</v>
      </c>
      <c r="F42" s="55">
        <v>0</v>
      </c>
      <c r="G42" s="55">
        <v>30</v>
      </c>
    </row>
    <row r="43" spans="1:7" ht="10.050000000000001" customHeight="1">
      <c r="A43" s="52" t="s">
        <v>421</v>
      </c>
      <c r="B43" s="52" t="s">
        <v>314</v>
      </c>
      <c r="C43" s="53">
        <v>2003</v>
      </c>
      <c r="D43" s="52" t="s">
        <v>106</v>
      </c>
      <c r="E43" s="54">
        <v>8</v>
      </c>
      <c r="F43" s="55">
        <v>0</v>
      </c>
      <c r="G43" s="55">
        <v>30</v>
      </c>
    </row>
    <row r="44" spans="1:7" ht="10.050000000000001" customHeight="1">
      <c r="A44" s="52" t="s">
        <v>421</v>
      </c>
      <c r="B44" s="52" t="s">
        <v>314</v>
      </c>
      <c r="C44" s="53">
        <v>2007</v>
      </c>
      <c r="D44" s="52" t="s">
        <v>113</v>
      </c>
      <c r="E44" s="54">
        <v>10</v>
      </c>
      <c r="F44" s="55">
        <v>19</v>
      </c>
      <c r="G44" s="55">
        <v>0</v>
      </c>
    </row>
    <row r="45" spans="1:7" ht="10.050000000000001" customHeight="1">
      <c r="A45" s="52" t="s">
        <v>421</v>
      </c>
      <c r="B45" s="52" t="s">
        <v>314</v>
      </c>
      <c r="C45" s="53">
        <v>2008</v>
      </c>
      <c r="D45" s="52" t="s">
        <v>113</v>
      </c>
      <c r="E45" s="54">
        <v>2</v>
      </c>
      <c r="F45" s="55">
        <v>39</v>
      </c>
      <c r="G45" s="55">
        <v>0</v>
      </c>
    </row>
    <row r="46" spans="1:7" ht="10.050000000000001" customHeight="1">
      <c r="A46" s="52" t="s">
        <v>421</v>
      </c>
      <c r="B46" s="52" t="s">
        <v>314</v>
      </c>
      <c r="C46" s="53">
        <v>2008</v>
      </c>
      <c r="D46" s="52" t="s">
        <v>113</v>
      </c>
      <c r="E46" s="54">
        <v>5</v>
      </c>
      <c r="F46" s="55">
        <v>18.7</v>
      </c>
      <c r="G46" s="55">
        <v>0</v>
      </c>
    </row>
    <row r="47" spans="1:7" ht="10.050000000000001" customHeight="1">
      <c r="A47" s="52" t="s">
        <v>421</v>
      </c>
      <c r="B47" s="52" t="s">
        <v>314</v>
      </c>
      <c r="C47" s="53">
        <v>2008</v>
      </c>
      <c r="D47" s="52" t="s">
        <v>113</v>
      </c>
      <c r="E47" s="54">
        <v>6</v>
      </c>
      <c r="F47" s="55">
        <v>33.200000000000003</v>
      </c>
      <c r="G47" s="55">
        <v>0</v>
      </c>
    </row>
    <row r="48" spans="1:7" ht="10.050000000000001" customHeight="1">
      <c r="A48" s="52" t="s">
        <v>421</v>
      </c>
      <c r="B48" s="52" t="s">
        <v>314</v>
      </c>
      <c r="C48" s="53">
        <v>2010</v>
      </c>
      <c r="D48" s="52" t="s">
        <v>115</v>
      </c>
      <c r="E48" s="54">
        <v>11</v>
      </c>
      <c r="F48" s="55">
        <v>6.2</v>
      </c>
      <c r="G48" s="55">
        <v>0</v>
      </c>
    </row>
    <row r="49" spans="1:7" ht="10.050000000000001" customHeight="1">
      <c r="A49" s="52" t="s">
        <v>421</v>
      </c>
      <c r="B49" s="52" t="s">
        <v>314</v>
      </c>
      <c r="C49" s="53">
        <v>2011</v>
      </c>
      <c r="D49" s="52" t="s">
        <v>116</v>
      </c>
      <c r="E49" s="54">
        <v>10</v>
      </c>
      <c r="F49" s="55">
        <v>0.2</v>
      </c>
      <c r="G49" s="55">
        <v>0</v>
      </c>
    </row>
    <row r="50" spans="1:7" ht="10.050000000000001" customHeight="1">
      <c r="A50" s="52" t="s">
        <v>421</v>
      </c>
      <c r="B50" s="52" t="s">
        <v>314</v>
      </c>
      <c r="C50" s="53">
        <v>2012</v>
      </c>
      <c r="D50" s="52" t="s">
        <v>117</v>
      </c>
      <c r="E50" s="54">
        <v>8</v>
      </c>
      <c r="F50" s="55">
        <v>23.9</v>
      </c>
      <c r="G50" s="55">
        <v>0</v>
      </c>
    </row>
    <row r="51" spans="1:7" ht="10.050000000000001" customHeight="1">
      <c r="A51" s="52" t="s">
        <v>421</v>
      </c>
      <c r="B51" s="52" t="s">
        <v>314</v>
      </c>
      <c r="C51" s="53">
        <v>2013</v>
      </c>
      <c r="D51" s="52" t="s">
        <v>118</v>
      </c>
      <c r="E51" s="54">
        <v>8</v>
      </c>
      <c r="F51" s="55">
        <v>31.64</v>
      </c>
      <c r="G51" s="55">
        <v>0</v>
      </c>
    </row>
    <row r="52" spans="1:7" ht="10.050000000000001" customHeight="1">
      <c r="A52" s="52" t="s">
        <v>421</v>
      </c>
      <c r="B52" s="52" t="s">
        <v>314</v>
      </c>
      <c r="C52" s="53">
        <v>2014</v>
      </c>
      <c r="D52" s="52" t="s">
        <v>119</v>
      </c>
      <c r="E52" s="54">
        <v>7</v>
      </c>
      <c r="F52" s="55">
        <v>24.98</v>
      </c>
      <c r="G52" s="55">
        <v>0</v>
      </c>
    </row>
    <row r="53" spans="1:7" ht="10.050000000000001" customHeight="1">
      <c r="A53" s="52" t="s">
        <v>421</v>
      </c>
      <c r="B53" s="52" t="s">
        <v>314</v>
      </c>
      <c r="C53" s="53">
        <v>2015</v>
      </c>
      <c r="D53" s="52" t="s">
        <v>120</v>
      </c>
      <c r="E53" s="54">
        <v>7</v>
      </c>
      <c r="F53" s="55">
        <v>38.42</v>
      </c>
      <c r="G53" s="55">
        <v>0</v>
      </c>
    </row>
    <row r="54" spans="1:7" ht="10.050000000000001" customHeight="1">
      <c r="A54" s="52" t="s">
        <v>421</v>
      </c>
      <c r="B54" s="52" t="s">
        <v>314</v>
      </c>
      <c r="C54" s="53">
        <v>2016</v>
      </c>
      <c r="D54" s="52" t="s">
        <v>121</v>
      </c>
      <c r="E54" s="54">
        <v>8</v>
      </c>
      <c r="F54" s="55">
        <v>28</v>
      </c>
      <c r="G54" s="55">
        <v>0</v>
      </c>
    </row>
    <row r="55" spans="1:7" ht="10.050000000000001" customHeight="1">
      <c r="A55" s="52" t="s">
        <v>421</v>
      </c>
      <c r="B55" s="52" t="s">
        <v>306</v>
      </c>
      <c r="C55" s="53">
        <v>2000</v>
      </c>
      <c r="D55" s="52" t="s">
        <v>105</v>
      </c>
      <c r="E55" s="54">
        <v>7</v>
      </c>
      <c r="F55" s="55">
        <v>4297.3</v>
      </c>
      <c r="G55" s="55">
        <v>5720.8</v>
      </c>
    </row>
    <row r="56" spans="1:7" ht="10.050000000000001" customHeight="1">
      <c r="A56" s="52" t="s">
        <v>421</v>
      </c>
      <c r="B56" s="52" t="s">
        <v>306</v>
      </c>
      <c r="C56" s="53">
        <v>2000</v>
      </c>
      <c r="D56" s="52" t="s">
        <v>105</v>
      </c>
      <c r="E56" s="54">
        <v>8</v>
      </c>
      <c r="F56" s="55">
        <v>3969.1</v>
      </c>
      <c r="G56" s="55">
        <v>6399.2</v>
      </c>
    </row>
    <row r="57" spans="1:7" ht="10.050000000000001" customHeight="1">
      <c r="A57" s="52" t="s">
        <v>421</v>
      </c>
      <c r="B57" s="52" t="s">
        <v>306</v>
      </c>
      <c r="C57" s="53">
        <v>2000</v>
      </c>
      <c r="D57" s="52" t="s">
        <v>105</v>
      </c>
      <c r="E57" s="54">
        <v>9</v>
      </c>
      <c r="F57" s="55">
        <v>3648.9</v>
      </c>
      <c r="G57" s="55">
        <v>11893.1</v>
      </c>
    </row>
    <row r="58" spans="1:7" ht="10.050000000000001" customHeight="1">
      <c r="A58" s="52" t="s">
        <v>421</v>
      </c>
      <c r="B58" s="52" t="s">
        <v>306</v>
      </c>
      <c r="C58" s="53">
        <v>2000</v>
      </c>
      <c r="D58" s="52" t="s">
        <v>105</v>
      </c>
      <c r="E58" s="54">
        <v>10</v>
      </c>
      <c r="F58" s="55">
        <v>4216.5</v>
      </c>
      <c r="G58" s="55">
        <v>11183.2</v>
      </c>
    </row>
    <row r="59" spans="1:7" ht="10.050000000000001" customHeight="1">
      <c r="A59" s="52" t="s">
        <v>421</v>
      </c>
      <c r="B59" s="52" t="s">
        <v>306</v>
      </c>
      <c r="C59" s="53">
        <v>2000</v>
      </c>
      <c r="D59" s="52" t="s">
        <v>105</v>
      </c>
      <c r="E59" s="54">
        <v>11</v>
      </c>
      <c r="F59" s="55">
        <v>3966</v>
      </c>
      <c r="G59" s="55">
        <v>9846.1000000000095</v>
      </c>
    </row>
    <row r="60" spans="1:7" ht="10.050000000000001" customHeight="1">
      <c r="A60" s="52" t="s">
        <v>421</v>
      </c>
      <c r="B60" s="52" t="s">
        <v>306</v>
      </c>
      <c r="C60" s="53">
        <v>2000</v>
      </c>
      <c r="D60" s="52" t="s">
        <v>105</v>
      </c>
      <c r="E60" s="54">
        <v>12</v>
      </c>
      <c r="F60" s="55">
        <v>3461</v>
      </c>
      <c r="G60" s="55">
        <v>10374.299999999999</v>
      </c>
    </row>
    <row r="61" spans="1:7" ht="10.050000000000001" customHeight="1">
      <c r="A61" s="52" t="s">
        <v>421</v>
      </c>
      <c r="B61" s="52" t="s">
        <v>306</v>
      </c>
      <c r="C61" s="53">
        <v>2001</v>
      </c>
      <c r="D61" s="52" t="s">
        <v>105</v>
      </c>
      <c r="E61" s="54">
        <v>1</v>
      </c>
      <c r="F61" s="55">
        <v>3789.6</v>
      </c>
      <c r="G61" s="55">
        <v>9818.0000000000091</v>
      </c>
    </row>
    <row r="62" spans="1:7" ht="10.050000000000001" customHeight="1">
      <c r="A62" s="52" t="s">
        <v>421</v>
      </c>
      <c r="B62" s="52" t="s">
        <v>306</v>
      </c>
      <c r="C62" s="53">
        <v>2001</v>
      </c>
      <c r="D62" s="52" t="s">
        <v>105</v>
      </c>
      <c r="E62" s="54">
        <v>2</v>
      </c>
      <c r="F62" s="55">
        <v>3238.1</v>
      </c>
      <c r="G62" s="55">
        <v>8694</v>
      </c>
    </row>
    <row r="63" spans="1:7" ht="10.050000000000001" customHeight="1">
      <c r="A63" s="52" t="s">
        <v>421</v>
      </c>
      <c r="B63" s="52" t="s">
        <v>306</v>
      </c>
      <c r="C63" s="53">
        <v>2001</v>
      </c>
      <c r="D63" s="52" t="s">
        <v>105</v>
      </c>
      <c r="E63" s="54">
        <v>3</v>
      </c>
      <c r="F63" s="55">
        <v>3528.2</v>
      </c>
      <c r="G63" s="55">
        <v>7648.4</v>
      </c>
    </row>
    <row r="64" spans="1:7" ht="10.050000000000001" customHeight="1">
      <c r="A64" s="52" t="s">
        <v>421</v>
      </c>
      <c r="B64" s="52" t="s">
        <v>306</v>
      </c>
      <c r="C64" s="53">
        <v>2001</v>
      </c>
      <c r="D64" s="52" t="s">
        <v>105</v>
      </c>
      <c r="E64" s="54">
        <v>4</v>
      </c>
      <c r="F64" s="55">
        <v>3840.1</v>
      </c>
      <c r="G64" s="55">
        <v>7092.9</v>
      </c>
    </row>
    <row r="65" spans="1:7" ht="10.050000000000001" customHeight="1">
      <c r="A65" s="52" t="s">
        <v>421</v>
      </c>
      <c r="B65" s="52" t="s">
        <v>306</v>
      </c>
      <c r="C65" s="53">
        <v>2001</v>
      </c>
      <c r="D65" s="52" t="s">
        <v>105</v>
      </c>
      <c r="E65" s="54">
        <v>5</v>
      </c>
      <c r="F65" s="55">
        <v>3536.8</v>
      </c>
      <c r="G65" s="55">
        <v>7833.1</v>
      </c>
    </row>
    <row r="66" spans="1:7" ht="10.050000000000001" customHeight="1">
      <c r="A66" s="52" t="s">
        <v>421</v>
      </c>
      <c r="B66" s="52" t="s">
        <v>306</v>
      </c>
      <c r="C66" s="53">
        <v>2001</v>
      </c>
      <c r="D66" s="52" t="s">
        <v>105</v>
      </c>
      <c r="E66" s="54">
        <v>6</v>
      </c>
      <c r="F66" s="55">
        <v>3381.6</v>
      </c>
      <c r="G66" s="55">
        <v>7087</v>
      </c>
    </row>
    <row r="67" spans="1:7" ht="10.050000000000001" customHeight="1">
      <c r="A67" s="52" t="s">
        <v>421</v>
      </c>
      <c r="B67" s="52" t="s">
        <v>306</v>
      </c>
      <c r="C67" s="53">
        <v>2001</v>
      </c>
      <c r="D67" s="52" t="s">
        <v>108</v>
      </c>
      <c r="E67" s="54">
        <v>7</v>
      </c>
      <c r="F67" s="55">
        <v>3205.2</v>
      </c>
      <c r="G67" s="55">
        <v>8716.7000000000007</v>
      </c>
    </row>
    <row r="68" spans="1:7" ht="10.050000000000001" customHeight="1">
      <c r="A68" s="52" t="s">
        <v>421</v>
      </c>
      <c r="B68" s="52" t="s">
        <v>306</v>
      </c>
      <c r="C68" s="53">
        <v>2001</v>
      </c>
      <c r="D68" s="52" t="s">
        <v>108</v>
      </c>
      <c r="E68" s="54">
        <v>8</v>
      </c>
      <c r="F68" s="55">
        <v>2714.1</v>
      </c>
      <c r="G68" s="55">
        <v>9511.6</v>
      </c>
    </row>
    <row r="69" spans="1:7" ht="10.050000000000001" customHeight="1">
      <c r="A69" s="52" t="s">
        <v>421</v>
      </c>
      <c r="B69" s="52" t="s">
        <v>306</v>
      </c>
      <c r="C69" s="53">
        <v>2001</v>
      </c>
      <c r="D69" s="52" t="s">
        <v>108</v>
      </c>
      <c r="E69" s="54">
        <v>9</v>
      </c>
      <c r="F69" s="55">
        <v>3056.4</v>
      </c>
      <c r="G69" s="55">
        <v>11505.9</v>
      </c>
    </row>
    <row r="70" spans="1:7" ht="10.050000000000001" customHeight="1">
      <c r="A70" s="52" t="s">
        <v>421</v>
      </c>
      <c r="B70" s="52" t="s">
        <v>306</v>
      </c>
      <c r="C70" s="53">
        <v>2001</v>
      </c>
      <c r="D70" s="52" t="s">
        <v>108</v>
      </c>
      <c r="E70" s="54">
        <v>10</v>
      </c>
      <c r="F70" s="55">
        <v>3381.5</v>
      </c>
      <c r="G70" s="55">
        <v>10792.1</v>
      </c>
    </row>
    <row r="71" spans="1:7" ht="10.050000000000001" customHeight="1">
      <c r="A71" s="52" t="s">
        <v>421</v>
      </c>
      <c r="B71" s="52" t="s">
        <v>306</v>
      </c>
      <c r="C71" s="53">
        <v>2001</v>
      </c>
      <c r="D71" s="52" t="s">
        <v>108</v>
      </c>
      <c r="E71" s="54">
        <v>11</v>
      </c>
      <c r="F71" s="55">
        <v>3006.9</v>
      </c>
      <c r="G71" s="55">
        <v>10074.1</v>
      </c>
    </row>
    <row r="72" spans="1:7" ht="10.050000000000001" customHeight="1">
      <c r="A72" s="52" t="s">
        <v>421</v>
      </c>
      <c r="B72" s="52" t="s">
        <v>306</v>
      </c>
      <c r="C72" s="53">
        <v>2001</v>
      </c>
      <c r="D72" s="52" t="s">
        <v>108</v>
      </c>
      <c r="E72" s="54">
        <v>12</v>
      </c>
      <c r="F72" s="55">
        <v>2996</v>
      </c>
      <c r="G72" s="55">
        <v>9328.5</v>
      </c>
    </row>
    <row r="73" spans="1:7" ht="10.050000000000001" customHeight="1">
      <c r="A73" s="52" t="s">
        <v>421</v>
      </c>
      <c r="B73" s="52" t="s">
        <v>306</v>
      </c>
      <c r="C73" s="53">
        <v>2002</v>
      </c>
      <c r="D73" s="52" t="s">
        <v>108</v>
      </c>
      <c r="E73" s="54">
        <v>1</v>
      </c>
      <c r="F73" s="55">
        <v>3684.7</v>
      </c>
      <c r="G73" s="55">
        <v>8327.9</v>
      </c>
    </row>
    <row r="74" spans="1:7" ht="10.050000000000001" customHeight="1">
      <c r="A74" s="52" t="s">
        <v>421</v>
      </c>
      <c r="B74" s="52" t="s">
        <v>306</v>
      </c>
      <c r="C74" s="53">
        <v>2002</v>
      </c>
      <c r="D74" s="52" t="s">
        <v>108</v>
      </c>
      <c r="E74" s="54">
        <v>2</v>
      </c>
      <c r="F74" s="55">
        <v>3093.4</v>
      </c>
      <c r="G74" s="55">
        <v>8242.4</v>
      </c>
    </row>
    <row r="75" spans="1:7" ht="10.050000000000001" customHeight="1">
      <c r="A75" s="52" t="s">
        <v>421</v>
      </c>
      <c r="B75" s="52" t="s">
        <v>306</v>
      </c>
      <c r="C75" s="53">
        <v>2002</v>
      </c>
      <c r="D75" s="52" t="s">
        <v>108</v>
      </c>
      <c r="E75" s="54">
        <v>3</v>
      </c>
      <c r="F75" s="55">
        <v>3630.1</v>
      </c>
      <c r="G75" s="55">
        <v>7851.5</v>
      </c>
    </row>
    <row r="76" spans="1:7" ht="10.050000000000001" customHeight="1">
      <c r="A76" s="52" t="s">
        <v>421</v>
      </c>
      <c r="B76" s="52" t="s">
        <v>306</v>
      </c>
      <c r="C76" s="53">
        <v>2002</v>
      </c>
      <c r="D76" s="52" t="s">
        <v>108</v>
      </c>
      <c r="E76" s="54">
        <v>4</v>
      </c>
      <c r="F76" s="55">
        <v>3349</v>
      </c>
      <c r="G76" s="55">
        <v>8204.7000000000007</v>
      </c>
    </row>
    <row r="77" spans="1:7" ht="10.050000000000001" customHeight="1">
      <c r="A77" s="52" t="s">
        <v>421</v>
      </c>
      <c r="B77" s="52" t="s">
        <v>306</v>
      </c>
      <c r="C77" s="53">
        <v>2002</v>
      </c>
      <c r="D77" s="52" t="s">
        <v>108</v>
      </c>
      <c r="E77" s="54">
        <v>5</v>
      </c>
      <c r="F77" s="55">
        <v>3292.6</v>
      </c>
      <c r="G77" s="55">
        <v>7576.1</v>
      </c>
    </row>
    <row r="78" spans="1:7" ht="10.050000000000001" customHeight="1">
      <c r="A78" s="52" t="s">
        <v>421</v>
      </c>
      <c r="B78" s="52" t="s">
        <v>306</v>
      </c>
      <c r="C78" s="53">
        <v>2002</v>
      </c>
      <c r="D78" s="52" t="s">
        <v>108</v>
      </c>
      <c r="E78" s="54">
        <v>6</v>
      </c>
      <c r="F78" s="55">
        <v>3364.3</v>
      </c>
      <c r="G78" s="55">
        <v>6517.1</v>
      </c>
    </row>
    <row r="79" spans="1:7" ht="10.050000000000001" customHeight="1">
      <c r="A79" s="52" t="s">
        <v>421</v>
      </c>
      <c r="B79" s="52" t="s">
        <v>306</v>
      </c>
      <c r="C79" s="53">
        <v>2002</v>
      </c>
      <c r="D79" s="52" t="s">
        <v>109</v>
      </c>
      <c r="E79" s="54">
        <v>7</v>
      </c>
      <c r="F79" s="55">
        <v>3724.2</v>
      </c>
      <c r="G79" s="55">
        <v>6615</v>
      </c>
    </row>
    <row r="80" spans="1:7" ht="10.050000000000001" customHeight="1">
      <c r="A80" s="52" t="s">
        <v>421</v>
      </c>
      <c r="B80" s="52" t="s">
        <v>306</v>
      </c>
      <c r="C80" s="53">
        <v>2002</v>
      </c>
      <c r="D80" s="52" t="s">
        <v>109</v>
      </c>
      <c r="E80" s="54">
        <v>8</v>
      </c>
      <c r="F80" s="55">
        <v>3095.4</v>
      </c>
      <c r="G80" s="55">
        <v>9971.6</v>
      </c>
    </row>
    <row r="81" spans="1:7" ht="10.050000000000001" customHeight="1">
      <c r="A81" s="52" t="s">
        <v>421</v>
      </c>
      <c r="B81" s="52" t="s">
        <v>306</v>
      </c>
      <c r="C81" s="53">
        <v>2002</v>
      </c>
      <c r="D81" s="52" t="s">
        <v>109</v>
      </c>
      <c r="E81" s="54">
        <v>9</v>
      </c>
      <c r="F81" s="55">
        <v>3926.5</v>
      </c>
      <c r="G81" s="55">
        <v>9464.2000000000007</v>
      </c>
    </row>
    <row r="82" spans="1:7" ht="10.050000000000001" customHeight="1">
      <c r="A82" s="52" t="s">
        <v>421</v>
      </c>
      <c r="B82" s="52" t="s">
        <v>306</v>
      </c>
      <c r="C82" s="53">
        <v>2002</v>
      </c>
      <c r="D82" s="52" t="s">
        <v>109</v>
      </c>
      <c r="E82" s="54">
        <v>10</v>
      </c>
      <c r="F82" s="55">
        <v>4986.8999999999996</v>
      </c>
      <c r="G82" s="55">
        <v>8011.1</v>
      </c>
    </row>
    <row r="83" spans="1:7" ht="10.050000000000001" customHeight="1">
      <c r="A83" s="52" t="s">
        <v>421</v>
      </c>
      <c r="B83" s="52" t="s">
        <v>306</v>
      </c>
      <c r="C83" s="53">
        <v>2002</v>
      </c>
      <c r="D83" s="52" t="s">
        <v>109</v>
      </c>
      <c r="E83" s="54">
        <v>11</v>
      </c>
      <c r="F83" s="55">
        <v>4335.5</v>
      </c>
      <c r="G83" s="55">
        <v>7357.9</v>
      </c>
    </row>
    <row r="84" spans="1:7" ht="10.050000000000001" customHeight="1">
      <c r="A84" s="52" t="s">
        <v>421</v>
      </c>
      <c r="B84" s="52" t="s">
        <v>306</v>
      </c>
      <c r="C84" s="53">
        <v>2002</v>
      </c>
      <c r="D84" s="52" t="s">
        <v>109</v>
      </c>
      <c r="E84" s="54">
        <v>12</v>
      </c>
      <c r="F84" s="55">
        <v>5273.1</v>
      </c>
      <c r="G84" s="55">
        <v>7247.6</v>
      </c>
    </row>
    <row r="85" spans="1:7" ht="10.050000000000001" customHeight="1">
      <c r="A85" s="52" t="s">
        <v>421</v>
      </c>
      <c r="B85" s="52" t="s">
        <v>306</v>
      </c>
      <c r="C85" s="53">
        <v>2003</v>
      </c>
      <c r="D85" s="52" t="s">
        <v>109</v>
      </c>
      <c r="E85" s="54">
        <v>1</v>
      </c>
      <c r="F85" s="55">
        <v>6601.8</v>
      </c>
      <c r="G85" s="55">
        <v>7181.8</v>
      </c>
    </row>
    <row r="86" spans="1:7" ht="10.050000000000001" customHeight="1">
      <c r="A86" s="52" t="s">
        <v>421</v>
      </c>
      <c r="B86" s="52" t="s">
        <v>306</v>
      </c>
      <c r="C86" s="53">
        <v>2003</v>
      </c>
      <c r="D86" s="52" t="s">
        <v>109</v>
      </c>
      <c r="E86" s="54">
        <v>2</v>
      </c>
      <c r="F86" s="55">
        <v>7232.7</v>
      </c>
      <c r="G86" s="55">
        <v>7137.7</v>
      </c>
    </row>
    <row r="87" spans="1:7" ht="10.050000000000001" customHeight="1">
      <c r="A87" s="52" t="s">
        <v>421</v>
      </c>
      <c r="B87" s="52" t="s">
        <v>306</v>
      </c>
      <c r="C87" s="53">
        <v>2003</v>
      </c>
      <c r="D87" s="52" t="s">
        <v>109</v>
      </c>
      <c r="E87" s="54">
        <v>3</v>
      </c>
      <c r="F87" s="55">
        <v>7308.5</v>
      </c>
      <c r="G87" s="55">
        <v>6647.3</v>
      </c>
    </row>
    <row r="88" spans="1:7" ht="10.050000000000001" customHeight="1">
      <c r="A88" s="52" t="s">
        <v>421</v>
      </c>
      <c r="B88" s="52" t="s">
        <v>306</v>
      </c>
      <c r="C88" s="53">
        <v>2003</v>
      </c>
      <c r="D88" s="52" t="s">
        <v>109</v>
      </c>
      <c r="E88" s="54">
        <v>4</v>
      </c>
      <c r="F88" s="55">
        <v>7222.3</v>
      </c>
      <c r="G88" s="55">
        <v>6552.3</v>
      </c>
    </row>
    <row r="89" spans="1:7" ht="10.050000000000001" customHeight="1">
      <c r="A89" s="52" t="s">
        <v>421</v>
      </c>
      <c r="B89" s="52" t="s">
        <v>306</v>
      </c>
      <c r="C89" s="53">
        <v>2003</v>
      </c>
      <c r="D89" s="52" t="s">
        <v>109</v>
      </c>
      <c r="E89" s="54">
        <v>5</v>
      </c>
      <c r="F89" s="55">
        <v>7091.8</v>
      </c>
      <c r="G89" s="55">
        <v>5909.4</v>
      </c>
    </row>
    <row r="90" spans="1:7" ht="10.050000000000001" customHeight="1">
      <c r="A90" s="52" t="s">
        <v>421</v>
      </c>
      <c r="B90" s="52" t="s">
        <v>306</v>
      </c>
      <c r="C90" s="53">
        <v>2003</v>
      </c>
      <c r="D90" s="52" t="s">
        <v>109</v>
      </c>
      <c r="E90" s="54">
        <v>6</v>
      </c>
      <c r="F90" s="55">
        <v>6907</v>
      </c>
      <c r="G90" s="55">
        <v>6084.5</v>
      </c>
    </row>
    <row r="91" spans="1:7" ht="10.050000000000001" customHeight="1">
      <c r="A91" s="52" t="s">
        <v>421</v>
      </c>
      <c r="B91" s="52" t="s">
        <v>306</v>
      </c>
      <c r="C91" s="53">
        <v>2003</v>
      </c>
      <c r="D91" s="52" t="s">
        <v>106</v>
      </c>
      <c r="E91" s="54">
        <v>7</v>
      </c>
      <c r="F91" s="55">
        <v>5969.2</v>
      </c>
      <c r="G91" s="55">
        <v>7651</v>
      </c>
    </row>
    <row r="92" spans="1:7" ht="10.050000000000001" customHeight="1">
      <c r="A92" s="52" t="s">
        <v>421</v>
      </c>
      <c r="B92" s="52" t="s">
        <v>306</v>
      </c>
      <c r="C92" s="53">
        <v>2003</v>
      </c>
      <c r="D92" s="52" t="s">
        <v>106</v>
      </c>
      <c r="E92" s="54">
        <v>8</v>
      </c>
      <c r="F92" s="55">
        <v>5168.1000000000004</v>
      </c>
      <c r="G92" s="55">
        <v>9623.1</v>
      </c>
    </row>
    <row r="93" spans="1:7" ht="10.050000000000001" customHeight="1">
      <c r="A93" s="52" t="s">
        <v>421</v>
      </c>
      <c r="B93" s="52" t="s">
        <v>306</v>
      </c>
      <c r="C93" s="53">
        <v>2003</v>
      </c>
      <c r="D93" s="52" t="s">
        <v>106</v>
      </c>
      <c r="E93" s="54">
        <v>9</v>
      </c>
      <c r="F93" s="55">
        <v>6371</v>
      </c>
      <c r="G93" s="55">
        <v>9347.1</v>
      </c>
    </row>
    <row r="94" spans="1:7" ht="10.050000000000001" customHeight="1">
      <c r="A94" s="52" t="s">
        <v>421</v>
      </c>
      <c r="B94" s="52" t="s">
        <v>306</v>
      </c>
      <c r="C94" s="53">
        <v>2003</v>
      </c>
      <c r="D94" s="52" t="s">
        <v>106</v>
      </c>
      <c r="E94" s="54">
        <v>10</v>
      </c>
      <c r="F94" s="55">
        <v>7971.6</v>
      </c>
      <c r="G94" s="55">
        <v>7760.5</v>
      </c>
    </row>
    <row r="95" spans="1:7" ht="10.050000000000001" customHeight="1">
      <c r="A95" s="52" t="s">
        <v>421</v>
      </c>
      <c r="B95" s="52" t="s">
        <v>306</v>
      </c>
      <c r="C95" s="53">
        <v>2003</v>
      </c>
      <c r="D95" s="52" t="s">
        <v>106</v>
      </c>
      <c r="E95" s="54">
        <v>11</v>
      </c>
      <c r="F95" s="55">
        <v>9154.2999999999993</v>
      </c>
      <c r="G95" s="55">
        <v>8611.2000000000007</v>
      </c>
    </row>
    <row r="96" spans="1:7" ht="10.050000000000001" customHeight="1">
      <c r="A96" s="52" t="s">
        <v>421</v>
      </c>
      <c r="B96" s="52" t="s">
        <v>306</v>
      </c>
      <c r="C96" s="53">
        <v>2003</v>
      </c>
      <c r="D96" s="52" t="s">
        <v>106</v>
      </c>
      <c r="E96" s="54">
        <v>12</v>
      </c>
      <c r="F96" s="55">
        <v>13385.7</v>
      </c>
      <c r="G96" s="55">
        <v>8160.3</v>
      </c>
    </row>
    <row r="97" spans="1:7" ht="10.050000000000001" customHeight="1">
      <c r="A97" s="52" t="s">
        <v>421</v>
      </c>
      <c r="B97" s="52" t="s">
        <v>306</v>
      </c>
      <c r="C97" s="53">
        <v>2004</v>
      </c>
      <c r="D97" s="52" t="s">
        <v>106</v>
      </c>
      <c r="E97" s="54">
        <v>1</v>
      </c>
      <c r="F97" s="55">
        <v>14725.7</v>
      </c>
      <c r="G97" s="55">
        <v>10611.8</v>
      </c>
    </row>
    <row r="98" spans="1:7" ht="10.050000000000001" customHeight="1">
      <c r="A98" s="52" t="s">
        <v>421</v>
      </c>
      <c r="B98" s="52" t="s">
        <v>306</v>
      </c>
      <c r="C98" s="53">
        <v>2004</v>
      </c>
      <c r="D98" s="52" t="s">
        <v>106</v>
      </c>
      <c r="E98" s="54">
        <v>2</v>
      </c>
      <c r="F98" s="55">
        <v>14037.4</v>
      </c>
      <c r="G98" s="55">
        <v>10047</v>
      </c>
    </row>
    <row r="99" spans="1:7" ht="10.050000000000001" customHeight="1">
      <c r="A99" s="52" t="s">
        <v>421</v>
      </c>
      <c r="B99" s="52" t="s">
        <v>306</v>
      </c>
      <c r="C99" s="53">
        <v>2004</v>
      </c>
      <c r="D99" s="52" t="s">
        <v>106</v>
      </c>
      <c r="E99" s="54">
        <v>3</v>
      </c>
      <c r="F99" s="55">
        <v>15103.8</v>
      </c>
      <c r="G99" s="55">
        <v>11043.7</v>
      </c>
    </row>
    <row r="100" spans="1:7" ht="10.050000000000001" customHeight="1">
      <c r="A100" s="52" t="s">
        <v>421</v>
      </c>
      <c r="B100" s="52" t="s">
        <v>306</v>
      </c>
      <c r="C100" s="53">
        <v>2004</v>
      </c>
      <c r="D100" s="52" t="s">
        <v>106</v>
      </c>
      <c r="E100" s="54">
        <v>4</v>
      </c>
      <c r="F100" s="55">
        <v>13621.2</v>
      </c>
      <c r="G100" s="55">
        <v>9351.9</v>
      </c>
    </row>
    <row r="101" spans="1:7" ht="10.050000000000001" customHeight="1">
      <c r="A101" s="52" t="s">
        <v>421</v>
      </c>
      <c r="B101" s="52" t="s">
        <v>306</v>
      </c>
      <c r="C101" s="53">
        <v>2004</v>
      </c>
      <c r="D101" s="52" t="s">
        <v>106</v>
      </c>
      <c r="E101" s="54">
        <v>5</v>
      </c>
      <c r="F101" s="55">
        <v>12882.8</v>
      </c>
      <c r="G101" s="55">
        <v>9918</v>
      </c>
    </row>
    <row r="102" spans="1:7" ht="10.050000000000001" customHeight="1">
      <c r="A102" s="52" t="s">
        <v>421</v>
      </c>
      <c r="B102" s="52" t="s">
        <v>306</v>
      </c>
      <c r="C102" s="53">
        <v>2004</v>
      </c>
      <c r="D102" s="52" t="s">
        <v>106</v>
      </c>
      <c r="E102" s="54">
        <v>6</v>
      </c>
      <c r="F102" s="55">
        <v>13875.3</v>
      </c>
      <c r="G102" s="55">
        <v>8495.5</v>
      </c>
    </row>
    <row r="103" spans="1:7" ht="10.050000000000001" customHeight="1">
      <c r="A103" s="52" t="s">
        <v>421</v>
      </c>
      <c r="B103" s="52" t="s">
        <v>306</v>
      </c>
      <c r="C103" s="53">
        <v>2004</v>
      </c>
      <c r="D103" s="52" t="s">
        <v>110</v>
      </c>
      <c r="E103" s="54">
        <v>7</v>
      </c>
      <c r="F103" s="55">
        <v>11721.6</v>
      </c>
      <c r="G103" s="55">
        <v>8802</v>
      </c>
    </row>
    <row r="104" spans="1:7" ht="10.050000000000001" customHeight="1">
      <c r="A104" s="52" t="s">
        <v>421</v>
      </c>
      <c r="B104" s="52" t="s">
        <v>306</v>
      </c>
      <c r="C104" s="53">
        <v>2004</v>
      </c>
      <c r="D104" s="52" t="s">
        <v>110</v>
      </c>
      <c r="E104" s="54">
        <v>8</v>
      </c>
      <c r="F104" s="55">
        <v>7567.6</v>
      </c>
      <c r="G104" s="55">
        <v>7533</v>
      </c>
    </row>
    <row r="105" spans="1:7" ht="10.050000000000001" customHeight="1">
      <c r="A105" s="52" t="s">
        <v>421</v>
      </c>
      <c r="B105" s="52" t="s">
        <v>306</v>
      </c>
      <c r="C105" s="53">
        <v>2004</v>
      </c>
      <c r="D105" s="52" t="s">
        <v>110</v>
      </c>
      <c r="E105" s="54">
        <v>9</v>
      </c>
      <c r="F105" s="55">
        <v>7433.9</v>
      </c>
      <c r="G105" s="55">
        <v>7259.7</v>
      </c>
    </row>
    <row r="106" spans="1:7" ht="10.050000000000001" customHeight="1">
      <c r="A106" s="52" t="s">
        <v>421</v>
      </c>
      <c r="B106" s="52" t="s">
        <v>306</v>
      </c>
      <c r="C106" s="53">
        <v>2004</v>
      </c>
      <c r="D106" s="52" t="s">
        <v>110</v>
      </c>
      <c r="E106" s="54">
        <v>10</v>
      </c>
      <c r="F106" s="55">
        <v>7750.6</v>
      </c>
      <c r="G106" s="55">
        <v>6395</v>
      </c>
    </row>
    <row r="107" spans="1:7" ht="10.050000000000001" customHeight="1">
      <c r="A107" s="52" t="s">
        <v>421</v>
      </c>
      <c r="B107" s="52" t="s">
        <v>306</v>
      </c>
      <c r="C107" s="53">
        <v>2004</v>
      </c>
      <c r="D107" s="52" t="s">
        <v>110</v>
      </c>
      <c r="E107" s="54">
        <v>11</v>
      </c>
      <c r="F107" s="55">
        <v>7741.6</v>
      </c>
      <c r="G107" s="55">
        <v>5906.5</v>
      </c>
    </row>
    <row r="108" spans="1:7" ht="10.050000000000001" customHeight="1">
      <c r="A108" s="52" t="s">
        <v>421</v>
      </c>
      <c r="B108" s="52" t="s">
        <v>306</v>
      </c>
      <c r="C108" s="53">
        <v>2004</v>
      </c>
      <c r="D108" s="52" t="s">
        <v>110</v>
      </c>
      <c r="E108" s="54">
        <v>12</v>
      </c>
      <c r="F108" s="55">
        <v>10033.5</v>
      </c>
      <c r="G108" s="55">
        <v>5299.7</v>
      </c>
    </row>
    <row r="109" spans="1:7" ht="10.050000000000001" customHeight="1">
      <c r="A109" s="52" t="s">
        <v>421</v>
      </c>
      <c r="B109" s="52" t="s">
        <v>306</v>
      </c>
      <c r="C109" s="53">
        <v>2005</v>
      </c>
      <c r="D109" s="52" t="s">
        <v>110</v>
      </c>
      <c r="E109" s="54">
        <v>1</v>
      </c>
      <c r="F109" s="55">
        <v>9271.5</v>
      </c>
      <c r="G109" s="55">
        <v>5235.5</v>
      </c>
    </row>
    <row r="110" spans="1:7" ht="10.050000000000001" customHeight="1">
      <c r="A110" s="52" t="s">
        <v>421</v>
      </c>
      <c r="B110" s="52" t="s">
        <v>306</v>
      </c>
      <c r="C110" s="53">
        <v>2005</v>
      </c>
      <c r="D110" s="52" t="s">
        <v>110</v>
      </c>
      <c r="E110" s="54">
        <v>2</v>
      </c>
      <c r="F110" s="55">
        <v>8985.6</v>
      </c>
      <c r="G110" s="55">
        <v>5876.3</v>
      </c>
    </row>
    <row r="111" spans="1:7" ht="10.050000000000001" customHeight="1">
      <c r="A111" s="52" t="s">
        <v>421</v>
      </c>
      <c r="B111" s="52" t="s">
        <v>306</v>
      </c>
      <c r="C111" s="53">
        <v>2005</v>
      </c>
      <c r="D111" s="52" t="s">
        <v>110</v>
      </c>
      <c r="E111" s="54">
        <v>3</v>
      </c>
      <c r="F111" s="55">
        <v>9087.7000000000007</v>
      </c>
      <c r="G111" s="55">
        <v>5351.1</v>
      </c>
    </row>
    <row r="112" spans="1:7" ht="10.050000000000001" customHeight="1">
      <c r="A112" s="52" t="s">
        <v>421</v>
      </c>
      <c r="B112" s="52" t="s">
        <v>306</v>
      </c>
      <c r="C112" s="53">
        <v>2005</v>
      </c>
      <c r="D112" s="52" t="s">
        <v>110</v>
      </c>
      <c r="E112" s="54">
        <v>4</v>
      </c>
      <c r="F112" s="55">
        <v>6805.3</v>
      </c>
      <c r="G112" s="55">
        <v>6775.4</v>
      </c>
    </row>
    <row r="113" spans="1:7" ht="10.050000000000001" customHeight="1">
      <c r="A113" s="52" t="s">
        <v>421</v>
      </c>
      <c r="B113" s="52" t="s">
        <v>306</v>
      </c>
      <c r="C113" s="53">
        <v>2005</v>
      </c>
      <c r="D113" s="52" t="s">
        <v>110</v>
      </c>
      <c r="E113" s="54">
        <v>5</v>
      </c>
      <c r="F113" s="55">
        <v>6444.8</v>
      </c>
      <c r="G113" s="55">
        <v>6815.6</v>
      </c>
    </row>
    <row r="114" spans="1:7" ht="10.050000000000001" customHeight="1">
      <c r="A114" s="52" t="s">
        <v>421</v>
      </c>
      <c r="B114" s="52" t="s">
        <v>306</v>
      </c>
      <c r="C114" s="53">
        <v>2005</v>
      </c>
      <c r="D114" s="52" t="s">
        <v>110</v>
      </c>
      <c r="E114" s="54">
        <v>6</v>
      </c>
      <c r="F114" s="55">
        <v>6640</v>
      </c>
      <c r="G114" s="55">
        <v>6406.3</v>
      </c>
    </row>
    <row r="115" spans="1:7" ht="10.050000000000001" customHeight="1">
      <c r="A115" s="52" t="s">
        <v>421</v>
      </c>
      <c r="B115" s="52" t="s">
        <v>306</v>
      </c>
      <c r="C115" s="53">
        <v>2005</v>
      </c>
      <c r="D115" s="52" t="s">
        <v>111</v>
      </c>
      <c r="E115" s="54">
        <v>7</v>
      </c>
      <c r="F115" s="55">
        <v>5934.8</v>
      </c>
      <c r="G115" s="55">
        <v>7615.2</v>
      </c>
    </row>
    <row r="116" spans="1:7" ht="10.050000000000001" customHeight="1">
      <c r="A116" s="52" t="s">
        <v>421</v>
      </c>
      <c r="B116" s="52" t="s">
        <v>306</v>
      </c>
      <c r="C116" s="53">
        <v>2005</v>
      </c>
      <c r="D116" s="52" t="s">
        <v>111</v>
      </c>
      <c r="E116" s="54">
        <v>8</v>
      </c>
      <c r="F116" s="55">
        <v>6000.1</v>
      </c>
      <c r="G116" s="55">
        <v>7628.5</v>
      </c>
    </row>
    <row r="117" spans="1:7" ht="10.050000000000001" customHeight="1">
      <c r="A117" s="52" t="s">
        <v>421</v>
      </c>
      <c r="B117" s="52" t="s">
        <v>306</v>
      </c>
      <c r="C117" s="53">
        <v>2005</v>
      </c>
      <c r="D117" s="52" t="s">
        <v>111</v>
      </c>
      <c r="E117" s="54">
        <v>9</v>
      </c>
      <c r="F117" s="55">
        <v>6219</v>
      </c>
      <c r="G117" s="55">
        <v>7781.7</v>
      </c>
    </row>
    <row r="118" spans="1:7" ht="10.050000000000001" customHeight="1">
      <c r="A118" s="52" t="s">
        <v>421</v>
      </c>
      <c r="B118" s="52" t="s">
        <v>306</v>
      </c>
      <c r="C118" s="53">
        <v>2005</v>
      </c>
      <c r="D118" s="52" t="s">
        <v>111</v>
      </c>
      <c r="E118" s="54">
        <v>10</v>
      </c>
      <c r="F118" s="55">
        <v>5557.9</v>
      </c>
      <c r="G118" s="55">
        <v>6844</v>
      </c>
    </row>
    <row r="119" spans="1:7" ht="10.050000000000001" customHeight="1">
      <c r="A119" s="52" t="s">
        <v>421</v>
      </c>
      <c r="B119" s="52" t="s">
        <v>306</v>
      </c>
      <c r="C119" s="53">
        <v>2005</v>
      </c>
      <c r="D119" s="52" t="s">
        <v>111</v>
      </c>
      <c r="E119" s="54">
        <v>11</v>
      </c>
      <c r="F119" s="55">
        <v>5174.3999999999996</v>
      </c>
      <c r="G119" s="55">
        <v>6716.9</v>
      </c>
    </row>
    <row r="120" spans="1:7" ht="10.050000000000001" customHeight="1">
      <c r="A120" s="52" t="s">
        <v>421</v>
      </c>
      <c r="B120" s="52" t="s">
        <v>306</v>
      </c>
      <c r="C120" s="53">
        <v>2005</v>
      </c>
      <c r="D120" s="52" t="s">
        <v>111</v>
      </c>
      <c r="E120" s="54">
        <v>12</v>
      </c>
      <c r="F120" s="55">
        <v>5267.5</v>
      </c>
      <c r="G120" s="55">
        <v>6570.4</v>
      </c>
    </row>
    <row r="121" spans="1:7" ht="10.050000000000001" customHeight="1">
      <c r="A121" s="52" t="s">
        <v>421</v>
      </c>
      <c r="B121" s="52" t="s">
        <v>306</v>
      </c>
      <c r="C121" s="53">
        <v>2006</v>
      </c>
      <c r="D121" s="52" t="s">
        <v>111</v>
      </c>
      <c r="E121" s="54">
        <v>1</v>
      </c>
      <c r="F121" s="55">
        <v>5107.8999999999996</v>
      </c>
      <c r="G121" s="55">
        <v>5823.8</v>
      </c>
    </row>
    <row r="122" spans="1:7" ht="10.050000000000001" customHeight="1">
      <c r="A122" s="52" t="s">
        <v>421</v>
      </c>
      <c r="B122" s="52" t="s">
        <v>306</v>
      </c>
      <c r="C122" s="53">
        <v>2006</v>
      </c>
      <c r="D122" s="52" t="s">
        <v>111</v>
      </c>
      <c r="E122" s="54">
        <v>2</v>
      </c>
      <c r="F122" s="55">
        <v>4528.2</v>
      </c>
      <c r="G122" s="55">
        <v>5654.6</v>
      </c>
    </row>
    <row r="123" spans="1:7" ht="10.050000000000001" customHeight="1">
      <c r="A123" s="52" t="s">
        <v>421</v>
      </c>
      <c r="B123" s="52" t="s">
        <v>306</v>
      </c>
      <c r="C123" s="53">
        <v>2006</v>
      </c>
      <c r="D123" s="52" t="s">
        <v>111</v>
      </c>
      <c r="E123" s="54">
        <v>3</v>
      </c>
      <c r="F123" s="55">
        <v>5104.8</v>
      </c>
      <c r="G123" s="55">
        <v>4754.3999999999996</v>
      </c>
    </row>
    <row r="124" spans="1:7" ht="10.050000000000001" customHeight="1">
      <c r="A124" s="52" t="s">
        <v>421</v>
      </c>
      <c r="B124" s="52" t="s">
        <v>306</v>
      </c>
      <c r="C124" s="53">
        <v>2006</v>
      </c>
      <c r="D124" s="52" t="s">
        <v>111</v>
      </c>
      <c r="E124" s="54">
        <v>4</v>
      </c>
      <c r="F124" s="55">
        <v>3825.6</v>
      </c>
      <c r="G124" s="55">
        <v>4265.6000000000004</v>
      </c>
    </row>
    <row r="125" spans="1:7" ht="10.050000000000001" customHeight="1">
      <c r="A125" s="52" t="s">
        <v>421</v>
      </c>
      <c r="B125" s="52" t="s">
        <v>306</v>
      </c>
      <c r="C125" s="53">
        <v>2006</v>
      </c>
      <c r="D125" s="52" t="s">
        <v>111</v>
      </c>
      <c r="E125" s="54">
        <v>5</v>
      </c>
      <c r="F125" s="55">
        <v>3700.3</v>
      </c>
      <c r="G125" s="55">
        <v>4294.3999999999996</v>
      </c>
    </row>
    <row r="126" spans="1:7" ht="10.050000000000001" customHeight="1">
      <c r="A126" s="52" t="s">
        <v>421</v>
      </c>
      <c r="B126" s="52" t="s">
        <v>306</v>
      </c>
      <c r="C126" s="53">
        <v>2006</v>
      </c>
      <c r="D126" s="52" t="s">
        <v>111</v>
      </c>
      <c r="E126" s="54">
        <v>6</v>
      </c>
      <c r="F126" s="55">
        <v>3537.7</v>
      </c>
      <c r="G126" s="55">
        <v>4302.6000000000004</v>
      </c>
    </row>
    <row r="127" spans="1:7" ht="10.050000000000001" customHeight="1">
      <c r="A127" s="52" t="s">
        <v>421</v>
      </c>
      <c r="B127" s="52" t="s">
        <v>306</v>
      </c>
      <c r="C127" s="53">
        <v>2006</v>
      </c>
      <c r="D127" s="52" t="s">
        <v>112</v>
      </c>
      <c r="E127" s="54">
        <v>7</v>
      </c>
      <c r="F127" s="55">
        <v>3645</v>
      </c>
      <c r="G127" s="55">
        <v>6980.2</v>
      </c>
    </row>
    <row r="128" spans="1:7" ht="10.050000000000001" customHeight="1">
      <c r="A128" s="52" t="s">
        <v>421</v>
      </c>
      <c r="B128" s="52" t="s">
        <v>306</v>
      </c>
      <c r="C128" s="53">
        <v>2006</v>
      </c>
      <c r="D128" s="52" t="s">
        <v>112</v>
      </c>
      <c r="E128" s="54">
        <v>8</v>
      </c>
      <c r="F128" s="55">
        <v>3381.4</v>
      </c>
      <c r="G128" s="55">
        <v>7238.1</v>
      </c>
    </row>
    <row r="129" spans="1:7" ht="10.050000000000001" customHeight="1">
      <c r="A129" s="52" t="s">
        <v>421</v>
      </c>
      <c r="B129" s="52" t="s">
        <v>306</v>
      </c>
      <c r="C129" s="53">
        <v>2006</v>
      </c>
      <c r="D129" s="52" t="s">
        <v>112</v>
      </c>
      <c r="E129" s="54">
        <v>9</v>
      </c>
      <c r="F129" s="55">
        <v>3621.5</v>
      </c>
      <c r="G129" s="55">
        <v>7061</v>
      </c>
    </row>
    <row r="130" spans="1:7" ht="10.050000000000001" customHeight="1">
      <c r="A130" s="52" t="s">
        <v>421</v>
      </c>
      <c r="B130" s="52" t="s">
        <v>306</v>
      </c>
      <c r="C130" s="53">
        <v>2006</v>
      </c>
      <c r="D130" s="52" t="s">
        <v>112</v>
      </c>
      <c r="E130" s="54">
        <v>10</v>
      </c>
      <c r="F130" s="55">
        <v>4200.8999999999996</v>
      </c>
      <c r="G130" s="55">
        <v>5889.7</v>
      </c>
    </row>
    <row r="131" spans="1:7" ht="10.050000000000001" customHeight="1">
      <c r="A131" s="52" t="s">
        <v>421</v>
      </c>
      <c r="B131" s="52" t="s">
        <v>306</v>
      </c>
      <c r="C131" s="53">
        <v>2006</v>
      </c>
      <c r="D131" s="52" t="s">
        <v>112</v>
      </c>
      <c r="E131" s="54">
        <v>11</v>
      </c>
      <c r="F131" s="55">
        <v>4166.8</v>
      </c>
      <c r="G131" s="55">
        <v>5506</v>
      </c>
    </row>
    <row r="132" spans="1:7" ht="10.050000000000001" customHeight="1">
      <c r="A132" s="52" t="s">
        <v>421</v>
      </c>
      <c r="B132" s="52" t="s">
        <v>306</v>
      </c>
      <c r="C132" s="53">
        <v>2006</v>
      </c>
      <c r="D132" s="52" t="s">
        <v>112</v>
      </c>
      <c r="E132" s="54">
        <v>12</v>
      </c>
      <c r="F132" s="55">
        <v>3767.3</v>
      </c>
      <c r="G132" s="55">
        <v>5331.5</v>
      </c>
    </row>
    <row r="133" spans="1:7" ht="10.050000000000001" customHeight="1">
      <c r="A133" s="52" t="s">
        <v>421</v>
      </c>
      <c r="B133" s="52" t="s">
        <v>306</v>
      </c>
      <c r="C133" s="53">
        <v>2007</v>
      </c>
      <c r="D133" s="52" t="s">
        <v>112</v>
      </c>
      <c r="E133" s="54">
        <v>1</v>
      </c>
      <c r="F133" s="55">
        <v>4165.3</v>
      </c>
      <c r="G133" s="55">
        <v>5190.8</v>
      </c>
    </row>
    <row r="134" spans="1:7" ht="10.050000000000001" customHeight="1">
      <c r="A134" s="52" t="s">
        <v>421</v>
      </c>
      <c r="B134" s="52" t="s">
        <v>306</v>
      </c>
      <c r="C134" s="53">
        <v>2007</v>
      </c>
      <c r="D134" s="52" t="s">
        <v>112</v>
      </c>
      <c r="E134" s="54">
        <v>2</v>
      </c>
      <c r="F134" s="55">
        <v>3996.4</v>
      </c>
      <c r="G134" s="55">
        <v>4866.6000000000004</v>
      </c>
    </row>
    <row r="135" spans="1:7" ht="10.050000000000001" customHeight="1">
      <c r="A135" s="52" t="s">
        <v>421</v>
      </c>
      <c r="B135" s="52" t="s">
        <v>306</v>
      </c>
      <c r="C135" s="53">
        <v>2007</v>
      </c>
      <c r="D135" s="52" t="s">
        <v>112</v>
      </c>
      <c r="E135" s="54">
        <v>3</v>
      </c>
      <c r="F135" s="55">
        <v>3916.3</v>
      </c>
      <c r="G135" s="55">
        <v>4916.1000000000004</v>
      </c>
    </row>
    <row r="136" spans="1:7" ht="10.050000000000001" customHeight="1">
      <c r="A136" s="52" t="s">
        <v>421</v>
      </c>
      <c r="B136" s="52" t="s">
        <v>306</v>
      </c>
      <c r="C136" s="53">
        <v>2007</v>
      </c>
      <c r="D136" s="52" t="s">
        <v>112</v>
      </c>
      <c r="E136" s="54">
        <v>4</v>
      </c>
      <c r="F136" s="55">
        <v>3406.5</v>
      </c>
      <c r="G136" s="55">
        <v>4278</v>
      </c>
    </row>
    <row r="137" spans="1:7" ht="10.050000000000001" customHeight="1">
      <c r="A137" s="52" t="s">
        <v>421</v>
      </c>
      <c r="B137" s="52" t="s">
        <v>306</v>
      </c>
      <c r="C137" s="53">
        <v>2007</v>
      </c>
      <c r="D137" s="52" t="s">
        <v>112</v>
      </c>
      <c r="E137" s="54">
        <v>5</v>
      </c>
      <c r="F137" s="55">
        <v>3726.6</v>
      </c>
      <c r="G137" s="55">
        <v>4835.3999999999996</v>
      </c>
    </row>
    <row r="138" spans="1:7" ht="10.050000000000001" customHeight="1">
      <c r="A138" s="52" t="s">
        <v>421</v>
      </c>
      <c r="B138" s="52" t="s">
        <v>306</v>
      </c>
      <c r="C138" s="53">
        <v>2007</v>
      </c>
      <c r="D138" s="52" t="s">
        <v>112</v>
      </c>
      <c r="E138" s="54">
        <v>6</v>
      </c>
      <c r="F138" s="55">
        <v>3737.1</v>
      </c>
      <c r="G138" s="55">
        <v>4115.5</v>
      </c>
    </row>
    <row r="139" spans="1:7" ht="10.050000000000001" customHeight="1">
      <c r="A139" s="52" t="s">
        <v>421</v>
      </c>
      <c r="B139" s="52" t="s">
        <v>306</v>
      </c>
      <c r="C139" s="53">
        <v>2007</v>
      </c>
      <c r="D139" s="52" t="s">
        <v>113</v>
      </c>
      <c r="E139" s="54">
        <v>7</v>
      </c>
      <c r="F139" s="55">
        <v>4115.7</v>
      </c>
      <c r="G139" s="55">
        <v>4808.7</v>
      </c>
    </row>
    <row r="140" spans="1:7" ht="10.050000000000001" customHeight="1">
      <c r="A140" s="52" t="s">
        <v>421</v>
      </c>
      <c r="B140" s="52" t="s">
        <v>306</v>
      </c>
      <c r="C140" s="53">
        <v>2007</v>
      </c>
      <c r="D140" s="52" t="s">
        <v>113</v>
      </c>
      <c r="E140" s="54">
        <v>8</v>
      </c>
      <c r="F140" s="55">
        <v>3809.5</v>
      </c>
      <c r="G140" s="55">
        <v>7707.4</v>
      </c>
    </row>
    <row r="141" spans="1:7" ht="10.050000000000001" customHeight="1">
      <c r="A141" s="52" t="s">
        <v>421</v>
      </c>
      <c r="B141" s="52" t="s">
        <v>306</v>
      </c>
      <c r="C141" s="53">
        <v>2007</v>
      </c>
      <c r="D141" s="52" t="s">
        <v>113</v>
      </c>
      <c r="E141" s="54">
        <v>9</v>
      </c>
      <c r="F141" s="55">
        <v>4183.7</v>
      </c>
      <c r="G141" s="55">
        <v>11047.2</v>
      </c>
    </row>
    <row r="142" spans="1:7" ht="10.050000000000001" customHeight="1">
      <c r="A142" s="52" t="s">
        <v>421</v>
      </c>
      <c r="B142" s="52" t="s">
        <v>306</v>
      </c>
      <c r="C142" s="53">
        <v>2007</v>
      </c>
      <c r="D142" s="52" t="s">
        <v>113</v>
      </c>
      <c r="E142" s="54">
        <v>10</v>
      </c>
      <c r="F142" s="55">
        <v>4365.5</v>
      </c>
      <c r="G142" s="55">
        <v>9879.4</v>
      </c>
    </row>
    <row r="143" spans="1:7" ht="10.050000000000001" customHeight="1">
      <c r="A143" s="52" t="s">
        <v>421</v>
      </c>
      <c r="B143" s="52" t="s">
        <v>306</v>
      </c>
      <c r="C143" s="53">
        <v>2007</v>
      </c>
      <c r="D143" s="52" t="s">
        <v>113</v>
      </c>
      <c r="E143" s="54">
        <v>11</v>
      </c>
      <c r="F143" s="55">
        <v>4218.8999999999996</v>
      </c>
      <c r="G143" s="55">
        <v>11238.5</v>
      </c>
    </row>
    <row r="144" spans="1:7" ht="10.050000000000001" customHeight="1">
      <c r="A144" s="52" t="s">
        <v>421</v>
      </c>
      <c r="B144" s="52" t="s">
        <v>306</v>
      </c>
      <c r="C144" s="53">
        <v>2007</v>
      </c>
      <c r="D144" s="52" t="s">
        <v>113</v>
      </c>
      <c r="E144" s="54">
        <v>12</v>
      </c>
      <c r="F144" s="55">
        <v>3843.1</v>
      </c>
      <c r="G144" s="55">
        <v>9900.6</v>
      </c>
    </row>
    <row r="145" spans="1:7" ht="10.050000000000001" customHeight="1">
      <c r="A145" s="52" t="s">
        <v>421</v>
      </c>
      <c r="B145" s="52" t="s">
        <v>306</v>
      </c>
      <c r="C145" s="53">
        <v>2008</v>
      </c>
      <c r="D145" s="52" t="s">
        <v>113</v>
      </c>
      <c r="E145" s="54">
        <v>1</v>
      </c>
      <c r="F145" s="55">
        <v>4173.7</v>
      </c>
      <c r="G145" s="55">
        <v>8830.4</v>
      </c>
    </row>
    <row r="146" spans="1:7" ht="10.050000000000001" customHeight="1">
      <c r="A146" s="52" t="s">
        <v>421</v>
      </c>
      <c r="B146" s="52" t="s">
        <v>306</v>
      </c>
      <c r="C146" s="53">
        <v>2008</v>
      </c>
      <c r="D146" s="52" t="s">
        <v>113</v>
      </c>
      <c r="E146" s="54">
        <v>2</v>
      </c>
      <c r="F146" s="55">
        <v>3916.4</v>
      </c>
      <c r="G146" s="55">
        <v>7752.3</v>
      </c>
    </row>
    <row r="147" spans="1:7" ht="10.050000000000001" customHeight="1">
      <c r="A147" s="52" t="s">
        <v>421</v>
      </c>
      <c r="B147" s="52" t="s">
        <v>306</v>
      </c>
      <c r="C147" s="53">
        <v>2008</v>
      </c>
      <c r="D147" s="52" t="s">
        <v>113</v>
      </c>
      <c r="E147" s="54">
        <v>3</v>
      </c>
      <c r="F147" s="55">
        <v>3840.8</v>
      </c>
      <c r="G147" s="55">
        <v>6619.9</v>
      </c>
    </row>
    <row r="148" spans="1:7" ht="10.050000000000001" customHeight="1">
      <c r="A148" s="52" t="s">
        <v>421</v>
      </c>
      <c r="B148" s="52" t="s">
        <v>306</v>
      </c>
      <c r="C148" s="53">
        <v>2008</v>
      </c>
      <c r="D148" s="52" t="s">
        <v>113</v>
      </c>
      <c r="E148" s="54">
        <v>4</v>
      </c>
      <c r="F148" s="55">
        <v>4176</v>
      </c>
      <c r="G148" s="55">
        <v>7051.9</v>
      </c>
    </row>
    <row r="149" spans="1:7" ht="10.050000000000001" customHeight="1">
      <c r="A149" s="52" t="s">
        <v>421</v>
      </c>
      <c r="B149" s="52" t="s">
        <v>306</v>
      </c>
      <c r="C149" s="53">
        <v>2008</v>
      </c>
      <c r="D149" s="52" t="s">
        <v>113</v>
      </c>
      <c r="E149" s="54">
        <v>5</v>
      </c>
      <c r="F149" s="55">
        <v>3461.3</v>
      </c>
      <c r="G149" s="55">
        <v>6383.7</v>
      </c>
    </row>
    <row r="150" spans="1:7" ht="10.050000000000001" customHeight="1">
      <c r="A150" s="52" t="s">
        <v>421</v>
      </c>
      <c r="B150" s="52" t="s">
        <v>306</v>
      </c>
      <c r="C150" s="53">
        <v>2008</v>
      </c>
      <c r="D150" s="52" t="s">
        <v>113</v>
      </c>
      <c r="E150" s="54">
        <v>6</v>
      </c>
      <c r="F150" s="55">
        <v>3307.4</v>
      </c>
      <c r="G150" s="55">
        <v>6098.5</v>
      </c>
    </row>
    <row r="151" spans="1:7" ht="10.050000000000001" customHeight="1">
      <c r="A151" s="52" t="s">
        <v>421</v>
      </c>
      <c r="B151" s="52" t="s">
        <v>306</v>
      </c>
      <c r="C151" s="53">
        <v>2008</v>
      </c>
      <c r="D151" s="52" t="s">
        <v>107</v>
      </c>
      <c r="E151" s="54">
        <v>7</v>
      </c>
      <c r="F151" s="55">
        <v>3668.6</v>
      </c>
      <c r="G151" s="55">
        <v>6999.3</v>
      </c>
    </row>
    <row r="152" spans="1:7" ht="10.050000000000001" customHeight="1">
      <c r="A152" s="52" t="s">
        <v>421</v>
      </c>
      <c r="B152" s="52" t="s">
        <v>306</v>
      </c>
      <c r="C152" s="53">
        <v>2008</v>
      </c>
      <c r="D152" s="52" t="s">
        <v>107</v>
      </c>
      <c r="E152" s="54">
        <v>8</v>
      </c>
      <c r="F152" s="55">
        <v>3215.7</v>
      </c>
      <c r="G152" s="55">
        <v>7050.2</v>
      </c>
    </row>
    <row r="153" spans="1:7" ht="10.050000000000001" customHeight="1">
      <c r="A153" s="52" t="s">
        <v>421</v>
      </c>
      <c r="B153" s="52" t="s">
        <v>306</v>
      </c>
      <c r="C153" s="53">
        <v>2008</v>
      </c>
      <c r="D153" s="52" t="s">
        <v>107</v>
      </c>
      <c r="E153" s="54">
        <v>9</v>
      </c>
      <c r="F153" s="55">
        <v>3682.4</v>
      </c>
      <c r="G153" s="55">
        <v>7429.3</v>
      </c>
    </row>
    <row r="154" spans="1:7" ht="10.050000000000001" customHeight="1">
      <c r="A154" s="52" t="s">
        <v>421</v>
      </c>
      <c r="B154" s="52" t="s">
        <v>306</v>
      </c>
      <c r="C154" s="53">
        <v>2008</v>
      </c>
      <c r="D154" s="52" t="s">
        <v>107</v>
      </c>
      <c r="E154" s="54">
        <v>10</v>
      </c>
      <c r="F154" s="55">
        <v>3830.1</v>
      </c>
      <c r="G154" s="55">
        <v>9103.7999999999993</v>
      </c>
    </row>
    <row r="155" spans="1:7" ht="10.050000000000001" customHeight="1">
      <c r="A155" s="52" t="s">
        <v>421</v>
      </c>
      <c r="B155" s="52" t="s">
        <v>306</v>
      </c>
      <c r="C155" s="53">
        <v>2008</v>
      </c>
      <c r="D155" s="52" t="s">
        <v>107</v>
      </c>
      <c r="E155" s="54">
        <v>11</v>
      </c>
      <c r="F155" s="55">
        <v>3584.9</v>
      </c>
      <c r="G155" s="55">
        <v>7796.9</v>
      </c>
    </row>
    <row r="156" spans="1:7" ht="10.050000000000001" customHeight="1">
      <c r="A156" s="52" t="s">
        <v>421</v>
      </c>
      <c r="B156" s="52" t="s">
        <v>306</v>
      </c>
      <c r="C156" s="53">
        <v>2008</v>
      </c>
      <c r="D156" s="52" t="s">
        <v>107</v>
      </c>
      <c r="E156" s="54">
        <v>12</v>
      </c>
      <c r="F156" s="55">
        <v>4065</v>
      </c>
      <c r="G156" s="55">
        <v>7198.4</v>
      </c>
    </row>
    <row r="157" spans="1:7" ht="10.050000000000001" customHeight="1">
      <c r="A157" s="52" t="s">
        <v>421</v>
      </c>
      <c r="B157" s="52" t="s">
        <v>306</v>
      </c>
      <c r="C157" s="53">
        <v>2009</v>
      </c>
      <c r="D157" s="52" t="s">
        <v>107</v>
      </c>
      <c r="E157" s="54">
        <v>1</v>
      </c>
      <c r="F157" s="55">
        <v>4654</v>
      </c>
      <c r="G157" s="55">
        <v>6248.2</v>
      </c>
    </row>
    <row r="158" spans="1:7" ht="10.050000000000001" customHeight="1">
      <c r="A158" s="52" t="s">
        <v>421</v>
      </c>
      <c r="B158" s="52" t="s">
        <v>306</v>
      </c>
      <c r="C158" s="53">
        <v>2009</v>
      </c>
      <c r="D158" s="52" t="s">
        <v>107</v>
      </c>
      <c r="E158" s="54">
        <v>2</v>
      </c>
      <c r="F158" s="55">
        <v>4187.7</v>
      </c>
      <c r="G158" s="55">
        <v>5481</v>
      </c>
    </row>
    <row r="159" spans="1:7" ht="10.050000000000001" customHeight="1">
      <c r="A159" s="52" t="s">
        <v>421</v>
      </c>
      <c r="B159" s="52" t="s">
        <v>306</v>
      </c>
      <c r="C159" s="53">
        <v>2009</v>
      </c>
      <c r="D159" s="52" t="s">
        <v>107</v>
      </c>
      <c r="E159" s="54">
        <v>3</v>
      </c>
      <c r="F159" s="55">
        <v>5106.1000000000004</v>
      </c>
      <c r="G159" s="55">
        <v>5609.7</v>
      </c>
    </row>
    <row r="160" spans="1:7" ht="10.050000000000001" customHeight="1">
      <c r="A160" s="52" t="s">
        <v>421</v>
      </c>
      <c r="B160" s="52" t="s">
        <v>306</v>
      </c>
      <c r="C160" s="53">
        <v>2009</v>
      </c>
      <c r="D160" s="52" t="s">
        <v>107</v>
      </c>
      <c r="E160" s="54">
        <v>4</v>
      </c>
      <c r="F160" s="55">
        <v>4900.3</v>
      </c>
      <c r="G160" s="55">
        <v>4877.8999999999996</v>
      </c>
    </row>
    <row r="161" spans="1:7" ht="10.050000000000001" customHeight="1">
      <c r="A161" s="52" t="s">
        <v>421</v>
      </c>
      <c r="B161" s="52" t="s">
        <v>306</v>
      </c>
      <c r="C161" s="53">
        <v>2009</v>
      </c>
      <c r="D161" s="52" t="s">
        <v>107</v>
      </c>
      <c r="E161" s="54">
        <v>5</v>
      </c>
      <c r="F161" s="55">
        <v>4507.2</v>
      </c>
      <c r="G161" s="55">
        <v>4040</v>
      </c>
    </row>
    <row r="162" spans="1:7" ht="10.050000000000001" customHeight="1">
      <c r="A162" s="52" t="s">
        <v>421</v>
      </c>
      <c r="B162" s="52" t="s">
        <v>306</v>
      </c>
      <c r="C162" s="53">
        <v>2009</v>
      </c>
      <c r="D162" s="52" t="s">
        <v>107</v>
      </c>
      <c r="E162" s="54">
        <v>6</v>
      </c>
      <c r="F162" s="55">
        <v>5080.6000000000004</v>
      </c>
      <c r="G162" s="55">
        <v>3689.2</v>
      </c>
    </row>
    <row r="163" spans="1:7" ht="10.050000000000001" customHeight="1">
      <c r="A163" s="52" t="s">
        <v>421</v>
      </c>
      <c r="B163" s="52" t="s">
        <v>306</v>
      </c>
      <c r="C163" s="53">
        <v>2009</v>
      </c>
      <c r="D163" s="52" t="s">
        <v>114</v>
      </c>
      <c r="E163" s="54">
        <v>7</v>
      </c>
      <c r="F163" s="55">
        <v>5252.8</v>
      </c>
      <c r="G163" s="55">
        <v>4645.7</v>
      </c>
    </row>
    <row r="164" spans="1:7" ht="10.050000000000001" customHeight="1">
      <c r="A164" s="52" t="s">
        <v>421</v>
      </c>
      <c r="B164" s="52" t="s">
        <v>306</v>
      </c>
      <c r="C164" s="53">
        <v>2009</v>
      </c>
      <c r="D164" s="52" t="s">
        <v>114</v>
      </c>
      <c r="E164" s="54">
        <v>8</v>
      </c>
      <c r="F164" s="55">
        <v>5061.5</v>
      </c>
      <c r="G164" s="55">
        <v>6746.3</v>
      </c>
    </row>
    <row r="165" spans="1:7" ht="10.050000000000001" customHeight="1">
      <c r="A165" s="52" t="s">
        <v>421</v>
      </c>
      <c r="B165" s="52" t="s">
        <v>306</v>
      </c>
      <c r="C165" s="53">
        <v>2009</v>
      </c>
      <c r="D165" s="52" t="s">
        <v>114</v>
      </c>
      <c r="E165" s="54">
        <v>9</v>
      </c>
      <c r="F165" s="55">
        <v>6259</v>
      </c>
      <c r="G165" s="55">
        <v>6925.8</v>
      </c>
    </row>
    <row r="166" spans="1:7" ht="10.050000000000001" customHeight="1">
      <c r="A166" s="52" t="s">
        <v>421</v>
      </c>
      <c r="B166" s="52" t="s">
        <v>306</v>
      </c>
      <c r="C166" s="53">
        <v>2009</v>
      </c>
      <c r="D166" s="52" t="s">
        <v>114</v>
      </c>
      <c r="E166" s="54">
        <v>10</v>
      </c>
      <c r="F166" s="55">
        <v>6106.2</v>
      </c>
      <c r="G166" s="55">
        <v>5776.8</v>
      </c>
    </row>
    <row r="167" spans="1:7" ht="10.050000000000001" customHeight="1">
      <c r="A167" s="52" t="s">
        <v>421</v>
      </c>
      <c r="B167" s="52" t="s">
        <v>306</v>
      </c>
      <c r="C167" s="53">
        <v>2009</v>
      </c>
      <c r="D167" s="52" t="s">
        <v>114</v>
      </c>
      <c r="E167" s="54">
        <v>11</v>
      </c>
      <c r="F167" s="55">
        <v>6065.9</v>
      </c>
      <c r="G167" s="55">
        <v>5560</v>
      </c>
    </row>
    <row r="168" spans="1:7" ht="10.050000000000001" customHeight="1">
      <c r="A168" s="52" t="s">
        <v>421</v>
      </c>
      <c r="B168" s="52" t="s">
        <v>306</v>
      </c>
      <c r="C168" s="53">
        <v>2009</v>
      </c>
      <c r="D168" s="52" t="s">
        <v>114</v>
      </c>
      <c r="E168" s="54">
        <v>12</v>
      </c>
      <c r="F168" s="55">
        <v>7130</v>
      </c>
      <c r="G168" s="55">
        <v>4897.5</v>
      </c>
    </row>
    <row r="169" spans="1:7" ht="10.050000000000001" customHeight="1">
      <c r="A169" s="52" t="s">
        <v>421</v>
      </c>
      <c r="B169" s="52" t="s">
        <v>306</v>
      </c>
      <c r="C169" s="53">
        <v>2010</v>
      </c>
      <c r="D169" s="52" t="s">
        <v>114</v>
      </c>
      <c r="E169" s="54">
        <v>1</v>
      </c>
      <c r="F169" s="55">
        <v>7711.5</v>
      </c>
      <c r="G169" s="55">
        <v>5503.3</v>
      </c>
    </row>
    <row r="170" spans="1:7" ht="10.050000000000001" customHeight="1">
      <c r="A170" s="52" t="s">
        <v>421</v>
      </c>
      <c r="B170" s="52" t="s">
        <v>306</v>
      </c>
      <c r="C170" s="53">
        <v>2010</v>
      </c>
      <c r="D170" s="52" t="s">
        <v>114</v>
      </c>
      <c r="E170" s="54">
        <v>2</v>
      </c>
      <c r="F170" s="55">
        <v>7802.5</v>
      </c>
      <c r="G170" s="55">
        <v>5903.3</v>
      </c>
    </row>
    <row r="171" spans="1:7" ht="10.050000000000001" customHeight="1">
      <c r="A171" s="52" t="s">
        <v>421</v>
      </c>
      <c r="B171" s="52" t="s">
        <v>306</v>
      </c>
      <c r="C171" s="53">
        <v>2010</v>
      </c>
      <c r="D171" s="52" t="s">
        <v>114</v>
      </c>
      <c r="E171" s="54">
        <v>3</v>
      </c>
      <c r="F171" s="55">
        <v>9623.0000000000091</v>
      </c>
      <c r="G171" s="55">
        <v>5127.8</v>
      </c>
    </row>
    <row r="172" spans="1:7" ht="10.050000000000001" customHeight="1">
      <c r="A172" s="52" t="s">
        <v>421</v>
      </c>
      <c r="B172" s="52" t="s">
        <v>306</v>
      </c>
      <c r="C172" s="53">
        <v>2010</v>
      </c>
      <c r="D172" s="52" t="s">
        <v>114</v>
      </c>
      <c r="E172" s="54">
        <v>4</v>
      </c>
      <c r="F172" s="55">
        <v>8944.9</v>
      </c>
      <c r="G172" s="55">
        <v>6016.1</v>
      </c>
    </row>
    <row r="173" spans="1:7" ht="10.050000000000001" customHeight="1">
      <c r="A173" s="52" t="s">
        <v>421</v>
      </c>
      <c r="B173" s="52" t="s">
        <v>306</v>
      </c>
      <c r="C173" s="53">
        <v>2010</v>
      </c>
      <c r="D173" s="52" t="s">
        <v>114</v>
      </c>
      <c r="E173" s="54">
        <v>5</v>
      </c>
      <c r="F173" s="55">
        <v>9540.9</v>
      </c>
      <c r="G173" s="55">
        <v>5344.7</v>
      </c>
    </row>
    <row r="174" spans="1:7" ht="10.050000000000001" customHeight="1">
      <c r="A174" s="52" t="s">
        <v>421</v>
      </c>
      <c r="B174" s="52" t="s">
        <v>306</v>
      </c>
      <c r="C174" s="53">
        <v>2010</v>
      </c>
      <c r="D174" s="52" t="s">
        <v>114</v>
      </c>
      <c r="E174" s="54">
        <v>6</v>
      </c>
      <c r="F174" s="55">
        <v>10416.6</v>
      </c>
      <c r="G174" s="55">
        <v>6038.9</v>
      </c>
    </row>
    <row r="175" spans="1:7" ht="10.050000000000001" customHeight="1">
      <c r="A175" s="52" t="s">
        <v>421</v>
      </c>
      <c r="B175" s="52" t="s">
        <v>306</v>
      </c>
      <c r="C175" s="53">
        <v>2010</v>
      </c>
      <c r="D175" s="52" t="s">
        <v>115</v>
      </c>
      <c r="E175" s="54">
        <v>7</v>
      </c>
      <c r="F175" s="55">
        <v>9127.9699999999993</v>
      </c>
      <c r="G175" s="55">
        <v>7693.19</v>
      </c>
    </row>
    <row r="176" spans="1:7" ht="10.050000000000001" customHeight="1">
      <c r="A176" s="52" t="s">
        <v>421</v>
      </c>
      <c r="B176" s="52" t="s">
        <v>306</v>
      </c>
      <c r="C176" s="53">
        <v>2010</v>
      </c>
      <c r="D176" s="52" t="s">
        <v>115</v>
      </c>
      <c r="E176" s="54">
        <v>8</v>
      </c>
      <c r="F176" s="55">
        <v>11044.539000000001</v>
      </c>
      <c r="G176" s="55">
        <v>7087.82</v>
      </c>
    </row>
    <row r="177" spans="1:7" ht="10.050000000000001" customHeight="1">
      <c r="A177" s="52" t="s">
        <v>421</v>
      </c>
      <c r="B177" s="52" t="s">
        <v>306</v>
      </c>
      <c r="C177" s="53">
        <v>2010</v>
      </c>
      <c r="D177" s="52" t="s">
        <v>115</v>
      </c>
      <c r="E177" s="54">
        <v>9</v>
      </c>
      <c r="F177" s="55">
        <v>12371.188</v>
      </c>
      <c r="G177" s="55">
        <v>6545.6989999999996</v>
      </c>
    </row>
    <row r="178" spans="1:7" ht="10.050000000000001" customHeight="1">
      <c r="A178" s="52" t="s">
        <v>421</v>
      </c>
      <c r="B178" s="52" t="s">
        <v>306</v>
      </c>
      <c r="C178" s="53">
        <v>2010</v>
      </c>
      <c r="D178" s="52" t="s">
        <v>115</v>
      </c>
      <c r="E178" s="54">
        <v>10</v>
      </c>
      <c r="F178" s="55">
        <v>12288.849</v>
      </c>
      <c r="G178" s="55">
        <v>5823.3090000000002</v>
      </c>
    </row>
    <row r="179" spans="1:7" ht="10.050000000000001" customHeight="1">
      <c r="A179" s="52" t="s">
        <v>421</v>
      </c>
      <c r="B179" s="52" t="s">
        <v>306</v>
      </c>
      <c r="C179" s="53">
        <v>2010</v>
      </c>
      <c r="D179" s="52" t="s">
        <v>115</v>
      </c>
      <c r="E179" s="54">
        <v>11</v>
      </c>
      <c r="F179" s="55">
        <v>12778.136</v>
      </c>
      <c r="G179" s="55">
        <v>5705.9430000000002</v>
      </c>
    </row>
    <row r="180" spans="1:7" ht="10.050000000000001" customHeight="1">
      <c r="A180" s="52" t="s">
        <v>421</v>
      </c>
      <c r="B180" s="52" t="s">
        <v>306</v>
      </c>
      <c r="C180" s="53">
        <v>2010</v>
      </c>
      <c r="D180" s="52" t="s">
        <v>115</v>
      </c>
      <c r="E180" s="54">
        <v>12</v>
      </c>
      <c r="F180" s="55">
        <v>14635.519</v>
      </c>
      <c r="G180" s="55">
        <v>5344.9949999999999</v>
      </c>
    </row>
    <row r="181" spans="1:7" ht="10.050000000000001" customHeight="1">
      <c r="A181" s="52" t="s">
        <v>421</v>
      </c>
      <c r="B181" s="52" t="s">
        <v>306</v>
      </c>
      <c r="C181" s="53">
        <v>2011</v>
      </c>
      <c r="D181" s="52" t="s">
        <v>115</v>
      </c>
      <c r="E181" s="54">
        <v>1</v>
      </c>
      <c r="F181" s="55">
        <v>12894.815000000001</v>
      </c>
      <c r="G181" s="55">
        <v>5985.11</v>
      </c>
    </row>
    <row r="182" spans="1:7" ht="10.050000000000001" customHeight="1">
      <c r="A182" s="52" t="s">
        <v>421</v>
      </c>
      <c r="B182" s="52" t="s">
        <v>306</v>
      </c>
      <c r="C182" s="53">
        <v>2011</v>
      </c>
      <c r="D182" s="52" t="s">
        <v>115</v>
      </c>
      <c r="E182" s="54">
        <v>2</v>
      </c>
      <c r="F182" s="55">
        <v>11007.245999999999</v>
      </c>
      <c r="G182" s="55">
        <v>7417.95</v>
      </c>
    </row>
    <row r="183" spans="1:7" ht="10.050000000000001" customHeight="1">
      <c r="A183" s="52" t="s">
        <v>421</v>
      </c>
      <c r="B183" s="52" t="s">
        <v>306</v>
      </c>
      <c r="C183" s="53">
        <v>2011</v>
      </c>
      <c r="D183" s="52" t="s">
        <v>115</v>
      </c>
      <c r="E183" s="54">
        <v>3</v>
      </c>
      <c r="F183" s="55">
        <v>9653.1810000000005</v>
      </c>
      <c r="G183" s="55">
        <v>6346.84</v>
      </c>
    </row>
    <row r="184" spans="1:7" ht="10.050000000000001" customHeight="1">
      <c r="A184" s="52" t="s">
        <v>421</v>
      </c>
      <c r="B184" s="52" t="s">
        <v>306</v>
      </c>
      <c r="C184" s="53">
        <v>2011</v>
      </c>
      <c r="D184" s="52" t="s">
        <v>115</v>
      </c>
      <c r="E184" s="54">
        <v>4</v>
      </c>
      <c r="F184" s="55">
        <v>7594.7849999999999</v>
      </c>
      <c r="G184" s="55">
        <v>6144.43</v>
      </c>
    </row>
    <row r="185" spans="1:7" ht="10.050000000000001" customHeight="1">
      <c r="A185" s="52" t="s">
        <v>421</v>
      </c>
      <c r="B185" s="52" t="s">
        <v>306</v>
      </c>
      <c r="C185" s="53">
        <v>2011</v>
      </c>
      <c r="D185" s="52" t="s">
        <v>115</v>
      </c>
      <c r="E185" s="54">
        <v>5</v>
      </c>
      <c r="F185" s="55">
        <v>7552.4110000000001</v>
      </c>
      <c r="G185" s="55">
        <v>5706.64</v>
      </c>
    </row>
    <row r="186" spans="1:7" ht="10.050000000000001" customHeight="1">
      <c r="A186" s="52" t="s">
        <v>421</v>
      </c>
      <c r="B186" s="52" t="s">
        <v>306</v>
      </c>
      <c r="C186" s="53">
        <v>2011</v>
      </c>
      <c r="D186" s="52" t="s">
        <v>115</v>
      </c>
      <c r="E186" s="54">
        <v>6</v>
      </c>
      <c r="F186" s="55">
        <v>7211.241</v>
      </c>
      <c r="G186" s="55">
        <v>5784.116</v>
      </c>
    </row>
    <row r="187" spans="1:7" ht="10.050000000000001" customHeight="1">
      <c r="A187" s="52" t="s">
        <v>421</v>
      </c>
      <c r="B187" s="52" t="s">
        <v>306</v>
      </c>
      <c r="C187" s="53">
        <v>2011</v>
      </c>
      <c r="D187" s="52" t="s">
        <v>116</v>
      </c>
      <c r="E187" s="54">
        <v>7</v>
      </c>
      <c r="F187" s="55">
        <v>6036.9309999999996</v>
      </c>
      <c r="G187" s="55">
        <v>6656.65</v>
      </c>
    </row>
    <row r="188" spans="1:7" ht="10.050000000000001" customHeight="1">
      <c r="A188" s="52" t="s">
        <v>421</v>
      </c>
      <c r="B188" s="52" t="s">
        <v>306</v>
      </c>
      <c r="C188" s="53">
        <v>2011</v>
      </c>
      <c r="D188" s="52" t="s">
        <v>116</v>
      </c>
      <c r="E188" s="54">
        <v>8</v>
      </c>
      <c r="F188" s="55">
        <v>6596.1480000000001</v>
      </c>
      <c r="G188" s="55">
        <v>6952.7030000000004</v>
      </c>
    </row>
    <row r="189" spans="1:7" ht="10.050000000000001" customHeight="1">
      <c r="A189" s="52" t="s">
        <v>421</v>
      </c>
      <c r="B189" s="52" t="s">
        <v>306</v>
      </c>
      <c r="C189" s="53">
        <v>2011</v>
      </c>
      <c r="D189" s="52" t="s">
        <v>116</v>
      </c>
      <c r="E189" s="54">
        <v>9</v>
      </c>
      <c r="F189" s="55">
        <v>6430.3360000000002</v>
      </c>
      <c r="G189" s="55">
        <v>6117.3450000000003</v>
      </c>
    </row>
    <row r="190" spans="1:7" ht="10.050000000000001" customHeight="1">
      <c r="A190" s="52" t="s">
        <v>421</v>
      </c>
      <c r="B190" s="52" t="s">
        <v>306</v>
      </c>
      <c r="C190" s="53">
        <v>2011</v>
      </c>
      <c r="D190" s="52" t="s">
        <v>116</v>
      </c>
      <c r="E190" s="54">
        <v>10</v>
      </c>
      <c r="F190" s="55">
        <v>5062.2209999999995</v>
      </c>
      <c r="G190" s="55">
        <v>5053.6099999999997</v>
      </c>
    </row>
    <row r="191" spans="1:7" ht="10.050000000000001" customHeight="1">
      <c r="A191" s="52" t="s">
        <v>421</v>
      </c>
      <c r="B191" s="52" t="s">
        <v>306</v>
      </c>
      <c r="C191" s="53">
        <v>2011</v>
      </c>
      <c r="D191" s="52" t="s">
        <v>116</v>
      </c>
      <c r="E191" s="54">
        <v>11</v>
      </c>
      <c r="F191" s="55">
        <v>4864.0730000000003</v>
      </c>
      <c r="G191" s="55">
        <v>5168.1530000000002</v>
      </c>
    </row>
    <row r="192" spans="1:7" ht="10.050000000000001" customHeight="1">
      <c r="A192" s="52" t="s">
        <v>421</v>
      </c>
      <c r="B192" s="52" t="s">
        <v>306</v>
      </c>
      <c r="C192" s="53">
        <v>2011</v>
      </c>
      <c r="D192" s="52" t="s">
        <v>116</v>
      </c>
      <c r="E192" s="54">
        <v>12</v>
      </c>
      <c r="F192" s="55">
        <v>4992.4440000000004</v>
      </c>
      <c r="G192" s="55">
        <v>5482.5050000000001</v>
      </c>
    </row>
    <row r="193" spans="1:7" ht="10.050000000000001" customHeight="1">
      <c r="A193" s="52" t="s">
        <v>421</v>
      </c>
      <c r="B193" s="52" t="s">
        <v>306</v>
      </c>
      <c r="C193" s="53">
        <v>2012</v>
      </c>
      <c r="D193" s="52" t="s">
        <v>116</v>
      </c>
      <c r="E193" s="54">
        <v>1</v>
      </c>
      <c r="F193" s="55">
        <v>5017.0950000000003</v>
      </c>
      <c r="G193" s="55">
        <v>4904.2219999999998</v>
      </c>
    </row>
    <row r="194" spans="1:7" ht="10.050000000000001" customHeight="1">
      <c r="A194" s="52" t="s">
        <v>421</v>
      </c>
      <c r="B194" s="52" t="s">
        <v>306</v>
      </c>
      <c r="C194" s="53">
        <v>2012</v>
      </c>
      <c r="D194" s="52" t="s">
        <v>116</v>
      </c>
      <c r="E194" s="54">
        <v>2</v>
      </c>
      <c r="F194" s="55">
        <v>4923.9160000000002</v>
      </c>
      <c r="G194" s="55">
        <v>4420.1549999999997</v>
      </c>
    </row>
    <row r="195" spans="1:7" ht="10.050000000000001" customHeight="1">
      <c r="A195" s="52" t="s">
        <v>421</v>
      </c>
      <c r="B195" s="52" t="s">
        <v>306</v>
      </c>
      <c r="C195" s="53">
        <v>2012</v>
      </c>
      <c r="D195" s="52" t="s">
        <v>116</v>
      </c>
      <c r="E195" s="54">
        <v>3</v>
      </c>
      <c r="F195" s="55">
        <v>4698.2299999999996</v>
      </c>
      <c r="G195" s="55">
        <v>4618.8469999999998</v>
      </c>
    </row>
    <row r="196" spans="1:7" ht="10.050000000000001" customHeight="1">
      <c r="A196" s="52" t="s">
        <v>421</v>
      </c>
      <c r="B196" s="52" t="s">
        <v>306</v>
      </c>
      <c r="C196" s="53">
        <v>2012</v>
      </c>
      <c r="D196" s="52" t="s">
        <v>116</v>
      </c>
      <c r="E196" s="54">
        <v>4</v>
      </c>
      <c r="F196" s="55">
        <v>4022.9830000000002</v>
      </c>
      <c r="G196" s="55">
        <v>4540.3059999999996</v>
      </c>
    </row>
    <row r="197" spans="1:7" ht="10.050000000000001" customHeight="1">
      <c r="A197" s="52" t="s">
        <v>421</v>
      </c>
      <c r="B197" s="52" t="s">
        <v>306</v>
      </c>
      <c r="C197" s="53">
        <v>2012</v>
      </c>
      <c r="D197" s="52" t="s">
        <v>116</v>
      </c>
      <c r="E197" s="54">
        <v>5</v>
      </c>
      <c r="F197" s="55">
        <v>4218.3739999999998</v>
      </c>
      <c r="G197" s="55">
        <v>4094.7080000000001</v>
      </c>
    </row>
    <row r="198" spans="1:7" ht="10.050000000000001" customHeight="1">
      <c r="A198" s="52" t="s">
        <v>421</v>
      </c>
      <c r="B198" s="52" t="s">
        <v>306</v>
      </c>
      <c r="C198" s="53">
        <v>2012</v>
      </c>
      <c r="D198" s="52" t="s">
        <v>116</v>
      </c>
      <c r="E198" s="54">
        <v>6</v>
      </c>
      <c r="F198" s="55">
        <v>4457.1769999999997</v>
      </c>
      <c r="G198" s="55">
        <v>3232.5920000000001</v>
      </c>
    </row>
    <row r="199" spans="1:7" ht="10.050000000000001" customHeight="1">
      <c r="A199" s="52" t="s">
        <v>421</v>
      </c>
      <c r="B199" s="52" t="s">
        <v>306</v>
      </c>
      <c r="C199" s="53">
        <v>2012</v>
      </c>
      <c r="D199" s="52" t="s">
        <v>117</v>
      </c>
      <c r="E199" s="54">
        <v>7</v>
      </c>
      <c r="F199" s="55">
        <v>3823.712</v>
      </c>
      <c r="G199" s="55">
        <v>4790.3599999999997</v>
      </c>
    </row>
    <row r="200" spans="1:7" ht="10.050000000000001" customHeight="1">
      <c r="A200" s="52" t="s">
        <v>421</v>
      </c>
      <c r="B200" s="52" t="s">
        <v>306</v>
      </c>
      <c r="C200" s="53">
        <v>2012</v>
      </c>
      <c r="D200" s="52" t="s">
        <v>117</v>
      </c>
      <c r="E200" s="54">
        <v>8</v>
      </c>
      <c r="F200" s="55">
        <v>4264.3419999999996</v>
      </c>
      <c r="G200" s="55">
        <v>7195.8190000000004</v>
      </c>
    </row>
    <row r="201" spans="1:7" ht="10.050000000000001" customHeight="1">
      <c r="A201" s="52" t="s">
        <v>421</v>
      </c>
      <c r="B201" s="52" t="s">
        <v>306</v>
      </c>
      <c r="C201" s="53">
        <v>2012</v>
      </c>
      <c r="D201" s="52" t="s">
        <v>117</v>
      </c>
      <c r="E201" s="54">
        <v>9</v>
      </c>
      <c r="F201" s="55">
        <v>4405.3490000000002</v>
      </c>
      <c r="G201" s="55">
        <v>7026.5379999999996</v>
      </c>
    </row>
    <row r="202" spans="1:7" ht="10.050000000000001" customHeight="1">
      <c r="A202" s="52" t="s">
        <v>421</v>
      </c>
      <c r="B202" s="52" t="s">
        <v>306</v>
      </c>
      <c r="C202" s="53">
        <v>2012</v>
      </c>
      <c r="D202" s="52" t="s">
        <v>117</v>
      </c>
      <c r="E202" s="54">
        <v>10</v>
      </c>
      <c r="F202" s="55">
        <v>5326.8</v>
      </c>
      <c r="G202" s="55">
        <v>5424.2879999999996</v>
      </c>
    </row>
    <row r="203" spans="1:7" ht="10.050000000000001" customHeight="1">
      <c r="A203" s="52" t="s">
        <v>421</v>
      </c>
      <c r="B203" s="52" t="s">
        <v>306</v>
      </c>
      <c r="C203" s="53">
        <v>2012</v>
      </c>
      <c r="D203" s="52" t="s">
        <v>117</v>
      </c>
      <c r="E203" s="54">
        <v>11</v>
      </c>
      <c r="F203" s="55">
        <v>4876.0249999999996</v>
      </c>
      <c r="G203" s="55">
        <v>4757.9170000000004</v>
      </c>
    </row>
    <row r="204" spans="1:7" ht="10.050000000000001" customHeight="1">
      <c r="A204" s="52" t="s">
        <v>421</v>
      </c>
      <c r="B204" s="52" t="s">
        <v>306</v>
      </c>
      <c r="C204" s="53">
        <v>2012</v>
      </c>
      <c r="D204" s="52" t="s">
        <v>117</v>
      </c>
      <c r="E204" s="54">
        <v>12</v>
      </c>
      <c r="F204" s="55">
        <v>4825.192</v>
      </c>
      <c r="G204" s="55">
        <v>4300.7489999999998</v>
      </c>
    </row>
    <row r="205" spans="1:7" ht="10.050000000000001" customHeight="1">
      <c r="A205" s="52" t="s">
        <v>421</v>
      </c>
      <c r="B205" s="52" t="s">
        <v>306</v>
      </c>
      <c r="C205" s="53">
        <v>2013</v>
      </c>
      <c r="D205" s="52" t="s">
        <v>117</v>
      </c>
      <c r="E205" s="54">
        <v>1</v>
      </c>
      <c r="F205" s="55">
        <v>5633.433</v>
      </c>
      <c r="G205" s="55">
        <v>4207.3969999999999</v>
      </c>
    </row>
    <row r="206" spans="1:7" ht="10.050000000000001" customHeight="1">
      <c r="A206" s="52" t="s">
        <v>421</v>
      </c>
      <c r="B206" s="52" t="s">
        <v>306</v>
      </c>
      <c r="C206" s="53">
        <v>2013</v>
      </c>
      <c r="D206" s="52" t="s">
        <v>117</v>
      </c>
      <c r="E206" s="54">
        <v>2</v>
      </c>
      <c r="F206" s="55">
        <v>4933.5039999999999</v>
      </c>
      <c r="G206" s="55">
        <v>3896.6039999999998</v>
      </c>
    </row>
    <row r="207" spans="1:7" ht="10.050000000000001" customHeight="1">
      <c r="A207" s="52" t="s">
        <v>421</v>
      </c>
      <c r="B207" s="52" t="s">
        <v>306</v>
      </c>
      <c r="C207" s="53">
        <v>2013</v>
      </c>
      <c r="D207" s="52" t="s">
        <v>117</v>
      </c>
      <c r="E207" s="54">
        <v>3</v>
      </c>
      <c r="F207" s="55">
        <v>5565.0680000000002</v>
      </c>
      <c r="G207" s="55">
        <v>3689.3649999999998</v>
      </c>
    </row>
    <row r="208" spans="1:7" ht="10.050000000000001" customHeight="1">
      <c r="A208" s="52" t="s">
        <v>421</v>
      </c>
      <c r="B208" s="52" t="s">
        <v>306</v>
      </c>
      <c r="C208" s="53">
        <v>2013</v>
      </c>
      <c r="D208" s="52" t="s">
        <v>117</v>
      </c>
      <c r="E208" s="54">
        <v>4</v>
      </c>
      <c r="F208" s="55">
        <v>5817.3149999999996</v>
      </c>
      <c r="G208" s="55">
        <v>4592.0360000000001</v>
      </c>
    </row>
    <row r="209" spans="1:7" ht="10.050000000000001" customHeight="1">
      <c r="A209" s="52" t="s">
        <v>421</v>
      </c>
      <c r="B209" s="52" t="s">
        <v>306</v>
      </c>
      <c r="C209" s="53">
        <v>2013</v>
      </c>
      <c r="D209" s="52" t="s">
        <v>117</v>
      </c>
      <c r="E209" s="54">
        <v>5</v>
      </c>
      <c r="F209" s="55">
        <v>6237.2439999999997</v>
      </c>
      <c r="G209" s="55">
        <v>5291.3770000000004</v>
      </c>
    </row>
    <row r="210" spans="1:7" ht="10.050000000000001" customHeight="1">
      <c r="A210" s="52" t="s">
        <v>421</v>
      </c>
      <c r="B210" s="52" t="s">
        <v>306</v>
      </c>
      <c r="C210" s="53">
        <v>2013</v>
      </c>
      <c r="D210" s="52" t="s">
        <v>117</v>
      </c>
      <c r="E210" s="54">
        <v>6</v>
      </c>
      <c r="F210" s="55">
        <v>6463.1109999999999</v>
      </c>
      <c r="G210" s="55">
        <v>5092.8289999999997</v>
      </c>
    </row>
    <row r="211" spans="1:7" ht="10.050000000000001" customHeight="1">
      <c r="A211" s="52" t="s">
        <v>421</v>
      </c>
      <c r="B211" s="52" t="s">
        <v>306</v>
      </c>
      <c r="C211" s="53">
        <v>2013</v>
      </c>
      <c r="D211" s="52" t="s">
        <v>118</v>
      </c>
      <c r="E211" s="54">
        <v>7</v>
      </c>
      <c r="F211" s="55">
        <v>6850.9250000000002</v>
      </c>
      <c r="G211" s="55">
        <v>5191.1229999999996</v>
      </c>
    </row>
    <row r="212" spans="1:7" ht="10.050000000000001" customHeight="1">
      <c r="A212" s="52" t="s">
        <v>421</v>
      </c>
      <c r="B212" s="52" t="s">
        <v>306</v>
      </c>
      <c r="C212" s="53">
        <v>2013</v>
      </c>
      <c r="D212" s="52" t="s">
        <v>118</v>
      </c>
      <c r="E212" s="54">
        <v>8</v>
      </c>
      <c r="F212" s="55">
        <v>6412.0619999999999</v>
      </c>
      <c r="G212" s="55">
        <v>6468.9759999999997</v>
      </c>
    </row>
    <row r="213" spans="1:7" ht="10.050000000000001" customHeight="1">
      <c r="A213" s="52" t="s">
        <v>421</v>
      </c>
      <c r="B213" s="52" t="s">
        <v>306</v>
      </c>
      <c r="C213" s="53">
        <v>2013</v>
      </c>
      <c r="D213" s="52" t="s">
        <v>118</v>
      </c>
      <c r="E213" s="54">
        <v>9</v>
      </c>
      <c r="F213" s="55">
        <v>6740.5</v>
      </c>
      <c r="G213" s="55">
        <v>5634.7169999999996</v>
      </c>
    </row>
    <row r="214" spans="1:7" ht="10.050000000000001" customHeight="1">
      <c r="A214" s="52" t="s">
        <v>421</v>
      </c>
      <c r="B214" s="52" t="s">
        <v>306</v>
      </c>
      <c r="C214" s="53">
        <v>2013</v>
      </c>
      <c r="D214" s="52" t="s">
        <v>118</v>
      </c>
      <c r="E214" s="54">
        <v>10</v>
      </c>
      <c r="F214" s="55">
        <v>7903.8739999999998</v>
      </c>
      <c r="G214" s="55">
        <v>4787.7079999999996</v>
      </c>
    </row>
    <row r="215" spans="1:7" ht="10.050000000000001" customHeight="1">
      <c r="A215" s="52" t="s">
        <v>421</v>
      </c>
      <c r="B215" s="52" t="s">
        <v>306</v>
      </c>
      <c r="C215" s="53">
        <v>2013</v>
      </c>
      <c r="D215" s="52" t="s">
        <v>118</v>
      </c>
      <c r="E215" s="54">
        <v>11</v>
      </c>
      <c r="F215" s="55">
        <v>7663.13</v>
      </c>
      <c r="G215" s="55">
        <v>4598.0209999999997</v>
      </c>
    </row>
    <row r="216" spans="1:7" ht="10.050000000000001" customHeight="1">
      <c r="A216" s="52" t="s">
        <v>421</v>
      </c>
      <c r="B216" s="52" t="s">
        <v>306</v>
      </c>
      <c r="C216" s="53">
        <v>2013</v>
      </c>
      <c r="D216" s="52" t="s">
        <v>118</v>
      </c>
      <c r="E216" s="54">
        <v>12</v>
      </c>
      <c r="F216" s="55">
        <v>8304.4069999999992</v>
      </c>
      <c r="G216" s="55">
        <v>4000.09</v>
      </c>
    </row>
    <row r="217" spans="1:7" ht="10.050000000000001" customHeight="1">
      <c r="A217" s="52" t="s">
        <v>421</v>
      </c>
      <c r="B217" s="52" t="s">
        <v>306</v>
      </c>
      <c r="C217" s="53">
        <v>2014</v>
      </c>
      <c r="D217" s="52" t="s">
        <v>118</v>
      </c>
      <c r="E217" s="54">
        <v>1</v>
      </c>
      <c r="F217" s="55">
        <v>8971.3250000000007</v>
      </c>
      <c r="G217" s="55">
        <v>4317.8130000000001</v>
      </c>
    </row>
    <row r="218" spans="1:7" ht="10.050000000000001" customHeight="1">
      <c r="A218" s="52" t="s">
        <v>421</v>
      </c>
      <c r="B218" s="52" t="s">
        <v>306</v>
      </c>
      <c r="C218" s="53">
        <v>2014</v>
      </c>
      <c r="D218" s="52" t="s">
        <v>118</v>
      </c>
      <c r="E218" s="54">
        <v>2</v>
      </c>
      <c r="F218" s="55">
        <v>7964.7969999999996</v>
      </c>
      <c r="G218" s="55">
        <v>4331.192</v>
      </c>
    </row>
    <row r="219" spans="1:7" ht="10.050000000000001" customHeight="1">
      <c r="A219" s="52" t="s">
        <v>421</v>
      </c>
      <c r="B219" s="52" t="s">
        <v>306</v>
      </c>
      <c r="C219" s="53">
        <v>2014</v>
      </c>
      <c r="D219" s="52" t="s">
        <v>118</v>
      </c>
      <c r="E219" s="54">
        <v>3</v>
      </c>
      <c r="F219" s="55">
        <v>8512.8310000000001</v>
      </c>
      <c r="G219" s="55">
        <v>4025.4659999999999</v>
      </c>
    </row>
    <row r="220" spans="1:7" ht="10.050000000000001" customHeight="1">
      <c r="A220" s="52" t="s">
        <v>421</v>
      </c>
      <c r="B220" s="52" t="s">
        <v>306</v>
      </c>
      <c r="C220" s="53">
        <v>2014</v>
      </c>
      <c r="D220" s="52" t="s">
        <v>118</v>
      </c>
      <c r="E220" s="54">
        <v>4</v>
      </c>
      <c r="F220" s="55">
        <v>9441.9040000000005</v>
      </c>
      <c r="G220" s="55">
        <v>3869.9</v>
      </c>
    </row>
    <row r="221" spans="1:7" ht="10.050000000000001" customHeight="1">
      <c r="A221" s="52" t="s">
        <v>421</v>
      </c>
      <c r="B221" s="52" t="s">
        <v>306</v>
      </c>
      <c r="C221" s="53">
        <v>2014</v>
      </c>
      <c r="D221" s="52" t="s">
        <v>118</v>
      </c>
      <c r="E221" s="54">
        <v>5</v>
      </c>
      <c r="F221" s="55">
        <v>9448.4089999999997</v>
      </c>
      <c r="G221" s="55">
        <v>3813.3789999999999</v>
      </c>
    </row>
    <row r="222" spans="1:7" ht="10.050000000000001" customHeight="1">
      <c r="A222" s="52" t="s">
        <v>421</v>
      </c>
      <c r="B222" s="52" t="s">
        <v>306</v>
      </c>
      <c r="C222" s="53">
        <v>2014</v>
      </c>
      <c r="D222" s="52" t="s">
        <v>118</v>
      </c>
      <c r="E222" s="54">
        <v>6</v>
      </c>
      <c r="F222" s="55">
        <v>8941.348</v>
      </c>
      <c r="G222" s="55">
        <v>4050.6320000000001</v>
      </c>
    </row>
    <row r="223" spans="1:7" ht="10.050000000000001" customHeight="1">
      <c r="A223" s="52" t="s">
        <v>421</v>
      </c>
      <c r="B223" s="52" t="s">
        <v>306</v>
      </c>
      <c r="C223" s="53">
        <v>2014</v>
      </c>
      <c r="D223" s="52" t="s">
        <v>119</v>
      </c>
      <c r="E223" s="54">
        <v>7</v>
      </c>
      <c r="F223" s="55">
        <v>9636.9950000000008</v>
      </c>
      <c r="G223" s="55">
        <v>5691.9560000000001</v>
      </c>
    </row>
    <row r="224" spans="1:7" ht="10.050000000000001" customHeight="1">
      <c r="A224" s="52" t="s">
        <v>421</v>
      </c>
      <c r="B224" s="52" t="s">
        <v>306</v>
      </c>
      <c r="C224" s="53">
        <v>2014</v>
      </c>
      <c r="D224" s="52" t="s">
        <v>119</v>
      </c>
      <c r="E224" s="54">
        <v>8</v>
      </c>
      <c r="F224" s="55">
        <v>8449.6530000000002</v>
      </c>
      <c r="G224" s="55">
        <v>6764.4970000000003</v>
      </c>
    </row>
    <row r="225" spans="1:7" ht="10.050000000000001" customHeight="1">
      <c r="A225" s="52" t="s">
        <v>421</v>
      </c>
      <c r="B225" s="52" t="s">
        <v>306</v>
      </c>
      <c r="C225" s="53">
        <v>2014</v>
      </c>
      <c r="D225" s="52" t="s">
        <v>119</v>
      </c>
      <c r="E225" s="54">
        <v>9</v>
      </c>
      <c r="F225" s="55">
        <v>8917.5169999999998</v>
      </c>
      <c r="G225" s="55">
        <v>5861.1859999999997</v>
      </c>
    </row>
    <row r="226" spans="1:7" ht="10.050000000000001" customHeight="1">
      <c r="A226" s="52" t="s">
        <v>421</v>
      </c>
      <c r="B226" s="52" t="s">
        <v>306</v>
      </c>
      <c r="C226" s="53">
        <v>2014</v>
      </c>
      <c r="D226" s="52" t="s">
        <v>119</v>
      </c>
      <c r="E226" s="54">
        <v>10</v>
      </c>
      <c r="F226" s="55">
        <v>8967.3070000000007</v>
      </c>
      <c r="G226" s="55">
        <v>5082.4579999999996</v>
      </c>
    </row>
    <row r="227" spans="1:7" ht="10.050000000000001" customHeight="1">
      <c r="A227" s="52" t="s">
        <v>421</v>
      </c>
      <c r="B227" s="52" t="s">
        <v>306</v>
      </c>
      <c r="C227" s="53">
        <v>2014</v>
      </c>
      <c r="D227" s="52" t="s">
        <v>119</v>
      </c>
      <c r="E227" s="54">
        <v>11</v>
      </c>
      <c r="F227" s="55">
        <v>7814.7879999999996</v>
      </c>
      <c r="G227" s="55">
        <v>4700.6679999999997</v>
      </c>
    </row>
    <row r="228" spans="1:7" ht="10.050000000000001" customHeight="1">
      <c r="A228" s="52" t="s">
        <v>421</v>
      </c>
      <c r="B228" s="52" t="s">
        <v>306</v>
      </c>
      <c r="C228" s="53">
        <v>2014</v>
      </c>
      <c r="D228" s="52" t="s">
        <v>119</v>
      </c>
      <c r="E228" s="54">
        <v>12</v>
      </c>
      <c r="F228" s="55">
        <v>8958.7000000000007</v>
      </c>
      <c r="G228" s="55">
        <v>4503.6760000000004</v>
      </c>
    </row>
    <row r="229" spans="1:7" ht="10.050000000000001" customHeight="1">
      <c r="A229" s="52" t="s">
        <v>421</v>
      </c>
      <c r="B229" s="52" t="s">
        <v>306</v>
      </c>
      <c r="C229" s="53">
        <v>2015</v>
      </c>
      <c r="D229" s="52" t="s">
        <v>119</v>
      </c>
      <c r="E229" s="54">
        <v>1</v>
      </c>
      <c r="F229" s="55">
        <v>9009.7150000000001</v>
      </c>
      <c r="G229" s="55">
        <v>4469.402</v>
      </c>
    </row>
    <row r="230" spans="1:7" ht="10.050000000000001" customHeight="1">
      <c r="A230" s="52" t="s">
        <v>421</v>
      </c>
      <c r="B230" s="52" t="s">
        <v>306</v>
      </c>
      <c r="C230" s="53">
        <v>2015</v>
      </c>
      <c r="D230" s="52" t="s">
        <v>119</v>
      </c>
      <c r="E230" s="54">
        <v>2</v>
      </c>
      <c r="F230" s="55">
        <v>7360.5429999999997</v>
      </c>
      <c r="G230" s="55">
        <v>3842.91</v>
      </c>
    </row>
    <row r="231" spans="1:7" ht="10.050000000000001" customHeight="1">
      <c r="A231" s="52" t="s">
        <v>421</v>
      </c>
      <c r="B231" s="52" t="s">
        <v>306</v>
      </c>
      <c r="C231" s="53">
        <v>2015</v>
      </c>
      <c r="D231" s="52" t="s">
        <v>119</v>
      </c>
      <c r="E231" s="54">
        <v>3</v>
      </c>
      <c r="F231" s="55">
        <v>7907.5569999999998</v>
      </c>
      <c r="G231" s="55">
        <v>3720.9140000000002</v>
      </c>
    </row>
    <row r="232" spans="1:7" ht="10.050000000000001" customHeight="1">
      <c r="A232" s="52" t="s">
        <v>421</v>
      </c>
      <c r="B232" s="52" t="s">
        <v>306</v>
      </c>
      <c r="C232" s="53">
        <v>2015</v>
      </c>
      <c r="D232" s="52" t="s">
        <v>119</v>
      </c>
      <c r="E232" s="54">
        <v>4</v>
      </c>
      <c r="F232" s="55">
        <v>8172.924</v>
      </c>
      <c r="G232" s="55">
        <v>3992.498</v>
      </c>
    </row>
    <row r="233" spans="1:7" ht="10.050000000000001" customHeight="1">
      <c r="A233" s="52" t="s">
        <v>421</v>
      </c>
      <c r="B233" s="52" t="s">
        <v>306</v>
      </c>
      <c r="C233" s="53">
        <v>2015</v>
      </c>
      <c r="D233" s="52" t="s">
        <v>119</v>
      </c>
      <c r="E233" s="54">
        <v>5</v>
      </c>
      <c r="F233" s="55">
        <v>6947.0649999999996</v>
      </c>
      <c r="G233" s="55">
        <v>3424.9319999999998</v>
      </c>
    </row>
    <row r="234" spans="1:7" ht="10.050000000000001" customHeight="1">
      <c r="A234" s="52" t="s">
        <v>421</v>
      </c>
      <c r="B234" s="52" t="s">
        <v>306</v>
      </c>
      <c r="C234" s="53">
        <v>2015</v>
      </c>
      <c r="D234" s="52" t="s">
        <v>119</v>
      </c>
      <c r="E234" s="54">
        <v>6</v>
      </c>
      <c r="F234" s="55">
        <v>7707.4040000000005</v>
      </c>
      <c r="G234" s="55">
        <v>4612.3940000000002</v>
      </c>
    </row>
    <row r="235" spans="1:7" ht="10.050000000000001" customHeight="1">
      <c r="A235" s="52" t="s">
        <v>421</v>
      </c>
      <c r="B235" s="52" t="s">
        <v>306</v>
      </c>
      <c r="C235" s="53">
        <v>2015</v>
      </c>
      <c r="D235" s="52" t="s">
        <v>120</v>
      </c>
      <c r="E235" s="54">
        <v>7</v>
      </c>
      <c r="F235" s="55">
        <v>7473.0940000000001</v>
      </c>
      <c r="G235" s="55">
        <v>5498.7730000000001</v>
      </c>
    </row>
    <row r="236" spans="1:7" ht="10.050000000000001" customHeight="1">
      <c r="A236" s="52" t="s">
        <v>421</v>
      </c>
      <c r="B236" s="52" t="s">
        <v>306</v>
      </c>
      <c r="C236" s="53">
        <v>2015</v>
      </c>
      <c r="D236" s="52" t="s">
        <v>120</v>
      </c>
      <c r="E236" s="54">
        <v>8</v>
      </c>
      <c r="F236" s="55">
        <v>7309.5959999999995</v>
      </c>
      <c r="G236" s="55">
        <v>6167.8360000000002</v>
      </c>
    </row>
    <row r="237" spans="1:7" ht="10.050000000000001" customHeight="1">
      <c r="A237" s="52" t="s">
        <v>421</v>
      </c>
      <c r="B237" s="52" t="s">
        <v>306</v>
      </c>
      <c r="C237" s="53">
        <v>2015</v>
      </c>
      <c r="D237" s="52" t="s">
        <v>120</v>
      </c>
      <c r="E237" s="54">
        <v>9</v>
      </c>
      <c r="F237" s="55">
        <v>12343.757</v>
      </c>
      <c r="G237" s="55">
        <v>5639.0450000000001</v>
      </c>
    </row>
    <row r="238" spans="1:7" ht="10.050000000000001" customHeight="1">
      <c r="A238" s="52" t="s">
        <v>421</v>
      </c>
      <c r="B238" s="52" t="s">
        <v>306</v>
      </c>
      <c r="C238" s="53">
        <v>2015</v>
      </c>
      <c r="D238" s="52" t="s">
        <v>120</v>
      </c>
      <c r="E238" s="54">
        <v>10</v>
      </c>
      <c r="F238" s="55">
        <v>8034.0190000000002</v>
      </c>
      <c r="G238" s="55">
        <v>5214.1120000000001</v>
      </c>
    </row>
    <row r="239" spans="1:7" ht="10.050000000000001" customHeight="1">
      <c r="A239" s="52" t="s">
        <v>421</v>
      </c>
      <c r="B239" s="52" t="s">
        <v>306</v>
      </c>
      <c r="C239" s="53">
        <v>2015</v>
      </c>
      <c r="D239" s="52" t="s">
        <v>120</v>
      </c>
      <c r="E239" s="54">
        <v>11</v>
      </c>
      <c r="F239" s="55">
        <v>6930.7120000000004</v>
      </c>
      <c r="G239" s="55">
        <v>4706.5739999999996</v>
      </c>
    </row>
    <row r="240" spans="1:7" ht="10.050000000000001" customHeight="1">
      <c r="A240" s="52" t="s">
        <v>421</v>
      </c>
      <c r="B240" s="52" t="s">
        <v>306</v>
      </c>
      <c r="C240" s="53">
        <v>2015</v>
      </c>
      <c r="D240" s="52" t="s">
        <v>120</v>
      </c>
      <c r="E240" s="54">
        <v>12</v>
      </c>
      <c r="F240" s="55">
        <v>6952.8590000000004</v>
      </c>
      <c r="G240" s="55">
        <v>4905.2870000000003</v>
      </c>
    </row>
    <row r="241" spans="1:7" ht="10.050000000000001" customHeight="1">
      <c r="A241" s="52" t="s">
        <v>421</v>
      </c>
      <c r="B241" s="52" t="s">
        <v>306</v>
      </c>
      <c r="C241" s="53">
        <v>2016</v>
      </c>
      <c r="D241" s="52" t="s">
        <v>120</v>
      </c>
      <c r="E241" s="54">
        <v>1</v>
      </c>
      <c r="F241" s="55">
        <v>5801.3739999999998</v>
      </c>
      <c r="G241" s="55">
        <v>4590.0169999999998</v>
      </c>
    </row>
    <row r="242" spans="1:7" ht="10.050000000000001" customHeight="1">
      <c r="A242" s="52" t="s">
        <v>421</v>
      </c>
      <c r="B242" s="52" t="s">
        <v>306</v>
      </c>
      <c r="C242" s="53">
        <v>2016</v>
      </c>
      <c r="D242" s="52" t="s">
        <v>120</v>
      </c>
      <c r="E242" s="54">
        <v>2</v>
      </c>
      <c r="F242" s="55">
        <v>7551.4489999999996</v>
      </c>
      <c r="G242" s="55">
        <v>3919.1849999999999</v>
      </c>
    </row>
    <row r="243" spans="1:7" ht="10.050000000000001" customHeight="1">
      <c r="A243" s="52" t="s">
        <v>421</v>
      </c>
      <c r="B243" s="52" t="s">
        <v>306</v>
      </c>
      <c r="C243" s="53">
        <v>2016</v>
      </c>
      <c r="D243" s="52" t="s">
        <v>120</v>
      </c>
      <c r="E243" s="54">
        <v>3</v>
      </c>
      <c r="F243" s="55">
        <v>6330.7349999999997</v>
      </c>
      <c r="G243" s="55">
        <v>3694.404</v>
      </c>
    </row>
    <row r="244" spans="1:7" ht="10.050000000000001" customHeight="1">
      <c r="A244" s="52" t="s">
        <v>421</v>
      </c>
      <c r="B244" s="52" t="s">
        <v>306</v>
      </c>
      <c r="C244" s="53">
        <v>2016</v>
      </c>
      <c r="D244" s="52" t="s">
        <v>120</v>
      </c>
      <c r="E244" s="54">
        <v>4</v>
      </c>
      <c r="F244" s="55">
        <v>5882</v>
      </c>
      <c r="G244" s="55">
        <v>3657.34</v>
      </c>
    </row>
    <row r="245" spans="1:7" ht="10.050000000000001" customHeight="1">
      <c r="A245" s="52" t="s">
        <v>421</v>
      </c>
      <c r="B245" s="52" t="s">
        <v>306</v>
      </c>
      <c r="C245" s="53">
        <v>2016</v>
      </c>
      <c r="D245" s="52" t="s">
        <v>120</v>
      </c>
      <c r="E245" s="54">
        <v>5</v>
      </c>
      <c r="F245" s="55">
        <v>5486.8280000000004</v>
      </c>
      <c r="G245" s="55">
        <v>3919.0529999999999</v>
      </c>
    </row>
    <row r="246" spans="1:7" ht="10.050000000000001" customHeight="1">
      <c r="A246" s="52" t="s">
        <v>421</v>
      </c>
      <c r="B246" s="52" t="s">
        <v>306</v>
      </c>
      <c r="C246" s="53">
        <v>2016</v>
      </c>
      <c r="D246" s="52" t="s">
        <v>120</v>
      </c>
      <c r="E246" s="54">
        <v>6</v>
      </c>
      <c r="F246" s="55">
        <v>5680.0959999999995</v>
      </c>
      <c r="G246" s="55">
        <v>3679.835</v>
      </c>
    </row>
    <row r="247" spans="1:7" ht="10.050000000000001" customHeight="1">
      <c r="A247" s="52" t="s">
        <v>421</v>
      </c>
      <c r="B247" s="52" t="s">
        <v>306</v>
      </c>
      <c r="C247" s="53">
        <v>2016</v>
      </c>
      <c r="D247" s="52" t="s">
        <v>121</v>
      </c>
      <c r="E247" s="54">
        <v>7</v>
      </c>
      <c r="F247" s="55">
        <v>4947.2719999999999</v>
      </c>
      <c r="G247" s="55">
        <v>4280.058</v>
      </c>
    </row>
    <row r="248" spans="1:7" ht="10.050000000000001" customHeight="1">
      <c r="A248" s="52" t="s">
        <v>421</v>
      </c>
      <c r="B248" s="52" t="s">
        <v>306</v>
      </c>
      <c r="C248" s="53">
        <v>2016</v>
      </c>
      <c r="D248" s="52" t="s">
        <v>121</v>
      </c>
      <c r="E248" s="54">
        <v>8</v>
      </c>
      <c r="F248" s="55">
        <v>5419.1660000000002</v>
      </c>
      <c r="G248" s="55">
        <v>5928.0140000000001</v>
      </c>
    </row>
    <row r="249" spans="1:7" ht="10.050000000000001" customHeight="1">
      <c r="A249" s="52" t="s">
        <v>421</v>
      </c>
      <c r="B249" s="52" t="s">
        <v>306</v>
      </c>
      <c r="C249" s="53">
        <v>2016</v>
      </c>
      <c r="D249" s="52" t="s">
        <v>121</v>
      </c>
      <c r="E249" s="54">
        <v>9</v>
      </c>
      <c r="F249" s="55">
        <v>5105.3119999999999</v>
      </c>
      <c r="G249" s="55">
        <v>5868.8630000000003</v>
      </c>
    </row>
    <row r="250" spans="1:7" ht="10.050000000000001" customHeight="1">
      <c r="A250" s="52" t="s">
        <v>421</v>
      </c>
      <c r="B250" s="52" t="s">
        <v>306</v>
      </c>
      <c r="C250" s="53">
        <v>2016</v>
      </c>
      <c r="D250" s="52" t="s">
        <v>121</v>
      </c>
      <c r="E250" s="54">
        <v>10</v>
      </c>
      <c r="F250" s="55">
        <v>5544.7120000000004</v>
      </c>
      <c r="G250" s="55">
        <v>6652.2079999999996</v>
      </c>
    </row>
    <row r="251" spans="1:7" ht="10.050000000000001" customHeight="1">
      <c r="A251" s="52" t="s">
        <v>421</v>
      </c>
      <c r="B251" s="52" t="s">
        <v>306</v>
      </c>
      <c r="C251" s="53">
        <v>2016</v>
      </c>
      <c r="D251" s="52" t="s">
        <v>121</v>
      </c>
      <c r="E251" s="54">
        <v>11</v>
      </c>
      <c r="F251" s="55">
        <v>5125.0039999999999</v>
      </c>
      <c r="G251" s="55">
        <v>6656.6279999999997</v>
      </c>
    </row>
    <row r="252" spans="1:7" ht="10.050000000000001" customHeight="1">
      <c r="A252" s="52" t="s">
        <v>421</v>
      </c>
      <c r="B252" s="52" t="s">
        <v>306</v>
      </c>
      <c r="C252" s="53">
        <v>2016</v>
      </c>
      <c r="D252" s="52" t="s">
        <v>121</v>
      </c>
      <c r="E252" s="54">
        <v>12</v>
      </c>
      <c r="F252" s="55">
        <v>5073.1149999999998</v>
      </c>
      <c r="G252" s="55">
        <v>7360.5590000000002</v>
      </c>
    </row>
    <row r="253" spans="1:7" ht="10.050000000000001" customHeight="1">
      <c r="A253" s="52" t="s">
        <v>421</v>
      </c>
      <c r="B253" s="52" t="s">
        <v>306</v>
      </c>
      <c r="C253" s="53">
        <v>2017</v>
      </c>
      <c r="D253" s="52" t="s">
        <v>121</v>
      </c>
      <c r="E253" s="54">
        <v>1</v>
      </c>
      <c r="F253" s="55">
        <v>5309.3270000000002</v>
      </c>
      <c r="G253" s="55">
        <v>6712.6170000000002</v>
      </c>
    </row>
    <row r="254" spans="1:7" ht="10.050000000000001" customHeight="1">
      <c r="A254" s="52" t="s">
        <v>421</v>
      </c>
      <c r="B254" s="52" t="s">
        <v>306</v>
      </c>
      <c r="C254" s="53">
        <v>2017</v>
      </c>
      <c r="D254" s="52" t="s">
        <v>121</v>
      </c>
      <c r="E254" s="54">
        <v>2</v>
      </c>
      <c r="F254" s="55">
        <v>4290.0039999999999</v>
      </c>
      <c r="G254" s="55">
        <v>5982.61</v>
      </c>
    </row>
    <row r="255" spans="1:7" ht="10.050000000000001" customHeight="1">
      <c r="A255" s="52" t="s">
        <v>421</v>
      </c>
      <c r="B255" s="52" t="s">
        <v>306</v>
      </c>
      <c r="C255" s="53">
        <v>2017</v>
      </c>
      <c r="D255" s="52" t="s">
        <v>121</v>
      </c>
      <c r="E255" s="54">
        <v>3</v>
      </c>
      <c r="F255" s="55">
        <v>4781.0619999999999</v>
      </c>
      <c r="G255" s="55">
        <v>5552.6570000000002</v>
      </c>
    </row>
    <row r="256" spans="1:7" ht="10.050000000000001" customHeight="1">
      <c r="A256" s="52" t="s">
        <v>421</v>
      </c>
      <c r="B256" s="52" t="s">
        <v>306</v>
      </c>
      <c r="C256" s="53">
        <v>2017</v>
      </c>
      <c r="D256" s="52" t="s">
        <v>121</v>
      </c>
      <c r="E256" s="54">
        <v>4</v>
      </c>
      <c r="F256" s="55">
        <v>4361.1379999999999</v>
      </c>
      <c r="G256" s="55">
        <v>5028.3069999999998</v>
      </c>
    </row>
    <row r="257" spans="1:7" ht="10.050000000000001" customHeight="1">
      <c r="A257" s="52" t="s">
        <v>421</v>
      </c>
      <c r="B257" s="52" t="s">
        <v>306</v>
      </c>
      <c r="C257" s="53">
        <v>2017</v>
      </c>
      <c r="D257" s="52" t="s">
        <v>121</v>
      </c>
      <c r="E257" s="54">
        <v>5</v>
      </c>
      <c r="F257" s="55">
        <v>4627.8190000000004</v>
      </c>
      <c r="G257" s="55">
        <v>3812.3449999999998</v>
      </c>
    </row>
    <row r="258" spans="1:7" ht="10.050000000000001" customHeight="1">
      <c r="A258" s="52" t="s">
        <v>421</v>
      </c>
      <c r="B258" s="52" t="s">
        <v>306</v>
      </c>
      <c r="C258" s="53">
        <v>2017</v>
      </c>
      <c r="D258" s="52" t="s">
        <v>121</v>
      </c>
      <c r="E258" s="54">
        <v>6</v>
      </c>
      <c r="F258" s="55">
        <v>5488.6019999999999</v>
      </c>
      <c r="G258" s="55">
        <v>3522.165</v>
      </c>
    </row>
    <row r="259" spans="1:7" ht="10.050000000000001" customHeight="1">
      <c r="A259" s="52" t="s">
        <v>421</v>
      </c>
      <c r="B259" s="52" t="s">
        <v>306</v>
      </c>
      <c r="C259" s="53">
        <v>2017</v>
      </c>
      <c r="D259" s="52" t="s">
        <v>122</v>
      </c>
      <c r="E259" s="54">
        <v>7</v>
      </c>
      <c r="F259" s="55">
        <v>4823.0680000000002</v>
      </c>
      <c r="G259" s="55">
        <v>7043.85</v>
      </c>
    </row>
    <row r="260" spans="1:7" ht="10.050000000000001" customHeight="1">
      <c r="A260" s="52" t="s">
        <v>421</v>
      </c>
      <c r="B260" s="52" t="s">
        <v>306</v>
      </c>
      <c r="C260" s="53">
        <v>2017</v>
      </c>
      <c r="D260" s="52" t="s">
        <v>122</v>
      </c>
      <c r="E260" s="54">
        <v>8</v>
      </c>
      <c r="F260" s="55">
        <v>5070.741</v>
      </c>
      <c r="G260" s="55">
        <v>9144.9869999999992</v>
      </c>
    </row>
    <row r="261" spans="1:7" ht="10.050000000000001" customHeight="1">
      <c r="A261" s="52" t="s">
        <v>421</v>
      </c>
      <c r="B261" s="52" t="s">
        <v>306</v>
      </c>
      <c r="C261" s="53">
        <v>2017</v>
      </c>
      <c r="D261" s="52" t="s">
        <v>122</v>
      </c>
      <c r="E261" s="54">
        <v>9</v>
      </c>
      <c r="F261" s="55">
        <v>5999.7910000000002</v>
      </c>
      <c r="G261" s="55">
        <v>8766.6119999999992</v>
      </c>
    </row>
    <row r="262" spans="1:7" ht="10.050000000000001" customHeight="1">
      <c r="A262" s="52" t="s">
        <v>421</v>
      </c>
      <c r="B262" s="52" t="s">
        <v>306</v>
      </c>
      <c r="C262" s="53">
        <v>2017</v>
      </c>
      <c r="D262" s="52" t="s">
        <v>122</v>
      </c>
      <c r="E262" s="54">
        <v>10</v>
      </c>
      <c r="F262" s="55">
        <v>8333.1309999999994</v>
      </c>
      <c r="G262" s="55">
        <v>7983.232</v>
      </c>
    </row>
    <row r="263" spans="1:7" ht="10.050000000000001" customHeight="1">
      <c r="A263" s="52" t="s">
        <v>421</v>
      </c>
      <c r="B263" s="52" t="s">
        <v>306</v>
      </c>
      <c r="C263" s="53">
        <v>2017</v>
      </c>
      <c r="D263" s="52" t="s">
        <v>122</v>
      </c>
      <c r="E263" s="54">
        <v>11</v>
      </c>
      <c r="F263" s="55">
        <v>8784.5900000000092</v>
      </c>
      <c r="G263" s="55">
        <v>7352.2240000000002</v>
      </c>
    </row>
    <row r="264" spans="1:7" ht="10.050000000000001" customHeight="1">
      <c r="A264" s="52" t="s">
        <v>421</v>
      </c>
      <c r="B264" s="52" t="s">
        <v>306</v>
      </c>
      <c r="C264" s="53">
        <v>2017</v>
      </c>
      <c r="D264" s="52" t="s">
        <v>122</v>
      </c>
      <c r="E264" s="54">
        <v>12</v>
      </c>
      <c r="F264" s="55">
        <v>8333.8040000000001</v>
      </c>
      <c r="G264" s="55">
        <v>7196.4070000000002</v>
      </c>
    </row>
    <row r="265" spans="1:7" ht="10.050000000000001" customHeight="1">
      <c r="A265" s="52" t="s">
        <v>421</v>
      </c>
      <c r="B265" s="52" t="s">
        <v>306</v>
      </c>
      <c r="C265" s="53">
        <v>2018</v>
      </c>
      <c r="D265" s="52" t="s">
        <v>122</v>
      </c>
      <c r="E265" s="54">
        <v>1</v>
      </c>
      <c r="F265" s="55">
        <v>9005.0509999999995</v>
      </c>
      <c r="G265" s="55">
        <v>6508.4319999999998</v>
      </c>
    </row>
    <row r="266" spans="1:7" ht="10.050000000000001" customHeight="1">
      <c r="A266" s="52" t="s">
        <v>421</v>
      </c>
      <c r="B266" s="52" t="s">
        <v>306</v>
      </c>
      <c r="C266" s="53">
        <v>2018</v>
      </c>
      <c r="D266" s="52" t="s">
        <v>122</v>
      </c>
      <c r="E266" s="54">
        <v>2</v>
      </c>
      <c r="F266" s="55">
        <v>8286.1029999999992</v>
      </c>
      <c r="G266" s="55">
        <v>6202.4440000000004</v>
      </c>
    </row>
    <row r="267" spans="1:7" ht="10.050000000000001" customHeight="1">
      <c r="A267" s="52" t="s">
        <v>421</v>
      </c>
      <c r="B267" s="52" t="s">
        <v>306</v>
      </c>
      <c r="C267" s="53">
        <v>2018</v>
      </c>
      <c r="D267" s="52" t="s">
        <v>122</v>
      </c>
      <c r="E267" s="54">
        <v>3</v>
      </c>
      <c r="F267" s="55">
        <v>10229.796</v>
      </c>
      <c r="G267" s="55">
        <v>5275.5</v>
      </c>
    </row>
    <row r="268" spans="1:7" ht="10.050000000000001" customHeight="1">
      <c r="A268" s="52" t="s">
        <v>421</v>
      </c>
      <c r="B268" s="52" t="s">
        <v>306</v>
      </c>
      <c r="C268" s="53">
        <v>2018</v>
      </c>
      <c r="D268" s="52" t="s">
        <v>122</v>
      </c>
      <c r="E268" s="54">
        <v>4</v>
      </c>
      <c r="F268" s="55">
        <v>10256.846</v>
      </c>
      <c r="G268" s="55">
        <v>5689.9750000000004</v>
      </c>
    </row>
    <row r="269" spans="1:7" ht="10.050000000000001" customHeight="1">
      <c r="A269" s="52" t="s">
        <v>421</v>
      </c>
      <c r="B269" s="52" t="s">
        <v>306</v>
      </c>
      <c r="C269" s="53">
        <v>2018</v>
      </c>
      <c r="D269" s="52" t="s">
        <v>122</v>
      </c>
      <c r="E269" s="54">
        <v>5</v>
      </c>
      <c r="F269" s="55">
        <v>11654.245999999999</v>
      </c>
      <c r="G269" s="55">
        <v>4963.99</v>
      </c>
    </row>
    <row r="270" spans="1:7" ht="10.050000000000001" customHeight="1">
      <c r="A270" s="52" t="s">
        <v>421</v>
      </c>
      <c r="B270" s="52" t="s">
        <v>306</v>
      </c>
      <c r="C270" s="53">
        <v>2018</v>
      </c>
      <c r="D270" s="52" t="s">
        <v>122</v>
      </c>
      <c r="E270" s="54">
        <v>6</v>
      </c>
      <c r="F270" s="55">
        <v>11129.847</v>
      </c>
      <c r="G270" s="55">
        <v>5494.5389999999998</v>
      </c>
    </row>
    <row r="271" spans="1:7" ht="10.050000000000001" customHeight="1">
      <c r="A271" s="52" t="s">
        <v>421</v>
      </c>
      <c r="B271" s="52" t="s">
        <v>306</v>
      </c>
      <c r="C271" s="53">
        <v>2018</v>
      </c>
      <c r="D271" s="52" t="s">
        <v>123</v>
      </c>
      <c r="E271" s="54">
        <v>7</v>
      </c>
      <c r="F271" s="55">
        <v>9926.5490000000009</v>
      </c>
      <c r="G271" s="55">
        <v>8569.0840000000007</v>
      </c>
    </row>
    <row r="272" spans="1:7" ht="10.050000000000001" customHeight="1">
      <c r="A272" s="52" t="s">
        <v>421</v>
      </c>
      <c r="B272" s="52" t="s">
        <v>306</v>
      </c>
      <c r="C272" s="53">
        <v>2018</v>
      </c>
      <c r="D272" s="52" t="s">
        <v>123</v>
      </c>
      <c r="E272" s="54">
        <v>8</v>
      </c>
      <c r="F272" s="55">
        <v>9474.3709999999992</v>
      </c>
      <c r="G272" s="55">
        <v>8190.7349999999997</v>
      </c>
    </row>
    <row r="273" spans="1:7" ht="10.050000000000001" customHeight="1">
      <c r="A273" s="52" t="s">
        <v>421</v>
      </c>
      <c r="B273" s="52" t="s">
        <v>306</v>
      </c>
      <c r="C273" s="53">
        <v>2018</v>
      </c>
      <c r="D273" s="52" t="s">
        <v>123</v>
      </c>
      <c r="E273" s="54">
        <v>9</v>
      </c>
      <c r="F273" s="55">
        <v>8943.5660000000007</v>
      </c>
      <c r="G273" s="55">
        <v>7631.4089999999997</v>
      </c>
    </row>
    <row r="274" spans="1:7" ht="10.050000000000001" customHeight="1">
      <c r="A274" s="52" t="s">
        <v>421</v>
      </c>
      <c r="B274" s="52" t="s">
        <v>306</v>
      </c>
      <c r="C274" s="53">
        <v>2018</v>
      </c>
      <c r="D274" s="52" t="s">
        <v>123</v>
      </c>
      <c r="E274" s="54">
        <v>10</v>
      </c>
      <c r="F274" s="55">
        <v>10438.334000000001</v>
      </c>
      <c r="G274" s="55">
        <v>6972.2060000000001</v>
      </c>
    </row>
    <row r="275" spans="1:7" ht="10.050000000000001" customHeight="1">
      <c r="A275" s="52" t="s">
        <v>421</v>
      </c>
      <c r="B275" s="52" t="s">
        <v>306</v>
      </c>
      <c r="C275" s="53">
        <v>2018</v>
      </c>
      <c r="D275" s="52" t="s">
        <v>123</v>
      </c>
      <c r="E275" s="54">
        <v>11</v>
      </c>
      <c r="F275" s="55">
        <v>9680.4060000000009</v>
      </c>
      <c r="G275" s="55">
        <v>6250.6409999999996</v>
      </c>
    </row>
    <row r="276" spans="1:7" ht="10.050000000000001" customHeight="1">
      <c r="A276" s="52" t="s">
        <v>421</v>
      </c>
      <c r="B276" s="52" t="s">
        <v>306</v>
      </c>
      <c r="C276" s="53">
        <v>2018</v>
      </c>
      <c r="D276" s="52" t="s">
        <v>123</v>
      </c>
      <c r="E276" s="54">
        <v>12</v>
      </c>
      <c r="F276" s="55">
        <v>9235.5310000000009</v>
      </c>
      <c r="G276" s="55">
        <v>6275.8410000000003</v>
      </c>
    </row>
    <row r="277" spans="1:7" ht="10.050000000000001" customHeight="1">
      <c r="A277" s="52" t="s">
        <v>421</v>
      </c>
      <c r="B277" s="52" t="s">
        <v>306</v>
      </c>
      <c r="C277" s="53">
        <v>2019</v>
      </c>
      <c r="D277" s="52" t="s">
        <v>123</v>
      </c>
      <c r="E277" s="54">
        <v>1</v>
      </c>
      <c r="F277" s="55">
        <v>10218.093000000001</v>
      </c>
      <c r="G277" s="55">
        <v>5657.19</v>
      </c>
    </row>
    <row r="278" spans="1:7" ht="10.050000000000001" customHeight="1">
      <c r="A278" s="52" t="s">
        <v>421</v>
      </c>
      <c r="B278" s="52" t="s">
        <v>306</v>
      </c>
      <c r="C278" s="53">
        <v>2019</v>
      </c>
      <c r="D278" s="52" t="s">
        <v>123</v>
      </c>
      <c r="E278" s="54">
        <v>2</v>
      </c>
      <c r="F278" s="55">
        <v>9165.0329999999994</v>
      </c>
      <c r="G278" s="55">
        <v>5218.875</v>
      </c>
    </row>
    <row r="279" spans="1:7" ht="10.050000000000001" customHeight="1">
      <c r="A279" s="52" t="s">
        <v>421</v>
      </c>
      <c r="B279" s="52" t="s">
        <v>306</v>
      </c>
      <c r="C279" s="53">
        <v>2019</v>
      </c>
      <c r="D279" s="52" t="s">
        <v>123</v>
      </c>
      <c r="E279" s="54">
        <v>3</v>
      </c>
      <c r="F279" s="55">
        <v>9188.7669999999998</v>
      </c>
      <c r="G279" s="55">
        <v>4731.3860000000004</v>
      </c>
    </row>
    <row r="280" spans="1:7" ht="10.050000000000001" customHeight="1">
      <c r="A280" s="52" t="s">
        <v>421</v>
      </c>
      <c r="B280" s="52" t="s">
        <v>306</v>
      </c>
      <c r="C280" s="53">
        <v>2019</v>
      </c>
      <c r="D280" s="52" t="s">
        <v>123</v>
      </c>
      <c r="E280" s="54">
        <v>4</v>
      </c>
      <c r="F280" s="55">
        <v>9025.6170000000002</v>
      </c>
      <c r="G280" s="55">
        <v>4983.34</v>
      </c>
    </row>
    <row r="281" spans="1:7" ht="10.050000000000001" customHeight="1">
      <c r="A281" s="52" t="s">
        <v>421</v>
      </c>
      <c r="B281" s="52" t="s">
        <v>306</v>
      </c>
      <c r="C281" s="53">
        <v>2019</v>
      </c>
      <c r="D281" s="52" t="s">
        <v>123</v>
      </c>
      <c r="E281" s="54">
        <v>5</v>
      </c>
      <c r="F281" s="55">
        <v>8975.7909999999993</v>
      </c>
      <c r="G281" s="55">
        <v>4730.1769999999997</v>
      </c>
    </row>
    <row r="282" spans="1:7" ht="10.050000000000001" customHeight="1">
      <c r="A282" s="52" t="s">
        <v>421</v>
      </c>
      <c r="B282" s="52" t="s">
        <v>306</v>
      </c>
      <c r="C282" s="53">
        <v>2019</v>
      </c>
      <c r="D282" s="52" t="s">
        <v>123</v>
      </c>
      <c r="E282" s="54">
        <v>6</v>
      </c>
      <c r="F282" s="55">
        <v>9024.5720000000001</v>
      </c>
      <c r="G282" s="55">
        <v>4436.3329999999996</v>
      </c>
    </row>
    <row r="283" spans="1:7" ht="10.050000000000001" customHeight="1">
      <c r="A283" s="52" t="s">
        <v>421</v>
      </c>
      <c r="B283" s="52" t="s">
        <v>306</v>
      </c>
      <c r="C283" s="53">
        <v>2019</v>
      </c>
      <c r="D283" s="52" t="s">
        <v>124</v>
      </c>
      <c r="E283" s="54">
        <v>7</v>
      </c>
      <c r="F283" s="55">
        <v>9675.8310000000092</v>
      </c>
      <c r="G283" s="55">
        <v>6186.6350000000002</v>
      </c>
    </row>
    <row r="284" spans="1:7" ht="10.050000000000001" customHeight="1">
      <c r="A284" s="52" t="s">
        <v>421</v>
      </c>
      <c r="B284" s="52" t="s">
        <v>306</v>
      </c>
      <c r="C284" s="53">
        <v>2019</v>
      </c>
      <c r="D284" s="52" t="s">
        <v>124</v>
      </c>
      <c r="E284" s="54">
        <v>8</v>
      </c>
      <c r="F284" s="55">
        <v>9928.2120000000104</v>
      </c>
      <c r="G284" s="55">
        <v>7022.3850000000002</v>
      </c>
    </row>
    <row r="285" spans="1:7" ht="10.050000000000001" customHeight="1">
      <c r="A285" s="52" t="s">
        <v>421</v>
      </c>
      <c r="B285" s="52" t="s">
        <v>306</v>
      </c>
      <c r="C285" s="53">
        <v>2019</v>
      </c>
      <c r="D285" s="52" t="s">
        <v>124</v>
      </c>
      <c r="E285" s="54">
        <v>9</v>
      </c>
      <c r="F285" s="55">
        <v>8493.43</v>
      </c>
      <c r="G285" s="55">
        <v>7248.5140000000001</v>
      </c>
    </row>
    <row r="286" spans="1:7" ht="10.050000000000001" customHeight="1">
      <c r="A286" s="52" t="s">
        <v>421</v>
      </c>
      <c r="B286" s="52" t="s">
        <v>306</v>
      </c>
      <c r="C286" s="53">
        <v>2019</v>
      </c>
      <c r="D286" s="52" t="s">
        <v>124</v>
      </c>
      <c r="E286" s="54">
        <v>10</v>
      </c>
      <c r="F286" s="55">
        <v>9073.2530000000006</v>
      </c>
      <c r="G286" s="55">
        <v>6767.6120000000001</v>
      </c>
    </row>
    <row r="287" spans="1:7" ht="10.050000000000001" customHeight="1">
      <c r="A287" s="52" t="s">
        <v>421</v>
      </c>
      <c r="B287" s="52" t="s">
        <v>306</v>
      </c>
      <c r="C287" s="53">
        <v>2019</v>
      </c>
      <c r="D287" s="52" t="s">
        <v>124</v>
      </c>
      <c r="E287" s="54">
        <v>11</v>
      </c>
      <c r="F287" s="55">
        <v>7656.8940000000002</v>
      </c>
      <c r="G287" s="55">
        <v>6406.0309999999999</v>
      </c>
    </row>
    <row r="288" spans="1:7" ht="10.050000000000001" customHeight="1">
      <c r="A288" s="52" t="s">
        <v>421</v>
      </c>
      <c r="B288" s="52" t="s">
        <v>306</v>
      </c>
      <c r="C288" s="53">
        <v>2019</v>
      </c>
      <c r="D288" s="52" t="s">
        <v>124</v>
      </c>
      <c r="E288" s="54">
        <v>12</v>
      </c>
      <c r="F288" s="55">
        <v>7386.0730000000003</v>
      </c>
      <c r="G288" s="55">
        <v>6376.6270000000004</v>
      </c>
    </row>
    <row r="289" spans="1:7" ht="10.050000000000001" customHeight="1">
      <c r="A289" s="52" t="s">
        <v>421</v>
      </c>
      <c r="B289" s="52" t="s">
        <v>306</v>
      </c>
      <c r="C289" s="53">
        <v>2020</v>
      </c>
      <c r="D289" s="52" t="s">
        <v>124</v>
      </c>
      <c r="E289" s="54">
        <v>1</v>
      </c>
      <c r="F289" s="55">
        <v>7496.826</v>
      </c>
      <c r="G289" s="55">
        <v>6203.9759999999997</v>
      </c>
    </row>
    <row r="290" spans="1:7" ht="10.050000000000001" customHeight="1">
      <c r="A290" s="52" t="s">
        <v>421</v>
      </c>
      <c r="B290" s="52" t="s">
        <v>306</v>
      </c>
      <c r="C290" s="53">
        <v>2020</v>
      </c>
      <c r="D290" s="52" t="s">
        <v>124</v>
      </c>
      <c r="E290" s="54">
        <v>2</v>
      </c>
      <c r="F290" s="55">
        <v>6738.174</v>
      </c>
      <c r="G290" s="55">
        <v>5548.5140000000001</v>
      </c>
    </row>
    <row r="291" spans="1:7" ht="10.050000000000001" customHeight="1">
      <c r="A291" s="52" t="s">
        <v>421</v>
      </c>
      <c r="B291" s="52" t="s">
        <v>306</v>
      </c>
      <c r="C291" s="53">
        <v>2020</v>
      </c>
      <c r="D291" s="52" t="s">
        <v>124</v>
      </c>
      <c r="E291" s="54">
        <v>3</v>
      </c>
      <c r="F291" s="55">
        <v>7564.23</v>
      </c>
      <c r="G291" s="55">
        <v>5253.1750000000002</v>
      </c>
    </row>
    <row r="292" spans="1:7" ht="10.050000000000001" customHeight="1">
      <c r="A292" s="52" t="s">
        <v>421</v>
      </c>
      <c r="B292" s="52" t="s">
        <v>306</v>
      </c>
      <c r="C292" s="53">
        <v>2020</v>
      </c>
      <c r="D292" s="52" t="s">
        <v>124</v>
      </c>
      <c r="E292" s="54">
        <v>4</v>
      </c>
      <c r="F292" s="55">
        <v>7041.9250000000002</v>
      </c>
      <c r="G292" s="55">
        <v>4947.9070000000002</v>
      </c>
    </row>
    <row r="293" spans="1:7" ht="10.050000000000001" customHeight="1">
      <c r="A293" s="52" t="s">
        <v>421</v>
      </c>
      <c r="B293" s="52" t="s">
        <v>306</v>
      </c>
      <c r="C293" s="53">
        <v>2020</v>
      </c>
      <c r="D293" s="52" t="s">
        <v>124</v>
      </c>
      <c r="E293" s="54">
        <v>5</v>
      </c>
      <c r="F293" s="55">
        <v>6040.5770000000002</v>
      </c>
      <c r="G293" s="55">
        <v>4577.0959999999995</v>
      </c>
    </row>
    <row r="294" spans="1:7" ht="10.050000000000001" customHeight="1">
      <c r="A294" s="52" t="s">
        <v>421</v>
      </c>
      <c r="B294" s="52" t="s">
        <v>306</v>
      </c>
      <c r="C294" s="53">
        <v>2020</v>
      </c>
      <c r="D294" s="52" t="s">
        <v>124</v>
      </c>
      <c r="E294" s="54">
        <v>6</v>
      </c>
      <c r="F294" s="55">
        <v>6468.0559999999996</v>
      </c>
      <c r="G294" s="55">
        <v>4484.0590000000002</v>
      </c>
    </row>
    <row r="295" spans="1:7" ht="10.050000000000001" customHeight="1">
      <c r="A295" s="52" t="s">
        <v>421</v>
      </c>
      <c r="B295" s="52" t="s">
        <v>306</v>
      </c>
      <c r="C295" s="53">
        <v>2020</v>
      </c>
      <c r="D295" s="52" t="s">
        <v>125</v>
      </c>
      <c r="E295" s="54">
        <v>7</v>
      </c>
      <c r="F295" s="55">
        <v>6242.6610000000001</v>
      </c>
      <c r="G295" s="55">
        <v>5233.7290000000003</v>
      </c>
    </row>
    <row r="296" spans="1:7" ht="10.050000000000001" customHeight="1">
      <c r="A296" s="52" t="s">
        <v>421</v>
      </c>
      <c r="B296" s="52" t="s">
        <v>306</v>
      </c>
      <c r="C296" s="53">
        <v>2020</v>
      </c>
      <c r="D296" s="52" t="s">
        <v>125</v>
      </c>
      <c r="E296" s="54">
        <v>8</v>
      </c>
      <c r="F296" s="55">
        <v>5455.8239999999996</v>
      </c>
      <c r="G296" s="55">
        <v>6580.1540000000005</v>
      </c>
    </row>
    <row r="297" spans="1:7" ht="10.050000000000001" customHeight="1">
      <c r="A297" s="52" t="s">
        <v>421</v>
      </c>
      <c r="B297" s="52" t="s">
        <v>306</v>
      </c>
      <c r="C297" s="53">
        <v>2020</v>
      </c>
      <c r="D297" s="52" t="s">
        <v>125</v>
      </c>
      <c r="E297" s="54">
        <v>9</v>
      </c>
      <c r="F297" s="55">
        <v>5984.0069999999996</v>
      </c>
      <c r="G297" s="55">
        <v>6827.3310000000001</v>
      </c>
    </row>
    <row r="298" spans="1:7" ht="10.050000000000001" customHeight="1">
      <c r="A298" s="52" t="s">
        <v>421</v>
      </c>
      <c r="B298" s="52" t="s">
        <v>306</v>
      </c>
      <c r="C298" s="53">
        <v>2020</v>
      </c>
      <c r="D298" s="52" t="s">
        <v>125</v>
      </c>
      <c r="E298" s="54">
        <v>10</v>
      </c>
      <c r="F298" s="55">
        <v>6513.2640000000001</v>
      </c>
      <c r="G298" s="55">
        <v>7902.893</v>
      </c>
    </row>
    <row r="299" spans="1:7" ht="10.050000000000001" customHeight="1">
      <c r="A299" s="52" t="s">
        <v>421</v>
      </c>
      <c r="B299" s="52" t="s">
        <v>306</v>
      </c>
      <c r="C299" s="53">
        <v>2020</v>
      </c>
      <c r="D299" s="52" t="s">
        <v>125</v>
      </c>
      <c r="E299" s="54">
        <v>11</v>
      </c>
      <c r="F299" s="55">
        <v>6200.4650000000001</v>
      </c>
      <c r="G299" s="55">
        <v>6507.567</v>
      </c>
    </row>
    <row r="300" spans="1:7" ht="10.050000000000001" customHeight="1">
      <c r="A300" s="52" t="s">
        <v>421</v>
      </c>
      <c r="B300" s="52" t="s">
        <v>306</v>
      </c>
      <c r="C300" s="53">
        <v>2020</v>
      </c>
      <c r="D300" s="52" t="s">
        <v>125</v>
      </c>
      <c r="E300" s="54">
        <v>12</v>
      </c>
      <c r="F300" s="55">
        <v>5356.268</v>
      </c>
      <c r="G300" s="55">
        <v>6029.27</v>
      </c>
    </row>
    <row r="301" spans="1:7" ht="10.050000000000001" customHeight="1">
      <c r="A301" s="52" t="s">
        <v>421</v>
      </c>
      <c r="B301" s="52" t="s">
        <v>306</v>
      </c>
      <c r="C301" s="53">
        <v>2021</v>
      </c>
      <c r="D301" s="52" t="s">
        <v>125</v>
      </c>
      <c r="E301" s="54">
        <v>1</v>
      </c>
      <c r="F301" s="55">
        <v>5388.8580000000002</v>
      </c>
      <c r="G301" s="55">
        <v>5987.2879999999996</v>
      </c>
    </row>
    <row r="302" spans="1:7" ht="10.050000000000001" customHeight="1">
      <c r="A302" s="52" t="s">
        <v>421</v>
      </c>
      <c r="B302" s="52" t="s">
        <v>306</v>
      </c>
      <c r="C302" s="53">
        <v>2021</v>
      </c>
      <c r="D302" s="52" t="s">
        <v>125</v>
      </c>
      <c r="E302" s="54">
        <v>2</v>
      </c>
      <c r="F302" s="55">
        <v>5431.8519999999999</v>
      </c>
      <c r="G302" s="55">
        <v>6299.2669999999998</v>
      </c>
    </row>
    <row r="303" spans="1:7" ht="10.050000000000001" customHeight="1">
      <c r="A303" s="52" t="s">
        <v>421</v>
      </c>
      <c r="B303" s="52" t="s">
        <v>306</v>
      </c>
      <c r="C303" s="53">
        <v>2021</v>
      </c>
      <c r="D303" s="52" t="s">
        <v>125</v>
      </c>
      <c r="E303" s="54">
        <v>3</v>
      </c>
      <c r="F303" s="55">
        <v>6808.9179999999997</v>
      </c>
      <c r="G303" s="55">
        <v>5829.482</v>
      </c>
    </row>
    <row r="304" spans="1:7" ht="10.050000000000001" customHeight="1">
      <c r="A304" s="52" t="s">
        <v>421</v>
      </c>
      <c r="B304" s="52" t="s">
        <v>306</v>
      </c>
      <c r="C304" s="53">
        <v>2021</v>
      </c>
      <c r="D304" s="52" t="s">
        <v>125</v>
      </c>
      <c r="E304" s="54">
        <v>4</v>
      </c>
      <c r="F304" s="55">
        <v>7056.7179999999998</v>
      </c>
      <c r="G304" s="55">
        <v>5949.7420000000002</v>
      </c>
    </row>
    <row r="305" spans="1:7" ht="10.050000000000001" customHeight="1">
      <c r="A305" s="52" t="s">
        <v>421</v>
      </c>
      <c r="B305" s="52" t="s">
        <v>306</v>
      </c>
      <c r="C305" s="53">
        <v>2021</v>
      </c>
      <c r="D305" s="52" t="s">
        <v>125</v>
      </c>
      <c r="E305" s="54">
        <v>5</v>
      </c>
      <c r="F305" s="55">
        <v>7201.5550000000003</v>
      </c>
      <c r="G305" s="55">
        <v>5018.5330000000004</v>
      </c>
    </row>
    <row r="306" spans="1:7" ht="10.050000000000001" customHeight="1">
      <c r="A306" s="52" t="s">
        <v>421</v>
      </c>
      <c r="B306" s="52" t="s">
        <v>306</v>
      </c>
      <c r="C306" s="53">
        <v>2021</v>
      </c>
      <c r="D306" s="52" t="s">
        <v>125</v>
      </c>
      <c r="E306" s="54">
        <v>6</v>
      </c>
      <c r="F306" s="55">
        <v>8468.9130000000005</v>
      </c>
      <c r="G306" s="55">
        <v>4414.9369999999999</v>
      </c>
    </row>
    <row r="307" spans="1:7" ht="10.050000000000001" customHeight="1">
      <c r="A307" s="52" t="s">
        <v>421</v>
      </c>
      <c r="B307" s="52" t="s">
        <v>306</v>
      </c>
      <c r="C307" s="53">
        <v>2021</v>
      </c>
      <c r="D307" s="52" t="s">
        <v>126</v>
      </c>
      <c r="E307" s="54">
        <v>7</v>
      </c>
      <c r="F307" s="55">
        <v>8003.3609999999999</v>
      </c>
      <c r="G307" s="55">
        <v>4212.3609999999999</v>
      </c>
    </row>
    <row r="308" spans="1:7" ht="10.050000000000001" customHeight="1">
      <c r="A308" s="52" t="s">
        <v>421</v>
      </c>
      <c r="B308" s="52" t="s">
        <v>306</v>
      </c>
      <c r="C308" s="53">
        <v>2021</v>
      </c>
      <c r="D308" s="52" t="s">
        <v>126</v>
      </c>
      <c r="E308" s="54">
        <v>8</v>
      </c>
      <c r="F308" s="55">
        <v>7147.8909999999996</v>
      </c>
      <c r="G308" s="55">
        <v>5584.4440000000004</v>
      </c>
    </row>
    <row r="309" spans="1:7" ht="10.050000000000001" customHeight="1">
      <c r="A309" s="52" t="s">
        <v>421</v>
      </c>
      <c r="B309" s="52" t="s">
        <v>306</v>
      </c>
      <c r="C309" s="53">
        <v>2021</v>
      </c>
      <c r="D309" s="52" t="s">
        <v>126</v>
      </c>
      <c r="E309" s="54">
        <v>9</v>
      </c>
      <c r="F309" s="55">
        <v>7840.2380000000003</v>
      </c>
      <c r="G309" s="55">
        <v>5820.0050000000001</v>
      </c>
    </row>
    <row r="310" spans="1:7" ht="10.050000000000001" customHeight="1">
      <c r="A310" s="52" t="s">
        <v>421</v>
      </c>
      <c r="B310" s="52" t="s">
        <v>306</v>
      </c>
      <c r="C310" s="53">
        <v>2021</v>
      </c>
      <c r="D310" s="52" t="s">
        <v>126</v>
      </c>
      <c r="E310" s="54">
        <v>10</v>
      </c>
      <c r="F310" s="55">
        <v>7140.2759999999998</v>
      </c>
      <c r="G310" s="55">
        <v>5950.65</v>
      </c>
    </row>
    <row r="311" spans="1:7" ht="10.050000000000001" customHeight="1">
      <c r="A311" s="52" t="s">
        <v>421</v>
      </c>
      <c r="B311" s="52" t="s">
        <v>306</v>
      </c>
      <c r="C311" s="53">
        <v>2021</v>
      </c>
      <c r="D311" s="52" t="s">
        <v>126</v>
      </c>
      <c r="E311" s="54">
        <v>11</v>
      </c>
      <c r="F311" s="55">
        <v>7908.59</v>
      </c>
      <c r="G311" s="55">
        <v>6094.2430000000004</v>
      </c>
    </row>
    <row r="312" spans="1:7" ht="10.050000000000001" customHeight="1">
      <c r="A312" s="52" t="s">
        <v>421</v>
      </c>
      <c r="B312" s="52" t="s">
        <v>306</v>
      </c>
      <c r="C312" s="53">
        <v>2021</v>
      </c>
      <c r="D312" s="52" t="s">
        <v>126</v>
      </c>
      <c r="E312" s="54">
        <v>12</v>
      </c>
      <c r="F312" s="55">
        <v>9424.4320000000007</v>
      </c>
      <c r="G312" s="55">
        <v>5282.0619999999999</v>
      </c>
    </row>
    <row r="313" spans="1:7" ht="10.050000000000001" customHeight="1">
      <c r="A313" s="52" t="s">
        <v>421</v>
      </c>
      <c r="B313" s="52" t="s">
        <v>306</v>
      </c>
      <c r="C313" s="53">
        <v>2022</v>
      </c>
      <c r="D313" s="52" t="s">
        <v>126</v>
      </c>
      <c r="E313" s="54">
        <v>1</v>
      </c>
      <c r="F313" s="55">
        <v>8448.9639999999999</v>
      </c>
      <c r="G313" s="55">
        <v>5195.3159999999998</v>
      </c>
    </row>
    <row r="314" spans="1:7" ht="10.050000000000001" customHeight="1">
      <c r="A314" s="52" t="s">
        <v>421</v>
      </c>
      <c r="B314" s="52" t="s">
        <v>306</v>
      </c>
      <c r="C314" s="53">
        <v>2022</v>
      </c>
      <c r="D314" s="52" t="s">
        <v>126</v>
      </c>
      <c r="E314" s="54">
        <v>2</v>
      </c>
      <c r="F314" s="55">
        <v>7483.6</v>
      </c>
      <c r="G314" s="55">
        <v>5360.5219999999999</v>
      </c>
    </row>
    <row r="315" spans="1:7" ht="10.050000000000001" customHeight="1">
      <c r="A315" s="52" t="s">
        <v>421</v>
      </c>
      <c r="B315" s="52" t="s">
        <v>306</v>
      </c>
      <c r="C315" s="53">
        <v>2022</v>
      </c>
      <c r="D315" s="52" t="s">
        <v>126</v>
      </c>
      <c r="E315" s="54">
        <v>3</v>
      </c>
      <c r="F315" s="55">
        <v>8998.1149999999998</v>
      </c>
      <c r="G315" s="55">
        <v>5131.2049999999999</v>
      </c>
    </row>
    <row r="316" spans="1:7" ht="10.050000000000001" customHeight="1">
      <c r="A316" s="52" t="s">
        <v>421</v>
      </c>
      <c r="B316" s="52" t="s">
        <v>306</v>
      </c>
      <c r="C316" s="53">
        <v>2022</v>
      </c>
      <c r="D316" s="52" t="s">
        <v>126</v>
      </c>
      <c r="E316" s="54">
        <v>4</v>
      </c>
      <c r="F316" s="55">
        <v>9286.65</v>
      </c>
      <c r="G316" s="55">
        <v>5293.9679999999998</v>
      </c>
    </row>
    <row r="317" spans="1:7" ht="10.050000000000001" customHeight="1">
      <c r="A317" s="52" t="s">
        <v>421</v>
      </c>
      <c r="B317" s="52" t="s">
        <v>306</v>
      </c>
      <c r="C317" s="53">
        <v>2022</v>
      </c>
      <c r="D317" s="52" t="s">
        <v>126</v>
      </c>
      <c r="E317" s="54">
        <v>5</v>
      </c>
      <c r="F317" s="55">
        <v>10530.412</v>
      </c>
      <c r="G317" s="55">
        <v>5279.3670000000002</v>
      </c>
    </row>
    <row r="318" spans="1:7" ht="10.050000000000001" customHeight="1">
      <c r="A318" s="52" t="s">
        <v>421</v>
      </c>
      <c r="B318" s="52" t="s">
        <v>306</v>
      </c>
      <c r="C318" s="53">
        <v>2022</v>
      </c>
      <c r="D318" s="52" t="s">
        <v>126</v>
      </c>
      <c r="E318" s="54">
        <v>6</v>
      </c>
      <c r="F318" s="55">
        <v>11329.289000000001</v>
      </c>
      <c r="G318" s="55">
        <v>5269.3059999999996</v>
      </c>
    </row>
    <row r="319" spans="1:7" ht="10.050000000000001" customHeight="1">
      <c r="A319" s="52" t="s">
        <v>421</v>
      </c>
      <c r="B319" s="52" t="s">
        <v>306</v>
      </c>
      <c r="C319" s="53">
        <v>2022</v>
      </c>
      <c r="D319" s="52" t="s">
        <v>127</v>
      </c>
      <c r="E319" s="54">
        <v>7</v>
      </c>
      <c r="F319" s="55">
        <v>9610.7389999999996</v>
      </c>
      <c r="G319" s="55">
        <v>7588.9790000000003</v>
      </c>
    </row>
    <row r="320" spans="1:7" ht="10.050000000000001" customHeight="1">
      <c r="A320" s="52" t="s">
        <v>421</v>
      </c>
      <c r="B320" s="52" t="s">
        <v>306</v>
      </c>
      <c r="C320" s="53">
        <v>2022</v>
      </c>
      <c r="D320" s="52" t="s">
        <v>127</v>
      </c>
      <c r="E320" s="54">
        <v>8</v>
      </c>
      <c r="F320" s="55">
        <v>8785.6720000000005</v>
      </c>
      <c r="G320" s="55">
        <v>8309.107</v>
      </c>
    </row>
    <row r="321" spans="1:7" ht="10.050000000000001" customHeight="1">
      <c r="A321" s="52" t="s">
        <v>421</v>
      </c>
      <c r="B321" s="52" t="s">
        <v>306</v>
      </c>
      <c r="C321" s="53">
        <v>2022</v>
      </c>
      <c r="D321" s="52" t="s">
        <v>127</v>
      </c>
      <c r="E321" s="54">
        <v>9</v>
      </c>
      <c r="F321" s="55">
        <v>8573.57</v>
      </c>
      <c r="G321" s="55">
        <v>7966.5370000000003</v>
      </c>
    </row>
    <row r="322" spans="1:7" ht="10.050000000000001" customHeight="1">
      <c r="A322" s="52" t="s">
        <v>421</v>
      </c>
      <c r="B322" s="52" t="s">
        <v>306</v>
      </c>
      <c r="C322" s="53">
        <v>2022</v>
      </c>
      <c r="D322" s="52" t="s">
        <v>127</v>
      </c>
      <c r="E322" s="54">
        <v>10</v>
      </c>
      <c r="F322" s="55">
        <v>8231.4789999999994</v>
      </c>
      <c r="G322" s="55">
        <v>7473.74</v>
      </c>
    </row>
    <row r="323" spans="1:7" ht="10.050000000000001" customHeight="1">
      <c r="A323" s="52" t="s">
        <v>421</v>
      </c>
      <c r="B323" s="52" t="s">
        <v>306</v>
      </c>
      <c r="C323" s="53">
        <v>2022</v>
      </c>
      <c r="D323" s="52" t="s">
        <v>127</v>
      </c>
      <c r="E323" s="54">
        <v>11</v>
      </c>
      <c r="F323" s="55">
        <v>8272.0210000000006</v>
      </c>
      <c r="G323" s="55">
        <v>7819.799</v>
      </c>
    </row>
    <row r="324" spans="1:7" ht="10.050000000000001" customHeight="1">
      <c r="A324" s="52" t="s">
        <v>421</v>
      </c>
      <c r="B324" s="52" t="s">
        <v>306</v>
      </c>
      <c r="C324" s="53">
        <v>2022</v>
      </c>
      <c r="D324" s="52" t="s">
        <v>127</v>
      </c>
      <c r="E324" s="54">
        <v>12</v>
      </c>
      <c r="F324" s="55">
        <v>7476.73</v>
      </c>
      <c r="G324" s="55">
        <v>6745.085</v>
      </c>
    </row>
    <row r="325" spans="1:7" ht="10.050000000000001" customHeight="1">
      <c r="A325" s="52" t="s">
        <v>421</v>
      </c>
      <c r="B325" s="52" t="s">
        <v>306</v>
      </c>
      <c r="C325" s="53">
        <v>2023</v>
      </c>
      <c r="D325" s="52" t="s">
        <v>127</v>
      </c>
      <c r="E325" s="54">
        <v>1</v>
      </c>
      <c r="F325" s="55">
        <v>6642.8530000000001</v>
      </c>
      <c r="G325" s="55">
        <v>5370.9750000000004</v>
      </c>
    </row>
    <row r="326" spans="1:7" ht="10.050000000000001" customHeight="1">
      <c r="A326" s="52" t="s">
        <v>421</v>
      </c>
      <c r="B326" s="52" t="s">
        <v>306</v>
      </c>
      <c r="C326" s="53">
        <v>2023</v>
      </c>
      <c r="D326" s="52" t="s">
        <v>127</v>
      </c>
      <c r="E326" s="54">
        <v>2</v>
      </c>
      <c r="F326" s="55">
        <v>5832.915</v>
      </c>
      <c r="G326" s="55">
        <v>4842.0339999999997</v>
      </c>
    </row>
    <row r="327" spans="1:7" ht="10.050000000000001" customHeight="1">
      <c r="A327" s="52" t="s">
        <v>421</v>
      </c>
      <c r="B327" s="52" t="s">
        <v>306</v>
      </c>
      <c r="C327" s="53">
        <v>2023</v>
      </c>
      <c r="D327" s="52" t="s">
        <v>127</v>
      </c>
      <c r="E327" s="54">
        <v>3</v>
      </c>
      <c r="F327" s="55">
        <v>6557.4589999999998</v>
      </c>
      <c r="G327" s="55">
        <v>4701.2860000000001</v>
      </c>
    </row>
    <row r="328" spans="1:7" ht="10.050000000000001" customHeight="1">
      <c r="A328" s="52" t="s">
        <v>421</v>
      </c>
      <c r="B328" s="52" t="s">
        <v>306</v>
      </c>
      <c r="C328" s="53">
        <v>2023</v>
      </c>
      <c r="D328" s="52" t="s">
        <v>127</v>
      </c>
      <c r="E328" s="54">
        <v>4</v>
      </c>
      <c r="F328" s="55">
        <v>5829.5410000000002</v>
      </c>
      <c r="G328" s="55">
        <v>4467.0749999999998</v>
      </c>
    </row>
    <row r="329" spans="1:7" ht="10.050000000000001" customHeight="1">
      <c r="A329" s="52" t="s">
        <v>421</v>
      </c>
      <c r="B329" s="52" t="s">
        <v>306</v>
      </c>
      <c r="C329" s="53">
        <v>2023</v>
      </c>
      <c r="D329" s="52" t="s">
        <v>127</v>
      </c>
      <c r="E329" s="54">
        <v>5</v>
      </c>
      <c r="F329" s="55">
        <v>6660.1549999999997</v>
      </c>
      <c r="G329" s="55">
        <v>4590.9859999999999</v>
      </c>
    </row>
    <row r="330" spans="1:7" ht="10.050000000000001" customHeight="1">
      <c r="A330" s="52" t="s">
        <v>421</v>
      </c>
      <c r="B330" s="52" t="s">
        <v>306</v>
      </c>
      <c r="C330" s="53">
        <v>2023</v>
      </c>
      <c r="D330" s="52" t="s">
        <v>127</v>
      </c>
      <c r="E330" s="54">
        <v>6</v>
      </c>
      <c r="F330" s="55">
        <v>6635.9849999999997</v>
      </c>
      <c r="G330" s="55">
        <v>4309.7659999999996</v>
      </c>
    </row>
    <row r="331" spans="1:7" ht="10.050000000000001" customHeight="1">
      <c r="A331" s="52" t="s">
        <v>421</v>
      </c>
      <c r="B331" s="52" t="s">
        <v>306</v>
      </c>
      <c r="C331" s="53">
        <v>2023</v>
      </c>
      <c r="D331" s="52" t="s">
        <v>128</v>
      </c>
      <c r="E331" s="54">
        <v>7</v>
      </c>
      <c r="F331" s="55">
        <v>6550.1440000000002</v>
      </c>
      <c r="G331" s="55">
        <v>5066.5590000000002</v>
      </c>
    </row>
    <row r="332" spans="1:7" ht="10.050000000000001" customHeight="1">
      <c r="A332" s="52" t="s">
        <v>421</v>
      </c>
      <c r="B332" s="52" t="s">
        <v>306</v>
      </c>
      <c r="C332" s="53">
        <v>2023</v>
      </c>
      <c r="D332" s="52" t="s">
        <v>128</v>
      </c>
      <c r="E332" s="54">
        <v>8</v>
      </c>
      <c r="F332" s="55">
        <v>6819.5630000000001</v>
      </c>
      <c r="G332" s="55">
        <v>5845.6239999999998</v>
      </c>
    </row>
    <row r="333" spans="1:7" ht="10.050000000000001" customHeight="1">
      <c r="A333" s="52" t="s">
        <v>421</v>
      </c>
      <c r="B333" s="52" t="s">
        <v>306</v>
      </c>
      <c r="C333" s="53">
        <v>2023</v>
      </c>
      <c r="D333" s="52" t="s">
        <v>128</v>
      </c>
      <c r="E333" s="54">
        <v>9</v>
      </c>
      <c r="F333" s="55">
        <v>6621.0730000000003</v>
      </c>
      <c r="G333" s="55">
        <v>4912.308</v>
      </c>
    </row>
    <row r="334" spans="1:7" ht="10.050000000000001" customHeight="1">
      <c r="A334" s="52" t="s">
        <v>421</v>
      </c>
      <c r="B334" s="52" t="s">
        <v>306</v>
      </c>
      <c r="C334" s="53">
        <v>2023</v>
      </c>
      <c r="D334" s="52" t="s">
        <v>128</v>
      </c>
      <c r="E334" s="54">
        <v>10</v>
      </c>
      <c r="F334" s="55">
        <v>6104.5730000000003</v>
      </c>
      <c r="G334" s="55">
        <v>4512.7139999999999</v>
      </c>
    </row>
    <row r="335" spans="1:7" ht="10.050000000000001" customHeight="1">
      <c r="A335" s="52" t="s">
        <v>421</v>
      </c>
      <c r="B335" s="52" t="s">
        <v>306</v>
      </c>
      <c r="C335" s="53">
        <v>2023</v>
      </c>
      <c r="D335" s="52" t="s">
        <v>128</v>
      </c>
      <c r="E335" s="54">
        <v>11</v>
      </c>
      <c r="F335" s="55">
        <v>5897.1750000000002</v>
      </c>
      <c r="G335" s="55">
        <v>4138.4089999999997</v>
      </c>
    </row>
    <row r="336" spans="1:7" ht="10.050000000000001" customHeight="1">
      <c r="A336" s="52" t="s">
        <v>421</v>
      </c>
      <c r="B336" s="52" t="s">
        <v>306</v>
      </c>
      <c r="C336" s="53">
        <v>2023</v>
      </c>
      <c r="D336" s="52" t="s">
        <v>128</v>
      </c>
      <c r="E336" s="54">
        <v>12</v>
      </c>
      <c r="F336" s="55">
        <v>5630.7020000000002</v>
      </c>
      <c r="G336" s="55">
        <v>4377.71</v>
      </c>
    </row>
    <row r="337" spans="1:7" ht="10.050000000000001" customHeight="1">
      <c r="A337" s="52" t="s">
        <v>421</v>
      </c>
      <c r="B337" s="52" t="s">
        <v>306</v>
      </c>
      <c r="C337" s="53">
        <v>2024</v>
      </c>
      <c r="D337" s="52" t="s">
        <v>128</v>
      </c>
      <c r="E337" s="54">
        <v>1</v>
      </c>
      <c r="F337" s="55">
        <v>6311.1229999999996</v>
      </c>
      <c r="G337" s="55">
        <v>4309.1030000000001</v>
      </c>
    </row>
    <row r="338" spans="1:7" ht="10.050000000000001" customHeight="1">
      <c r="A338" s="52" t="s">
        <v>421</v>
      </c>
      <c r="B338" s="52" t="s">
        <v>306</v>
      </c>
      <c r="C338" s="53">
        <v>2024</v>
      </c>
      <c r="D338" s="52" t="s">
        <v>128</v>
      </c>
      <c r="E338" s="54">
        <v>2</v>
      </c>
      <c r="F338" s="55">
        <v>5337.2269999999999</v>
      </c>
      <c r="G338" s="55">
        <v>4254.3379999999997</v>
      </c>
    </row>
    <row r="339" spans="1:7" ht="10.050000000000001" customHeight="1">
      <c r="A339" s="52" t="s">
        <v>421</v>
      </c>
      <c r="B339" s="52" t="s">
        <v>306</v>
      </c>
      <c r="C339" s="53">
        <v>2024</v>
      </c>
      <c r="D339" s="52" t="s">
        <v>128</v>
      </c>
      <c r="E339" s="54">
        <v>3</v>
      </c>
      <c r="F339" s="55">
        <v>5135.2299999999996</v>
      </c>
      <c r="G339" s="55">
        <v>4020.8389999999999</v>
      </c>
    </row>
    <row r="340" spans="1:7" ht="10.050000000000001" customHeight="1">
      <c r="A340" s="52" t="s">
        <v>421</v>
      </c>
      <c r="B340" s="52" t="s">
        <v>306</v>
      </c>
      <c r="C340" s="53">
        <v>2024</v>
      </c>
      <c r="D340" s="52" t="s">
        <v>128</v>
      </c>
      <c r="E340" s="54">
        <v>4</v>
      </c>
      <c r="F340" s="55">
        <v>4608.5839999999998</v>
      </c>
      <c r="G340" s="55">
        <v>3994.9369999999999</v>
      </c>
    </row>
    <row r="341" spans="1:7" ht="10.050000000000001" customHeight="1">
      <c r="A341" s="52" t="s">
        <v>421</v>
      </c>
      <c r="B341" s="52" t="s">
        <v>306</v>
      </c>
      <c r="C341" s="53">
        <v>2024</v>
      </c>
      <c r="D341" s="52" t="s">
        <v>128</v>
      </c>
      <c r="E341" s="54">
        <v>5</v>
      </c>
      <c r="F341" s="55">
        <v>4382.54</v>
      </c>
      <c r="G341" s="55">
        <v>3594.4609999999998</v>
      </c>
    </row>
    <row r="342" spans="1:7" ht="10.050000000000001" customHeight="1">
      <c r="A342" s="52" t="s">
        <v>421</v>
      </c>
      <c r="B342" s="52" t="s">
        <v>306</v>
      </c>
      <c r="C342" s="53">
        <v>2024</v>
      </c>
      <c r="D342" s="52" t="s">
        <v>128</v>
      </c>
      <c r="E342" s="54">
        <v>6</v>
      </c>
      <c r="F342" s="55">
        <v>3953.9650000000001</v>
      </c>
      <c r="G342" s="55">
        <v>3640.63</v>
      </c>
    </row>
    <row r="343" spans="1:7" ht="10.050000000000001" customHeight="1">
      <c r="A343" s="52" t="s">
        <v>421</v>
      </c>
      <c r="B343" s="52" t="s">
        <v>306</v>
      </c>
      <c r="C343" s="53">
        <v>2024</v>
      </c>
      <c r="D343" s="52" t="s">
        <v>129</v>
      </c>
      <c r="E343" s="54">
        <v>7</v>
      </c>
      <c r="F343" s="55">
        <v>4246.6400000000003</v>
      </c>
      <c r="G343" s="55">
        <v>4061.7840000000001</v>
      </c>
    </row>
    <row r="344" spans="1:7" ht="10.050000000000001" customHeight="1">
      <c r="A344" s="52" t="s">
        <v>421</v>
      </c>
      <c r="B344" s="52" t="s">
        <v>306</v>
      </c>
      <c r="C344" s="53">
        <v>2024</v>
      </c>
      <c r="D344" s="52" t="s">
        <v>129</v>
      </c>
      <c r="E344" s="54">
        <v>8</v>
      </c>
      <c r="F344" s="55">
        <v>4331.42</v>
      </c>
      <c r="G344" s="55">
        <v>4552.3100000000004</v>
      </c>
    </row>
    <row r="345" spans="1:7" ht="10.050000000000001" customHeight="1">
      <c r="A345" s="52" t="s">
        <v>421</v>
      </c>
      <c r="B345" s="52" t="s">
        <v>306</v>
      </c>
      <c r="C345" s="53">
        <v>2024</v>
      </c>
      <c r="D345" s="52" t="s">
        <v>129</v>
      </c>
      <c r="E345" s="54">
        <v>9</v>
      </c>
      <c r="F345" s="55">
        <v>4690.683</v>
      </c>
      <c r="G345" s="55">
        <v>4161.7049999999999</v>
      </c>
    </row>
    <row r="346" spans="1:7" ht="10.050000000000001" customHeight="1">
      <c r="A346" s="52" t="s">
        <v>421</v>
      </c>
      <c r="B346" s="52" t="s">
        <v>306</v>
      </c>
      <c r="C346" s="53">
        <v>2024</v>
      </c>
      <c r="D346" s="52" t="s">
        <v>129</v>
      </c>
      <c r="E346" s="54">
        <v>10</v>
      </c>
      <c r="F346" s="55">
        <v>5042.6130000000003</v>
      </c>
      <c r="G346" s="55">
        <v>4279.83</v>
      </c>
    </row>
    <row r="347" spans="1:7" ht="10.050000000000001" customHeight="1">
      <c r="A347" s="52" t="s">
        <v>421</v>
      </c>
      <c r="B347" s="52" t="s">
        <v>306</v>
      </c>
      <c r="C347" s="53">
        <v>2024</v>
      </c>
      <c r="D347" s="52" t="s">
        <v>129</v>
      </c>
      <c r="E347" s="54">
        <v>11</v>
      </c>
      <c r="F347" s="55">
        <v>4494.5110000000004</v>
      </c>
      <c r="G347" s="55">
        <v>3723.22</v>
      </c>
    </row>
    <row r="348" spans="1:7" ht="10.050000000000001" customHeight="1">
      <c r="A348" s="52" t="s">
        <v>421</v>
      </c>
      <c r="B348" s="52" t="s">
        <v>306</v>
      </c>
      <c r="C348" s="53">
        <v>2024</v>
      </c>
      <c r="D348" s="52" t="s">
        <v>129</v>
      </c>
      <c r="E348" s="54">
        <v>12</v>
      </c>
      <c r="F348" s="55">
        <v>4275.7839999999997</v>
      </c>
      <c r="G348" s="55">
        <v>3162.4189999999999</v>
      </c>
    </row>
    <row r="349" spans="1:7" ht="10.050000000000001" customHeight="1">
      <c r="A349" s="52" t="s">
        <v>421</v>
      </c>
      <c r="B349" s="52" t="s">
        <v>172</v>
      </c>
      <c r="C349" s="53">
        <v>2000</v>
      </c>
      <c r="D349" s="52" t="s">
        <v>105</v>
      </c>
      <c r="E349" s="54">
        <v>7</v>
      </c>
      <c r="F349" s="55">
        <v>645.20000000000005</v>
      </c>
      <c r="G349" s="55">
        <v>19.100000000000001</v>
      </c>
    </row>
    <row r="350" spans="1:7" ht="10.050000000000001" customHeight="1">
      <c r="A350" s="52" t="s">
        <v>421</v>
      </c>
      <c r="B350" s="52" t="s">
        <v>172</v>
      </c>
      <c r="C350" s="53">
        <v>2000</v>
      </c>
      <c r="D350" s="52" t="s">
        <v>105</v>
      </c>
      <c r="E350" s="54">
        <v>8</v>
      </c>
      <c r="F350" s="55">
        <v>1548.7</v>
      </c>
      <c r="G350" s="55">
        <v>31.6</v>
      </c>
    </row>
    <row r="351" spans="1:7" ht="10.050000000000001" customHeight="1">
      <c r="A351" s="52" t="s">
        <v>421</v>
      </c>
      <c r="B351" s="52" t="s">
        <v>172</v>
      </c>
      <c r="C351" s="53">
        <v>2000</v>
      </c>
      <c r="D351" s="52" t="s">
        <v>105</v>
      </c>
      <c r="E351" s="54">
        <v>9</v>
      </c>
      <c r="F351" s="55">
        <v>2112.5</v>
      </c>
      <c r="G351" s="55">
        <v>203.4</v>
      </c>
    </row>
    <row r="352" spans="1:7" ht="10.050000000000001" customHeight="1">
      <c r="A352" s="52" t="s">
        <v>421</v>
      </c>
      <c r="B352" s="52" t="s">
        <v>172</v>
      </c>
      <c r="C352" s="53">
        <v>2000</v>
      </c>
      <c r="D352" s="52" t="s">
        <v>105</v>
      </c>
      <c r="E352" s="54">
        <v>10</v>
      </c>
      <c r="F352" s="55">
        <v>2218.6999999999998</v>
      </c>
      <c r="G352" s="55">
        <v>300.8</v>
      </c>
    </row>
    <row r="353" spans="1:7" ht="10.050000000000001" customHeight="1">
      <c r="A353" s="52" t="s">
        <v>421</v>
      </c>
      <c r="B353" s="52" t="s">
        <v>172</v>
      </c>
      <c r="C353" s="53">
        <v>2000</v>
      </c>
      <c r="D353" s="52" t="s">
        <v>105</v>
      </c>
      <c r="E353" s="54">
        <v>11</v>
      </c>
      <c r="F353" s="55">
        <v>2381.6</v>
      </c>
      <c r="G353" s="55">
        <v>408.1</v>
      </c>
    </row>
    <row r="354" spans="1:7" ht="10.050000000000001" customHeight="1">
      <c r="A354" s="52" t="s">
        <v>421</v>
      </c>
      <c r="B354" s="52" t="s">
        <v>172</v>
      </c>
      <c r="C354" s="53">
        <v>2000</v>
      </c>
      <c r="D354" s="52" t="s">
        <v>105</v>
      </c>
      <c r="E354" s="54">
        <v>12</v>
      </c>
      <c r="F354" s="55">
        <v>1745.9</v>
      </c>
      <c r="G354" s="55">
        <v>191.7</v>
      </c>
    </row>
    <row r="355" spans="1:7" ht="10.050000000000001" customHeight="1">
      <c r="A355" s="52" t="s">
        <v>421</v>
      </c>
      <c r="B355" s="52" t="s">
        <v>172</v>
      </c>
      <c r="C355" s="53">
        <v>2001</v>
      </c>
      <c r="D355" s="52" t="s">
        <v>105</v>
      </c>
      <c r="E355" s="54">
        <v>1</v>
      </c>
      <c r="F355" s="55">
        <v>1841.2</v>
      </c>
      <c r="G355" s="55">
        <v>239.4</v>
      </c>
    </row>
    <row r="356" spans="1:7" ht="10.050000000000001" customHeight="1">
      <c r="A356" s="52" t="s">
        <v>421</v>
      </c>
      <c r="B356" s="52" t="s">
        <v>172</v>
      </c>
      <c r="C356" s="53">
        <v>2001</v>
      </c>
      <c r="D356" s="52" t="s">
        <v>105</v>
      </c>
      <c r="E356" s="54">
        <v>2</v>
      </c>
      <c r="F356" s="55">
        <v>905.1</v>
      </c>
      <c r="G356" s="55">
        <v>88</v>
      </c>
    </row>
    <row r="357" spans="1:7" ht="10.050000000000001" customHeight="1">
      <c r="A357" s="52" t="s">
        <v>421</v>
      </c>
      <c r="B357" s="52" t="s">
        <v>172</v>
      </c>
      <c r="C357" s="53">
        <v>2001</v>
      </c>
      <c r="D357" s="52" t="s">
        <v>105</v>
      </c>
      <c r="E357" s="54">
        <v>3</v>
      </c>
      <c r="F357" s="55">
        <v>1075</v>
      </c>
      <c r="G357" s="55">
        <v>278</v>
      </c>
    </row>
    <row r="358" spans="1:7" ht="10.050000000000001" customHeight="1">
      <c r="A358" s="52" t="s">
        <v>421</v>
      </c>
      <c r="B358" s="52" t="s">
        <v>172</v>
      </c>
      <c r="C358" s="53">
        <v>2001</v>
      </c>
      <c r="D358" s="52" t="s">
        <v>105</v>
      </c>
      <c r="E358" s="54">
        <v>4</v>
      </c>
      <c r="F358" s="55">
        <v>1121.5999999999999</v>
      </c>
      <c r="G358" s="55">
        <v>205</v>
      </c>
    </row>
    <row r="359" spans="1:7" ht="10.050000000000001" customHeight="1">
      <c r="A359" s="52" t="s">
        <v>421</v>
      </c>
      <c r="B359" s="52" t="s">
        <v>172</v>
      </c>
      <c r="C359" s="53">
        <v>2001</v>
      </c>
      <c r="D359" s="52" t="s">
        <v>105</v>
      </c>
      <c r="E359" s="54">
        <v>5</v>
      </c>
      <c r="F359" s="55">
        <v>1210.2</v>
      </c>
      <c r="G359" s="55">
        <v>196</v>
      </c>
    </row>
    <row r="360" spans="1:7" ht="10.050000000000001" customHeight="1">
      <c r="A360" s="52" t="s">
        <v>421</v>
      </c>
      <c r="B360" s="52" t="s">
        <v>172</v>
      </c>
      <c r="C360" s="53">
        <v>2001</v>
      </c>
      <c r="D360" s="52" t="s">
        <v>105</v>
      </c>
      <c r="E360" s="54">
        <v>6</v>
      </c>
      <c r="F360" s="55">
        <v>339.8</v>
      </c>
      <c r="G360" s="55">
        <v>7</v>
      </c>
    </row>
    <row r="361" spans="1:7" ht="10.050000000000001" customHeight="1">
      <c r="A361" s="52" t="s">
        <v>421</v>
      </c>
      <c r="B361" s="52" t="s">
        <v>172</v>
      </c>
      <c r="C361" s="53">
        <v>2001</v>
      </c>
      <c r="D361" s="52" t="s">
        <v>108</v>
      </c>
      <c r="E361" s="54">
        <v>7</v>
      </c>
      <c r="F361" s="55">
        <v>767.1</v>
      </c>
      <c r="G361" s="55">
        <v>502.1</v>
      </c>
    </row>
    <row r="362" spans="1:7" ht="10.050000000000001" customHeight="1">
      <c r="A362" s="52" t="s">
        <v>421</v>
      </c>
      <c r="B362" s="52" t="s">
        <v>172</v>
      </c>
      <c r="C362" s="53">
        <v>2001</v>
      </c>
      <c r="D362" s="52" t="s">
        <v>108</v>
      </c>
      <c r="E362" s="54">
        <v>8</v>
      </c>
      <c r="F362" s="55">
        <v>526.5</v>
      </c>
      <c r="G362" s="55">
        <v>136.80000000000001</v>
      </c>
    </row>
    <row r="363" spans="1:7" ht="10.050000000000001" customHeight="1">
      <c r="A363" s="52" t="s">
        <v>421</v>
      </c>
      <c r="B363" s="52" t="s">
        <v>172</v>
      </c>
      <c r="C363" s="53">
        <v>2001</v>
      </c>
      <c r="D363" s="52" t="s">
        <v>108</v>
      </c>
      <c r="E363" s="54">
        <v>9</v>
      </c>
      <c r="F363" s="55">
        <v>563.6</v>
      </c>
      <c r="G363" s="55">
        <v>3152.1</v>
      </c>
    </row>
    <row r="364" spans="1:7" ht="10.050000000000001" customHeight="1">
      <c r="A364" s="52" t="s">
        <v>421</v>
      </c>
      <c r="B364" s="52" t="s">
        <v>172</v>
      </c>
      <c r="C364" s="53">
        <v>2001</v>
      </c>
      <c r="D364" s="52" t="s">
        <v>108</v>
      </c>
      <c r="E364" s="54">
        <v>10</v>
      </c>
      <c r="F364" s="55">
        <v>855.5</v>
      </c>
      <c r="G364" s="55">
        <v>2328.8000000000002</v>
      </c>
    </row>
    <row r="365" spans="1:7" ht="10.050000000000001" customHeight="1">
      <c r="A365" s="52" t="s">
        <v>421</v>
      </c>
      <c r="B365" s="52" t="s">
        <v>172</v>
      </c>
      <c r="C365" s="53">
        <v>2001</v>
      </c>
      <c r="D365" s="52" t="s">
        <v>108</v>
      </c>
      <c r="E365" s="54">
        <v>11</v>
      </c>
      <c r="F365" s="55">
        <v>999.6</v>
      </c>
      <c r="G365" s="55">
        <v>1355.4</v>
      </c>
    </row>
    <row r="366" spans="1:7" ht="10.050000000000001" customHeight="1">
      <c r="A366" s="52" t="s">
        <v>421</v>
      </c>
      <c r="B366" s="52" t="s">
        <v>172</v>
      </c>
      <c r="C366" s="53">
        <v>2001</v>
      </c>
      <c r="D366" s="52" t="s">
        <v>108</v>
      </c>
      <c r="E366" s="54">
        <v>12</v>
      </c>
      <c r="F366" s="55">
        <v>421.3</v>
      </c>
      <c r="G366" s="55">
        <v>959.9</v>
      </c>
    </row>
    <row r="367" spans="1:7" ht="10.050000000000001" customHeight="1">
      <c r="A367" s="52" t="s">
        <v>421</v>
      </c>
      <c r="B367" s="52" t="s">
        <v>172</v>
      </c>
      <c r="C367" s="53">
        <v>2002</v>
      </c>
      <c r="D367" s="52" t="s">
        <v>108</v>
      </c>
      <c r="E367" s="54">
        <v>1</v>
      </c>
      <c r="F367" s="55">
        <v>513.29999999999995</v>
      </c>
      <c r="G367" s="55">
        <v>1827.8</v>
      </c>
    </row>
    <row r="368" spans="1:7" ht="10.050000000000001" customHeight="1">
      <c r="A368" s="52" t="s">
        <v>421</v>
      </c>
      <c r="B368" s="52" t="s">
        <v>172</v>
      </c>
      <c r="C368" s="53">
        <v>2002</v>
      </c>
      <c r="D368" s="52" t="s">
        <v>108</v>
      </c>
      <c r="E368" s="54">
        <v>2</v>
      </c>
      <c r="F368" s="55">
        <v>341.1</v>
      </c>
      <c r="G368" s="55">
        <v>2186.6999999999998</v>
      </c>
    </row>
    <row r="369" spans="1:7" ht="10.050000000000001" customHeight="1">
      <c r="A369" s="52" t="s">
        <v>421</v>
      </c>
      <c r="B369" s="52" t="s">
        <v>172</v>
      </c>
      <c r="C369" s="53">
        <v>2002</v>
      </c>
      <c r="D369" s="52" t="s">
        <v>108</v>
      </c>
      <c r="E369" s="54">
        <v>3</v>
      </c>
      <c r="F369" s="55">
        <v>360.8</v>
      </c>
      <c r="G369" s="55">
        <v>1975.8</v>
      </c>
    </row>
    <row r="370" spans="1:7" ht="10.050000000000001" customHeight="1">
      <c r="A370" s="52" t="s">
        <v>421</v>
      </c>
      <c r="B370" s="52" t="s">
        <v>172</v>
      </c>
      <c r="C370" s="53">
        <v>2002</v>
      </c>
      <c r="D370" s="52" t="s">
        <v>108</v>
      </c>
      <c r="E370" s="54">
        <v>4</v>
      </c>
      <c r="F370" s="55">
        <v>0</v>
      </c>
      <c r="G370" s="55">
        <v>1975.8</v>
      </c>
    </row>
    <row r="371" spans="1:7" ht="10.050000000000001" customHeight="1">
      <c r="A371" s="52" t="s">
        <v>421</v>
      </c>
      <c r="B371" s="52" t="s">
        <v>172</v>
      </c>
      <c r="C371" s="53">
        <v>2002</v>
      </c>
      <c r="D371" s="52" t="s">
        <v>108</v>
      </c>
      <c r="E371" s="54">
        <v>5</v>
      </c>
      <c r="F371" s="55">
        <v>145.19999999999999</v>
      </c>
      <c r="G371" s="55">
        <v>1835.6</v>
      </c>
    </row>
    <row r="372" spans="1:7" ht="10.050000000000001" customHeight="1">
      <c r="A372" s="52" t="s">
        <v>421</v>
      </c>
      <c r="B372" s="52" t="s">
        <v>172</v>
      </c>
      <c r="C372" s="53">
        <v>2002</v>
      </c>
      <c r="D372" s="52" t="s">
        <v>108</v>
      </c>
      <c r="E372" s="54">
        <v>6</v>
      </c>
      <c r="F372" s="55">
        <v>265.89999999999998</v>
      </c>
      <c r="G372" s="55">
        <v>1570.4</v>
      </c>
    </row>
    <row r="373" spans="1:7" ht="10.050000000000001" customHeight="1">
      <c r="A373" s="52" t="s">
        <v>421</v>
      </c>
      <c r="B373" s="52" t="s">
        <v>172</v>
      </c>
      <c r="C373" s="53">
        <v>2002</v>
      </c>
      <c r="D373" s="52" t="s">
        <v>109</v>
      </c>
      <c r="E373" s="54">
        <v>7</v>
      </c>
      <c r="F373" s="55">
        <v>141</v>
      </c>
      <c r="G373" s="55">
        <v>1462.3</v>
      </c>
    </row>
    <row r="374" spans="1:7" ht="10.050000000000001" customHeight="1">
      <c r="A374" s="52" t="s">
        <v>421</v>
      </c>
      <c r="B374" s="52" t="s">
        <v>172</v>
      </c>
      <c r="C374" s="53">
        <v>2002</v>
      </c>
      <c r="D374" s="52" t="s">
        <v>109</v>
      </c>
      <c r="E374" s="54">
        <v>8</v>
      </c>
      <c r="F374" s="55">
        <v>331.2</v>
      </c>
      <c r="G374" s="55">
        <v>1134.7</v>
      </c>
    </row>
    <row r="375" spans="1:7" ht="10.050000000000001" customHeight="1">
      <c r="A375" s="52" t="s">
        <v>421</v>
      </c>
      <c r="B375" s="52" t="s">
        <v>172</v>
      </c>
      <c r="C375" s="53">
        <v>2002</v>
      </c>
      <c r="D375" s="52" t="s">
        <v>109</v>
      </c>
      <c r="E375" s="54">
        <v>9</v>
      </c>
      <c r="F375" s="55">
        <v>564.6</v>
      </c>
      <c r="G375" s="55">
        <v>760.6</v>
      </c>
    </row>
    <row r="376" spans="1:7" ht="10.050000000000001" customHeight="1">
      <c r="A376" s="52" t="s">
        <v>421</v>
      </c>
      <c r="B376" s="52" t="s">
        <v>172</v>
      </c>
      <c r="C376" s="53">
        <v>2002</v>
      </c>
      <c r="D376" s="52" t="s">
        <v>109</v>
      </c>
      <c r="E376" s="54">
        <v>10</v>
      </c>
      <c r="F376" s="55">
        <v>478.8</v>
      </c>
      <c r="G376" s="55">
        <v>381.9</v>
      </c>
    </row>
    <row r="377" spans="1:7" ht="10.050000000000001" customHeight="1">
      <c r="A377" s="52" t="s">
        <v>421</v>
      </c>
      <c r="B377" s="52" t="s">
        <v>172</v>
      </c>
      <c r="C377" s="53">
        <v>2002</v>
      </c>
      <c r="D377" s="52" t="s">
        <v>109</v>
      </c>
      <c r="E377" s="54">
        <v>11</v>
      </c>
      <c r="F377" s="55">
        <v>259.10000000000002</v>
      </c>
      <c r="G377" s="55">
        <v>124.9</v>
      </c>
    </row>
    <row r="378" spans="1:7" ht="10.050000000000001" customHeight="1">
      <c r="A378" s="52" t="s">
        <v>421</v>
      </c>
      <c r="B378" s="52" t="s">
        <v>172</v>
      </c>
      <c r="C378" s="53">
        <v>2002</v>
      </c>
      <c r="D378" s="52" t="s">
        <v>109</v>
      </c>
      <c r="E378" s="54">
        <v>12</v>
      </c>
      <c r="F378" s="55">
        <v>112.5</v>
      </c>
      <c r="G378" s="55">
        <v>22.8</v>
      </c>
    </row>
    <row r="379" spans="1:7" ht="10.050000000000001" customHeight="1">
      <c r="A379" s="52" t="s">
        <v>421</v>
      </c>
      <c r="B379" s="52" t="s">
        <v>172</v>
      </c>
      <c r="C379" s="53">
        <v>2003</v>
      </c>
      <c r="D379" s="52" t="s">
        <v>109</v>
      </c>
      <c r="E379" s="54">
        <v>1</v>
      </c>
      <c r="F379" s="55">
        <v>19.399999999999999</v>
      </c>
      <c r="G379" s="55">
        <v>3.4</v>
      </c>
    </row>
    <row r="380" spans="1:7" ht="10.050000000000001" customHeight="1">
      <c r="A380" s="52" t="s">
        <v>421</v>
      </c>
      <c r="B380" s="52" t="s">
        <v>172</v>
      </c>
      <c r="C380" s="53">
        <v>2003</v>
      </c>
      <c r="D380" s="52" t="s">
        <v>109</v>
      </c>
      <c r="E380" s="54">
        <v>2</v>
      </c>
      <c r="F380" s="55">
        <v>5</v>
      </c>
      <c r="G380" s="55">
        <v>2.2000000000000002</v>
      </c>
    </row>
    <row r="381" spans="1:7" ht="10.050000000000001" customHeight="1">
      <c r="A381" s="52" t="s">
        <v>421</v>
      </c>
      <c r="B381" s="52" t="s">
        <v>172</v>
      </c>
      <c r="C381" s="53">
        <v>2003</v>
      </c>
      <c r="D381" s="52" t="s">
        <v>109</v>
      </c>
      <c r="E381" s="54">
        <v>3</v>
      </c>
      <c r="F381" s="55">
        <v>7</v>
      </c>
      <c r="G381" s="55">
        <v>18.600000000000001</v>
      </c>
    </row>
    <row r="382" spans="1:7" ht="10.050000000000001" customHeight="1">
      <c r="A382" s="52" t="s">
        <v>421</v>
      </c>
      <c r="B382" s="52" t="s">
        <v>172</v>
      </c>
      <c r="C382" s="53">
        <v>2003</v>
      </c>
      <c r="D382" s="52" t="s">
        <v>109</v>
      </c>
      <c r="E382" s="54">
        <v>4</v>
      </c>
      <c r="F382" s="55">
        <v>0</v>
      </c>
      <c r="G382" s="55">
        <v>18.600000000000001</v>
      </c>
    </row>
    <row r="383" spans="1:7" ht="10.050000000000001" customHeight="1">
      <c r="A383" s="52" t="s">
        <v>421</v>
      </c>
      <c r="B383" s="52" t="s">
        <v>172</v>
      </c>
      <c r="C383" s="53">
        <v>2003</v>
      </c>
      <c r="D383" s="52" t="s">
        <v>109</v>
      </c>
      <c r="E383" s="54">
        <v>5</v>
      </c>
      <c r="F383" s="55">
        <v>0</v>
      </c>
      <c r="G383" s="55">
        <v>18.600000000000001</v>
      </c>
    </row>
    <row r="384" spans="1:7" ht="10.050000000000001" customHeight="1">
      <c r="A384" s="52" t="s">
        <v>421</v>
      </c>
      <c r="B384" s="52" t="s">
        <v>172</v>
      </c>
      <c r="C384" s="53">
        <v>2003</v>
      </c>
      <c r="D384" s="52" t="s">
        <v>109</v>
      </c>
      <c r="E384" s="54">
        <v>6</v>
      </c>
      <c r="F384" s="55">
        <v>0</v>
      </c>
      <c r="G384" s="55">
        <v>18.600000000000001</v>
      </c>
    </row>
    <row r="385" spans="1:7" ht="10.050000000000001" customHeight="1">
      <c r="A385" s="52" t="s">
        <v>421</v>
      </c>
      <c r="B385" s="52" t="s">
        <v>172</v>
      </c>
      <c r="C385" s="53">
        <v>2003</v>
      </c>
      <c r="D385" s="52" t="s">
        <v>106</v>
      </c>
      <c r="E385" s="54">
        <v>7</v>
      </c>
      <c r="F385" s="55">
        <v>5</v>
      </c>
      <c r="G385" s="55">
        <v>13.6</v>
      </c>
    </row>
    <row r="386" spans="1:7" ht="10.050000000000001" customHeight="1">
      <c r="A386" s="52" t="s">
        <v>421</v>
      </c>
      <c r="B386" s="52" t="s">
        <v>172</v>
      </c>
      <c r="C386" s="53">
        <v>2003</v>
      </c>
      <c r="D386" s="52" t="s">
        <v>106</v>
      </c>
      <c r="E386" s="54">
        <v>8</v>
      </c>
      <c r="F386" s="55">
        <v>5</v>
      </c>
      <c r="G386" s="55">
        <v>8.6</v>
      </c>
    </row>
    <row r="387" spans="1:7" ht="10.050000000000001" customHeight="1">
      <c r="A387" s="52" t="s">
        <v>421</v>
      </c>
      <c r="B387" s="52" t="s">
        <v>172</v>
      </c>
      <c r="C387" s="53">
        <v>2003</v>
      </c>
      <c r="D387" s="52" t="s">
        <v>106</v>
      </c>
      <c r="E387" s="54">
        <v>9</v>
      </c>
      <c r="F387" s="55">
        <v>0</v>
      </c>
      <c r="G387" s="55">
        <v>8.6</v>
      </c>
    </row>
    <row r="388" spans="1:7" ht="10.050000000000001" customHeight="1">
      <c r="A388" s="52" t="s">
        <v>421</v>
      </c>
      <c r="B388" s="52" t="s">
        <v>172</v>
      </c>
      <c r="C388" s="53">
        <v>2003</v>
      </c>
      <c r="D388" s="52" t="s">
        <v>106</v>
      </c>
      <c r="E388" s="54">
        <v>10</v>
      </c>
      <c r="F388" s="55">
        <v>5</v>
      </c>
      <c r="G388" s="55">
        <v>3.6</v>
      </c>
    </row>
    <row r="389" spans="1:7" ht="10.050000000000001" customHeight="1">
      <c r="A389" s="52" t="s">
        <v>421</v>
      </c>
      <c r="B389" s="52" t="s">
        <v>172</v>
      </c>
      <c r="C389" s="53">
        <v>2003</v>
      </c>
      <c r="D389" s="52" t="s">
        <v>106</v>
      </c>
      <c r="E389" s="54">
        <v>11</v>
      </c>
      <c r="F389" s="55">
        <v>0</v>
      </c>
      <c r="G389" s="55">
        <v>3.6</v>
      </c>
    </row>
    <row r="390" spans="1:7" ht="10.050000000000001" customHeight="1">
      <c r="A390" s="52" t="s">
        <v>421</v>
      </c>
      <c r="B390" s="52" t="s">
        <v>172</v>
      </c>
      <c r="C390" s="53">
        <v>2003</v>
      </c>
      <c r="D390" s="52" t="s">
        <v>106</v>
      </c>
      <c r="E390" s="54">
        <v>12</v>
      </c>
      <c r="F390" s="55">
        <v>5</v>
      </c>
      <c r="G390" s="55">
        <v>8.6</v>
      </c>
    </row>
    <row r="391" spans="1:7" ht="10.050000000000001" customHeight="1">
      <c r="A391" s="52" t="s">
        <v>421</v>
      </c>
      <c r="B391" s="52" t="s">
        <v>172</v>
      </c>
      <c r="C391" s="53">
        <v>2004</v>
      </c>
      <c r="D391" s="52" t="s">
        <v>106</v>
      </c>
      <c r="E391" s="54">
        <v>1</v>
      </c>
      <c r="F391" s="55">
        <v>0</v>
      </c>
      <c r="G391" s="55">
        <v>8.6</v>
      </c>
    </row>
    <row r="392" spans="1:7" ht="10.050000000000001" customHeight="1">
      <c r="A392" s="52" t="s">
        <v>421</v>
      </c>
      <c r="B392" s="52" t="s">
        <v>172</v>
      </c>
      <c r="C392" s="53">
        <v>2004</v>
      </c>
      <c r="D392" s="52" t="s">
        <v>106</v>
      </c>
      <c r="E392" s="54">
        <v>2</v>
      </c>
      <c r="F392" s="55">
        <v>5</v>
      </c>
      <c r="G392" s="55">
        <v>3.6</v>
      </c>
    </row>
    <row r="393" spans="1:7" ht="10.050000000000001" customHeight="1">
      <c r="A393" s="52" t="s">
        <v>421</v>
      </c>
      <c r="B393" s="52" t="s">
        <v>172</v>
      </c>
      <c r="C393" s="53">
        <v>2004</v>
      </c>
      <c r="D393" s="52" t="s">
        <v>106</v>
      </c>
      <c r="E393" s="54">
        <v>3</v>
      </c>
      <c r="F393" s="55">
        <v>12</v>
      </c>
      <c r="G393" s="55">
        <v>38.299999999999997</v>
      </c>
    </row>
    <row r="394" spans="1:7" ht="10.050000000000001" customHeight="1">
      <c r="A394" s="52" t="s">
        <v>421</v>
      </c>
      <c r="B394" s="52" t="s">
        <v>172</v>
      </c>
      <c r="C394" s="53">
        <v>2004</v>
      </c>
      <c r="D394" s="52" t="s">
        <v>106</v>
      </c>
      <c r="E394" s="54">
        <v>4</v>
      </c>
      <c r="F394" s="55">
        <v>400.5</v>
      </c>
      <c r="G394" s="55">
        <v>292.39999999999998</v>
      </c>
    </row>
    <row r="395" spans="1:7" ht="10.050000000000001" customHeight="1">
      <c r="A395" s="52" t="s">
        <v>421</v>
      </c>
      <c r="B395" s="52" t="s">
        <v>172</v>
      </c>
      <c r="C395" s="53">
        <v>2004</v>
      </c>
      <c r="D395" s="52" t="s">
        <v>106</v>
      </c>
      <c r="E395" s="54">
        <v>5</v>
      </c>
      <c r="F395" s="55">
        <v>366.8</v>
      </c>
      <c r="G395" s="55">
        <v>228.5</v>
      </c>
    </row>
    <row r="396" spans="1:7" ht="10.050000000000001" customHeight="1">
      <c r="A396" s="52" t="s">
        <v>421</v>
      </c>
      <c r="B396" s="52" t="s">
        <v>172</v>
      </c>
      <c r="C396" s="53">
        <v>2004</v>
      </c>
      <c r="D396" s="52" t="s">
        <v>106</v>
      </c>
      <c r="E396" s="54">
        <v>6</v>
      </c>
      <c r="F396" s="55">
        <v>450.7</v>
      </c>
      <c r="G396" s="55">
        <v>215.1</v>
      </c>
    </row>
    <row r="397" spans="1:7" ht="10.050000000000001" customHeight="1">
      <c r="A397" s="52" t="s">
        <v>421</v>
      </c>
      <c r="B397" s="52" t="s">
        <v>172</v>
      </c>
      <c r="C397" s="53">
        <v>2004</v>
      </c>
      <c r="D397" s="52" t="s">
        <v>110</v>
      </c>
      <c r="E397" s="54">
        <v>7</v>
      </c>
      <c r="F397" s="55">
        <v>535.6</v>
      </c>
      <c r="G397" s="55">
        <v>45.3</v>
      </c>
    </row>
    <row r="398" spans="1:7" ht="10.050000000000001" customHeight="1">
      <c r="A398" s="52" t="s">
        <v>421</v>
      </c>
      <c r="B398" s="52" t="s">
        <v>172</v>
      </c>
      <c r="C398" s="53">
        <v>2004</v>
      </c>
      <c r="D398" s="52" t="s">
        <v>110</v>
      </c>
      <c r="E398" s="54">
        <v>8</v>
      </c>
      <c r="F398" s="55">
        <v>34</v>
      </c>
      <c r="G398" s="55">
        <v>11.3</v>
      </c>
    </row>
    <row r="399" spans="1:7" ht="10.050000000000001" customHeight="1">
      <c r="A399" s="52" t="s">
        <v>421</v>
      </c>
      <c r="B399" s="52" t="s">
        <v>172</v>
      </c>
      <c r="C399" s="53">
        <v>2004</v>
      </c>
      <c r="D399" s="52" t="s">
        <v>110</v>
      </c>
      <c r="E399" s="54">
        <v>9</v>
      </c>
      <c r="F399" s="55">
        <v>5</v>
      </c>
      <c r="G399" s="55">
        <v>6.3</v>
      </c>
    </row>
    <row r="400" spans="1:7" ht="10.050000000000001" customHeight="1">
      <c r="A400" s="52" t="s">
        <v>421</v>
      </c>
      <c r="B400" s="52" t="s">
        <v>172</v>
      </c>
      <c r="C400" s="53">
        <v>2004</v>
      </c>
      <c r="D400" s="52" t="s">
        <v>110</v>
      </c>
      <c r="E400" s="54">
        <v>10</v>
      </c>
      <c r="F400" s="55">
        <v>6.3</v>
      </c>
      <c r="G400" s="55">
        <v>0</v>
      </c>
    </row>
    <row r="401" spans="1:7" ht="10.050000000000001" customHeight="1">
      <c r="A401" s="52" t="s">
        <v>421</v>
      </c>
      <c r="B401" s="52" t="s">
        <v>172</v>
      </c>
      <c r="C401" s="53">
        <v>2004</v>
      </c>
      <c r="D401" s="52" t="s">
        <v>110</v>
      </c>
      <c r="E401" s="54">
        <v>11</v>
      </c>
      <c r="F401" s="55">
        <v>5</v>
      </c>
      <c r="G401" s="55">
        <v>5</v>
      </c>
    </row>
    <row r="402" spans="1:7" ht="10.050000000000001" customHeight="1">
      <c r="A402" s="52" t="s">
        <v>421</v>
      </c>
      <c r="B402" s="52" t="s">
        <v>172</v>
      </c>
      <c r="C402" s="53">
        <v>2004</v>
      </c>
      <c r="D402" s="52" t="s">
        <v>110</v>
      </c>
      <c r="E402" s="54">
        <v>12</v>
      </c>
      <c r="F402" s="55">
        <v>0</v>
      </c>
      <c r="G402" s="55">
        <v>5</v>
      </c>
    </row>
    <row r="403" spans="1:7" ht="10.050000000000001" customHeight="1">
      <c r="A403" s="52" t="s">
        <v>421</v>
      </c>
      <c r="B403" s="52" t="s">
        <v>172</v>
      </c>
      <c r="C403" s="53">
        <v>2005</v>
      </c>
      <c r="D403" s="52" t="s">
        <v>110</v>
      </c>
      <c r="E403" s="54">
        <v>1</v>
      </c>
      <c r="F403" s="55">
        <v>0</v>
      </c>
      <c r="G403" s="55">
        <v>5</v>
      </c>
    </row>
    <row r="404" spans="1:7" ht="10.050000000000001" customHeight="1">
      <c r="A404" s="52" t="s">
        <v>421</v>
      </c>
      <c r="B404" s="52" t="s">
        <v>172</v>
      </c>
      <c r="C404" s="53">
        <v>2005</v>
      </c>
      <c r="D404" s="52" t="s">
        <v>110</v>
      </c>
      <c r="E404" s="54">
        <v>2</v>
      </c>
      <c r="F404" s="55">
        <v>0</v>
      </c>
      <c r="G404" s="55">
        <v>5</v>
      </c>
    </row>
    <row r="405" spans="1:7" ht="10.050000000000001" customHeight="1">
      <c r="A405" s="52" t="s">
        <v>421</v>
      </c>
      <c r="B405" s="52" t="s">
        <v>172</v>
      </c>
      <c r="C405" s="53">
        <v>2005</v>
      </c>
      <c r="D405" s="52" t="s">
        <v>110</v>
      </c>
      <c r="E405" s="54">
        <v>3</v>
      </c>
      <c r="F405" s="55">
        <v>15</v>
      </c>
      <c r="G405" s="55">
        <v>0</v>
      </c>
    </row>
    <row r="406" spans="1:7" ht="10.050000000000001" customHeight="1">
      <c r="A406" s="52" t="s">
        <v>421</v>
      </c>
      <c r="B406" s="52" t="s">
        <v>172</v>
      </c>
      <c r="C406" s="53">
        <v>2005</v>
      </c>
      <c r="D406" s="52" t="s">
        <v>110</v>
      </c>
      <c r="E406" s="54">
        <v>4</v>
      </c>
      <c r="F406" s="55">
        <v>15</v>
      </c>
      <c r="G406" s="55">
        <v>7</v>
      </c>
    </row>
    <row r="407" spans="1:7" ht="10.050000000000001" customHeight="1">
      <c r="A407" s="52" t="s">
        <v>421</v>
      </c>
      <c r="B407" s="52" t="s">
        <v>172</v>
      </c>
      <c r="C407" s="53">
        <v>2005</v>
      </c>
      <c r="D407" s="52" t="s">
        <v>110</v>
      </c>
      <c r="E407" s="54">
        <v>5</v>
      </c>
      <c r="F407" s="55">
        <v>0</v>
      </c>
      <c r="G407" s="55">
        <v>7</v>
      </c>
    </row>
    <row r="408" spans="1:7" ht="10.050000000000001" customHeight="1">
      <c r="A408" s="52" t="s">
        <v>421</v>
      </c>
      <c r="B408" s="52" t="s">
        <v>172</v>
      </c>
      <c r="C408" s="53">
        <v>2005</v>
      </c>
      <c r="D408" s="52" t="s">
        <v>110</v>
      </c>
      <c r="E408" s="54">
        <v>6</v>
      </c>
      <c r="F408" s="55">
        <v>6</v>
      </c>
      <c r="G408" s="55">
        <v>21.6</v>
      </c>
    </row>
    <row r="409" spans="1:7" ht="10.050000000000001" customHeight="1">
      <c r="A409" s="52" t="s">
        <v>421</v>
      </c>
      <c r="B409" s="52" t="s">
        <v>172</v>
      </c>
      <c r="C409" s="53">
        <v>2005</v>
      </c>
      <c r="D409" s="52" t="s">
        <v>111</v>
      </c>
      <c r="E409" s="54">
        <v>7</v>
      </c>
      <c r="F409" s="55">
        <v>0</v>
      </c>
      <c r="G409" s="55">
        <v>15.6</v>
      </c>
    </row>
    <row r="410" spans="1:7" ht="10.050000000000001" customHeight="1">
      <c r="A410" s="52" t="s">
        <v>421</v>
      </c>
      <c r="B410" s="52" t="s">
        <v>172</v>
      </c>
      <c r="C410" s="53">
        <v>2005</v>
      </c>
      <c r="D410" s="52" t="s">
        <v>111</v>
      </c>
      <c r="E410" s="54">
        <v>8</v>
      </c>
      <c r="F410" s="55">
        <v>5</v>
      </c>
      <c r="G410" s="55">
        <v>10.6</v>
      </c>
    </row>
    <row r="411" spans="1:7" ht="10.050000000000001" customHeight="1">
      <c r="A411" s="52" t="s">
        <v>421</v>
      </c>
      <c r="B411" s="52" t="s">
        <v>172</v>
      </c>
      <c r="C411" s="53">
        <v>2005</v>
      </c>
      <c r="D411" s="52" t="s">
        <v>111</v>
      </c>
      <c r="E411" s="54">
        <v>9</v>
      </c>
      <c r="F411" s="55">
        <v>6</v>
      </c>
      <c r="G411" s="55">
        <v>4.5999999999999996</v>
      </c>
    </row>
    <row r="412" spans="1:7" ht="10.050000000000001" customHeight="1">
      <c r="A412" s="52" t="s">
        <v>421</v>
      </c>
      <c r="B412" s="52" t="s">
        <v>172</v>
      </c>
      <c r="C412" s="53">
        <v>2005</v>
      </c>
      <c r="D412" s="52" t="s">
        <v>111</v>
      </c>
      <c r="E412" s="54">
        <v>10</v>
      </c>
      <c r="F412" s="55">
        <v>8</v>
      </c>
      <c r="G412" s="55">
        <v>29.6</v>
      </c>
    </row>
    <row r="413" spans="1:7" ht="10.050000000000001" customHeight="1">
      <c r="A413" s="52" t="s">
        <v>421</v>
      </c>
      <c r="B413" s="52" t="s">
        <v>172</v>
      </c>
      <c r="C413" s="53">
        <v>2005</v>
      </c>
      <c r="D413" s="52" t="s">
        <v>111</v>
      </c>
      <c r="E413" s="54">
        <v>11</v>
      </c>
      <c r="F413" s="55">
        <v>0</v>
      </c>
      <c r="G413" s="55">
        <v>29.6</v>
      </c>
    </row>
    <row r="414" spans="1:7" ht="10.050000000000001" customHeight="1">
      <c r="A414" s="52" t="s">
        <v>421</v>
      </c>
      <c r="B414" s="52" t="s">
        <v>172</v>
      </c>
      <c r="C414" s="53">
        <v>2005</v>
      </c>
      <c r="D414" s="52" t="s">
        <v>111</v>
      </c>
      <c r="E414" s="54">
        <v>12</v>
      </c>
      <c r="F414" s="55">
        <v>0</v>
      </c>
      <c r="G414" s="55">
        <v>29.6</v>
      </c>
    </row>
    <row r="415" spans="1:7" ht="10.050000000000001" customHeight="1">
      <c r="A415" s="52" t="s">
        <v>421</v>
      </c>
      <c r="B415" s="52" t="s">
        <v>172</v>
      </c>
      <c r="C415" s="53">
        <v>2006</v>
      </c>
      <c r="D415" s="52" t="s">
        <v>111</v>
      </c>
      <c r="E415" s="54">
        <v>1</v>
      </c>
      <c r="F415" s="55">
        <v>0</v>
      </c>
      <c r="G415" s="55">
        <v>29.6</v>
      </c>
    </row>
    <row r="416" spans="1:7" ht="10.050000000000001" customHeight="1">
      <c r="A416" s="52" t="s">
        <v>421</v>
      </c>
      <c r="B416" s="52" t="s">
        <v>172</v>
      </c>
      <c r="C416" s="53">
        <v>2006</v>
      </c>
      <c r="D416" s="52" t="s">
        <v>111</v>
      </c>
      <c r="E416" s="54">
        <v>2</v>
      </c>
      <c r="F416" s="55">
        <v>38.4</v>
      </c>
      <c r="G416" s="55">
        <v>44.5</v>
      </c>
    </row>
    <row r="417" spans="1:7" ht="10.050000000000001" customHeight="1">
      <c r="A417" s="52" t="s">
        <v>421</v>
      </c>
      <c r="B417" s="52" t="s">
        <v>172</v>
      </c>
      <c r="C417" s="53">
        <v>2006</v>
      </c>
      <c r="D417" s="52" t="s">
        <v>111</v>
      </c>
      <c r="E417" s="54">
        <v>3</v>
      </c>
      <c r="F417" s="55">
        <v>219.2</v>
      </c>
      <c r="G417" s="55">
        <v>76.8</v>
      </c>
    </row>
    <row r="418" spans="1:7" ht="10.050000000000001" customHeight="1">
      <c r="A418" s="52" t="s">
        <v>421</v>
      </c>
      <c r="B418" s="52" t="s">
        <v>172</v>
      </c>
      <c r="C418" s="53">
        <v>2006</v>
      </c>
      <c r="D418" s="52" t="s">
        <v>111</v>
      </c>
      <c r="E418" s="54">
        <v>4</v>
      </c>
      <c r="F418" s="55">
        <v>241.9</v>
      </c>
      <c r="G418" s="55">
        <v>49.7</v>
      </c>
    </row>
    <row r="419" spans="1:7" ht="10.050000000000001" customHeight="1">
      <c r="A419" s="52" t="s">
        <v>421</v>
      </c>
      <c r="B419" s="52" t="s">
        <v>172</v>
      </c>
      <c r="C419" s="53">
        <v>2006</v>
      </c>
      <c r="D419" s="52" t="s">
        <v>111</v>
      </c>
      <c r="E419" s="54">
        <v>5</v>
      </c>
      <c r="F419" s="55">
        <v>304</v>
      </c>
      <c r="G419" s="55">
        <v>10.8</v>
      </c>
    </row>
    <row r="420" spans="1:7" ht="10.050000000000001" customHeight="1">
      <c r="A420" s="52" t="s">
        <v>421</v>
      </c>
      <c r="B420" s="52" t="s">
        <v>172</v>
      </c>
      <c r="C420" s="53">
        <v>2006</v>
      </c>
      <c r="D420" s="52" t="s">
        <v>111</v>
      </c>
      <c r="E420" s="54">
        <v>6</v>
      </c>
      <c r="F420" s="55">
        <v>0</v>
      </c>
      <c r="G420" s="55">
        <v>24.5</v>
      </c>
    </row>
    <row r="421" spans="1:7" ht="10.050000000000001" customHeight="1">
      <c r="A421" s="52" t="s">
        <v>421</v>
      </c>
      <c r="B421" s="52" t="s">
        <v>172</v>
      </c>
      <c r="C421" s="53">
        <v>2006</v>
      </c>
      <c r="D421" s="52" t="s">
        <v>112</v>
      </c>
      <c r="E421" s="54">
        <v>7</v>
      </c>
      <c r="F421" s="55">
        <v>8</v>
      </c>
      <c r="G421" s="55">
        <v>16.5</v>
      </c>
    </row>
    <row r="422" spans="1:7" ht="10.050000000000001" customHeight="1">
      <c r="A422" s="52" t="s">
        <v>421</v>
      </c>
      <c r="B422" s="52" t="s">
        <v>172</v>
      </c>
      <c r="C422" s="53">
        <v>2006</v>
      </c>
      <c r="D422" s="52" t="s">
        <v>112</v>
      </c>
      <c r="E422" s="54">
        <v>8</v>
      </c>
      <c r="F422" s="55">
        <v>0</v>
      </c>
      <c r="G422" s="55">
        <v>16.5</v>
      </c>
    </row>
    <row r="423" spans="1:7" ht="10.050000000000001" customHeight="1">
      <c r="A423" s="52" t="s">
        <v>421</v>
      </c>
      <c r="B423" s="52" t="s">
        <v>172</v>
      </c>
      <c r="C423" s="53">
        <v>2006</v>
      </c>
      <c r="D423" s="52" t="s">
        <v>112</v>
      </c>
      <c r="E423" s="54">
        <v>9</v>
      </c>
      <c r="F423" s="55">
        <v>0</v>
      </c>
      <c r="G423" s="55">
        <v>16.5</v>
      </c>
    </row>
    <row r="424" spans="1:7" ht="10.050000000000001" customHeight="1">
      <c r="A424" s="52" t="s">
        <v>421</v>
      </c>
      <c r="B424" s="52" t="s">
        <v>172</v>
      </c>
      <c r="C424" s="53">
        <v>2006</v>
      </c>
      <c r="D424" s="52" t="s">
        <v>112</v>
      </c>
      <c r="E424" s="54">
        <v>10</v>
      </c>
      <c r="F424" s="55">
        <v>31</v>
      </c>
      <c r="G424" s="55">
        <v>52.5</v>
      </c>
    </row>
    <row r="425" spans="1:7" ht="10.050000000000001" customHeight="1">
      <c r="A425" s="52" t="s">
        <v>421</v>
      </c>
      <c r="B425" s="52" t="s">
        <v>172</v>
      </c>
      <c r="C425" s="53">
        <v>2006</v>
      </c>
      <c r="D425" s="52" t="s">
        <v>112</v>
      </c>
      <c r="E425" s="54">
        <v>11</v>
      </c>
      <c r="F425" s="55">
        <v>44</v>
      </c>
      <c r="G425" s="55">
        <v>8.5</v>
      </c>
    </row>
    <row r="426" spans="1:7" ht="10.050000000000001" customHeight="1">
      <c r="A426" s="52" t="s">
        <v>421</v>
      </c>
      <c r="B426" s="52" t="s">
        <v>172</v>
      </c>
      <c r="C426" s="53">
        <v>2006</v>
      </c>
      <c r="D426" s="52" t="s">
        <v>112</v>
      </c>
      <c r="E426" s="54">
        <v>12</v>
      </c>
      <c r="F426" s="55">
        <v>0</v>
      </c>
      <c r="G426" s="55">
        <v>30.3</v>
      </c>
    </row>
    <row r="427" spans="1:7" ht="10.050000000000001" customHeight="1">
      <c r="A427" s="52" t="s">
        <v>421</v>
      </c>
      <c r="B427" s="52" t="s">
        <v>172</v>
      </c>
      <c r="C427" s="53">
        <v>2007</v>
      </c>
      <c r="D427" s="52" t="s">
        <v>112</v>
      </c>
      <c r="E427" s="54">
        <v>1</v>
      </c>
      <c r="F427" s="55">
        <v>0</v>
      </c>
      <c r="G427" s="55">
        <v>30.3</v>
      </c>
    </row>
    <row r="428" spans="1:7" ht="10.050000000000001" customHeight="1">
      <c r="A428" s="52" t="s">
        <v>421</v>
      </c>
      <c r="B428" s="52" t="s">
        <v>172</v>
      </c>
      <c r="C428" s="53">
        <v>2007</v>
      </c>
      <c r="D428" s="52" t="s">
        <v>112</v>
      </c>
      <c r="E428" s="54">
        <v>2</v>
      </c>
      <c r="F428" s="55">
        <v>59</v>
      </c>
      <c r="G428" s="55">
        <v>20.3</v>
      </c>
    </row>
    <row r="429" spans="1:7" ht="10.050000000000001" customHeight="1">
      <c r="A429" s="52" t="s">
        <v>421</v>
      </c>
      <c r="B429" s="52" t="s">
        <v>172</v>
      </c>
      <c r="C429" s="53">
        <v>2007</v>
      </c>
      <c r="D429" s="52" t="s">
        <v>112</v>
      </c>
      <c r="E429" s="54">
        <v>3</v>
      </c>
      <c r="F429" s="55">
        <v>18</v>
      </c>
      <c r="G429" s="55">
        <v>5.3</v>
      </c>
    </row>
    <row r="430" spans="1:7" ht="10.050000000000001" customHeight="1">
      <c r="A430" s="52" t="s">
        <v>421</v>
      </c>
      <c r="B430" s="52" t="s">
        <v>172</v>
      </c>
      <c r="C430" s="53">
        <v>2007</v>
      </c>
      <c r="D430" s="52" t="s">
        <v>112</v>
      </c>
      <c r="E430" s="54">
        <v>4</v>
      </c>
      <c r="F430" s="55">
        <v>0</v>
      </c>
      <c r="G430" s="55">
        <v>5.3</v>
      </c>
    </row>
    <row r="431" spans="1:7" ht="10.050000000000001" customHeight="1">
      <c r="A431" s="52" t="s">
        <v>421</v>
      </c>
      <c r="B431" s="52" t="s">
        <v>172</v>
      </c>
      <c r="C431" s="53">
        <v>2007</v>
      </c>
      <c r="D431" s="52" t="s">
        <v>112</v>
      </c>
      <c r="E431" s="54">
        <v>5</v>
      </c>
      <c r="F431" s="55">
        <v>0</v>
      </c>
      <c r="G431" s="55">
        <v>5.3</v>
      </c>
    </row>
    <row r="432" spans="1:7" ht="10.050000000000001" customHeight="1">
      <c r="A432" s="52" t="s">
        <v>421</v>
      </c>
      <c r="B432" s="52" t="s">
        <v>172</v>
      </c>
      <c r="C432" s="53">
        <v>2007</v>
      </c>
      <c r="D432" s="52" t="s">
        <v>112</v>
      </c>
      <c r="E432" s="54">
        <v>6</v>
      </c>
      <c r="F432" s="55">
        <v>10</v>
      </c>
      <c r="G432" s="55">
        <v>19.399999999999999</v>
      </c>
    </row>
    <row r="433" spans="1:7" ht="10.050000000000001" customHeight="1">
      <c r="A433" s="52" t="s">
        <v>421</v>
      </c>
      <c r="B433" s="52" t="s">
        <v>172</v>
      </c>
      <c r="C433" s="53">
        <v>2007</v>
      </c>
      <c r="D433" s="52" t="s">
        <v>113</v>
      </c>
      <c r="E433" s="54">
        <v>7</v>
      </c>
      <c r="F433" s="55">
        <v>0</v>
      </c>
      <c r="G433" s="55">
        <v>19.399999999999999</v>
      </c>
    </row>
    <row r="434" spans="1:7" ht="10.050000000000001" customHeight="1">
      <c r="A434" s="52" t="s">
        <v>421</v>
      </c>
      <c r="B434" s="52" t="s">
        <v>172</v>
      </c>
      <c r="C434" s="53">
        <v>2007</v>
      </c>
      <c r="D434" s="52" t="s">
        <v>113</v>
      </c>
      <c r="E434" s="54">
        <v>8</v>
      </c>
      <c r="F434" s="55">
        <v>10</v>
      </c>
      <c r="G434" s="55">
        <v>103.9</v>
      </c>
    </row>
    <row r="435" spans="1:7" ht="10.050000000000001" customHeight="1">
      <c r="A435" s="52" t="s">
        <v>421</v>
      </c>
      <c r="B435" s="52" t="s">
        <v>172</v>
      </c>
      <c r="C435" s="53">
        <v>2007</v>
      </c>
      <c r="D435" s="52" t="s">
        <v>113</v>
      </c>
      <c r="E435" s="54">
        <v>9</v>
      </c>
      <c r="F435" s="55">
        <v>110</v>
      </c>
      <c r="G435" s="55">
        <v>104.6</v>
      </c>
    </row>
    <row r="436" spans="1:7" ht="10.050000000000001" customHeight="1">
      <c r="A436" s="52" t="s">
        <v>421</v>
      </c>
      <c r="B436" s="52" t="s">
        <v>172</v>
      </c>
      <c r="C436" s="53">
        <v>2007</v>
      </c>
      <c r="D436" s="52" t="s">
        <v>113</v>
      </c>
      <c r="E436" s="54">
        <v>10</v>
      </c>
      <c r="F436" s="55">
        <v>55</v>
      </c>
      <c r="G436" s="55">
        <v>189.4</v>
      </c>
    </row>
    <row r="437" spans="1:7" ht="10.050000000000001" customHeight="1">
      <c r="A437" s="52" t="s">
        <v>421</v>
      </c>
      <c r="B437" s="52" t="s">
        <v>172</v>
      </c>
      <c r="C437" s="53">
        <v>2007</v>
      </c>
      <c r="D437" s="52" t="s">
        <v>113</v>
      </c>
      <c r="E437" s="54">
        <v>11</v>
      </c>
      <c r="F437" s="55">
        <v>10</v>
      </c>
      <c r="G437" s="55">
        <v>11.3</v>
      </c>
    </row>
    <row r="438" spans="1:7" ht="10.050000000000001" customHeight="1">
      <c r="A438" s="52" t="s">
        <v>421</v>
      </c>
      <c r="B438" s="52" t="s">
        <v>172</v>
      </c>
      <c r="C438" s="53">
        <v>2007</v>
      </c>
      <c r="D438" s="52" t="s">
        <v>113</v>
      </c>
      <c r="E438" s="54">
        <v>12</v>
      </c>
      <c r="F438" s="55">
        <v>47.9</v>
      </c>
      <c r="G438" s="55">
        <v>43.5</v>
      </c>
    </row>
    <row r="439" spans="1:7" ht="10.050000000000001" customHeight="1">
      <c r="A439" s="52" t="s">
        <v>421</v>
      </c>
      <c r="B439" s="52" t="s">
        <v>172</v>
      </c>
      <c r="C439" s="53">
        <v>2008</v>
      </c>
      <c r="D439" s="52" t="s">
        <v>113</v>
      </c>
      <c r="E439" s="54">
        <v>1</v>
      </c>
      <c r="F439" s="55">
        <v>50.2</v>
      </c>
      <c r="G439" s="55">
        <v>46.4</v>
      </c>
    </row>
    <row r="440" spans="1:7" ht="10.050000000000001" customHeight="1">
      <c r="A440" s="52" t="s">
        <v>421</v>
      </c>
      <c r="B440" s="52" t="s">
        <v>172</v>
      </c>
      <c r="C440" s="53">
        <v>2008</v>
      </c>
      <c r="D440" s="52" t="s">
        <v>113</v>
      </c>
      <c r="E440" s="54">
        <v>2</v>
      </c>
      <c r="F440" s="55">
        <v>43</v>
      </c>
      <c r="G440" s="55">
        <v>29.7</v>
      </c>
    </row>
    <row r="441" spans="1:7" ht="10.050000000000001" customHeight="1">
      <c r="A441" s="52" t="s">
        <v>421</v>
      </c>
      <c r="B441" s="52" t="s">
        <v>172</v>
      </c>
      <c r="C441" s="53">
        <v>2008</v>
      </c>
      <c r="D441" s="52" t="s">
        <v>113</v>
      </c>
      <c r="E441" s="54">
        <v>3</v>
      </c>
      <c r="F441" s="55">
        <v>50.8</v>
      </c>
      <c r="G441" s="55">
        <v>31.8</v>
      </c>
    </row>
    <row r="442" spans="1:7" ht="10.050000000000001" customHeight="1">
      <c r="A442" s="52" t="s">
        <v>421</v>
      </c>
      <c r="B442" s="52" t="s">
        <v>172</v>
      </c>
      <c r="C442" s="53">
        <v>2008</v>
      </c>
      <c r="D442" s="52" t="s">
        <v>113</v>
      </c>
      <c r="E442" s="54">
        <v>4</v>
      </c>
      <c r="F442" s="55">
        <v>46.8</v>
      </c>
      <c r="G442" s="55">
        <v>50.4</v>
      </c>
    </row>
    <row r="443" spans="1:7" ht="10.050000000000001" customHeight="1">
      <c r="A443" s="52" t="s">
        <v>421</v>
      </c>
      <c r="B443" s="52" t="s">
        <v>172</v>
      </c>
      <c r="C443" s="53">
        <v>2008</v>
      </c>
      <c r="D443" s="52" t="s">
        <v>113</v>
      </c>
      <c r="E443" s="54">
        <v>5</v>
      </c>
      <c r="F443" s="55">
        <v>24.5</v>
      </c>
      <c r="G443" s="55">
        <v>53</v>
      </c>
    </row>
    <row r="444" spans="1:7" ht="10.050000000000001" customHeight="1">
      <c r="A444" s="52" t="s">
        <v>421</v>
      </c>
      <c r="B444" s="52" t="s">
        <v>172</v>
      </c>
      <c r="C444" s="53">
        <v>2008</v>
      </c>
      <c r="D444" s="52" t="s">
        <v>113</v>
      </c>
      <c r="E444" s="54">
        <v>6</v>
      </c>
      <c r="F444" s="55">
        <v>0</v>
      </c>
      <c r="G444" s="55">
        <v>53</v>
      </c>
    </row>
    <row r="445" spans="1:7" ht="10.050000000000001" customHeight="1">
      <c r="A445" s="52" t="s">
        <v>421</v>
      </c>
      <c r="B445" s="52" t="s">
        <v>172</v>
      </c>
      <c r="C445" s="53">
        <v>2008</v>
      </c>
      <c r="D445" s="52" t="s">
        <v>107</v>
      </c>
      <c r="E445" s="54">
        <v>7</v>
      </c>
      <c r="F445" s="55">
        <v>10</v>
      </c>
      <c r="G445" s="55">
        <v>43</v>
      </c>
    </row>
    <row r="446" spans="1:7" ht="10.050000000000001" customHeight="1">
      <c r="A446" s="52" t="s">
        <v>421</v>
      </c>
      <c r="B446" s="52" t="s">
        <v>172</v>
      </c>
      <c r="C446" s="53">
        <v>2008</v>
      </c>
      <c r="D446" s="52" t="s">
        <v>107</v>
      </c>
      <c r="E446" s="54">
        <v>8</v>
      </c>
      <c r="F446" s="55">
        <v>0</v>
      </c>
      <c r="G446" s="55">
        <v>43</v>
      </c>
    </row>
    <row r="447" spans="1:7" ht="10.050000000000001" customHeight="1">
      <c r="A447" s="52" t="s">
        <v>421</v>
      </c>
      <c r="B447" s="52" t="s">
        <v>172</v>
      </c>
      <c r="C447" s="53">
        <v>2008</v>
      </c>
      <c r="D447" s="52" t="s">
        <v>107</v>
      </c>
      <c r="E447" s="54">
        <v>9</v>
      </c>
      <c r="F447" s="55">
        <v>10</v>
      </c>
      <c r="G447" s="55">
        <v>33</v>
      </c>
    </row>
    <row r="448" spans="1:7" ht="10.050000000000001" customHeight="1">
      <c r="A448" s="52" t="s">
        <v>421</v>
      </c>
      <c r="B448" s="52" t="s">
        <v>172</v>
      </c>
      <c r="C448" s="53">
        <v>2008</v>
      </c>
      <c r="D448" s="52" t="s">
        <v>107</v>
      </c>
      <c r="E448" s="54">
        <v>10</v>
      </c>
      <c r="F448" s="55">
        <v>0</v>
      </c>
      <c r="G448" s="55">
        <v>33</v>
      </c>
    </row>
    <row r="449" spans="1:7" ht="10.050000000000001" customHeight="1">
      <c r="A449" s="52" t="s">
        <v>421</v>
      </c>
      <c r="B449" s="52" t="s">
        <v>172</v>
      </c>
      <c r="C449" s="53">
        <v>2008</v>
      </c>
      <c r="D449" s="52" t="s">
        <v>107</v>
      </c>
      <c r="E449" s="54">
        <v>11</v>
      </c>
      <c r="F449" s="55">
        <v>91.6</v>
      </c>
      <c r="G449" s="55">
        <v>33</v>
      </c>
    </row>
    <row r="450" spans="1:7" ht="10.050000000000001" customHeight="1">
      <c r="A450" s="52" t="s">
        <v>421</v>
      </c>
      <c r="B450" s="52" t="s">
        <v>172</v>
      </c>
      <c r="C450" s="53">
        <v>2008</v>
      </c>
      <c r="D450" s="52" t="s">
        <v>107</v>
      </c>
      <c r="E450" s="54">
        <v>12</v>
      </c>
      <c r="F450" s="55">
        <v>9</v>
      </c>
      <c r="G450" s="55">
        <v>24</v>
      </c>
    </row>
    <row r="451" spans="1:7" ht="10.050000000000001" customHeight="1">
      <c r="A451" s="52" t="s">
        <v>421</v>
      </c>
      <c r="B451" s="52" t="s">
        <v>172</v>
      </c>
      <c r="C451" s="53">
        <v>2009</v>
      </c>
      <c r="D451" s="52" t="s">
        <v>107</v>
      </c>
      <c r="E451" s="54">
        <v>1</v>
      </c>
      <c r="F451" s="55">
        <v>0</v>
      </c>
      <c r="G451" s="55">
        <v>24</v>
      </c>
    </row>
    <row r="452" spans="1:7" ht="10.050000000000001" customHeight="1">
      <c r="A452" s="52" t="s">
        <v>421</v>
      </c>
      <c r="B452" s="52" t="s">
        <v>172</v>
      </c>
      <c r="C452" s="53">
        <v>2009</v>
      </c>
      <c r="D452" s="52" t="s">
        <v>107</v>
      </c>
      <c r="E452" s="54">
        <v>2</v>
      </c>
      <c r="F452" s="55">
        <v>10</v>
      </c>
      <c r="G452" s="55">
        <v>14</v>
      </c>
    </row>
    <row r="453" spans="1:7" ht="10.050000000000001" customHeight="1">
      <c r="A453" s="52" t="s">
        <v>421</v>
      </c>
      <c r="B453" s="52" t="s">
        <v>172</v>
      </c>
      <c r="C453" s="53">
        <v>2009</v>
      </c>
      <c r="D453" s="52" t="s">
        <v>107</v>
      </c>
      <c r="E453" s="54">
        <v>3</v>
      </c>
      <c r="F453" s="55">
        <v>0</v>
      </c>
      <c r="G453" s="55">
        <v>38.1</v>
      </c>
    </row>
    <row r="454" spans="1:7" ht="10.050000000000001" customHeight="1">
      <c r="A454" s="52" t="s">
        <v>421</v>
      </c>
      <c r="B454" s="52" t="s">
        <v>172</v>
      </c>
      <c r="C454" s="53">
        <v>2009</v>
      </c>
      <c r="D454" s="52" t="s">
        <v>107</v>
      </c>
      <c r="E454" s="54">
        <v>4</v>
      </c>
      <c r="F454" s="55">
        <v>0</v>
      </c>
      <c r="G454" s="55">
        <v>38.1</v>
      </c>
    </row>
    <row r="455" spans="1:7" ht="10.050000000000001" customHeight="1">
      <c r="A455" s="52" t="s">
        <v>421</v>
      </c>
      <c r="B455" s="52" t="s">
        <v>172</v>
      </c>
      <c r="C455" s="53">
        <v>2009</v>
      </c>
      <c r="D455" s="52" t="s">
        <v>107</v>
      </c>
      <c r="E455" s="54">
        <v>5</v>
      </c>
      <c r="F455" s="55">
        <v>10</v>
      </c>
      <c r="G455" s="55">
        <v>28.1</v>
      </c>
    </row>
    <row r="456" spans="1:7" ht="10.050000000000001" customHeight="1">
      <c r="A456" s="52" t="s">
        <v>421</v>
      </c>
      <c r="B456" s="52" t="s">
        <v>172</v>
      </c>
      <c r="C456" s="53">
        <v>2009</v>
      </c>
      <c r="D456" s="52" t="s">
        <v>107</v>
      </c>
      <c r="E456" s="54">
        <v>6</v>
      </c>
      <c r="F456" s="55">
        <v>0</v>
      </c>
      <c r="G456" s="55">
        <v>28.1</v>
      </c>
    </row>
    <row r="457" spans="1:7" ht="10.050000000000001" customHeight="1">
      <c r="A457" s="52" t="s">
        <v>421</v>
      </c>
      <c r="B457" s="52" t="s">
        <v>172</v>
      </c>
      <c r="C457" s="53">
        <v>2009</v>
      </c>
      <c r="D457" s="52" t="s">
        <v>114</v>
      </c>
      <c r="E457" s="54">
        <v>7</v>
      </c>
      <c r="F457" s="55">
        <v>0</v>
      </c>
      <c r="G457" s="55">
        <v>28.1</v>
      </c>
    </row>
    <row r="458" spans="1:7" ht="10.050000000000001" customHeight="1">
      <c r="A458" s="52" t="s">
        <v>421</v>
      </c>
      <c r="B458" s="52" t="s">
        <v>172</v>
      </c>
      <c r="C458" s="53">
        <v>2009</v>
      </c>
      <c r="D458" s="52" t="s">
        <v>114</v>
      </c>
      <c r="E458" s="54">
        <v>8</v>
      </c>
      <c r="F458" s="55">
        <v>0</v>
      </c>
      <c r="G458" s="55">
        <v>28.1</v>
      </c>
    </row>
    <row r="459" spans="1:7" ht="10.050000000000001" customHeight="1">
      <c r="A459" s="52" t="s">
        <v>421</v>
      </c>
      <c r="B459" s="52" t="s">
        <v>172</v>
      </c>
      <c r="C459" s="53">
        <v>2009</v>
      </c>
      <c r="D459" s="52" t="s">
        <v>114</v>
      </c>
      <c r="E459" s="54">
        <v>9</v>
      </c>
      <c r="F459" s="55">
        <v>0</v>
      </c>
      <c r="G459" s="55">
        <v>28.1</v>
      </c>
    </row>
    <row r="460" spans="1:7" ht="10.050000000000001" customHeight="1">
      <c r="A460" s="52" t="s">
        <v>421</v>
      </c>
      <c r="B460" s="52" t="s">
        <v>172</v>
      </c>
      <c r="C460" s="53">
        <v>2009</v>
      </c>
      <c r="D460" s="52" t="s">
        <v>114</v>
      </c>
      <c r="E460" s="54">
        <v>10</v>
      </c>
      <c r="F460" s="55">
        <v>0</v>
      </c>
      <c r="G460" s="55">
        <v>28.1</v>
      </c>
    </row>
    <row r="461" spans="1:7" ht="10.050000000000001" customHeight="1">
      <c r="A461" s="52" t="s">
        <v>421</v>
      </c>
      <c r="B461" s="52" t="s">
        <v>172</v>
      </c>
      <c r="C461" s="53">
        <v>2009</v>
      </c>
      <c r="D461" s="52" t="s">
        <v>114</v>
      </c>
      <c r="E461" s="54">
        <v>11</v>
      </c>
      <c r="F461" s="55">
        <v>0</v>
      </c>
      <c r="G461" s="55">
        <v>28.1</v>
      </c>
    </row>
    <row r="462" spans="1:7" ht="10.050000000000001" customHeight="1">
      <c r="A462" s="52" t="s">
        <v>421</v>
      </c>
      <c r="B462" s="52" t="s">
        <v>172</v>
      </c>
      <c r="C462" s="53">
        <v>2009</v>
      </c>
      <c r="D462" s="52" t="s">
        <v>114</v>
      </c>
      <c r="E462" s="54">
        <v>12</v>
      </c>
      <c r="F462" s="55">
        <v>0.9</v>
      </c>
      <c r="G462" s="55">
        <v>27.2</v>
      </c>
    </row>
    <row r="463" spans="1:7" ht="10.050000000000001" customHeight="1">
      <c r="A463" s="52" t="s">
        <v>421</v>
      </c>
      <c r="B463" s="52" t="s">
        <v>172</v>
      </c>
      <c r="C463" s="53">
        <v>2010</v>
      </c>
      <c r="D463" s="52" t="s">
        <v>114</v>
      </c>
      <c r="E463" s="54">
        <v>1</v>
      </c>
      <c r="F463" s="55">
        <v>0</v>
      </c>
      <c r="G463" s="55">
        <v>27.2</v>
      </c>
    </row>
    <row r="464" spans="1:7" ht="10.050000000000001" customHeight="1">
      <c r="A464" s="52" t="s">
        <v>421</v>
      </c>
      <c r="B464" s="52" t="s">
        <v>172</v>
      </c>
      <c r="C464" s="53">
        <v>2010</v>
      </c>
      <c r="D464" s="52" t="s">
        <v>114</v>
      </c>
      <c r="E464" s="54">
        <v>2</v>
      </c>
      <c r="F464" s="55">
        <v>0</v>
      </c>
      <c r="G464" s="55">
        <v>27.2</v>
      </c>
    </row>
    <row r="465" spans="1:7" ht="10.050000000000001" customHeight="1">
      <c r="A465" s="52" t="s">
        <v>421</v>
      </c>
      <c r="B465" s="52" t="s">
        <v>172</v>
      </c>
      <c r="C465" s="53">
        <v>2010</v>
      </c>
      <c r="D465" s="52" t="s">
        <v>114</v>
      </c>
      <c r="E465" s="54">
        <v>3</v>
      </c>
      <c r="F465" s="55">
        <v>0</v>
      </c>
      <c r="G465" s="55">
        <v>27.2</v>
      </c>
    </row>
    <row r="466" spans="1:7" ht="10.050000000000001" customHeight="1">
      <c r="A466" s="52" t="s">
        <v>421</v>
      </c>
      <c r="B466" s="52" t="s">
        <v>172</v>
      </c>
      <c r="C466" s="53">
        <v>2010</v>
      </c>
      <c r="D466" s="52" t="s">
        <v>114</v>
      </c>
      <c r="E466" s="54">
        <v>4</v>
      </c>
      <c r="F466" s="55">
        <v>0</v>
      </c>
      <c r="G466" s="55">
        <v>27.2</v>
      </c>
    </row>
    <row r="467" spans="1:7" ht="10.050000000000001" customHeight="1">
      <c r="A467" s="52" t="s">
        <v>421</v>
      </c>
      <c r="B467" s="52" t="s">
        <v>172</v>
      </c>
      <c r="C467" s="53">
        <v>2010</v>
      </c>
      <c r="D467" s="52" t="s">
        <v>114</v>
      </c>
      <c r="E467" s="54">
        <v>5</v>
      </c>
      <c r="F467" s="55">
        <v>0</v>
      </c>
      <c r="G467" s="55">
        <v>27.2</v>
      </c>
    </row>
    <row r="468" spans="1:7" ht="10.050000000000001" customHeight="1">
      <c r="A468" s="52" t="s">
        <v>421</v>
      </c>
      <c r="B468" s="52" t="s">
        <v>172</v>
      </c>
      <c r="C468" s="53">
        <v>2010</v>
      </c>
      <c r="D468" s="52" t="s">
        <v>114</v>
      </c>
      <c r="E468" s="54">
        <v>6</v>
      </c>
      <c r="F468" s="55">
        <v>0</v>
      </c>
      <c r="G468" s="55">
        <v>27.2</v>
      </c>
    </row>
    <row r="469" spans="1:7" ht="10.050000000000001" customHeight="1">
      <c r="A469" s="52" t="s">
        <v>421</v>
      </c>
      <c r="B469" s="52" t="s">
        <v>172</v>
      </c>
      <c r="C469" s="53">
        <v>2010</v>
      </c>
      <c r="D469" s="52" t="s">
        <v>115</v>
      </c>
      <c r="E469" s="54">
        <v>7</v>
      </c>
      <c r="F469" s="55">
        <v>0</v>
      </c>
      <c r="G469" s="55">
        <v>27.2</v>
      </c>
    </row>
    <row r="470" spans="1:7" ht="10.050000000000001" customHeight="1">
      <c r="A470" s="52" t="s">
        <v>421</v>
      </c>
      <c r="B470" s="52" t="s">
        <v>172</v>
      </c>
      <c r="C470" s="53">
        <v>2010</v>
      </c>
      <c r="D470" s="52" t="s">
        <v>115</v>
      </c>
      <c r="E470" s="54">
        <v>8</v>
      </c>
      <c r="F470" s="55">
        <v>0</v>
      </c>
      <c r="G470" s="55">
        <v>27.2</v>
      </c>
    </row>
    <row r="471" spans="1:7" ht="10.050000000000001" customHeight="1">
      <c r="A471" s="52" t="s">
        <v>421</v>
      </c>
      <c r="B471" s="52" t="s">
        <v>172</v>
      </c>
      <c r="C471" s="53">
        <v>2010</v>
      </c>
      <c r="D471" s="52" t="s">
        <v>115</v>
      </c>
      <c r="E471" s="54">
        <v>9</v>
      </c>
      <c r="F471" s="55">
        <v>0</v>
      </c>
      <c r="G471" s="55">
        <v>27.2</v>
      </c>
    </row>
    <row r="472" spans="1:7" ht="10.050000000000001" customHeight="1">
      <c r="A472" s="52" t="s">
        <v>421</v>
      </c>
      <c r="B472" s="52" t="s">
        <v>172</v>
      </c>
      <c r="C472" s="53">
        <v>2010</v>
      </c>
      <c r="D472" s="52" t="s">
        <v>115</v>
      </c>
      <c r="E472" s="54">
        <v>10</v>
      </c>
      <c r="F472" s="55">
        <v>0</v>
      </c>
      <c r="G472" s="55">
        <v>27.2</v>
      </c>
    </row>
    <row r="473" spans="1:7" ht="10.050000000000001" customHeight="1">
      <c r="A473" s="52" t="s">
        <v>421</v>
      </c>
      <c r="B473" s="52" t="s">
        <v>172</v>
      </c>
      <c r="C473" s="53">
        <v>2010</v>
      </c>
      <c r="D473" s="52" t="s">
        <v>115</v>
      </c>
      <c r="E473" s="54">
        <v>11</v>
      </c>
      <c r="F473" s="55">
        <v>0</v>
      </c>
      <c r="G473" s="55">
        <v>27.2</v>
      </c>
    </row>
    <row r="474" spans="1:7" ht="10.050000000000001" customHeight="1">
      <c r="A474" s="52" t="s">
        <v>421</v>
      </c>
      <c r="B474" s="52" t="s">
        <v>172</v>
      </c>
      <c r="C474" s="53">
        <v>2010</v>
      </c>
      <c r="D474" s="52" t="s">
        <v>115</v>
      </c>
      <c r="E474" s="54">
        <v>12</v>
      </c>
      <c r="F474" s="55">
        <v>1</v>
      </c>
      <c r="G474" s="55">
        <v>26.2</v>
      </c>
    </row>
    <row r="475" spans="1:7" ht="10.050000000000001" customHeight="1">
      <c r="A475" s="52" t="s">
        <v>421</v>
      </c>
      <c r="B475" s="52" t="s">
        <v>172</v>
      </c>
      <c r="C475" s="53">
        <v>2011</v>
      </c>
      <c r="D475" s="52" t="s">
        <v>115</v>
      </c>
      <c r="E475" s="54">
        <v>1</v>
      </c>
      <c r="F475" s="55">
        <v>0</v>
      </c>
      <c r="G475" s="55">
        <v>26.2</v>
      </c>
    </row>
    <row r="476" spans="1:7" ht="10.050000000000001" customHeight="1">
      <c r="A476" s="52" t="s">
        <v>421</v>
      </c>
      <c r="B476" s="52" t="s">
        <v>172</v>
      </c>
      <c r="C476" s="53">
        <v>2011</v>
      </c>
      <c r="D476" s="52" t="s">
        <v>115</v>
      </c>
      <c r="E476" s="54">
        <v>2</v>
      </c>
      <c r="F476" s="55">
        <v>1</v>
      </c>
      <c r="G476" s="55">
        <v>25.2</v>
      </c>
    </row>
    <row r="477" spans="1:7" ht="10.050000000000001" customHeight="1">
      <c r="A477" s="52" t="s">
        <v>421</v>
      </c>
      <c r="B477" s="52" t="s">
        <v>172</v>
      </c>
      <c r="C477" s="53">
        <v>2011</v>
      </c>
      <c r="D477" s="52" t="s">
        <v>115</v>
      </c>
      <c r="E477" s="54">
        <v>3</v>
      </c>
      <c r="F477" s="55">
        <v>0</v>
      </c>
      <c r="G477" s="55">
        <v>25.2</v>
      </c>
    </row>
    <row r="478" spans="1:7" ht="10.050000000000001" customHeight="1">
      <c r="A478" s="52" t="s">
        <v>421</v>
      </c>
      <c r="B478" s="52" t="s">
        <v>172</v>
      </c>
      <c r="C478" s="53">
        <v>2011</v>
      </c>
      <c r="D478" s="52" t="s">
        <v>115</v>
      </c>
      <c r="E478" s="54">
        <v>4</v>
      </c>
      <c r="F478" s="55">
        <v>0</v>
      </c>
      <c r="G478" s="55">
        <v>25.2</v>
      </c>
    </row>
    <row r="479" spans="1:7" ht="10.050000000000001" customHeight="1">
      <c r="A479" s="52" t="s">
        <v>421</v>
      </c>
      <c r="B479" s="52" t="s">
        <v>172</v>
      </c>
      <c r="C479" s="53">
        <v>2011</v>
      </c>
      <c r="D479" s="52" t="s">
        <v>115</v>
      </c>
      <c r="E479" s="54">
        <v>6</v>
      </c>
      <c r="F479" s="55">
        <v>0</v>
      </c>
      <c r="G479" s="55">
        <v>25.2</v>
      </c>
    </row>
    <row r="480" spans="1:7" ht="10.050000000000001" customHeight="1">
      <c r="A480" s="52" t="s">
        <v>421</v>
      </c>
      <c r="B480" s="52" t="s">
        <v>172</v>
      </c>
      <c r="C480" s="53">
        <v>2011</v>
      </c>
      <c r="D480" s="52" t="s">
        <v>116</v>
      </c>
      <c r="E480" s="54">
        <v>7</v>
      </c>
      <c r="F480" s="55">
        <v>0</v>
      </c>
      <c r="G480" s="55">
        <v>25.2</v>
      </c>
    </row>
    <row r="481" spans="1:7" ht="10.050000000000001" customHeight="1">
      <c r="A481" s="52" t="s">
        <v>421</v>
      </c>
      <c r="B481" s="52" t="s">
        <v>172</v>
      </c>
      <c r="C481" s="53">
        <v>2011</v>
      </c>
      <c r="D481" s="52" t="s">
        <v>116</v>
      </c>
      <c r="E481" s="54">
        <v>8</v>
      </c>
      <c r="F481" s="55">
        <v>0</v>
      </c>
      <c r="G481" s="55">
        <v>25.2</v>
      </c>
    </row>
    <row r="482" spans="1:7" ht="10.050000000000001" customHeight="1">
      <c r="A482" s="52" t="s">
        <v>421</v>
      </c>
      <c r="B482" s="52" t="s">
        <v>172</v>
      </c>
      <c r="C482" s="53">
        <v>2011</v>
      </c>
      <c r="D482" s="52" t="s">
        <v>116</v>
      </c>
      <c r="E482" s="54">
        <v>9</v>
      </c>
      <c r="F482" s="55">
        <v>0</v>
      </c>
      <c r="G482" s="55">
        <v>25.2</v>
      </c>
    </row>
    <row r="483" spans="1:7" ht="10.050000000000001" customHeight="1">
      <c r="A483" s="52" t="s">
        <v>421</v>
      </c>
      <c r="B483" s="52" t="s">
        <v>172</v>
      </c>
      <c r="C483" s="53">
        <v>2011</v>
      </c>
      <c r="D483" s="52" t="s">
        <v>116</v>
      </c>
      <c r="E483" s="54">
        <v>10</v>
      </c>
      <c r="F483" s="55">
        <v>0</v>
      </c>
      <c r="G483" s="55">
        <v>25.2</v>
      </c>
    </row>
    <row r="484" spans="1:7" ht="10.050000000000001" customHeight="1">
      <c r="A484" s="52" t="s">
        <v>421</v>
      </c>
      <c r="B484" s="52" t="s">
        <v>172</v>
      </c>
      <c r="C484" s="53">
        <v>2011</v>
      </c>
      <c r="D484" s="52" t="s">
        <v>116</v>
      </c>
      <c r="E484" s="54">
        <v>11</v>
      </c>
      <c r="F484" s="55">
        <v>0</v>
      </c>
      <c r="G484" s="55">
        <v>25.2</v>
      </c>
    </row>
    <row r="485" spans="1:7" ht="10.050000000000001" customHeight="1">
      <c r="A485" s="52" t="s">
        <v>421</v>
      </c>
      <c r="B485" s="52" t="s">
        <v>172</v>
      </c>
      <c r="C485" s="53">
        <v>2011</v>
      </c>
      <c r="D485" s="52" t="s">
        <v>116</v>
      </c>
      <c r="E485" s="54">
        <v>12</v>
      </c>
      <c r="F485" s="55">
        <v>0</v>
      </c>
      <c r="G485" s="55">
        <v>25.2</v>
      </c>
    </row>
    <row r="486" spans="1:7" ht="10.050000000000001" customHeight="1">
      <c r="A486" s="52" t="s">
        <v>421</v>
      </c>
      <c r="B486" s="52" t="s">
        <v>172</v>
      </c>
      <c r="C486" s="53">
        <v>2012</v>
      </c>
      <c r="D486" s="52" t="s">
        <v>116</v>
      </c>
      <c r="E486" s="54">
        <v>1</v>
      </c>
      <c r="F486" s="55">
        <v>0</v>
      </c>
      <c r="G486" s="55">
        <v>25.2</v>
      </c>
    </row>
    <row r="487" spans="1:7" ht="10.050000000000001" customHeight="1">
      <c r="A487" s="52" t="s">
        <v>421</v>
      </c>
      <c r="B487" s="52" t="s">
        <v>172</v>
      </c>
      <c r="C487" s="53">
        <v>2012</v>
      </c>
      <c r="D487" s="52" t="s">
        <v>116</v>
      </c>
      <c r="E487" s="54">
        <v>2</v>
      </c>
      <c r="F487" s="55">
        <v>0</v>
      </c>
      <c r="G487" s="55">
        <v>25.2</v>
      </c>
    </row>
    <row r="488" spans="1:7" ht="10.050000000000001" customHeight="1">
      <c r="A488" s="52" t="s">
        <v>421</v>
      </c>
      <c r="B488" s="52" t="s">
        <v>172</v>
      </c>
      <c r="C488" s="53">
        <v>2012</v>
      </c>
      <c r="D488" s="52" t="s">
        <v>116</v>
      </c>
      <c r="E488" s="54">
        <v>3</v>
      </c>
      <c r="F488" s="55">
        <v>0</v>
      </c>
      <c r="G488" s="55">
        <v>25.2</v>
      </c>
    </row>
    <row r="489" spans="1:7" ht="10.050000000000001" customHeight="1">
      <c r="A489" s="52" t="s">
        <v>421</v>
      </c>
      <c r="B489" s="52" t="s">
        <v>172</v>
      </c>
      <c r="C489" s="53">
        <v>2012</v>
      </c>
      <c r="D489" s="52" t="s">
        <v>116</v>
      </c>
      <c r="E489" s="54">
        <v>4</v>
      </c>
      <c r="F489" s="55">
        <v>10</v>
      </c>
      <c r="G489" s="55">
        <v>25.2</v>
      </c>
    </row>
    <row r="490" spans="1:7" ht="10.050000000000001" customHeight="1">
      <c r="A490" s="52" t="s">
        <v>421</v>
      </c>
      <c r="B490" s="52" t="s">
        <v>172</v>
      </c>
      <c r="C490" s="53">
        <v>2012</v>
      </c>
      <c r="D490" s="52" t="s">
        <v>116</v>
      </c>
      <c r="E490" s="54">
        <v>5</v>
      </c>
      <c r="F490" s="55">
        <v>0</v>
      </c>
      <c r="G490" s="55">
        <v>25.2</v>
      </c>
    </row>
    <row r="491" spans="1:7" ht="10.050000000000001" customHeight="1">
      <c r="A491" s="52" t="s">
        <v>421</v>
      </c>
      <c r="B491" s="52" t="s">
        <v>172</v>
      </c>
      <c r="C491" s="53">
        <v>2012</v>
      </c>
      <c r="D491" s="52" t="s">
        <v>116</v>
      </c>
      <c r="E491" s="54">
        <v>6</v>
      </c>
      <c r="F491" s="55">
        <v>0</v>
      </c>
      <c r="G491" s="55">
        <v>25.2</v>
      </c>
    </row>
    <row r="492" spans="1:7" ht="10.050000000000001" customHeight="1">
      <c r="A492" s="52" t="s">
        <v>421</v>
      </c>
      <c r="B492" s="52" t="s">
        <v>172</v>
      </c>
      <c r="C492" s="53">
        <v>2012</v>
      </c>
      <c r="D492" s="52" t="s">
        <v>117</v>
      </c>
      <c r="E492" s="54">
        <v>7</v>
      </c>
      <c r="F492" s="55">
        <v>0</v>
      </c>
      <c r="G492" s="55">
        <v>25.2</v>
      </c>
    </row>
    <row r="493" spans="1:7" ht="10.050000000000001" customHeight="1">
      <c r="A493" s="52" t="s">
        <v>421</v>
      </c>
      <c r="B493" s="52" t="s">
        <v>172</v>
      </c>
      <c r="C493" s="53">
        <v>2012</v>
      </c>
      <c r="D493" s="52" t="s">
        <v>117</v>
      </c>
      <c r="E493" s="54">
        <v>8</v>
      </c>
      <c r="F493" s="55">
        <v>0</v>
      </c>
      <c r="G493" s="55">
        <v>25.2</v>
      </c>
    </row>
    <row r="494" spans="1:7" ht="10.050000000000001" customHeight="1">
      <c r="A494" s="52" t="s">
        <v>421</v>
      </c>
      <c r="B494" s="52" t="s">
        <v>172</v>
      </c>
      <c r="C494" s="53">
        <v>2012</v>
      </c>
      <c r="D494" s="52" t="s">
        <v>117</v>
      </c>
      <c r="E494" s="54">
        <v>9</v>
      </c>
      <c r="F494" s="55">
        <v>0</v>
      </c>
      <c r="G494" s="55">
        <v>29.5</v>
      </c>
    </row>
    <row r="495" spans="1:7" ht="10.050000000000001" customHeight="1">
      <c r="A495" s="52" t="s">
        <v>421</v>
      </c>
      <c r="B495" s="52" t="s">
        <v>172</v>
      </c>
      <c r="C495" s="53">
        <v>2012</v>
      </c>
      <c r="D495" s="52" t="s">
        <v>117</v>
      </c>
      <c r="E495" s="54">
        <v>10</v>
      </c>
      <c r="F495" s="55">
        <v>278.60000000000002</v>
      </c>
      <c r="G495" s="55">
        <v>75.2</v>
      </c>
    </row>
    <row r="496" spans="1:7" ht="10.050000000000001" customHeight="1">
      <c r="A496" s="52" t="s">
        <v>421</v>
      </c>
      <c r="B496" s="52" t="s">
        <v>172</v>
      </c>
      <c r="C496" s="53">
        <v>2012</v>
      </c>
      <c r="D496" s="52" t="s">
        <v>117</v>
      </c>
      <c r="E496" s="54">
        <v>11</v>
      </c>
      <c r="F496" s="55">
        <v>692.9</v>
      </c>
      <c r="G496" s="55">
        <v>200.1</v>
      </c>
    </row>
    <row r="497" spans="1:7" ht="10.050000000000001" customHeight="1">
      <c r="A497" s="52" t="s">
        <v>421</v>
      </c>
      <c r="B497" s="52" t="s">
        <v>172</v>
      </c>
      <c r="C497" s="53">
        <v>2012</v>
      </c>
      <c r="D497" s="52" t="s">
        <v>117</v>
      </c>
      <c r="E497" s="54">
        <v>12</v>
      </c>
      <c r="F497" s="55">
        <v>1030.7</v>
      </c>
      <c r="G497" s="55">
        <v>234.3</v>
      </c>
    </row>
    <row r="498" spans="1:7" ht="10.050000000000001" customHeight="1">
      <c r="A498" s="52" t="s">
        <v>421</v>
      </c>
      <c r="B498" s="52" t="s">
        <v>172</v>
      </c>
      <c r="C498" s="53">
        <v>2013</v>
      </c>
      <c r="D498" s="52" t="s">
        <v>117</v>
      </c>
      <c r="E498" s="54">
        <v>1</v>
      </c>
      <c r="F498" s="55">
        <v>1809.1010000000001</v>
      </c>
      <c r="G498" s="55">
        <v>877.29899999999998</v>
      </c>
    </row>
    <row r="499" spans="1:7" ht="10.050000000000001" customHeight="1">
      <c r="A499" s="52" t="s">
        <v>421</v>
      </c>
      <c r="B499" s="52" t="s">
        <v>172</v>
      </c>
      <c r="C499" s="53">
        <v>2013</v>
      </c>
      <c r="D499" s="52" t="s">
        <v>117</v>
      </c>
      <c r="E499" s="54">
        <v>2</v>
      </c>
      <c r="F499" s="55">
        <v>2852.047</v>
      </c>
      <c r="G499" s="55">
        <v>1577.912</v>
      </c>
    </row>
    <row r="500" spans="1:7" ht="10.050000000000001" customHeight="1">
      <c r="A500" s="52" t="s">
        <v>421</v>
      </c>
      <c r="B500" s="52" t="s">
        <v>172</v>
      </c>
      <c r="C500" s="53">
        <v>2013</v>
      </c>
      <c r="D500" s="52" t="s">
        <v>117</v>
      </c>
      <c r="E500" s="54">
        <v>3</v>
      </c>
      <c r="F500" s="55">
        <v>2415.259</v>
      </c>
      <c r="G500" s="55">
        <v>1187.0250000000001</v>
      </c>
    </row>
    <row r="501" spans="1:7" ht="10.050000000000001" customHeight="1">
      <c r="A501" s="52" t="s">
        <v>421</v>
      </c>
      <c r="B501" s="52" t="s">
        <v>172</v>
      </c>
      <c r="C501" s="53">
        <v>2013</v>
      </c>
      <c r="D501" s="52" t="s">
        <v>117</v>
      </c>
      <c r="E501" s="54">
        <v>4</v>
      </c>
      <c r="F501" s="55">
        <v>1847.827</v>
      </c>
      <c r="G501" s="55">
        <v>950.10400000000004</v>
      </c>
    </row>
    <row r="502" spans="1:7" ht="10.050000000000001" customHeight="1">
      <c r="A502" s="52" t="s">
        <v>421</v>
      </c>
      <c r="B502" s="52" t="s">
        <v>172</v>
      </c>
      <c r="C502" s="53">
        <v>2013</v>
      </c>
      <c r="D502" s="52" t="s">
        <v>117</v>
      </c>
      <c r="E502" s="54">
        <v>5</v>
      </c>
      <c r="F502" s="55">
        <v>2045.2139999999999</v>
      </c>
      <c r="G502" s="55">
        <v>1264.066</v>
      </c>
    </row>
    <row r="503" spans="1:7" ht="10.050000000000001" customHeight="1">
      <c r="A503" s="52" t="s">
        <v>421</v>
      </c>
      <c r="B503" s="52" t="s">
        <v>172</v>
      </c>
      <c r="C503" s="53">
        <v>2013</v>
      </c>
      <c r="D503" s="52" t="s">
        <v>117</v>
      </c>
      <c r="E503" s="54">
        <v>6</v>
      </c>
      <c r="F503" s="55">
        <v>2567.8310000000001</v>
      </c>
      <c r="G503" s="55">
        <v>917.91499999999996</v>
      </c>
    </row>
    <row r="504" spans="1:7" ht="10.050000000000001" customHeight="1">
      <c r="A504" s="52" t="s">
        <v>421</v>
      </c>
      <c r="B504" s="52" t="s">
        <v>172</v>
      </c>
      <c r="C504" s="53">
        <v>2013</v>
      </c>
      <c r="D504" s="52" t="s">
        <v>118</v>
      </c>
      <c r="E504" s="54">
        <v>7</v>
      </c>
      <c r="F504" s="55">
        <v>1435.0440000000001</v>
      </c>
      <c r="G504" s="55">
        <v>464.39</v>
      </c>
    </row>
    <row r="505" spans="1:7" ht="10.050000000000001" customHeight="1">
      <c r="A505" s="52" t="s">
        <v>421</v>
      </c>
      <c r="B505" s="52" t="s">
        <v>172</v>
      </c>
      <c r="C505" s="53">
        <v>2013</v>
      </c>
      <c r="D505" s="52" t="s">
        <v>118</v>
      </c>
      <c r="E505" s="54">
        <v>8</v>
      </c>
      <c r="F505" s="55">
        <v>476.90499999999997</v>
      </c>
      <c r="G505" s="55">
        <v>298.7</v>
      </c>
    </row>
    <row r="506" spans="1:7" ht="10.050000000000001" customHeight="1">
      <c r="A506" s="52" t="s">
        <v>421</v>
      </c>
      <c r="B506" s="52" t="s">
        <v>172</v>
      </c>
      <c r="C506" s="53">
        <v>2013</v>
      </c>
      <c r="D506" s="52" t="s">
        <v>118</v>
      </c>
      <c r="E506" s="54">
        <v>9</v>
      </c>
      <c r="F506" s="55">
        <v>45</v>
      </c>
      <c r="G506" s="55">
        <v>76.959999999999994</v>
      </c>
    </row>
    <row r="507" spans="1:7" ht="10.050000000000001" customHeight="1">
      <c r="A507" s="52" t="s">
        <v>421</v>
      </c>
      <c r="B507" s="52" t="s">
        <v>172</v>
      </c>
      <c r="C507" s="53">
        <v>2013</v>
      </c>
      <c r="D507" s="52" t="s">
        <v>118</v>
      </c>
      <c r="E507" s="54">
        <v>10</v>
      </c>
      <c r="F507" s="55">
        <v>516.46</v>
      </c>
      <c r="G507" s="55">
        <v>307.5</v>
      </c>
    </row>
    <row r="508" spans="1:7" ht="10.050000000000001" customHeight="1">
      <c r="A508" s="52" t="s">
        <v>421</v>
      </c>
      <c r="B508" s="52" t="s">
        <v>172</v>
      </c>
      <c r="C508" s="53">
        <v>2013</v>
      </c>
      <c r="D508" s="52" t="s">
        <v>118</v>
      </c>
      <c r="E508" s="54">
        <v>11</v>
      </c>
      <c r="F508" s="55">
        <v>377.35</v>
      </c>
      <c r="G508" s="55">
        <v>66.81</v>
      </c>
    </row>
    <row r="509" spans="1:7" ht="10.050000000000001" customHeight="1">
      <c r="A509" s="52" t="s">
        <v>421</v>
      </c>
      <c r="B509" s="52" t="s">
        <v>172</v>
      </c>
      <c r="C509" s="53">
        <v>2013</v>
      </c>
      <c r="D509" s="52" t="s">
        <v>118</v>
      </c>
      <c r="E509" s="54">
        <v>12</v>
      </c>
      <c r="F509" s="55">
        <v>195.64</v>
      </c>
      <c r="G509" s="55">
        <v>146.43</v>
      </c>
    </row>
    <row r="510" spans="1:7" ht="10.050000000000001" customHeight="1">
      <c r="A510" s="52" t="s">
        <v>421</v>
      </c>
      <c r="B510" s="52" t="s">
        <v>172</v>
      </c>
      <c r="C510" s="53">
        <v>2014</v>
      </c>
      <c r="D510" s="52" t="s">
        <v>118</v>
      </c>
      <c r="E510" s="54">
        <v>1</v>
      </c>
      <c r="F510" s="55">
        <v>116.67</v>
      </c>
      <c r="G510" s="55">
        <v>42.34</v>
      </c>
    </row>
    <row r="511" spans="1:7" ht="10.050000000000001" customHeight="1">
      <c r="A511" s="52" t="s">
        <v>421</v>
      </c>
      <c r="B511" s="52" t="s">
        <v>172</v>
      </c>
      <c r="C511" s="53">
        <v>2014</v>
      </c>
      <c r="D511" s="52" t="s">
        <v>118</v>
      </c>
      <c r="E511" s="54">
        <v>2</v>
      </c>
      <c r="F511" s="55">
        <v>279.2</v>
      </c>
      <c r="G511" s="55">
        <v>81.22</v>
      </c>
    </row>
    <row r="512" spans="1:7" ht="10.050000000000001" customHeight="1">
      <c r="A512" s="52" t="s">
        <v>421</v>
      </c>
      <c r="B512" s="52" t="s">
        <v>172</v>
      </c>
      <c r="C512" s="53">
        <v>2014</v>
      </c>
      <c r="D512" s="52" t="s">
        <v>118</v>
      </c>
      <c r="E512" s="54">
        <v>3</v>
      </c>
      <c r="F512" s="55">
        <v>81.03</v>
      </c>
      <c r="G512" s="55">
        <v>13.45</v>
      </c>
    </row>
    <row r="513" spans="1:7" ht="10.050000000000001" customHeight="1">
      <c r="A513" s="52" t="s">
        <v>421</v>
      </c>
      <c r="B513" s="52" t="s">
        <v>172</v>
      </c>
      <c r="C513" s="53">
        <v>2014</v>
      </c>
      <c r="D513" s="52" t="s">
        <v>118</v>
      </c>
      <c r="E513" s="54">
        <v>4</v>
      </c>
      <c r="F513" s="55">
        <v>0</v>
      </c>
      <c r="G513" s="55">
        <v>13.45</v>
      </c>
    </row>
    <row r="514" spans="1:7" ht="10.050000000000001" customHeight="1">
      <c r="A514" s="52" t="s">
        <v>421</v>
      </c>
      <c r="B514" s="52" t="s">
        <v>172</v>
      </c>
      <c r="C514" s="53">
        <v>2014</v>
      </c>
      <c r="D514" s="52" t="s">
        <v>118</v>
      </c>
      <c r="E514" s="54">
        <v>5</v>
      </c>
      <c r="F514" s="55">
        <v>29.99</v>
      </c>
      <c r="G514" s="55">
        <v>64.150000000000006</v>
      </c>
    </row>
    <row r="515" spans="1:7" ht="10.050000000000001" customHeight="1">
      <c r="A515" s="52" t="s">
        <v>421</v>
      </c>
      <c r="B515" s="52" t="s">
        <v>172</v>
      </c>
      <c r="C515" s="53">
        <v>2014</v>
      </c>
      <c r="D515" s="52" t="s">
        <v>118</v>
      </c>
      <c r="E515" s="54">
        <v>6</v>
      </c>
      <c r="F515" s="55">
        <v>38</v>
      </c>
      <c r="G515" s="55">
        <v>74.150000000000006</v>
      </c>
    </row>
    <row r="516" spans="1:7" ht="10.050000000000001" customHeight="1">
      <c r="A516" s="52" t="s">
        <v>421</v>
      </c>
      <c r="B516" s="52" t="s">
        <v>172</v>
      </c>
      <c r="C516" s="53">
        <v>2014</v>
      </c>
      <c r="D516" s="52" t="s">
        <v>119</v>
      </c>
      <c r="E516" s="54">
        <v>7</v>
      </c>
      <c r="F516" s="55">
        <v>41.22</v>
      </c>
      <c r="G516" s="55">
        <v>81.93</v>
      </c>
    </row>
    <row r="517" spans="1:7" ht="10.050000000000001" customHeight="1">
      <c r="A517" s="52" t="s">
        <v>421</v>
      </c>
      <c r="B517" s="52" t="s">
        <v>172</v>
      </c>
      <c r="C517" s="53">
        <v>2014</v>
      </c>
      <c r="D517" s="52" t="s">
        <v>119</v>
      </c>
      <c r="E517" s="54">
        <v>8</v>
      </c>
      <c r="F517" s="55">
        <v>45</v>
      </c>
      <c r="G517" s="55">
        <v>36.93</v>
      </c>
    </row>
    <row r="518" spans="1:7" ht="10.050000000000001" customHeight="1">
      <c r="A518" s="52" t="s">
        <v>421</v>
      </c>
      <c r="B518" s="52" t="s">
        <v>172</v>
      </c>
      <c r="C518" s="53">
        <v>2014</v>
      </c>
      <c r="D518" s="52" t="s">
        <v>119</v>
      </c>
      <c r="E518" s="54">
        <v>9</v>
      </c>
      <c r="F518" s="55">
        <v>33.06</v>
      </c>
      <c r="G518" s="55">
        <v>24.35</v>
      </c>
    </row>
    <row r="519" spans="1:7" ht="10.050000000000001" customHeight="1">
      <c r="A519" s="52" t="s">
        <v>421</v>
      </c>
      <c r="B519" s="52" t="s">
        <v>172</v>
      </c>
      <c r="C519" s="53">
        <v>2014</v>
      </c>
      <c r="D519" s="52" t="s">
        <v>119</v>
      </c>
      <c r="E519" s="54">
        <v>10</v>
      </c>
      <c r="F519" s="55">
        <v>9.18</v>
      </c>
      <c r="G519" s="55">
        <v>27.61</v>
      </c>
    </row>
    <row r="520" spans="1:7" ht="10.050000000000001" customHeight="1">
      <c r="A520" s="52" t="s">
        <v>421</v>
      </c>
      <c r="B520" s="52" t="s">
        <v>172</v>
      </c>
      <c r="C520" s="53">
        <v>2014</v>
      </c>
      <c r="D520" s="52" t="s">
        <v>119</v>
      </c>
      <c r="E520" s="54">
        <v>11</v>
      </c>
      <c r="F520" s="55">
        <v>10.23</v>
      </c>
      <c r="G520" s="55">
        <v>28</v>
      </c>
    </row>
    <row r="521" spans="1:7" ht="10.050000000000001" customHeight="1">
      <c r="A521" s="52" t="s">
        <v>421</v>
      </c>
      <c r="B521" s="52" t="s">
        <v>172</v>
      </c>
      <c r="C521" s="53">
        <v>2014</v>
      </c>
      <c r="D521" s="52" t="s">
        <v>119</v>
      </c>
      <c r="E521" s="54">
        <v>12</v>
      </c>
      <c r="F521" s="55">
        <v>10.220000000000001</v>
      </c>
      <c r="G521" s="55">
        <v>27.1</v>
      </c>
    </row>
    <row r="522" spans="1:7" ht="10.050000000000001" customHeight="1">
      <c r="A522" s="52" t="s">
        <v>421</v>
      </c>
      <c r="B522" s="52" t="s">
        <v>172</v>
      </c>
      <c r="C522" s="53">
        <v>2015</v>
      </c>
      <c r="D522" s="52" t="s">
        <v>119</v>
      </c>
      <c r="E522" s="54">
        <v>1</v>
      </c>
      <c r="F522" s="55">
        <v>10.68</v>
      </c>
      <c r="G522" s="55">
        <v>26.38</v>
      </c>
    </row>
    <row r="523" spans="1:7" ht="10.050000000000001" customHeight="1">
      <c r="A523" s="52" t="s">
        <v>421</v>
      </c>
      <c r="B523" s="52" t="s">
        <v>172</v>
      </c>
      <c r="C523" s="53">
        <v>2015</v>
      </c>
      <c r="D523" s="52" t="s">
        <v>119</v>
      </c>
      <c r="E523" s="54">
        <v>2</v>
      </c>
      <c r="F523" s="55">
        <v>12.48</v>
      </c>
      <c r="G523" s="55">
        <v>25.02</v>
      </c>
    </row>
    <row r="524" spans="1:7" ht="10.050000000000001" customHeight="1">
      <c r="A524" s="52" t="s">
        <v>421</v>
      </c>
      <c r="B524" s="52" t="s">
        <v>172</v>
      </c>
      <c r="C524" s="53">
        <v>2015</v>
      </c>
      <c r="D524" s="52" t="s">
        <v>119</v>
      </c>
      <c r="E524" s="54">
        <v>3</v>
      </c>
      <c r="F524" s="55">
        <v>20.85</v>
      </c>
      <c r="G524" s="55">
        <v>40.99</v>
      </c>
    </row>
    <row r="525" spans="1:7" ht="10.050000000000001" customHeight="1">
      <c r="A525" s="52" t="s">
        <v>421</v>
      </c>
      <c r="B525" s="52" t="s">
        <v>172</v>
      </c>
      <c r="C525" s="53">
        <v>2015</v>
      </c>
      <c r="D525" s="52" t="s">
        <v>119</v>
      </c>
      <c r="E525" s="54">
        <v>4</v>
      </c>
      <c r="F525" s="55">
        <v>10.61</v>
      </c>
      <c r="G525" s="55">
        <v>30.38</v>
      </c>
    </row>
    <row r="526" spans="1:7" ht="10.050000000000001" customHeight="1">
      <c r="A526" s="52" t="s">
        <v>421</v>
      </c>
      <c r="B526" s="52" t="s">
        <v>172</v>
      </c>
      <c r="C526" s="53">
        <v>2015</v>
      </c>
      <c r="D526" s="52" t="s">
        <v>119</v>
      </c>
      <c r="E526" s="54">
        <v>5</v>
      </c>
      <c r="F526" s="55">
        <v>10.38</v>
      </c>
      <c r="G526" s="55">
        <v>43.52</v>
      </c>
    </row>
    <row r="527" spans="1:7" ht="10.050000000000001" customHeight="1">
      <c r="A527" s="52" t="s">
        <v>421</v>
      </c>
      <c r="B527" s="52" t="s">
        <v>172</v>
      </c>
      <c r="C527" s="53">
        <v>2015</v>
      </c>
      <c r="D527" s="52" t="s">
        <v>119</v>
      </c>
      <c r="E527" s="54">
        <v>6</v>
      </c>
      <c r="F527" s="55">
        <v>10.5</v>
      </c>
      <c r="G527" s="55">
        <v>45.9</v>
      </c>
    </row>
    <row r="528" spans="1:7" ht="10.050000000000001" customHeight="1">
      <c r="A528" s="52" t="s">
        <v>421</v>
      </c>
      <c r="B528" s="52" t="s">
        <v>172</v>
      </c>
      <c r="C528" s="53">
        <v>2015</v>
      </c>
      <c r="D528" s="52" t="s">
        <v>120</v>
      </c>
      <c r="E528" s="54">
        <v>7</v>
      </c>
      <c r="F528" s="55">
        <v>22.02</v>
      </c>
      <c r="G528" s="55">
        <v>36.86</v>
      </c>
    </row>
    <row r="529" spans="1:7" ht="10.050000000000001" customHeight="1">
      <c r="A529" s="52" t="s">
        <v>421</v>
      </c>
      <c r="B529" s="52" t="s">
        <v>172</v>
      </c>
      <c r="C529" s="53">
        <v>2015</v>
      </c>
      <c r="D529" s="52" t="s">
        <v>120</v>
      </c>
      <c r="E529" s="54">
        <v>8</v>
      </c>
      <c r="F529" s="55">
        <v>0</v>
      </c>
      <c r="G529" s="55">
        <v>36.86</v>
      </c>
    </row>
    <row r="530" spans="1:7" ht="10.050000000000001" customHeight="1">
      <c r="A530" s="52" t="s">
        <v>421</v>
      </c>
      <c r="B530" s="52" t="s">
        <v>172</v>
      </c>
      <c r="C530" s="53">
        <v>2015</v>
      </c>
      <c r="D530" s="52" t="s">
        <v>120</v>
      </c>
      <c r="E530" s="54">
        <v>9</v>
      </c>
      <c r="F530" s="55">
        <v>29.88</v>
      </c>
      <c r="G530" s="55">
        <v>36.86</v>
      </c>
    </row>
    <row r="531" spans="1:7" ht="10.050000000000001" customHeight="1">
      <c r="A531" s="52" t="s">
        <v>421</v>
      </c>
      <c r="B531" s="52" t="s">
        <v>172</v>
      </c>
      <c r="C531" s="53">
        <v>2015</v>
      </c>
      <c r="D531" s="52" t="s">
        <v>120</v>
      </c>
      <c r="E531" s="54">
        <v>10</v>
      </c>
      <c r="F531" s="55">
        <v>58.22</v>
      </c>
      <c r="G531" s="55">
        <v>1.2</v>
      </c>
    </row>
    <row r="532" spans="1:7" ht="10.050000000000001" customHeight="1">
      <c r="A532" s="52" t="s">
        <v>421</v>
      </c>
      <c r="B532" s="52" t="s">
        <v>172</v>
      </c>
      <c r="C532" s="53">
        <v>2015</v>
      </c>
      <c r="D532" s="52" t="s">
        <v>120</v>
      </c>
      <c r="E532" s="54">
        <v>11</v>
      </c>
      <c r="F532" s="55">
        <v>48.14</v>
      </c>
      <c r="G532" s="55">
        <v>1.2</v>
      </c>
    </row>
    <row r="533" spans="1:7" ht="10.050000000000001" customHeight="1">
      <c r="A533" s="52" t="s">
        <v>421</v>
      </c>
      <c r="B533" s="52" t="s">
        <v>172</v>
      </c>
      <c r="C533" s="53">
        <v>2015</v>
      </c>
      <c r="D533" s="52" t="s">
        <v>120</v>
      </c>
      <c r="E533" s="54">
        <v>12</v>
      </c>
      <c r="F533" s="55">
        <v>52.76</v>
      </c>
      <c r="G533" s="55">
        <v>1.2</v>
      </c>
    </row>
    <row r="534" spans="1:7" ht="10.050000000000001" customHeight="1">
      <c r="A534" s="52" t="s">
        <v>421</v>
      </c>
      <c r="B534" s="52" t="s">
        <v>172</v>
      </c>
      <c r="C534" s="53">
        <v>2016</v>
      </c>
      <c r="D534" s="52" t="s">
        <v>120</v>
      </c>
      <c r="E534" s="54">
        <v>1</v>
      </c>
      <c r="F534" s="55">
        <v>111.56</v>
      </c>
      <c r="G534" s="55">
        <v>24.8</v>
      </c>
    </row>
    <row r="535" spans="1:7" ht="10.050000000000001" customHeight="1">
      <c r="A535" s="52" t="s">
        <v>421</v>
      </c>
      <c r="B535" s="52" t="s">
        <v>172</v>
      </c>
      <c r="C535" s="53">
        <v>2016</v>
      </c>
      <c r="D535" s="52" t="s">
        <v>120</v>
      </c>
      <c r="E535" s="54">
        <v>2</v>
      </c>
      <c r="F535" s="55">
        <v>191.72</v>
      </c>
      <c r="G535" s="55">
        <v>26.4</v>
      </c>
    </row>
    <row r="536" spans="1:7" ht="10.050000000000001" customHeight="1">
      <c r="A536" s="52" t="s">
        <v>421</v>
      </c>
      <c r="B536" s="52" t="s">
        <v>172</v>
      </c>
      <c r="C536" s="53">
        <v>2016</v>
      </c>
      <c r="D536" s="52" t="s">
        <v>120</v>
      </c>
      <c r="E536" s="54">
        <v>3</v>
      </c>
      <c r="F536" s="55">
        <v>234.6</v>
      </c>
      <c r="G536" s="55">
        <v>26</v>
      </c>
    </row>
    <row r="537" spans="1:7" ht="10.050000000000001" customHeight="1">
      <c r="A537" s="52" t="s">
        <v>421</v>
      </c>
      <c r="B537" s="52" t="s">
        <v>172</v>
      </c>
      <c r="C537" s="53">
        <v>2016</v>
      </c>
      <c r="D537" s="52" t="s">
        <v>120</v>
      </c>
      <c r="E537" s="54">
        <v>4</v>
      </c>
      <c r="F537" s="55">
        <v>229.2</v>
      </c>
      <c r="G537" s="55">
        <v>22.5</v>
      </c>
    </row>
    <row r="538" spans="1:7" ht="10.050000000000001" customHeight="1">
      <c r="A538" s="52" t="s">
        <v>421</v>
      </c>
      <c r="B538" s="52" t="s">
        <v>172</v>
      </c>
      <c r="C538" s="53">
        <v>2016</v>
      </c>
      <c r="D538" s="52" t="s">
        <v>120</v>
      </c>
      <c r="E538" s="54">
        <v>5</v>
      </c>
      <c r="F538" s="55">
        <v>473.9</v>
      </c>
      <c r="G538" s="55">
        <v>38.700000000000003</v>
      </c>
    </row>
    <row r="539" spans="1:7" ht="10.050000000000001" customHeight="1">
      <c r="A539" s="52" t="s">
        <v>421</v>
      </c>
      <c r="B539" s="52" t="s">
        <v>172</v>
      </c>
      <c r="C539" s="53">
        <v>2016</v>
      </c>
      <c r="D539" s="52" t="s">
        <v>120</v>
      </c>
      <c r="E539" s="54">
        <v>6</v>
      </c>
      <c r="F539" s="55">
        <v>769.4</v>
      </c>
      <c r="G539" s="55">
        <v>12.4</v>
      </c>
    </row>
    <row r="540" spans="1:7" ht="10.050000000000001" customHeight="1">
      <c r="A540" s="52" t="s">
        <v>421</v>
      </c>
      <c r="B540" s="52" t="s">
        <v>172</v>
      </c>
      <c r="C540" s="53">
        <v>2016</v>
      </c>
      <c r="D540" s="52" t="s">
        <v>121</v>
      </c>
      <c r="E540" s="54">
        <v>7</v>
      </c>
      <c r="F540" s="55">
        <v>337.4</v>
      </c>
      <c r="G540" s="55">
        <v>42.3</v>
      </c>
    </row>
    <row r="541" spans="1:7" ht="10.050000000000001" customHeight="1">
      <c r="A541" s="52" t="s">
        <v>421</v>
      </c>
      <c r="B541" s="52" t="s">
        <v>172</v>
      </c>
      <c r="C541" s="53">
        <v>2016</v>
      </c>
      <c r="D541" s="52" t="s">
        <v>121</v>
      </c>
      <c r="E541" s="54">
        <v>8</v>
      </c>
      <c r="F541" s="55">
        <v>70</v>
      </c>
      <c r="G541" s="55">
        <v>58.2</v>
      </c>
    </row>
    <row r="542" spans="1:7" ht="10.050000000000001" customHeight="1">
      <c r="A542" s="52" t="s">
        <v>421</v>
      </c>
      <c r="B542" s="52" t="s">
        <v>172</v>
      </c>
      <c r="C542" s="53">
        <v>2016</v>
      </c>
      <c r="D542" s="52" t="s">
        <v>121</v>
      </c>
      <c r="E542" s="54">
        <v>9</v>
      </c>
      <c r="F542" s="55">
        <v>18.63</v>
      </c>
      <c r="G542" s="55">
        <v>186.89</v>
      </c>
    </row>
    <row r="543" spans="1:7" ht="10.050000000000001" customHeight="1">
      <c r="A543" s="52" t="s">
        <v>421</v>
      </c>
      <c r="B543" s="52" t="s">
        <v>172</v>
      </c>
      <c r="C543" s="53">
        <v>2016</v>
      </c>
      <c r="D543" s="52" t="s">
        <v>121</v>
      </c>
      <c r="E543" s="54">
        <v>10</v>
      </c>
      <c r="F543" s="55">
        <v>736.98</v>
      </c>
      <c r="G543" s="55">
        <v>245.05</v>
      </c>
    </row>
    <row r="544" spans="1:7" ht="10.050000000000001" customHeight="1">
      <c r="A544" s="52" t="s">
        <v>421</v>
      </c>
      <c r="B544" s="52" t="s">
        <v>172</v>
      </c>
      <c r="C544" s="53">
        <v>2016</v>
      </c>
      <c r="D544" s="52" t="s">
        <v>121</v>
      </c>
      <c r="E544" s="54">
        <v>11</v>
      </c>
      <c r="F544" s="55">
        <v>3162.2130000000002</v>
      </c>
      <c r="G544" s="55">
        <v>322.697</v>
      </c>
    </row>
    <row r="545" spans="1:7" ht="10.050000000000001" customHeight="1">
      <c r="A545" s="52" t="s">
        <v>421</v>
      </c>
      <c r="B545" s="52" t="s">
        <v>172</v>
      </c>
      <c r="C545" s="53">
        <v>2016</v>
      </c>
      <c r="D545" s="52" t="s">
        <v>121</v>
      </c>
      <c r="E545" s="54">
        <v>12</v>
      </c>
      <c r="F545" s="55">
        <v>2749.1460000000002</v>
      </c>
      <c r="G545" s="55">
        <v>288.43099999999998</v>
      </c>
    </row>
    <row r="546" spans="1:7" ht="10.050000000000001" customHeight="1">
      <c r="A546" s="52" t="s">
        <v>421</v>
      </c>
      <c r="B546" s="52" t="s">
        <v>172</v>
      </c>
      <c r="C546" s="53">
        <v>2017</v>
      </c>
      <c r="D546" s="52" t="s">
        <v>121</v>
      </c>
      <c r="E546" s="54">
        <v>1</v>
      </c>
      <c r="F546" s="55">
        <v>2708.8180000000002</v>
      </c>
      <c r="G546" s="55">
        <v>304.49299999999999</v>
      </c>
    </row>
    <row r="547" spans="1:7" ht="10.050000000000001" customHeight="1">
      <c r="A547" s="52" t="s">
        <v>421</v>
      </c>
      <c r="B547" s="52" t="s">
        <v>172</v>
      </c>
      <c r="C547" s="53">
        <v>2017</v>
      </c>
      <c r="D547" s="52" t="s">
        <v>121</v>
      </c>
      <c r="E547" s="54">
        <v>2</v>
      </c>
      <c r="F547" s="55">
        <v>2972.0430000000001</v>
      </c>
      <c r="G547" s="55">
        <v>408.95</v>
      </c>
    </row>
    <row r="548" spans="1:7" ht="10.050000000000001" customHeight="1">
      <c r="A548" s="52" t="s">
        <v>421</v>
      </c>
      <c r="B548" s="52" t="s">
        <v>172</v>
      </c>
      <c r="C548" s="53">
        <v>2017</v>
      </c>
      <c r="D548" s="52" t="s">
        <v>121</v>
      </c>
      <c r="E548" s="54">
        <v>3</v>
      </c>
      <c r="F548" s="55">
        <v>3397.96</v>
      </c>
      <c r="G548" s="55">
        <v>376.07</v>
      </c>
    </row>
    <row r="549" spans="1:7" ht="10.050000000000001" customHeight="1">
      <c r="A549" s="52" t="s">
        <v>421</v>
      </c>
      <c r="B549" s="52" t="s">
        <v>172</v>
      </c>
      <c r="C549" s="53">
        <v>2017</v>
      </c>
      <c r="D549" s="52" t="s">
        <v>121</v>
      </c>
      <c r="E549" s="54">
        <v>4</v>
      </c>
      <c r="F549" s="55">
        <v>3593.97</v>
      </c>
      <c r="G549" s="55">
        <v>564.4</v>
      </c>
    </row>
    <row r="550" spans="1:7" ht="10.050000000000001" customHeight="1">
      <c r="A550" s="52" t="s">
        <v>421</v>
      </c>
      <c r="B550" s="52" t="s">
        <v>172</v>
      </c>
      <c r="C550" s="53">
        <v>2017</v>
      </c>
      <c r="D550" s="52" t="s">
        <v>121</v>
      </c>
      <c r="E550" s="54">
        <v>5</v>
      </c>
      <c r="F550" s="55">
        <v>3990.43</v>
      </c>
      <c r="G550" s="55">
        <v>424.47</v>
      </c>
    </row>
    <row r="551" spans="1:7" ht="10.050000000000001" customHeight="1">
      <c r="A551" s="52" t="s">
        <v>421</v>
      </c>
      <c r="B551" s="52" t="s">
        <v>172</v>
      </c>
      <c r="C551" s="53">
        <v>2017</v>
      </c>
      <c r="D551" s="52" t="s">
        <v>121</v>
      </c>
      <c r="E551" s="54">
        <v>6</v>
      </c>
      <c r="F551" s="55">
        <v>3250.58</v>
      </c>
      <c r="G551" s="55">
        <v>653.83000000000004</v>
      </c>
    </row>
    <row r="552" spans="1:7" ht="10.050000000000001" customHeight="1">
      <c r="A552" s="52" t="s">
        <v>421</v>
      </c>
      <c r="B552" s="52" t="s">
        <v>172</v>
      </c>
      <c r="C552" s="53">
        <v>2017</v>
      </c>
      <c r="D552" s="52" t="s">
        <v>122</v>
      </c>
      <c r="E552" s="54">
        <v>7</v>
      </c>
      <c r="F552" s="55">
        <v>2900.17</v>
      </c>
      <c r="G552" s="55">
        <v>308.95999999999998</v>
      </c>
    </row>
    <row r="553" spans="1:7" ht="10.050000000000001" customHeight="1">
      <c r="A553" s="52" t="s">
        <v>421</v>
      </c>
      <c r="B553" s="52" t="s">
        <v>172</v>
      </c>
      <c r="C553" s="53">
        <v>2017</v>
      </c>
      <c r="D553" s="52" t="s">
        <v>122</v>
      </c>
      <c r="E553" s="54">
        <v>8</v>
      </c>
      <c r="F553" s="55">
        <v>2818.38</v>
      </c>
      <c r="G553" s="55">
        <v>396.8</v>
      </c>
    </row>
    <row r="554" spans="1:7" ht="10.050000000000001" customHeight="1">
      <c r="A554" s="52" t="s">
        <v>421</v>
      </c>
      <c r="B554" s="52" t="s">
        <v>172</v>
      </c>
      <c r="C554" s="53">
        <v>2017</v>
      </c>
      <c r="D554" s="52" t="s">
        <v>122</v>
      </c>
      <c r="E554" s="54">
        <v>9</v>
      </c>
      <c r="F554" s="55">
        <v>2378.8200000000002</v>
      </c>
      <c r="G554" s="55">
        <v>153.69999999999999</v>
      </c>
    </row>
    <row r="555" spans="1:7" ht="10.050000000000001" customHeight="1">
      <c r="A555" s="52" t="s">
        <v>421</v>
      </c>
      <c r="B555" s="52" t="s">
        <v>172</v>
      </c>
      <c r="C555" s="53">
        <v>2017</v>
      </c>
      <c r="D555" s="52" t="s">
        <v>122</v>
      </c>
      <c r="E555" s="54">
        <v>10</v>
      </c>
      <c r="F555" s="55">
        <v>465.6</v>
      </c>
      <c r="G555" s="55">
        <v>11.2</v>
      </c>
    </row>
    <row r="556" spans="1:7" ht="10.050000000000001" customHeight="1">
      <c r="A556" s="52" t="s">
        <v>421</v>
      </c>
      <c r="B556" s="52" t="s">
        <v>172</v>
      </c>
      <c r="C556" s="53">
        <v>2017</v>
      </c>
      <c r="D556" s="52" t="s">
        <v>122</v>
      </c>
      <c r="E556" s="54">
        <v>11</v>
      </c>
      <c r="F556" s="55">
        <v>186.8</v>
      </c>
      <c r="G556" s="55">
        <v>2.9</v>
      </c>
    </row>
    <row r="557" spans="1:7" ht="10.050000000000001" customHeight="1">
      <c r="A557" s="52" t="s">
        <v>421</v>
      </c>
      <c r="B557" s="52" t="s">
        <v>172</v>
      </c>
      <c r="C557" s="53">
        <v>2017</v>
      </c>
      <c r="D557" s="52" t="s">
        <v>122</v>
      </c>
      <c r="E557" s="54">
        <v>12</v>
      </c>
      <c r="F557" s="55">
        <v>32.299999999999997</v>
      </c>
      <c r="G557" s="55">
        <v>0.6</v>
      </c>
    </row>
    <row r="558" spans="1:7" ht="10.050000000000001" customHeight="1">
      <c r="A558" s="52" t="s">
        <v>421</v>
      </c>
      <c r="B558" s="52" t="s">
        <v>172</v>
      </c>
      <c r="C558" s="53">
        <v>2018</v>
      </c>
      <c r="D558" s="52" t="s">
        <v>122</v>
      </c>
      <c r="E558" s="54">
        <v>1</v>
      </c>
      <c r="F558" s="55">
        <v>385.36</v>
      </c>
      <c r="G558" s="55">
        <v>170.46</v>
      </c>
    </row>
    <row r="559" spans="1:7" ht="10.050000000000001" customHeight="1">
      <c r="A559" s="52" t="s">
        <v>421</v>
      </c>
      <c r="B559" s="52" t="s">
        <v>172</v>
      </c>
      <c r="C559" s="53">
        <v>2018</v>
      </c>
      <c r="D559" s="52" t="s">
        <v>122</v>
      </c>
      <c r="E559" s="54">
        <v>2</v>
      </c>
      <c r="F559" s="55">
        <v>1371.54</v>
      </c>
      <c r="G559" s="55">
        <v>214.66</v>
      </c>
    </row>
    <row r="560" spans="1:7" ht="10.050000000000001" customHeight="1">
      <c r="A560" s="52" t="s">
        <v>421</v>
      </c>
      <c r="B560" s="52" t="s">
        <v>172</v>
      </c>
      <c r="C560" s="53">
        <v>2018</v>
      </c>
      <c r="D560" s="52" t="s">
        <v>122</v>
      </c>
      <c r="E560" s="54">
        <v>3</v>
      </c>
      <c r="F560" s="55">
        <v>1825.01</v>
      </c>
      <c r="G560" s="55">
        <v>256.3</v>
      </c>
    </row>
    <row r="561" spans="1:7" ht="10.050000000000001" customHeight="1">
      <c r="A561" s="52" t="s">
        <v>421</v>
      </c>
      <c r="B561" s="52" t="s">
        <v>172</v>
      </c>
      <c r="C561" s="53">
        <v>2018</v>
      </c>
      <c r="D561" s="52" t="s">
        <v>122</v>
      </c>
      <c r="E561" s="54">
        <v>4</v>
      </c>
      <c r="F561" s="55">
        <v>2455.721</v>
      </c>
      <c r="G561" s="55">
        <v>189.49</v>
      </c>
    </row>
    <row r="562" spans="1:7" ht="10.050000000000001" customHeight="1">
      <c r="A562" s="52" t="s">
        <v>421</v>
      </c>
      <c r="B562" s="52" t="s">
        <v>172</v>
      </c>
      <c r="C562" s="53">
        <v>2018</v>
      </c>
      <c r="D562" s="52" t="s">
        <v>122</v>
      </c>
      <c r="E562" s="54">
        <v>5</v>
      </c>
      <c r="F562" s="55">
        <v>2361.02</v>
      </c>
      <c r="G562" s="55">
        <v>140.87</v>
      </c>
    </row>
    <row r="563" spans="1:7" ht="10.050000000000001" customHeight="1">
      <c r="A563" s="52" t="s">
        <v>421</v>
      </c>
      <c r="B563" s="52" t="s">
        <v>172</v>
      </c>
      <c r="C563" s="53">
        <v>2018</v>
      </c>
      <c r="D563" s="52" t="s">
        <v>122</v>
      </c>
      <c r="E563" s="54">
        <v>6</v>
      </c>
      <c r="F563" s="55">
        <v>287.02999999999997</v>
      </c>
      <c r="G563" s="55">
        <v>89.6</v>
      </c>
    </row>
    <row r="564" spans="1:7" ht="10.050000000000001" customHeight="1">
      <c r="A564" s="52" t="s">
        <v>421</v>
      </c>
      <c r="B564" s="52" t="s">
        <v>172</v>
      </c>
      <c r="C564" s="53">
        <v>2018</v>
      </c>
      <c r="D564" s="52" t="s">
        <v>123</v>
      </c>
      <c r="E564" s="54">
        <v>7</v>
      </c>
      <c r="F564" s="55">
        <v>408.9</v>
      </c>
      <c r="G564" s="55">
        <v>162.41999999999999</v>
      </c>
    </row>
    <row r="565" spans="1:7" ht="10.050000000000001" customHeight="1">
      <c r="A565" s="52" t="s">
        <v>421</v>
      </c>
      <c r="B565" s="52" t="s">
        <v>172</v>
      </c>
      <c r="C565" s="53">
        <v>2018</v>
      </c>
      <c r="D565" s="52" t="s">
        <v>123</v>
      </c>
      <c r="E565" s="54">
        <v>8</v>
      </c>
      <c r="F565" s="55">
        <v>2694.11</v>
      </c>
      <c r="G565" s="55">
        <v>772.29</v>
      </c>
    </row>
    <row r="566" spans="1:7" ht="10.050000000000001" customHeight="1">
      <c r="A566" s="52" t="s">
        <v>421</v>
      </c>
      <c r="B566" s="52" t="s">
        <v>172</v>
      </c>
      <c r="C566" s="53">
        <v>2018</v>
      </c>
      <c r="D566" s="52" t="s">
        <v>123</v>
      </c>
      <c r="E566" s="54">
        <v>9</v>
      </c>
      <c r="F566" s="55">
        <v>4460.22</v>
      </c>
      <c r="G566" s="55">
        <v>956.67</v>
      </c>
    </row>
    <row r="567" spans="1:7" ht="10.050000000000001" customHeight="1">
      <c r="A567" s="52" t="s">
        <v>421</v>
      </c>
      <c r="B567" s="52" t="s">
        <v>172</v>
      </c>
      <c r="C567" s="53">
        <v>2018</v>
      </c>
      <c r="D567" s="52" t="s">
        <v>123</v>
      </c>
      <c r="E567" s="54">
        <v>10</v>
      </c>
      <c r="F567" s="55">
        <v>6635.82</v>
      </c>
      <c r="G567" s="55">
        <v>972.86199999999997</v>
      </c>
    </row>
    <row r="568" spans="1:7" ht="10.050000000000001" customHeight="1">
      <c r="A568" s="52" t="s">
        <v>421</v>
      </c>
      <c r="B568" s="52" t="s">
        <v>172</v>
      </c>
      <c r="C568" s="53">
        <v>2018</v>
      </c>
      <c r="D568" s="52" t="s">
        <v>123</v>
      </c>
      <c r="E568" s="54">
        <v>11</v>
      </c>
      <c r="F568" s="55">
        <v>6156.2020000000002</v>
      </c>
      <c r="G568" s="55">
        <v>958.40200000000004</v>
      </c>
    </row>
    <row r="569" spans="1:7" ht="10.050000000000001" customHeight="1">
      <c r="A569" s="52" t="s">
        <v>421</v>
      </c>
      <c r="B569" s="52" t="s">
        <v>172</v>
      </c>
      <c r="C569" s="53">
        <v>2018</v>
      </c>
      <c r="D569" s="52" t="s">
        <v>123</v>
      </c>
      <c r="E569" s="54">
        <v>12</v>
      </c>
      <c r="F569" s="55">
        <v>5564.24</v>
      </c>
      <c r="G569" s="55">
        <v>804.92</v>
      </c>
    </row>
    <row r="570" spans="1:7" ht="10.050000000000001" customHeight="1">
      <c r="A570" s="52" t="s">
        <v>421</v>
      </c>
      <c r="B570" s="52" t="s">
        <v>172</v>
      </c>
      <c r="C570" s="53">
        <v>2019</v>
      </c>
      <c r="D570" s="52" t="s">
        <v>123</v>
      </c>
      <c r="E570" s="54">
        <v>1</v>
      </c>
      <c r="F570" s="55">
        <v>6203.36</v>
      </c>
      <c r="G570" s="55">
        <v>728.12099999999998</v>
      </c>
    </row>
    <row r="571" spans="1:7" ht="10.050000000000001" customHeight="1">
      <c r="A571" s="52" t="s">
        <v>421</v>
      </c>
      <c r="B571" s="52" t="s">
        <v>172</v>
      </c>
      <c r="C571" s="53">
        <v>2019</v>
      </c>
      <c r="D571" s="52" t="s">
        <v>123</v>
      </c>
      <c r="E571" s="54">
        <v>2</v>
      </c>
      <c r="F571" s="55">
        <v>6295.22</v>
      </c>
      <c r="G571" s="55">
        <v>893.48099999999999</v>
      </c>
    </row>
    <row r="572" spans="1:7" ht="10.050000000000001" customHeight="1">
      <c r="A572" s="52" t="s">
        <v>421</v>
      </c>
      <c r="B572" s="52" t="s">
        <v>172</v>
      </c>
      <c r="C572" s="53">
        <v>2019</v>
      </c>
      <c r="D572" s="52" t="s">
        <v>123</v>
      </c>
      <c r="E572" s="54">
        <v>3</v>
      </c>
      <c r="F572" s="55">
        <v>7623.11</v>
      </c>
      <c r="G572" s="55">
        <v>1071.3409999999999</v>
      </c>
    </row>
    <row r="573" spans="1:7" ht="10.050000000000001" customHeight="1">
      <c r="A573" s="52" t="s">
        <v>421</v>
      </c>
      <c r="B573" s="52" t="s">
        <v>172</v>
      </c>
      <c r="C573" s="53">
        <v>2019</v>
      </c>
      <c r="D573" s="52" t="s">
        <v>123</v>
      </c>
      <c r="E573" s="54">
        <v>4</v>
      </c>
      <c r="F573" s="55">
        <v>7913.71</v>
      </c>
      <c r="G573" s="55">
        <v>985.38199999999995</v>
      </c>
    </row>
    <row r="574" spans="1:7" ht="10.050000000000001" customHeight="1">
      <c r="A574" s="52" t="s">
        <v>421</v>
      </c>
      <c r="B574" s="52" t="s">
        <v>172</v>
      </c>
      <c r="C574" s="53">
        <v>2019</v>
      </c>
      <c r="D574" s="52" t="s">
        <v>123</v>
      </c>
      <c r="E574" s="54">
        <v>5</v>
      </c>
      <c r="F574" s="55">
        <v>10266.030000000001</v>
      </c>
      <c r="G574" s="55">
        <v>718.96500000000003</v>
      </c>
    </row>
    <row r="575" spans="1:7" ht="10.050000000000001" customHeight="1">
      <c r="A575" s="52" t="s">
        <v>421</v>
      </c>
      <c r="B575" s="52" t="s">
        <v>172</v>
      </c>
      <c r="C575" s="53">
        <v>2019</v>
      </c>
      <c r="D575" s="52" t="s">
        <v>123</v>
      </c>
      <c r="E575" s="54">
        <v>6</v>
      </c>
      <c r="F575" s="55">
        <v>7068.32</v>
      </c>
      <c r="G575" s="55">
        <v>1359.1610000000001</v>
      </c>
    </row>
    <row r="576" spans="1:7" ht="10.050000000000001" customHeight="1">
      <c r="A576" s="52" t="s">
        <v>421</v>
      </c>
      <c r="B576" s="52" t="s">
        <v>172</v>
      </c>
      <c r="C576" s="53">
        <v>2019</v>
      </c>
      <c r="D576" s="52" t="s">
        <v>124</v>
      </c>
      <c r="E576" s="54">
        <v>7</v>
      </c>
      <c r="F576" s="55">
        <v>3701.9830000000002</v>
      </c>
      <c r="G576" s="55">
        <v>188.88800000000001</v>
      </c>
    </row>
    <row r="577" spans="1:7" ht="10.050000000000001" customHeight="1">
      <c r="A577" s="52" t="s">
        <v>421</v>
      </c>
      <c r="B577" s="52" t="s">
        <v>172</v>
      </c>
      <c r="C577" s="53">
        <v>2019</v>
      </c>
      <c r="D577" s="52" t="s">
        <v>124</v>
      </c>
      <c r="E577" s="54">
        <v>8</v>
      </c>
      <c r="F577" s="55">
        <v>727.55499999999995</v>
      </c>
      <c r="G577" s="55">
        <v>194.80699999999999</v>
      </c>
    </row>
    <row r="578" spans="1:7" ht="10.050000000000001" customHeight="1">
      <c r="A578" s="52" t="s">
        <v>421</v>
      </c>
      <c r="B578" s="52" t="s">
        <v>172</v>
      </c>
      <c r="C578" s="53">
        <v>2019</v>
      </c>
      <c r="D578" s="52" t="s">
        <v>124</v>
      </c>
      <c r="E578" s="54">
        <v>9</v>
      </c>
      <c r="F578" s="55">
        <v>1046.152</v>
      </c>
      <c r="G578" s="55">
        <v>114.824</v>
      </c>
    </row>
    <row r="579" spans="1:7" ht="10.050000000000001" customHeight="1">
      <c r="A579" s="52" t="s">
        <v>421</v>
      </c>
      <c r="B579" s="52" t="s">
        <v>172</v>
      </c>
      <c r="C579" s="53">
        <v>2019</v>
      </c>
      <c r="D579" s="52" t="s">
        <v>124</v>
      </c>
      <c r="E579" s="54">
        <v>10</v>
      </c>
      <c r="F579" s="55">
        <v>462.84899999999999</v>
      </c>
      <c r="G579" s="55">
        <v>71.914000000000001</v>
      </c>
    </row>
    <row r="580" spans="1:7" ht="10.050000000000001" customHeight="1">
      <c r="A580" s="52" t="s">
        <v>421</v>
      </c>
      <c r="B580" s="52" t="s">
        <v>172</v>
      </c>
      <c r="C580" s="53">
        <v>2019</v>
      </c>
      <c r="D580" s="52" t="s">
        <v>124</v>
      </c>
      <c r="E580" s="54">
        <v>11</v>
      </c>
      <c r="F580" s="55">
        <v>273.96800000000002</v>
      </c>
      <c r="G580" s="55">
        <v>13.12</v>
      </c>
    </row>
    <row r="581" spans="1:7" ht="10.050000000000001" customHeight="1">
      <c r="A581" s="52" t="s">
        <v>421</v>
      </c>
      <c r="B581" s="52" t="s">
        <v>172</v>
      </c>
      <c r="C581" s="53">
        <v>2019</v>
      </c>
      <c r="D581" s="52" t="s">
        <v>124</v>
      </c>
      <c r="E581" s="54">
        <v>12</v>
      </c>
      <c r="F581" s="55">
        <v>117.83</v>
      </c>
      <c r="G581" s="55">
        <v>0.6</v>
      </c>
    </row>
    <row r="582" spans="1:7" ht="10.050000000000001" customHeight="1">
      <c r="A582" s="52" t="s">
        <v>421</v>
      </c>
      <c r="B582" s="52" t="s">
        <v>172</v>
      </c>
      <c r="C582" s="53">
        <v>2020</v>
      </c>
      <c r="D582" s="52" t="s">
        <v>124</v>
      </c>
      <c r="E582" s="54">
        <v>1</v>
      </c>
      <c r="F582" s="55">
        <v>0</v>
      </c>
      <c r="G582" s="55">
        <v>0.6</v>
      </c>
    </row>
    <row r="583" spans="1:7" ht="10.050000000000001" customHeight="1">
      <c r="A583" s="52" t="s">
        <v>421</v>
      </c>
      <c r="B583" s="52" t="s">
        <v>172</v>
      </c>
      <c r="C583" s="53">
        <v>2020</v>
      </c>
      <c r="D583" s="52" t="s">
        <v>124</v>
      </c>
      <c r="E583" s="54">
        <v>2</v>
      </c>
      <c r="F583" s="55">
        <v>19.7</v>
      </c>
      <c r="G583" s="55">
        <v>14.3</v>
      </c>
    </row>
    <row r="584" spans="1:7" ht="10.050000000000001" customHeight="1">
      <c r="A584" s="52" t="s">
        <v>421</v>
      </c>
      <c r="B584" s="52" t="s">
        <v>172</v>
      </c>
      <c r="C584" s="53">
        <v>2020</v>
      </c>
      <c r="D584" s="52" t="s">
        <v>124</v>
      </c>
      <c r="E584" s="54">
        <v>3</v>
      </c>
      <c r="F584" s="55">
        <v>15.2</v>
      </c>
      <c r="G584" s="55">
        <v>0.6</v>
      </c>
    </row>
    <row r="585" spans="1:7" ht="10.050000000000001" customHeight="1">
      <c r="A585" s="52" t="s">
        <v>421</v>
      </c>
      <c r="B585" s="52" t="s">
        <v>172</v>
      </c>
      <c r="C585" s="53">
        <v>2020</v>
      </c>
      <c r="D585" s="52" t="s">
        <v>124</v>
      </c>
      <c r="E585" s="54">
        <v>4</v>
      </c>
      <c r="F585" s="55">
        <v>0</v>
      </c>
      <c r="G585" s="55">
        <v>0.6</v>
      </c>
    </row>
    <row r="586" spans="1:7" ht="10.050000000000001" customHeight="1">
      <c r="A586" s="52" t="s">
        <v>421</v>
      </c>
      <c r="B586" s="52" t="s">
        <v>172</v>
      </c>
      <c r="C586" s="53">
        <v>2020</v>
      </c>
      <c r="D586" s="52" t="s">
        <v>124</v>
      </c>
      <c r="E586" s="54">
        <v>5</v>
      </c>
      <c r="F586" s="55">
        <v>0</v>
      </c>
      <c r="G586" s="55">
        <v>0.6</v>
      </c>
    </row>
    <row r="587" spans="1:7" ht="10.050000000000001" customHeight="1">
      <c r="A587" s="52" t="s">
        <v>421</v>
      </c>
      <c r="B587" s="52" t="s">
        <v>172</v>
      </c>
      <c r="C587" s="53">
        <v>2020</v>
      </c>
      <c r="D587" s="52" t="s">
        <v>124</v>
      </c>
      <c r="E587" s="54">
        <v>6</v>
      </c>
      <c r="F587" s="55">
        <v>0</v>
      </c>
      <c r="G587" s="55">
        <v>0.6</v>
      </c>
    </row>
    <row r="588" spans="1:7" ht="10.050000000000001" customHeight="1">
      <c r="A588" s="52" t="s">
        <v>421</v>
      </c>
      <c r="B588" s="52" t="s">
        <v>172</v>
      </c>
      <c r="C588" s="53">
        <v>2020</v>
      </c>
      <c r="D588" s="52" t="s">
        <v>125</v>
      </c>
      <c r="E588" s="54">
        <v>7</v>
      </c>
      <c r="F588" s="55">
        <v>0</v>
      </c>
      <c r="G588" s="55">
        <v>0.6</v>
      </c>
    </row>
    <row r="589" spans="1:7" ht="10.050000000000001" customHeight="1">
      <c r="A589" s="52" t="s">
        <v>421</v>
      </c>
      <c r="B589" s="52" t="s">
        <v>172</v>
      </c>
      <c r="C589" s="53">
        <v>2020</v>
      </c>
      <c r="D589" s="52" t="s">
        <v>125</v>
      </c>
      <c r="E589" s="54">
        <v>8</v>
      </c>
      <c r="F589" s="55">
        <v>0</v>
      </c>
      <c r="G589" s="55">
        <v>0.6</v>
      </c>
    </row>
    <row r="590" spans="1:7" ht="10.050000000000001" customHeight="1">
      <c r="A590" s="52" t="s">
        <v>421</v>
      </c>
      <c r="B590" s="52" t="s">
        <v>172</v>
      </c>
      <c r="C590" s="53">
        <v>2020</v>
      </c>
      <c r="D590" s="52" t="s">
        <v>125</v>
      </c>
      <c r="E590" s="54">
        <v>9</v>
      </c>
      <c r="F590" s="55">
        <v>0</v>
      </c>
      <c r="G590" s="55">
        <v>0.6</v>
      </c>
    </row>
    <row r="591" spans="1:7" ht="10.050000000000001" customHeight="1">
      <c r="A591" s="52" t="s">
        <v>421</v>
      </c>
      <c r="B591" s="52" t="s">
        <v>172</v>
      </c>
      <c r="C591" s="53">
        <v>2020</v>
      </c>
      <c r="D591" s="52" t="s">
        <v>125</v>
      </c>
      <c r="E591" s="54">
        <v>10</v>
      </c>
      <c r="F591" s="55">
        <v>0</v>
      </c>
      <c r="G591" s="55">
        <v>0.6</v>
      </c>
    </row>
    <row r="592" spans="1:7" ht="10.050000000000001" customHeight="1">
      <c r="A592" s="52" t="s">
        <v>421</v>
      </c>
      <c r="B592" s="52" t="s">
        <v>172</v>
      </c>
      <c r="C592" s="53">
        <v>2020</v>
      </c>
      <c r="D592" s="52" t="s">
        <v>125</v>
      </c>
      <c r="E592" s="54">
        <v>11</v>
      </c>
      <c r="F592" s="55">
        <v>174</v>
      </c>
      <c r="G592" s="55">
        <v>7.6</v>
      </c>
    </row>
    <row r="593" spans="1:7" ht="10.050000000000001" customHeight="1">
      <c r="A593" s="52" t="s">
        <v>421</v>
      </c>
      <c r="B593" s="52" t="s">
        <v>172</v>
      </c>
      <c r="C593" s="53">
        <v>2020</v>
      </c>
      <c r="D593" s="52" t="s">
        <v>125</v>
      </c>
      <c r="E593" s="54">
        <v>12</v>
      </c>
      <c r="F593" s="55">
        <v>283.3</v>
      </c>
      <c r="G593" s="55">
        <v>16.600000000000001</v>
      </c>
    </row>
    <row r="594" spans="1:7" ht="10.050000000000001" customHeight="1">
      <c r="A594" s="52" t="s">
        <v>421</v>
      </c>
      <c r="B594" s="52" t="s">
        <v>172</v>
      </c>
      <c r="C594" s="53">
        <v>2021</v>
      </c>
      <c r="D594" s="52" t="s">
        <v>125</v>
      </c>
      <c r="E594" s="54">
        <v>1</v>
      </c>
      <c r="F594" s="55">
        <v>220</v>
      </c>
      <c r="G594" s="55">
        <v>6.6</v>
      </c>
    </row>
    <row r="595" spans="1:7" ht="10.050000000000001" customHeight="1">
      <c r="A595" s="52" t="s">
        <v>421</v>
      </c>
      <c r="B595" s="52" t="s">
        <v>172</v>
      </c>
      <c r="C595" s="53">
        <v>2021</v>
      </c>
      <c r="D595" s="52" t="s">
        <v>125</v>
      </c>
      <c r="E595" s="54">
        <v>2</v>
      </c>
      <c r="F595" s="55">
        <v>748.25</v>
      </c>
      <c r="G595" s="55">
        <v>83.37</v>
      </c>
    </row>
    <row r="596" spans="1:7" ht="10.050000000000001" customHeight="1">
      <c r="A596" s="52" t="s">
        <v>421</v>
      </c>
      <c r="B596" s="52" t="s">
        <v>172</v>
      </c>
      <c r="C596" s="53">
        <v>2021</v>
      </c>
      <c r="D596" s="52" t="s">
        <v>125</v>
      </c>
      <c r="E596" s="54">
        <v>3</v>
      </c>
      <c r="F596" s="55">
        <v>1159.53</v>
      </c>
      <c r="G596" s="55">
        <v>179.38200000000001</v>
      </c>
    </row>
    <row r="597" spans="1:7" ht="10.050000000000001" customHeight="1">
      <c r="A597" s="52" t="s">
        <v>421</v>
      </c>
      <c r="B597" s="52" t="s">
        <v>172</v>
      </c>
      <c r="C597" s="53">
        <v>2021</v>
      </c>
      <c r="D597" s="52" t="s">
        <v>125</v>
      </c>
      <c r="E597" s="54">
        <v>4</v>
      </c>
      <c r="F597" s="55">
        <v>1155.28</v>
      </c>
      <c r="G597" s="55">
        <v>171.298</v>
      </c>
    </row>
    <row r="598" spans="1:7" ht="10.050000000000001" customHeight="1">
      <c r="A598" s="52" t="s">
        <v>421</v>
      </c>
      <c r="B598" s="52" t="s">
        <v>172</v>
      </c>
      <c r="C598" s="53">
        <v>2021</v>
      </c>
      <c r="D598" s="52" t="s">
        <v>125</v>
      </c>
      <c r="E598" s="54">
        <v>5</v>
      </c>
      <c r="F598" s="55">
        <v>486.52</v>
      </c>
      <c r="G598" s="55">
        <v>53.674999999999997</v>
      </c>
    </row>
    <row r="599" spans="1:7" ht="10.050000000000001" customHeight="1">
      <c r="A599" s="52" t="s">
        <v>421</v>
      </c>
      <c r="B599" s="52" t="s">
        <v>172</v>
      </c>
      <c r="C599" s="53">
        <v>2021</v>
      </c>
      <c r="D599" s="52" t="s">
        <v>125</v>
      </c>
      <c r="E599" s="54">
        <v>6</v>
      </c>
      <c r="F599" s="55">
        <v>252.3</v>
      </c>
      <c r="G599" s="55">
        <v>51.109000000000002</v>
      </c>
    </row>
    <row r="600" spans="1:7" ht="10.050000000000001" customHeight="1">
      <c r="A600" s="52" t="s">
        <v>421</v>
      </c>
      <c r="B600" s="52" t="s">
        <v>172</v>
      </c>
      <c r="C600" s="53">
        <v>2021</v>
      </c>
      <c r="D600" s="52" t="s">
        <v>126</v>
      </c>
      <c r="E600" s="54">
        <v>7</v>
      </c>
      <c r="F600" s="55">
        <v>48.04</v>
      </c>
      <c r="G600" s="55">
        <v>20.7</v>
      </c>
    </row>
    <row r="601" spans="1:7" ht="10.050000000000001" customHeight="1">
      <c r="A601" s="52" t="s">
        <v>421</v>
      </c>
      <c r="B601" s="52" t="s">
        <v>172</v>
      </c>
      <c r="C601" s="53">
        <v>2021</v>
      </c>
      <c r="D601" s="52" t="s">
        <v>126</v>
      </c>
      <c r="E601" s="54">
        <v>8</v>
      </c>
      <c r="F601" s="55">
        <v>19.3</v>
      </c>
      <c r="G601" s="55">
        <v>31.4</v>
      </c>
    </row>
    <row r="602" spans="1:7" ht="10.050000000000001" customHeight="1">
      <c r="A602" s="52" t="s">
        <v>421</v>
      </c>
      <c r="B602" s="52" t="s">
        <v>172</v>
      </c>
      <c r="C602" s="53">
        <v>2021</v>
      </c>
      <c r="D602" s="52" t="s">
        <v>126</v>
      </c>
      <c r="E602" s="54">
        <v>9</v>
      </c>
      <c r="F602" s="55">
        <v>30.7</v>
      </c>
      <c r="G602" s="55">
        <v>0.6</v>
      </c>
    </row>
    <row r="603" spans="1:7" ht="10.050000000000001" customHeight="1">
      <c r="A603" s="52" t="s">
        <v>421</v>
      </c>
      <c r="B603" s="52" t="s">
        <v>172</v>
      </c>
      <c r="C603" s="53">
        <v>2021</v>
      </c>
      <c r="D603" s="52" t="s">
        <v>126</v>
      </c>
      <c r="E603" s="54">
        <v>10</v>
      </c>
      <c r="F603" s="55">
        <v>84.47</v>
      </c>
      <c r="G603" s="55">
        <v>0.6</v>
      </c>
    </row>
    <row r="604" spans="1:7" ht="10.050000000000001" customHeight="1">
      <c r="A604" s="52" t="s">
        <v>421</v>
      </c>
      <c r="B604" s="52" t="s">
        <v>172</v>
      </c>
      <c r="C604" s="53">
        <v>2021</v>
      </c>
      <c r="D604" s="52" t="s">
        <v>126</v>
      </c>
      <c r="E604" s="54">
        <v>11</v>
      </c>
      <c r="F604" s="55">
        <v>0</v>
      </c>
      <c r="G604" s="55">
        <v>20.6</v>
      </c>
    </row>
    <row r="605" spans="1:7" ht="10.050000000000001" customHeight="1">
      <c r="A605" s="52" t="s">
        <v>421</v>
      </c>
      <c r="B605" s="52" t="s">
        <v>172</v>
      </c>
      <c r="C605" s="53">
        <v>2021</v>
      </c>
      <c r="D605" s="52" t="s">
        <v>126</v>
      </c>
      <c r="E605" s="54">
        <v>12</v>
      </c>
      <c r="F605" s="55">
        <v>0</v>
      </c>
      <c r="G605" s="55">
        <v>0.6</v>
      </c>
    </row>
    <row r="606" spans="1:7" ht="10.050000000000001" customHeight="1">
      <c r="A606" s="52" t="s">
        <v>421</v>
      </c>
      <c r="B606" s="52" t="s">
        <v>172</v>
      </c>
      <c r="C606" s="53">
        <v>2022</v>
      </c>
      <c r="D606" s="52" t="s">
        <v>126</v>
      </c>
      <c r="E606" s="54">
        <v>1</v>
      </c>
      <c r="F606" s="55">
        <v>0</v>
      </c>
      <c r="G606" s="55">
        <v>0.6</v>
      </c>
    </row>
    <row r="607" spans="1:7" ht="10.050000000000001" customHeight="1">
      <c r="A607" s="52" t="s">
        <v>421</v>
      </c>
      <c r="B607" s="52" t="s">
        <v>172</v>
      </c>
      <c r="C607" s="53">
        <v>2022</v>
      </c>
      <c r="D607" s="52" t="s">
        <v>126</v>
      </c>
      <c r="E607" s="54">
        <v>2</v>
      </c>
      <c r="F607" s="55">
        <v>0</v>
      </c>
      <c r="G607" s="55">
        <v>0.6</v>
      </c>
    </row>
    <row r="608" spans="1:7" ht="10.050000000000001" customHeight="1">
      <c r="A608" s="52" t="s">
        <v>421</v>
      </c>
      <c r="B608" s="52" t="s">
        <v>172</v>
      </c>
      <c r="C608" s="53">
        <v>2022</v>
      </c>
      <c r="D608" s="52" t="s">
        <v>126</v>
      </c>
      <c r="E608" s="54">
        <v>3</v>
      </c>
      <c r="F608" s="55">
        <v>0</v>
      </c>
      <c r="G608" s="55">
        <v>0.6</v>
      </c>
    </row>
    <row r="609" spans="1:7" ht="10.050000000000001" customHeight="1">
      <c r="A609" s="52" t="s">
        <v>421</v>
      </c>
      <c r="B609" s="52" t="s">
        <v>172</v>
      </c>
      <c r="C609" s="53">
        <v>2022</v>
      </c>
      <c r="D609" s="52" t="s">
        <v>126</v>
      </c>
      <c r="E609" s="54">
        <v>4</v>
      </c>
      <c r="F609" s="55">
        <v>47.6</v>
      </c>
      <c r="G609" s="55">
        <v>44.3</v>
      </c>
    </row>
    <row r="610" spans="1:7" ht="10.050000000000001" customHeight="1">
      <c r="A610" s="52" t="s">
        <v>421</v>
      </c>
      <c r="B610" s="52" t="s">
        <v>172</v>
      </c>
      <c r="C610" s="53">
        <v>2022</v>
      </c>
      <c r="D610" s="52" t="s">
        <v>126</v>
      </c>
      <c r="E610" s="54">
        <v>5</v>
      </c>
      <c r="F610" s="55">
        <v>72.2</v>
      </c>
      <c r="G610" s="55">
        <v>2.2999999999999998</v>
      </c>
    </row>
    <row r="611" spans="1:7" ht="10.050000000000001" customHeight="1">
      <c r="A611" s="52" t="s">
        <v>421</v>
      </c>
      <c r="B611" s="52" t="s">
        <v>172</v>
      </c>
      <c r="C611" s="53">
        <v>2022</v>
      </c>
      <c r="D611" s="52" t="s">
        <v>126</v>
      </c>
      <c r="E611" s="54">
        <v>6</v>
      </c>
      <c r="F611" s="55">
        <v>3.3</v>
      </c>
      <c r="G611" s="55">
        <v>0.6</v>
      </c>
    </row>
    <row r="612" spans="1:7" ht="10.050000000000001" customHeight="1">
      <c r="A612" s="52" t="s">
        <v>421</v>
      </c>
      <c r="B612" s="52" t="s">
        <v>172</v>
      </c>
      <c r="C612" s="53">
        <v>2022</v>
      </c>
      <c r="D612" s="52" t="s">
        <v>127</v>
      </c>
      <c r="E612" s="54">
        <v>7</v>
      </c>
      <c r="F612" s="55">
        <v>573.22</v>
      </c>
      <c r="G612" s="55">
        <v>0.6</v>
      </c>
    </row>
    <row r="613" spans="1:7" ht="10.050000000000001" customHeight="1">
      <c r="A613" s="52" t="s">
        <v>421</v>
      </c>
      <c r="B613" s="52" t="s">
        <v>172</v>
      </c>
      <c r="C613" s="53">
        <v>2022</v>
      </c>
      <c r="D613" s="52" t="s">
        <v>127</v>
      </c>
      <c r="E613" s="54">
        <v>8</v>
      </c>
      <c r="F613" s="55">
        <v>1.9</v>
      </c>
      <c r="G613" s="55">
        <v>0.6</v>
      </c>
    </row>
    <row r="614" spans="1:7" ht="10.050000000000001" customHeight="1">
      <c r="A614" s="52" t="s">
        <v>421</v>
      </c>
      <c r="B614" s="52" t="s">
        <v>172</v>
      </c>
      <c r="C614" s="53">
        <v>2022</v>
      </c>
      <c r="D614" s="52" t="s">
        <v>127</v>
      </c>
      <c r="E614" s="54">
        <v>9</v>
      </c>
      <c r="F614" s="55">
        <v>0</v>
      </c>
      <c r="G614" s="55">
        <v>12.9</v>
      </c>
    </row>
    <row r="615" spans="1:7" ht="10.050000000000001" customHeight="1">
      <c r="A615" s="52" t="s">
        <v>421</v>
      </c>
      <c r="B615" s="52" t="s">
        <v>172</v>
      </c>
      <c r="C615" s="53">
        <v>2022</v>
      </c>
      <c r="D615" s="52" t="s">
        <v>127</v>
      </c>
      <c r="E615" s="54">
        <v>10</v>
      </c>
      <c r="F615" s="55">
        <v>219</v>
      </c>
      <c r="G615" s="55">
        <v>24.48</v>
      </c>
    </row>
    <row r="616" spans="1:7" ht="10.050000000000001" customHeight="1">
      <c r="A616" s="52" t="s">
        <v>421</v>
      </c>
      <c r="B616" s="52" t="s">
        <v>172</v>
      </c>
      <c r="C616" s="53">
        <v>2022</v>
      </c>
      <c r="D616" s="52" t="s">
        <v>127</v>
      </c>
      <c r="E616" s="54">
        <v>11</v>
      </c>
      <c r="F616" s="55">
        <v>100.4</v>
      </c>
      <c r="G616" s="55">
        <v>32.380000000000003</v>
      </c>
    </row>
    <row r="617" spans="1:7" ht="10.050000000000001" customHeight="1">
      <c r="A617" s="52" t="s">
        <v>421</v>
      </c>
      <c r="B617" s="52" t="s">
        <v>172</v>
      </c>
      <c r="C617" s="53">
        <v>2022</v>
      </c>
      <c r="D617" s="52" t="s">
        <v>127</v>
      </c>
      <c r="E617" s="54">
        <v>12</v>
      </c>
      <c r="F617" s="55">
        <v>35.340000000000003</v>
      </c>
      <c r="G617" s="55">
        <v>17.66</v>
      </c>
    </row>
    <row r="618" spans="1:7" ht="10.050000000000001" customHeight="1">
      <c r="A618" s="52" t="s">
        <v>421</v>
      </c>
      <c r="B618" s="52" t="s">
        <v>172</v>
      </c>
      <c r="C618" s="53">
        <v>2023</v>
      </c>
      <c r="D618" s="52" t="s">
        <v>127</v>
      </c>
      <c r="E618" s="54">
        <v>1</v>
      </c>
      <c r="F618" s="55">
        <v>0</v>
      </c>
      <c r="G618" s="55">
        <v>38.700000000000003</v>
      </c>
    </row>
    <row r="619" spans="1:7" ht="10.050000000000001" customHeight="1">
      <c r="A619" s="52" t="s">
        <v>421</v>
      </c>
      <c r="B619" s="52" t="s">
        <v>172</v>
      </c>
      <c r="C619" s="53">
        <v>2023</v>
      </c>
      <c r="D619" s="52" t="s">
        <v>127</v>
      </c>
      <c r="E619" s="54">
        <v>2</v>
      </c>
      <c r="F619" s="55">
        <v>15.5</v>
      </c>
      <c r="G619" s="55">
        <v>44.88</v>
      </c>
    </row>
    <row r="620" spans="1:7" ht="10.050000000000001" customHeight="1">
      <c r="A620" s="52" t="s">
        <v>421</v>
      </c>
      <c r="B620" s="52" t="s">
        <v>172</v>
      </c>
      <c r="C620" s="53">
        <v>2023</v>
      </c>
      <c r="D620" s="52" t="s">
        <v>127</v>
      </c>
      <c r="E620" s="54">
        <v>3</v>
      </c>
      <c r="F620" s="55">
        <v>15.42</v>
      </c>
      <c r="G620" s="55">
        <v>29.46</v>
      </c>
    </row>
    <row r="621" spans="1:7" ht="10.050000000000001" customHeight="1">
      <c r="A621" s="52" t="s">
        <v>421</v>
      </c>
      <c r="B621" s="52" t="s">
        <v>172</v>
      </c>
      <c r="C621" s="53">
        <v>2023</v>
      </c>
      <c r="D621" s="52" t="s">
        <v>127</v>
      </c>
      <c r="E621" s="54">
        <v>4</v>
      </c>
      <c r="F621" s="55">
        <v>0</v>
      </c>
      <c r="G621" s="55">
        <v>49.42</v>
      </c>
    </row>
    <row r="622" spans="1:7" ht="10.050000000000001" customHeight="1">
      <c r="A622" s="52" t="s">
        <v>421</v>
      </c>
      <c r="B622" s="52" t="s">
        <v>172</v>
      </c>
      <c r="C622" s="53">
        <v>2023</v>
      </c>
      <c r="D622" s="52" t="s">
        <v>127</v>
      </c>
      <c r="E622" s="54">
        <v>5</v>
      </c>
      <c r="F622" s="55">
        <v>0</v>
      </c>
      <c r="G622" s="55">
        <v>49.42</v>
      </c>
    </row>
    <row r="623" spans="1:7" ht="10.050000000000001" customHeight="1">
      <c r="A623" s="52" t="s">
        <v>421</v>
      </c>
      <c r="B623" s="52" t="s">
        <v>172</v>
      </c>
      <c r="C623" s="53">
        <v>2023</v>
      </c>
      <c r="D623" s="52" t="s">
        <v>127</v>
      </c>
      <c r="E623" s="54">
        <v>6</v>
      </c>
      <c r="F623" s="55">
        <v>15.42</v>
      </c>
      <c r="G623" s="55">
        <v>34</v>
      </c>
    </row>
    <row r="624" spans="1:7" ht="10.050000000000001" customHeight="1">
      <c r="A624" s="52" t="s">
        <v>421</v>
      </c>
      <c r="B624" s="52" t="s">
        <v>172</v>
      </c>
      <c r="C624" s="53">
        <v>2023</v>
      </c>
      <c r="D624" s="52" t="s">
        <v>128</v>
      </c>
      <c r="E624" s="54">
        <v>7</v>
      </c>
      <c r="F624" s="55">
        <v>0</v>
      </c>
      <c r="G624" s="55">
        <v>64.180000000000007</v>
      </c>
    </row>
    <row r="625" spans="1:7" ht="10.050000000000001" customHeight="1">
      <c r="A625" s="52" t="s">
        <v>421</v>
      </c>
      <c r="B625" s="52" t="s">
        <v>172</v>
      </c>
      <c r="C625" s="53">
        <v>2023</v>
      </c>
      <c r="D625" s="52" t="s">
        <v>128</v>
      </c>
      <c r="E625" s="54">
        <v>8</v>
      </c>
      <c r="F625" s="55">
        <v>0</v>
      </c>
      <c r="G625" s="55">
        <v>64.180000000000007</v>
      </c>
    </row>
    <row r="626" spans="1:7" ht="10.050000000000001" customHeight="1">
      <c r="A626" s="52" t="s">
        <v>421</v>
      </c>
      <c r="B626" s="52" t="s">
        <v>172</v>
      </c>
      <c r="C626" s="53">
        <v>2023</v>
      </c>
      <c r="D626" s="52" t="s">
        <v>128</v>
      </c>
      <c r="E626" s="54">
        <v>9</v>
      </c>
      <c r="F626" s="55">
        <v>15.22</v>
      </c>
      <c r="G626" s="55">
        <v>91.52</v>
      </c>
    </row>
    <row r="627" spans="1:7" ht="10.050000000000001" customHeight="1">
      <c r="A627" s="52" t="s">
        <v>421</v>
      </c>
      <c r="B627" s="52" t="s">
        <v>172</v>
      </c>
      <c r="C627" s="53">
        <v>2023</v>
      </c>
      <c r="D627" s="52" t="s">
        <v>128</v>
      </c>
      <c r="E627" s="54">
        <v>10</v>
      </c>
      <c r="F627" s="55">
        <v>15.64</v>
      </c>
      <c r="G627" s="55">
        <v>75.88</v>
      </c>
    </row>
    <row r="628" spans="1:7" ht="10.050000000000001" customHeight="1">
      <c r="A628" s="52" t="s">
        <v>421</v>
      </c>
      <c r="B628" s="52" t="s">
        <v>172</v>
      </c>
      <c r="C628" s="53">
        <v>2023</v>
      </c>
      <c r="D628" s="52" t="s">
        <v>128</v>
      </c>
      <c r="E628" s="54">
        <v>11</v>
      </c>
      <c r="F628" s="55">
        <v>15.78</v>
      </c>
      <c r="G628" s="55">
        <v>99.28</v>
      </c>
    </row>
    <row r="629" spans="1:7" ht="10.050000000000001" customHeight="1">
      <c r="A629" s="52" t="s">
        <v>421</v>
      </c>
      <c r="B629" s="52" t="s">
        <v>172</v>
      </c>
      <c r="C629" s="53">
        <v>2023</v>
      </c>
      <c r="D629" s="52" t="s">
        <v>128</v>
      </c>
      <c r="E629" s="54">
        <v>12</v>
      </c>
      <c r="F629" s="55">
        <v>15.32</v>
      </c>
      <c r="G629" s="55">
        <v>83.96</v>
      </c>
    </row>
    <row r="630" spans="1:7" ht="10.050000000000001" customHeight="1">
      <c r="A630" s="52" t="s">
        <v>421</v>
      </c>
      <c r="B630" s="52" t="s">
        <v>172</v>
      </c>
      <c r="C630" s="53">
        <v>2024</v>
      </c>
      <c r="D630" s="52" t="s">
        <v>128</v>
      </c>
      <c r="E630" s="54">
        <v>1</v>
      </c>
      <c r="F630" s="55">
        <v>13.872</v>
      </c>
      <c r="G630" s="55">
        <v>98.707999999999998</v>
      </c>
    </row>
    <row r="631" spans="1:7" ht="10.050000000000001" customHeight="1">
      <c r="A631" s="52" t="s">
        <v>421</v>
      </c>
      <c r="B631" s="52" t="s">
        <v>172</v>
      </c>
      <c r="C631" s="53">
        <v>2024</v>
      </c>
      <c r="D631" s="52" t="s">
        <v>128</v>
      </c>
      <c r="E631" s="54">
        <v>2</v>
      </c>
      <c r="F631" s="55">
        <v>0</v>
      </c>
      <c r="G631" s="55">
        <v>117.72799999999999</v>
      </c>
    </row>
    <row r="632" spans="1:7" ht="10.050000000000001" customHeight="1">
      <c r="A632" s="52" t="s">
        <v>421</v>
      </c>
      <c r="B632" s="52" t="s">
        <v>172</v>
      </c>
      <c r="C632" s="53">
        <v>2024</v>
      </c>
      <c r="D632" s="52" t="s">
        <v>128</v>
      </c>
      <c r="E632" s="54">
        <v>3</v>
      </c>
      <c r="F632" s="55">
        <v>0.6</v>
      </c>
      <c r="G632" s="55">
        <v>117.128</v>
      </c>
    </row>
    <row r="633" spans="1:7" ht="10.050000000000001" customHeight="1">
      <c r="A633" s="52" t="s">
        <v>421</v>
      </c>
      <c r="B633" s="52" t="s">
        <v>172</v>
      </c>
      <c r="C633" s="53">
        <v>2024</v>
      </c>
      <c r="D633" s="52" t="s">
        <v>128</v>
      </c>
      <c r="E633" s="54">
        <v>4</v>
      </c>
      <c r="F633" s="55">
        <v>17.448</v>
      </c>
      <c r="G633" s="55">
        <v>110.18</v>
      </c>
    </row>
    <row r="634" spans="1:7" ht="10.050000000000001" customHeight="1">
      <c r="A634" s="52" t="s">
        <v>421</v>
      </c>
      <c r="B634" s="52" t="s">
        <v>172</v>
      </c>
      <c r="C634" s="53">
        <v>2024</v>
      </c>
      <c r="D634" s="52" t="s">
        <v>128</v>
      </c>
      <c r="E634" s="54">
        <v>5</v>
      </c>
      <c r="F634" s="55">
        <v>0</v>
      </c>
      <c r="G634" s="55">
        <v>110.18</v>
      </c>
    </row>
    <row r="635" spans="1:7" ht="10.050000000000001" customHeight="1">
      <c r="A635" s="52" t="s">
        <v>421</v>
      </c>
      <c r="B635" s="52" t="s">
        <v>172</v>
      </c>
      <c r="C635" s="53">
        <v>2024</v>
      </c>
      <c r="D635" s="52" t="s">
        <v>128</v>
      </c>
      <c r="E635" s="54">
        <v>6</v>
      </c>
      <c r="F635" s="55">
        <v>15.5</v>
      </c>
      <c r="G635" s="55">
        <v>151.76</v>
      </c>
    </row>
    <row r="636" spans="1:7" ht="10.050000000000001" customHeight="1">
      <c r="A636" s="52" t="s">
        <v>421</v>
      </c>
      <c r="B636" s="52" t="s">
        <v>172</v>
      </c>
      <c r="C636" s="53">
        <v>2024</v>
      </c>
      <c r="D636" s="52" t="s">
        <v>129</v>
      </c>
      <c r="E636" s="54">
        <v>7</v>
      </c>
      <c r="F636" s="55">
        <v>17.399999999999999</v>
      </c>
      <c r="G636" s="55">
        <v>153.76</v>
      </c>
    </row>
    <row r="637" spans="1:7" ht="10.050000000000001" customHeight="1">
      <c r="A637" s="52" t="s">
        <v>421</v>
      </c>
      <c r="B637" s="52" t="s">
        <v>172</v>
      </c>
      <c r="C637" s="53">
        <v>2024</v>
      </c>
      <c r="D637" s="52" t="s">
        <v>129</v>
      </c>
      <c r="E637" s="54">
        <v>8</v>
      </c>
      <c r="F637" s="55">
        <v>0</v>
      </c>
      <c r="G637" s="55">
        <v>153.76</v>
      </c>
    </row>
    <row r="638" spans="1:7" ht="10.050000000000001" customHeight="1">
      <c r="A638" s="52" t="s">
        <v>421</v>
      </c>
      <c r="B638" s="52" t="s">
        <v>172</v>
      </c>
      <c r="C638" s="53">
        <v>2024</v>
      </c>
      <c r="D638" s="52" t="s">
        <v>129</v>
      </c>
      <c r="E638" s="54">
        <v>9</v>
      </c>
      <c r="F638" s="55">
        <v>18.696000000000002</v>
      </c>
      <c r="G638" s="55">
        <v>158.72399999999999</v>
      </c>
    </row>
    <row r="639" spans="1:7" ht="10.050000000000001" customHeight="1">
      <c r="A639" s="52" t="s">
        <v>421</v>
      </c>
      <c r="B639" s="52" t="s">
        <v>172</v>
      </c>
      <c r="C639" s="53">
        <v>2024</v>
      </c>
      <c r="D639" s="52" t="s">
        <v>129</v>
      </c>
      <c r="E639" s="54">
        <v>10</v>
      </c>
      <c r="F639" s="55">
        <v>19.007999999999999</v>
      </c>
      <c r="G639" s="55">
        <v>157.07599999999999</v>
      </c>
    </row>
    <row r="640" spans="1:7" ht="10.050000000000001" customHeight="1">
      <c r="A640" s="52" t="s">
        <v>421</v>
      </c>
      <c r="B640" s="52" t="s">
        <v>172</v>
      </c>
      <c r="C640" s="53">
        <v>2024</v>
      </c>
      <c r="D640" s="52" t="s">
        <v>129</v>
      </c>
      <c r="E640" s="54">
        <v>11</v>
      </c>
      <c r="F640" s="55">
        <v>0.6</v>
      </c>
      <c r="G640" s="55">
        <v>253.57599999999999</v>
      </c>
    </row>
    <row r="641" spans="1:7" ht="10.050000000000001" customHeight="1">
      <c r="A641" s="52" t="s">
        <v>421</v>
      </c>
      <c r="B641" s="52" t="s">
        <v>172</v>
      </c>
      <c r="C641" s="53">
        <v>2024</v>
      </c>
      <c r="D641" s="52" t="s">
        <v>129</v>
      </c>
      <c r="E641" s="54">
        <v>12</v>
      </c>
      <c r="F641" s="55">
        <v>98.02</v>
      </c>
      <c r="G641" s="55">
        <v>295.75599999999997</v>
      </c>
    </row>
    <row r="642" spans="1:7" ht="10.050000000000001" customHeight="1">
      <c r="A642" s="52" t="s">
        <v>421</v>
      </c>
      <c r="B642" s="52" t="s">
        <v>171</v>
      </c>
      <c r="C642" s="53">
        <v>2000</v>
      </c>
      <c r="D642" s="52" t="s">
        <v>105</v>
      </c>
      <c r="E642" s="54">
        <v>7</v>
      </c>
      <c r="F642" s="55">
        <v>517681</v>
      </c>
      <c r="G642" s="55">
        <v>192366.6</v>
      </c>
    </row>
    <row r="643" spans="1:7" ht="10.050000000000001" customHeight="1">
      <c r="A643" s="52" t="s">
        <v>421</v>
      </c>
      <c r="B643" s="52" t="s">
        <v>171</v>
      </c>
      <c r="C643" s="53">
        <v>2000</v>
      </c>
      <c r="D643" s="52" t="s">
        <v>105</v>
      </c>
      <c r="E643" s="54">
        <v>8</v>
      </c>
      <c r="F643" s="55">
        <v>636224.1</v>
      </c>
      <c r="G643" s="55">
        <v>327133.90000000002</v>
      </c>
    </row>
    <row r="644" spans="1:7" ht="10.050000000000001" customHeight="1">
      <c r="A644" s="52" t="s">
        <v>421</v>
      </c>
      <c r="B644" s="52" t="s">
        <v>171</v>
      </c>
      <c r="C644" s="53">
        <v>2000</v>
      </c>
      <c r="D644" s="52" t="s">
        <v>105</v>
      </c>
      <c r="E644" s="54">
        <v>9</v>
      </c>
      <c r="F644" s="55">
        <v>600857.1</v>
      </c>
      <c r="G644" s="55">
        <v>297738.8</v>
      </c>
    </row>
    <row r="645" spans="1:7" ht="10.050000000000001" customHeight="1">
      <c r="A645" s="52" t="s">
        <v>421</v>
      </c>
      <c r="B645" s="52" t="s">
        <v>171</v>
      </c>
      <c r="C645" s="53">
        <v>2000</v>
      </c>
      <c r="D645" s="52" t="s">
        <v>105</v>
      </c>
      <c r="E645" s="54">
        <v>10</v>
      </c>
      <c r="F645" s="55">
        <v>594776.69999999995</v>
      </c>
      <c r="G645" s="55">
        <v>244811.6</v>
      </c>
    </row>
    <row r="646" spans="1:7" ht="10.050000000000001" customHeight="1">
      <c r="A646" s="52" t="s">
        <v>421</v>
      </c>
      <c r="B646" s="52" t="s">
        <v>171</v>
      </c>
      <c r="C646" s="53">
        <v>2000</v>
      </c>
      <c r="D646" s="52" t="s">
        <v>105</v>
      </c>
      <c r="E646" s="54">
        <v>11</v>
      </c>
      <c r="F646" s="55">
        <v>544948.6</v>
      </c>
      <c r="G646" s="55">
        <v>206277</v>
      </c>
    </row>
    <row r="647" spans="1:7" ht="10.050000000000001" customHeight="1">
      <c r="A647" s="52" t="s">
        <v>421</v>
      </c>
      <c r="B647" s="52" t="s">
        <v>171</v>
      </c>
      <c r="C647" s="53">
        <v>2000</v>
      </c>
      <c r="D647" s="52" t="s">
        <v>105</v>
      </c>
      <c r="E647" s="54">
        <v>12</v>
      </c>
      <c r="F647" s="55">
        <v>504983.2</v>
      </c>
      <c r="G647" s="55">
        <v>196288.8</v>
      </c>
    </row>
    <row r="648" spans="1:7" ht="10.050000000000001" customHeight="1">
      <c r="A648" s="52" t="s">
        <v>421</v>
      </c>
      <c r="B648" s="52" t="s">
        <v>171</v>
      </c>
      <c r="C648" s="53">
        <v>2001</v>
      </c>
      <c r="D648" s="52" t="s">
        <v>105</v>
      </c>
      <c r="E648" s="54">
        <v>1</v>
      </c>
      <c r="F648" s="55">
        <v>566212.19999999995</v>
      </c>
      <c r="G648" s="55">
        <v>187025.3</v>
      </c>
    </row>
    <row r="649" spans="1:7" ht="10.050000000000001" customHeight="1">
      <c r="A649" s="52" t="s">
        <v>421</v>
      </c>
      <c r="B649" s="52" t="s">
        <v>171</v>
      </c>
      <c r="C649" s="53">
        <v>2001</v>
      </c>
      <c r="D649" s="52" t="s">
        <v>105</v>
      </c>
      <c r="E649" s="54">
        <v>2</v>
      </c>
      <c r="F649" s="55">
        <v>517379.8</v>
      </c>
      <c r="G649" s="55">
        <v>183780.5</v>
      </c>
    </row>
    <row r="650" spans="1:7" ht="10.050000000000001" customHeight="1">
      <c r="A650" s="52" t="s">
        <v>421</v>
      </c>
      <c r="B650" s="52" t="s">
        <v>171</v>
      </c>
      <c r="C650" s="53">
        <v>2001</v>
      </c>
      <c r="D650" s="52" t="s">
        <v>105</v>
      </c>
      <c r="E650" s="54">
        <v>3</v>
      </c>
      <c r="F650" s="55">
        <v>574668.80000000005</v>
      </c>
      <c r="G650" s="55">
        <v>173274.3</v>
      </c>
    </row>
    <row r="651" spans="1:7" ht="10.050000000000001" customHeight="1">
      <c r="A651" s="52" t="s">
        <v>421</v>
      </c>
      <c r="B651" s="52" t="s">
        <v>171</v>
      </c>
      <c r="C651" s="53">
        <v>2001</v>
      </c>
      <c r="D651" s="52" t="s">
        <v>105</v>
      </c>
      <c r="E651" s="54">
        <v>4</v>
      </c>
      <c r="F651" s="55">
        <v>577726.30000000005</v>
      </c>
      <c r="G651" s="55">
        <v>153949.5</v>
      </c>
    </row>
    <row r="652" spans="1:7" ht="10.050000000000001" customHeight="1">
      <c r="A652" s="52" t="s">
        <v>421</v>
      </c>
      <c r="B652" s="52" t="s">
        <v>171</v>
      </c>
      <c r="C652" s="53">
        <v>2001</v>
      </c>
      <c r="D652" s="52" t="s">
        <v>105</v>
      </c>
      <c r="E652" s="54">
        <v>5</v>
      </c>
      <c r="F652" s="55">
        <v>611599.30000000005</v>
      </c>
      <c r="G652" s="55">
        <v>135258.29999999999</v>
      </c>
    </row>
    <row r="653" spans="1:7" ht="10.050000000000001" customHeight="1">
      <c r="A653" s="52" t="s">
        <v>421</v>
      </c>
      <c r="B653" s="52" t="s">
        <v>171</v>
      </c>
      <c r="C653" s="53">
        <v>2001</v>
      </c>
      <c r="D653" s="52" t="s">
        <v>105</v>
      </c>
      <c r="E653" s="54">
        <v>6</v>
      </c>
      <c r="F653" s="55">
        <v>555592.80000000005</v>
      </c>
      <c r="G653" s="55">
        <v>138445.29999999999</v>
      </c>
    </row>
    <row r="654" spans="1:7" ht="10.050000000000001" customHeight="1">
      <c r="A654" s="52" t="s">
        <v>421</v>
      </c>
      <c r="B654" s="52" t="s">
        <v>171</v>
      </c>
      <c r="C654" s="53">
        <v>2001</v>
      </c>
      <c r="D654" s="52" t="s">
        <v>108</v>
      </c>
      <c r="E654" s="54">
        <v>7</v>
      </c>
      <c r="F654" s="55">
        <v>570945.19999999995</v>
      </c>
      <c r="G654" s="55">
        <v>249238.5</v>
      </c>
    </row>
    <row r="655" spans="1:7" ht="10.050000000000001" customHeight="1">
      <c r="A655" s="52" t="s">
        <v>421</v>
      </c>
      <c r="B655" s="52" t="s">
        <v>171</v>
      </c>
      <c r="C655" s="53">
        <v>2001</v>
      </c>
      <c r="D655" s="52" t="s">
        <v>108</v>
      </c>
      <c r="E655" s="54">
        <v>8</v>
      </c>
      <c r="F655" s="55">
        <v>617990.1</v>
      </c>
      <c r="G655" s="55">
        <v>356849.3</v>
      </c>
    </row>
    <row r="656" spans="1:7" ht="10.050000000000001" customHeight="1">
      <c r="A656" s="52" t="s">
        <v>421</v>
      </c>
      <c r="B656" s="52" t="s">
        <v>171</v>
      </c>
      <c r="C656" s="53">
        <v>2001</v>
      </c>
      <c r="D656" s="52" t="s">
        <v>108</v>
      </c>
      <c r="E656" s="54">
        <v>9</v>
      </c>
      <c r="F656" s="55">
        <v>538544.5</v>
      </c>
      <c r="G656" s="55">
        <v>311890.5</v>
      </c>
    </row>
    <row r="657" spans="1:7" ht="10.050000000000001" customHeight="1">
      <c r="A657" s="52" t="s">
        <v>421</v>
      </c>
      <c r="B657" s="52" t="s">
        <v>171</v>
      </c>
      <c r="C657" s="53">
        <v>2001</v>
      </c>
      <c r="D657" s="52" t="s">
        <v>108</v>
      </c>
      <c r="E657" s="54">
        <v>10</v>
      </c>
      <c r="F657" s="55">
        <v>561013.1</v>
      </c>
      <c r="G657" s="55">
        <v>247231.3</v>
      </c>
    </row>
    <row r="658" spans="1:7" ht="10.050000000000001" customHeight="1">
      <c r="A658" s="52" t="s">
        <v>421</v>
      </c>
      <c r="B658" s="52" t="s">
        <v>171</v>
      </c>
      <c r="C658" s="53">
        <v>2001</v>
      </c>
      <c r="D658" s="52" t="s">
        <v>108</v>
      </c>
      <c r="E658" s="54">
        <v>11</v>
      </c>
      <c r="F658" s="55">
        <v>466387.3</v>
      </c>
      <c r="G658" s="55">
        <v>221494.39999999999</v>
      </c>
    </row>
    <row r="659" spans="1:7" ht="10.050000000000001" customHeight="1">
      <c r="A659" s="52" t="s">
        <v>421</v>
      </c>
      <c r="B659" s="52" t="s">
        <v>171</v>
      </c>
      <c r="C659" s="53">
        <v>2001</v>
      </c>
      <c r="D659" s="52" t="s">
        <v>108</v>
      </c>
      <c r="E659" s="54">
        <v>12</v>
      </c>
      <c r="F659" s="55">
        <v>436015.4</v>
      </c>
      <c r="G659" s="55">
        <v>203711.4</v>
      </c>
    </row>
    <row r="660" spans="1:7" ht="10.050000000000001" customHeight="1">
      <c r="A660" s="52" t="s">
        <v>421</v>
      </c>
      <c r="B660" s="52" t="s">
        <v>171</v>
      </c>
      <c r="C660" s="53">
        <v>2002</v>
      </c>
      <c r="D660" s="52" t="s">
        <v>108</v>
      </c>
      <c r="E660" s="54">
        <v>1</v>
      </c>
      <c r="F660" s="55">
        <v>481017.1</v>
      </c>
      <c r="G660" s="55">
        <v>191517.3</v>
      </c>
    </row>
    <row r="661" spans="1:7" ht="10.050000000000001" customHeight="1">
      <c r="A661" s="52" t="s">
        <v>421</v>
      </c>
      <c r="B661" s="52" t="s">
        <v>171</v>
      </c>
      <c r="C661" s="53">
        <v>2002</v>
      </c>
      <c r="D661" s="52" t="s">
        <v>108</v>
      </c>
      <c r="E661" s="54">
        <v>2</v>
      </c>
      <c r="F661" s="55">
        <v>444913.8</v>
      </c>
      <c r="G661" s="55">
        <v>180274</v>
      </c>
    </row>
    <row r="662" spans="1:7" ht="10.050000000000001" customHeight="1">
      <c r="A662" s="52" t="s">
        <v>421</v>
      </c>
      <c r="B662" s="52" t="s">
        <v>171</v>
      </c>
      <c r="C662" s="53">
        <v>2002</v>
      </c>
      <c r="D662" s="52" t="s">
        <v>108</v>
      </c>
      <c r="E662" s="54">
        <v>3</v>
      </c>
      <c r="F662" s="55">
        <v>497968.2</v>
      </c>
      <c r="G662" s="55">
        <v>175393.2</v>
      </c>
    </row>
    <row r="663" spans="1:7" ht="10.050000000000001" customHeight="1">
      <c r="A663" s="52" t="s">
        <v>421</v>
      </c>
      <c r="B663" s="52" t="s">
        <v>171</v>
      </c>
      <c r="C663" s="53">
        <v>2002</v>
      </c>
      <c r="D663" s="52" t="s">
        <v>108</v>
      </c>
      <c r="E663" s="54">
        <v>4</v>
      </c>
      <c r="F663" s="55">
        <v>512256.9</v>
      </c>
      <c r="G663" s="55">
        <v>184237.9</v>
      </c>
    </row>
    <row r="664" spans="1:7" ht="10.050000000000001" customHeight="1">
      <c r="A664" s="52" t="s">
        <v>421</v>
      </c>
      <c r="B664" s="52" t="s">
        <v>171</v>
      </c>
      <c r="C664" s="53">
        <v>2002</v>
      </c>
      <c r="D664" s="52" t="s">
        <v>108</v>
      </c>
      <c r="E664" s="54">
        <v>5</v>
      </c>
      <c r="F664" s="55">
        <v>540986.69999999995</v>
      </c>
      <c r="G664" s="55">
        <v>164152.5</v>
      </c>
    </row>
    <row r="665" spans="1:7" ht="10.050000000000001" customHeight="1">
      <c r="A665" s="52" t="s">
        <v>421</v>
      </c>
      <c r="B665" s="52" t="s">
        <v>171</v>
      </c>
      <c r="C665" s="53">
        <v>2002</v>
      </c>
      <c r="D665" s="52" t="s">
        <v>108</v>
      </c>
      <c r="E665" s="54">
        <v>6</v>
      </c>
      <c r="F665" s="55">
        <v>501830.8</v>
      </c>
      <c r="G665" s="55">
        <v>173865.2</v>
      </c>
    </row>
    <row r="666" spans="1:7" ht="10.050000000000001" customHeight="1">
      <c r="A666" s="52" t="s">
        <v>421</v>
      </c>
      <c r="B666" s="52" t="s">
        <v>171</v>
      </c>
      <c r="C666" s="53">
        <v>2002</v>
      </c>
      <c r="D666" s="52" t="s">
        <v>109</v>
      </c>
      <c r="E666" s="54">
        <v>7</v>
      </c>
      <c r="F666" s="55">
        <v>597000.5</v>
      </c>
      <c r="G666" s="55">
        <v>219800.9</v>
      </c>
    </row>
    <row r="667" spans="1:7" ht="10.050000000000001" customHeight="1">
      <c r="A667" s="52" t="s">
        <v>421</v>
      </c>
      <c r="B667" s="52" t="s">
        <v>171</v>
      </c>
      <c r="C667" s="53">
        <v>2002</v>
      </c>
      <c r="D667" s="52" t="s">
        <v>109</v>
      </c>
      <c r="E667" s="54">
        <v>8</v>
      </c>
      <c r="F667" s="55">
        <v>589395.4</v>
      </c>
      <c r="G667" s="55">
        <v>463897</v>
      </c>
    </row>
    <row r="668" spans="1:7" ht="10.050000000000001" customHeight="1">
      <c r="A668" s="52" t="s">
        <v>421</v>
      </c>
      <c r="B668" s="52" t="s">
        <v>171</v>
      </c>
      <c r="C668" s="53">
        <v>2002</v>
      </c>
      <c r="D668" s="52" t="s">
        <v>109</v>
      </c>
      <c r="E668" s="54">
        <v>9</v>
      </c>
      <c r="F668" s="55">
        <v>572875.6</v>
      </c>
      <c r="G668" s="55">
        <v>408548.8</v>
      </c>
    </row>
    <row r="669" spans="1:7" ht="10.050000000000001" customHeight="1">
      <c r="A669" s="52" t="s">
        <v>421</v>
      </c>
      <c r="B669" s="52" t="s">
        <v>171</v>
      </c>
      <c r="C669" s="53">
        <v>2002</v>
      </c>
      <c r="D669" s="52" t="s">
        <v>109</v>
      </c>
      <c r="E669" s="54">
        <v>10</v>
      </c>
      <c r="F669" s="55">
        <v>621574.5</v>
      </c>
      <c r="G669" s="55">
        <v>285902.90000000002</v>
      </c>
    </row>
    <row r="670" spans="1:7" ht="10.050000000000001" customHeight="1">
      <c r="A670" s="52" t="s">
        <v>421</v>
      </c>
      <c r="B670" s="52" t="s">
        <v>171</v>
      </c>
      <c r="C670" s="53">
        <v>2002</v>
      </c>
      <c r="D670" s="52" t="s">
        <v>109</v>
      </c>
      <c r="E670" s="54">
        <v>11</v>
      </c>
      <c r="F670" s="55">
        <v>503402.2</v>
      </c>
      <c r="G670" s="55">
        <v>232608.9</v>
      </c>
    </row>
    <row r="671" spans="1:7" ht="10.050000000000001" customHeight="1">
      <c r="A671" s="52" t="s">
        <v>421</v>
      </c>
      <c r="B671" s="52" t="s">
        <v>171</v>
      </c>
      <c r="C671" s="53">
        <v>2002</v>
      </c>
      <c r="D671" s="52" t="s">
        <v>109</v>
      </c>
      <c r="E671" s="54">
        <v>12</v>
      </c>
      <c r="F671" s="55">
        <v>532972.4</v>
      </c>
      <c r="G671" s="55">
        <v>211694.7</v>
      </c>
    </row>
    <row r="672" spans="1:7" ht="10.050000000000001" customHeight="1">
      <c r="A672" s="52" t="s">
        <v>421</v>
      </c>
      <c r="B672" s="52" t="s">
        <v>171</v>
      </c>
      <c r="C672" s="53">
        <v>2003</v>
      </c>
      <c r="D672" s="52" t="s">
        <v>109</v>
      </c>
      <c r="E672" s="54">
        <v>1</v>
      </c>
      <c r="F672" s="55">
        <v>532846.1</v>
      </c>
      <c r="G672" s="55">
        <v>197193.8</v>
      </c>
    </row>
    <row r="673" spans="1:7" ht="10.050000000000001" customHeight="1">
      <c r="A673" s="52" t="s">
        <v>421</v>
      </c>
      <c r="B673" s="52" t="s">
        <v>171</v>
      </c>
      <c r="C673" s="53">
        <v>2003</v>
      </c>
      <c r="D673" s="52" t="s">
        <v>109</v>
      </c>
      <c r="E673" s="54">
        <v>2</v>
      </c>
      <c r="F673" s="55">
        <v>476962.1</v>
      </c>
      <c r="G673" s="55">
        <v>191053.9</v>
      </c>
    </row>
    <row r="674" spans="1:7" ht="10.050000000000001" customHeight="1">
      <c r="A674" s="52" t="s">
        <v>421</v>
      </c>
      <c r="B674" s="52" t="s">
        <v>171</v>
      </c>
      <c r="C674" s="53">
        <v>2003</v>
      </c>
      <c r="D674" s="52" t="s">
        <v>109</v>
      </c>
      <c r="E674" s="54">
        <v>3</v>
      </c>
      <c r="F674" s="55">
        <v>501495.8</v>
      </c>
      <c r="G674" s="55">
        <v>172038.6</v>
      </c>
    </row>
    <row r="675" spans="1:7" ht="10.050000000000001" customHeight="1">
      <c r="A675" s="52" t="s">
        <v>421</v>
      </c>
      <c r="B675" s="52" t="s">
        <v>171</v>
      </c>
      <c r="C675" s="53">
        <v>2003</v>
      </c>
      <c r="D675" s="52" t="s">
        <v>109</v>
      </c>
      <c r="E675" s="54">
        <v>4</v>
      </c>
      <c r="F675" s="55">
        <v>546587.6</v>
      </c>
      <c r="G675" s="55">
        <v>143184.70000000001</v>
      </c>
    </row>
    <row r="676" spans="1:7" ht="10.050000000000001" customHeight="1">
      <c r="A676" s="52" t="s">
        <v>421</v>
      </c>
      <c r="B676" s="52" t="s">
        <v>171</v>
      </c>
      <c r="C676" s="53">
        <v>2003</v>
      </c>
      <c r="D676" s="52" t="s">
        <v>109</v>
      </c>
      <c r="E676" s="54">
        <v>5</v>
      </c>
      <c r="F676" s="55">
        <v>538432.5</v>
      </c>
      <c r="G676" s="55">
        <v>128008.8</v>
      </c>
    </row>
    <row r="677" spans="1:7" ht="10.050000000000001" customHeight="1">
      <c r="A677" s="52" t="s">
        <v>421</v>
      </c>
      <c r="B677" s="52" t="s">
        <v>171</v>
      </c>
      <c r="C677" s="53">
        <v>2003</v>
      </c>
      <c r="D677" s="52" t="s">
        <v>109</v>
      </c>
      <c r="E677" s="54">
        <v>6</v>
      </c>
      <c r="F677" s="55">
        <v>527015</v>
      </c>
      <c r="G677" s="55">
        <v>157878.5</v>
      </c>
    </row>
    <row r="678" spans="1:7" ht="10.050000000000001" customHeight="1">
      <c r="A678" s="52" t="s">
        <v>421</v>
      </c>
      <c r="B678" s="52" t="s">
        <v>171</v>
      </c>
      <c r="C678" s="53">
        <v>2003</v>
      </c>
      <c r="D678" s="52" t="s">
        <v>106</v>
      </c>
      <c r="E678" s="54">
        <v>7</v>
      </c>
      <c r="F678" s="55">
        <v>554624.80000000005</v>
      </c>
      <c r="G678" s="55">
        <v>239230.8</v>
      </c>
    </row>
    <row r="679" spans="1:7" ht="10.050000000000001" customHeight="1">
      <c r="A679" s="52" t="s">
        <v>421</v>
      </c>
      <c r="B679" s="52" t="s">
        <v>171</v>
      </c>
      <c r="C679" s="53">
        <v>2003</v>
      </c>
      <c r="D679" s="52" t="s">
        <v>106</v>
      </c>
      <c r="E679" s="54">
        <v>8</v>
      </c>
      <c r="F679" s="55">
        <v>489046.1</v>
      </c>
      <c r="G679" s="55">
        <v>340258.5</v>
      </c>
    </row>
    <row r="680" spans="1:7" ht="10.050000000000001" customHeight="1">
      <c r="A680" s="52" t="s">
        <v>421</v>
      </c>
      <c r="B680" s="52" t="s">
        <v>171</v>
      </c>
      <c r="C680" s="53">
        <v>2003</v>
      </c>
      <c r="D680" s="52" t="s">
        <v>106</v>
      </c>
      <c r="E680" s="54">
        <v>9</v>
      </c>
      <c r="F680" s="55">
        <v>540663.69999999995</v>
      </c>
      <c r="G680" s="55">
        <v>278720.40000000002</v>
      </c>
    </row>
    <row r="681" spans="1:7" ht="10.050000000000001" customHeight="1">
      <c r="A681" s="52" t="s">
        <v>421</v>
      </c>
      <c r="B681" s="52" t="s">
        <v>171</v>
      </c>
      <c r="C681" s="53">
        <v>2003</v>
      </c>
      <c r="D681" s="52" t="s">
        <v>106</v>
      </c>
      <c r="E681" s="54">
        <v>10</v>
      </c>
      <c r="F681" s="55">
        <v>574153.5</v>
      </c>
      <c r="G681" s="55">
        <v>213225.9</v>
      </c>
    </row>
    <row r="682" spans="1:7" ht="10.050000000000001" customHeight="1">
      <c r="A682" s="52" t="s">
        <v>421</v>
      </c>
      <c r="B682" s="52" t="s">
        <v>171</v>
      </c>
      <c r="C682" s="53">
        <v>2003</v>
      </c>
      <c r="D682" s="52" t="s">
        <v>106</v>
      </c>
      <c r="E682" s="54">
        <v>11</v>
      </c>
      <c r="F682" s="55">
        <v>492405.2</v>
      </c>
      <c r="G682" s="55">
        <v>212871.6</v>
      </c>
    </row>
    <row r="683" spans="1:7" ht="10.050000000000001" customHeight="1">
      <c r="A683" s="52" t="s">
        <v>421</v>
      </c>
      <c r="B683" s="52" t="s">
        <v>171</v>
      </c>
      <c r="C683" s="53">
        <v>2003</v>
      </c>
      <c r="D683" s="52" t="s">
        <v>106</v>
      </c>
      <c r="E683" s="54">
        <v>12</v>
      </c>
      <c r="F683" s="55">
        <v>488325.7</v>
      </c>
      <c r="G683" s="55">
        <v>215813</v>
      </c>
    </row>
    <row r="684" spans="1:7" ht="10.050000000000001" customHeight="1">
      <c r="A684" s="52" t="s">
        <v>421</v>
      </c>
      <c r="B684" s="52" t="s">
        <v>171</v>
      </c>
      <c r="C684" s="53">
        <v>2004</v>
      </c>
      <c r="D684" s="52" t="s">
        <v>106</v>
      </c>
      <c r="E684" s="54">
        <v>1</v>
      </c>
      <c r="F684" s="55">
        <v>449875.20000000001</v>
      </c>
      <c r="G684" s="55">
        <v>200388.7</v>
      </c>
    </row>
    <row r="685" spans="1:7" ht="10.050000000000001" customHeight="1">
      <c r="A685" s="52" t="s">
        <v>421</v>
      </c>
      <c r="B685" s="52" t="s">
        <v>171</v>
      </c>
      <c r="C685" s="53">
        <v>2004</v>
      </c>
      <c r="D685" s="52" t="s">
        <v>106</v>
      </c>
      <c r="E685" s="54">
        <v>2</v>
      </c>
      <c r="F685" s="55">
        <v>417585.2</v>
      </c>
      <c r="G685" s="55">
        <v>192786.2</v>
      </c>
    </row>
    <row r="686" spans="1:7" ht="10.050000000000001" customHeight="1">
      <c r="A686" s="52" t="s">
        <v>421</v>
      </c>
      <c r="B686" s="52" t="s">
        <v>171</v>
      </c>
      <c r="C686" s="53">
        <v>2004</v>
      </c>
      <c r="D686" s="52" t="s">
        <v>106</v>
      </c>
      <c r="E686" s="54">
        <v>3</v>
      </c>
      <c r="F686" s="55">
        <v>486641.8</v>
      </c>
      <c r="G686" s="55">
        <v>192384.6</v>
      </c>
    </row>
    <row r="687" spans="1:7" ht="10.050000000000001" customHeight="1">
      <c r="A687" s="52" t="s">
        <v>421</v>
      </c>
      <c r="B687" s="52" t="s">
        <v>171</v>
      </c>
      <c r="C687" s="53">
        <v>2004</v>
      </c>
      <c r="D687" s="52" t="s">
        <v>106</v>
      </c>
      <c r="E687" s="54">
        <v>4</v>
      </c>
      <c r="F687" s="55">
        <v>471787.4</v>
      </c>
      <c r="G687" s="55">
        <v>175890.8</v>
      </c>
    </row>
    <row r="688" spans="1:7" ht="10.050000000000001" customHeight="1">
      <c r="A688" s="52" t="s">
        <v>421</v>
      </c>
      <c r="B688" s="52" t="s">
        <v>171</v>
      </c>
      <c r="C688" s="53">
        <v>2004</v>
      </c>
      <c r="D688" s="52" t="s">
        <v>106</v>
      </c>
      <c r="E688" s="54">
        <v>5</v>
      </c>
      <c r="F688" s="55">
        <v>442336.4</v>
      </c>
      <c r="G688" s="55">
        <v>142287.4</v>
      </c>
    </row>
    <row r="689" spans="1:7" ht="10.050000000000001" customHeight="1">
      <c r="A689" s="52" t="s">
        <v>421</v>
      </c>
      <c r="B689" s="52" t="s">
        <v>171</v>
      </c>
      <c r="C689" s="53">
        <v>2004</v>
      </c>
      <c r="D689" s="52" t="s">
        <v>106</v>
      </c>
      <c r="E689" s="54">
        <v>6</v>
      </c>
      <c r="F689" s="55">
        <v>477218.6</v>
      </c>
      <c r="G689" s="55">
        <v>140853.6</v>
      </c>
    </row>
    <row r="690" spans="1:7" ht="10.050000000000001" customHeight="1">
      <c r="A690" s="52" t="s">
        <v>421</v>
      </c>
      <c r="B690" s="52" t="s">
        <v>171</v>
      </c>
      <c r="C690" s="53">
        <v>2004</v>
      </c>
      <c r="D690" s="52" t="s">
        <v>110</v>
      </c>
      <c r="E690" s="54">
        <v>7</v>
      </c>
      <c r="F690" s="55">
        <v>499992.8</v>
      </c>
      <c r="G690" s="55">
        <v>236173.3</v>
      </c>
    </row>
    <row r="691" spans="1:7" ht="10.050000000000001" customHeight="1">
      <c r="A691" s="52" t="s">
        <v>421</v>
      </c>
      <c r="B691" s="52" t="s">
        <v>171</v>
      </c>
      <c r="C691" s="53">
        <v>2004</v>
      </c>
      <c r="D691" s="52" t="s">
        <v>110</v>
      </c>
      <c r="E691" s="54">
        <v>8</v>
      </c>
      <c r="F691" s="55">
        <v>549167.19999999995</v>
      </c>
      <c r="G691" s="55">
        <v>387249.2</v>
      </c>
    </row>
    <row r="692" spans="1:7" ht="10.050000000000001" customHeight="1">
      <c r="A692" s="52" t="s">
        <v>421</v>
      </c>
      <c r="B692" s="52" t="s">
        <v>171</v>
      </c>
      <c r="C692" s="53">
        <v>2004</v>
      </c>
      <c r="D692" s="52" t="s">
        <v>110</v>
      </c>
      <c r="E692" s="54">
        <v>9</v>
      </c>
      <c r="F692" s="55">
        <v>554167.19999999995</v>
      </c>
      <c r="G692" s="55">
        <v>325505.8</v>
      </c>
    </row>
    <row r="693" spans="1:7" ht="10.050000000000001" customHeight="1">
      <c r="A693" s="52" t="s">
        <v>421</v>
      </c>
      <c r="B693" s="52" t="s">
        <v>171</v>
      </c>
      <c r="C693" s="53">
        <v>2004</v>
      </c>
      <c r="D693" s="52" t="s">
        <v>110</v>
      </c>
      <c r="E693" s="54">
        <v>10</v>
      </c>
      <c r="F693" s="55">
        <v>468604</v>
      </c>
      <c r="G693" s="55">
        <v>267273.8</v>
      </c>
    </row>
    <row r="694" spans="1:7" ht="10.050000000000001" customHeight="1">
      <c r="A694" s="52" t="s">
        <v>421</v>
      </c>
      <c r="B694" s="52" t="s">
        <v>171</v>
      </c>
      <c r="C694" s="53">
        <v>2004</v>
      </c>
      <c r="D694" s="52" t="s">
        <v>110</v>
      </c>
      <c r="E694" s="54">
        <v>11</v>
      </c>
      <c r="F694" s="55">
        <v>418550.7</v>
      </c>
      <c r="G694" s="55">
        <v>239841.6</v>
      </c>
    </row>
    <row r="695" spans="1:7" ht="10.050000000000001" customHeight="1">
      <c r="A695" s="52" t="s">
        <v>421</v>
      </c>
      <c r="B695" s="52" t="s">
        <v>171</v>
      </c>
      <c r="C695" s="53">
        <v>2004</v>
      </c>
      <c r="D695" s="52" t="s">
        <v>110</v>
      </c>
      <c r="E695" s="54">
        <v>12</v>
      </c>
      <c r="F695" s="55">
        <v>443000.7</v>
      </c>
      <c r="G695" s="55">
        <v>212858.8</v>
      </c>
    </row>
    <row r="696" spans="1:7" ht="10.050000000000001" customHeight="1">
      <c r="A696" s="52" t="s">
        <v>421</v>
      </c>
      <c r="B696" s="52" t="s">
        <v>171</v>
      </c>
      <c r="C696" s="53">
        <v>2005</v>
      </c>
      <c r="D696" s="52" t="s">
        <v>110</v>
      </c>
      <c r="E696" s="54">
        <v>1</v>
      </c>
      <c r="F696" s="55">
        <v>420097.3</v>
      </c>
      <c r="G696" s="55">
        <v>203360.9</v>
      </c>
    </row>
    <row r="697" spans="1:7" ht="10.050000000000001" customHeight="1">
      <c r="A697" s="52" t="s">
        <v>421</v>
      </c>
      <c r="B697" s="52" t="s">
        <v>171</v>
      </c>
      <c r="C697" s="53">
        <v>2005</v>
      </c>
      <c r="D697" s="52" t="s">
        <v>110</v>
      </c>
      <c r="E697" s="54">
        <v>2</v>
      </c>
      <c r="F697" s="55">
        <v>408009.5</v>
      </c>
      <c r="G697" s="55">
        <v>196107.3</v>
      </c>
    </row>
    <row r="698" spans="1:7" ht="10.050000000000001" customHeight="1">
      <c r="A698" s="52" t="s">
        <v>421</v>
      </c>
      <c r="B698" s="52" t="s">
        <v>171</v>
      </c>
      <c r="C698" s="53">
        <v>2005</v>
      </c>
      <c r="D698" s="52" t="s">
        <v>110</v>
      </c>
      <c r="E698" s="54">
        <v>3</v>
      </c>
      <c r="F698" s="55">
        <v>478044.5</v>
      </c>
      <c r="G698" s="55">
        <v>174580.1</v>
      </c>
    </row>
    <row r="699" spans="1:7" ht="10.050000000000001" customHeight="1">
      <c r="A699" s="52" t="s">
        <v>421</v>
      </c>
      <c r="B699" s="52" t="s">
        <v>171</v>
      </c>
      <c r="C699" s="53">
        <v>2005</v>
      </c>
      <c r="D699" s="52" t="s">
        <v>110</v>
      </c>
      <c r="E699" s="54">
        <v>4</v>
      </c>
      <c r="F699" s="55">
        <v>484560.5</v>
      </c>
      <c r="G699" s="55">
        <v>159908</v>
      </c>
    </row>
    <row r="700" spans="1:7" ht="10.050000000000001" customHeight="1">
      <c r="A700" s="52" t="s">
        <v>421</v>
      </c>
      <c r="B700" s="52" t="s">
        <v>171</v>
      </c>
      <c r="C700" s="53">
        <v>2005</v>
      </c>
      <c r="D700" s="52" t="s">
        <v>110</v>
      </c>
      <c r="E700" s="54">
        <v>5</v>
      </c>
      <c r="F700" s="55">
        <v>514360</v>
      </c>
      <c r="G700" s="55">
        <v>150610.5</v>
      </c>
    </row>
    <row r="701" spans="1:7" ht="10.050000000000001" customHeight="1">
      <c r="A701" s="52" t="s">
        <v>421</v>
      </c>
      <c r="B701" s="52" t="s">
        <v>171</v>
      </c>
      <c r="C701" s="53">
        <v>2005</v>
      </c>
      <c r="D701" s="52" t="s">
        <v>110</v>
      </c>
      <c r="E701" s="54">
        <v>6</v>
      </c>
      <c r="F701" s="55">
        <v>511875.1</v>
      </c>
      <c r="G701" s="55">
        <v>172973.6</v>
      </c>
    </row>
    <row r="702" spans="1:7" ht="10.050000000000001" customHeight="1">
      <c r="A702" s="52" t="s">
        <v>421</v>
      </c>
      <c r="B702" s="52" t="s">
        <v>171</v>
      </c>
      <c r="C702" s="53">
        <v>2005</v>
      </c>
      <c r="D702" s="52" t="s">
        <v>111</v>
      </c>
      <c r="E702" s="54">
        <v>7</v>
      </c>
      <c r="F702" s="55">
        <v>528809</v>
      </c>
      <c r="G702" s="55">
        <v>253076.3</v>
      </c>
    </row>
    <row r="703" spans="1:7" ht="10.050000000000001" customHeight="1">
      <c r="A703" s="52" t="s">
        <v>421</v>
      </c>
      <c r="B703" s="52" t="s">
        <v>171</v>
      </c>
      <c r="C703" s="53">
        <v>2005</v>
      </c>
      <c r="D703" s="52" t="s">
        <v>111</v>
      </c>
      <c r="E703" s="54">
        <v>8</v>
      </c>
      <c r="F703" s="55">
        <v>586895.30000000005</v>
      </c>
      <c r="G703" s="55">
        <v>349780</v>
      </c>
    </row>
    <row r="704" spans="1:7" ht="10.050000000000001" customHeight="1">
      <c r="A704" s="52" t="s">
        <v>421</v>
      </c>
      <c r="B704" s="52" t="s">
        <v>171</v>
      </c>
      <c r="C704" s="53">
        <v>2005</v>
      </c>
      <c r="D704" s="52" t="s">
        <v>111</v>
      </c>
      <c r="E704" s="54">
        <v>9</v>
      </c>
      <c r="F704" s="55">
        <v>572853.30000000005</v>
      </c>
      <c r="G704" s="55">
        <v>278851.40000000002</v>
      </c>
    </row>
    <row r="705" spans="1:7" ht="10.050000000000001" customHeight="1">
      <c r="A705" s="52" t="s">
        <v>421</v>
      </c>
      <c r="B705" s="52" t="s">
        <v>171</v>
      </c>
      <c r="C705" s="53">
        <v>2005</v>
      </c>
      <c r="D705" s="52" t="s">
        <v>111</v>
      </c>
      <c r="E705" s="54">
        <v>10</v>
      </c>
      <c r="F705" s="55">
        <v>546139.6</v>
      </c>
      <c r="G705" s="55">
        <v>218564.7</v>
      </c>
    </row>
    <row r="706" spans="1:7" ht="10.050000000000001" customHeight="1">
      <c r="A706" s="52" t="s">
        <v>421</v>
      </c>
      <c r="B706" s="52" t="s">
        <v>171</v>
      </c>
      <c r="C706" s="53">
        <v>2005</v>
      </c>
      <c r="D706" s="52" t="s">
        <v>111</v>
      </c>
      <c r="E706" s="54">
        <v>11</v>
      </c>
      <c r="F706" s="55">
        <v>532490.9</v>
      </c>
      <c r="G706" s="55">
        <v>215230.2</v>
      </c>
    </row>
    <row r="707" spans="1:7" ht="10.050000000000001" customHeight="1">
      <c r="A707" s="52" t="s">
        <v>421</v>
      </c>
      <c r="B707" s="52" t="s">
        <v>171</v>
      </c>
      <c r="C707" s="53">
        <v>2005</v>
      </c>
      <c r="D707" s="52" t="s">
        <v>111</v>
      </c>
      <c r="E707" s="54">
        <v>12</v>
      </c>
      <c r="F707" s="55">
        <v>548856.6</v>
      </c>
      <c r="G707" s="55">
        <v>209104.1</v>
      </c>
    </row>
    <row r="708" spans="1:7" ht="10.050000000000001" customHeight="1">
      <c r="A708" s="52" t="s">
        <v>421</v>
      </c>
      <c r="B708" s="52" t="s">
        <v>171</v>
      </c>
      <c r="C708" s="53">
        <v>2006</v>
      </c>
      <c r="D708" s="52" t="s">
        <v>111</v>
      </c>
      <c r="E708" s="54">
        <v>1</v>
      </c>
      <c r="F708" s="55">
        <v>554011.6</v>
      </c>
      <c r="G708" s="55">
        <v>196086.39999999999</v>
      </c>
    </row>
    <row r="709" spans="1:7" ht="10.050000000000001" customHeight="1">
      <c r="A709" s="52" t="s">
        <v>421</v>
      </c>
      <c r="B709" s="52" t="s">
        <v>171</v>
      </c>
      <c r="C709" s="53">
        <v>2006</v>
      </c>
      <c r="D709" s="52" t="s">
        <v>111</v>
      </c>
      <c r="E709" s="54">
        <v>2</v>
      </c>
      <c r="F709" s="55">
        <v>506038.3</v>
      </c>
      <c r="G709" s="55">
        <v>186620.2</v>
      </c>
    </row>
    <row r="710" spans="1:7" ht="10.050000000000001" customHeight="1">
      <c r="A710" s="52" t="s">
        <v>421</v>
      </c>
      <c r="B710" s="52" t="s">
        <v>171</v>
      </c>
      <c r="C710" s="53">
        <v>2006</v>
      </c>
      <c r="D710" s="52" t="s">
        <v>111</v>
      </c>
      <c r="E710" s="54">
        <v>3</v>
      </c>
      <c r="F710" s="55">
        <v>565689.4</v>
      </c>
      <c r="G710" s="55">
        <v>163922.29999999999</v>
      </c>
    </row>
    <row r="711" spans="1:7" ht="10.050000000000001" customHeight="1">
      <c r="A711" s="52" t="s">
        <v>421</v>
      </c>
      <c r="B711" s="52" t="s">
        <v>171</v>
      </c>
      <c r="C711" s="53">
        <v>2006</v>
      </c>
      <c r="D711" s="52" t="s">
        <v>111</v>
      </c>
      <c r="E711" s="54">
        <v>4</v>
      </c>
      <c r="F711" s="55">
        <v>493131.7</v>
      </c>
      <c r="G711" s="55">
        <v>137879.9</v>
      </c>
    </row>
    <row r="712" spans="1:7" ht="10.050000000000001" customHeight="1">
      <c r="A712" s="52" t="s">
        <v>421</v>
      </c>
      <c r="B712" s="52" t="s">
        <v>171</v>
      </c>
      <c r="C712" s="53">
        <v>2006</v>
      </c>
      <c r="D712" s="52" t="s">
        <v>111</v>
      </c>
      <c r="E712" s="54">
        <v>5</v>
      </c>
      <c r="F712" s="55">
        <v>524536.4</v>
      </c>
      <c r="G712" s="55">
        <v>125057.9</v>
      </c>
    </row>
    <row r="713" spans="1:7" ht="10.050000000000001" customHeight="1">
      <c r="A713" s="52" t="s">
        <v>421</v>
      </c>
      <c r="B713" s="52" t="s">
        <v>171</v>
      </c>
      <c r="C713" s="53">
        <v>2006</v>
      </c>
      <c r="D713" s="52" t="s">
        <v>111</v>
      </c>
      <c r="E713" s="54">
        <v>6</v>
      </c>
      <c r="F713" s="55">
        <v>511196.1</v>
      </c>
      <c r="G713" s="55">
        <v>141474</v>
      </c>
    </row>
    <row r="714" spans="1:7" ht="10.050000000000001" customHeight="1">
      <c r="A714" s="52" t="s">
        <v>421</v>
      </c>
      <c r="B714" s="52" t="s">
        <v>171</v>
      </c>
      <c r="C714" s="53">
        <v>2006</v>
      </c>
      <c r="D714" s="52" t="s">
        <v>112</v>
      </c>
      <c r="E714" s="54">
        <v>7</v>
      </c>
      <c r="F714" s="55">
        <v>486689.5</v>
      </c>
      <c r="G714" s="55">
        <v>359186.3</v>
      </c>
    </row>
    <row r="715" spans="1:7" ht="10.050000000000001" customHeight="1">
      <c r="A715" s="52" t="s">
        <v>421</v>
      </c>
      <c r="B715" s="52" t="s">
        <v>171</v>
      </c>
      <c r="C715" s="53">
        <v>2006</v>
      </c>
      <c r="D715" s="52" t="s">
        <v>112</v>
      </c>
      <c r="E715" s="54">
        <v>8</v>
      </c>
      <c r="F715" s="55">
        <v>566006.6</v>
      </c>
      <c r="G715" s="55">
        <v>350169</v>
      </c>
    </row>
    <row r="716" spans="1:7" ht="10.050000000000001" customHeight="1">
      <c r="A716" s="52" t="s">
        <v>421</v>
      </c>
      <c r="B716" s="52" t="s">
        <v>171</v>
      </c>
      <c r="C716" s="53">
        <v>2006</v>
      </c>
      <c r="D716" s="52" t="s">
        <v>112</v>
      </c>
      <c r="E716" s="54">
        <v>9</v>
      </c>
      <c r="F716" s="55">
        <v>510220.1</v>
      </c>
      <c r="G716" s="55">
        <v>307442.2</v>
      </c>
    </row>
    <row r="717" spans="1:7" ht="10.050000000000001" customHeight="1">
      <c r="A717" s="52" t="s">
        <v>421</v>
      </c>
      <c r="B717" s="52" t="s">
        <v>171</v>
      </c>
      <c r="C717" s="53">
        <v>2006</v>
      </c>
      <c r="D717" s="52" t="s">
        <v>112</v>
      </c>
      <c r="E717" s="54">
        <v>10</v>
      </c>
      <c r="F717" s="55">
        <v>497052.4</v>
      </c>
      <c r="G717" s="55">
        <v>244521.8</v>
      </c>
    </row>
    <row r="718" spans="1:7" ht="10.050000000000001" customHeight="1">
      <c r="A718" s="52" t="s">
        <v>421</v>
      </c>
      <c r="B718" s="52" t="s">
        <v>171</v>
      </c>
      <c r="C718" s="53">
        <v>2006</v>
      </c>
      <c r="D718" s="52" t="s">
        <v>112</v>
      </c>
      <c r="E718" s="54">
        <v>11</v>
      </c>
      <c r="F718" s="55">
        <v>449213.7</v>
      </c>
      <c r="G718" s="55">
        <v>227730.6</v>
      </c>
    </row>
    <row r="719" spans="1:7" ht="10.050000000000001" customHeight="1">
      <c r="A719" s="52" t="s">
        <v>421</v>
      </c>
      <c r="B719" s="52" t="s">
        <v>171</v>
      </c>
      <c r="C719" s="53">
        <v>2006</v>
      </c>
      <c r="D719" s="52" t="s">
        <v>112</v>
      </c>
      <c r="E719" s="54">
        <v>12</v>
      </c>
      <c r="F719" s="55">
        <v>460400.2</v>
      </c>
      <c r="G719" s="55">
        <v>180688.2</v>
      </c>
    </row>
    <row r="720" spans="1:7" ht="10.050000000000001" customHeight="1">
      <c r="A720" s="52" t="s">
        <v>421</v>
      </c>
      <c r="B720" s="52" t="s">
        <v>171</v>
      </c>
      <c r="C720" s="53">
        <v>2007</v>
      </c>
      <c r="D720" s="52" t="s">
        <v>112</v>
      </c>
      <c r="E720" s="54">
        <v>1</v>
      </c>
      <c r="F720" s="55">
        <v>512857</v>
      </c>
      <c r="G720" s="55">
        <v>157012.4</v>
      </c>
    </row>
    <row r="721" spans="1:7" ht="10.050000000000001" customHeight="1">
      <c r="A721" s="52" t="s">
        <v>421</v>
      </c>
      <c r="B721" s="52" t="s">
        <v>171</v>
      </c>
      <c r="C721" s="53">
        <v>2007</v>
      </c>
      <c r="D721" s="52" t="s">
        <v>112</v>
      </c>
      <c r="E721" s="54">
        <v>2</v>
      </c>
      <c r="F721" s="55">
        <v>481239.6</v>
      </c>
      <c r="G721" s="55">
        <v>171599.7</v>
      </c>
    </row>
    <row r="722" spans="1:7" ht="10.050000000000001" customHeight="1">
      <c r="A722" s="52" t="s">
        <v>421</v>
      </c>
      <c r="B722" s="52" t="s">
        <v>171</v>
      </c>
      <c r="C722" s="53">
        <v>2007</v>
      </c>
      <c r="D722" s="52" t="s">
        <v>112</v>
      </c>
      <c r="E722" s="54">
        <v>3</v>
      </c>
      <c r="F722" s="55">
        <v>533303.30000000005</v>
      </c>
      <c r="G722" s="55">
        <v>166242.6</v>
      </c>
    </row>
    <row r="723" spans="1:7" ht="10.050000000000001" customHeight="1">
      <c r="A723" s="52" t="s">
        <v>421</v>
      </c>
      <c r="B723" s="52" t="s">
        <v>171</v>
      </c>
      <c r="C723" s="53">
        <v>2007</v>
      </c>
      <c r="D723" s="52" t="s">
        <v>112</v>
      </c>
      <c r="E723" s="54">
        <v>4</v>
      </c>
      <c r="F723" s="55">
        <v>497854</v>
      </c>
      <c r="G723" s="55">
        <v>162789.79999999999</v>
      </c>
    </row>
    <row r="724" spans="1:7" ht="10.050000000000001" customHeight="1">
      <c r="A724" s="52" t="s">
        <v>421</v>
      </c>
      <c r="B724" s="52" t="s">
        <v>171</v>
      </c>
      <c r="C724" s="53">
        <v>2007</v>
      </c>
      <c r="D724" s="52" t="s">
        <v>112</v>
      </c>
      <c r="E724" s="54">
        <v>5</v>
      </c>
      <c r="F724" s="55">
        <v>519407.8</v>
      </c>
      <c r="G724" s="55">
        <v>148699.5</v>
      </c>
    </row>
    <row r="725" spans="1:7" ht="10.050000000000001" customHeight="1">
      <c r="A725" s="52" t="s">
        <v>421</v>
      </c>
      <c r="B725" s="52" t="s">
        <v>171</v>
      </c>
      <c r="C725" s="53">
        <v>2007</v>
      </c>
      <c r="D725" s="52" t="s">
        <v>112</v>
      </c>
      <c r="E725" s="54">
        <v>6</v>
      </c>
      <c r="F725" s="55">
        <v>537361.4</v>
      </c>
      <c r="G725" s="55">
        <v>153932.1</v>
      </c>
    </row>
    <row r="726" spans="1:7" ht="10.050000000000001" customHeight="1">
      <c r="A726" s="52" t="s">
        <v>421</v>
      </c>
      <c r="B726" s="52" t="s">
        <v>171</v>
      </c>
      <c r="C726" s="53">
        <v>2007</v>
      </c>
      <c r="D726" s="52" t="s">
        <v>113</v>
      </c>
      <c r="E726" s="54">
        <v>7</v>
      </c>
      <c r="F726" s="55">
        <v>557793.6</v>
      </c>
      <c r="G726" s="55">
        <v>145264.1</v>
      </c>
    </row>
    <row r="727" spans="1:7" ht="10.050000000000001" customHeight="1">
      <c r="A727" s="52" t="s">
        <v>421</v>
      </c>
      <c r="B727" s="52" t="s">
        <v>171</v>
      </c>
      <c r="C727" s="53">
        <v>2007</v>
      </c>
      <c r="D727" s="52" t="s">
        <v>113</v>
      </c>
      <c r="E727" s="54">
        <v>8</v>
      </c>
      <c r="F727" s="55">
        <v>607029.4</v>
      </c>
      <c r="G727" s="55">
        <v>248339.7</v>
      </c>
    </row>
    <row r="728" spans="1:7" ht="10.050000000000001" customHeight="1">
      <c r="A728" s="52" t="s">
        <v>421</v>
      </c>
      <c r="B728" s="52" t="s">
        <v>171</v>
      </c>
      <c r="C728" s="53">
        <v>2007</v>
      </c>
      <c r="D728" s="52" t="s">
        <v>113</v>
      </c>
      <c r="E728" s="54">
        <v>9</v>
      </c>
      <c r="F728" s="55">
        <v>494588</v>
      </c>
      <c r="G728" s="55">
        <v>233712.8</v>
      </c>
    </row>
    <row r="729" spans="1:7" ht="10.050000000000001" customHeight="1">
      <c r="A729" s="52" t="s">
        <v>421</v>
      </c>
      <c r="B729" s="52" t="s">
        <v>171</v>
      </c>
      <c r="C729" s="53">
        <v>2007</v>
      </c>
      <c r="D729" s="52" t="s">
        <v>113</v>
      </c>
      <c r="E729" s="54">
        <v>10</v>
      </c>
      <c r="F729" s="55">
        <v>473736.8</v>
      </c>
      <c r="G729" s="55">
        <v>219196</v>
      </c>
    </row>
    <row r="730" spans="1:7" ht="10.050000000000001" customHeight="1">
      <c r="A730" s="52" t="s">
        <v>421</v>
      </c>
      <c r="B730" s="52" t="s">
        <v>171</v>
      </c>
      <c r="C730" s="53">
        <v>2007</v>
      </c>
      <c r="D730" s="52" t="s">
        <v>113</v>
      </c>
      <c r="E730" s="54">
        <v>11</v>
      </c>
      <c r="F730" s="55">
        <v>411073.2</v>
      </c>
      <c r="G730" s="55">
        <v>186978.1</v>
      </c>
    </row>
    <row r="731" spans="1:7" ht="10.050000000000001" customHeight="1">
      <c r="A731" s="52" t="s">
        <v>421</v>
      </c>
      <c r="B731" s="52" t="s">
        <v>171</v>
      </c>
      <c r="C731" s="53">
        <v>2007</v>
      </c>
      <c r="D731" s="52" t="s">
        <v>113</v>
      </c>
      <c r="E731" s="54">
        <v>12</v>
      </c>
      <c r="F731" s="55">
        <v>354332.6</v>
      </c>
      <c r="G731" s="55">
        <v>174771.20000000001</v>
      </c>
    </row>
    <row r="732" spans="1:7" ht="10.050000000000001" customHeight="1">
      <c r="A732" s="52" t="s">
        <v>421</v>
      </c>
      <c r="B732" s="52" t="s">
        <v>171</v>
      </c>
      <c r="C732" s="53">
        <v>2008</v>
      </c>
      <c r="D732" s="52" t="s">
        <v>113</v>
      </c>
      <c r="E732" s="54">
        <v>1</v>
      </c>
      <c r="F732" s="55">
        <v>351145.5</v>
      </c>
      <c r="G732" s="55">
        <v>182642</v>
      </c>
    </row>
    <row r="733" spans="1:7" ht="10.050000000000001" customHeight="1">
      <c r="A733" s="52" t="s">
        <v>421</v>
      </c>
      <c r="B733" s="52" t="s">
        <v>171</v>
      </c>
      <c r="C733" s="53">
        <v>2008</v>
      </c>
      <c r="D733" s="52" t="s">
        <v>113</v>
      </c>
      <c r="E733" s="54">
        <v>2</v>
      </c>
      <c r="F733" s="55">
        <v>296206.5</v>
      </c>
      <c r="G733" s="55">
        <v>175404.3</v>
      </c>
    </row>
    <row r="734" spans="1:7" ht="10.050000000000001" customHeight="1">
      <c r="A734" s="52" t="s">
        <v>421</v>
      </c>
      <c r="B734" s="52" t="s">
        <v>171</v>
      </c>
      <c r="C734" s="53">
        <v>2008</v>
      </c>
      <c r="D734" s="52" t="s">
        <v>113</v>
      </c>
      <c r="E734" s="54">
        <v>3</v>
      </c>
      <c r="F734" s="55">
        <v>267800.40000000002</v>
      </c>
      <c r="G734" s="55">
        <v>167824.1</v>
      </c>
    </row>
    <row r="735" spans="1:7" ht="10.050000000000001" customHeight="1">
      <c r="A735" s="52" t="s">
        <v>421</v>
      </c>
      <c r="B735" s="52" t="s">
        <v>171</v>
      </c>
      <c r="C735" s="53">
        <v>2008</v>
      </c>
      <c r="D735" s="52" t="s">
        <v>113</v>
      </c>
      <c r="E735" s="54">
        <v>4</v>
      </c>
      <c r="F735" s="55">
        <v>283919.7</v>
      </c>
      <c r="G735" s="55">
        <v>168885.7</v>
      </c>
    </row>
    <row r="736" spans="1:7" ht="10.050000000000001" customHeight="1">
      <c r="A736" s="52" t="s">
        <v>421</v>
      </c>
      <c r="B736" s="52" t="s">
        <v>171</v>
      </c>
      <c r="C736" s="53">
        <v>2008</v>
      </c>
      <c r="D736" s="52" t="s">
        <v>113</v>
      </c>
      <c r="E736" s="54">
        <v>5</v>
      </c>
      <c r="F736" s="55">
        <v>311327.90000000002</v>
      </c>
      <c r="G736" s="55">
        <v>142233.9</v>
      </c>
    </row>
    <row r="737" spans="1:7" ht="10.050000000000001" customHeight="1">
      <c r="A737" s="52" t="s">
        <v>421</v>
      </c>
      <c r="B737" s="52" t="s">
        <v>171</v>
      </c>
      <c r="C737" s="53">
        <v>2008</v>
      </c>
      <c r="D737" s="52" t="s">
        <v>113</v>
      </c>
      <c r="E737" s="54">
        <v>6</v>
      </c>
      <c r="F737" s="55">
        <v>356349.4</v>
      </c>
      <c r="G737" s="55">
        <v>141531.4</v>
      </c>
    </row>
    <row r="738" spans="1:7" ht="10.050000000000001" customHeight="1">
      <c r="A738" s="52" t="s">
        <v>421</v>
      </c>
      <c r="B738" s="52" t="s">
        <v>171</v>
      </c>
      <c r="C738" s="53">
        <v>2008</v>
      </c>
      <c r="D738" s="52" t="s">
        <v>107</v>
      </c>
      <c r="E738" s="54">
        <v>7</v>
      </c>
      <c r="F738" s="55">
        <v>482157.9</v>
      </c>
      <c r="G738" s="55">
        <v>226300.2</v>
      </c>
    </row>
    <row r="739" spans="1:7" ht="10.050000000000001" customHeight="1">
      <c r="A739" s="52" t="s">
        <v>421</v>
      </c>
      <c r="B739" s="52" t="s">
        <v>171</v>
      </c>
      <c r="C739" s="53">
        <v>2008</v>
      </c>
      <c r="D739" s="52" t="s">
        <v>107</v>
      </c>
      <c r="E739" s="54">
        <v>8</v>
      </c>
      <c r="F739" s="55">
        <v>507741.2</v>
      </c>
      <c r="G739" s="55">
        <v>376072.3</v>
      </c>
    </row>
    <row r="740" spans="1:7" ht="10.050000000000001" customHeight="1">
      <c r="A740" s="52" t="s">
        <v>421</v>
      </c>
      <c r="B740" s="52" t="s">
        <v>171</v>
      </c>
      <c r="C740" s="53">
        <v>2008</v>
      </c>
      <c r="D740" s="52" t="s">
        <v>107</v>
      </c>
      <c r="E740" s="54">
        <v>9</v>
      </c>
      <c r="F740" s="55">
        <v>535937.69999999995</v>
      </c>
      <c r="G740" s="55">
        <v>394579.7</v>
      </c>
    </row>
    <row r="741" spans="1:7" ht="10.050000000000001" customHeight="1">
      <c r="A741" s="52" t="s">
        <v>421</v>
      </c>
      <c r="B741" s="52" t="s">
        <v>171</v>
      </c>
      <c r="C741" s="53">
        <v>2008</v>
      </c>
      <c r="D741" s="52" t="s">
        <v>107</v>
      </c>
      <c r="E741" s="54">
        <v>10</v>
      </c>
      <c r="F741" s="55">
        <v>521774.5</v>
      </c>
      <c r="G741" s="55">
        <v>327084.59999999998</v>
      </c>
    </row>
    <row r="742" spans="1:7" ht="10.050000000000001" customHeight="1">
      <c r="A742" s="52" t="s">
        <v>421</v>
      </c>
      <c r="B742" s="52" t="s">
        <v>171</v>
      </c>
      <c r="C742" s="53">
        <v>2008</v>
      </c>
      <c r="D742" s="52" t="s">
        <v>107</v>
      </c>
      <c r="E742" s="54">
        <v>11</v>
      </c>
      <c r="F742" s="55">
        <v>395487.1</v>
      </c>
      <c r="G742" s="55">
        <v>285186</v>
      </c>
    </row>
    <row r="743" spans="1:7" ht="10.050000000000001" customHeight="1">
      <c r="A743" s="52" t="s">
        <v>421</v>
      </c>
      <c r="B743" s="52" t="s">
        <v>171</v>
      </c>
      <c r="C743" s="53">
        <v>2008</v>
      </c>
      <c r="D743" s="52" t="s">
        <v>107</v>
      </c>
      <c r="E743" s="54">
        <v>12</v>
      </c>
      <c r="F743" s="55">
        <v>417656</v>
      </c>
      <c r="G743" s="55">
        <v>244814.4</v>
      </c>
    </row>
    <row r="744" spans="1:7" ht="10.050000000000001" customHeight="1">
      <c r="A744" s="52" t="s">
        <v>421</v>
      </c>
      <c r="B744" s="52" t="s">
        <v>171</v>
      </c>
      <c r="C744" s="53">
        <v>2009</v>
      </c>
      <c r="D744" s="52" t="s">
        <v>107</v>
      </c>
      <c r="E744" s="54">
        <v>1</v>
      </c>
      <c r="F744" s="55">
        <v>389606.40000000002</v>
      </c>
      <c r="G744" s="55">
        <v>201369.5</v>
      </c>
    </row>
    <row r="745" spans="1:7" ht="10.050000000000001" customHeight="1">
      <c r="A745" s="52" t="s">
        <v>421</v>
      </c>
      <c r="B745" s="52" t="s">
        <v>171</v>
      </c>
      <c r="C745" s="53">
        <v>2009</v>
      </c>
      <c r="D745" s="52" t="s">
        <v>107</v>
      </c>
      <c r="E745" s="54">
        <v>2</v>
      </c>
      <c r="F745" s="55">
        <v>339285.1</v>
      </c>
      <c r="G745" s="55">
        <v>182191.9</v>
      </c>
    </row>
    <row r="746" spans="1:7" ht="10.050000000000001" customHeight="1">
      <c r="A746" s="52" t="s">
        <v>421</v>
      </c>
      <c r="B746" s="52" t="s">
        <v>171</v>
      </c>
      <c r="C746" s="53">
        <v>2009</v>
      </c>
      <c r="D746" s="52" t="s">
        <v>107</v>
      </c>
      <c r="E746" s="54">
        <v>3</v>
      </c>
      <c r="F746" s="55">
        <v>376382.6</v>
      </c>
      <c r="G746" s="55">
        <v>174214.7</v>
      </c>
    </row>
    <row r="747" spans="1:7" ht="10.050000000000001" customHeight="1">
      <c r="A747" s="52" t="s">
        <v>421</v>
      </c>
      <c r="B747" s="52" t="s">
        <v>171</v>
      </c>
      <c r="C747" s="53">
        <v>2009</v>
      </c>
      <c r="D747" s="52" t="s">
        <v>107</v>
      </c>
      <c r="E747" s="54">
        <v>4</v>
      </c>
      <c r="F747" s="55">
        <v>399528.3</v>
      </c>
      <c r="G747" s="55">
        <v>154657.1</v>
      </c>
    </row>
    <row r="748" spans="1:7" ht="10.050000000000001" customHeight="1">
      <c r="A748" s="52" t="s">
        <v>421</v>
      </c>
      <c r="B748" s="52" t="s">
        <v>171</v>
      </c>
      <c r="C748" s="53">
        <v>2009</v>
      </c>
      <c r="D748" s="52" t="s">
        <v>107</v>
      </c>
      <c r="E748" s="54">
        <v>5</v>
      </c>
      <c r="F748" s="55">
        <v>401837</v>
      </c>
      <c r="G748" s="55">
        <v>130452.7</v>
      </c>
    </row>
    <row r="749" spans="1:7" ht="10.050000000000001" customHeight="1">
      <c r="A749" s="52" t="s">
        <v>421</v>
      </c>
      <c r="B749" s="52" t="s">
        <v>171</v>
      </c>
      <c r="C749" s="53">
        <v>2009</v>
      </c>
      <c r="D749" s="52" t="s">
        <v>107</v>
      </c>
      <c r="E749" s="54">
        <v>6</v>
      </c>
      <c r="F749" s="55">
        <v>453789.5</v>
      </c>
      <c r="G749" s="55">
        <v>145519.29999999999</v>
      </c>
    </row>
    <row r="750" spans="1:7" ht="10.050000000000001" customHeight="1">
      <c r="A750" s="52" t="s">
        <v>421</v>
      </c>
      <c r="B750" s="52" t="s">
        <v>171</v>
      </c>
      <c r="C750" s="53">
        <v>2009</v>
      </c>
      <c r="D750" s="52" t="s">
        <v>114</v>
      </c>
      <c r="E750" s="54">
        <v>7</v>
      </c>
      <c r="F750" s="55">
        <v>496552.7</v>
      </c>
      <c r="G750" s="55">
        <v>182463.7</v>
      </c>
    </row>
    <row r="751" spans="1:7" ht="10.050000000000001" customHeight="1">
      <c r="A751" s="52" t="s">
        <v>421</v>
      </c>
      <c r="B751" s="52" t="s">
        <v>171</v>
      </c>
      <c r="C751" s="53">
        <v>2009</v>
      </c>
      <c r="D751" s="52" t="s">
        <v>114</v>
      </c>
      <c r="E751" s="54">
        <v>8</v>
      </c>
      <c r="F751" s="55">
        <v>453418.7</v>
      </c>
      <c r="G751" s="55">
        <v>379795.1</v>
      </c>
    </row>
    <row r="752" spans="1:7" ht="10.050000000000001" customHeight="1">
      <c r="A752" s="52" t="s">
        <v>421</v>
      </c>
      <c r="B752" s="52" t="s">
        <v>171</v>
      </c>
      <c r="C752" s="53">
        <v>2009</v>
      </c>
      <c r="D752" s="52" t="s">
        <v>114</v>
      </c>
      <c r="E752" s="54">
        <v>9</v>
      </c>
      <c r="F752" s="55">
        <v>476933.1</v>
      </c>
      <c r="G752" s="55">
        <v>334001.59999999998</v>
      </c>
    </row>
    <row r="753" spans="1:7" ht="10.050000000000001" customHeight="1">
      <c r="A753" s="52" t="s">
        <v>421</v>
      </c>
      <c r="B753" s="52" t="s">
        <v>171</v>
      </c>
      <c r="C753" s="53">
        <v>2009</v>
      </c>
      <c r="D753" s="52" t="s">
        <v>114</v>
      </c>
      <c r="E753" s="54">
        <v>10</v>
      </c>
      <c r="F753" s="55">
        <v>463470.5</v>
      </c>
      <c r="G753" s="55">
        <v>275986.59999999998</v>
      </c>
    </row>
    <row r="754" spans="1:7" ht="10.050000000000001" customHeight="1">
      <c r="A754" s="52" t="s">
        <v>421</v>
      </c>
      <c r="B754" s="52" t="s">
        <v>171</v>
      </c>
      <c r="C754" s="53">
        <v>2009</v>
      </c>
      <c r="D754" s="52" t="s">
        <v>114</v>
      </c>
      <c r="E754" s="54">
        <v>11</v>
      </c>
      <c r="F754" s="55">
        <v>393906.5</v>
      </c>
      <c r="G754" s="55">
        <v>256652.5</v>
      </c>
    </row>
    <row r="755" spans="1:7" ht="10.050000000000001" customHeight="1">
      <c r="A755" s="52" t="s">
        <v>421</v>
      </c>
      <c r="B755" s="52" t="s">
        <v>171</v>
      </c>
      <c r="C755" s="53">
        <v>2009</v>
      </c>
      <c r="D755" s="52" t="s">
        <v>114</v>
      </c>
      <c r="E755" s="54">
        <v>12</v>
      </c>
      <c r="F755" s="55">
        <v>430862.1</v>
      </c>
      <c r="G755" s="55">
        <v>217632.4</v>
      </c>
    </row>
    <row r="756" spans="1:7" ht="10.050000000000001" customHeight="1">
      <c r="A756" s="52" t="s">
        <v>421</v>
      </c>
      <c r="B756" s="52" t="s">
        <v>171</v>
      </c>
      <c r="C756" s="53">
        <v>2010</v>
      </c>
      <c r="D756" s="52" t="s">
        <v>114</v>
      </c>
      <c r="E756" s="54">
        <v>1</v>
      </c>
      <c r="F756" s="55">
        <v>415023.7</v>
      </c>
      <c r="G756" s="55">
        <v>204481.1</v>
      </c>
    </row>
    <row r="757" spans="1:7" ht="10.050000000000001" customHeight="1">
      <c r="A757" s="52" t="s">
        <v>421</v>
      </c>
      <c r="B757" s="52" t="s">
        <v>171</v>
      </c>
      <c r="C757" s="53">
        <v>2010</v>
      </c>
      <c r="D757" s="52" t="s">
        <v>114</v>
      </c>
      <c r="E757" s="54">
        <v>2</v>
      </c>
      <c r="F757" s="55">
        <v>415974.40000000002</v>
      </c>
      <c r="G757" s="55">
        <v>186496.5</v>
      </c>
    </row>
    <row r="758" spans="1:7" ht="10.050000000000001" customHeight="1">
      <c r="A758" s="52" t="s">
        <v>421</v>
      </c>
      <c r="B758" s="52" t="s">
        <v>171</v>
      </c>
      <c r="C758" s="53">
        <v>2010</v>
      </c>
      <c r="D758" s="52" t="s">
        <v>114</v>
      </c>
      <c r="E758" s="54">
        <v>3</v>
      </c>
      <c r="F758" s="55">
        <v>475960.8</v>
      </c>
      <c r="G758" s="55">
        <v>176410.4</v>
      </c>
    </row>
    <row r="759" spans="1:7" ht="10.050000000000001" customHeight="1">
      <c r="A759" s="52" t="s">
        <v>421</v>
      </c>
      <c r="B759" s="52" t="s">
        <v>171</v>
      </c>
      <c r="C759" s="53">
        <v>2010</v>
      </c>
      <c r="D759" s="52" t="s">
        <v>114</v>
      </c>
      <c r="E759" s="54">
        <v>4</v>
      </c>
      <c r="F759" s="55">
        <v>473387.4</v>
      </c>
      <c r="G759" s="55">
        <v>150440</v>
      </c>
    </row>
    <row r="760" spans="1:7" ht="10.050000000000001" customHeight="1">
      <c r="A760" s="52" t="s">
        <v>421</v>
      </c>
      <c r="B760" s="52" t="s">
        <v>171</v>
      </c>
      <c r="C760" s="53">
        <v>2010</v>
      </c>
      <c r="D760" s="52" t="s">
        <v>114</v>
      </c>
      <c r="E760" s="54">
        <v>5</v>
      </c>
      <c r="F760" s="55">
        <v>455972.3</v>
      </c>
      <c r="G760" s="55">
        <v>118073.3</v>
      </c>
    </row>
    <row r="761" spans="1:7" ht="10.050000000000001" customHeight="1">
      <c r="A761" s="52" t="s">
        <v>421</v>
      </c>
      <c r="B761" s="52" t="s">
        <v>171</v>
      </c>
      <c r="C761" s="53">
        <v>2010</v>
      </c>
      <c r="D761" s="52" t="s">
        <v>114</v>
      </c>
      <c r="E761" s="54">
        <v>6</v>
      </c>
      <c r="F761" s="55">
        <v>483649.9</v>
      </c>
      <c r="G761" s="55">
        <v>120089.5</v>
      </c>
    </row>
    <row r="762" spans="1:7" ht="10.050000000000001" customHeight="1">
      <c r="A762" s="52" t="s">
        <v>421</v>
      </c>
      <c r="B762" s="52" t="s">
        <v>171</v>
      </c>
      <c r="C762" s="53">
        <v>2010</v>
      </c>
      <c r="D762" s="52" t="s">
        <v>115</v>
      </c>
      <c r="E762" s="54">
        <v>7</v>
      </c>
      <c r="F762" s="55">
        <v>467488.27</v>
      </c>
      <c r="G762" s="55">
        <v>246323.163</v>
      </c>
    </row>
    <row r="763" spans="1:7" ht="10.050000000000001" customHeight="1">
      <c r="A763" s="52" t="s">
        <v>421</v>
      </c>
      <c r="B763" s="52" t="s">
        <v>171</v>
      </c>
      <c r="C763" s="53">
        <v>2010</v>
      </c>
      <c r="D763" s="52" t="s">
        <v>115</v>
      </c>
      <c r="E763" s="54">
        <v>8</v>
      </c>
      <c r="F763" s="55">
        <v>447695.636</v>
      </c>
      <c r="G763" s="55">
        <v>342408.63199999998</v>
      </c>
    </row>
    <row r="764" spans="1:7" ht="10.050000000000001" customHeight="1">
      <c r="A764" s="52" t="s">
        <v>421</v>
      </c>
      <c r="B764" s="52" t="s">
        <v>171</v>
      </c>
      <c r="C764" s="53">
        <v>2010</v>
      </c>
      <c r="D764" s="52" t="s">
        <v>115</v>
      </c>
      <c r="E764" s="54">
        <v>9</v>
      </c>
      <c r="F764" s="55">
        <v>425516.022</v>
      </c>
      <c r="G764" s="55">
        <v>294883.13099999999</v>
      </c>
    </row>
    <row r="765" spans="1:7" ht="10.050000000000001" customHeight="1">
      <c r="A765" s="52" t="s">
        <v>421</v>
      </c>
      <c r="B765" s="52" t="s">
        <v>171</v>
      </c>
      <c r="C765" s="53">
        <v>2010</v>
      </c>
      <c r="D765" s="52" t="s">
        <v>115</v>
      </c>
      <c r="E765" s="54">
        <v>10</v>
      </c>
      <c r="F765" s="55">
        <v>399635.36200000002</v>
      </c>
      <c r="G765" s="55">
        <v>259023.467</v>
      </c>
    </row>
    <row r="766" spans="1:7" ht="10.050000000000001" customHeight="1">
      <c r="A766" s="52" t="s">
        <v>421</v>
      </c>
      <c r="B766" s="52" t="s">
        <v>171</v>
      </c>
      <c r="C766" s="53">
        <v>2010</v>
      </c>
      <c r="D766" s="52" t="s">
        <v>115</v>
      </c>
      <c r="E766" s="54">
        <v>11</v>
      </c>
      <c r="F766" s="55">
        <v>374914.01899999997</v>
      </c>
      <c r="G766" s="55">
        <v>247639.29800000001</v>
      </c>
    </row>
    <row r="767" spans="1:7" ht="10.050000000000001" customHeight="1">
      <c r="A767" s="52" t="s">
        <v>421</v>
      </c>
      <c r="B767" s="52" t="s">
        <v>171</v>
      </c>
      <c r="C767" s="53">
        <v>2010</v>
      </c>
      <c r="D767" s="52" t="s">
        <v>115</v>
      </c>
      <c r="E767" s="54">
        <v>12</v>
      </c>
      <c r="F767" s="55">
        <v>381773.11800000002</v>
      </c>
      <c r="G767" s="55">
        <v>228187.06200000001</v>
      </c>
    </row>
    <row r="768" spans="1:7" ht="10.050000000000001" customHeight="1">
      <c r="A768" s="52" t="s">
        <v>421</v>
      </c>
      <c r="B768" s="52" t="s">
        <v>171</v>
      </c>
      <c r="C768" s="53">
        <v>2011</v>
      </c>
      <c r="D768" s="52" t="s">
        <v>115</v>
      </c>
      <c r="E768" s="54">
        <v>1</v>
      </c>
      <c r="F768" s="55">
        <v>319549.78999999998</v>
      </c>
      <c r="G768" s="55">
        <v>213244.92600000001</v>
      </c>
    </row>
    <row r="769" spans="1:7" ht="10.050000000000001" customHeight="1">
      <c r="A769" s="52" t="s">
        <v>421</v>
      </c>
      <c r="B769" s="52" t="s">
        <v>171</v>
      </c>
      <c r="C769" s="53">
        <v>2011</v>
      </c>
      <c r="D769" s="52" t="s">
        <v>115</v>
      </c>
      <c r="E769" s="54">
        <v>2</v>
      </c>
      <c r="F769" s="55">
        <v>274968.29499999998</v>
      </c>
      <c r="G769" s="55">
        <v>195363.68900000001</v>
      </c>
    </row>
    <row r="770" spans="1:7" ht="10.050000000000001" customHeight="1">
      <c r="A770" s="52" t="s">
        <v>421</v>
      </c>
      <c r="B770" s="52" t="s">
        <v>171</v>
      </c>
      <c r="C770" s="53">
        <v>2011</v>
      </c>
      <c r="D770" s="52" t="s">
        <v>115</v>
      </c>
      <c r="E770" s="54">
        <v>3</v>
      </c>
      <c r="F770" s="55">
        <v>293005.44400000002</v>
      </c>
      <c r="G770" s="55">
        <v>174489.117</v>
      </c>
    </row>
    <row r="771" spans="1:7" ht="10.050000000000001" customHeight="1">
      <c r="A771" s="52" t="s">
        <v>421</v>
      </c>
      <c r="B771" s="52" t="s">
        <v>171</v>
      </c>
      <c r="C771" s="53">
        <v>2011</v>
      </c>
      <c r="D771" s="52" t="s">
        <v>115</v>
      </c>
      <c r="E771" s="54">
        <v>4</v>
      </c>
      <c r="F771" s="55">
        <v>277246.98499999999</v>
      </c>
      <c r="G771" s="55">
        <v>140696.99900000001</v>
      </c>
    </row>
    <row r="772" spans="1:7" ht="10.050000000000001" customHeight="1">
      <c r="A772" s="52" t="s">
        <v>421</v>
      </c>
      <c r="B772" s="52" t="s">
        <v>171</v>
      </c>
      <c r="C772" s="53">
        <v>2011</v>
      </c>
      <c r="D772" s="52" t="s">
        <v>115</v>
      </c>
      <c r="E772" s="54">
        <v>5</v>
      </c>
      <c r="F772" s="55">
        <v>284750.55800000002</v>
      </c>
      <c r="G772" s="55">
        <v>129108.08100000001</v>
      </c>
    </row>
    <row r="773" spans="1:7" ht="10.050000000000001" customHeight="1">
      <c r="A773" s="52" t="s">
        <v>421</v>
      </c>
      <c r="B773" s="52" t="s">
        <v>171</v>
      </c>
      <c r="C773" s="53">
        <v>2011</v>
      </c>
      <c r="D773" s="52" t="s">
        <v>115</v>
      </c>
      <c r="E773" s="54">
        <v>6</v>
      </c>
      <c r="F773" s="55">
        <v>314772.05900000001</v>
      </c>
      <c r="G773" s="55">
        <v>109607.031</v>
      </c>
    </row>
    <row r="774" spans="1:7" ht="10.050000000000001" customHeight="1">
      <c r="A774" s="52" t="s">
        <v>421</v>
      </c>
      <c r="B774" s="52" t="s">
        <v>171</v>
      </c>
      <c r="C774" s="53">
        <v>2011</v>
      </c>
      <c r="D774" s="52" t="s">
        <v>116</v>
      </c>
      <c r="E774" s="54">
        <v>7</v>
      </c>
      <c r="F774" s="55">
        <v>403996.32500000001</v>
      </c>
      <c r="G774" s="55">
        <v>149786.56400000001</v>
      </c>
    </row>
    <row r="775" spans="1:7" ht="10.050000000000001" customHeight="1">
      <c r="A775" s="52" t="s">
        <v>421</v>
      </c>
      <c r="B775" s="52" t="s">
        <v>171</v>
      </c>
      <c r="C775" s="53">
        <v>2011</v>
      </c>
      <c r="D775" s="52" t="s">
        <v>116</v>
      </c>
      <c r="E775" s="54">
        <v>8</v>
      </c>
      <c r="F775" s="55">
        <v>502321.12300000002</v>
      </c>
      <c r="G775" s="55">
        <v>272228.12800000003</v>
      </c>
    </row>
    <row r="776" spans="1:7" ht="10.050000000000001" customHeight="1">
      <c r="A776" s="52" t="s">
        <v>421</v>
      </c>
      <c r="B776" s="52" t="s">
        <v>171</v>
      </c>
      <c r="C776" s="53">
        <v>2011</v>
      </c>
      <c r="D776" s="52" t="s">
        <v>116</v>
      </c>
      <c r="E776" s="54">
        <v>9</v>
      </c>
      <c r="F776" s="55">
        <v>500391.728</v>
      </c>
      <c r="G776" s="55">
        <v>222213.285</v>
      </c>
    </row>
    <row r="777" spans="1:7" ht="10.050000000000001" customHeight="1">
      <c r="A777" s="52" t="s">
        <v>421</v>
      </c>
      <c r="B777" s="52" t="s">
        <v>171</v>
      </c>
      <c r="C777" s="53">
        <v>2011</v>
      </c>
      <c r="D777" s="52" t="s">
        <v>116</v>
      </c>
      <c r="E777" s="54">
        <v>10</v>
      </c>
      <c r="F777" s="55">
        <v>448368.64600000001</v>
      </c>
      <c r="G777" s="55">
        <v>180450.571</v>
      </c>
    </row>
    <row r="778" spans="1:7" ht="10.050000000000001" customHeight="1">
      <c r="A778" s="52" t="s">
        <v>421</v>
      </c>
      <c r="B778" s="52" t="s">
        <v>171</v>
      </c>
      <c r="C778" s="53">
        <v>2011</v>
      </c>
      <c r="D778" s="52" t="s">
        <v>116</v>
      </c>
      <c r="E778" s="54">
        <v>11</v>
      </c>
      <c r="F778" s="55">
        <v>405899.44199999998</v>
      </c>
      <c r="G778" s="55">
        <v>188222.29500000001</v>
      </c>
    </row>
    <row r="779" spans="1:7" ht="10.050000000000001" customHeight="1">
      <c r="A779" s="52" t="s">
        <v>421</v>
      </c>
      <c r="B779" s="52" t="s">
        <v>171</v>
      </c>
      <c r="C779" s="53">
        <v>2011</v>
      </c>
      <c r="D779" s="52" t="s">
        <v>116</v>
      </c>
      <c r="E779" s="54">
        <v>12</v>
      </c>
      <c r="F779" s="55">
        <v>398362.83899999998</v>
      </c>
      <c r="G779" s="55">
        <v>173646.622</v>
      </c>
    </row>
    <row r="780" spans="1:7" ht="10.050000000000001" customHeight="1">
      <c r="A780" s="52" t="s">
        <v>421</v>
      </c>
      <c r="B780" s="52" t="s">
        <v>171</v>
      </c>
      <c r="C780" s="53">
        <v>2012</v>
      </c>
      <c r="D780" s="52" t="s">
        <v>116</v>
      </c>
      <c r="E780" s="54">
        <v>1</v>
      </c>
      <c r="F780" s="55">
        <v>394625.87699999998</v>
      </c>
      <c r="G780" s="55">
        <v>158593.01800000001</v>
      </c>
    </row>
    <row r="781" spans="1:7" ht="10.050000000000001" customHeight="1">
      <c r="A781" s="52" t="s">
        <v>421</v>
      </c>
      <c r="B781" s="52" t="s">
        <v>171</v>
      </c>
      <c r="C781" s="53">
        <v>2012</v>
      </c>
      <c r="D781" s="52" t="s">
        <v>116</v>
      </c>
      <c r="E781" s="54">
        <v>2</v>
      </c>
      <c r="F781" s="55">
        <v>377485.67200000002</v>
      </c>
      <c r="G781" s="55">
        <v>144694.46799999999</v>
      </c>
    </row>
    <row r="782" spans="1:7" ht="10.050000000000001" customHeight="1">
      <c r="A782" s="52" t="s">
        <v>421</v>
      </c>
      <c r="B782" s="52" t="s">
        <v>171</v>
      </c>
      <c r="C782" s="53">
        <v>2012</v>
      </c>
      <c r="D782" s="52" t="s">
        <v>116</v>
      </c>
      <c r="E782" s="54">
        <v>3</v>
      </c>
      <c r="F782" s="55">
        <v>378736.09899999999</v>
      </c>
      <c r="G782" s="55">
        <v>132241.54</v>
      </c>
    </row>
    <row r="783" spans="1:7" ht="10.050000000000001" customHeight="1">
      <c r="A783" s="52" t="s">
        <v>421</v>
      </c>
      <c r="B783" s="52" t="s">
        <v>171</v>
      </c>
      <c r="C783" s="53">
        <v>2012</v>
      </c>
      <c r="D783" s="52" t="s">
        <v>116</v>
      </c>
      <c r="E783" s="54">
        <v>4</v>
      </c>
      <c r="F783" s="55">
        <v>370006.94500000001</v>
      </c>
      <c r="G783" s="55">
        <v>121680.40399999999</v>
      </c>
    </row>
    <row r="784" spans="1:7" ht="10.050000000000001" customHeight="1">
      <c r="A784" s="52" t="s">
        <v>421</v>
      </c>
      <c r="B784" s="52" t="s">
        <v>171</v>
      </c>
      <c r="C784" s="53">
        <v>2012</v>
      </c>
      <c r="D784" s="52" t="s">
        <v>116</v>
      </c>
      <c r="E784" s="54">
        <v>5</v>
      </c>
      <c r="F784" s="55">
        <v>415708.34100000001</v>
      </c>
      <c r="G784" s="55">
        <v>106309.49800000001</v>
      </c>
    </row>
    <row r="785" spans="1:7" ht="10.050000000000001" customHeight="1">
      <c r="A785" s="52" t="s">
        <v>421</v>
      </c>
      <c r="B785" s="52" t="s">
        <v>171</v>
      </c>
      <c r="C785" s="53">
        <v>2012</v>
      </c>
      <c r="D785" s="52" t="s">
        <v>116</v>
      </c>
      <c r="E785" s="54">
        <v>6</v>
      </c>
      <c r="F785" s="55">
        <v>415472.41700000002</v>
      </c>
      <c r="G785" s="55">
        <v>123364.272</v>
      </c>
    </row>
    <row r="786" spans="1:7" ht="10.050000000000001" customHeight="1">
      <c r="A786" s="52" t="s">
        <v>421</v>
      </c>
      <c r="B786" s="52" t="s">
        <v>171</v>
      </c>
      <c r="C786" s="53">
        <v>2012</v>
      </c>
      <c r="D786" s="52" t="s">
        <v>117</v>
      </c>
      <c r="E786" s="54">
        <v>7</v>
      </c>
      <c r="F786" s="55">
        <v>406612.34700000001</v>
      </c>
      <c r="G786" s="55">
        <v>161063.11300000001</v>
      </c>
    </row>
    <row r="787" spans="1:7" ht="10.050000000000001" customHeight="1">
      <c r="A787" s="52" t="s">
        <v>421</v>
      </c>
      <c r="B787" s="52" t="s">
        <v>171</v>
      </c>
      <c r="C787" s="53">
        <v>2012</v>
      </c>
      <c r="D787" s="52" t="s">
        <v>117</v>
      </c>
      <c r="E787" s="54">
        <v>8</v>
      </c>
      <c r="F787" s="55">
        <v>465109.95699999999</v>
      </c>
      <c r="G787" s="55">
        <v>288679.18800000002</v>
      </c>
    </row>
    <row r="788" spans="1:7" ht="10.050000000000001" customHeight="1">
      <c r="A788" s="52" t="s">
        <v>421</v>
      </c>
      <c r="B788" s="52" t="s">
        <v>171</v>
      </c>
      <c r="C788" s="53">
        <v>2012</v>
      </c>
      <c r="D788" s="52" t="s">
        <v>117</v>
      </c>
      <c r="E788" s="54">
        <v>9</v>
      </c>
      <c r="F788" s="55">
        <v>429581.05</v>
      </c>
      <c r="G788" s="55">
        <v>242120</v>
      </c>
    </row>
    <row r="789" spans="1:7" ht="10.050000000000001" customHeight="1">
      <c r="A789" s="52" t="s">
        <v>421</v>
      </c>
      <c r="B789" s="52" t="s">
        <v>171</v>
      </c>
      <c r="C789" s="53">
        <v>2012</v>
      </c>
      <c r="D789" s="52" t="s">
        <v>117</v>
      </c>
      <c r="E789" s="54">
        <v>10</v>
      </c>
      <c r="F789" s="55">
        <v>457711.413</v>
      </c>
      <c r="G789" s="55">
        <v>186116.905</v>
      </c>
    </row>
    <row r="790" spans="1:7" ht="10.050000000000001" customHeight="1">
      <c r="A790" s="52" t="s">
        <v>421</v>
      </c>
      <c r="B790" s="52" t="s">
        <v>171</v>
      </c>
      <c r="C790" s="53">
        <v>2012</v>
      </c>
      <c r="D790" s="52" t="s">
        <v>117</v>
      </c>
      <c r="E790" s="54">
        <v>11</v>
      </c>
      <c r="F790" s="55">
        <v>380081.728</v>
      </c>
      <c r="G790" s="55">
        <v>181246.94099999999</v>
      </c>
    </row>
    <row r="791" spans="1:7" ht="10.050000000000001" customHeight="1">
      <c r="A791" s="52" t="s">
        <v>421</v>
      </c>
      <c r="B791" s="52" t="s">
        <v>171</v>
      </c>
      <c r="C791" s="53">
        <v>2012</v>
      </c>
      <c r="D791" s="52" t="s">
        <v>117</v>
      </c>
      <c r="E791" s="54">
        <v>12</v>
      </c>
      <c r="F791" s="55">
        <v>347531.435</v>
      </c>
      <c r="G791" s="55">
        <v>171174.95800000001</v>
      </c>
    </row>
    <row r="792" spans="1:7" ht="10.050000000000001" customHeight="1">
      <c r="A792" s="52" t="s">
        <v>421</v>
      </c>
      <c r="B792" s="52" t="s">
        <v>171</v>
      </c>
      <c r="C792" s="53">
        <v>2013</v>
      </c>
      <c r="D792" s="52" t="s">
        <v>117</v>
      </c>
      <c r="E792" s="54">
        <v>1</v>
      </c>
      <c r="F792" s="55">
        <v>373018.21500000003</v>
      </c>
      <c r="G792" s="55">
        <v>149572.11900000001</v>
      </c>
    </row>
    <row r="793" spans="1:7" ht="10.050000000000001" customHeight="1">
      <c r="A793" s="52" t="s">
        <v>421</v>
      </c>
      <c r="B793" s="52" t="s">
        <v>171</v>
      </c>
      <c r="C793" s="53">
        <v>2013</v>
      </c>
      <c r="D793" s="52" t="s">
        <v>117</v>
      </c>
      <c r="E793" s="54">
        <v>2</v>
      </c>
      <c r="F793" s="55">
        <v>326660.06</v>
      </c>
      <c r="G793" s="55">
        <v>146901.05799999999</v>
      </c>
    </row>
    <row r="794" spans="1:7" ht="10.050000000000001" customHeight="1">
      <c r="A794" s="52" t="s">
        <v>421</v>
      </c>
      <c r="B794" s="52" t="s">
        <v>171</v>
      </c>
      <c r="C794" s="53">
        <v>2013</v>
      </c>
      <c r="D794" s="52" t="s">
        <v>117</v>
      </c>
      <c r="E794" s="54">
        <v>3</v>
      </c>
      <c r="F794" s="55">
        <v>353518.42499999999</v>
      </c>
      <c r="G794" s="55">
        <v>131640.17499999999</v>
      </c>
    </row>
    <row r="795" spans="1:7" ht="10.050000000000001" customHeight="1">
      <c r="A795" s="52" t="s">
        <v>421</v>
      </c>
      <c r="B795" s="52" t="s">
        <v>171</v>
      </c>
      <c r="C795" s="53">
        <v>2013</v>
      </c>
      <c r="D795" s="52" t="s">
        <v>117</v>
      </c>
      <c r="E795" s="54">
        <v>4</v>
      </c>
      <c r="F795" s="55">
        <v>359609.989</v>
      </c>
      <c r="G795" s="55">
        <v>121958.07</v>
      </c>
    </row>
    <row r="796" spans="1:7" ht="10.050000000000001" customHeight="1">
      <c r="A796" s="52" t="s">
        <v>421</v>
      </c>
      <c r="B796" s="52" t="s">
        <v>171</v>
      </c>
      <c r="C796" s="53">
        <v>2013</v>
      </c>
      <c r="D796" s="52" t="s">
        <v>117</v>
      </c>
      <c r="E796" s="54">
        <v>5</v>
      </c>
      <c r="F796" s="55">
        <v>360087.12400000001</v>
      </c>
      <c r="G796" s="55">
        <v>111810.291</v>
      </c>
    </row>
    <row r="797" spans="1:7" ht="10.050000000000001" customHeight="1">
      <c r="A797" s="52" t="s">
        <v>421</v>
      </c>
      <c r="B797" s="52" t="s">
        <v>171</v>
      </c>
      <c r="C797" s="53">
        <v>2013</v>
      </c>
      <c r="D797" s="52" t="s">
        <v>117</v>
      </c>
      <c r="E797" s="54">
        <v>6</v>
      </c>
      <c r="F797" s="55">
        <v>328201.37599999999</v>
      </c>
      <c r="G797" s="55">
        <v>139199.05100000001</v>
      </c>
    </row>
    <row r="798" spans="1:7" ht="10.050000000000001" customHeight="1">
      <c r="A798" s="52" t="s">
        <v>421</v>
      </c>
      <c r="B798" s="52" t="s">
        <v>171</v>
      </c>
      <c r="C798" s="53">
        <v>2013</v>
      </c>
      <c r="D798" s="52" t="s">
        <v>118</v>
      </c>
      <c r="E798" s="54">
        <v>7</v>
      </c>
      <c r="F798" s="55">
        <v>426880.62599999999</v>
      </c>
      <c r="G798" s="55">
        <v>108652.16</v>
      </c>
    </row>
    <row r="799" spans="1:7" ht="10.050000000000001" customHeight="1">
      <c r="A799" s="52" t="s">
        <v>421</v>
      </c>
      <c r="B799" s="52" t="s">
        <v>171</v>
      </c>
      <c r="C799" s="53">
        <v>2013</v>
      </c>
      <c r="D799" s="52" t="s">
        <v>118</v>
      </c>
      <c r="E799" s="54">
        <v>8</v>
      </c>
      <c r="F799" s="55">
        <v>473498.98800000001</v>
      </c>
      <c r="G799" s="55">
        <v>332022.01400000002</v>
      </c>
    </row>
    <row r="800" spans="1:7" ht="10.050000000000001" customHeight="1">
      <c r="A800" s="52" t="s">
        <v>421</v>
      </c>
      <c r="B800" s="52" t="s">
        <v>171</v>
      </c>
      <c r="C800" s="53">
        <v>2013</v>
      </c>
      <c r="D800" s="52" t="s">
        <v>118</v>
      </c>
      <c r="E800" s="54">
        <v>9</v>
      </c>
      <c r="F800" s="55">
        <v>449433.47600000002</v>
      </c>
      <c r="G800" s="55">
        <v>273831.739</v>
      </c>
    </row>
    <row r="801" spans="1:7" ht="10.050000000000001" customHeight="1">
      <c r="A801" s="52" t="s">
        <v>421</v>
      </c>
      <c r="B801" s="52" t="s">
        <v>171</v>
      </c>
      <c r="C801" s="53">
        <v>2013</v>
      </c>
      <c r="D801" s="52" t="s">
        <v>118</v>
      </c>
      <c r="E801" s="54">
        <v>10</v>
      </c>
      <c r="F801" s="55">
        <v>463745.25099999999</v>
      </c>
      <c r="G801" s="55">
        <v>242298.70199999999</v>
      </c>
    </row>
    <row r="802" spans="1:7" ht="10.050000000000001" customHeight="1">
      <c r="A802" s="52" t="s">
        <v>421</v>
      </c>
      <c r="B802" s="52" t="s">
        <v>171</v>
      </c>
      <c r="C802" s="53">
        <v>2013</v>
      </c>
      <c r="D802" s="52" t="s">
        <v>118</v>
      </c>
      <c r="E802" s="54">
        <v>11</v>
      </c>
      <c r="F802" s="55">
        <v>337749.47899999999</v>
      </c>
      <c r="G802" s="55">
        <v>237274.736</v>
      </c>
    </row>
    <row r="803" spans="1:7" ht="10.050000000000001" customHeight="1">
      <c r="A803" s="52" t="s">
        <v>421</v>
      </c>
      <c r="B803" s="52" t="s">
        <v>171</v>
      </c>
      <c r="C803" s="53">
        <v>2013</v>
      </c>
      <c r="D803" s="52" t="s">
        <v>118</v>
      </c>
      <c r="E803" s="54">
        <v>12</v>
      </c>
      <c r="F803" s="55">
        <v>322834.435</v>
      </c>
      <c r="G803" s="55">
        <v>232443.467</v>
      </c>
    </row>
    <row r="804" spans="1:7" ht="10.050000000000001" customHeight="1">
      <c r="A804" s="52" t="s">
        <v>421</v>
      </c>
      <c r="B804" s="52" t="s">
        <v>171</v>
      </c>
      <c r="C804" s="53">
        <v>2014</v>
      </c>
      <c r="D804" s="52" t="s">
        <v>118</v>
      </c>
      <c r="E804" s="54">
        <v>1</v>
      </c>
      <c r="F804" s="55">
        <v>329588.58</v>
      </c>
      <c r="G804" s="55">
        <v>216218.26199999999</v>
      </c>
    </row>
    <row r="805" spans="1:7" ht="10.050000000000001" customHeight="1">
      <c r="A805" s="52" t="s">
        <v>421</v>
      </c>
      <c r="B805" s="52" t="s">
        <v>171</v>
      </c>
      <c r="C805" s="53">
        <v>2014</v>
      </c>
      <c r="D805" s="52" t="s">
        <v>118</v>
      </c>
      <c r="E805" s="54">
        <v>2</v>
      </c>
      <c r="F805" s="55">
        <v>301502.815</v>
      </c>
      <c r="G805" s="55">
        <v>204512.769</v>
      </c>
    </row>
    <row r="806" spans="1:7" ht="10.050000000000001" customHeight="1">
      <c r="A806" s="52" t="s">
        <v>421</v>
      </c>
      <c r="B806" s="52" t="s">
        <v>171</v>
      </c>
      <c r="C806" s="53">
        <v>2014</v>
      </c>
      <c r="D806" s="52" t="s">
        <v>118</v>
      </c>
      <c r="E806" s="54">
        <v>3</v>
      </c>
      <c r="F806" s="55">
        <v>324807.12900000002</v>
      </c>
      <c r="G806" s="55">
        <v>186624.747</v>
      </c>
    </row>
    <row r="807" spans="1:7" ht="10.050000000000001" customHeight="1">
      <c r="A807" s="52" t="s">
        <v>421</v>
      </c>
      <c r="B807" s="52" t="s">
        <v>171</v>
      </c>
      <c r="C807" s="53">
        <v>2014</v>
      </c>
      <c r="D807" s="52" t="s">
        <v>118</v>
      </c>
      <c r="E807" s="54">
        <v>4</v>
      </c>
      <c r="F807" s="55">
        <v>332424.962</v>
      </c>
      <c r="G807" s="55">
        <v>157733.72899999999</v>
      </c>
    </row>
    <row r="808" spans="1:7" ht="10.050000000000001" customHeight="1">
      <c r="A808" s="52" t="s">
        <v>421</v>
      </c>
      <c r="B808" s="52" t="s">
        <v>171</v>
      </c>
      <c r="C808" s="53">
        <v>2014</v>
      </c>
      <c r="D808" s="52" t="s">
        <v>118</v>
      </c>
      <c r="E808" s="54">
        <v>5</v>
      </c>
      <c r="F808" s="55">
        <v>324652.57400000002</v>
      </c>
      <c r="G808" s="55">
        <v>119264.64</v>
      </c>
    </row>
    <row r="809" spans="1:7" ht="10.050000000000001" customHeight="1">
      <c r="A809" s="52" t="s">
        <v>421</v>
      </c>
      <c r="B809" s="52" t="s">
        <v>171</v>
      </c>
      <c r="C809" s="53">
        <v>2014</v>
      </c>
      <c r="D809" s="52" t="s">
        <v>118</v>
      </c>
      <c r="E809" s="54">
        <v>6</v>
      </c>
      <c r="F809" s="55">
        <v>331691.31699999998</v>
      </c>
      <c r="G809" s="55">
        <v>111863.079</v>
      </c>
    </row>
    <row r="810" spans="1:7" ht="10.050000000000001" customHeight="1">
      <c r="A810" s="52" t="s">
        <v>421</v>
      </c>
      <c r="B810" s="52" t="s">
        <v>171</v>
      </c>
      <c r="C810" s="53">
        <v>2014</v>
      </c>
      <c r="D810" s="52" t="s">
        <v>119</v>
      </c>
      <c r="E810" s="54">
        <v>7</v>
      </c>
      <c r="F810" s="55">
        <v>391222.80200000003</v>
      </c>
      <c r="G810" s="55">
        <v>191870.856</v>
      </c>
    </row>
    <row r="811" spans="1:7" ht="10.050000000000001" customHeight="1">
      <c r="A811" s="52" t="s">
        <v>421</v>
      </c>
      <c r="B811" s="52" t="s">
        <v>171</v>
      </c>
      <c r="C811" s="53">
        <v>2014</v>
      </c>
      <c r="D811" s="52" t="s">
        <v>119</v>
      </c>
      <c r="E811" s="54">
        <v>8</v>
      </c>
      <c r="F811" s="55">
        <v>417850.011</v>
      </c>
      <c r="G811" s="55">
        <v>334701.402</v>
      </c>
    </row>
    <row r="812" spans="1:7" ht="10.050000000000001" customHeight="1">
      <c r="A812" s="52" t="s">
        <v>421</v>
      </c>
      <c r="B812" s="52" t="s">
        <v>171</v>
      </c>
      <c r="C812" s="53">
        <v>2014</v>
      </c>
      <c r="D812" s="52" t="s">
        <v>119</v>
      </c>
      <c r="E812" s="54">
        <v>9</v>
      </c>
      <c r="F812" s="55">
        <v>455481.81599999999</v>
      </c>
      <c r="G812" s="55">
        <v>307940.935</v>
      </c>
    </row>
    <row r="813" spans="1:7" ht="10.050000000000001" customHeight="1">
      <c r="A813" s="52" t="s">
        <v>421</v>
      </c>
      <c r="B813" s="52" t="s">
        <v>171</v>
      </c>
      <c r="C813" s="53">
        <v>2014</v>
      </c>
      <c r="D813" s="52" t="s">
        <v>119</v>
      </c>
      <c r="E813" s="54">
        <v>10</v>
      </c>
      <c r="F813" s="55">
        <v>462888.43300000002</v>
      </c>
      <c r="G813" s="55">
        <v>258777.454</v>
      </c>
    </row>
    <row r="814" spans="1:7" ht="10.050000000000001" customHeight="1">
      <c r="A814" s="52" t="s">
        <v>421</v>
      </c>
      <c r="B814" s="52" t="s">
        <v>171</v>
      </c>
      <c r="C814" s="53">
        <v>2014</v>
      </c>
      <c r="D814" s="52" t="s">
        <v>119</v>
      </c>
      <c r="E814" s="54">
        <v>11</v>
      </c>
      <c r="F814" s="55">
        <v>350923.59700000001</v>
      </c>
      <c r="G814" s="55">
        <v>242490.52799999999</v>
      </c>
    </row>
    <row r="815" spans="1:7" ht="10.050000000000001" customHeight="1">
      <c r="A815" s="52" t="s">
        <v>421</v>
      </c>
      <c r="B815" s="52" t="s">
        <v>171</v>
      </c>
      <c r="C815" s="53">
        <v>2014</v>
      </c>
      <c r="D815" s="52" t="s">
        <v>119</v>
      </c>
      <c r="E815" s="54">
        <v>12</v>
      </c>
      <c r="F815" s="55">
        <v>359228.24</v>
      </c>
      <c r="G815" s="55">
        <v>222799.12400000001</v>
      </c>
    </row>
    <row r="816" spans="1:7" ht="10.050000000000001" customHeight="1">
      <c r="A816" s="52" t="s">
        <v>421</v>
      </c>
      <c r="B816" s="52" t="s">
        <v>171</v>
      </c>
      <c r="C816" s="53">
        <v>2015</v>
      </c>
      <c r="D816" s="52" t="s">
        <v>119</v>
      </c>
      <c r="E816" s="54">
        <v>1</v>
      </c>
      <c r="F816" s="55">
        <v>328109.98800000001</v>
      </c>
      <c r="G816" s="55">
        <v>192266.22</v>
      </c>
    </row>
    <row r="817" spans="1:7" ht="10.050000000000001" customHeight="1">
      <c r="A817" s="52" t="s">
        <v>421</v>
      </c>
      <c r="B817" s="52" t="s">
        <v>171</v>
      </c>
      <c r="C817" s="53">
        <v>2015</v>
      </c>
      <c r="D817" s="52" t="s">
        <v>119</v>
      </c>
      <c r="E817" s="54">
        <v>2</v>
      </c>
      <c r="F817" s="55">
        <v>281203.44500000001</v>
      </c>
      <c r="G817" s="55">
        <v>188882.34</v>
      </c>
    </row>
    <row r="818" spans="1:7" ht="10.050000000000001" customHeight="1">
      <c r="A818" s="52" t="s">
        <v>421</v>
      </c>
      <c r="B818" s="52" t="s">
        <v>171</v>
      </c>
      <c r="C818" s="53">
        <v>2015</v>
      </c>
      <c r="D818" s="52" t="s">
        <v>119</v>
      </c>
      <c r="E818" s="54">
        <v>3</v>
      </c>
      <c r="F818" s="55">
        <v>313543.64399999997</v>
      </c>
      <c r="G818" s="55">
        <v>165812.86799999999</v>
      </c>
    </row>
    <row r="819" spans="1:7" ht="10.050000000000001" customHeight="1">
      <c r="A819" s="52" t="s">
        <v>421</v>
      </c>
      <c r="B819" s="52" t="s">
        <v>171</v>
      </c>
      <c r="C819" s="53">
        <v>2015</v>
      </c>
      <c r="D819" s="52" t="s">
        <v>119</v>
      </c>
      <c r="E819" s="54">
        <v>4</v>
      </c>
      <c r="F819" s="55">
        <v>323319.42099999997</v>
      </c>
      <c r="G819" s="55">
        <v>132707.96</v>
      </c>
    </row>
    <row r="820" spans="1:7" ht="10.050000000000001" customHeight="1">
      <c r="A820" s="52" t="s">
        <v>421</v>
      </c>
      <c r="B820" s="52" t="s">
        <v>171</v>
      </c>
      <c r="C820" s="53">
        <v>2015</v>
      </c>
      <c r="D820" s="52" t="s">
        <v>119</v>
      </c>
      <c r="E820" s="54">
        <v>5</v>
      </c>
      <c r="F820" s="55">
        <v>333532.95400000003</v>
      </c>
      <c r="G820" s="55">
        <v>100379.45699999999</v>
      </c>
    </row>
    <row r="821" spans="1:7" ht="10.050000000000001" customHeight="1">
      <c r="A821" s="52" t="s">
        <v>421</v>
      </c>
      <c r="B821" s="52" t="s">
        <v>171</v>
      </c>
      <c r="C821" s="53">
        <v>2015</v>
      </c>
      <c r="D821" s="52" t="s">
        <v>119</v>
      </c>
      <c r="E821" s="54">
        <v>6</v>
      </c>
      <c r="F821" s="55">
        <v>372530.35800000001</v>
      </c>
      <c r="G821" s="55">
        <v>117628.53200000001</v>
      </c>
    </row>
    <row r="822" spans="1:7" ht="10.050000000000001" customHeight="1">
      <c r="A822" s="52" t="s">
        <v>421</v>
      </c>
      <c r="B822" s="52" t="s">
        <v>171</v>
      </c>
      <c r="C822" s="53">
        <v>2015</v>
      </c>
      <c r="D822" s="52" t="s">
        <v>120</v>
      </c>
      <c r="E822" s="54">
        <v>7</v>
      </c>
      <c r="F822" s="55">
        <v>423278.027</v>
      </c>
      <c r="G822" s="55">
        <v>150378.00700000001</v>
      </c>
    </row>
    <row r="823" spans="1:7" ht="10.050000000000001" customHeight="1">
      <c r="A823" s="52" t="s">
        <v>421</v>
      </c>
      <c r="B823" s="52" t="s">
        <v>171</v>
      </c>
      <c r="C823" s="53">
        <v>2015</v>
      </c>
      <c r="D823" s="52" t="s">
        <v>120</v>
      </c>
      <c r="E823" s="54">
        <v>8</v>
      </c>
      <c r="F823" s="55">
        <v>410315.55300000001</v>
      </c>
      <c r="G823" s="55">
        <v>325319.25400000002</v>
      </c>
    </row>
    <row r="824" spans="1:7" ht="10.050000000000001" customHeight="1">
      <c r="A824" s="52" t="s">
        <v>421</v>
      </c>
      <c r="B824" s="52" t="s">
        <v>171</v>
      </c>
      <c r="C824" s="53">
        <v>2015</v>
      </c>
      <c r="D824" s="52" t="s">
        <v>120</v>
      </c>
      <c r="E824" s="54">
        <v>9</v>
      </c>
      <c r="F824" s="55">
        <v>427375.15399999998</v>
      </c>
      <c r="G824" s="55">
        <v>307983.52</v>
      </c>
    </row>
    <row r="825" spans="1:7" ht="10.050000000000001" customHeight="1">
      <c r="A825" s="52" t="s">
        <v>421</v>
      </c>
      <c r="B825" s="52" t="s">
        <v>171</v>
      </c>
      <c r="C825" s="53">
        <v>2015</v>
      </c>
      <c r="D825" s="52" t="s">
        <v>120</v>
      </c>
      <c r="E825" s="54">
        <v>10</v>
      </c>
      <c r="F825" s="55">
        <v>479218.92599999998</v>
      </c>
      <c r="G825" s="55">
        <v>271634.17800000001</v>
      </c>
    </row>
    <row r="826" spans="1:7" ht="10.050000000000001" customHeight="1">
      <c r="A826" s="52" t="s">
        <v>421</v>
      </c>
      <c r="B826" s="52" t="s">
        <v>171</v>
      </c>
      <c r="C826" s="53">
        <v>2015</v>
      </c>
      <c r="D826" s="52" t="s">
        <v>120</v>
      </c>
      <c r="E826" s="54">
        <v>11</v>
      </c>
      <c r="F826" s="55">
        <v>406848.424</v>
      </c>
      <c r="G826" s="55">
        <v>256945.35200000001</v>
      </c>
    </row>
    <row r="827" spans="1:7" ht="10.050000000000001" customHeight="1">
      <c r="A827" s="52" t="s">
        <v>421</v>
      </c>
      <c r="B827" s="52" t="s">
        <v>171</v>
      </c>
      <c r="C827" s="53">
        <v>2015</v>
      </c>
      <c r="D827" s="52" t="s">
        <v>120</v>
      </c>
      <c r="E827" s="54">
        <v>12</v>
      </c>
      <c r="F827" s="55">
        <v>441050.98200000002</v>
      </c>
      <c r="G827" s="55">
        <v>227798.52600000001</v>
      </c>
    </row>
    <row r="828" spans="1:7" ht="10.050000000000001" customHeight="1">
      <c r="A828" s="52" t="s">
        <v>421</v>
      </c>
      <c r="B828" s="52" t="s">
        <v>171</v>
      </c>
      <c r="C828" s="53">
        <v>2016</v>
      </c>
      <c r="D828" s="52" t="s">
        <v>120</v>
      </c>
      <c r="E828" s="54">
        <v>1</v>
      </c>
      <c r="F828" s="55">
        <v>407476.68599999999</v>
      </c>
      <c r="G828" s="55">
        <v>212179.041</v>
      </c>
    </row>
    <row r="829" spans="1:7" ht="10.050000000000001" customHeight="1">
      <c r="A829" s="52" t="s">
        <v>421</v>
      </c>
      <c r="B829" s="52" t="s">
        <v>171</v>
      </c>
      <c r="C829" s="53">
        <v>2016</v>
      </c>
      <c r="D829" s="52" t="s">
        <v>120</v>
      </c>
      <c r="E829" s="54">
        <v>2</v>
      </c>
      <c r="F829" s="55">
        <v>399676.24900000001</v>
      </c>
      <c r="G829" s="55">
        <v>190818.4</v>
      </c>
    </row>
    <row r="830" spans="1:7" ht="10.050000000000001" customHeight="1">
      <c r="A830" s="52" t="s">
        <v>421</v>
      </c>
      <c r="B830" s="52" t="s">
        <v>171</v>
      </c>
      <c r="C830" s="53">
        <v>2016</v>
      </c>
      <c r="D830" s="52" t="s">
        <v>120</v>
      </c>
      <c r="E830" s="54">
        <v>3</v>
      </c>
      <c r="F830" s="55">
        <v>457565.75900000002</v>
      </c>
      <c r="G830" s="55">
        <v>155617.66</v>
      </c>
    </row>
    <row r="831" spans="1:7" ht="10.050000000000001" customHeight="1">
      <c r="A831" s="52" t="s">
        <v>421</v>
      </c>
      <c r="B831" s="52" t="s">
        <v>171</v>
      </c>
      <c r="C831" s="53">
        <v>2016</v>
      </c>
      <c r="D831" s="52" t="s">
        <v>120</v>
      </c>
      <c r="E831" s="54">
        <v>4</v>
      </c>
      <c r="F831" s="55">
        <v>441614.71500000003</v>
      </c>
      <c r="G831" s="55">
        <v>140985.51999999999</v>
      </c>
    </row>
    <row r="832" spans="1:7" ht="10.050000000000001" customHeight="1">
      <c r="A832" s="52" t="s">
        <v>421</v>
      </c>
      <c r="B832" s="52" t="s">
        <v>171</v>
      </c>
      <c r="C832" s="53">
        <v>2016</v>
      </c>
      <c r="D832" s="52" t="s">
        <v>120</v>
      </c>
      <c r="E832" s="54">
        <v>5</v>
      </c>
      <c r="F832" s="55">
        <v>455597.10800000001</v>
      </c>
      <c r="G832" s="55">
        <v>121431.57</v>
      </c>
    </row>
    <row r="833" spans="1:7" ht="10.050000000000001" customHeight="1">
      <c r="A833" s="52" t="s">
        <v>421</v>
      </c>
      <c r="B833" s="52" t="s">
        <v>171</v>
      </c>
      <c r="C833" s="53">
        <v>2016</v>
      </c>
      <c r="D833" s="52" t="s">
        <v>120</v>
      </c>
      <c r="E833" s="54">
        <v>6</v>
      </c>
      <c r="F833" s="55">
        <v>467173.75400000002</v>
      </c>
      <c r="G833" s="55">
        <v>133055.432</v>
      </c>
    </row>
    <row r="834" spans="1:7" ht="10.050000000000001" customHeight="1">
      <c r="A834" s="52" t="s">
        <v>421</v>
      </c>
      <c r="B834" s="52" t="s">
        <v>171</v>
      </c>
      <c r="C834" s="53">
        <v>2016</v>
      </c>
      <c r="D834" s="52" t="s">
        <v>121</v>
      </c>
      <c r="E834" s="54">
        <v>7</v>
      </c>
      <c r="F834" s="55">
        <v>455718.179</v>
      </c>
      <c r="G834" s="55">
        <v>156052.622</v>
      </c>
    </row>
    <row r="835" spans="1:7" ht="10.050000000000001" customHeight="1">
      <c r="A835" s="52" t="s">
        <v>421</v>
      </c>
      <c r="B835" s="52" t="s">
        <v>171</v>
      </c>
      <c r="C835" s="53">
        <v>2016</v>
      </c>
      <c r="D835" s="52" t="s">
        <v>121</v>
      </c>
      <c r="E835" s="54">
        <v>8</v>
      </c>
      <c r="F835" s="55">
        <v>490077.69799999997</v>
      </c>
      <c r="G835" s="55">
        <v>290554.61499999999</v>
      </c>
    </row>
    <row r="836" spans="1:7" ht="10.050000000000001" customHeight="1">
      <c r="A836" s="52" t="s">
        <v>421</v>
      </c>
      <c r="B836" s="52" t="s">
        <v>171</v>
      </c>
      <c r="C836" s="53">
        <v>2016</v>
      </c>
      <c r="D836" s="52" t="s">
        <v>121</v>
      </c>
      <c r="E836" s="54">
        <v>9</v>
      </c>
      <c r="F836" s="55">
        <v>458479.04800000001</v>
      </c>
      <c r="G836" s="55">
        <v>262718.76199999999</v>
      </c>
    </row>
    <row r="837" spans="1:7" ht="10.050000000000001" customHeight="1">
      <c r="A837" s="52" t="s">
        <v>421</v>
      </c>
      <c r="B837" s="52" t="s">
        <v>171</v>
      </c>
      <c r="C837" s="53">
        <v>2016</v>
      </c>
      <c r="D837" s="52" t="s">
        <v>121</v>
      </c>
      <c r="E837" s="54">
        <v>10</v>
      </c>
      <c r="F837" s="55">
        <v>466661.08500000002</v>
      </c>
      <c r="G837" s="55">
        <v>230864.77299999999</v>
      </c>
    </row>
    <row r="838" spans="1:7" ht="10.050000000000001" customHeight="1">
      <c r="A838" s="52" t="s">
        <v>421</v>
      </c>
      <c r="B838" s="52" t="s">
        <v>171</v>
      </c>
      <c r="C838" s="53">
        <v>2016</v>
      </c>
      <c r="D838" s="52" t="s">
        <v>121</v>
      </c>
      <c r="E838" s="54">
        <v>11</v>
      </c>
      <c r="F838" s="55">
        <v>459089.35200000001</v>
      </c>
      <c r="G838" s="55">
        <v>214321.15599999999</v>
      </c>
    </row>
    <row r="839" spans="1:7" ht="10.050000000000001" customHeight="1">
      <c r="A839" s="52" t="s">
        <v>421</v>
      </c>
      <c r="B839" s="52" t="s">
        <v>171</v>
      </c>
      <c r="C839" s="53">
        <v>2016</v>
      </c>
      <c r="D839" s="52" t="s">
        <v>121</v>
      </c>
      <c r="E839" s="54">
        <v>12</v>
      </c>
      <c r="F839" s="55">
        <v>449840.07199999999</v>
      </c>
      <c r="G839" s="55">
        <v>212416.302</v>
      </c>
    </row>
    <row r="840" spans="1:7" ht="10.050000000000001" customHeight="1">
      <c r="A840" s="52" t="s">
        <v>421</v>
      </c>
      <c r="B840" s="52" t="s">
        <v>171</v>
      </c>
      <c r="C840" s="53">
        <v>2017</v>
      </c>
      <c r="D840" s="52" t="s">
        <v>121</v>
      </c>
      <c r="E840" s="54">
        <v>1</v>
      </c>
      <c r="F840" s="55">
        <v>438711.3</v>
      </c>
      <c r="G840" s="55">
        <v>193081.092</v>
      </c>
    </row>
    <row r="841" spans="1:7" ht="10.050000000000001" customHeight="1">
      <c r="A841" s="52" t="s">
        <v>421</v>
      </c>
      <c r="B841" s="52" t="s">
        <v>171</v>
      </c>
      <c r="C841" s="53">
        <v>2017</v>
      </c>
      <c r="D841" s="52" t="s">
        <v>121</v>
      </c>
      <c r="E841" s="54">
        <v>2</v>
      </c>
      <c r="F841" s="55">
        <v>404949.99</v>
      </c>
      <c r="G841" s="55">
        <v>183110.065</v>
      </c>
    </row>
    <row r="842" spans="1:7" ht="10.050000000000001" customHeight="1">
      <c r="A842" s="52" t="s">
        <v>421</v>
      </c>
      <c r="B842" s="52" t="s">
        <v>171</v>
      </c>
      <c r="C842" s="53">
        <v>2017</v>
      </c>
      <c r="D842" s="52" t="s">
        <v>121</v>
      </c>
      <c r="E842" s="54">
        <v>3</v>
      </c>
      <c r="F842" s="55">
        <v>463907.27100000001</v>
      </c>
      <c r="G842" s="55">
        <v>159495.83300000001</v>
      </c>
    </row>
    <row r="843" spans="1:7" ht="10.050000000000001" customHeight="1">
      <c r="A843" s="52" t="s">
        <v>421</v>
      </c>
      <c r="B843" s="52" t="s">
        <v>171</v>
      </c>
      <c r="C843" s="53">
        <v>2017</v>
      </c>
      <c r="D843" s="52" t="s">
        <v>121</v>
      </c>
      <c r="E843" s="54">
        <v>4</v>
      </c>
      <c r="F843" s="55">
        <v>416242.45</v>
      </c>
      <c r="G843" s="55">
        <v>129674.36199999999</v>
      </c>
    </row>
    <row r="844" spans="1:7" ht="10.050000000000001" customHeight="1">
      <c r="A844" s="52" t="s">
        <v>421</v>
      </c>
      <c r="B844" s="52" t="s">
        <v>171</v>
      </c>
      <c r="C844" s="53">
        <v>2017</v>
      </c>
      <c r="D844" s="52" t="s">
        <v>121</v>
      </c>
      <c r="E844" s="54">
        <v>5</v>
      </c>
      <c r="F844" s="55">
        <v>467203.49699999997</v>
      </c>
      <c r="G844" s="55">
        <v>128895.656</v>
      </c>
    </row>
    <row r="845" spans="1:7" ht="10.050000000000001" customHeight="1">
      <c r="A845" s="52" t="s">
        <v>421</v>
      </c>
      <c r="B845" s="52" t="s">
        <v>171</v>
      </c>
      <c r="C845" s="53">
        <v>2017</v>
      </c>
      <c r="D845" s="52" t="s">
        <v>121</v>
      </c>
      <c r="E845" s="54">
        <v>6</v>
      </c>
      <c r="F845" s="55">
        <v>464865.55699999997</v>
      </c>
      <c r="G845" s="55">
        <v>152887.74</v>
      </c>
    </row>
    <row r="846" spans="1:7" ht="10.050000000000001" customHeight="1">
      <c r="A846" s="52" t="s">
        <v>421</v>
      </c>
      <c r="B846" s="52" t="s">
        <v>171</v>
      </c>
      <c r="C846" s="53">
        <v>2017</v>
      </c>
      <c r="D846" s="52" t="s">
        <v>122</v>
      </c>
      <c r="E846" s="54">
        <v>7</v>
      </c>
      <c r="F846" s="55">
        <v>456590.44900000002</v>
      </c>
      <c r="G846" s="55">
        <v>213361.47099999999</v>
      </c>
    </row>
    <row r="847" spans="1:7" ht="10.050000000000001" customHeight="1">
      <c r="A847" s="52" t="s">
        <v>421</v>
      </c>
      <c r="B847" s="52" t="s">
        <v>171</v>
      </c>
      <c r="C847" s="53">
        <v>2017</v>
      </c>
      <c r="D847" s="52" t="s">
        <v>122</v>
      </c>
      <c r="E847" s="54">
        <v>8</v>
      </c>
      <c r="F847" s="55">
        <v>495690.75599999999</v>
      </c>
      <c r="G847" s="55">
        <v>334934.54100000003</v>
      </c>
    </row>
    <row r="848" spans="1:7" ht="10.050000000000001" customHeight="1">
      <c r="A848" s="52" t="s">
        <v>421</v>
      </c>
      <c r="B848" s="52" t="s">
        <v>171</v>
      </c>
      <c r="C848" s="53">
        <v>2017</v>
      </c>
      <c r="D848" s="52" t="s">
        <v>122</v>
      </c>
      <c r="E848" s="54">
        <v>9</v>
      </c>
      <c r="F848" s="55">
        <v>453440.86700000003</v>
      </c>
      <c r="G848" s="55">
        <v>320187.84299999999</v>
      </c>
    </row>
    <row r="849" spans="1:7" ht="10.050000000000001" customHeight="1">
      <c r="A849" s="52" t="s">
        <v>421</v>
      </c>
      <c r="B849" s="52" t="s">
        <v>171</v>
      </c>
      <c r="C849" s="53">
        <v>2017</v>
      </c>
      <c r="D849" s="52" t="s">
        <v>122</v>
      </c>
      <c r="E849" s="54">
        <v>10</v>
      </c>
      <c r="F849" s="55">
        <v>471126.967</v>
      </c>
      <c r="G849" s="55">
        <v>282262.75900000002</v>
      </c>
    </row>
    <row r="850" spans="1:7" ht="10.050000000000001" customHeight="1">
      <c r="A850" s="52" t="s">
        <v>421</v>
      </c>
      <c r="B850" s="52" t="s">
        <v>171</v>
      </c>
      <c r="C850" s="53">
        <v>2017</v>
      </c>
      <c r="D850" s="52" t="s">
        <v>122</v>
      </c>
      <c r="E850" s="54">
        <v>11</v>
      </c>
      <c r="F850" s="55">
        <v>451148.06800000003</v>
      </c>
      <c r="G850" s="55">
        <v>254256.12599999999</v>
      </c>
    </row>
    <row r="851" spans="1:7" ht="10.050000000000001" customHeight="1">
      <c r="A851" s="52" t="s">
        <v>421</v>
      </c>
      <c r="B851" s="52" t="s">
        <v>171</v>
      </c>
      <c r="C851" s="53">
        <v>2017</v>
      </c>
      <c r="D851" s="52" t="s">
        <v>122</v>
      </c>
      <c r="E851" s="54">
        <v>12</v>
      </c>
      <c r="F851" s="55">
        <v>468203.25300000003</v>
      </c>
      <c r="G851" s="55">
        <v>225002.94699999999</v>
      </c>
    </row>
    <row r="852" spans="1:7" ht="10.050000000000001" customHeight="1">
      <c r="A852" s="52" t="s">
        <v>421</v>
      </c>
      <c r="B852" s="52" t="s">
        <v>171</v>
      </c>
      <c r="C852" s="53">
        <v>2018</v>
      </c>
      <c r="D852" s="52" t="s">
        <v>122</v>
      </c>
      <c r="E852" s="54">
        <v>1</v>
      </c>
      <c r="F852" s="55">
        <v>476092.10600000003</v>
      </c>
      <c r="G852" s="55">
        <v>201766.1</v>
      </c>
    </row>
    <row r="853" spans="1:7" ht="10.050000000000001" customHeight="1">
      <c r="A853" s="52" t="s">
        <v>421</v>
      </c>
      <c r="B853" s="52" t="s">
        <v>171</v>
      </c>
      <c r="C853" s="53">
        <v>2018</v>
      </c>
      <c r="D853" s="52" t="s">
        <v>122</v>
      </c>
      <c r="E853" s="54">
        <v>2</v>
      </c>
      <c r="F853" s="55">
        <v>428717.40600000002</v>
      </c>
      <c r="G853" s="55">
        <v>198242.671</v>
      </c>
    </row>
    <row r="854" spans="1:7" ht="10.050000000000001" customHeight="1">
      <c r="A854" s="52" t="s">
        <v>421</v>
      </c>
      <c r="B854" s="52" t="s">
        <v>171</v>
      </c>
      <c r="C854" s="53">
        <v>2018</v>
      </c>
      <c r="D854" s="52" t="s">
        <v>122</v>
      </c>
      <c r="E854" s="54">
        <v>3</v>
      </c>
      <c r="F854" s="55">
        <v>486174.91700000002</v>
      </c>
      <c r="G854" s="55">
        <v>181757.58900000001</v>
      </c>
    </row>
    <row r="855" spans="1:7" ht="10.050000000000001" customHeight="1">
      <c r="A855" s="52" t="s">
        <v>421</v>
      </c>
      <c r="B855" s="52" t="s">
        <v>171</v>
      </c>
      <c r="C855" s="53">
        <v>2018</v>
      </c>
      <c r="D855" s="52" t="s">
        <v>122</v>
      </c>
      <c r="E855" s="54">
        <v>4</v>
      </c>
      <c r="F855" s="55">
        <v>454503.36200000002</v>
      </c>
      <c r="G855" s="55">
        <v>188709.93</v>
      </c>
    </row>
    <row r="856" spans="1:7" ht="10.050000000000001" customHeight="1">
      <c r="A856" s="52" t="s">
        <v>421</v>
      </c>
      <c r="B856" s="52" t="s">
        <v>171</v>
      </c>
      <c r="C856" s="53">
        <v>2018</v>
      </c>
      <c r="D856" s="52" t="s">
        <v>122</v>
      </c>
      <c r="E856" s="54">
        <v>5</v>
      </c>
      <c r="F856" s="55">
        <v>485708.09</v>
      </c>
      <c r="G856" s="55">
        <v>142928.579</v>
      </c>
    </row>
    <row r="857" spans="1:7" ht="10.050000000000001" customHeight="1">
      <c r="A857" s="52" t="s">
        <v>421</v>
      </c>
      <c r="B857" s="52" t="s">
        <v>171</v>
      </c>
      <c r="C857" s="53">
        <v>2018</v>
      </c>
      <c r="D857" s="52" t="s">
        <v>122</v>
      </c>
      <c r="E857" s="54">
        <v>6</v>
      </c>
      <c r="F857" s="55">
        <v>456583.04300000001</v>
      </c>
      <c r="G857" s="55">
        <v>144969.72500000001</v>
      </c>
    </row>
    <row r="858" spans="1:7" ht="10.050000000000001" customHeight="1">
      <c r="A858" s="52" t="s">
        <v>421</v>
      </c>
      <c r="B858" s="52" t="s">
        <v>171</v>
      </c>
      <c r="C858" s="53">
        <v>2018</v>
      </c>
      <c r="D858" s="52" t="s">
        <v>123</v>
      </c>
      <c r="E858" s="54">
        <v>7</v>
      </c>
      <c r="F858" s="55">
        <v>430945.91100000002</v>
      </c>
      <c r="G858" s="55">
        <v>289682.54100000003</v>
      </c>
    </row>
    <row r="859" spans="1:7" ht="10.050000000000001" customHeight="1">
      <c r="A859" s="52" t="s">
        <v>421</v>
      </c>
      <c r="B859" s="52" t="s">
        <v>171</v>
      </c>
      <c r="C859" s="53">
        <v>2018</v>
      </c>
      <c r="D859" s="52" t="s">
        <v>123</v>
      </c>
      <c r="E859" s="54">
        <v>8</v>
      </c>
      <c r="F859" s="55">
        <v>447499.59499999997</v>
      </c>
      <c r="G859" s="55">
        <v>264900.86599999998</v>
      </c>
    </row>
    <row r="860" spans="1:7" ht="10.050000000000001" customHeight="1">
      <c r="A860" s="52" t="s">
        <v>421</v>
      </c>
      <c r="B860" s="52" t="s">
        <v>171</v>
      </c>
      <c r="C860" s="53">
        <v>2018</v>
      </c>
      <c r="D860" s="52" t="s">
        <v>123</v>
      </c>
      <c r="E860" s="54">
        <v>9</v>
      </c>
      <c r="F860" s="55">
        <v>397979.28700000001</v>
      </c>
      <c r="G860" s="55">
        <v>245115.65900000001</v>
      </c>
    </row>
    <row r="861" spans="1:7" ht="10.050000000000001" customHeight="1">
      <c r="A861" s="52" t="s">
        <v>421</v>
      </c>
      <c r="B861" s="52" t="s">
        <v>171</v>
      </c>
      <c r="C861" s="53">
        <v>2018</v>
      </c>
      <c r="D861" s="52" t="s">
        <v>123</v>
      </c>
      <c r="E861" s="54">
        <v>10</v>
      </c>
      <c r="F861" s="55">
        <v>434160.15399999998</v>
      </c>
      <c r="G861" s="55">
        <v>233404.15299999999</v>
      </c>
    </row>
    <row r="862" spans="1:7" ht="10.050000000000001" customHeight="1">
      <c r="A862" s="52" t="s">
        <v>421</v>
      </c>
      <c r="B862" s="52" t="s">
        <v>171</v>
      </c>
      <c r="C862" s="53">
        <v>2018</v>
      </c>
      <c r="D862" s="52" t="s">
        <v>123</v>
      </c>
      <c r="E862" s="54">
        <v>11</v>
      </c>
      <c r="F862" s="55">
        <v>374700.15500000003</v>
      </c>
      <c r="G862" s="55">
        <v>228320.43799999999</v>
      </c>
    </row>
    <row r="863" spans="1:7" ht="10.050000000000001" customHeight="1">
      <c r="A863" s="52" t="s">
        <v>421</v>
      </c>
      <c r="B863" s="52" t="s">
        <v>171</v>
      </c>
      <c r="C863" s="53">
        <v>2018</v>
      </c>
      <c r="D863" s="52" t="s">
        <v>123</v>
      </c>
      <c r="E863" s="54">
        <v>12</v>
      </c>
      <c r="F863" s="55">
        <v>343408.49200000003</v>
      </c>
      <c r="G863" s="55">
        <v>214327.67199999999</v>
      </c>
    </row>
    <row r="864" spans="1:7" ht="10.050000000000001" customHeight="1">
      <c r="A864" s="52" t="s">
        <v>421</v>
      </c>
      <c r="B864" s="52" t="s">
        <v>171</v>
      </c>
      <c r="C864" s="53">
        <v>2019</v>
      </c>
      <c r="D864" s="52" t="s">
        <v>123</v>
      </c>
      <c r="E864" s="54">
        <v>1</v>
      </c>
      <c r="F864" s="55">
        <v>366829.98499999999</v>
      </c>
      <c r="G864" s="55">
        <v>200097.75399999999</v>
      </c>
    </row>
    <row r="865" spans="1:7" ht="10.050000000000001" customHeight="1">
      <c r="A865" s="52" t="s">
        <v>421</v>
      </c>
      <c r="B865" s="52" t="s">
        <v>171</v>
      </c>
      <c r="C865" s="53">
        <v>2019</v>
      </c>
      <c r="D865" s="52" t="s">
        <v>123</v>
      </c>
      <c r="E865" s="54">
        <v>2</v>
      </c>
      <c r="F865" s="55">
        <v>330451.47499999998</v>
      </c>
      <c r="G865" s="55">
        <v>188052.80300000001</v>
      </c>
    </row>
    <row r="866" spans="1:7" ht="10.050000000000001" customHeight="1">
      <c r="A866" s="52" t="s">
        <v>421</v>
      </c>
      <c r="B866" s="52" t="s">
        <v>171</v>
      </c>
      <c r="C866" s="53">
        <v>2019</v>
      </c>
      <c r="D866" s="52" t="s">
        <v>123</v>
      </c>
      <c r="E866" s="54">
        <v>3</v>
      </c>
      <c r="F866" s="55">
        <v>342275.96799999999</v>
      </c>
      <c r="G866" s="55">
        <v>174068.07500000001</v>
      </c>
    </row>
    <row r="867" spans="1:7" ht="10.050000000000001" customHeight="1">
      <c r="A867" s="52" t="s">
        <v>421</v>
      </c>
      <c r="B867" s="52" t="s">
        <v>171</v>
      </c>
      <c r="C867" s="53">
        <v>2019</v>
      </c>
      <c r="D867" s="52" t="s">
        <v>123</v>
      </c>
      <c r="E867" s="54">
        <v>4</v>
      </c>
      <c r="F867" s="55">
        <v>358894.38400000002</v>
      </c>
      <c r="G867" s="55">
        <v>166057.76500000001</v>
      </c>
    </row>
    <row r="868" spans="1:7" ht="10.050000000000001" customHeight="1">
      <c r="A868" s="52" t="s">
        <v>421</v>
      </c>
      <c r="B868" s="52" t="s">
        <v>171</v>
      </c>
      <c r="C868" s="53">
        <v>2019</v>
      </c>
      <c r="D868" s="52" t="s">
        <v>123</v>
      </c>
      <c r="E868" s="54">
        <v>5</v>
      </c>
      <c r="F868" s="55">
        <v>364829.44500000001</v>
      </c>
      <c r="G868" s="55">
        <v>150940.49</v>
      </c>
    </row>
    <row r="869" spans="1:7" ht="10.050000000000001" customHeight="1">
      <c r="A869" s="52" t="s">
        <v>421</v>
      </c>
      <c r="B869" s="52" t="s">
        <v>171</v>
      </c>
      <c r="C869" s="53">
        <v>2019</v>
      </c>
      <c r="D869" s="52" t="s">
        <v>123</v>
      </c>
      <c r="E869" s="54">
        <v>6</v>
      </c>
      <c r="F869" s="55">
        <v>343407.77299999999</v>
      </c>
      <c r="G869" s="55">
        <v>147824.07800000001</v>
      </c>
    </row>
    <row r="870" spans="1:7" ht="10.050000000000001" customHeight="1">
      <c r="A870" s="52" t="s">
        <v>421</v>
      </c>
      <c r="B870" s="52" t="s">
        <v>171</v>
      </c>
      <c r="C870" s="53">
        <v>2019</v>
      </c>
      <c r="D870" s="52" t="s">
        <v>124</v>
      </c>
      <c r="E870" s="54">
        <v>7</v>
      </c>
      <c r="F870" s="55">
        <v>420519.55599999998</v>
      </c>
      <c r="G870" s="55">
        <v>249624.48499999999</v>
      </c>
    </row>
    <row r="871" spans="1:7" ht="10.050000000000001" customHeight="1">
      <c r="A871" s="52" t="s">
        <v>421</v>
      </c>
      <c r="B871" s="52" t="s">
        <v>171</v>
      </c>
      <c r="C871" s="53">
        <v>2019</v>
      </c>
      <c r="D871" s="52" t="s">
        <v>124</v>
      </c>
      <c r="E871" s="54">
        <v>8</v>
      </c>
      <c r="F871" s="55">
        <v>454310.761</v>
      </c>
      <c r="G871" s="55">
        <v>335412.38900000002</v>
      </c>
    </row>
    <row r="872" spans="1:7" ht="10.050000000000001" customHeight="1">
      <c r="A872" s="52" t="s">
        <v>421</v>
      </c>
      <c r="B872" s="52" t="s">
        <v>171</v>
      </c>
      <c r="C872" s="53">
        <v>2019</v>
      </c>
      <c r="D872" s="52" t="s">
        <v>124</v>
      </c>
      <c r="E872" s="54">
        <v>9</v>
      </c>
      <c r="F872" s="55">
        <v>444277.47499999998</v>
      </c>
      <c r="G872" s="55">
        <v>286849.57400000002</v>
      </c>
    </row>
    <row r="873" spans="1:7" ht="10.050000000000001" customHeight="1">
      <c r="A873" s="52" t="s">
        <v>421</v>
      </c>
      <c r="B873" s="52" t="s">
        <v>171</v>
      </c>
      <c r="C873" s="53">
        <v>2019</v>
      </c>
      <c r="D873" s="52" t="s">
        <v>124</v>
      </c>
      <c r="E873" s="54">
        <v>10</v>
      </c>
      <c r="F873" s="55">
        <v>507306.69300000003</v>
      </c>
      <c r="G873" s="55">
        <v>252522.69699999999</v>
      </c>
    </row>
    <row r="874" spans="1:7" ht="10.050000000000001" customHeight="1">
      <c r="A874" s="52" t="s">
        <v>421</v>
      </c>
      <c r="B874" s="52" t="s">
        <v>171</v>
      </c>
      <c r="C874" s="53">
        <v>2019</v>
      </c>
      <c r="D874" s="52" t="s">
        <v>124</v>
      </c>
      <c r="E874" s="54">
        <v>11</v>
      </c>
      <c r="F874" s="55">
        <v>447816.21100000001</v>
      </c>
      <c r="G874" s="55">
        <v>244793.603</v>
      </c>
    </row>
    <row r="875" spans="1:7" ht="10.050000000000001" customHeight="1">
      <c r="A875" s="52" t="s">
        <v>421</v>
      </c>
      <c r="B875" s="52" t="s">
        <v>171</v>
      </c>
      <c r="C875" s="53">
        <v>2019</v>
      </c>
      <c r="D875" s="52" t="s">
        <v>124</v>
      </c>
      <c r="E875" s="54">
        <v>12</v>
      </c>
      <c r="F875" s="55">
        <v>443171.141</v>
      </c>
      <c r="G875" s="55">
        <v>246782.22</v>
      </c>
    </row>
    <row r="876" spans="1:7" ht="10.050000000000001" customHeight="1">
      <c r="A876" s="52" t="s">
        <v>421</v>
      </c>
      <c r="B876" s="52" t="s">
        <v>171</v>
      </c>
      <c r="C876" s="53">
        <v>2020</v>
      </c>
      <c r="D876" s="52" t="s">
        <v>124</v>
      </c>
      <c r="E876" s="54">
        <v>1</v>
      </c>
      <c r="F876" s="55">
        <v>445898.08600000001</v>
      </c>
      <c r="G876" s="55">
        <v>247562.01500000001</v>
      </c>
    </row>
    <row r="877" spans="1:7" ht="10.050000000000001" customHeight="1">
      <c r="A877" s="52" t="s">
        <v>421</v>
      </c>
      <c r="B877" s="52" t="s">
        <v>171</v>
      </c>
      <c r="C877" s="53">
        <v>2020</v>
      </c>
      <c r="D877" s="52" t="s">
        <v>124</v>
      </c>
      <c r="E877" s="54">
        <v>2</v>
      </c>
      <c r="F877" s="55">
        <v>363899.04100000003</v>
      </c>
      <c r="G877" s="55">
        <v>238554.473</v>
      </c>
    </row>
    <row r="878" spans="1:7" ht="10.050000000000001" customHeight="1">
      <c r="A878" s="52" t="s">
        <v>421</v>
      </c>
      <c r="B878" s="52" t="s">
        <v>171</v>
      </c>
      <c r="C878" s="53">
        <v>2020</v>
      </c>
      <c r="D878" s="52" t="s">
        <v>124</v>
      </c>
      <c r="E878" s="54">
        <v>3</v>
      </c>
      <c r="F878" s="55">
        <v>386252.18599999999</v>
      </c>
      <c r="G878" s="55">
        <v>219095.07800000001</v>
      </c>
    </row>
    <row r="879" spans="1:7" ht="10.050000000000001" customHeight="1">
      <c r="A879" s="52" t="s">
        <v>421</v>
      </c>
      <c r="B879" s="52" t="s">
        <v>171</v>
      </c>
      <c r="C879" s="53">
        <v>2020</v>
      </c>
      <c r="D879" s="52" t="s">
        <v>124</v>
      </c>
      <c r="E879" s="54">
        <v>4</v>
      </c>
      <c r="F879" s="55">
        <v>375058.11599999998</v>
      </c>
      <c r="G879" s="55">
        <v>206112.90100000001</v>
      </c>
    </row>
    <row r="880" spans="1:7" ht="10.050000000000001" customHeight="1">
      <c r="A880" s="52" t="s">
        <v>421</v>
      </c>
      <c r="B880" s="52" t="s">
        <v>171</v>
      </c>
      <c r="C880" s="53">
        <v>2020</v>
      </c>
      <c r="D880" s="52" t="s">
        <v>124</v>
      </c>
      <c r="E880" s="54">
        <v>5</v>
      </c>
      <c r="F880" s="55">
        <v>330442.95199999999</v>
      </c>
      <c r="G880" s="55">
        <v>168259.19200000001</v>
      </c>
    </row>
    <row r="881" spans="1:7" ht="10.050000000000001" customHeight="1">
      <c r="A881" s="52" t="s">
        <v>421</v>
      </c>
      <c r="B881" s="52" t="s">
        <v>171</v>
      </c>
      <c r="C881" s="53">
        <v>2020</v>
      </c>
      <c r="D881" s="52" t="s">
        <v>124</v>
      </c>
      <c r="E881" s="54">
        <v>6</v>
      </c>
      <c r="F881" s="55">
        <v>339973.16399999999</v>
      </c>
      <c r="G881" s="55">
        <v>163354.95300000001</v>
      </c>
    </row>
    <row r="882" spans="1:7" ht="10.050000000000001" customHeight="1">
      <c r="A882" s="52" t="s">
        <v>421</v>
      </c>
      <c r="B882" s="52" t="s">
        <v>171</v>
      </c>
      <c r="C882" s="53">
        <v>2020</v>
      </c>
      <c r="D882" s="52" t="s">
        <v>125</v>
      </c>
      <c r="E882" s="54">
        <v>7</v>
      </c>
      <c r="F882" s="55">
        <v>399112.99200000003</v>
      </c>
      <c r="G882" s="55">
        <v>248643.823</v>
      </c>
    </row>
    <row r="883" spans="1:7" ht="10.050000000000001" customHeight="1">
      <c r="A883" s="52" t="s">
        <v>421</v>
      </c>
      <c r="B883" s="52" t="s">
        <v>171</v>
      </c>
      <c r="C883" s="53">
        <v>2020</v>
      </c>
      <c r="D883" s="52" t="s">
        <v>125</v>
      </c>
      <c r="E883" s="54">
        <v>8</v>
      </c>
      <c r="F883" s="55">
        <v>390665.136</v>
      </c>
      <c r="G883" s="55">
        <v>295781.24200000003</v>
      </c>
    </row>
    <row r="884" spans="1:7" ht="10.050000000000001" customHeight="1">
      <c r="A884" s="52" t="s">
        <v>421</v>
      </c>
      <c r="B884" s="52" t="s">
        <v>171</v>
      </c>
      <c r="C884" s="53">
        <v>2020</v>
      </c>
      <c r="D884" s="52" t="s">
        <v>125</v>
      </c>
      <c r="E884" s="54">
        <v>9</v>
      </c>
      <c r="F884" s="55">
        <v>414948.78</v>
      </c>
      <c r="G884" s="55">
        <v>262671.48200000002</v>
      </c>
    </row>
    <row r="885" spans="1:7" ht="10.050000000000001" customHeight="1">
      <c r="A885" s="52" t="s">
        <v>421</v>
      </c>
      <c r="B885" s="52" t="s">
        <v>171</v>
      </c>
      <c r="C885" s="53">
        <v>2020</v>
      </c>
      <c r="D885" s="52" t="s">
        <v>125</v>
      </c>
      <c r="E885" s="54">
        <v>10</v>
      </c>
      <c r="F885" s="55">
        <v>397040.03499999997</v>
      </c>
      <c r="G885" s="55">
        <v>246311.60699999999</v>
      </c>
    </row>
    <row r="886" spans="1:7" ht="10.050000000000001" customHeight="1">
      <c r="A886" s="52" t="s">
        <v>421</v>
      </c>
      <c r="B886" s="52" t="s">
        <v>171</v>
      </c>
      <c r="C886" s="53">
        <v>2020</v>
      </c>
      <c r="D886" s="52" t="s">
        <v>125</v>
      </c>
      <c r="E886" s="54">
        <v>11</v>
      </c>
      <c r="F886" s="55">
        <v>364329.15399999998</v>
      </c>
      <c r="G886" s="55">
        <v>247730.16899999999</v>
      </c>
    </row>
    <row r="887" spans="1:7" ht="10.050000000000001" customHeight="1">
      <c r="A887" s="52" t="s">
        <v>421</v>
      </c>
      <c r="B887" s="52" t="s">
        <v>171</v>
      </c>
      <c r="C887" s="53">
        <v>2020</v>
      </c>
      <c r="D887" s="52" t="s">
        <v>125</v>
      </c>
      <c r="E887" s="54">
        <v>12</v>
      </c>
      <c r="F887" s="55">
        <v>379215.34499999997</v>
      </c>
      <c r="G887" s="55">
        <v>227322.342</v>
      </c>
    </row>
    <row r="888" spans="1:7" ht="10.050000000000001" customHeight="1">
      <c r="A888" s="52" t="s">
        <v>421</v>
      </c>
      <c r="B888" s="52" t="s">
        <v>171</v>
      </c>
      <c r="C888" s="53">
        <v>2021</v>
      </c>
      <c r="D888" s="52" t="s">
        <v>125</v>
      </c>
      <c r="E888" s="54">
        <v>1</v>
      </c>
      <c r="F888" s="55">
        <v>351804.50900000002</v>
      </c>
      <c r="G888" s="55">
        <v>219431.07800000001</v>
      </c>
    </row>
    <row r="889" spans="1:7" ht="10.050000000000001" customHeight="1">
      <c r="A889" s="52" t="s">
        <v>421</v>
      </c>
      <c r="B889" s="52" t="s">
        <v>171</v>
      </c>
      <c r="C889" s="53">
        <v>2021</v>
      </c>
      <c r="D889" s="52" t="s">
        <v>125</v>
      </c>
      <c r="E889" s="54">
        <v>2</v>
      </c>
      <c r="F889" s="55">
        <v>327129.47600000002</v>
      </c>
      <c r="G889" s="55">
        <v>209004.364</v>
      </c>
    </row>
    <row r="890" spans="1:7" ht="10.050000000000001" customHeight="1">
      <c r="A890" s="52" t="s">
        <v>421</v>
      </c>
      <c r="B890" s="52" t="s">
        <v>171</v>
      </c>
      <c r="C890" s="53">
        <v>2021</v>
      </c>
      <c r="D890" s="52" t="s">
        <v>125</v>
      </c>
      <c r="E890" s="54">
        <v>3</v>
      </c>
      <c r="F890" s="55">
        <v>380143.60700000002</v>
      </c>
      <c r="G890" s="55">
        <v>192211.829</v>
      </c>
    </row>
    <row r="891" spans="1:7" ht="10.050000000000001" customHeight="1">
      <c r="A891" s="52" t="s">
        <v>421</v>
      </c>
      <c r="B891" s="52" t="s">
        <v>171</v>
      </c>
      <c r="C891" s="53">
        <v>2021</v>
      </c>
      <c r="D891" s="52" t="s">
        <v>125</v>
      </c>
      <c r="E891" s="54">
        <v>4</v>
      </c>
      <c r="F891" s="55">
        <v>360204.58399999997</v>
      </c>
      <c r="G891" s="55">
        <v>177005.38399999999</v>
      </c>
    </row>
    <row r="892" spans="1:7" ht="10.050000000000001" customHeight="1">
      <c r="A892" s="52" t="s">
        <v>421</v>
      </c>
      <c r="B892" s="52" t="s">
        <v>171</v>
      </c>
      <c r="C892" s="53">
        <v>2021</v>
      </c>
      <c r="D892" s="52" t="s">
        <v>125</v>
      </c>
      <c r="E892" s="54">
        <v>5</v>
      </c>
      <c r="F892" s="55">
        <v>373475.00199999998</v>
      </c>
      <c r="G892" s="55">
        <v>156659.413</v>
      </c>
    </row>
    <row r="893" spans="1:7" ht="10.050000000000001" customHeight="1">
      <c r="A893" s="52" t="s">
        <v>421</v>
      </c>
      <c r="B893" s="52" t="s">
        <v>171</v>
      </c>
      <c r="C893" s="53">
        <v>2021</v>
      </c>
      <c r="D893" s="52" t="s">
        <v>125</v>
      </c>
      <c r="E893" s="54">
        <v>6</v>
      </c>
      <c r="F893" s="55">
        <v>416265.92800000001</v>
      </c>
      <c r="G893" s="55">
        <v>168667.71</v>
      </c>
    </row>
    <row r="894" spans="1:7" ht="10.050000000000001" customHeight="1">
      <c r="A894" s="52" t="s">
        <v>421</v>
      </c>
      <c r="B894" s="52" t="s">
        <v>171</v>
      </c>
      <c r="C894" s="53">
        <v>2021</v>
      </c>
      <c r="D894" s="52" t="s">
        <v>126</v>
      </c>
      <c r="E894" s="54">
        <v>7</v>
      </c>
      <c r="F894" s="55">
        <v>449318.766</v>
      </c>
      <c r="G894" s="55">
        <v>161434.20300000001</v>
      </c>
    </row>
    <row r="895" spans="1:7" ht="10.050000000000001" customHeight="1">
      <c r="A895" s="52" t="s">
        <v>421</v>
      </c>
      <c r="B895" s="52" t="s">
        <v>171</v>
      </c>
      <c r="C895" s="53">
        <v>2021</v>
      </c>
      <c r="D895" s="52" t="s">
        <v>126</v>
      </c>
      <c r="E895" s="54">
        <v>8</v>
      </c>
      <c r="F895" s="55">
        <v>488053.41600000003</v>
      </c>
      <c r="G895" s="55">
        <v>326913.00799999997</v>
      </c>
    </row>
    <row r="896" spans="1:7" ht="10.050000000000001" customHeight="1">
      <c r="A896" s="52" t="s">
        <v>421</v>
      </c>
      <c r="B896" s="52" t="s">
        <v>171</v>
      </c>
      <c r="C896" s="53">
        <v>2021</v>
      </c>
      <c r="D896" s="52" t="s">
        <v>126</v>
      </c>
      <c r="E896" s="54">
        <v>9</v>
      </c>
      <c r="F896" s="55">
        <v>486807.83</v>
      </c>
      <c r="G896" s="55">
        <v>297180.37</v>
      </c>
    </row>
    <row r="897" spans="1:7" ht="10.050000000000001" customHeight="1">
      <c r="A897" s="52" t="s">
        <v>421</v>
      </c>
      <c r="B897" s="52" t="s">
        <v>171</v>
      </c>
      <c r="C897" s="53">
        <v>2021</v>
      </c>
      <c r="D897" s="52" t="s">
        <v>126</v>
      </c>
      <c r="E897" s="54">
        <v>10</v>
      </c>
      <c r="F897" s="55">
        <v>469315.41499999998</v>
      </c>
      <c r="G897" s="55">
        <v>257276.913</v>
      </c>
    </row>
    <row r="898" spans="1:7" ht="10.050000000000001" customHeight="1">
      <c r="A898" s="52" t="s">
        <v>421</v>
      </c>
      <c r="B898" s="52" t="s">
        <v>171</v>
      </c>
      <c r="C898" s="53">
        <v>2021</v>
      </c>
      <c r="D898" s="52" t="s">
        <v>126</v>
      </c>
      <c r="E898" s="54">
        <v>11</v>
      </c>
      <c r="F898" s="55">
        <v>401994.02399999998</v>
      </c>
      <c r="G898" s="55">
        <v>249516.34899999999</v>
      </c>
    </row>
    <row r="899" spans="1:7" ht="10.050000000000001" customHeight="1">
      <c r="A899" s="52" t="s">
        <v>421</v>
      </c>
      <c r="B899" s="52" t="s">
        <v>171</v>
      </c>
      <c r="C899" s="53">
        <v>2021</v>
      </c>
      <c r="D899" s="52" t="s">
        <v>126</v>
      </c>
      <c r="E899" s="54">
        <v>12</v>
      </c>
      <c r="F899" s="55">
        <v>354569.28</v>
      </c>
      <c r="G899" s="55">
        <v>246317.59</v>
      </c>
    </row>
    <row r="900" spans="1:7" ht="10.050000000000001" customHeight="1">
      <c r="A900" s="52" t="s">
        <v>421</v>
      </c>
      <c r="B900" s="52" t="s">
        <v>171</v>
      </c>
      <c r="C900" s="53">
        <v>2022</v>
      </c>
      <c r="D900" s="52" t="s">
        <v>126</v>
      </c>
      <c r="E900" s="54">
        <v>1</v>
      </c>
      <c r="F900" s="55">
        <v>303224.22200000001</v>
      </c>
      <c r="G900" s="55">
        <v>238399.30300000001</v>
      </c>
    </row>
    <row r="901" spans="1:7" ht="10.050000000000001" customHeight="1">
      <c r="A901" s="52" t="s">
        <v>421</v>
      </c>
      <c r="B901" s="52" t="s">
        <v>171</v>
      </c>
      <c r="C901" s="53">
        <v>2022</v>
      </c>
      <c r="D901" s="52" t="s">
        <v>126</v>
      </c>
      <c r="E901" s="54">
        <v>2</v>
      </c>
      <c r="F901" s="55">
        <v>319439.337</v>
      </c>
      <c r="G901" s="55">
        <v>218990.57</v>
      </c>
    </row>
    <row r="902" spans="1:7" ht="10.050000000000001" customHeight="1">
      <c r="A902" s="52" t="s">
        <v>421</v>
      </c>
      <c r="B902" s="52" t="s">
        <v>171</v>
      </c>
      <c r="C902" s="53">
        <v>2022</v>
      </c>
      <c r="D902" s="52" t="s">
        <v>126</v>
      </c>
      <c r="E902" s="54">
        <v>3</v>
      </c>
      <c r="F902" s="55">
        <v>369748.75799999997</v>
      </c>
      <c r="G902" s="55">
        <v>195570.087</v>
      </c>
    </row>
    <row r="903" spans="1:7" ht="10.050000000000001" customHeight="1">
      <c r="A903" s="52" t="s">
        <v>421</v>
      </c>
      <c r="B903" s="52" t="s">
        <v>171</v>
      </c>
      <c r="C903" s="53">
        <v>2022</v>
      </c>
      <c r="D903" s="52" t="s">
        <v>126</v>
      </c>
      <c r="E903" s="54">
        <v>4</v>
      </c>
      <c r="F903" s="55">
        <v>326632.48200000002</v>
      </c>
      <c r="G903" s="55">
        <v>176749.394</v>
      </c>
    </row>
    <row r="904" spans="1:7" ht="10.050000000000001" customHeight="1">
      <c r="A904" s="52" t="s">
        <v>421</v>
      </c>
      <c r="B904" s="52" t="s">
        <v>171</v>
      </c>
      <c r="C904" s="53">
        <v>2022</v>
      </c>
      <c r="D904" s="52" t="s">
        <v>126</v>
      </c>
      <c r="E904" s="54">
        <v>5</v>
      </c>
      <c r="F904" s="55">
        <v>321202.19</v>
      </c>
      <c r="G904" s="55">
        <v>167125.34</v>
      </c>
    </row>
    <row r="905" spans="1:7" ht="10.050000000000001" customHeight="1">
      <c r="A905" s="52" t="s">
        <v>421</v>
      </c>
      <c r="B905" s="52" t="s">
        <v>171</v>
      </c>
      <c r="C905" s="53">
        <v>2022</v>
      </c>
      <c r="D905" s="52" t="s">
        <v>126</v>
      </c>
      <c r="E905" s="54">
        <v>6</v>
      </c>
      <c r="F905" s="55">
        <v>328484.10700000002</v>
      </c>
      <c r="G905" s="55">
        <v>150747.15299999999</v>
      </c>
    </row>
    <row r="906" spans="1:7" ht="10.050000000000001" customHeight="1">
      <c r="A906" s="52" t="s">
        <v>421</v>
      </c>
      <c r="B906" s="52" t="s">
        <v>171</v>
      </c>
      <c r="C906" s="53">
        <v>2022</v>
      </c>
      <c r="D906" s="52" t="s">
        <v>127</v>
      </c>
      <c r="E906" s="54">
        <v>7</v>
      </c>
      <c r="F906" s="55">
        <v>321714.18800000002</v>
      </c>
      <c r="G906" s="55">
        <v>325297.32400000002</v>
      </c>
    </row>
    <row r="907" spans="1:7" ht="10.050000000000001" customHeight="1">
      <c r="A907" s="52" t="s">
        <v>421</v>
      </c>
      <c r="B907" s="52" t="s">
        <v>171</v>
      </c>
      <c r="C907" s="53">
        <v>2022</v>
      </c>
      <c r="D907" s="52" t="s">
        <v>127</v>
      </c>
      <c r="E907" s="54">
        <v>8</v>
      </c>
      <c r="F907" s="55">
        <v>362743.152</v>
      </c>
      <c r="G907" s="55">
        <v>328428.234</v>
      </c>
    </row>
    <row r="908" spans="1:7" ht="10.050000000000001" customHeight="1">
      <c r="A908" s="52" t="s">
        <v>421</v>
      </c>
      <c r="B908" s="52" t="s">
        <v>171</v>
      </c>
      <c r="C908" s="53">
        <v>2022</v>
      </c>
      <c r="D908" s="52" t="s">
        <v>127</v>
      </c>
      <c r="E908" s="54">
        <v>9</v>
      </c>
      <c r="F908" s="55">
        <v>385432.20699999999</v>
      </c>
      <c r="G908" s="55">
        <v>288307.02500000002</v>
      </c>
    </row>
    <row r="909" spans="1:7" ht="10.050000000000001" customHeight="1">
      <c r="A909" s="52" t="s">
        <v>421</v>
      </c>
      <c r="B909" s="52" t="s">
        <v>171</v>
      </c>
      <c r="C909" s="53">
        <v>2022</v>
      </c>
      <c r="D909" s="52" t="s">
        <v>127</v>
      </c>
      <c r="E909" s="54">
        <v>10</v>
      </c>
      <c r="F909" s="55">
        <v>375236.43199999997</v>
      </c>
      <c r="G909" s="55">
        <v>259453.899</v>
      </c>
    </row>
    <row r="910" spans="1:7" ht="10.050000000000001" customHeight="1">
      <c r="A910" s="52" t="s">
        <v>421</v>
      </c>
      <c r="B910" s="52" t="s">
        <v>171</v>
      </c>
      <c r="C910" s="53">
        <v>2022</v>
      </c>
      <c r="D910" s="52" t="s">
        <v>127</v>
      </c>
      <c r="E910" s="54">
        <v>11</v>
      </c>
      <c r="F910" s="55">
        <v>369104.64799999999</v>
      </c>
      <c r="G910" s="55">
        <v>241360.26199999999</v>
      </c>
    </row>
    <row r="911" spans="1:7" ht="10.050000000000001" customHeight="1">
      <c r="A911" s="52" t="s">
        <v>421</v>
      </c>
      <c r="B911" s="52" t="s">
        <v>171</v>
      </c>
      <c r="C911" s="53">
        <v>2022</v>
      </c>
      <c r="D911" s="52" t="s">
        <v>127</v>
      </c>
      <c r="E911" s="54">
        <v>12</v>
      </c>
      <c r="F911" s="55">
        <v>375788.23700000002</v>
      </c>
      <c r="G911" s="55">
        <v>212044.91399999999</v>
      </c>
    </row>
    <row r="912" spans="1:7" ht="10.050000000000001" customHeight="1">
      <c r="A912" s="52" t="s">
        <v>421</v>
      </c>
      <c r="B912" s="52" t="s">
        <v>171</v>
      </c>
      <c r="C912" s="53">
        <v>2023</v>
      </c>
      <c r="D912" s="52" t="s">
        <v>127</v>
      </c>
      <c r="E912" s="54">
        <v>1</v>
      </c>
      <c r="F912" s="55">
        <v>362048.55599999998</v>
      </c>
      <c r="G912" s="55">
        <v>196068.68599999999</v>
      </c>
    </row>
    <row r="913" spans="1:7" ht="10.050000000000001" customHeight="1">
      <c r="A913" s="52" t="s">
        <v>421</v>
      </c>
      <c r="B913" s="52" t="s">
        <v>171</v>
      </c>
      <c r="C913" s="53">
        <v>2023</v>
      </c>
      <c r="D913" s="52" t="s">
        <v>127</v>
      </c>
      <c r="E913" s="54">
        <v>2</v>
      </c>
      <c r="F913" s="55">
        <v>334012.565</v>
      </c>
      <c r="G913" s="55">
        <v>192445.13200000001</v>
      </c>
    </row>
    <row r="914" spans="1:7" ht="10.050000000000001" customHeight="1">
      <c r="A914" s="52" t="s">
        <v>421</v>
      </c>
      <c r="B914" s="52" t="s">
        <v>171</v>
      </c>
      <c r="C914" s="53">
        <v>2023</v>
      </c>
      <c r="D914" s="52" t="s">
        <v>127</v>
      </c>
      <c r="E914" s="54">
        <v>3</v>
      </c>
      <c r="F914" s="55">
        <v>385520.98100000003</v>
      </c>
      <c r="G914" s="55">
        <v>169559.326</v>
      </c>
    </row>
    <row r="915" spans="1:7" ht="10.050000000000001" customHeight="1">
      <c r="A915" s="52" t="s">
        <v>421</v>
      </c>
      <c r="B915" s="52" t="s">
        <v>171</v>
      </c>
      <c r="C915" s="53">
        <v>2023</v>
      </c>
      <c r="D915" s="52" t="s">
        <v>127</v>
      </c>
      <c r="E915" s="54">
        <v>4</v>
      </c>
      <c r="F915" s="55">
        <v>370978.967</v>
      </c>
      <c r="G915" s="55">
        <v>158390.13099999999</v>
      </c>
    </row>
    <row r="916" spans="1:7" ht="10.050000000000001" customHeight="1">
      <c r="A916" s="52" t="s">
        <v>421</v>
      </c>
      <c r="B916" s="52" t="s">
        <v>171</v>
      </c>
      <c r="C916" s="53">
        <v>2023</v>
      </c>
      <c r="D916" s="52" t="s">
        <v>127</v>
      </c>
      <c r="E916" s="54">
        <v>5</v>
      </c>
      <c r="F916" s="55">
        <v>405226.30300000001</v>
      </c>
      <c r="G916" s="55">
        <v>129212.372</v>
      </c>
    </row>
    <row r="917" spans="1:7" ht="10.050000000000001" customHeight="1">
      <c r="A917" s="52" t="s">
        <v>421</v>
      </c>
      <c r="B917" s="52" t="s">
        <v>171</v>
      </c>
      <c r="C917" s="53">
        <v>2023</v>
      </c>
      <c r="D917" s="52" t="s">
        <v>127</v>
      </c>
      <c r="E917" s="54">
        <v>6</v>
      </c>
      <c r="F917" s="55">
        <v>409793.02299999999</v>
      </c>
      <c r="G917" s="55">
        <v>137678.08600000001</v>
      </c>
    </row>
    <row r="918" spans="1:7" ht="10.050000000000001" customHeight="1">
      <c r="A918" s="52" t="s">
        <v>421</v>
      </c>
      <c r="B918" s="52" t="s">
        <v>171</v>
      </c>
      <c r="C918" s="53">
        <v>2023</v>
      </c>
      <c r="D918" s="52" t="s">
        <v>128</v>
      </c>
      <c r="E918" s="54">
        <v>7</v>
      </c>
      <c r="F918" s="55">
        <v>401609.73599999998</v>
      </c>
      <c r="G918" s="55">
        <v>227006.106</v>
      </c>
    </row>
    <row r="919" spans="1:7" ht="10.050000000000001" customHeight="1">
      <c r="A919" s="52" t="s">
        <v>421</v>
      </c>
      <c r="B919" s="52" t="s">
        <v>171</v>
      </c>
      <c r="C919" s="53">
        <v>2023</v>
      </c>
      <c r="D919" s="52" t="s">
        <v>128</v>
      </c>
      <c r="E919" s="54">
        <v>8</v>
      </c>
      <c r="F919" s="55">
        <v>446886.98100000003</v>
      </c>
      <c r="G919" s="55">
        <v>291207.26799999998</v>
      </c>
    </row>
    <row r="920" spans="1:7" ht="10.050000000000001" customHeight="1">
      <c r="A920" s="52" t="s">
        <v>421</v>
      </c>
      <c r="B920" s="52" t="s">
        <v>171</v>
      </c>
      <c r="C920" s="53">
        <v>2023</v>
      </c>
      <c r="D920" s="52" t="s">
        <v>128</v>
      </c>
      <c r="E920" s="54">
        <v>9</v>
      </c>
      <c r="F920" s="55">
        <v>412726.47600000002</v>
      </c>
      <c r="G920" s="55">
        <v>258335.78099999999</v>
      </c>
    </row>
    <row r="921" spans="1:7" ht="10.050000000000001" customHeight="1">
      <c r="A921" s="52" t="s">
        <v>421</v>
      </c>
      <c r="B921" s="52" t="s">
        <v>171</v>
      </c>
      <c r="C921" s="53">
        <v>2023</v>
      </c>
      <c r="D921" s="52" t="s">
        <v>128</v>
      </c>
      <c r="E921" s="54">
        <v>10</v>
      </c>
      <c r="F921" s="55">
        <v>410767.20500000002</v>
      </c>
      <c r="G921" s="55">
        <v>242868.003</v>
      </c>
    </row>
    <row r="922" spans="1:7" ht="10.050000000000001" customHeight="1">
      <c r="A922" s="52" t="s">
        <v>421</v>
      </c>
      <c r="B922" s="52" t="s">
        <v>171</v>
      </c>
      <c r="C922" s="53">
        <v>2023</v>
      </c>
      <c r="D922" s="52" t="s">
        <v>128</v>
      </c>
      <c r="E922" s="54">
        <v>11</v>
      </c>
      <c r="F922" s="55">
        <v>359366.02899999998</v>
      </c>
      <c r="G922" s="55">
        <v>242468.024</v>
      </c>
    </row>
    <row r="923" spans="1:7" ht="10.050000000000001" customHeight="1">
      <c r="A923" s="52" t="s">
        <v>421</v>
      </c>
      <c r="B923" s="52" t="s">
        <v>171</v>
      </c>
      <c r="C923" s="53">
        <v>2023</v>
      </c>
      <c r="D923" s="52" t="s">
        <v>128</v>
      </c>
      <c r="E923" s="54">
        <v>12</v>
      </c>
      <c r="F923" s="55">
        <v>351900.90100000001</v>
      </c>
      <c r="G923" s="55">
        <v>223869.08900000001</v>
      </c>
    </row>
    <row r="924" spans="1:7" ht="10.050000000000001" customHeight="1">
      <c r="A924" s="52" t="s">
        <v>421</v>
      </c>
      <c r="B924" s="52" t="s">
        <v>171</v>
      </c>
      <c r="C924" s="53">
        <v>2024</v>
      </c>
      <c r="D924" s="52" t="s">
        <v>128</v>
      </c>
      <c r="E924" s="54">
        <v>1</v>
      </c>
      <c r="F924" s="55">
        <v>361602.44099999999</v>
      </c>
      <c r="G924" s="55">
        <v>207628.389</v>
      </c>
    </row>
    <row r="925" spans="1:7" ht="10.050000000000001" customHeight="1">
      <c r="A925" s="52" t="s">
        <v>421</v>
      </c>
      <c r="B925" s="52" t="s">
        <v>171</v>
      </c>
      <c r="C925" s="53">
        <v>2024</v>
      </c>
      <c r="D925" s="52" t="s">
        <v>128</v>
      </c>
      <c r="E925" s="54">
        <v>2</v>
      </c>
      <c r="F925" s="55">
        <v>335765.97399999999</v>
      </c>
      <c r="G925" s="55">
        <v>200438.26500000001</v>
      </c>
    </row>
    <row r="926" spans="1:7" ht="10.050000000000001" customHeight="1">
      <c r="A926" s="52" t="s">
        <v>421</v>
      </c>
      <c r="B926" s="52" t="s">
        <v>171</v>
      </c>
      <c r="C926" s="53">
        <v>2024</v>
      </c>
      <c r="D926" s="52" t="s">
        <v>128</v>
      </c>
      <c r="E926" s="54">
        <v>3</v>
      </c>
      <c r="F926" s="55">
        <v>345866.136</v>
      </c>
      <c r="G926" s="55">
        <v>181453.02499999999</v>
      </c>
    </row>
    <row r="927" spans="1:7" ht="10.050000000000001" customHeight="1">
      <c r="A927" s="52" t="s">
        <v>421</v>
      </c>
      <c r="B927" s="52" t="s">
        <v>171</v>
      </c>
      <c r="C927" s="53">
        <v>2024</v>
      </c>
      <c r="D927" s="52" t="s">
        <v>128</v>
      </c>
      <c r="E927" s="54">
        <v>4</v>
      </c>
      <c r="F927" s="55">
        <v>356224.81199999998</v>
      </c>
      <c r="G927" s="55">
        <v>164788.76</v>
      </c>
    </row>
    <row r="928" spans="1:7" ht="10.050000000000001" customHeight="1">
      <c r="A928" s="52" t="s">
        <v>421</v>
      </c>
      <c r="B928" s="52" t="s">
        <v>171</v>
      </c>
      <c r="C928" s="53">
        <v>2024</v>
      </c>
      <c r="D928" s="52" t="s">
        <v>128</v>
      </c>
      <c r="E928" s="54">
        <v>5</v>
      </c>
      <c r="F928" s="55">
        <v>376078.92300000001</v>
      </c>
      <c r="G928" s="55">
        <v>151295.86300000001</v>
      </c>
    </row>
    <row r="929" spans="1:7" ht="10.050000000000001" customHeight="1">
      <c r="A929" s="52" t="s">
        <v>421</v>
      </c>
      <c r="B929" s="52" t="s">
        <v>171</v>
      </c>
      <c r="C929" s="53">
        <v>2024</v>
      </c>
      <c r="D929" s="52" t="s">
        <v>128</v>
      </c>
      <c r="E929" s="54">
        <v>6</v>
      </c>
      <c r="F929" s="55">
        <v>336708.05499999999</v>
      </c>
      <c r="G929" s="55">
        <v>160024.935</v>
      </c>
    </row>
    <row r="930" spans="1:7" ht="10.050000000000001" customHeight="1">
      <c r="A930" s="52" t="s">
        <v>421</v>
      </c>
      <c r="B930" s="52" t="s">
        <v>171</v>
      </c>
      <c r="C930" s="53">
        <v>2024</v>
      </c>
      <c r="D930" s="52" t="s">
        <v>129</v>
      </c>
      <c r="E930" s="54">
        <v>7</v>
      </c>
      <c r="F930" s="55">
        <v>392470.64500000002</v>
      </c>
      <c r="G930" s="55">
        <v>186815.36300000001</v>
      </c>
    </row>
    <row r="931" spans="1:7" ht="10.050000000000001" customHeight="1">
      <c r="A931" s="52" t="s">
        <v>421</v>
      </c>
      <c r="B931" s="52" t="s">
        <v>171</v>
      </c>
      <c r="C931" s="53">
        <v>2024</v>
      </c>
      <c r="D931" s="52" t="s">
        <v>129</v>
      </c>
      <c r="E931" s="54">
        <v>8</v>
      </c>
      <c r="F931" s="55">
        <v>393620.99699999997</v>
      </c>
      <c r="G931" s="55">
        <v>285537.58500000002</v>
      </c>
    </row>
    <row r="932" spans="1:7" ht="10.050000000000001" customHeight="1">
      <c r="A932" s="52" t="s">
        <v>421</v>
      </c>
      <c r="B932" s="52" t="s">
        <v>171</v>
      </c>
      <c r="C932" s="53">
        <v>2024</v>
      </c>
      <c r="D932" s="52" t="s">
        <v>129</v>
      </c>
      <c r="E932" s="54">
        <v>9</v>
      </c>
      <c r="F932" s="55">
        <v>399590.967</v>
      </c>
      <c r="G932" s="55">
        <v>260368.73699999999</v>
      </c>
    </row>
    <row r="933" spans="1:7" ht="10.050000000000001" customHeight="1">
      <c r="A933" s="52" t="s">
        <v>421</v>
      </c>
      <c r="B933" s="52" t="s">
        <v>171</v>
      </c>
      <c r="C933" s="53">
        <v>2024</v>
      </c>
      <c r="D933" s="52" t="s">
        <v>129</v>
      </c>
      <c r="E933" s="54">
        <v>10</v>
      </c>
      <c r="F933" s="55">
        <v>434738.72399999999</v>
      </c>
      <c r="G933" s="55">
        <v>230049.06400000001</v>
      </c>
    </row>
    <row r="934" spans="1:7" ht="10.050000000000001" customHeight="1">
      <c r="A934" s="52" t="s">
        <v>421</v>
      </c>
      <c r="B934" s="52" t="s">
        <v>171</v>
      </c>
      <c r="C934" s="53">
        <v>2024</v>
      </c>
      <c r="D934" s="52" t="s">
        <v>129</v>
      </c>
      <c r="E934" s="54">
        <v>11</v>
      </c>
      <c r="F934" s="55">
        <v>357943.34600000002</v>
      </c>
      <c r="G934" s="55">
        <v>222621.448</v>
      </c>
    </row>
    <row r="935" spans="1:7" ht="10.050000000000001" customHeight="1">
      <c r="A935" s="52" t="s">
        <v>421</v>
      </c>
      <c r="B935" s="52" t="s">
        <v>171</v>
      </c>
      <c r="C935" s="53">
        <v>2024</v>
      </c>
      <c r="D935" s="52" t="s">
        <v>129</v>
      </c>
      <c r="E935" s="54">
        <v>12</v>
      </c>
      <c r="F935" s="55">
        <v>346220.18599999999</v>
      </c>
      <c r="G935" s="55">
        <v>213204.86900000001</v>
      </c>
    </row>
    <row r="936" spans="1:7" ht="10.050000000000001" customHeight="1">
      <c r="A936" s="52" t="s">
        <v>421</v>
      </c>
      <c r="B936" s="52" t="s">
        <v>300</v>
      </c>
      <c r="C936" s="53">
        <v>2002</v>
      </c>
      <c r="D936" s="52" t="s">
        <v>108</v>
      </c>
      <c r="E936" s="54">
        <v>2</v>
      </c>
      <c r="F936" s="55">
        <v>2.9</v>
      </c>
      <c r="G936" s="55">
        <v>0.1</v>
      </c>
    </row>
    <row r="937" spans="1:7" ht="10.050000000000001" customHeight="1">
      <c r="A937" s="52" t="s">
        <v>421</v>
      </c>
      <c r="B937" s="52" t="s">
        <v>300</v>
      </c>
      <c r="C937" s="53">
        <v>2002</v>
      </c>
      <c r="D937" s="52" t="s">
        <v>108</v>
      </c>
      <c r="E937" s="54">
        <v>3</v>
      </c>
      <c r="F937" s="55">
        <v>3.6</v>
      </c>
      <c r="G937" s="55">
        <v>0</v>
      </c>
    </row>
    <row r="938" spans="1:7" ht="10.050000000000001" customHeight="1">
      <c r="A938" s="52" t="s">
        <v>421</v>
      </c>
      <c r="B938" s="52" t="s">
        <v>300</v>
      </c>
      <c r="C938" s="53">
        <v>2002</v>
      </c>
      <c r="D938" s="52" t="s">
        <v>108</v>
      </c>
      <c r="E938" s="54">
        <v>4</v>
      </c>
      <c r="F938" s="55">
        <v>1.7</v>
      </c>
      <c r="G938" s="55">
        <v>0</v>
      </c>
    </row>
    <row r="939" spans="1:7" ht="10.050000000000001" customHeight="1">
      <c r="A939" s="52" t="s">
        <v>421</v>
      </c>
      <c r="B939" s="52" t="s">
        <v>300</v>
      </c>
      <c r="C939" s="53">
        <v>2003</v>
      </c>
      <c r="D939" s="52" t="s">
        <v>106</v>
      </c>
      <c r="E939" s="54">
        <v>12</v>
      </c>
      <c r="F939" s="55">
        <v>1</v>
      </c>
      <c r="G939" s="55">
        <v>1.8</v>
      </c>
    </row>
    <row r="940" spans="1:7" ht="10.050000000000001" customHeight="1">
      <c r="A940" s="52" t="s">
        <v>421</v>
      </c>
      <c r="B940" s="52" t="s">
        <v>300</v>
      </c>
      <c r="C940" s="53">
        <v>2004</v>
      </c>
      <c r="D940" s="52" t="s">
        <v>106</v>
      </c>
      <c r="E940" s="54">
        <v>1</v>
      </c>
      <c r="F940" s="55">
        <v>0</v>
      </c>
      <c r="G940" s="55">
        <v>1.8</v>
      </c>
    </row>
    <row r="941" spans="1:7" ht="10.050000000000001" customHeight="1">
      <c r="A941" s="52" t="s">
        <v>421</v>
      </c>
      <c r="B941" s="52" t="s">
        <v>300</v>
      </c>
      <c r="C941" s="53">
        <v>2004</v>
      </c>
      <c r="D941" s="52" t="s">
        <v>106</v>
      </c>
      <c r="E941" s="54">
        <v>2</v>
      </c>
      <c r="F941" s="55">
        <v>0</v>
      </c>
      <c r="G941" s="55">
        <v>1.8</v>
      </c>
    </row>
    <row r="942" spans="1:7" ht="10.050000000000001" customHeight="1">
      <c r="A942" s="52" t="s">
        <v>421</v>
      </c>
      <c r="B942" s="52" t="s">
        <v>300</v>
      </c>
      <c r="C942" s="53">
        <v>2004</v>
      </c>
      <c r="D942" s="52" t="s">
        <v>106</v>
      </c>
      <c r="E942" s="54">
        <v>3</v>
      </c>
      <c r="F942" s="55">
        <v>0</v>
      </c>
      <c r="G942" s="55">
        <v>1.8</v>
      </c>
    </row>
    <row r="943" spans="1:7" ht="10.050000000000001" customHeight="1">
      <c r="A943" s="52" t="s">
        <v>421</v>
      </c>
      <c r="B943" s="52" t="s">
        <v>300</v>
      </c>
      <c r="C943" s="53">
        <v>2004</v>
      </c>
      <c r="D943" s="52" t="s">
        <v>106</v>
      </c>
      <c r="E943" s="54">
        <v>4</v>
      </c>
      <c r="F943" s="55">
        <v>1</v>
      </c>
      <c r="G943" s="55">
        <v>0.8</v>
      </c>
    </row>
    <row r="944" spans="1:7" ht="10.050000000000001" customHeight="1">
      <c r="A944" s="52" t="s">
        <v>421</v>
      </c>
      <c r="B944" s="52" t="s">
        <v>300</v>
      </c>
      <c r="C944" s="53">
        <v>2004</v>
      </c>
      <c r="D944" s="52" t="s">
        <v>106</v>
      </c>
      <c r="E944" s="54">
        <v>5</v>
      </c>
      <c r="F944" s="55">
        <v>0</v>
      </c>
      <c r="G944" s="55">
        <v>0.8</v>
      </c>
    </row>
    <row r="945" spans="1:7" ht="10.050000000000001" customHeight="1">
      <c r="A945" s="52" t="s">
        <v>421</v>
      </c>
      <c r="B945" s="52" t="s">
        <v>300</v>
      </c>
      <c r="C945" s="53">
        <v>2004</v>
      </c>
      <c r="D945" s="52" t="s">
        <v>106</v>
      </c>
      <c r="E945" s="54">
        <v>6</v>
      </c>
      <c r="F945" s="55">
        <v>0</v>
      </c>
      <c r="G945" s="55">
        <v>0.8</v>
      </c>
    </row>
    <row r="946" spans="1:7" ht="10.050000000000001" customHeight="1">
      <c r="A946" s="52" t="s">
        <v>421</v>
      </c>
      <c r="B946" s="52" t="s">
        <v>300</v>
      </c>
      <c r="C946" s="53">
        <v>2004</v>
      </c>
      <c r="D946" s="52" t="s">
        <v>110</v>
      </c>
      <c r="E946" s="54">
        <v>7</v>
      </c>
      <c r="F946" s="55">
        <v>0</v>
      </c>
      <c r="G946" s="55">
        <v>0.8</v>
      </c>
    </row>
    <row r="947" spans="1:7" ht="10.050000000000001" customHeight="1">
      <c r="A947" s="52" t="s">
        <v>421</v>
      </c>
      <c r="B947" s="52" t="s">
        <v>300</v>
      </c>
      <c r="C947" s="53">
        <v>2004</v>
      </c>
      <c r="D947" s="52" t="s">
        <v>110</v>
      </c>
      <c r="E947" s="54">
        <v>8</v>
      </c>
      <c r="F947" s="55">
        <v>0</v>
      </c>
      <c r="G947" s="55">
        <v>0.8</v>
      </c>
    </row>
    <row r="948" spans="1:7" ht="10.050000000000001" customHeight="1">
      <c r="A948" s="52" t="s">
        <v>421</v>
      </c>
      <c r="B948" s="52" t="s">
        <v>300</v>
      </c>
      <c r="C948" s="53">
        <v>2004</v>
      </c>
      <c r="D948" s="52" t="s">
        <v>110</v>
      </c>
      <c r="E948" s="54">
        <v>9</v>
      </c>
      <c r="F948" s="55">
        <v>0.2</v>
      </c>
      <c r="G948" s="55">
        <v>0.6</v>
      </c>
    </row>
    <row r="949" spans="1:7" ht="10.050000000000001" customHeight="1">
      <c r="A949" s="52" t="s">
        <v>421</v>
      </c>
      <c r="B949" s="52" t="s">
        <v>300</v>
      </c>
      <c r="C949" s="53">
        <v>2004</v>
      </c>
      <c r="D949" s="52" t="s">
        <v>110</v>
      </c>
      <c r="E949" s="54">
        <v>10</v>
      </c>
      <c r="F949" s="55">
        <v>0.6</v>
      </c>
      <c r="G949" s="55">
        <v>0.1</v>
      </c>
    </row>
    <row r="950" spans="1:7" ht="10.050000000000001" customHeight="1">
      <c r="A950" s="52" t="s">
        <v>421</v>
      </c>
      <c r="B950" s="52" t="s">
        <v>300</v>
      </c>
      <c r="C950" s="53">
        <v>2004</v>
      </c>
      <c r="D950" s="52" t="s">
        <v>110</v>
      </c>
      <c r="E950" s="54">
        <v>11</v>
      </c>
      <c r="F950" s="55">
        <v>0.5</v>
      </c>
      <c r="G950" s="55">
        <v>0.6</v>
      </c>
    </row>
    <row r="951" spans="1:7" ht="10.050000000000001" customHeight="1">
      <c r="A951" s="52" t="s">
        <v>421</v>
      </c>
      <c r="B951" s="52" t="s">
        <v>300</v>
      </c>
      <c r="C951" s="53">
        <v>2004</v>
      </c>
      <c r="D951" s="52" t="s">
        <v>110</v>
      </c>
      <c r="E951" s="54">
        <v>12</v>
      </c>
      <c r="F951" s="55">
        <v>1.4</v>
      </c>
      <c r="G951" s="55">
        <v>0.2</v>
      </c>
    </row>
    <row r="952" spans="1:7" ht="10.050000000000001" customHeight="1">
      <c r="A952" s="52" t="s">
        <v>421</v>
      </c>
      <c r="B952" s="52" t="s">
        <v>300</v>
      </c>
      <c r="C952" s="53">
        <v>2005</v>
      </c>
      <c r="D952" s="52" t="s">
        <v>110</v>
      </c>
      <c r="E952" s="54">
        <v>1</v>
      </c>
      <c r="F952" s="55">
        <v>3</v>
      </c>
      <c r="G952" s="55">
        <v>0.2</v>
      </c>
    </row>
    <row r="953" spans="1:7" ht="10.050000000000001" customHeight="1">
      <c r="A953" s="52" t="s">
        <v>421</v>
      </c>
      <c r="B953" s="52" t="s">
        <v>300</v>
      </c>
      <c r="C953" s="53">
        <v>2005</v>
      </c>
      <c r="D953" s="52" t="s">
        <v>110</v>
      </c>
      <c r="E953" s="54">
        <v>2</v>
      </c>
      <c r="F953" s="55">
        <v>3.1</v>
      </c>
      <c r="G953" s="55">
        <v>6.2</v>
      </c>
    </row>
    <row r="954" spans="1:7" ht="10.050000000000001" customHeight="1">
      <c r="A954" s="52" t="s">
        <v>421</v>
      </c>
      <c r="B954" s="52" t="s">
        <v>300</v>
      </c>
      <c r="C954" s="53">
        <v>2005</v>
      </c>
      <c r="D954" s="52" t="s">
        <v>110</v>
      </c>
      <c r="E954" s="54">
        <v>3</v>
      </c>
      <c r="F954" s="55">
        <v>5.3</v>
      </c>
      <c r="G954" s="55">
        <v>0.9</v>
      </c>
    </row>
    <row r="955" spans="1:7" ht="10.050000000000001" customHeight="1">
      <c r="A955" s="52" t="s">
        <v>421</v>
      </c>
      <c r="B955" s="52" t="s">
        <v>300</v>
      </c>
      <c r="C955" s="53">
        <v>2005</v>
      </c>
      <c r="D955" s="52" t="s">
        <v>110</v>
      </c>
      <c r="E955" s="54">
        <v>4</v>
      </c>
      <c r="F955" s="55">
        <v>3.4</v>
      </c>
      <c r="G955" s="55">
        <v>7.5</v>
      </c>
    </row>
    <row r="956" spans="1:7" ht="10.050000000000001" customHeight="1">
      <c r="A956" s="52" t="s">
        <v>421</v>
      </c>
      <c r="B956" s="52" t="s">
        <v>300</v>
      </c>
      <c r="C956" s="53">
        <v>2005</v>
      </c>
      <c r="D956" s="52" t="s">
        <v>110</v>
      </c>
      <c r="E956" s="54">
        <v>5</v>
      </c>
      <c r="F956" s="55">
        <v>5.6</v>
      </c>
      <c r="G956" s="55">
        <v>1.9</v>
      </c>
    </row>
    <row r="957" spans="1:7" ht="10.050000000000001" customHeight="1">
      <c r="A957" s="52" t="s">
        <v>421</v>
      </c>
      <c r="B957" s="52" t="s">
        <v>300</v>
      </c>
      <c r="C957" s="53">
        <v>2005</v>
      </c>
      <c r="D957" s="52" t="s">
        <v>110</v>
      </c>
      <c r="E957" s="54">
        <v>6</v>
      </c>
      <c r="F957" s="55">
        <v>8.4</v>
      </c>
      <c r="G957" s="55">
        <v>0.5</v>
      </c>
    </row>
    <row r="958" spans="1:7" ht="10.050000000000001" customHeight="1">
      <c r="A958" s="52" t="s">
        <v>421</v>
      </c>
      <c r="B958" s="52" t="s">
        <v>300</v>
      </c>
      <c r="C958" s="53">
        <v>2005</v>
      </c>
      <c r="D958" s="52" t="s">
        <v>111</v>
      </c>
      <c r="E958" s="54">
        <v>7</v>
      </c>
      <c r="F958" s="55">
        <v>6.8</v>
      </c>
      <c r="G958" s="55">
        <v>5</v>
      </c>
    </row>
    <row r="959" spans="1:7" ht="10.050000000000001" customHeight="1">
      <c r="A959" s="52" t="s">
        <v>421</v>
      </c>
      <c r="B959" s="52" t="s">
        <v>300</v>
      </c>
      <c r="C959" s="53">
        <v>2005</v>
      </c>
      <c r="D959" s="52" t="s">
        <v>111</v>
      </c>
      <c r="E959" s="54">
        <v>8</v>
      </c>
      <c r="F959" s="55">
        <v>5</v>
      </c>
      <c r="G959" s="55">
        <v>0</v>
      </c>
    </row>
    <row r="960" spans="1:7" ht="10.050000000000001" customHeight="1">
      <c r="A960" s="52" t="s">
        <v>421</v>
      </c>
      <c r="B960" s="52" t="s">
        <v>300</v>
      </c>
      <c r="C960" s="53">
        <v>2005</v>
      </c>
      <c r="D960" s="52" t="s">
        <v>111</v>
      </c>
      <c r="E960" s="54">
        <v>9</v>
      </c>
      <c r="F960" s="55">
        <v>10.1</v>
      </c>
      <c r="G960" s="55">
        <v>0</v>
      </c>
    </row>
    <row r="961" spans="1:7" ht="10.050000000000001" customHeight="1">
      <c r="A961" s="52" t="s">
        <v>421</v>
      </c>
      <c r="B961" s="52" t="s">
        <v>300</v>
      </c>
      <c r="C961" s="53">
        <v>2005</v>
      </c>
      <c r="D961" s="52" t="s">
        <v>111</v>
      </c>
      <c r="E961" s="54">
        <v>10</v>
      </c>
      <c r="F961" s="55">
        <v>3.8</v>
      </c>
      <c r="G961" s="55">
        <v>0</v>
      </c>
    </row>
    <row r="962" spans="1:7" ht="10.050000000000001" customHeight="1">
      <c r="A962" s="52" t="s">
        <v>421</v>
      </c>
      <c r="B962" s="52" t="s">
        <v>300</v>
      </c>
      <c r="C962" s="53">
        <v>2005</v>
      </c>
      <c r="D962" s="52" t="s">
        <v>111</v>
      </c>
      <c r="E962" s="54">
        <v>12</v>
      </c>
      <c r="F962" s="55">
        <v>33.299999999999997</v>
      </c>
      <c r="G962" s="55">
        <v>41.8</v>
      </c>
    </row>
    <row r="963" spans="1:7" ht="10.050000000000001" customHeight="1">
      <c r="A963" s="52" t="s">
        <v>421</v>
      </c>
      <c r="B963" s="52" t="s">
        <v>300</v>
      </c>
      <c r="C963" s="53">
        <v>2006</v>
      </c>
      <c r="D963" s="52" t="s">
        <v>111</v>
      </c>
      <c r="E963" s="54">
        <v>1</v>
      </c>
      <c r="F963" s="55">
        <v>31.5</v>
      </c>
      <c r="G963" s="55">
        <v>31.4</v>
      </c>
    </row>
    <row r="964" spans="1:7" ht="10.050000000000001" customHeight="1">
      <c r="A964" s="52" t="s">
        <v>421</v>
      </c>
      <c r="B964" s="52" t="s">
        <v>300</v>
      </c>
      <c r="C964" s="53">
        <v>2006</v>
      </c>
      <c r="D964" s="52" t="s">
        <v>111</v>
      </c>
      <c r="E964" s="54">
        <v>2</v>
      </c>
      <c r="F964" s="55">
        <v>34</v>
      </c>
      <c r="G964" s="55">
        <v>24.8</v>
      </c>
    </row>
    <row r="965" spans="1:7" ht="10.050000000000001" customHeight="1">
      <c r="A965" s="52" t="s">
        <v>421</v>
      </c>
      <c r="B965" s="52" t="s">
        <v>300</v>
      </c>
      <c r="C965" s="53">
        <v>2006</v>
      </c>
      <c r="D965" s="52" t="s">
        <v>111</v>
      </c>
      <c r="E965" s="54">
        <v>3</v>
      </c>
      <c r="F965" s="55">
        <v>24.7</v>
      </c>
      <c r="G965" s="55">
        <v>22.5</v>
      </c>
    </row>
    <row r="966" spans="1:7" ht="10.050000000000001" customHeight="1">
      <c r="A966" s="52" t="s">
        <v>421</v>
      </c>
      <c r="B966" s="52" t="s">
        <v>300</v>
      </c>
      <c r="C966" s="53">
        <v>2006</v>
      </c>
      <c r="D966" s="52" t="s">
        <v>111</v>
      </c>
      <c r="E966" s="54">
        <v>4</v>
      </c>
      <c r="F966" s="55">
        <v>22.1</v>
      </c>
      <c r="G966" s="55">
        <v>21.8</v>
      </c>
    </row>
    <row r="967" spans="1:7" ht="10.050000000000001" customHeight="1">
      <c r="A967" s="52" t="s">
        <v>421</v>
      </c>
      <c r="B967" s="52" t="s">
        <v>300</v>
      </c>
      <c r="C967" s="53">
        <v>2006</v>
      </c>
      <c r="D967" s="52" t="s">
        <v>111</v>
      </c>
      <c r="E967" s="54">
        <v>5</v>
      </c>
      <c r="F967" s="55">
        <v>26.8</v>
      </c>
      <c r="G967" s="55">
        <v>17.899999999999999</v>
      </c>
    </row>
    <row r="968" spans="1:7" ht="10.050000000000001" customHeight="1">
      <c r="A968" s="52" t="s">
        <v>421</v>
      </c>
      <c r="B968" s="52" t="s">
        <v>300</v>
      </c>
      <c r="C968" s="53">
        <v>2006</v>
      </c>
      <c r="D968" s="52" t="s">
        <v>111</v>
      </c>
      <c r="E968" s="54">
        <v>6</v>
      </c>
      <c r="F968" s="55">
        <v>32.700000000000003</v>
      </c>
      <c r="G968" s="55">
        <v>37.4</v>
      </c>
    </row>
    <row r="969" spans="1:7" ht="10.050000000000001" customHeight="1">
      <c r="A969" s="52" t="s">
        <v>421</v>
      </c>
      <c r="B969" s="52" t="s">
        <v>300</v>
      </c>
      <c r="C969" s="53">
        <v>2006</v>
      </c>
      <c r="D969" s="52" t="s">
        <v>112</v>
      </c>
      <c r="E969" s="54">
        <v>7</v>
      </c>
      <c r="F969" s="55">
        <v>27.2</v>
      </c>
      <c r="G969" s="55">
        <v>34.200000000000003</v>
      </c>
    </row>
    <row r="970" spans="1:7" ht="10.050000000000001" customHeight="1">
      <c r="A970" s="52" t="s">
        <v>421</v>
      </c>
      <c r="B970" s="52" t="s">
        <v>300</v>
      </c>
      <c r="C970" s="53">
        <v>2006</v>
      </c>
      <c r="D970" s="52" t="s">
        <v>112</v>
      </c>
      <c r="E970" s="54">
        <v>8</v>
      </c>
      <c r="F970" s="55">
        <v>33</v>
      </c>
      <c r="G970" s="55">
        <v>33.9</v>
      </c>
    </row>
    <row r="971" spans="1:7" ht="10.050000000000001" customHeight="1">
      <c r="A971" s="52" t="s">
        <v>421</v>
      </c>
      <c r="B971" s="52" t="s">
        <v>300</v>
      </c>
      <c r="C971" s="53">
        <v>2006</v>
      </c>
      <c r="D971" s="52" t="s">
        <v>112</v>
      </c>
      <c r="E971" s="54">
        <v>9</v>
      </c>
      <c r="F971" s="55">
        <v>32.700000000000003</v>
      </c>
      <c r="G971" s="55">
        <v>26.5</v>
      </c>
    </row>
    <row r="972" spans="1:7" ht="10.050000000000001" customHeight="1">
      <c r="A972" s="52" t="s">
        <v>421</v>
      </c>
      <c r="B972" s="52" t="s">
        <v>300</v>
      </c>
      <c r="C972" s="53">
        <v>2006</v>
      </c>
      <c r="D972" s="52" t="s">
        <v>112</v>
      </c>
      <c r="E972" s="54">
        <v>10</v>
      </c>
      <c r="F972" s="55">
        <v>28</v>
      </c>
      <c r="G972" s="55">
        <v>70.7</v>
      </c>
    </row>
    <row r="973" spans="1:7" ht="10.050000000000001" customHeight="1">
      <c r="A973" s="52" t="s">
        <v>421</v>
      </c>
      <c r="B973" s="52" t="s">
        <v>300</v>
      </c>
      <c r="C973" s="53">
        <v>2006</v>
      </c>
      <c r="D973" s="52" t="s">
        <v>112</v>
      </c>
      <c r="E973" s="54">
        <v>11</v>
      </c>
      <c r="F973" s="55">
        <v>33.700000000000003</v>
      </c>
      <c r="G973" s="55">
        <v>37.5</v>
      </c>
    </row>
    <row r="974" spans="1:7" ht="10.050000000000001" customHeight="1">
      <c r="A974" s="52" t="s">
        <v>421</v>
      </c>
      <c r="B974" s="52" t="s">
        <v>300</v>
      </c>
      <c r="C974" s="53">
        <v>2006</v>
      </c>
      <c r="D974" s="52" t="s">
        <v>112</v>
      </c>
      <c r="E974" s="54">
        <v>12</v>
      </c>
      <c r="F974" s="55">
        <v>5.9</v>
      </c>
      <c r="G974" s="55">
        <v>31.6</v>
      </c>
    </row>
    <row r="975" spans="1:7" ht="10.050000000000001" customHeight="1">
      <c r="A975" s="52" t="s">
        <v>421</v>
      </c>
      <c r="B975" s="52" t="s">
        <v>300</v>
      </c>
      <c r="C975" s="53">
        <v>2007</v>
      </c>
      <c r="D975" s="52" t="s">
        <v>112</v>
      </c>
      <c r="E975" s="54">
        <v>1</v>
      </c>
      <c r="F975" s="55">
        <v>6.8</v>
      </c>
      <c r="G975" s="55">
        <v>28.2</v>
      </c>
    </row>
    <row r="976" spans="1:7" ht="10.050000000000001" customHeight="1">
      <c r="A976" s="52" t="s">
        <v>421</v>
      </c>
      <c r="B976" s="52" t="s">
        <v>300</v>
      </c>
      <c r="C976" s="53">
        <v>2007</v>
      </c>
      <c r="D976" s="52" t="s">
        <v>112</v>
      </c>
      <c r="E976" s="54">
        <v>2</v>
      </c>
      <c r="F976" s="55">
        <v>8.6</v>
      </c>
      <c r="G976" s="55">
        <v>19.600000000000001</v>
      </c>
    </row>
    <row r="977" spans="1:7" ht="10.050000000000001" customHeight="1">
      <c r="A977" s="52" t="s">
        <v>421</v>
      </c>
      <c r="B977" s="52" t="s">
        <v>300</v>
      </c>
      <c r="C977" s="53">
        <v>2007</v>
      </c>
      <c r="D977" s="52" t="s">
        <v>112</v>
      </c>
      <c r="E977" s="54">
        <v>3</v>
      </c>
      <c r="F977" s="55">
        <v>8.5</v>
      </c>
      <c r="G977" s="55">
        <v>11.1</v>
      </c>
    </row>
    <row r="978" spans="1:7" ht="10.050000000000001" customHeight="1">
      <c r="A978" s="52" t="s">
        <v>421</v>
      </c>
      <c r="B978" s="52" t="s">
        <v>300</v>
      </c>
      <c r="C978" s="53">
        <v>2007</v>
      </c>
      <c r="D978" s="52" t="s">
        <v>112</v>
      </c>
      <c r="E978" s="54">
        <v>4</v>
      </c>
      <c r="F978" s="55">
        <v>8</v>
      </c>
      <c r="G978" s="55">
        <v>6.5</v>
      </c>
    </row>
    <row r="979" spans="1:7" ht="10.050000000000001" customHeight="1">
      <c r="A979" s="52" t="s">
        <v>421</v>
      </c>
      <c r="B979" s="52" t="s">
        <v>300</v>
      </c>
      <c r="C979" s="53">
        <v>2007</v>
      </c>
      <c r="D979" s="52" t="s">
        <v>112</v>
      </c>
      <c r="E979" s="54">
        <v>5</v>
      </c>
      <c r="F979" s="55">
        <v>4.7</v>
      </c>
      <c r="G979" s="55">
        <v>4.8</v>
      </c>
    </row>
    <row r="980" spans="1:7" ht="10.050000000000001" customHeight="1">
      <c r="A980" s="52" t="s">
        <v>421</v>
      </c>
      <c r="B980" s="52" t="s">
        <v>300</v>
      </c>
      <c r="C980" s="53">
        <v>2007</v>
      </c>
      <c r="D980" s="52" t="s">
        <v>112</v>
      </c>
      <c r="E980" s="54">
        <v>6</v>
      </c>
      <c r="F980" s="55">
        <v>7.1</v>
      </c>
      <c r="G980" s="55">
        <v>2.4</v>
      </c>
    </row>
    <row r="981" spans="1:7" ht="10.050000000000001" customHeight="1">
      <c r="A981" s="52" t="s">
        <v>421</v>
      </c>
      <c r="B981" s="52" t="s">
        <v>300</v>
      </c>
      <c r="C981" s="53">
        <v>2007</v>
      </c>
      <c r="D981" s="52" t="s">
        <v>113</v>
      </c>
      <c r="E981" s="54">
        <v>7</v>
      </c>
      <c r="F981" s="55">
        <v>0</v>
      </c>
      <c r="G981" s="55">
        <v>4.9000000000000004</v>
      </c>
    </row>
    <row r="982" spans="1:7" ht="10.050000000000001" customHeight="1">
      <c r="A982" s="52" t="s">
        <v>421</v>
      </c>
      <c r="B982" s="52" t="s">
        <v>300</v>
      </c>
      <c r="C982" s="53">
        <v>2007</v>
      </c>
      <c r="D982" s="52" t="s">
        <v>113</v>
      </c>
      <c r="E982" s="54">
        <v>8</v>
      </c>
      <c r="F982" s="55">
        <v>0.5</v>
      </c>
      <c r="G982" s="55">
        <v>2.6</v>
      </c>
    </row>
    <row r="983" spans="1:7" ht="10.050000000000001" customHeight="1">
      <c r="A983" s="52" t="s">
        <v>421</v>
      </c>
      <c r="B983" s="52" t="s">
        <v>300</v>
      </c>
      <c r="C983" s="53">
        <v>2007</v>
      </c>
      <c r="D983" s="52" t="s">
        <v>113</v>
      </c>
      <c r="E983" s="54">
        <v>9</v>
      </c>
      <c r="F983" s="55">
        <v>1.2</v>
      </c>
      <c r="G983" s="55">
        <v>0.7</v>
      </c>
    </row>
    <row r="984" spans="1:7" ht="10.050000000000001" customHeight="1">
      <c r="A984" s="52" t="s">
        <v>421</v>
      </c>
      <c r="B984" s="52" t="s">
        <v>300</v>
      </c>
      <c r="C984" s="53">
        <v>2007</v>
      </c>
      <c r="D984" s="52" t="s">
        <v>113</v>
      </c>
      <c r="E984" s="54">
        <v>10</v>
      </c>
      <c r="F984" s="55">
        <v>0</v>
      </c>
      <c r="G984" s="55">
        <v>0.5</v>
      </c>
    </row>
    <row r="985" spans="1:7" ht="10.050000000000001" customHeight="1">
      <c r="A985" s="52" t="s">
        <v>421</v>
      </c>
      <c r="B985" s="52" t="s">
        <v>300</v>
      </c>
      <c r="C985" s="53">
        <v>2007</v>
      </c>
      <c r="D985" s="52" t="s">
        <v>113</v>
      </c>
      <c r="E985" s="54">
        <v>11</v>
      </c>
      <c r="F985" s="55">
        <v>0</v>
      </c>
      <c r="G985" s="55">
        <v>0.5</v>
      </c>
    </row>
    <row r="986" spans="1:7" ht="10.050000000000001" customHeight="1">
      <c r="A986" s="52" t="s">
        <v>421</v>
      </c>
      <c r="B986" s="52" t="s">
        <v>300</v>
      </c>
      <c r="C986" s="53">
        <v>2007</v>
      </c>
      <c r="D986" s="52" t="s">
        <v>113</v>
      </c>
      <c r="E986" s="54">
        <v>12</v>
      </c>
      <c r="F986" s="55">
        <v>0</v>
      </c>
      <c r="G986" s="55">
        <v>0.5</v>
      </c>
    </row>
    <row r="987" spans="1:7" ht="10.050000000000001" customHeight="1">
      <c r="A987" s="52" t="s">
        <v>421</v>
      </c>
      <c r="B987" s="52" t="s">
        <v>300</v>
      </c>
      <c r="C987" s="53">
        <v>2008</v>
      </c>
      <c r="D987" s="52" t="s">
        <v>113</v>
      </c>
      <c r="E987" s="54">
        <v>1</v>
      </c>
      <c r="F987" s="55">
        <v>26.7</v>
      </c>
      <c r="G987" s="55">
        <v>0.1</v>
      </c>
    </row>
    <row r="988" spans="1:7" ht="10.050000000000001" customHeight="1">
      <c r="A988" s="52" t="s">
        <v>421</v>
      </c>
      <c r="B988" s="52" t="s">
        <v>300</v>
      </c>
      <c r="C988" s="53">
        <v>2008</v>
      </c>
      <c r="D988" s="52" t="s">
        <v>113</v>
      </c>
      <c r="E988" s="54">
        <v>2</v>
      </c>
      <c r="F988" s="55">
        <v>0</v>
      </c>
      <c r="G988" s="55">
        <v>0.1</v>
      </c>
    </row>
    <row r="989" spans="1:7" ht="10.050000000000001" customHeight="1">
      <c r="A989" s="52" t="s">
        <v>421</v>
      </c>
      <c r="B989" s="52" t="s">
        <v>300</v>
      </c>
      <c r="C989" s="53">
        <v>2008</v>
      </c>
      <c r="D989" s="52" t="s">
        <v>113</v>
      </c>
      <c r="E989" s="54">
        <v>3</v>
      </c>
      <c r="F989" s="55">
        <v>0</v>
      </c>
      <c r="G989" s="55">
        <v>0.1</v>
      </c>
    </row>
    <row r="990" spans="1:7" ht="10.050000000000001" customHeight="1">
      <c r="A990" s="52" t="s">
        <v>421</v>
      </c>
      <c r="B990" s="52" t="s">
        <v>300</v>
      </c>
      <c r="C990" s="53">
        <v>2008</v>
      </c>
      <c r="D990" s="52" t="s">
        <v>113</v>
      </c>
      <c r="E990" s="54">
        <v>4</v>
      </c>
      <c r="F990" s="55">
        <v>0</v>
      </c>
      <c r="G990" s="55">
        <v>0.1</v>
      </c>
    </row>
    <row r="991" spans="1:7" ht="10.050000000000001" customHeight="1">
      <c r="A991" s="52" t="s">
        <v>421</v>
      </c>
      <c r="B991" s="52" t="s">
        <v>300</v>
      </c>
      <c r="C991" s="53">
        <v>2008</v>
      </c>
      <c r="D991" s="52" t="s">
        <v>113</v>
      </c>
      <c r="E991" s="54">
        <v>5</v>
      </c>
      <c r="F991" s="55">
        <v>0</v>
      </c>
      <c r="G991" s="55">
        <v>0.1</v>
      </c>
    </row>
    <row r="992" spans="1:7" ht="10.050000000000001" customHeight="1">
      <c r="A992" s="52" t="s">
        <v>421</v>
      </c>
      <c r="B992" s="52" t="s">
        <v>300</v>
      </c>
      <c r="C992" s="53">
        <v>2008</v>
      </c>
      <c r="D992" s="52" t="s">
        <v>113</v>
      </c>
      <c r="E992" s="54">
        <v>6</v>
      </c>
      <c r="F992" s="55">
        <v>0</v>
      </c>
      <c r="G992" s="55">
        <v>0.1</v>
      </c>
    </row>
    <row r="993" spans="1:7" ht="10.050000000000001" customHeight="1">
      <c r="A993" s="52" t="s">
        <v>421</v>
      </c>
      <c r="B993" s="52" t="s">
        <v>300</v>
      </c>
      <c r="C993" s="53">
        <v>2008</v>
      </c>
      <c r="D993" s="52" t="s">
        <v>107</v>
      </c>
      <c r="E993" s="54">
        <v>7</v>
      </c>
      <c r="F993" s="55">
        <v>0</v>
      </c>
      <c r="G993" s="55">
        <v>0.1</v>
      </c>
    </row>
    <row r="994" spans="1:7" ht="10.050000000000001" customHeight="1">
      <c r="A994" s="52" t="s">
        <v>421</v>
      </c>
      <c r="B994" s="52" t="s">
        <v>300</v>
      </c>
      <c r="C994" s="53">
        <v>2008</v>
      </c>
      <c r="D994" s="52" t="s">
        <v>107</v>
      </c>
      <c r="E994" s="54">
        <v>8</v>
      </c>
      <c r="F994" s="55">
        <v>0.7</v>
      </c>
      <c r="G994" s="55">
        <v>1.4</v>
      </c>
    </row>
    <row r="995" spans="1:7" ht="10.050000000000001" customHeight="1">
      <c r="A995" s="52" t="s">
        <v>421</v>
      </c>
      <c r="B995" s="52" t="s">
        <v>300</v>
      </c>
      <c r="C995" s="53">
        <v>2008</v>
      </c>
      <c r="D995" s="52" t="s">
        <v>107</v>
      </c>
      <c r="E995" s="54">
        <v>9</v>
      </c>
      <c r="F995" s="55">
        <v>0.7</v>
      </c>
      <c r="G995" s="55">
        <v>1</v>
      </c>
    </row>
    <row r="996" spans="1:7" ht="10.050000000000001" customHeight="1">
      <c r="A996" s="52" t="s">
        <v>421</v>
      </c>
      <c r="B996" s="52" t="s">
        <v>300</v>
      </c>
      <c r="C996" s="53">
        <v>2008</v>
      </c>
      <c r="D996" s="52" t="s">
        <v>107</v>
      </c>
      <c r="E996" s="54">
        <v>10</v>
      </c>
      <c r="F996" s="55">
        <v>0</v>
      </c>
      <c r="G996" s="55">
        <v>1</v>
      </c>
    </row>
    <row r="997" spans="1:7" ht="10.050000000000001" customHeight="1">
      <c r="A997" s="52" t="s">
        <v>421</v>
      </c>
      <c r="B997" s="52" t="s">
        <v>300</v>
      </c>
      <c r="C997" s="53">
        <v>2008</v>
      </c>
      <c r="D997" s="52" t="s">
        <v>107</v>
      </c>
      <c r="E997" s="54">
        <v>11</v>
      </c>
      <c r="F997" s="55">
        <v>0</v>
      </c>
      <c r="G997" s="55">
        <v>1</v>
      </c>
    </row>
    <row r="998" spans="1:7" ht="10.050000000000001" customHeight="1">
      <c r="A998" s="52" t="s">
        <v>421</v>
      </c>
      <c r="B998" s="52" t="s">
        <v>300</v>
      </c>
      <c r="C998" s="53">
        <v>2008</v>
      </c>
      <c r="D998" s="52" t="s">
        <v>107</v>
      </c>
      <c r="E998" s="54">
        <v>12</v>
      </c>
      <c r="F998" s="55">
        <v>1</v>
      </c>
      <c r="G998" s="55">
        <v>4</v>
      </c>
    </row>
    <row r="999" spans="1:7" ht="10.050000000000001" customHeight="1">
      <c r="A999" s="52" t="s">
        <v>421</v>
      </c>
      <c r="B999" s="52" t="s">
        <v>300</v>
      </c>
      <c r="C999" s="53">
        <v>2009</v>
      </c>
      <c r="D999" s="52" t="s">
        <v>107</v>
      </c>
      <c r="E999" s="54">
        <v>1</v>
      </c>
      <c r="F999" s="55">
        <v>0</v>
      </c>
      <c r="G999" s="55">
        <v>4</v>
      </c>
    </row>
    <row r="1000" spans="1:7" ht="10.050000000000001" customHeight="1">
      <c r="A1000" s="52" t="s">
        <v>421</v>
      </c>
      <c r="B1000" s="52" t="s">
        <v>300</v>
      </c>
      <c r="C1000" s="53">
        <v>2009</v>
      </c>
      <c r="D1000" s="52" t="s">
        <v>107</v>
      </c>
      <c r="E1000" s="54">
        <v>2</v>
      </c>
      <c r="F1000" s="55">
        <v>0</v>
      </c>
      <c r="G1000" s="55">
        <v>4</v>
      </c>
    </row>
    <row r="1001" spans="1:7" ht="10.050000000000001" customHeight="1">
      <c r="A1001" s="52" t="s">
        <v>421</v>
      </c>
      <c r="B1001" s="52" t="s">
        <v>300</v>
      </c>
      <c r="C1001" s="53">
        <v>2009</v>
      </c>
      <c r="D1001" s="52" t="s">
        <v>107</v>
      </c>
      <c r="E1001" s="54">
        <v>3</v>
      </c>
      <c r="F1001" s="55">
        <v>0</v>
      </c>
      <c r="G1001" s="55">
        <v>4</v>
      </c>
    </row>
    <row r="1002" spans="1:7" ht="10.050000000000001" customHeight="1">
      <c r="A1002" s="52" t="s">
        <v>421</v>
      </c>
      <c r="B1002" s="52" t="s">
        <v>300</v>
      </c>
      <c r="C1002" s="53">
        <v>2009</v>
      </c>
      <c r="D1002" s="52" t="s">
        <v>107</v>
      </c>
      <c r="E1002" s="54">
        <v>4</v>
      </c>
      <c r="F1002" s="55">
        <v>1.2</v>
      </c>
      <c r="G1002" s="55">
        <v>2.8</v>
      </c>
    </row>
    <row r="1003" spans="1:7" ht="10.050000000000001" customHeight="1">
      <c r="A1003" s="52" t="s">
        <v>421</v>
      </c>
      <c r="B1003" s="52" t="s">
        <v>300</v>
      </c>
      <c r="C1003" s="53">
        <v>2009</v>
      </c>
      <c r="D1003" s="52" t="s">
        <v>107</v>
      </c>
      <c r="E1003" s="54">
        <v>5</v>
      </c>
      <c r="F1003" s="55">
        <v>0</v>
      </c>
      <c r="G1003" s="55">
        <v>2.8</v>
      </c>
    </row>
    <row r="1004" spans="1:7" ht="10.050000000000001" customHeight="1">
      <c r="A1004" s="52" t="s">
        <v>421</v>
      </c>
      <c r="B1004" s="52" t="s">
        <v>300</v>
      </c>
      <c r="C1004" s="53">
        <v>2009</v>
      </c>
      <c r="D1004" s="52" t="s">
        <v>107</v>
      </c>
      <c r="E1004" s="54">
        <v>6</v>
      </c>
      <c r="F1004" s="55">
        <v>0</v>
      </c>
      <c r="G1004" s="55">
        <v>2.8</v>
      </c>
    </row>
    <row r="1005" spans="1:7" ht="10.050000000000001" customHeight="1">
      <c r="A1005" s="52" t="s">
        <v>421</v>
      </c>
      <c r="B1005" s="52" t="s">
        <v>300</v>
      </c>
      <c r="C1005" s="53">
        <v>2009</v>
      </c>
      <c r="D1005" s="52" t="s">
        <v>114</v>
      </c>
      <c r="E1005" s="54">
        <v>7</v>
      </c>
      <c r="F1005" s="55">
        <v>0</v>
      </c>
      <c r="G1005" s="55">
        <v>2.8</v>
      </c>
    </row>
    <row r="1006" spans="1:7" ht="10.050000000000001" customHeight="1">
      <c r="A1006" s="52" t="s">
        <v>421</v>
      </c>
      <c r="B1006" s="52" t="s">
        <v>300</v>
      </c>
      <c r="C1006" s="53">
        <v>2009</v>
      </c>
      <c r="D1006" s="52" t="s">
        <v>114</v>
      </c>
      <c r="E1006" s="54">
        <v>8</v>
      </c>
      <c r="F1006" s="55">
        <v>0</v>
      </c>
      <c r="G1006" s="55">
        <v>43.5</v>
      </c>
    </row>
    <row r="1007" spans="1:7" ht="10.050000000000001" customHeight="1">
      <c r="A1007" s="52" t="s">
        <v>421</v>
      </c>
      <c r="B1007" s="52" t="s">
        <v>300</v>
      </c>
      <c r="C1007" s="53">
        <v>2009</v>
      </c>
      <c r="D1007" s="52" t="s">
        <v>114</v>
      </c>
      <c r="E1007" s="54">
        <v>9</v>
      </c>
      <c r="F1007" s="55">
        <v>0</v>
      </c>
      <c r="G1007" s="55">
        <v>43.5</v>
      </c>
    </row>
    <row r="1008" spans="1:7" ht="10.050000000000001" customHeight="1">
      <c r="A1008" s="52" t="s">
        <v>421</v>
      </c>
      <c r="B1008" s="52" t="s">
        <v>300</v>
      </c>
      <c r="C1008" s="53">
        <v>2009</v>
      </c>
      <c r="D1008" s="52" t="s">
        <v>114</v>
      </c>
      <c r="E1008" s="54">
        <v>10</v>
      </c>
      <c r="F1008" s="55">
        <v>11.1</v>
      </c>
      <c r="G1008" s="55">
        <v>32.4</v>
      </c>
    </row>
    <row r="1009" spans="1:7" ht="10.050000000000001" customHeight="1">
      <c r="A1009" s="52" t="s">
        <v>421</v>
      </c>
      <c r="B1009" s="52" t="s">
        <v>300</v>
      </c>
      <c r="C1009" s="53">
        <v>2009</v>
      </c>
      <c r="D1009" s="52" t="s">
        <v>114</v>
      </c>
      <c r="E1009" s="54">
        <v>11</v>
      </c>
      <c r="F1009" s="55">
        <v>11.5</v>
      </c>
      <c r="G1009" s="55">
        <v>20.9</v>
      </c>
    </row>
    <row r="1010" spans="1:7" ht="10.050000000000001" customHeight="1">
      <c r="A1010" s="52" t="s">
        <v>421</v>
      </c>
      <c r="B1010" s="52" t="s">
        <v>300</v>
      </c>
      <c r="C1010" s="53">
        <v>2009</v>
      </c>
      <c r="D1010" s="52" t="s">
        <v>114</v>
      </c>
      <c r="E1010" s="54">
        <v>12</v>
      </c>
      <c r="F1010" s="55">
        <v>8.1</v>
      </c>
      <c r="G1010" s="55">
        <v>12.8</v>
      </c>
    </row>
    <row r="1011" spans="1:7" ht="10.050000000000001" customHeight="1">
      <c r="A1011" s="52" t="s">
        <v>421</v>
      </c>
      <c r="B1011" s="52" t="s">
        <v>300</v>
      </c>
      <c r="C1011" s="53">
        <v>2010</v>
      </c>
      <c r="D1011" s="52" t="s">
        <v>114</v>
      </c>
      <c r="E1011" s="54">
        <v>1</v>
      </c>
      <c r="F1011" s="55">
        <v>13.1</v>
      </c>
      <c r="G1011" s="55">
        <v>25.9</v>
      </c>
    </row>
    <row r="1012" spans="1:7" ht="10.050000000000001" customHeight="1">
      <c r="A1012" s="52" t="s">
        <v>421</v>
      </c>
      <c r="B1012" s="52" t="s">
        <v>300</v>
      </c>
      <c r="C1012" s="53">
        <v>2010</v>
      </c>
      <c r="D1012" s="52" t="s">
        <v>114</v>
      </c>
      <c r="E1012" s="54">
        <v>2</v>
      </c>
      <c r="F1012" s="55">
        <v>11.4</v>
      </c>
      <c r="G1012" s="55">
        <v>40.6</v>
      </c>
    </row>
    <row r="1013" spans="1:7" ht="10.050000000000001" customHeight="1">
      <c r="A1013" s="52" t="s">
        <v>421</v>
      </c>
      <c r="B1013" s="52" t="s">
        <v>300</v>
      </c>
      <c r="C1013" s="53">
        <v>2010</v>
      </c>
      <c r="D1013" s="52" t="s">
        <v>114</v>
      </c>
      <c r="E1013" s="54">
        <v>3</v>
      </c>
      <c r="F1013" s="55">
        <v>41.4</v>
      </c>
      <c r="G1013" s="55">
        <v>25.1</v>
      </c>
    </row>
    <row r="1014" spans="1:7" ht="10.050000000000001" customHeight="1">
      <c r="A1014" s="52" t="s">
        <v>421</v>
      </c>
      <c r="B1014" s="52" t="s">
        <v>300</v>
      </c>
      <c r="C1014" s="53">
        <v>2010</v>
      </c>
      <c r="D1014" s="52" t="s">
        <v>114</v>
      </c>
      <c r="E1014" s="54">
        <v>4</v>
      </c>
      <c r="F1014" s="55">
        <v>33.700000000000003</v>
      </c>
      <c r="G1014" s="55">
        <v>14.7</v>
      </c>
    </row>
    <row r="1015" spans="1:7" ht="10.050000000000001" customHeight="1">
      <c r="A1015" s="52" t="s">
        <v>421</v>
      </c>
      <c r="B1015" s="52" t="s">
        <v>300</v>
      </c>
      <c r="C1015" s="53">
        <v>2010</v>
      </c>
      <c r="D1015" s="52" t="s">
        <v>114</v>
      </c>
      <c r="E1015" s="54">
        <v>5</v>
      </c>
      <c r="F1015" s="55">
        <v>17.899999999999999</v>
      </c>
      <c r="G1015" s="55">
        <v>13.6</v>
      </c>
    </row>
    <row r="1016" spans="1:7" ht="10.050000000000001" customHeight="1">
      <c r="A1016" s="52" t="s">
        <v>421</v>
      </c>
      <c r="B1016" s="52" t="s">
        <v>300</v>
      </c>
      <c r="C1016" s="53">
        <v>2010</v>
      </c>
      <c r="D1016" s="52" t="s">
        <v>114</v>
      </c>
      <c r="E1016" s="54">
        <v>6</v>
      </c>
      <c r="F1016" s="55">
        <v>16</v>
      </c>
      <c r="G1016" s="55">
        <v>22.9</v>
      </c>
    </row>
    <row r="1017" spans="1:7" ht="10.050000000000001" customHeight="1">
      <c r="A1017" s="52" t="s">
        <v>421</v>
      </c>
      <c r="B1017" s="52" t="s">
        <v>300</v>
      </c>
      <c r="C1017" s="53">
        <v>2010</v>
      </c>
      <c r="D1017" s="52" t="s">
        <v>115</v>
      </c>
      <c r="E1017" s="54">
        <v>7</v>
      </c>
      <c r="F1017" s="55">
        <v>20</v>
      </c>
      <c r="G1017" s="55">
        <v>44.3</v>
      </c>
    </row>
    <row r="1018" spans="1:7" ht="10.050000000000001" customHeight="1">
      <c r="A1018" s="52" t="s">
        <v>421</v>
      </c>
      <c r="B1018" s="52" t="s">
        <v>300</v>
      </c>
      <c r="C1018" s="53">
        <v>2010</v>
      </c>
      <c r="D1018" s="52" t="s">
        <v>115</v>
      </c>
      <c r="E1018" s="54">
        <v>8</v>
      </c>
      <c r="F1018" s="55">
        <v>23.1</v>
      </c>
      <c r="G1018" s="55">
        <v>61.2</v>
      </c>
    </row>
    <row r="1019" spans="1:7" ht="10.050000000000001" customHeight="1">
      <c r="A1019" s="52" t="s">
        <v>421</v>
      </c>
      <c r="B1019" s="52" t="s">
        <v>300</v>
      </c>
      <c r="C1019" s="53">
        <v>2010</v>
      </c>
      <c r="D1019" s="52" t="s">
        <v>115</v>
      </c>
      <c r="E1019" s="54">
        <v>9</v>
      </c>
      <c r="F1019" s="55">
        <v>23.4</v>
      </c>
      <c r="G1019" s="55">
        <v>37.799999999999997</v>
      </c>
    </row>
    <row r="1020" spans="1:7" ht="10.050000000000001" customHeight="1">
      <c r="A1020" s="52" t="s">
        <v>421</v>
      </c>
      <c r="B1020" s="52" t="s">
        <v>300</v>
      </c>
      <c r="C1020" s="53">
        <v>2010</v>
      </c>
      <c r="D1020" s="52" t="s">
        <v>115</v>
      </c>
      <c r="E1020" s="54">
        <v>10</v>
      </c>
      <c r="F1020" s="55">
        <v>15.1</v>
      </c>
      <c r="G1020" s="55">
        <v>69.8</v>
      </c>
    </row>
    <row r="1021" spans="1:7" ht="10.050000000000001" customHeight="1">
      <c r="A1021" s="52" t="s">
        <v>421</v>
      </c>
      <c r="B1021" s="52" t="s">
        <v>300</v>
      </c>
      <c r="C1021" s="53">
        <v>2010</v>
      </c>
      <c r="D1021" s="52" t="s">
        <v>115</v>
      </c>
      <c r="E1021" s="54">
        <v>11</v>
      </c>
      <c r="F1021" s="55">
        <v>12.4</v>
      </c>
      <c r="G1021" s="55">
        <v>153.5</v>
      </c>
    </row>
    <row r="1022" spans="1:7" ht="10.050000000000001" customHeight="1">
      <c r="A1022" s="52" t="s">
        <v>421</v>
      </c>
      <c r="B1022" s="52" t="s">
        <v>300</v>
      </c>
      <c r="C1022" s="53">
        <v>2010</v>
      </c>
      <c r="D1022" s="52" t="s">
        <v>115</v>
      </c>
      <c r="E1022" s="54">
        <v>12</v>
      </c>
      <c r="F1022" s="55">
        <v>13.2</v>
      </c>
      <c r="G1022" s="55">
        <v>140.30000000000001</v>
      </c>
    </row>
    <row r="1023" spans="1:7" ht="10.050000000000001" customHeight="1">
      <c r="A1023" s="52" t="s">
        <v>421</v>
      </c>
      <c r="B1023" s="52" t="s">
        <v>300</v>
      </c>
      <c r="C1023" s="53">
        <v>2011</v>
      </c>
      <c r="D1023" s="52" t="s">
        <v>115</v>
      </c>
      <c r="E1023" s="54">
        <v>1</v>
      </c>
      <c r="F1023" s="55">
        <v>13.222</v>
      </c>
      <c r="G1023" s="55">
        <v>136.82</v>
      </c>
    </row>
    <row r="1024" spans="1:7" ht="10.050000000000001" customHeight="1">
      <c r="A1024" s="52" t="s">
        <v>421</v>
      </c>
      <c r="B1024" s="52" t="s">
        <v>300</v>
      </c>
      <c r="C1024" s="53">
        <v>2011</v>
      </c>
      <c r="D1024" s="52" t="s">
        <v>115</v>
      </c>
      <c r="E1024" s="54">
        <v>2</v>
      </c>
      <c r="F1024" s="55">
        <v>16.600000000000001</v>
      </c>
      <c r="G1024" s="55">
        <v>125.82</v>
      </c>
    </row>
    <row r="1025" spans="1:7" ht="10.050000000000001" customHeight="1">
      <c r="A1025" s="52" t="s">
        <v>421</v>
      </c>
      <c r="B1025" s="52" t="s">
        <v>300</v>
      </c>
      <c r="C1025" s="53">
        <v>2011</v>
      </c>
      <c r="D1025" s="52" t="s">
        <v>115</v>
      </c>
      <c r="E1025" s="54">
        <v>3</v>
      </c>
      <c r="F1025" s="55">
        <v>14.2</v>
      </c>
      <c r="G1025" s="55">
        <v>127.94</v>
      </c>
    </row>
    <row r="1026" spans="1:7" ht="10.050000000000001" customHeight="1">
      <c r="A1026" s="52" t="s">
        <v>421</v>
      </c>
      <c r="B1026" s="52" t="s">
        <v>300</v>
      </c>
      <c r="C1026" s="53">
        <v>2011</v>
      </c>
      <c r="D1026" s="52" t="s">
        <v>115</v>
      </c>
      <c r="E1026" s="54">
        <v>4</v>
      </c>
      <c r="F1026" s="55">
        <v>40.700000000000003</v>
      </c>
      <c r="G1026" s="55">
        <v>93.14</v>
      </c>
    </row>
    <row r="1027" spans="1:7" ht="10.050000000000001" customHeight="1">
      <c r="A1027" s="52" t="s">
        <v>421</v>
      </c>
      <c r="B1027" s="52" t="s">
        <v>300</v>
      </c>
      <c r="C1027" s="53">
        <v>2011</v>
      </c>
      <c r="D1027" s="52" t="s">
        <v>115</v>
      </c>
      <c r="E1027" s="54">
        <v>5</v>
      </c>
      <c r="F1027" s="55">
        <v>32.01</v>
      </c>
      <c r="G1027" s="55">
        <v>103.19</v>
      </c>
    </row>
    <row r="1028" spans="1:7" ht="10.050000000000001" customHeight="1">
      <c r="A1028" s="52" t="s">
        <v>421</v>
      </c>
      <c r="B1028" s="52" t="s">
        <v>300</v>
      </c>
      <c r="C1028" s="53">
        <v>2011</v>
      </c>
      <c r="D1028" s="52" t="s">
        <v>115</v>
      </c>
      <c r="E1028" s="54">
        <v>6</v>
      </c>
      <c r="F1028" s="55">
        <v>73.350999999999999</v>
      </c>
      <c r="G1028" s="55">
        <v>29.838999999999999</v>
      </c>
    </row>
    <row r="1029" spans="1:7" ht="10.050000000000001" customHeight="1">
      <c r="A1029" s="52" t="s">
        <v>421</v>
      </c>
      <c r="B1029" s="52" t="s">
        <v>300</v>
      </c>
      <c r="C1029" s="53">
        <v>2011</v>
      </c>
      <c r="D1029" s="52" t="s">
        <v>116</v>
      </c>
      <c r="E1029" s="54">
        <v>7</v>
      </c>
      <c r="F1029" s="55">
        <v>17.059000000000001</v>
      </c>
      <c r="G1029" s="55">
        <v>49.78</v>
      </c>
    </row>
    <row r="1030" spans="1:7" ht="10.050000000000001" customHeight="1">
      <c r="A1030" s="52" t="s">
        <v>421</v>
      </c>
      <c r="B1030" s="52" t="s">
        <v>300</v>
      </c>
      <c r="C1030" s="53">
        <v>2011</v>
      </c>
      <c r="D1030" s="52" t="s">
        <v>116</v>
      </c>
      <c r="E1030" s="54">
        <v>8</v>
      </c>
      <c r="F1030" s="55">
        <v>1.6</v>
      </c>
      <c r="G1030" s="55">
        <v>48.18</v>
      </c>
    </row>
    <row r="1031" spans="1:7" ht="10.050000000000001" customHeight="1">
      <c r="A1031" s="52" t="s">
        <v>421</v>
      </c>
      <c r="B1031" s="52" t="s">
        <v>300</v>
      </c>
      <c r="C1031" s="53">
        <v>2011</v>
      </c>
      <c r="D1031" s="52" t="s">
        <v>116</v>
      </c>
      <c r="E1031" s="54">
        <v>9</v>
      </c>
      <c r="F1031" s="55">
        <v>7.8780000000000001</v>
      </c>
      <c r="G1031" s="55">
        <v>40.302</v>
      </c>
    </row>
    <row r="1032" spans="1:7" ht="10.050000000000001" customHeight="1">
      <c r="A1032" s="52" t="s">
        <v>421</v>
      </c>
      <c r="B1032" s="52" t="s">
        <v>300</v>
      </c>
      <c r="C1032" s="53">
        <v>2011</v>
      </c>
      <c r="D1032" s="52" t="s">
        <v>116</v>
      </c>
      <c r="E1032" s="54">
        <v>10</v>
      </c>
      <c r="F1032" s="55">
        <v>7.04</v>
      </c>
      <c r="G1032" s="55">
        <v>33.262</v>
      </c>
    </row>
    <row r="1033" spans="1:7" ht="10.050000000000001" customHeight="1">
      <c r="A1033" s="52" t="s">
        <v>421</v>
      </c>
      <c r="B1033" s="52" t="s">
        <v>300</v>
      </c>
      <c r="C1033" s="53">
        <v>2011</v>
      </c>
      <c r="D1033" s="52" t="s">
        <v>116</v>
      </c>
      <c r="E1033" s="54">
        <v>11</v>
      </c>
      <c r="F1033" s="55">
        <v>11.792</v>
      </c>
      <c r="G1033" s="55">
        <v>21.47</v>
      </c>
    </row>
    <row r="1034" spans="1:7" ht="10.050000000000001" customHeight="1">
      <c r="A1034" s="52" t="s">
        <v>421</v>
      </c>
      <c r="B1034" s="52" t="s">
        <v>300</v>
      </c>
      <c r="C1034" s="53">
        <v>2011</v>
      </c>
      <c r="D1034" s="52" t="s">
        <v>116</v>
      </c>
      <c r="E1034" s="54">
        <v>12</v>
      </c>
      <c r="F1034" s="55">
        <v>11.26</v>
      </c>
      <c r="G1034" s="55">
        <v>10.210000000000001</v>
      </c>
    </row>
    <row r="1035" spans="1:7" ht="10.050000000000001" customHeight="1">
      <c r="A1035" s="52" t="s">
        <v>421</v>
      </c>
      <c r="B1035" s="52" t="s">
        <v>300</v>
      </c>
      <c r="C1035" s="53">
        <v>2012</v>
      </c>
      <c r="D1035" s="52" t="s">
        <v>116</v>
      </c>
      <c r="E1035" s="54">
        <v>1</v>
      </c>
      <c r="F1035" s="55">
        <v>13.75</v>
      </c>
      <c r="G1035" s="55">
        <v>14.16</v>
      </c>
    </row>
    <row r="1036" spans="1:7" ht="10.050000000000001" customHeight="1">
      <c r="A1036" s="52" t="s">
        <v>421</v>
      </c>
      <c r="B1036" s="52" t="s">
        <v>300</v>
      </c>
      <c r="C1036" s="53">
        <v>2012</v>
      </c>
      <c r="D1036" s="52" t="s">
        <v>116</v>
      </c>
      <c r="E1036" s="54">
        <v>2</v>
      </c>
      <c r="F1036" s="55">
        <v>0.54</v>
      </c>
      <c r="G1036" s="55">
        <v>13.62</v>
      </c>
    </row>
    <row r="1037" spans="1:7" ht="10.050000000000001" customHeight="1">
      <c r="A1037" s="52" t="s">
        <v>421</v>
      </c>
      <c r="B1037" s="52" t="s">
        <v>300</v>
      </c>
      <c r="C1037" s="53">
        <v>2012</v>
      </c>
      <c r="D1037" s="52" t="s">
        <v>116</v>
      </c>
      <c r="E1037" s="54">
        <v>3</v>
      </c>
      <c r="F1037" s="55">
        <v>0.42</v>
      </c>
      <c r="G1037" s="55">
        <v>13.2</v>
      </c>
    </row>
    <row r="1038" spans="1:7" ht="10.050000000000001" customHeight="1">
      <c r="A1038" s="52" t="s">
        <v>421</v>
      </c>
      <c r="B1038" s="52" t="s">
        <v>300</v>
      </c>
      <c r="C1038" s="53">
        <v>2012</v>
      </c>
      <c r="D1038" s="52" t="s">
        <v>116</v>
      </c>
      <c r="E1038" s="54">
        <v>4</v>
      </c>
      <c r="F1038" s="55">
        <v>0.31</v>
      </c>
      <c r="G1038" s="55">
        <v>12.89</v>
      </c>
    </row>
    <row r="1039" spans="1:7" ht="10.050000000000001" customHeight="1">
      <c r="A1039" s="52" t="s">
        <v>421</v>
      </c>
      <c r="B1039" s="52" t="s">
        <v>300</v>
      </c>
      <c r="C1039" s="53">
        <v>2012</v>
      </c>
      <c r="D1039" s="52" t="s">
        <v>116</v>
      </c>
      <c r="E1039" s="54">
        <v>5</v>
      </c>
      <c r="F1039" s="55">
        <v>0.42</v>
      </c>
      <c r="G1039" s="55">
        <v>12.47</v>
      </c>
    </row>
    <row r="1040" spans="1:7" ht="10.050000000000001" customHeight="1">
      <c r="A1040" s="52" t="s">
        <v>421</v>
      </c>
      <c r="B1040" s="52" t="s">
        <v>300</v>
      </c>
      <c r="C1040" s="53">
        <v>2012</v>
      </c>
      <c r="D1040" s="52" t="s">
        <v>116</v>
      </c>
      <c r="E1040" s="54">
        <v>6</v>
      </c>
      <c r="F1040" s="55">
        <v>0</v>
      </c>
      <c r="G1040" s="55">
        <v>23.47</v>
      </c>
    </row>
    <row r="1041" spans="1:7" ht="10.050000000000001" customHeight="1">
      <c r="A1041" s="52" t="s">
        <v>421</v>
      </c>
      <c r="B1041" s="52" t="s">
        <v>300</v>
      </c>
      <c r="C1041" s="53">
        <v>2012</v>
      </c>
      <c r="D1041" s="52" t="s">
        <v>117</v>
      </c>
      <c r="E1041" s="54">
        <v>7</v>
      </c>
      <c r="F1041" s="55">
        <v>2.5</v>
      </c>
      <c r="G1041" s="55">
        <v>20.97</v>
      </c>
    </row>
    <row r="1042" spans="1:7" ht="10.050000000000001" customHeight="1">
      <c r="A1042" s="52" t="s">
        <v>421</v>
      </c>
      <c r="B1042" s="52" t="s">
        <v>300</v>
      </c>
      <c r="C1042" s="53">
        <v>2012</v>
      </c>
      <c r="D1042" s="52" t="s">
        <v>117</v>
      </c>
      <c r="E1042" s="54">
        <v>8</v>
      </c>
      <c r="F1042" s="55">
        <v>2.2999999999999998</v>
      </c>
      <c r="G1042" s="55">
        <v>23.57</v>
      </c>
    </row>
    <row r="1043" spans="1:7" ht="10.050000000000001" customHeight="1">
      <c r="A1043" s="52" t="s">
        <v>421</v>
      </c>
      <c r="B1043" s="52" t="s">
        <v>300</v>
      </c>
      <c r="C1043" s="53">
        <v>2012</v>
      </c>
      <c r="D1043" s="52" t="s">
        <v>117</v>
      </c>
      <c r="E1043" s="54">
        <v>9</v>
      </c>
      <c r="F1043" s="55">
        <v>4.8</v>
      </c>
      <c r="G1043" s="55">
        <v>18.77</v>
      </c>
    </row>
    <row r="1044" spans="1:7" ht="10.050000000000001" customHeight="1">
      <c r="A1044" s="52" t="s">
        <v>421</v>
      </c>
      <c r="B1044" s="52" t="s">
        <v>300</v>
      </c>
      <c r="C1044" s="53">
        <v>2012</v>
      </c>
      <c r="D1044" s="52" t="s">
        <v>117</v>
      </c>
      <c r="E1044" s="54">
        <v>10</v>
      </c>
      <c r="F1044" s="55">
        <v>2.5099999999999998</v>
      </c>
      <c r="G1044" s="55">
        <v>16.260000000000002</v>
      </c>
    </row>
    <row r="1045" spans="1:7" ht="10.050000000000001" customHeight="1">
      <c r="A1045" s="52" t="s">
        <v>421</v>
      </c>
      <c r="B1045" s="52" t="s">
        <v>300</v>
      </c>
      <c r="C1045" s="53">
        <v>2012</v>
      </c>
      <c r="D1045" s="52" t="s">
        <v>117</v>
      </c>
      <c r="E1045" s="54">
        <v>11</v>
      </c>
      <c r="F1045" s="55">
        <v>2.71</v>
      </c>
      <c r="G1045" s="55">
        <v>17.07</v>
      </c>
    </row>
    <row r="1046" spans="1:7" ht="10.050000000000001" customHeight="1">
      <c r="A1046" s="52" t="s">
        <v>421</v>
      </c>
      <c r="B1046" s="52" t="s">
        <v>300</v>
      </c>
      <c r="C1046" s="53">
        <v>2012</v>
      </c>
      <c r="D1046" s="52" t="s">
        <v>117</v>
      </c>
      <c r="E1046" s="54">
        <v>12</v>
      </c>
      <c r="F1046" s="55">
        <v>1.8</v>
      </c>
      <c r="G1046" s="55">
        <v>15.27</v>
      </c>
    </row>
    <row r="1047" spans="1:7" ht="10.050000000000001" customHeight="1">
      <c r="A1047" s="52" t="s">
        <v>421</v>
      </c>
      <c r="B1047" s="52" t="s">
        <v>300</v>
      </c>
      <c r="C1047" s="53">
        <v>2013</v>
      </c>
      <c r="D1047" s="52" t="s">
        <v>117</v>
      </c>
      <c r="E1047" s="54">
        <v>1</v>
      </c>
      <c r="F1047" s="55">
        <v>4.1100000000000003</v>
      </c>
      <c r="G1047" s="55">
        <v>11.16</v>
      </c>
    </row>
    <row r="1048" spans="1:7" ht="10.050000000000001" customHeight="1">
      <c r="A1048" s="52" t="s">
        <v>421</v>
      </c>
      <c r="B1048" s="52" t="s">
        <v>300</v>
      </c>
      <c r="C1048" s="53">
        <v>2013</v>
      </c>
      <c r="D1048" s="52" t="s">
        <v>117</v>
      </c>
      <c r="E1048" s="54">
        <v>2</v>
      </c>
      <c r="F1048" s="55">
        <v>3.02</v>
      </c>
      <c r="G1048" s="55">
        <v>8.14</v>
      </c>
    </row>
    <row r="1049" spans="1:7" ht="10.050000000000001" customHeight="1">
      <c r="A1049" s="52" t="s">
        <v>421</v>
      </c>
      <c r="B1049" s="52" t="s">
        <v>300</v>
      </c>
      <c r="C1049" s="53">
        <v>2013</v>
      </c>
      <c r="D1049" s="52" t="s">
        <v>117</v>
      </c>
      <c r="E1049" s="54">
        <v>3</v>
      </c>
      <c r="F1049" s="55">
        <v>3.7639999999999998</v>
      </c>
      <c r="G1049" s="55">
        <v>19.475999999999999</v>
      </c>
    </row>
    <row r="1050" spans="1:7" ht="10.050000000000001" customHeight="1">
      <c r="A1050" s="52" t="s">
        <v>421</v>
      </c>
      <c r="B1050" s="52" t="s">
        <v>300</v>
      </c>
      <c r="C1050" s="53">
        <v>2013</v>
      </c>
      <c r="D1050" s="52" t="s">
        <v>117</v>
      </c>
      <c r="E1050" s="54">
        <v>4</v>
      </c>
      <c r="F1050" s="55">
        <v>3.9</v>
      </c>
      <c r="G1050" s="55">
        <v>15.576000000000001</v>
      </c>
    </row>
    <row r="1051" spans="1:7" ht="10.050000000000001" customHeight="1">
      <c r="A1051" s="52" t="s">
        <v>421</v>
      </c>
      <c r="B1051" s="52" t="s">
        <v>300</v>
      </c>
      <c r="C1051" s="53">
        <v>2013</v>
      </c>
      <c r="D1051" s="52" t="s">
        <v>117</v>
      </c>
      <c r="E1051" s="54">
        <v>5</v>
      </c>
      <c r="F1051" s="55">
        <v>2.2000000000000002</v>
      </c>
      <c r="G1051" s="55">
        <v>13.375999999999999</v>
      </c>
    </row>
    <row r="1052" spans="1:7" ht="10.050000000000001" customHeight="1">
      <c r="A1052" s="52" t="s">
        <v>421</v>
      </c>
      <c r="B1052" s="52" t="s">
        <v>300</v>
      </c>
      <c r="C1052" s="53">
        <v>2013</v>
      </c>
      <c r="D1052" s="52" t="s">
        <v>117</v>
      </c>
      <c r="E1052" s="54">
        <v>6</v>
      </c>
      <c r="F1052" s="55">
        <v>0</v>
      </c>
      <c r="G1052" s="55">
        <v>13.375999999999999</v>
      </c>
    </row>
    <row r="1053" spans="1:7" ht="10.050000000000001" customHeight="1">
      <c r="A1053" s="52" t="s">
        <v>421</v>
      </c>
      <c r="B1053" s="52" t="s">
        <v>300</v>
      </c>
      <c r="C1053" s="53">
        <v>2013</v>
      </c>
      <c r="D1053" s="52" t="s">
        <v>118</v>
      </c>
      <c r="E1053" s="54">
        <v>7</v>
      </c>
      <c r="F1053" s="55">
        <v>0</v>
      </c>
      <c r="G1053" s="55">
        <v>13.375999999999999</v>
      </c>
    </row>
    <row r="1054" spans="1:7" ht="10.050000000000001" customHeight="1">
      <c r="A1054" s="52" t="s">
        <v>421</v>
      </c>
      <c r="B1054" s="52" t="s">
        <v>300</v>
      </c>
      <c r="C1054" s="53">
        <v>2013</v>
      </c>
      <c r="D1054" s="52" t="s">
        <v>118</v>
      </c>
      <c r="E1054" s="54">
        <v>8</v>
      </c>
      <c r="F1054" s="55">
        <v>0</v>
      </c>
      <c r="G1054" s="55">
        <v>25.276</v>
      </c>
    </row>
    <row r="1055" spans="1:7" ht="10.050000000000001" customHeight="1">
      <c r="A1055" s="52" t="s">
        <v>421</v>
      </c>
      <c r="B1055" s="52" t="s">
        <v>300</v>
      </c>
      <c r="C1055" s="53">
        <v>2013</v>
      </c>
      <c r="D1055" s="52" t="s">
        <v>118</v>
      </c>
      <c r="E1055" s="54">
        <v>9</v>
      </c>
      <c r="F1055" s="55">
        <v>0</v>
      </c>
      <c r="G1055" s="55">
        <v>25.276</v>
      </c>
    </row>
    <row r="1056" spans="1:7" ht="10.050000000000001" customHeight="1">
      <c r="A1056" s="52" t="s">
        <v>421</v>
      </c>
      <c r="B1056" s="52" t="s">
        <v>300</v>
      </c>
      <c r="C1056" s="53">
        <v>2013</v>
      </c>
      <c r="D1056" s="52" t="s">
        <v>118</v>
      </c>
      <c r="E1056" s="54">
        <v>10</v>
      </c>
      <c r="F1056" s="55">
        <v>0</v>
      </c>
      <c r="G1056" s="55">
        <v>25.276</v>
      </c>
    </row>
    <row r="1057" spans="1:7" ht="10.050000000000001" customHeight="1">
      <c r="A1057" s="52" t="s">
        <v>421</v>
      </c>
      <c r="B1057" s="52" t="s">
        <v>300</v>
      </c>
      <c r="C1057" s="53">
        <v>2013</v>
      </c>
      <c r="D1057" s="52" t="s">
        <v>118</v>
      </c>
      <c r="E1057" s="54">
        <v>11</v>
      </c>
      <c r="F1057" s="55">
        <v>0</v>
      </c>
      <c r="G1057" s="55">
        <v>25.276</v>
      </c>
    </row>
    <row r="1058" spans="1:7" ht="10.050000000000001" customHeight="1">
      <c r="A1058" s="52" t="s">
        <v>421</v>
      </c>
      <c r="B1058" s="52" t="s">
        <v>300</v>
      </c>
      <c r="C1058" s="53">
        <v>2013</v>
      </c>
      <c r="D1058" s="52" t="s">
        <v>118</v>
      </c>
      <c r="E1058" s="54">
        <v>12</v>
      </c>
      <c r="F1058" s="55">
        <v>0</v>
      </c>
      <c r="G1058" s="55">
        <v>25.276</v>
      </c>
    </row>
    <row r="1059" spans="1:7" ht="10.050000000000001" customHeight="1">
      <c r="A1059" s="52" t="s">
        <v>421</v>
      </c>
      <c r="B1059" s="52" t="s">
        <v>300</v>
      </c>
      <c r="C1059" s="53">
        <v>2014</v>
      </c>
      <c r="D1059" s="52" t="s">
        <v>118</v>
      </c>
      <c r="E1059" s="54">
        <v>1</v>
      </c>
      <c r="F1059" s="55">
        <v>0</v>
      </c>
      <c r="G1059" s="55">
        <v>25.276</v>
      </c>
    </row>
    <row r="1060" spans="1:7" ht="10.050000000000001" customHeight="1">
      <c r="A1060" s="52" t="s">
        <v>421</v>
      </c>
      <c r="B1060" s="52" t="s">
        <v>300</v>
      </c>
      <c r="C1060" s="53">
        <v>2014</v>
      </c>
      <c r="D1060" s="52" t="s">
        <v>118</v>
      </c>
      <c r="E1060" s="54">
        <v>2</v>
      </c>
      <c r="F1060" s="55">
        <v>0.47599999999999998</v>
      </c>
      <c r="G1060" s="55">
        <v>24.8</v>
      </c>
    </row>
    <row r="1061" spans="1:7" ht="10.050000000000001" customHeight="1">
      <c r="A1061" s="52" t="s">
        <v>421</v>
      </c>
      <c r="B1061" s="52" t="s">
        <v>300</v>
      </c>
      <c r="C1061" s="53">
        <v>2014</v>
      </c>
      <c r="D1061" s="52" t="s">
        <v>118</v>
      </c>
      <c r="E1061" s="54">
        <v>3</v>
      </c>
      <c r="F1061" s="55">
        <v>0.5</v>
      </c>
      <c r="G1061" s="55">
        <v>24.3</v>
      </c>
    </row>
    <row r="1062" spans="1:7" ht="10.050000000000001" customHeight="1">
      <c r="A1062" s="52" t="s">
        <v>421</v>
      </c>
      <c r="B1062" s="52" t="s">
        <v>300</v>
      </c>
      <c r="C1062" s="53">
        <v>2014</v>
      </c>
      <c r="D1062" s="52" t="s">
        <v>118</v>
      </c>
      <c r="E1062" s="54">
        <v>4</v>
      </c>
      <c r="F1062" s="55">
        <v>1.8</v>
      </c>
      <c r="G1062" s="55">
        <v>22.5</v>
      </c>
    </row>
    <row r="1063" spans="1:7" ht="10.050000000000001" customHeight="1">
      <c r="A1063" s="52" t="s">
        <v>421</v>
      </c>
      <c r="B1063" s="52" t="s">
        <v>300</v>
      </c>
      <c r="C1063" s="53">
        <v>2014</v>
      </c>
      <c r="D1063" s="52" t="s">
        <v>118</v>
      </c>
      <c r="E1063" s="54">
        <v>5</v>
      </c>
      <c r="F1063" s="55">
        <v>4.0999999999999996</v>
      </c>
      <c r="G1063" s="55">
        <v>40.5</v>
      </c>
    </row>
    <row r="1064" spans="1:7" ht="10.050000000000001" customHeight="1">
      <c r="A1064" s="52" t="s">
        <v>421</v>
      </c>
      <c r="B1064" s="52" t="s">
        <v>300</v>
      </c>
      <c r="C1064" s="53">
        <v>2014</v>
      </c>
      <c r="D1064" s="52" t="s">
        <v>118</v>
      </c>
      <c r="E1064" s="54">
        <v>6</v>
      </c>
      <c r="F1064" s="55">
        <v>7.5</v>
      </c>
      <c r="G1064" s="55">
        <v>33</v>
      </c>
    </row>
    <row r="1065" spans="1:7" ht="10.050000000000001" customHeight="1">
      <c r="A1065" s="52" t="s">
        <v>421</v>
      </c>
      <c r="B1065" s="52" t="s">
        <v>300</v>
      </c>
      <c r="C1065" s="53">
        <v>2014</v>
      </c>
      <c r="D1065" s="52" t="s">
        <v>119</v>
      </c>
      <c r="E1065" s="54">
        <v>7</v>
      </c>
      <c r="F1065" s="55">
        <v>0</v>
      </c>
      <c r="G1065" s="55">
        <v>33</v>
      </c>
    </row>
    <row r="1066" spans="1:7" ht="10.050000000000001" customHeight="1">
      <c r="A1066" s="52" t="s">
        <v>421</v>
      </c>
      <c r="B1066" s="52" t="s">
        <v>300</v>
      </c>
      <c r="C1066" s="53">
        <v>2014</v>
      </c>
      <c r="D1066" s="52" t="s">
        <v>119</v>
      </c>
      <c r="E1066" s="54">
        <v>8</v>
      </c>
      <c r="F1066" s="55">
        <v>10.119999999999999</v>
      </c>
      <c r="G1066" s="55">
        <v>23.7</v>
      </c>
    </row>
    <row r="1067" spans="1:7" ht="10.050000000000001" customHeight="1">
      <c r="A1067" s="52" t="s">
        <v>421</v>
      </c>
      <c r="B1067" s="52" t="s">
        <v>300</v>
      </c>
      <c r="C1067" s="53">
        <v>2014</v>
      </c>
      <c r="D1067" s="52" t="s">
        <v>119</v>
      </c>
      <c r="E1067" s="54">
        <v>9</v>
      </c>
      <c r="F1067" s="55">
        <v>4.2439999999999998</v>
      </c>
      <c r="G1067" s="55">
        <v>34.369999999999997</v>
      </c>
    </row>
    <row r="1068" spans="1:7" ht="10.050000000000001" customHeight="1">
      <c r="A1068" s="52" t="s">
        <v>421</v>
      </c>
      <c r="B1068" s="52" t="s">
        <v>300</v>
      </c>
      <c r="C1068" s="53">
        <v>2014</v>
      </c>
      <c r="D1068" s="52" t="s">
        <v>119</v>
      </c>
      <c r="E1068" s="54">
        <v>10</v>
      </c>
      <c r="F1068" s="55">
        <v>0.2</v>
      </c>
      <c r="G1068" s="55">
        <v>34.369999999999997</v>
      </c>
    </row>
    <row r="1069" spans="1:7" ht="10.050000000000001" customHeight="1">
      <c r="A1069" s="52" t="s">
        <v>421</v>
      </c>
      <c r="B1069" s="52" t="s">
        <v>300</v>
      </c>
      <c r="C1069" s="53">
        <v>2014</v>
      </c>
      <c r="D1069" s="52" t="s">
        <v>119</v>
      </c>
      <c r="E1069" s="54">
        <v>11</v>
      </c>
      <c r="F1069" s="55">
        <v>0</v>
      </c>
      <c r="G1069" s="55">
        <v>34.369999999999997</v>
      </c>
    </row>
    <row r="1070" spans="1:7" ht="10.050000000000001" customHeight="1">
      <c r="A1070" s="52" t="s">
        <v>421</v>
      </c>
      <c r="B1070" s="52" t="s">
        <v>300</v>
      </c>
      <c r="C1070" s="53">
        <v>2014</v>
      </c>
      <c r="D1070" s="52" t="s">
        <v>119</v>
      </c>
      <c r="E1070" s="54">
        <v>12</v>
      </c>
      <c r="F1070" s="55">
        <v>0</v>
      </c>
      <c r="G1070" s="55">
        <v>34.369999999999997</v>
      </c>
    </row>
    <row r="1071" spans="1:7" ht="10.050000000000001" customHeight="1">
      <c r="A1071" s="52" t="s">
        <v>421</v>
      </c>
      <c r="B1071" s="52" t="s">
        <v>300</v>
      </c>
      <c r="C1071" s="53">
        <v>2015</v>
      </c>
      <c r="D1071" s="52" t="s">
        <v>119</v>
      </c>
      <c r="E1071" s="54">
        <v>1</v>
      </c>
      <c r="F1071" s="55">
        <v>6.7</v>
      </c>
      <c r="G1071" s="55">
        <v>34.369999999999997</v>
      </c>
    </row>
    <row r="1072" spans="1:7" ht="10.050000000000001" customHeight="1">
      <c r="A1072" s="52" t="s">
        <v>421</v>
      </c>
      <c r="B1072" s="52" t="s">
        <v>300</v>
      </c>
      <c r="C1072" s="53">
        <v>2015</v>
      </c>
      <c r="D1072" s="52" t="s">
        <v>119</v>
      </c>
      <c r="E1072" s="54">
        <v>2</v>
      </c>
      <c r="F1072" s="55">
        <v>0</v>
      </c>
      <c r="G1072" s="55">
        <v>34.369999999999997</v>
      </c>
    </row>
    <row r="1073" spans="1:7" ht="10.050000000000001" customHeight="1">
      <c r="A1073" s="52" t="s">
        <v>421</v>
      </c>
      <c r="B1073" s="52" t="s">
        <v>300</v>
      </c>
      <c r="C1073" s="53">
        <v>2015</v>
      </c>
      <c r="D1073" s="52" t="s">
        <v>119</v>
      </c>
      <c r="E1073" s="54">
        <v>3</v>
      </c>
      <c r="F1073" s="55">
        <v>1.7</v>
      </c>
      <c r="G1073" s="55">
        <v>32.67</v>
      </c>
    </row>
    <row r="1074" spans="1:7" ht="10.050000000000001" customHeight="1">
      <c r="A1074" s="52" t="s">
        <v>421</v>
      </c>
      <c r="B1074" s="52" t="s">
        <v>300</v>
      </c>
      <c r="C1074" s="53">
        <v>2015</v>
      </c>
      <c r="D1074" s="52" t="s">
        <v>119</v>
      </c>
      <c r="E1074" s="54">
        <v>4</v>
      </c>
      <c r="F1074" s="55">
        <v>0</v>
      </c>
      <c r="G1074" s="55">
        <v>32.67</v>
      </c>
    </row>
    <row r="1075" spans="1:7" ht="10.050000000000001" customHeight="1">
      <c r="A1075" s="52" t="s">
        <v>421</v>
      </c>
      <c r="B1075" s="52" t="s">
        <v>300</v>
      </c>
      <c r="C1075" s="53">
        <v>2015</v>
      </c>
      <c r="D1075" s="52" t="s">
        <v>119</v>
      </c>
      <c r="E1075" s="54">
        <v>5</v>
      </c>
      <c r="F1075" s="55">
        <v>4.2</v>
      </c>
      <c r="G1075" s="55">
        <v>32.67</v>
      </c>
    </row>
    <row r="1076" spans="1:7" ht="10.050000000000001" customHeight="1">
      <c r="A1076" s="52" t="s">
        <v>421</v>
      </c>
      <c r="B1076" s="52" t="s">
        <v>300</v>
      </c>
      <c r="C1076" s="53">
        <v>2015</v>
      </c>
      <c r="D1076" s="52" t="s">
        <v>119</v>
      </c>
      <c r="E1076" s="54">
        <v>6</v>
      </c>
      <c r="F1076" s="55">
        <v>0</v>
      </c>
      <c r="G1076" s="55">
        <v>22</v>
      </c>
    </row>
    <row r="1077" spans="1:7" ht="10.050000000000001" customHeight="1">
      <c r="A1077" s="52" t="s">
        <v>421</v>
      </c>
      <c r="B1077" s="52" t="s">
        <v>300</v>
      </c>
      <c r="C1077" s="53">
        <v>2015</v>
      </c>
      <c r="D1077" s="52" t="s">
        <v>120</v>
      </c>
      <c r="E1077" s="54">
        <v>7</v>
      </c>
      <c r="F1077" s="55">
        <v>0</v>
      </c>
      <c r="G1077" s="55">
        <v>26.3</v>
      </c>
    </row>
    <row r="1078" spans="1:7" ht="10.050000000000001" customHeight="1">
      <c r="A1078" s="52" t="s">
        <v>421</v>
      </c>
      <c r="B1078" s="52" t="s">
        <v>300</v>
      </c>
      <c r="C1078" s="53">
        <v>2015</v>
      </c>
      <c r="D1078" s="52" t="s">
        <v>120</v>
      </c>
      <c r="E1078" s="54">
        <v>8</v>
      </c>
      <c r="F1078" s="55">
        <v>6.51</v>
      </c>
      <c r="G1078" s="55">
        <v>29.7</v>
      </c>
    </row>
    <row r="1079" spans="1:7" ht="10.050000000000001" customHeight="1">
      <c r="A1079" s="52" t="s">
        <v>421</v>
      </c>
      <c r="B1079" s="52" t="s">
        <v>300</v>
      </c>
      <c r="C1079" s="53">
        <v>2015</v>
      </c>
      <c r="D1079" s="52" t="s">
        <v>120</v>
      </c>
      <c r="E1079" s="54">
        <v>9</v>
      </c>
      <c r="F1079" s="55">
        <v>1.4</v>
      </c>
      <c r="G1079" s="55">
        <v>28.3</v>
      </c>
    </row>
    <row r="1080" spans="1:7" ht="10.050000000000001" customHeight="1">
      <c r="A1080" s="52" t="s">
        <v>421</v>
      </c>
      <c r="B1080" s="52" t="s">
        <v>300</v>
      </c>
      <c r="C1080" s="53">
        <v>2015</v>
      </c>
      <c r="D1080" s="52" t="s">
        <v>120</v>
      </c>
      <c r="E1080" s="54">
        <v>10</v>
      </c>
      <c r="F1080" s="55">
        <v>8.5</v>
      </c>
      <c r="G1080" s="55">
        <v>26</v>
      </c>
    </row>
    <row r="1081" spans="1:7" ht="10.050000000000001" customHeight="1">
      <c r="A1081" s="52" t="s">
        <v>421</v>
      </c>
      <c r="B1081" s="52" t="s">
        <v>300</v>
      </c>
      <c r="C1081" s="53">
        <v>2015</v>
      </c>
      <c r="D1081" s="52" t="s">
        <v>120</v>
      </c>
      <c r="E1081" s="54">
        <v>11</v>
      </c>
      <c r="F1081" s="55">
        <v>10</v>
      </c>
      <c r="G1081" s="55">
        <v>43.84</v>
      </c>
    </row>
    <row r="1082" spans="1:7" ht="10.050000000000001" customHeight="1">
      <c r="A1082" s="52" t="s">
        <v>421</v>
      </c>
      <c r="B1082" s="52" t="s">
        <v>300</v>
      </c>
      <c r="C1082" s="53">
        <v>2015</v>
      </c>
      <c r="D1082" s="52" t="s">
        <v>120</v>
      </c>
      <c r="E1082" s="54">
        <v>12</v>
      </c>
      <c r="F1082" s="55">
        <v>12.35</v>
      </c>
      <c r="G1082" s="55">
        <v>41.89</v>
      </c>
    </row>
    <row r="1083" spans="1:7" ht="10.050000000000001" customHeight="1">
      <c r="A1083" s="52" t="s">
        <v>421</v>
      </c>
      <c r="B1083" s="52" t="s">
        <v>300</v>
      </c>
      <c r="C1083" s="53">
        <v>2016</v>
      </c>
      <c r="D1083" s="52" t="s">
        <v>120</v>
      </c>
      <c r="E1083" s="54">
        <v>1</v>
      </c>
      <c r="F1083" s="55">
        <v>7.29</v>
      </c>
      <c r="G1083" s="55">
        <v>38.200000000000003</v>
      </c>
    </row>
    <row r="1084" spans="1:7" ht="10.050000000000001" customHeight="1">
      <c r="A1084" s="52" t="s">
        <v>421</v>
      </c>
      <c r="B1084" s="52" t="s">
        <v>300</v>
      </c>
      <c r="C1084" s="53">
        <v>2016</v>
      </c>
      <c r="D1084" s="52" t="s">
        <v>120</v>
      </c>
      <c r="E1084" s="54">
        <v>2</v>
      </c>
      <c r="F1084" s="55">
        <v>0</v>
      </c>
      <c r="G1084" s="55">
        <v>38.200000000000003</v>
      </c>
    </row>
    <row r="1085" spans="1:7" ht="10.050000000000001" customHeight="1">
      <c r="A1085" s="52" t="s">
        <v>421</v>
      </c>
      <c r="B1085" s="52" t="s">
        <v>300</v>
      </c>
      <c r="C1085" s="53">
        <v>2016</v>
      </c>
      <c r="D1085" s="52" t="s">
        <v>120</v>
      </c>
      <c r="E1085" s="54">
        <v>3</v>
      </c>
      <c r="F1085" s="55">
        <v>1.4</v>
      </c>
      <c r="G1085" s="55">
        <v>36.799999999999997</v>
      </c>
    </row>
    <row r="1086" spans="1:7" ht="10.050000000000001" customHeight="1">
      <c r="A1086" s="52" t="s">
        <v>421</v>
      </c>
      <c r="B1086" s="52" t="s">
        <v>300</v>
      </c>
      <c r="C1086" s="53">
        <v>2016</v>
      </c>
      <c r="D1086" s="52" t="s">
        <v>120</v>
      </c>
      <c r="E1086" s="54">
        <v>4</v>
      </c>
      <c r="F1086" s="55">
        <v>0</v>
      </c>
      <c r="G1086" s="55">
        <v>36.799999999999997</v>
      </c>
    </row>
    <row r="1087" spans="1:7" ht="10.050000000000001" customHeight="1">
      <c r="A1087" s="52" t="s">
        <v>421</v>
      </c>
      <c r="B1087" s="52" t="s">
        <v>300</v>
      </c>
      <c r="C1087" s="53">
        <v>2016</v>
      </c>
      <c r="D1087" s="52" t="s">
        <v>120</v>
      </c>
      <c r="E1087" s="54">
        <v>5</v>
      </c>
      <c r="F1087" s="55">
        <v>0</v>
      </c>
      <c r="G1087" s="55">
        <v>36.799999999999997</v>
      </c>
    </row>
    <row r="1088" spans="1:7" ht="10.050000000000001" customHeight="1">
      <c r="A1088" s="52" t="s">
        <v>421</v>
      </c>
      <c r="B1088" s="52" t="s">
        <v>300</v>
      </c>
      <c r="C1088" s="53">
        <v>2016</v>
      </c>
      <c r="D1088" s="52" t="s">
        <v>120</v>
      </c>
      <c r="E1088" s="54">
        <v>6</v>
      </c>
      <c r="F1088" s="55">
        <v>0</v>
      </c>
      <c r="G1088" s="55">
        <v>36.799999999999997</v>
      </c>
    </row>
    <row r="1089" spans="1:7" ht="10.050000000000001" customHeight="1">
      <c r="A1089" s="52" t="s">
        <v>421</v>
      </c>
      <c r="B1089" s="52" t="s">
        <v>300</v>
      </c>
      <c r="C1089" s="53">
        <v>2016</v>
      </c>
      <c r="D1089" s="52" t="s">
        <v>121</v>
      </c>
      <c r="E1089" s="54">
        <v>7</v>
      </c>
      <c r="F1089" s="55">
        <v>0</v>
      </c>
      <c r="G1089" s="55">
        <v>36.799999999999997</v>
      </c>
    </row>
    <row r="1090" spans="1:7" ht="10.050000000000001" customHeight="1">
      <c r="A1090" s="52" t="s">
        <v>421</v>
      </c>
      <c r="B1090" s="52" t="s">
        <v>300</v>
      </c>
      <c r="C1090" s="53">
        <v>2016</v>
      </c>
      <c r="D1090" s="52" t="s">
        <v>121</v>
      </c>
      <c r="E1090" s="54">
        <v>8</v>
      </c>
      <c r="F1090" s="55">
        <v>0</v>
      </c>
      <c r="G1090" s="55">
        <v>63.9</v>
      </c>
    </row>
    <row r="1091" spans="1:7" ht="10.050000000000001" customHeight="1">
      <c r="A1091" s="52" t="s">
        <v>421</v>
      </c>
      <c r="B1091" s="52" t="s">
        <v>300</v>
      </c>
      <c r="C1091" s="53">
        <v>2016</v>
      </c>
      <c r="D1091" s="52" t="s">
        <v>121</v>
      </c>
      <c r="E1091" s="54">
        <v>9</v>
      </c>
      <c r="F1091" s="55">
        <v>0</v>
      </c>
      <c r="G1091" s="55">
        <v>63.9</v>
      </c>
    </row>
    <row r="1092" spans="1:7" ht="10.050000000000001" customHeight="1">
      <c r="A1092" s="52" t="s">
        <v>421</v>
      </c>
      <c r="B1092" s="52" t="s">
        <v>300</v>
      </c>
      <c r="C1092" s="53">
        <v>2016</v>
      </c>
      <c r="D1092" s="52" t="s">
        <v>121</v>
      </c>
      <c r="E1092" s="54">
        <v>10</v>
      </c>
      <c r="F1092" s="55">
        <v>1.6</v>
      </c>
      <c r="G1092" s="55">
        <v>70.2</v>
      </c>
    </row>
    <row r="1093" spans="1:7" ht="10.050000000000001" customHeight="1">
      <c r="A1093" s="52" t="s">
        <v>421</v>
      </c>
      <c r="B1093" s="52" t="s">
        <v>300</v>
      </c>
      <c r="C1093" s="53">
        <v>2016</v>
      </c>
      <c r="D1093" s="52" t="s">
        <v>121</v>
      </c>
      <c r="E1093" s="54">
        <v>11</v>
      </c>
      <c r="F1093" s="55">
        <v>6.6</v>
      </c>
      <c r="G1093" s="55">
        <v>74</v>
      </c>
    </row>
    <row r="1094" spans="1:7" ht="10.050000000000001" customHeight="1">
      <c r="A1094" s="52" t="s">
        <v>421</v>
      </c>
      <c r="B1094" s="52" t="s">
        <v>300</v>
      </c>
      <c r="C1094" s="53">
        <v>2016</v>
      </c>
      <c r="D1094" s="52" t="s">
        <v>121</v>
      </c>
      <c r="E1094" s="54">
        <v>12</v>
      </c>
      <c r="F1094" s="55">
        <v>10.3</v>
      </c>
      <c r="G1094" s="55">
        <v>60.8</v>
      </c>
    </row>
    <row r="1095" spans="1:7" ht="10.050000000000001" customHeight="1">
      <c r="A1095" s="52" t="s">
        <v>421</v>
      </c>
      <c r="B1095" s="52" t="s">
        <v>300</v>
      </c>
      <c r="C1095" s="53">
        <v>2017</v>
      </c>
      <c r="D1095" s="52" t="s">
        <v>121</v>
      </c>
      <c r="E1095" s="54">
        <v>1</v>
      </c>
      <c r="F1095" s="55">
        <v>19.305</v>
      </c>
      <c r="G1095" s="55">
        <v>6.2</v>
      </c>
    </row>
    <row r="1096" spans="1:7" ht="10.050000000000001" customHeight="1">
      <c r="A1096" s="52" t="s">
        <v>421</v>
      </c>
      <c r="B1096" s="52" t="s">
        <v>300</v>
      </c>
      <c r="C1096" s="53">
        <v>2017</v>
      </c>
      <c r="D1096" s="52" t="s">
        <v>121</v>
      </c>
      <c r="E1096" s="54">
        <v>2</v>
      </c>
      <c r="F1096" s="55">
        <v>17.283000000000001</v>
      </c>
      <c r="G1096" s="55">
        <v>25.696999999999999</v>
      </c>
    </row>
    <row r="1097" spans="1:7" ht="10.050000000000001" customHeight="1">
      <c r="A1097" s="52" t="s">
        <v>421</v>
      </c>
      <c r="B1097" s="52" t="s">
        <v>300</v>
      </c>
      <c r="C1097" s="53">
        <v>2017</v>
      </c>
      <c r="D1097" s="52" t="s">
        <v>121</v>
      </c>
      <c r="E1097" s="54">
        <v>3</v>
      </c>
      <c r="F1097" s="55">
        <v>27.983000000000001</v>
      </c>
      <c r="G1097" s="55">
        <v>10.728999999999999</v>
      </c>
    </row>
    <row r="1098" spans="1:7" ht="10.050000000000001" customHeight="1">
      <c r="A1098" s="52" t="s">
        <v>421</v>
      </c>
      <c r="B1098" s="52" t="s">
        <v>300</v>
      </c>
      <c r="C1098" s="53">
        <v>2017</v>
      </c>
      <c r="D1098" s="52" t="s">
        <v>121</v>
      </c>
      <c r="E1098" s="54">
        <v>4</v>
      </c>
      <c r="F1098" s="55">
        <v>3.37</v>
      </c>
      <c r="G1098" s="55">
        <v>7.359</v>
      </c>
    </row>
    <row r="1099" spans="1:7" ht="10.050000000000001" customHeight="1">
      <c r="A1099" s="52" t="s">
        <v>421</v>
      </c>
      <c r="B1099" s="52" t="s">
        <v>300</v>
      </c>
      <c r="C1099" s="53">
        <v>2017</v>
      </c>
      <c r="D1099" s="52" t="s">
        <v>121</v>
      </c>
      <c r="E1099" s="54">
        <v>5</v>
      </c>
      <c r="F1099" s="55">
        <v>1.88</v>
      </c>
      <c r="G1099" s="55">
        <v>11.259</v>
      </c>
    </row>
    <row r="1100" spans="1:7" ht="10.050000000000001" customHeight="1">
      <c r="A1100" s="52" t="s">
        <v>421</v>
      </c>
      <c r="B1100" s="52" t="s">
        <v>300</v>
      </c>
      <c r="C1100" s="53">
        <v>2017</v>
      </c>
      <c r="D1100" s="52" t="s">
        <v>121</v>
      </c>
      <c r="E1100" s="54">
        <v>6</v>
      </c>
      <c r="F1100" s="55">
        <v>1.5</v>
      </c>
      <c r="G1100" s="55">
        <v>9.7590000000000003</v>
      </c>
    </row>
    <row r="1101" spans="1:7" ht="10.050000000000001" customHeight="1">
      <c r="A1101" s="52" t="s">
        <v>421</v>
      </c>
      <c r="B1101" s="52" t="s">
        <v>300</v>
      </c>
      <c r="C1101" s="53">
        <v>2017</v>
      </c>
      <c r="D1101" s="52" t="s">
        <v>122</v>
      </c>
      <c r="E1101" s="54">
        <v>7</v>
      </c>
      <c r="F1101" s="55">
        <v>1.6</v>
      </c>
      <c r="G1101" s="55">
        <v>8.1590000000000007</v>
      </c>
    </row>
    <row r="1102" spans="1:7" ht="10.050000000000001" customHeight="1">
      <c r="A1102" s="52" t="s">
        <v>421</v>
      </c>
      <c r="B1102" s="52" t="s">
        <v>300</v>
      </c>
      <c r="C1102" s="53">
        <v>2017</v>
      </c>
      <c r="D1102" s="52" t="s">
        <v>122</v>
      </c>
      <c r="E1102" s="54">
        <v>8</v>
      </c>
      <c r="F1102" s="55">
        <v>5.7889999999999997</v>
      </c>
      <c r="G1102" s="55">
        <v>12.37</v>
      </c>
    </row>
    <row r="1103" spans="1:7" ht="10.050000000000001" customHeight="1">
      <c r="A1103" s="52" t="s">
        <v>421</v>
      </c>
      <c r="B1103" s="52" t="s">
        <v>300</v>
      </c>
      <c r="C1103" s="53">
        <v>2017</v>
      </c>
      <c r="D1103" s="52" t="s">
        <v>122</v>
      </c>
      <c r="E1103" s="54">
        <v>9</v>
      </c>
      <c r="F1103" s="55">
        <v>3.2</v>
      </c>
      <c r="G1103" s="55">
        <v>16.405000000000001</v>
      </c>
    </row>
    <row r="1104" spans="1:7" ht="10.050000000000001" customHeight="1">
      <c r="A1104" s="52" t="s">
        <v>421</v>
      </c>
      <c r="B1104" s="52" t="s">
        <v>300</v>
      </c>
      <c r="C1104" s="53">
        <v>2017</v>
      </c>
      <c r="D1104" s="52" t="s">
        <v>122</v>
      </c>
      <c r="E1104" s="54">
        <v>10</v>
      </c>
      <c r="F1104" s="55">
        <v>12.066000000000001</v>
      </c>
      <c r="G1104" s="55">
        <v>5.1589999999999998</v>
      </c>
    </row>
    <row r="1105" spans="1:7" ht="10.050000000000001" customHeight="1">
      <c r="A1105" s="52" t="s">
        <v>421</v>
      </c>
      <c r="B1105" s="52" t="s">
        <v>300</v>
      </c>
      <c r="C1105" s="53">
        <v>2017</v>
      </c>
      <c r="D1105" s="52" t="s">
        <v>122</v>
      </c>
      <c r="E1105" s="54">
        <v>11</v>
      </c>
      <c r="F1105" s="55">
        <v>2.6</v>
      </c>
      <c r="G1105" s="55">
        <v>2.5590000000000002</v>
      </c>
    </row>
    <row r="1106" spans="1:7" ht="10.050000000000001" customHeight="1">
      <c r="A1106" s="52" t="s">
        <v>421</v>
      </c>
      <c r="B1106" s="52" t="s">
        <v>300</v>
      </c>
      <c r="C1106" s="53">
        <v>2017</v>
      </c>
      <c r="D1106" s="52" t="s">
        <v>122</v>
      </c>
      <c r="E1106" s="54">
        <v>12</v>
      </c>
      <c r="F1106" s="55">
        <v>4.9000000000000004</v>
      </c>
      <c r="G1106" s="55">
        <v>16.059000000000001</v>
      </c>
    </row>
    <row r="1107" spans="1:7" ht="10.050000000000001" customHeight="1">
      <c r="A1107" s="52" t="s">
        <v>421</v>
      </c>
      <c r="B1107" s="52" t="s">
        <v>300</v>
      </c>
      <c r="C1107" s="53">
        <v>2018</v>
      </c>
      <c r="D1107" s="52" t="s">
        <v>122</v>
      </c>
      <c r="E1107" s="54">
        <v>1</v>
      </c>
      <c r="F1107" s="55">
        <v>3</v>
      </c>
      <c r="G1107" s="55">
        <v>13.058999999999999</v>
      </c>
    </row>
    <row r="1108" spans="1:7" ht="10.050000000000001" customHeight="1">
      <c r="A1108" s="52" t="s">
        <v>421</v>
      </c>
      <c r="B1108" s="52" t="s">
        <v>300</v>
      </c>
      <c r="C1108" s="53">
        <v>2018</v>
      </c>
      <c r="D1108" s="52" t="s">
        <v>122</v>
      </c>
      <c r="E1108" s="54">
        <v>2</v>
      </c>
      <c r="F1108" s="55">
        <v>3.7</v>
      </c>
      <c r="G1108" s="55">
        <v>9</v>
      </c>
    </row>
    <row r="1109" spans="1:7" ht="10.050000000000001" customHeight="1">
      <c r="A1109" s="52" t="s">
        <v>421</v>
      </c>
      <c r="B1109" s="52" t="s">
        <v>300</v>
      </c>
      <c r="C1109" s="53">
        <v>2018</v>
      </c>
      <c r="D1109" s="52" t="s">
        <v>122</v>
      </c>
      <c r="E1109" s="54">
        <v>3</v>
      </c>
      <c r="F1109" s="55">
        <v>3.2</v>
      </c>
      <c r="G1109" s="55">
        <v>5.8</v>
      </c>
    </row>
    <row r="1110" spans="1:7" ht="10.050000000000001" customHeight="1">
      <c r="A1110" s="52" t="s">
        <v>421</v>
      </c>
      <c r="B1110" s="52" t="s">
        <v>300</v>
      </c>
      <c r="C1110" s="53">
        <v>2018</v>
      </c>
      <c r="D1110" s="52" t="s">
        <v>122</v>
      </c>
      <c r="E1110" s="54">
        <v>4</v>
      </c>
      <c r="F1110" s="55">
        <v>3.5</v>
      </c>
      <c r="G1110" s="55">
        <v>22.4</v>
      </c>
    </row>
    <row r="1111" spans="1:7" ht="10.050000000000001" customHeight="1">
      <c r="A1111" s="52" t="s">
        <v>421</v>
      </c>
      <c r="B1111" s="52" t="s">
        <v>300</v>
      </c>
      <c r="C1111" s="53">
        <v>2018</v>
      </c>
      <c r="D1111" s="52" t="s">
        <v>122</v>
      </c>
      <c r="E1111" s="54">
        <v>5</v>
      </c>
      <c r="F1111" s="55">
        <v>2.5</v>
      </c>
      <c r="G1111" s="55">
        <v>19.899999999999999</v>
      </c>
    </row>
    <row r="1112" spans="1:7" ht="10.050000000000001" customHeight="1">
      <c r="A1112" s="52" t="s">
        <v>421</v>
      </c>
      <c r="B1112" s="52" t="s">
        <v>300</v>
      </c>
      <c r="C1112" s="53">
        <v>2018</v>
      </c>
      <c r="D1112" s="52" t="s">
        <v>122</v>
      </c>
      <c r="E1112" s="54">
        <v>6</v>
      </c>
      <c r="F1112" s="55">
        <v>9.8699999999999992</v>
      </c>
      <c r="G1112" s="55">
        <v>48.5</v>
      </c>
    </row>
    <row r="1113" spans="1:7" ht="10.050000000000001" customHeight="1">
      <c r="A1113" s="52" t="s">
        <v>421</v>
      </c>
      <c r="B1113" s="52" t="s">
        <v>300</v>
      </c>
      <c r="C1113" s="53">
        <v>2018</v>
      </c>
      <c r="D1113" s="52" t="s">
        <v>123</v>
      </c>
      <c r="E1113" s="54">
        <v>7</v>
      </c>
      <c r="F1113" s="55">
        <v>2.6</v>
      </c>
      <c r="G1113" s="55">
        <v>45.9</v>
      </c>
    </row>
    <row r="1114" spans="1:7" ht="10.050000000000001" customHeight="1">
      <c r="A1114" s="52" t="s">
        <v>421</v>
      </c>
      <c r="B1114" s="52" t="s">
        <v>300</v>
      </c>
      <c r="C1114" s="53">
        <v>2018</v>
      </c>
      <c r="D1114" s="52" t="s">
        <v>123</v>
      </c>
      <c r="E1114" s="54">
        <v>8</v>
      </c>
      <c r="F1114" s="55">
        <v>3.81</v>
      </c>
      <c r="G1114" s="55">
        <v>43.24</v>
      </c>
    </row>
    <row r="1115" spans="1:7" ht="10.050000000000001" customHeight="1">
      <c r="A1115" s="52" t="s">
        <v>421</v>
      </c>
      <c r="B1115" s="52" t="s">
        <v>300</v>
      </c>
      <c r="C1115" s="53">
        <v>2018</v>
      </c>
      <c r="D1115" s="52" t="s">
        <v>123</v>
      </c>
      <c r="E1115" s="54">
        <v>9</v>
      </c>
      <c r="F1115" s="55">
        <v>10.16</v>
      </c>
      <c r="G1115" s="55">
        <v>33.08</v>
      </c>
    </row>
    <row r="1116" spans="1:7" ht="10.050000000000001" customHeight="1">
      <c r="A1116" s="52" t="s">
        <v>421</v>
      </c>
      <c r="B1116" s="52" t="s">
        <v>300</v>
      </c>
      <c r="C1116" s="53">
        <v>2018</v>
      </c>
      <c r="D1116" s="52" t="s">
        <v>123</v>
      </c>
      <c r="E1116" s="54">
        <v>10</v>
      </c>
      <c r="F1116" s="55">
        <v>10.58</v>
      </c>
      <c r="G1116" s="55">
        <v>22.5</v>
      </c>
    </row>
    <row r="1117" spans="1:7" ht="10.050000000000001" customHeight="1">
      <c r="A1117" s="52" t="s">
        <v>421</v>
      </c>
      <c r="B1117" s="52" t="s">
        <v>300</v>
      </c>
      <c r="C1117" s="53">
        <v>2018</v>
      </c>
      <c r="D1117" s="52" t="s">
        <v>123</v>
      </c>
      <c r="E1117" s="54">
        <v>11</v>
      </c>
      <c r="F1117" s="55">
        <v>14.6</v>
      </c>
      <c r="G1117" s="55">
        <v>7.9</v>
      </c>
    </row>
    <row r="1118" spans="1:7" ht="10.050000000000001" customHeight="1">
      <c r="A1118" s="52" t="s">
        <v>421</v>
      </c>
      <c r="B1118" s="52" t="s">
        <v>300</v>
      </c>
      <c r="C1118" s="53">
        <v>2018</v>
      </c>
      <c r="D1118" s="52" t="s">
        <v>123</v>
      </c>
      <c r="E1118" s="54">
        <v>12</v>
      </c>
      <c r="F1118" s="55">
        <v>31.92</v>
      </c>
      <c r="G1118" s="55">
        <v>8.6</v>
      </c>
    </row>
    <row r="1119" spans="1:7" ht="10.050000000000001" customHeight="1">
      <c r="A1119" s="52" t="s">
        <v>421</v>
      </c>
      <c r="B1119" s="52" t="s">
        <v>300</v>
      </c>
      <c r="C1119" s="53">
        <v>2019</v>
      </c>
      <c r="D1119" s="52" t="s">
        <v>123</v>
      </c>
      <c r="E1119" s="54">
        <v>1</v>
      </c>
      <c r="F1119" s="55">
        <v>28.6</v>
      </c>
      <c r="G1119" s="55">
        <v>22.5</v>
      </c>
    </row>
    <row r="1120" spans="1:7" ht="10.050000000000001" customHeight="1">
      <c r="A1120" s="52" t="s">
        <v>421</v>
      </c>
      <c r="B1120" s="52" t="s">
        <v>300</v>
      </c>
      <c r="C1120" s="53">
        <v>2019</v>
      </c>
      <c r="D1120" s="52" t="s">
        <v>123</v>
      </c>
      <c r="E1120" s="54">
        <v>2</v>
      </c>
      <c r="F1120" s="55">
        <v>64.8</v>
      </c>
      <c r="G1120" s="55">
        <v>35.9</v>
      </c>
    </row>
    <row r="1121" spans="1:7" ht="10.050000000000001" customHeight="1">
      <c r="A1121" s="52" t="s">
        <v>421</v>
      </c>
      <c r="B1121" s="52" t="s">
        <v>300</v>
      </c>
      <c r="C1121" s="53">
        <v>2019</v>
      </c>
      <c r="D1121" s="52" t="s">
        <v>123</v>
      </c>
      <c r="E1121" s="54">
        <v>3</v>
      </c>
      <c r="F1121" s="55">
        <v>42.6</v>
      </c>
      <c r="G1121" s="55">
        <v>4.5999999999999996</v>
      </c>
    </row>
    <row r="1122" spans="1:7" ht="10.050000000000001" customHeight="1">
      <c r="A1122" s="52" t="s">
        <v>421</v>
      </c>
      <c r="B1122" s="52" t="s">
        <v>300</v>
      </c>
      <c r="C1122" s="53">
        <v>2019</v>
      </c>
      <c r="D1122" s="52" t="s">
        <v>123</v>
      </c>
      <c r="E1122" s="54">
        <v>4</v>
      </c>
      <c r="F1122" s="55">
        <v>12</v>
      </c>
      <c r="G1122" s="55">
        <v>10.3</v>
      </c>
    </row>
    <row r="1123" spans="1:7" ht="10.050000000000001" customHeight="1">
      <c r="A1123" s="52" t="s">
        <v>421</v>
      </c>
      <c r="B1123" s="52" t="s">
        <v>300</v>
      </c>
      <c r="C1123" s="53">
        <v>2019</v>
      </c>
      <c r="D1123" s="52" t="s">
        <v>123</v>
      </c>
      <c r="E1123" s="54">
        <v>5</v>
      </c>
      <c r="F1123" s="55">
        <v>6.1</v>
      </c>
      <c r="G1123" s="55">
        <v>4.2</v>
      </c>
    </row>
    <row r="1124" spans="1:7" ht="10.050000000000001" customHeight="1">
      <c r="A1124" s="52" t="s">
        <v>421</v>
      </c>
      <c r="B1124" s="52" t="s">
        <v>300</v>
      </c>
      <c r="C1124" s="53">
        <v>2019</v>
      </c>
      <c r="D1124" s="52" t="s">
        <v>123</v>
      </c>
      <c r="E1124" s="54">
        <v>6</v>
      </c>
      <c r="F1124" s="55">
        <v>7.2</v>
      </c>
      <c r="G1124" s="55">
        <v>9.1999999999999993</v>
      </c>
    </row>
    <row r="1125" spans="1:7" ht="10.050000000000001" customHeight="1">
      <c r="A1125" s="52" t="s">
        <v>421</v>
      </c>
      <c r="B1125" s="52" t="s">
        <v>300</v>
      </c>
      <c r="C1125" s="53">
        <v>2019</v>
      </c>
      <c r="D1125" s="52" t="s">
        <v>124</v>
      </c>
      <c r="E1125" s="54">
        <v>7</v>
      </c>
      <c r="F1125" s="55">
        <v>13.456</v>
      </c>
      <c r="G1125" s="55">
        <v>12.244</v>
      </c>
    </row>
    <row r="1126" spans="1:7" ht="10.050000000000001" customHeight="1">
      <c r="A1126" s="52" t="s">
        <v>421</v>
      </c>
      <c r="B1126" s="52" t="s">
        <v>300</v>
      </c>
      <c r="C1126" s="53">
        <v>2019</v>
      </c>
      <c r="D1126" s="52" t="s">
        <v>124</v>
      </c>
      <c r="E1126" s="54">
        <v>8</v>
      </c>
      <c r="F1126" s="55">
        <v>17.402999999999999</v>
      </c>
      <c r="G1126" s="55">
        <v>7.444</v>
      </c>
    </row>
    <row r="1127" spans="1:7" ht="10.050000000000001" customHeight="1">
      <c r="A1127" s="52" t="s">
        <v>421</v>
      </c>
      <c r="B1127" s="52" t="s">
        <v>300</v>
      </c>
      <c r="C1127" s="53">
        <v>2019</v>
      </c>
      <c r="D1127" s="52" t="s">
        <v>124</v>
      </c>
      <c r="E1127" s="54">
        <v>9</v>
      </c>
      <c r="F1127" s="55">
        <v>13.2</v>
      </c>
      <c r="G1127" s="55">
        <v>4.944</v>
      </c>
    </row>
    <row r="1128" spans="1:7" ht="10.050000000000001" customHeight="1">
      <c r="A1128" s="52" t="s">
        <v>421</v>
      </c>
      <c r="B1128" s="52" t="s">
        <v>300</v>
      </c>
      <c r="C1128" s="53">
        <v>2019</v>
      </c>
      <c r="D1128" s="52" t="s">
        <v>124</v>
      </c>
      <c r="E1128" s="54">
        <v>10</v>
      </c>
      <c r="F1128" s="55">
        <v>11.3</v>
      </c>
      <c r="G1128" s="55">
        <v>11.244</v>
      </c>
    </row>
    <row r="1129" spans="1:7" ht="10.050000000000001" customHeight="1">
      <c r="A1129" s="52" t="s">
        <v>421</v>
      </c>
      <c r="B1129" s="52" t="s">
        <v>300</v>
      </c>
      <c r="C1129" s="53">
        <v>2019</v>
      </c>
      <c r="D1129" s="52" t="s">
        <v>124</v>
      </c>
      <c r="E1129" s="54">
        <v>11</v>
      </c>
      <c r="F1129" s="55">
        <v>165.11</v>
      </c>
      <c r="G1129" s="55">
        <v>26.344000000000001</v>
      </c>
    </row>
    <row r="1130" spans="1:7" ht="10.050000000000001" customHeight="1">
      <c r="A1130" s="52" t="s">
        <v>421</v>
      </c>
      <c r="B1130" s="52" t="s">
        <v>300</v>
      </c>
      <c r="C1130" s="53">
        <v>2019</v>
      </c>
      <c r="D1130" s="52" t="s">
        <v>124</v>
      </c>
      <c r="E1130" s="54">
        <v>12</v>
      </c>
      <c r="F1130" s="55">
        <v>42.744</v>
      </c>
      <c r="G1130" s="55">
        <v>9.3000000000000007</v>
      </c>
    </row>
    <row r="1131" spans="1:7" ht="10.050000000000001" customHeight="1">
      <c r="A1131" s="52" t="s">
        <v>421</v>
      </c>
      <c r="B1131" s="52" t="s">
        <v>300</v>
      </c>
      <c r="C1131" s="53">
        <v>2020</v>
      </c>
      <c r="D1131" s="52" t="s">
        <v>124</v>
      </c>
      <c r="E1131" s="54">
        <v>1</v>
      </c>
      <c r="F1131" s="55">
        <v>27.018999999999998</v>
      </c>
      <c r="G1131" s="55">
        <v>4.9000000000000004</v>
      </c>
    </row>
    <row r="1132" spans="1:7" ht="10.050000000000001" customHeight="1">
      <c r="A1132" s="52" t="s">
        <v>421</v>
      </c>
      <c r="B1132" s="52" t="s">
        <v>300</v>
      </c>
      <c r="C1132" s="53">
        <v>2020</v>
      </c>
      <c r="D1132" s="52" t="s">
        <v>124</v>
      </c>
      <c r="E1132" s="54">
        <v>2</v>
      </c>
      <c r="F1132" s="55">
        <v>12.813000000000001</v>
      </c>
      <c r="G1132" s="55">
        <v>3</v>
      </c>
    </row>
    <row r="1133" spans="1:7" ht="10.050000000000001" customHeight="1">
      <c r="A1133" s="52" t="s">
        <v>421</v>
      </c>
      <c r="B1133" s="52" t="s">
        <v>300</v>
      </c>
      <c r="C1133" s="53">
        <v>2020</v>
      </c>
      <c r="D1133" s="52" t="s">
        <v>124</v>
      </c>
      <c r="E1133" s="54">
        <v>3</v>
      </c>
      <c r="F1133" s="55">
        <v>18</v>
      </c>
      <c r="G1133" s="55">
        <v>1</v>
      </c>
    </row>
    <row r="1134" spans="1:7" ht="10.050000000000001" customHeight="1">
      <c r="A1134" s="52" t="s">
        <v>421</v>
      </c>
      <c r="B1134" s="52" t="s">
        <v>300</v>
      </c>
      <c r="C1134" s="53">
        <v>2020</v>
      </c>
      <c r="D1134" s="52" t="s">
        <v>124</v>
      </c>
      <c r="E1134" s="54">
        <v>4</v>
      </c>
      <c r="F1134" s="55">
        <v>19</v>
      </c>
      <c r="G1134" s="55">
        <v>10.75</v>
      </c>
    </row>
    <row r="1135" spans="1:7" ht="10.050000000000001" customHeight="1">
      <c r="A1135" s="52" t="s">
        <v>421</v>
      </c>
      <c r="B1135" s="52" t="s">
        <v>300</v>
      </c>
      <c r="C1135" s="53">
        <v>2020</v>
      </c>
      <c r="D1135" s="52" t="s">
        <v>124</v>
      </c>
      <c r="E1135" s="54">
        <v>5</v>
      </c>
      <c r="F1135" s="55">
        <v>3.0379999999999998</v>
      </c>
      <c r="G1135" s="55">
        <v>7.7119999999999997</v>
      </c>
    </row>
    <row r="1136" spans="1:7" ht="10.050000000000001" customHeight="1">
      <c r="A1136" s="52" t="s">
        <v>421</v>
      </c>
      <c r="B1136" s="52" t="s">
        <v>300</v>
      </c>
      <c r="C1136" s="53">
        <v>2020</v>
      </c>
      <c r="D1136" s="52" t="s">
        <v>124</v>
      </c>
      <c r="E1136" s="54">
        <v>6</v>
      </c>
      <c r="F1136" s="55">
        <v>16.614000000000001</v>
      </c>
      <c r="G1136" s="55">
        <v>7.0979999999999999</v>
      </c>
    </row>
    <row r="1137" spans="1:7" ht="10.050000000000001" customHeight="1">
      <c r="A1137" s="52" t="s">
        <v>421</v>
      </c>
      <c r="B1137" s="52" t="s">
        <v>300</v>
      </c>
      <c r="C1137" s="53">
        <v>2020</v>
      </c>
      <c r="D1137" s="52" t="s">
        <v>125</v>
      </c>
      <c r="E1137" s="54">
        <v>7</v>
      </c>
      <c r="F1137" s="55">
        <v>12.151999999999999</v>
      </c>
      <c r="G1137" s="55">
        <v>12.946</v>
      </c>
    </row>
    <row r="1138" spans="1:7" ht="10.050000000000001" customHeight="1">
      <c r="A1138" s="52" t="s">
        <v>421</v>
      </c>
      <c r="B1138" s="52" t="s">
        <v>300</v>
      </c>
      <c r="C1138" s="53">
        <v>2020</v>
      </c>
      <c r="D1138" s="52" t="s">
        <v>125</v>
      </c>
      <c r="E1138" s="54">
        <v>8</v>
      </c>
      <c r="F1138" s="55">
        <v>9</v>
      </c>
      <c r="G1138" s="55">
        <v>12.946</v>
      </c>
    </row>
    <row r="1139" spans="1:7" ht="10.050000000000001" customHeight="1">
      <c r="A1139" s="52" t="s">
        <v>421</v>
      </c>
      <c r="B1139" s="52" t="s">
        <v>300</v>
      </c>
      <c r="C1139" s="53">
        <v>2020</v>
      </c>
      <c r="D1139" s="52" t="s">
        <v>125</v>
      </c>
      <c r="E1139" s="54">
        <v>9</v>
      </c>
      <c r="F1139" s="55">
        <v>21</v>
      </c>
      <c r="G1139" s="55">
        <v>6.9459999999999997</v>
      </c>
    </row>
    <row r="1140" spans="1:7" ht="10.050000000000001" customHeight="1">
      <c r="A1140" s="52" t="s">
        <v>421</v>
      </c>
      <c r="B1140" s="52" t="s">
        <v>300</v>
      </c>
      <c r="C1140" s="53">
        <v>2020</v>
      </c>
      <c r="D1140" s="52" t="s">
        <v>125</v>
      </c>
      <c r="E1140" s="54">
        <v>10</v>
      </c>
      <c r="F1140" s="55">
        <v>29</v>
      </c>
      <c r="G1140" s="55">
        <v>9.9459999999999997</v>
      </c>
    </row>
    <row r="1141" spans="1:7" ht="10.050000000000001" customHeight="1">
      <c r="A1141" s="52" t="s">
        <v>421</v>
      </c>
      <c r="B1141" s="52" t="s">
        <v>300</v>
      </c>
      <c r="C1141" s="53">
        <v>2020</v>
      </c>
      <c r="D1141" s="52" t="s">
        <v>125</v>
      </c>
      <c r="E1141" s="54">
        <v>11</v>
      </c>
      <c r="F1141" s="55">
        <v>14.81</v>
      </c>
      <c r="G1141" s="55">
        <v>12.135999999999999</v>
      </c>
    </row>
    <row r="1142" spans="1:7" ht="10.050000000000001" customHeight="1">
      <c r="A1142" s="52" t="s">
        <v>421</v>
      </c>
      <c r="B1142" s="52" t="s">
        <v>300</v>
      </c>
      <c r="C1142" s="53">
        <v>2020</v>
      </c>
      <c r="D1142" s="52" t="s">
        <v>125</v>
      </c>
      <c r="E1142" s="54">
        <v>12</v>
      </c>
      <c r="F1142" s="55">
        <v>30.06</v>
      </c>
      <c r="G1142" s="55">
        <v>12.946</v>
      </c>
    </row>
    <row r="1143" spans="1:7" ht="10.050000000000001" customHeight="1">
      <c r="A1143" s="52" t="s">
        <v>421</v>
      </c>
      <c r="B1143" s="52" t="s">
        <v>300</v>
      </c>
      <c r="C1143" s="53">
        <v>2021</v>
      </c>
      <c r="D1143" s="52" t="s">
        <v>125</v>
      </c>
      <c r="E1143" s="54">
        <v>1</v>
      </c>
      <c r="F1143" s="55">
        <v>21.946000000000002</v>
      </c>
      <c r="G1143" s="55">
        <v>5</v>
      </c>
    </row>
    <row r="1144" spans="1:7" ht="10.050000000000001" customHeight="1">
      <c r="A1144" s="52" t="s">
        <v>421</v>
      </c>
      <c r="B1144" s="52" t="s">
        <v>300</v>
      </c>
      <c r="C1144" s="53">
        <v>2021</v>
      </c>
      <c r="D1144" s="52" t="s">
        <v>125</v>
      </c>
      <c r="E1144" s="54">
        <v>2</v>
      </c>
      <c r="F1144" s="55">
        <v>22</v>
      </c>
      <c r="G1144" s="55">
        <v>3</v>
      </c>
    </row>
    <row r="1145" spans="1:7" ht="10.050000000000001" customHeight="1">
      <c r="A1145" s="52" t="s">
        <v>421</v>
      </c>
      <c r="B1145" s="52" t="s">
        <v>300</v>
      </c>
      <c r="C1145" s="53">
        <v>2021</v>
      </c>
      <c r="D1145" s="52" t="s">
        <v>125</v>
      </c>
      <c r="E1145" s="54">
        <v>3</v>
      </c>
      <c r="F1145" s="55">
        <v>27.93</v>
      </c>
      <c r="G1145" s="55">
        <v>0.11</v>
      </c>
    </row>
    <row r="1146" spans="1:7" ht="10.050000000000001" customHeight="1">
      <c r="A1146" s="52" t="s">
        <v>421</v>
      </c>
      <c r="B1146" s="52" t="s">
        <v>300</v>
      </c>
      <c r="C1146" s="53">
        <v>2021</v>
      </c>
      <c r="D1146" s="52" t="s">
        <v>125</v>
      </c>
      <c r="E1146" s="54">
        <v>4</v>
      </c>
      <c r="F1146" s="55">
        <v>0.11</v>
      </c>
      <c r="G1146" s="55">
        <v>0</v>
      </c>
    </row>
    <row r="1147" spans="1:7" ht="10.050000000000001" customHeight="1">
      <c r="A1147" s="52" t="s">
        <v>421</v>
      </c>
      <c r="B1147" s="52" t="s">
        <v>300</v>
      </c>
      <c r="C1147" s="53">
        <v>2021</v>
      </c>
      <c r="D1147" s="52" t="s">
        <v>125</v>
      </c>
      <c r="E1147" s="54">
        <v>6</v>
      </c>
      <c r="F1147" s="55">
        <v>7.1</v>
      </c>
      <c r="G1147" s="55">
        <v>8.1999999999999993</v>
      </c>
    </row>
    <row r="1148" spans="1:7" ht="10.050000000000001" customHeight="1">
      <c r="A1148" s="52" t="s">
        <v>421</v>
      </c>
      <c r="B1148" s="52" t="s">
        <v>300</v>
      </c>
      <c r="C1148" s="53">
        <v>2021</v>
      </c>
      <c r="D1148" s="52" t="s">
        <v>126</v>
      </c>
      <c r="E1148" s="54">
        <v>7</v>
      </c>
      <c r="F1148" s="55">
        <v>10</v>
      </c>
      <c r="G1148" s="55">
        <v>7.9</v>
      </c>
    </row>
    <row r="1149" spans="1:7" ht="10.050000000000001" customHeight="1">
      <c r="A1149" s="52" t="s">
        <v>421</v>
      </c>
      <c r="B1149" s="52" t="s">
        <v>300</v>
      </c>
      <c r="C1149" s="53">
        <v>2021</v>
      </c>
      <c r="D1149" s="52" t="s">
        <v>126</v>
      </c>
      <c r="E1149" s="54">
        <v>8</v>
      </c>
      <c r="F1149" s="55">
        <v>10</v>
      </c>
      <c r="G1149" s="55">
        <v>4.9000000000000004</v>
      </c>
    </row>
    <row r="1150" spans="1:7" ht="10.050000000000001" customHeight="1">
      <c r="A1150" s="52" t="s">
        <v>421</v>
      </c>
      <c r="B1150" s="52" t="s">
        <v>300</v>
      </c>
      <c r="C1150" s="53">
        <v>2021</v>
      </c>
      <c r="D1150" s="52" t="s">
        <v>126</v>
      </c>
      <c r="E1150" s="54">
        <v>9</v>
      </c>
      <c r="F1150" s="55">
        <v>11.7</v>
      </c>
      <c r="G1150" s="55">
        <v>9.8000000000000007</v>
      </c>
    </row>
    <row r="1151" spans="1:7" ht="10.050000000000001" customHeight="1">
      <c r="A1151" s="52" t="s">
        <v>421</v>
      </c>
      <c r="B1151" s="52" t="s">
        <v>300</v>
      </c>
      <c r="C1151" s="53">
        <v>2021</v>
      </c>
      <c r="D1151" s="52" t="s">
        <v>126</v>
      </c>
      <c r="E1151" s="54">
        <v>10</v>
      </c>
      <c r="F1151" s="55">
        <v>17.3</v>
      </c>
      <c r="G1151" s="55">
        <v>7.4</v>
      </c>
    </row>
    <row r="1152" spans="1:7" ht="10.050000000000001" customHeight="1">
      <c r="A1152" s="52" t="s">
        <v>421</v>
      </c>
      <c r="B1152" s="52" t="s">
        <v>300</v>
      </c>
      <c r="C1152" s="53">
        <v>2021</v>
      </c>
      <c r="D1152" s="52" t="s">
        <v>126</v>
      </c>
      <c r="E1152" s="54">
        <v>11</v>
      </c>
      <c r="F1152" s="55">
        <v>16</v>
      </c>
      <c r="G1152" s="55">
        <v>6.3</v>
      </c>
    </row>
    <row r="1153" spans="1:7" ht="10.050000000000001" customHeight="1">
      <c r="A1153" s="52" t="s">
        <v>421</v>
      </c>
      <c r="B1153" s="52" t="s">
        <v>300</v>
      </c>
      <c r="C1153" s="53">
        <v>2021</v>
      </c>
      <c r="D1153" s="52" t="s">
        <v>126</v>
      </c>
      <c r="E1153" s="54">
        <v>12</v>
      </c>
      <c r="F1153" s="55">
        <v>18</v>
      </c>
      <c r="G1153" s="55">
        <v>5.5</v>
      </c>
    </row>
    <row r="1154" spans="1:7" ht="10.050000000000001" customHeight="1">
      <c r="A1154" s="52" t="s">
        <v>421</v>
      </c>
      <c r="B1154" s="52" t="s">
        <v>300</v>
      </c>
      <c r="C1154" s="53">
        <v>2022</v>
      </c>
      <c r="D1154" s="52" t="s">
        <v>126</v>
      </c>
      <c r="E1154" s="54">
        <v>1</v>
      </c>
      <c r="F1154" s="55">
        <v>16.2</v>
      </c>
      <c r="G1154" s="55">
        <v>9.9</v>
      </c>
    </row>
    <row r="1155" spans="1:7" ht="10.050000000000001" customHeight="1">
      <c r="A1155" s="52" t="s">
        <v>421</v>
      </c>
      <c r="B1155" s="52" t="s">
        <v>300</v>
      </c>
      <c r="C1155" s="53">
        <v>2022</v>
      </c>
      <c r="D1155" s="52" t="s">
        <v>126</v>
      </c>
      <c r="E1155" s="54">
        <v>2</v>
      </c>
      <c r="F1155" s="55">
        <v>12.2</v>
      </c>
      <c r="G1155" s="55">
        <v>6.8</v>
      </c>
    </row>
    <row r="1156" spans="1:7" ht="10.050000000000001" customHeight="1">
      <c r="A1156" s="52" t="s">
        <v>421</v>
      </c>
      <c r="B1156" s="52" t="s">
        <v>300</v>
      </c>
      <c r="C1156" s="53">
        <v>2022</v>
      </c>
      <c r="D1156" s="52" t="s">
        <v>126</v>
      </c>
      <c r="E1156" s="54">
        <v>3</v>
      </c>
      <c r="F1156" s="55">
        <v>16.600000000000001</v>
      </c>
      <c r="G1156" s="55">
        <v>6.3</v>
      </c>
    </row>
    <row r="1157" spans="1:7" ht="10.050000000000001" customHeight="1">
      <c r="A1157" s="52" t="s">
        <v>421</v>
      </c>
      <c r="B1157" s="52" t="s">
        <v>300</v>
      </c>
      <c r="C1157" s="53">
        <v>2022</v>
      </c>
      <c r="D1157" s="52" t="s">
        <v>126</v>
      </c>
      <c r="E1157" s="54">
        <v>4</v>
      </c>
      <c r="F1157" s="55">
        <v>12.1</v>
      </c>
      <c r="G1157" s="55">
        <v>7.5</v>
      </c>
    </row>
    <row r="1158" spans="1:7" ht="10.050000000000001" customHeight="1">
      <c r="A1158" s="52" t="s">
        <v>421</v>
      </c>
      <c r="B1158" s="52" t="s">
        <v>300</v>
      </c>
      <c r="C1158" s="53">
        <v>2022</v>
      </c>
      <c r="D1158" s="52" t="s">
        <v>126</v>
      </c>
      <c r="E1158" s="54">
        <v>5</v>
      </c>
      <c r="F1158" s="55">
        <v>6.4</v>
      </c>
      <c r="G1158" s="55">
        <v>6</v>
      </c>
    </row>
    <row r="1159" spans="1:7" ht="10.050000000000001" customHeight="1">
      <c r="A1159" s="52" t="s">
        <v>421</v>
      </c>
      <c r="B1159" s="52" t="s">
        <v>300</v>
      </c>
      <c r="C1159" s="53">
        <v>2022</v>
      </c>
      <c r="D1159" s="52" t="s">
        <v>126</v>
      </c>
      <c r="E1159" s="54">
        <v>6</v>
      </c>
      <c r="F1159" s="55">
        <v>12.3</v>
      </c>
      <c r="G1159" s="55">
        <v>8.1</v>
      </c>
    </row>
    <row r="1160" spans="1:7" ht="10.050000000000001" customHeight="1">
      <c r="A1160" s="52" t="s">
        <v>421</v>
      </c>
      <c r="B1160" s="52" t="s">
        <v>300</v>
      </c>
      <c r="C1160" s="53">
        <v>2022</v>
      </c>
      <c r="D1160" s="52" t="s">
        <v>127</v>
      </c>
      <c r="E1160" s="54">
        <v>7</v>
      </c>
      <c r="F1160" s="55">
        <v>5.6</v>
      </c>
      <c r="G1160" s="55">
        <v>2.5</v>
      </c>
    </row>
    <row r="1161" spans="1:7" ht="10.050000000000001" customHeight="1">
      <c r="A1161" s="52" t="s">
        <v>421</v>
      </c>
      <c r="B1161" s="52" t="s">
        <v>300</v>
      </c>
      <c r="C1161" s="53">
        <v>2022</v>
      </c>
      <c r="D1161" s="52" t="s">
        <v>127</v>
      </c>
      <c r="E1161" s="54">
        <v>8</v>
      </c>
      <c r="F1161" s="55">
        <v>13.4</v>
      </c>
      <c r="G1161" s="55">
        <v>8.1</v>
      </c>
    </row>
    <row r="1162" spans="1:7" ht="10.050000000000001" customHeight="1">
      <c r="A1162" s="52" t="s">
        <v>421</v>
      </c>
      <c r="B1162" s="52" t="s">
        <v>300</v>
      </c>
      <c r="C1162" s="53">
        <v>2022</v>
      </c>
      <c r="D1162" s="52" t="s">
        <v>127</v>
      </c>
      <c r="E1162" s="54">
        <v>9</v>
      </c>
      <c r="F1162" s="55">
        <v>16.100000000000001</v>
      </c>
      <c r="G1162" s="55">
        <v>2.2000000000000002</v>
      </c>
    </row>
    <row r="1163" spans="1:7" ht="10.050000000000001" customHeight="1">
      <c r="A1163" s="52" t="s">
        <v>421</v>
      </c>
      <c r="B1163" s="52" t="s">
        <v>300</v>
      </c>
      <c r="C1163" s="53">
        <v>2022</v>
      </c>
      <c r="D1163" s="52" t="s">
        <v>127</v>
      </c>
      <c r="E1163" s="54">
        <v>10</v>
      </c>
      <c r="F1163" s="55">
        <v>9.8000000000000007</v>
      </c>
      <c r="G1163" s="55">
        <v>15.3</v>
      </c>
    </row>
    <row r="1164" spans="1:7" ht="10.050000000000001" customHeight="1">
      <c r="A1164" s="52" t="s">
        <v>421</v>
      </c>
      <c r="B1164" s="52" t="s">
        <v>300</v>
      </c>
      <c r="C1164" s="53">
        <v>2022</v>
      </c>
      <c r="D1164" s="52" t="s">
        <v>127</v>
      </c>
      <c r="E1164" s="54">
        <v>11</v>
      </c>
      <c r="F1164" s="55">
        <v>18.350000000000001</v>
      </c>
      <c r="G1164" s="55">
        <v>10.199999999999999</v>
      </c>
    </row>
    <row r="1165" spans="1:7" ht="10.050000000000001" customHeight="1">
      <c r="A1165" s="52" t="s">
        <v>421</v>
      </c>
      <c r="B1165" s="52" t="s">
        <v>300</v>
      </c>
      <c r="C1165" s="53">
        <v>2022</v>
      </c>
      <c r="D1165" s="52" t="s">
        <v>127</v>
      </c>
      <c r="E1165" s="54">
        <v>12</v>
      </c>
      <c r="F1165" s="55">
        <v>15.3</v>
      </c>
      <c r="G1165" s="55">
        <v>14.8</v>
      </c>
    </row>
    <row r="1166" spans="1:7" ht="10.050000000000001" customHeight="1">
      <c r="A1166" s="52" t="s">
        <v>421</v>
      </c>
      <c r="B1166" s="52" t="s">
        <v>300</v>
      </c>
      <c r="C1166" s="53">
        <v>2023</v>
      </c>
      <c r="D1166" s="52" t="s">
        <v>127</v>
      </c>
      <c r="E1166" s="54">
        <v>1</v>
      </c>
      <c r="F1166" s="55">
        <v>21.4</v>
      </c>
      <c r="G1166" s="55">
        <v>3.4</v>
      </c>
    </row>
    <row r="1167" spans="1:7" ht="10.050000000000001" customHeight="1">
      <c r="A1167" s="52" t="s">
        <v>421</v>
      </c>
      <c r="B1167" s="52" t="s">
        <v>300</v>
      </c>
      <c r="C1167" s="53">
        <v>2023</v>
      </c>
      <c r="D1167" s="52" t="s">
        <v>127</v>
      </c>
      <c r="E1167" s="54">
        <v>2</v>
      </c>
      <c r="F1167" s="55">
        <v>12.1</v>
      </c>
      <c r="G1167" s="55">
        <v>9.5</v>
      </c>
    </row>
    <row r="1168" spans="1:7" ht="10.050000000000001" customHeight="1">
      <c r="A1168" s="52" t="s">
        <v>421</v>
      </c>
      <c r="B1168" s="52" t="s">
        <v>300</v>
      </c>
      <c r="C1168" s="53">
        <v>2023</v>
      </c>
      <c r="D1168" s="52" t="s">
        <v>127</v>
      </c>
      <c r="E1168" s="54">
        <v>3</v>
      </c>
      <c r="F1168" s="55">
        <v>13.8</v>
      </c>
      <c r="G1168" s="55">
        <v>7.3</v>
      </c>
    </row>
    <row r="1169" spans="1:7" ht="10.050000000000001" customHeight="1">
      <c r="A1169" s="52" t="s">
        <v>421</v>
      </c>
      <c r="B1169" s="52" t="s">
        <v>300</v>
      </c>
      <c r="C1169" s="53">
        <v>2023</v>
      </c>
      <c r="D1169" s="52" t="s">
        <v>127</v>
      </c>
      <c r="E1169" s="54">
        <v>4</v>
      </c>
      <c r="F1169" s="55">
        <v>11.1</v>
      </c>
      <c r="G1169" s="55">
        <v>25.5</v>
      </c>
    </row>
    <row r="1170" spans="1:7" ht="10.050000000000001" customHeight="1">
      <c r="A1170" s="52" t="s">
        <v>421</v>
      </c>
      <c r="B1170" s="52" t="s">
        <v>300</v>
      </c>
      <c r="C1170" s="53">
        <v>2023</v>
      </c>
      <c r="D1170" s="52" t="s">
        <v>127</v>
      </c>
      <c r="E1170" s="54">
        <v>5</v>
      </c>
      <c r="F1170" s="55">
        <v>17.850000000000001</v>
      </c>
      <c r="G1170" s="55">
        <v>19.5</v>
      </c>
    </row>
    <row r="1171" spans="1:7" ht="10.050000000000001" customHeight="1">
      <c r="A1171" s="52" t="s">
        <v>421</v>
      </c>
      <c r="B1171" s="52" t="s">
        <v>300</v>
      </c>
      <c r="C1171" s="53">
        <v>2023</v>
      </c>
      <c r="D1171" s="52" t="s">
        <v>127</v>
      </c>
      <c r="E1171" s="54">
        <v>6</v>
      </c>
      <c r="F1171" s="55">
        <v>3.3</v>
      </c>
      <c r="G1171" s="55">
        <v>22.3</v>
      </c>
    </row>
    <row r="1172" spans="1:7" ht="10.050000000000001" customHeight="1">
      <c r="A1172" s="52" t="s">
        <v>421</v>
      </c>
      <c r="B1172" s="52" t="s">
        <v>300</v>
      </c>
      <c r="C1172" s="53">
        <v>2023</v>
      </c>
      <c r="D1172" s="52" t="s">
        <v>128</v>
      </c>
      <c r="E1172" s="54">
        <v>7</v>
      </c>
      <c r="F1172" s="55">
        <v>6.1</v>
      </c>
      <c r="G1172" s="55">
        <v>17.38</v>
      </c>
    </row>
    <row r="1173" spans="1:7" ht="10.050000000000001" customHeight="1">
      <c r="A1173" s="52" t="s">
        <v>421</v>
      </c>
      <c r="B1173" s="52" t="s">
        <v>300</v>
      </c>
      <c r="C1173" s="53">
        <v>2023</v>
      </c>
      <c r="D1173" s="52" t="s">
        <v>128</v>
      </c>
      <c r="E1173" s="54">
        <v>8</v>
      </c>
      <c r="F1173" s="55">
        <v>9.4</v>
      </c>
      <c r="G1173" s="55">
        <v>7.98</v>
      </c>
    </row>
    <row r="1174" spans="1:7" ht="10.050000000000001" customHeight="1">
      <c r="A1174" s="52" t="s">
        <v>421</v>
      </c>
      <c r="B1174" s="52" t="s">
        <v>300</v>
      </c>
      <c r="C1174" s="53">
        <v>2023</v>
      </c>
      <c r="D1174" s="52" t="s">
        <v>128</v>
      </c>
      <c r="E1174" s="54">
        <v>9</v>
      </c>
      <c r="F1174" s="55">
        <v>4.7</v>
      </c>
      <c r="G1174" s="55">
        <v>14.74</v>
      </c>
    </row>
    <row r="1175" spans="1:7" ht="10.050000000000001" customHeight="1">
      <c r="A1175" s="52" t="s">
        <v>421</v>
      </c>
      <c r="B1175" s="52" t="s">
        <v>300</v>
      </c>
      <c r="C1175" s="53">
        <v>2023</v>
      </c>
      <c r="D1175" s="52" t="s">
        <v>128</v>
      </c>
      <c r="E1175" s="54">
        <v>10</v>
      </c>
      <c r="F1175" s="55">
        <v>40.200000000000003</v>
      </c>
      <c r="G1175" s="55">
        <v>2.94</v>
      </c>
    </row>
    <row r="1176" spans="1:7" ht="10.050000000000001" customHeight="1">
      <c r="A1176" s="52" t="s">
        <v>421</v>
      </c>
      <c r="B1176" s="52" t="s">
        <v>300</v>
      </c>
      <c r="C1176" s="53">
        <v>2023</v>
      </c>
      <c r="D1176" s="52" t="s">
        <v>128</v>
      </c>
      <c r="E1176" s="54">
        <v>11</v>
      </c>
      <c r="F1176" s="55">
        <v>8.6999999999999993</v>
      </c>
      <c r="G1176" s="55">
        <v>3</v>
      </c>
    </row>
    <row r="1177" spans="1:7" ht="10.050000000000001" customHeight="1">
      <c r="A1177" s="52" t="s">
        <v>421</v>
      </c>
      <c r="B1177" s="52" t="s">
        <v>300</v>
      </c>
      <c r="C1177" s="53">
        <v>2023</v>
      </c>
      <c r="D1177" s="52" t="s">
        <v>128</v>
      </c>
      <c r="E1177" s="54">
        <v>12</v>
      </c>
      <c r="F1177" s="55">
        <v>16.7</v>
      </c>
      <c r="G1177" s="55">
        <v>5.74</v>
      </c>
    </row>
    <row r="1178" spans="1:7" ht="10.050000000000001" customHeight="1">
      <c r="A1178" s="52" t="s">
        <v>421</v>
      </c>
      <c r="B1178" s="52" t="s">
        <v>300</v>
      </c>
      <c r="C1178" s="53">
        <v>2024</v>
      </c>
      <c r="D1178" s="52" t="s">
        <v>128</v>
      </c>
      <c r="E1178" s="54">
        <v>1</v>
      </c>
      <c r="F1178" s="55">
        <v>18.8</v>
      </c>
      <c r="G1178" s="55">
        <v>3.54</v>
      </c>
    </row>
    <row r="1179" spans="1:7" ht="10.050000000000001" customHeight="1">
      <c r="A1179" s="52" t="s">
        <v>421</v>
      </c>
      <c r="B1179" s="52" t="s">
        <v>300</v>
      </c>
      <c r="C1179" s="53">
        <v>2024</v>
      </c>
      <c r="D1179" s="52" t="s">
        <v>128</v>
      </c>
      <c r="E1179" s="54">
        <v>2</v>
      </c>
      <c r="F1179" s="55">
        <v>14.9</v>
      </c>
      <c r="G1179" s="55">
        <v>6.34</v>
      </c>
    </row>
    <row r="1180" spans="1:7" ht="10.050000000000001" customHeight="1">
      <c r="A1180" s="52" t="s">
        <v>421</v>
      </c>
      <c r="B1180" s="52" t="s">
        <v>300</v>
      </c>
      <c r="C1180" s="53">
        <v>2024</v>
      </c>
      <c r="D1180" s="52" t="s">
        <v>128</v>
      </c>
      <c r="E1180" s="54">
        <v>3</v>
      </c>
      <c r="F1180" s="55">
        <v>15</v>
      </c>
      <c r="G1180" s="55">
        <v>11.24</v>
      </c>
    </row>
    <row r="1181" spans="1:7" ht="10.050000000000001" customHeight="1">
      <c r="A1181" s="52" t="s">
        <v>421</v>
      </c>
      <c r="B1181" s="52" t="s">
        <v>300</v>
      </c>
      <c r="C1181" s="53">
        <v>2024</v>
      </c>
      <c r="D1181" s="52" t="s">
        <v>128</v>
      </c>
      <c r="E1181" s="54">
        <v>4</v>
      </c>
      <c r="F1181" s="55">
        <v>11.5</v>
      </c>
      <c r="G1181" s="55">
        <v>11.14</v>
      </c>
    </row>
    <row r="1182" spans="1:7" ht="10.050000000000001" customHeight="1">
      <c r="A1182" s="52" t="s">
        <v>421</v>
      </c>
      <c r="B1182" s="52" t="s">
        <v>300</v>
      </c>
      <c r="C1182" s="53">
        <v>2024</v>
      </c>
      <c r="D1182" s="52" t="s">
        <v>128</v>
      </c>
      <c r="E1182" s="54">
        <v>5</v>
      </c>
      <c r="F1182" s="55">
        <v>5.8</v>
      </c>
      <c r="G1182" s="55">
        <v>5.34</v>
      </c>
    </row>
    <row r="1183" spans="1:7" ht="10.050000000000001" customHeight="1">
      <c r="A1183" s="52" t="s">
        <v>421</v>
      </c>
      <c r="B1183" s="52" t="s">
        <v>300</v>
      </c>
      <c r="C1183" s="53">
        <v>2024</v>
      </c>
      <c r="D1183" s="52" t="s">
        <v>128</v>
      </c>
      <c r="E1183" s="54">
        <v>6</v>
      </c>
      <c r="F1183" s="55">
        <v>7</v>
      </c>
      <c r="G1183" s="55">
        <v>6.94</v>
      </c>
    </row>
    <row r="1184" spans="1:7" ht="10.050000000000001" customHeight="1">
      <c r="A1184" s="52" t="s">
        <v>421</v>
      </c>
      <c r="B1184" s="52" t="s">
        <v>300</v>
      </c>
      <c r="C1184" s="53">
        <v>2024</v>
      </c>
      <c r="D1184" s="52" t="s">
        <v>129</v>
      </c>
      <c r="E1184" s="54">
        <v>7</v>
      </c>
      <c r="F1184" s="55">
        <v>4.8</v>
      </c>
      <c r="G1184" s="55">
        <v>2.14</v>
      </c>
    </row>
    <row r="1185" spans="1:7" ht="10.050000000000001" customHeight="1">
      <c r="A1185" s="52" t="s">
        <v>421</v>
      </c>
      <c r="B1185" s="52" t="s">
        <v>300</v>
      </c>
      <c r="C1185" s="53">
        <v>2024</v>
      </c>
      <c r="D1185" s="52" t="s">
        <v>129</v>
      </c>
      <c r="E1185" s="54">
        <v>8</v>
      </c>
      <c r="F1185" s="55">
        <v>8</v>
      </c>
      <c r="G1185" s="55">
        <v>2.74</v>
      </c>
    </row>
    <row r="1186" spans="1:7" ht="10.050000000000001" customHeight="1">
      <c r="A1186" s="52" t="s">
        <v>421</v>
      </c>
      <c r="B1186" s="52" t="s">
        <v>300</v>
      </c>
      <c r="C1186" s="53">
        <v>2024</v>
      </c>
      <c r="D1186" s="52" t="s">
        <v>129</v>
      </c>
      <c r="E1186" s="54">
        <v>9</v>
      </c>
      <c r="F1186" s="55">
        <v>11.34</v>
      </c>
      <c r="G1186" s="55">
        <v>8.4</v>
      </c>
    </row>
    <row r="1187" spans="1:7" ht="10.050000000000001" customHeight="1">
      <c r="A1187" s="52" t="s">
        <v>421</v>
      </c>
      <c r="B1187" s="52" t="s">
        <v>300</v>
      </c>
      <c r="C1187" s="53">
        <v>2024</v>
      </c>
      <c r="D1187" s="52" t="s">
        <v>129</v>
      </c>
      <c r="E1187" s="54">
        <v>10</v>
      </c>
      <c r="F1187" s="55">
        <v>18.016999999999999</v>
      </c>
      <c r="G1187" s="55">
        <v>9.1999999999999993</v>
      </c>
    </row>
    <row r="1188" spans="1:7" ht="10.050000000000001" customHeight="1">
      <c r="A1188" s="52" t="s">
        <v>421</v>
      </c>
      <c r="B1188" s="52" t="s">
        <v>300</v>
      </c>
      <c r="C1188" s="53">
        <v>2024</v>
      </c>
      <c r="D1188" s="52" t="s">
        <v>129</v>
      </c>
      <c r="E1188" s="54">
        <v>11</v>
      </c>
      <c r="F1188" s="55">
        <v>14.2</v>
      </c>
      <c r="G1188" s="55">
        <v>9.5</v>
      </c>
    </row>
    <row r="1189" spans="1:7" ht="10.050000000000001" customHeight="1">
      <c r="A1189" s="52" t="s">
        <v>421</v>
      </c>
      <c r="B1189" s="52" t="s">
        <v>300</v>
      </c>
      <c r="C1189" s="53">
        <v>2024</v>
      </c>
      <c r="D1189" s="52" t="s">
        <v>129</v>
      </c>
      <c r="E1189" s="54">
        <v>12</v>
      </c>
      <c r="F1189" s="55">
        <v>28.588000000000001</v>
      </c>
      <c r="G1189" s="55">
        <v>7.2</v>
      </c>
    </row>
    <row r="1190" spans="1:7" ht="10.050000000000001" customHeight="1">
      <c r="A1190" s="52" t="s">
        <v>421</v>
      </c>
      <c r="B1190" s="52" t="s">
        <v>307</v>
      </c>
      <c r="C1190" s="53">
        <v>2000</v>
      </c>
      <c r="D1190" s="52" t="s">
        <v>105</v>
      </c>
      <c r="E1190" s="54">
        <v>7</v>
      </c>
      <c r="F1190" s="55">
        <v>201420.1</v>
      </c>
      <c r="G1190" s="55">
        <v>62356.800000000003</v>
      </c>
    </row>
    <row r="1191" spans="1:7" ht="10.050000000000001" customHeight="1">
      <c r="A1191" s="52" t="s">
        <v>421</v>
      </c>
      <c r="B1191" s="52" t="s">
        <v>307</v>
      </c>
      <c r="C1191" s="53">
        <v>2000</v>
      </c>
      <c r="D1191" s="52" t="s">
        <v>105</v>
      </c>
      <c r="E1191" s="54">
        <v>8</v>
      </c>
      <c r="F1191" s="55">
        <v>171832.6</v>
      </c>
      <c r="G1191" s="55">
        <v>48447.199999999997</v>
      </c>
    </row>
    <row r="1192" spans="1:7" ht="10.050000000000001" customHeight="1">
      <c r="A1192" s="52" t="s">
        <v>421</v>
      </c>
      <c r="B1192" s="52" t="s">
        <v>307</v>
      </c>
      <c r="C1192" s="53">
        <v>2000</v>
      </c>
      <c r="D1192" s="52" t="s">
        <v>105</v>
      </c>
      <c r="E1192" s="54">
        <v>9</v>
      </c>
      <c r="F1192" s="55">
        <v>151073.5</v>
      </c>
      <c r="G1192" s="55">
        <v>42937.2</v>
      </c>
    </row>
    <row r="1193" spans="1:7" ht="10.050000000000001" customHeight="1">
      <c r="A1193" s="52" t="s">
        <v>421</v>
      </c>
      <c r="B1193" s="52" t="s">
        <v>307</v>
      </c>
      <c r="C1193" s="53">
        <v>2000</v>
      </c>
      <c r="D1193" s="52" t="s">
        <v>105</v>
      </c>
      <c r="E1193" s="54">
        <v>10</v>
      </c>
      <c r="F1193" s="55">
        <v>209900.6</v>
      </c>
      <c r="G1193" s="55">
        <v>101816.8</v>
      </c>
    </row>
    <row r="1194" spans="1:7" ht="10.050000000000001" customHeight="1">
      <c r="A1194" s="52" t="s">
        <v>421</v>
      </c>
      <c r="B1194" s="52" t="s">
        <v>307</v>
      </c>
      <c r="C1194" s="53">
        <v>2000</v>
      </c>
      <c r="D1194" s="52" t="s">
        <v>105</v>
      </c>
      <c r="E1194" s="54">
        <v>11</v>
      </c>
      <c r="F1194" s="55">
        <v>268360.40000000002</v>
      </c>
      <c r="G1194" s="55">
        <v>196218.8</v>
      </c>
    </row>
    <row r="1195" spans="1:7" ht="10.050000000000001" customHeight="1">
      <c r="A1195" s="52" t="s">
        <v>421</v>
      </c>
      <c r="B1195" s="52" t="s">
        <v>307</v>
      </c>
      <c r="C1195" s="53">
        <v>2000</v>
      </c>
      <c r="D1195" s="52" t="s">
        <v>105</v>
      </c>
      <c r="E1195" s="54">
        <v>12</v>
      </c>
      <c r="F1195" s="55">
        <v>254815.7</v>
      </c>
      <c r="G1195" s="55">
        <v>188353.4</v>
      </c>
    </row>
    <row r="1196" spans="1:7" ht="10.050000000000001" customHeight="1">
      <c r="A1196" s="52" t="s">
        <v>421</v>
      </c>
      <c r="B1196" s="52" t="s">
        <v>307</v>
      </c>
      <c r="C1196" s="53">
        <v>2001</v>
      </c>
      <c r="D1196" s="52" t="s">
        <v>105</v>
      </c>
      <c r="E1196" s="54">
        <v>1</v>
      </c>
      <c r="F1196" s="55">
        <v>265311.2</v>
      </c>
      <c r="G1196" s="55">
        <v>164077.6</v>
      </c>
    </row>
    <row r="1197" spans="1:7" ht="10.050000000000001" customHeight="1">
      <c r="A1197" s="52" t="s">
        <v>421</v>
      </c>
      <c r="B1197" s="52" t="s">
        <v>307</v>
      </c>
      <c r="C1197" s="53">
        <v>2001</v>
      </c>
      <c r="D1197" s="52" t="s">
        <v>105</v>
      </c>
      <c r="E1197" s="54">
        <v>2</v>
      </c>
      <c r="F1197" s="55">
        <v>230266.2</v>
      </c>
      <c r="G1197" s="55">
        <v>149063</v>
      </c>
    </row>
    <row r="1198" spans="1:7" ht="10.050000000000001" customHeight="1">
      <c r="A1198" s="52" t="s">
        <v>421</v>
      </c>
      <c r="B1198" s="52" t="s">
        <v>307</v>
      </c>
      <c r="C1198" s="53">
        <v>2001</v>
      </c>
      <c r="D1198" s="52" t="s">
        <v>105</v>
      </c>
      <c r="E1198" s="54">
        <v>3</v>
      </c>
      <c r="F1198" s="55">
        <v>259627.3</v>
      </c>
      <c r="G1198" s="55">
        <v>137426.79999999999</v>
      </c>
    </row>
    <row r="1199" spans="1:7" ht="10.050000000000001" customHeight="1">
      <c r="A1199" s="52" t="s">
        <v>421</v>
      </c>
      <c r="B1199" s="52" t="s">
        <v>307</v>
      </c>
      <c r="C1199" s="53">
        <v>2001</v>
      </c>
      <c r="D1199" s="52" t="s">
        <v>105</v>
      </c>
      <c r="E1199" s="54">
        <v>4</v>
      </c>
      <c r="F1199" s="55">
        <v>249378.4</v>
      </c>
      <c r="G1199" s="55">
        <v>118362.6</v>
      </c>
    </row>
    <row r="1200" spans="1:7" ht="10.050000000000001" customHeight="1">
      <c r="A1200" s="52" t="s">
        <v>421</v>
      </c>
      <c r="B1200" s="52" t="s">
        <v>307</v>
      </c>
      <c r="C1200" s="53">
        <v>2001</v>
      </c>
      <c r="D1200" s="52" t="s">
        <v>105</v>
      </c>
      <c r="E1200" s="54">
        <v>5</v>
      </c>
      <c r="F1200" s="55">
        <v>277281.59999999998</v>
      </c>
      <c r="G1200" s="55">
        <v>106650.7</v>
      </c>
    </row>
    <row r="1201" spans="1:7" ht="10.050000000000001" customHeight="1">
      <c r="A1201" s="52" t="s">
        <v>421</v>
      </c>
      <c r="B1201" s="52" t="s">
        <v>307</v>
      </c>
      <c r="C1201" s="53">
        <v>2001</v>
      </c>
      <c r="D1201" s="52" t="s">
        <v>105</v>
      </c>
      <c r="E1201" s="54">
        <v>6</v>
      </c>
      <c r="F1201" s="55">
        <v>246486.8</v>
      </c>
      <c r="G1201" s="55">
        <v>105153.2</v>
      </c>
    </row>
    <row r="1202" spans="1:7" ht="10.050000000000001" customHeight="1">
      <c r="A1202" s="52" t="s">
        <v>421</v>
      </c>
      <c r="B1202" s="52" t="s">
        <v>307</v>
      </c>
      <c r="C1202" s="53">
        <v>2001</v>
      </c>
      <c r="D1202" s="52" t="s">
        <v>108</v>
      </c>
      <c r="E1202" s="54">
        <v>7</v>
      </c>
      <c r="F1202" s="55">
        <v>227225.9</v>
      </c>
      <c r="G1202" s="55">
        <v>82490.8</v>
      </c>
    </row>
    <row r="1203" spans="1:7" ht="10.050000000000001" customHeight="1">
      <c r="A1203" s="52" t="s">
        <v>421</v>
      </c>
      <c r="B1203" s="52" t="s">
        <v>307</v>
      </c>
      <c r="C1203" s="53">
        <v>2001</v>
      </c>
      <c r="D1203" s="52" t="s">
        <v>108</v>
      </c>
      <c r="E1203" s="54">
        <v>8</v>
      </c>
      <c r="F1203" s="55">
        <v>226453.6</v>
      </c>
      <c r="G1203" s="55">
        <v>67617.399999999994</v>
      </c>
    </row>
    <row r="1204" spans="1:7" ht="10.050000000000001" customHeight="1">
      <c r="A1204" s="52" t="s">
        <v>421</v>
      </c>
      <c r="B1204" s="52" t="s">
        <v>307</v>
      </c>
      <c r="C1204" s="53">
        <v>2001</v>
      </c>
      <c r="D1204" s="52" t="s">
        <v>108</v>
      </c>
      <c r="E1204" s="54">
        <v>9</v>
      </c>
      <c r="F1204" s="55">
        <v>219412.8</v>
      </c>
      <c r="G1204" s="55">
        <v>53508.9</v>
      </c>
    </row>
    <row r="1205" spans="1:7" ht="10.050000000000001" customHeight="1">
      <c r="A1205" s="52" t="s">
        <v>421</v>
      </c>
      <c r="B1205" s="52" t="s">
        <v>307</v>
      </c>
      <c r="C1205" s="53">
        <v>2001</v>
      </c>
      <c r="D1205" s="52" t="s">
        <v>108</v>
      </c>
      <c r="E1205" s="54">
        <v>10</v>
      </c>
      <c r="F1205" s="55">
        <v>316455.90000000002</v>
      </c>
      <c r="G1205" s="55">
        <v>159481.9</v>
      </c>
    </row>
    <row r="1206" spans="1:7" ht="10.050000000000001" customHeight="1">
      <c r="A1206" s="52" t="s">
        <v>421</v>
      </c>
      <c r="B1206" s="52" t="s">
        <v>307</v>
      </c>
      <c r="C1206" s="53">
        <v>2001</v>
      </c>
      <c r="D1206" s="52" t="s">
        <v>108</v>
      </c>
      <c r="E1206" s="54">
        <v>11</v>
      </c>
      <c r="F1206" s="55">
        <v>360891.7</v>
      </c>
      <c r="G1206" s="55">
        <v>237652.7</v>
      </c>
    </row>
    <row r="1207" spans="1:7" ht="10.050000000000001" customHeight="1">
      <c r="A1207" s="52" t="s">
        <v>421</v>
      </c>
      <c r="B1207" s="52" t="s">
        <v>307</v>
      </c>
      <c r="C1207" s="53">
        <v>2001</v>
      </c>
      <c r="D1207" s="52" t="s">
        <v>108</v>
      </c>
      <c r="E1207" s="54">
        <v>12</v>
      </c>
      <c r="F1207" s="55">
        <v>330909</v>
      </c>
      <c r="G1207" s="55">
        <v>188643.4</v>
      </c>
    </row>
    <row r="1208" spans="1:7" ht="10.050000000000001" customHeight="1">
      <c r="A1208" s="52" t="s">
        <v>421</v>
      </c>
      <c r="B1208" s="52" t="s">
        <v>307</v>
      </c>
      <c r="C1208" s="53">
        <v>2002</v>
      </c>
      <c r="D1208" s="52" t="s">
        <v>108</v>
      </c>
      <c r="E1208" s="54">
        <v>1</v>
      </c>
      <c r="F1208" s="55">
        <v>349376.9</v>
      </c>
      <c r="G1208" s="55">
        <v>157343.20000000001</v>
      </c>
    </row>
    <row r="1209" spans="1:7" ht="10.050000000000001" customHeight="1">
      <c r="A1209" s="52" t="s">
        <v>421</v>
      </c>
      <c r="B1209" s="52" t="s">
        <v>307</v>
      </c>
      <c r="C1209" s="53">
        <v>2002</v>
      </c>
      <c r="D1209" s="52" t="s">
        <v>108</v>
      </c>
      <c r="E1209" s="54">
        <v>2</v>
      </c>
      <c r="F1209" s="55">
        <v>294327.8</v>
      </c>
      <c r="G1209" s="55">
        <v>152834.5</v>
      </c>
    </row>
    <row r="1210" spans="1:7" ht="10.050000000000001" customHeight="1">
      <c r="A1210" s="52" t="s">
        <v>421</v>
      </c>
      <c r="B1210" s="52" t="s">
        <v>307</v>
      </c>
      <c r="C1210" s="53">
        <v>2002</v>
      </c>
      <c r="D1210" s="52" t="s">
        <v>108</v>
      </c>
      <c r="E1210" s="54">
        <v>3</v>
      </c>
      <c r="F1210" s="55">
        <v>309262</v>
      </c>
      <c r="G1210" s="55">
        <v>135042.5</v>
      </c>
    </row>
    <row r="1211" spans="1:7" ht="10.050000000000001" customHeight="1">
      <c r="A1211" s="52" t="s">
        <v>421</v>
      </c>
      <c r="B1211" s="52" t="s">
        <v>307</v>
      </c>
      <c r="C1211" s="53">
        <v>2002</v>
      </c>
      <c r="D1211" s="52" t="s">
        <v>108</v>
      </c>
      <c r="E1211" s="54">
        <v>4</v>
      </c>
      <c r="F1211" s="55">
        <v>302419.5</v>
      </c>
      <c r="G1211" s="55">
        <v>123771.4</v>
      </c>
    </row>
    <row r="1212" spans="1:7" ht="10.050000000000001" customHeight="1">
      <c r="A1212" s="52" t="s">
        <v>421</v>
      </c>
      <c r="B1212" s="52" t="s">
        <v>307</v>
      </c>
      <c r="C1212" s="53">
        <v>2002</v>
      </c>
      <c r="D1212" s="52" t="s">
        <v>108</v>
      </c>
      <c r="E1212" s="54">
        <v>5</v>
      </c>
      <c r="F1212" s="55">
        <v>298832.90000000002</v>
      </c>
      <c r="G1212" s="55">
        <v>106152.9</v>
      </c>
    </row>
    <row r="1213" spans="1:7" ht="10.050000000000001" customHeight="1">
      <c r="A1213" s="52" t="s">
        <v>421</v>
      </c>
      <c r="B1213" s="52" t="s">
        <v>307</v>
      </c>
      <c r="C1213" s="53">
        <v>2002</v>
      </c>
      <c r="D1213" s="52" t="s">
        <v>108</v>
      </c>
      <c r="E1213" s="54">
        <v>6</v>
      </c>
      <c r="F1213" s="55">
        <v>252100.5</v>
      </c>
      <c r="G1213" s="55">
        <v>95414.2</v>
      </c>
    </row>
    <row r="1214" spans="1:7" ht="10.050000000000001" customHeight="1">
      <c r="A1214" s="52" t="s">
        <v>421</v>
      </c>
      <c r="B1214" s="52" t="s">
        <v>307</v>
      </c>
      <c r="C1214" s="53">
        <v>2002</v>
      </c>
      <c r="D1214" s="52" t="s">
        <v>109</v>
      </c>
      <c r="E1214" s="54">
        <v>7</v>
      </c>
      <c r="F1214" s="55">
        <v>243288.3</v>
      </c>
      <c r="G1214" s="55">
        <v>71086.100000000006</v>
      </c>
    </row>
    <row r="1215" spans="1:7" ht="10.050000000000001" customHeight="1">
      <c r="A1215" s="52" t="s">
        <v>421</v>
      </c>
      <c r="B1215" s="52" t="s">
        <v>307</v>
      </c>
      <c r="C1215" s="53">
        <v>2002</v>
      </c>
      <c r="D1215" s="52" t="s">
        <v>109</v>
      </c>
      <c r="E1215" s="54">
        <v>8</v>
      </c>
      <c r="F1215" s="55">
        <v>189829</v>
      </c>
      <c r="G1215" s="55">
        <v>60620.7</v>
      </c>
    </row>
    <row r="1216" spans="1:7" ht="10.050000000000001" customHeight="1">
      <c r="A1216" s="52" t="s">
        <v>421</v>
      </c>
      <c r="B1216" s="52" t="s">
        <v>307</v>
      </c>
      <c r="C1216" s="53">
        <v>2002</v>
      </c>
      <c r="D1216" s="52" t="s">
        <v>109</v>
      </c>
      <c r="E1216" s="54">
        <v>9</v>
      </c>
      <c r="F1216" s="55">
        <v>171939.8</v>
      </c>
      <c r="G1216" s="55">
        <v>49896</v>
      </c>
    </row>
    <row r="1217" spans="1:7" ht="10.050000000000001" customHeight="1">
      <c r="A1217" s="52" t="s">
        <v>421</v>
      </c>
      <c r="B1217" s="52" t="s">
        <v>307</v>
      </c>
      <c r="C1217" s="53">
        <v>2002</v>
      </c>
      <c r="D1217" s="52" t="s">
        <v>109</v>
      </c>
      <c r="E1217" s="54">
        <v>10</v>
      </c>
      <c r="F1217" s="55">
        <v>233144.38</v>
      </c>
      <c r="G1217" s="55">
        <v>126250.2</v>
      </c>
    </row>
    <row r="1218" spans="1:7" ht="10.050000000000001" customHeight="1">
      <c r="A1218" s="52" t="s">
        <v>421</v>
      </c>
      <c r="B1218" s="52" t="s">
        <v>307</v>
      </c>
      <c r="C1218" s="53">
        <v>2002</v>
      </c>
      <c r="D1218" s="52" t="s">
        <v>109</v>
      </c>
      <c r="E1218" s="54">
        <v>11</v>
      </c>
      <c r="F1218" s="55">
        <v>271354</v>
      </c>
      <c r="G1218" s="55">
        <v>216492.2</v>
      </c>
    </row>
    <row r="1219" spans="1:7" ht="10.050000000000001" customHeight="1">
      <c r="A1219" s="52" t="s">
        <v>421</v>
      </c>
      <c r="B1219" s="52" t="s">
        <v>307</v>
      </c>
      <c r="C1219" s="53">
        <v>2002</v>
      </c>
      <c r="D1219" s="52" t="s">
        <v>109</v>
      </c>
      <c r="E1219" s="54">
        <v>12</v>
      </c>
      <c r="F1219" s="55">
        <v>291490.5</v>
      </c>
      <c r="G1219" s="55">
        <v>199517.2</v>
      </c>
    </row>
    <row r="1220" spans="1:7" ht="10.050000000000001" customHeight="1">
      <c r="A1220" s="52" t="s">
        <v>421</v>
      </c>
      <c r="B1220" s="52" t="s">
        <v>307</v>
      </c>
      <c r="C1220" s="53">
        <v>2003</v>
      </c>
      <c r="D1220" s="52" t="s">
        <v>109</v>
      </c>
      <c r="E1220" s="54">
        <v>1</v>
      </c>
      <c r="F1220" s="55">
        <v>314387.09999999998</v>
      </c>
      <c r="G1220" s="55">
        <v>155603.5</v>
      </c>
    </row>
    <row r="1221" spans="1:7" ht="10.050000000000001" customHeight="1">
      <c r="A1221" s="52" t="s">
        <v>421</v>
      </c>
      <c r="B1221" s="52" t="s">
        <v>307</v>
      </c>
      <c r="C1221" s="53">
        <v>2003</v>
      </c>
      <c r="D1221" s="52" t="s">
        <v>109</v>
      </c>
      <c r="E1221" s="54">
        <v>2</v>
      </c>
      <c r="F1221" s="55">
        <v>277597.40000000002</v>
      </c>
      <c r="G1221" s="55">
        <v>140476.29999999999</v>
      </c>
    </row>
    <row r="1222" spans="1:7" ht="10.050000000000001" customHeight="1">
      <c r="A1222" s="52" t="s">
        <v>421</v>
      </c>
      <c r="B1222" s="52" t="s">
        <v>307</v>
      </c>
      <c r="C1222" s="53">
        <v>2003</v>
      </c>
      <c r="D1222" s="52" t="s">
        <v>109</v>
      </c>
      <c r="E1222" s="54">
        <v>3</v>
      </c>
      <c r="F1222" s="55">
        <v>287877.59999999998</v>
      </c>
      <c r="G1222" s="55">
        <v>118034.3</v>
      </c>
    </row>
    <row r="1223" spans="1:7" ht="10.050000000000001" customHeight="1">
      <c r="A1223" s="52" t="s">
        <v>421</v>
      </c>
      <c r="B1223" s="52" t="s">
        <v>307</v>
      </c>
      <c r="C1223" s="53">
        <v>2003</v>
      </c>
      <c r="D1223" s="52" t="s">
        <v>109</v>
      </c>
      <c r="E1223" s="54">
        <v>4</v>
      </c>
      <c r="F1223" s="55">
        <v>290539.59999999998</v>
      </c>
      <c r="G1223" s="55">
        <v>99148.800000000003</v>
      </c>
    </row>
    <row r="1224" spans="1:7" ht="10.050000000000001" customHeight="1">
      <c r="A1224" s="52" t="s">
        <v>421</v>
      </c>
      <c r="B1224" s="52" t="s">
        <v>307</v>
      </c>
      <c r="C1224" s="53">
        <v>2003</v>
      </c>
      <c r="D1224" s="52" t="s">
        <v>109</v>
      </c>
      <c r="E1224" s="54">
        <v>5</v>
      </c>
      <c r="F1224" s="55">
        <v>267726.8</v>
      </c>
      <c r="G1224" s="55">
        <v>86112.5</v>
      </c>
    </row>
    <row r="1225" spans="1:7" ht="10.050000000000001" customHeight="1">
      <c r="A1225" s="52" t="s">
        <v>421</v>
      </c>
      <c r="B1225" s="52" t="s">
        <v>307</v>
      </c>
      <c r="C1225" s="53">
        <v>2003</v>
      </c>
      <c r="D1225" s="52" t="s">
        <v>109</v>
      </c>
      <c r="E1225" s="54">
        <v>6</v>
      </c>
      <c r="F1225" s="55">
        <v>246970.2</v>
      </c>
      <c r="G1225" s="55">
        <v>88307.8</v>
      </c>
    </row>
    <row r="1226" spans="1:7" ht="10.050000000000001" customHeight="1">
      <c r="A1226" s="52" t="s">
        <v>421</v>
      </c>
      <c r="B1226" s="52" t="s">
        <v>307</v>
      </c>
      <c r="C1226" s="53">
        <v>2003</v>
      </c>
      <c r="D1226" s="52" t="s">
        <v>106</v>
      </c>
      <c r="E1226" s="54">
        <v>7</v>
      </c>
      <c r="F1226" s="55">
        <v>257741.3</v>
      </c>
      <c r="G1226" s="55">
        <v>71110.899999999994</v>
      </c>
    </row>
    <row r="1227" spans="1:7" ht="10.050000000000001" customHeight="1">
      <c r="A1227" s="52" t="s">
        <v>421</v>
      </c>
      <c r="B1227" s="52" t="s">
        <v>307</v>
      </c>
      <c r="C1227" s="53">
        <v>2003</v>
      </c>
      <c r="D1227" s="52" t="s">
        <v>106</v>
      </c>
      <c r="E1227" s="54">
        <v>8</v>
      </c>
      <c r="F1227" s="55">
        <v>221418.3</v>
      </c>
      <c r="G1227" s="55">
        <v>64816.2</v>
      </c>
    </row>
    <row r="1228" spans="1:7" ht="10.050000000000001" customHeight="1">
      <c r="A1228" s="52" t="s">
        <v>421</v>
      </c>
      <c r="B1228" s="52" t="s">
        <v>307</v>
      </c>
      <c r="C1228" s="53">
        <v>2003</v>
      </c>
      <c r="D1228" s="52" t="s">
        <v>106</v>
      </c>
      <c r="E1228" s="54">
        <v>9</v>
      </c>
      <c r="F1228" s="55">
        <v>233675.1</v>
      </c>
      <c r="G1228" s="55">
        <v>115512.8</v>
      </c>
    </row>
    <row r="1229" spans="1:7" ht="10.050000000000001" customHeight="1">
      <c r="A1229" s="52" t="s">
        <v>421</v>
      </c>
      <c r="B1229" s="52" t="s">
        <v>307</v>
      </c>
      <c r="C1229" s="53">
        <v>2003</v>
      </c>
      <c r="D1229" s="52" t="s">
        <v>106</v>
      </c>
      <c r="E1229" s="54">
        <v>10</v>
      </c>
      <c r="F1229" s="55">
        <v>242574.6</v>
      </c>
      <c r="G1229" s="55">
        <v>216139.7</v>
      </c>
    </row>
    <row r="1230" spans="1:7" ht="10.050000000000001" customHeight="1">
      <c r="A1230" s="52" t="s">
        <v>421</v>
      </c>
      <c r="B1230" s="52" t="s">
        <v>307</v>
      </c>
      <c r="C1230" s="53">
        <v>2003</v>
      </c>
      <c r="D1230" s="52" t="s">
        <v>106</v>
      </c>
      <c r="E1230" s="54">
        <v>11</v>
      </c>
      <c r="F1230" s="55">
        <v>206647.5</v>
      </c>
      <c r="G1230" s="55">
        <v>214475.4</v>
      </c>
    </row>
    <row r="1231" spans="1:7" ht="10.050000000000001" customHeight="1">
      <c r="A1231" s="52" t="s">
        <v>421</v>
      </c>
      <c r="B1231" s="52" t="s">
        <v>307</v>
      </c>
      <c r="C1231" s="53">
        <v>2003</v>
      </c>
      <c r="D1231" s="52" t="s">
        <v>106</v>
      </c>
      <c r="E1231" s="54">
        <v>12</v>
      </c>
      <c r="F1231" s="55">
        <v>245942.39999999999</v>
      </c>
      <c r="G1231" s="55">
        <v>182495.6</v>
      </c>
    </row>
    <row r="1232" spans="1:7" ht="10.050000000000001" customHeight="1">
      <c r="A1232" s="52" t="s">
        <v>421</v>
      </c>
      <c r="B1232" s="52" t="s">
        <v>307</v>
      </c>
      <c r="C1232" s="53">
        <v>2004</v>
      </c>
      <c r="D1232" s="52" t="s">
        <v>106</v>
      </c>
      <c r="E1232" s="54">
        <v>1</v>
      </c>
      <c r="F1232" s="55">
        <v>250430.4</v>
      </c>
      <c r="G1232" s="55">
        <v>155465.20000000001</v>
      </c>
    </row>
    <row r="1233" spans="1:7" ht="10.050000000000001" customHeight="1">
      <c r="A1233" s="52" t="s">
        <v>421</v>
      </c>
      <c r="B1233" s="52" t="s">
        <v>307</v>
      </c>
      <c r="C1233" s="53">
        <v>2004</v>
      </c>
      <c r="D1233" s="52" t="s">
        <v>106</v>
      </c>
      <c r="E1233" s="54">
        <v>2</v>
      </c>
      <c r="F1233" s="55">
        <v>231177.7</v>
      </c>
      <c r="G1233" s="55">
        <v>134852.29999999999</v>
      </c>
    </row>
    <row r="1234" spans="1:7" ht="10.050000000000001" customHeight="1">
      <c r="A1234" s="52" t="s">
        <v>421</v>
      </c>
      <c r="B1234" s="52" t="s">
        <v>307</v>
      </c>
      <c r="C1234" s="53">
        <v>2004</v>
      </c>
      <c r="D1234" s="52" t="s">
        <v>106</v>
      </c>
      <c r="E1234" s="54">
        <v>3</v>
      </c>
      <c r="F1234" s="55">
        <v>247035</v>
      </c>
      <c r="G1234" s="55">
        <v>123984.1</v>
      </c>
    </row>
    <row r="1235" spans="1:7" ht="10.050000000000001" customHeight="1">
      <c r="A1235" s="52" t="s">
        <v>421</v>
      </c>
      <c r="B1235" s="52" t="s">
        <v>307</v>
      </c>
      <c r="C1235" s="53">
        <v>2004</v>
      </c>
      <c r="D1235" s="52" t="s">
        <v>106</v>
      </c>
      <c r="E1235" s="54">
        <v>4</v>
      </c>
      <c r="F1235" s="55">
        <v>217100.6</v>
      </c>
      <c r="G1235" s="55">
        <v>110154.6</v>
      </c>
    </row>
    <row r="1236" spans="1:7" ht="10.050000000000001" customHeight="1">
      <c r="A1236" s="52" t="s">
        <v>421</v>
      </c>
      <c r="B1236" s="52" t="s">
        <v>307</v>
      </c>
      <c r="C1236" s="53">
        <v>2004</v>
      </c>
      <c r="D1236" s="52" t="s">
        <v>106</v>
      </c>
      <c r="E1236" s="54">
        <v>5</v>
      </c>
      <c r="F1236" s="55">
        <v>191954</v>
      </c>
      <c r="G1236" s="55">
        <v>99251</v>
      </c>
    </row>
    <row r="1237" spans="1:7" ht="10.050000000000001" customHeight="1">
      <c r="A1237" s="52" t="s">
        <v>421</v>
      </c>
      <c r="B1237" s="52" t="s">
        <v>307</v>
      </c>
      <c r="C1237" s="53">
        <v>2004</v>
      </c>
      <c r="D1237" s="52" t="s">
        <v>106</v>
      </c>
      <c r="E1237" s="54">
        <v>6</v>
      </c>
      <c r="F1237" s="55">
        <v>204533.9</v>
      </c>
      <c r="G1237" s="55">
        <v>100319.2</v>
      </c>
    </row>
    <row r="1238" spans="1:7" ht="10.050000000000001" customHeight="1">
      <c r="A1238" s="52" t="s">
        <v>421</v>
      </c>
      <c r="B1238" s="52" t="s">
        <v>307</v>
      </c>
      <c r="C1238" s="53">
        <v>2004</v>
      </c>
      <c r="D1238" s="52" t="s">
        <v>110</v>
      </c>
      <c r="E1238" s="54">
        <v>7</v>
      </c>
      <c r="F1238" s="55">
        <v>186866.6</v>
      </c>
      <c r="G1238" s="55">
        <v>77135.600000000006</v>
      </c>
    </row>
    <row r="1239" spans="1:7" ht="10.050000000000001" customHeight="1">
      <c r="A1239" s="52" t="s">
        <v>421</v>
      </c>
      <c r="B1239" s="52" t="s">
        <v>307</v>
      </c>
      <c r="C1239" s="53">
        <v>2004</v>
      </c>
      <c r="D1239" s="52" t="s">
        <v>110</v>
      </c>
      <c r="E1239" s="54">
        <v>8</v>
      </c>
      <c r="F1239" s="55">
        <v>169301.5</v>
      </c>
      <c r="G1239" s="55">
        <v>62061.4</v>
      </c>
    </row>
    <row r="1240" spans="1:7" ht="10.050000000000001" customHeight="1">
      <c r="A1240" s="52" t="s">
        <v>421</v>
      </c>
      <c r="B1240" s="52" t="s">
        <v>307</v>
      </c>
      <c r="C1240" s="53">
        <v>2004</v>
      </c>
      <c r="D1240" s="52" t="s">
        <v>110</v>
      </c>
      <c r="E1240" s="54">
        <v>9</v>
      </c>
      <c r="F1240" s="55">
        <v>182477.7</v>
      </c>
      <c r="G1240" s="55">
        <v>54095.7</v>
      </c>
    </row>
    <row r="1241" spans="1:7" ht="10.050000000000001" customHeight="1">
      <c r="A1241" s="52" t="s">
        <v>421</v>
      </c>
      <c r="B1241" s="52" t="s">
        <v>307</v>
      </c>
      <c r="C1241" s="53">
        <v>2004</v>
      </c>
      <c r="D1241" s="52" t="s">
        <v>110</v>
      </c>
      <c r="E1241" s="54">
        <v>10</v>
      </c>
      <c r="F1241" s="55">
        <v>271491</v>
      </c>
      <c r="G1241" s="55">
        <v>131785.79999999999</v>
      </c>
    </row>
    <row r="1242" spans="1:7" ht="10.050000000000001" customHeight="1">
      <c r="A1242" s="52" t="s">
        <v>421</v>
      </c>
      <c r="B1242" s="52" t="s">
        <v>307</v>
      </c>
      <c r="C1242" s="53">
        <v>2004</v>
      </c>
      <c r="D1242" s="52" t="s">
        <v>110</v>
      </c>
      <c r="E1242" s="54">
        <v>11</v>
      </c>
      <c r="F1242" s="55">
        <v>350910.1</v>
      </c>
      <c r="G1242" s="55">
        <v>250900.4</v>
      </c>
    </row>
    <row r="1243" spans="1:7" ht="10.050000000000001" customHeight="1">
      <c r="A1243" s="52" t="s">
        <v>421</v>
      </c>
      <c r="B1243" s="52" t="s">
        <v>307</v>
      </c>
      <c r="C1243" s="53">
        <v>2004</v>
      </c>
      <c r="D1243" s="52" t="s">
        <v>110</v>
      </c>
      <c r="E1243" s="54">
        <v>12</v>
      </c>
      <c r="F1243" s="55">
        <v>345458.8</v>
      </c>
      <c r="G1243" s="55">
        <v>213147.8</v>
      </c>
    </row>
    <row r="1244" spans="1:7" ht="10.050000000000001" customHeight="1">
      <c r="A1244" s="52" t="s">
        <v>421</v>
      </c>
      <c r="B1244" s="52" t="s">
        <v>307</v>
      </c>
      <c r="C1244" s="53">
        <v>2005</v>
      </c>
      <c r="D1244" s="52" t="s">
        <v>110</v>
      </c>
      <c r="E1244" s="54">
        <v>1</v>
      </c>
      <c r="F1244" s="55">
        <v>306875.40000000002</v>
      </c>
      <c r="G1244" s="55">
        <v>181521.2</v>
      </c>
    </row>
    <row r="1245" spans="1:7" ht="10.050000000000001" customHeight="1">
      <c r="A1245" s="52" t="s">
        <v>421</v>
      </c>
      <c r="B1245" s="52" t="s">
        <v>307</v>
      </c>
      <c r="C1245" s="53">
        <v>2005</v>
      </c>
      <c r="D1245" s="52" t="s">
        <v>110</v>
      </c>
      <c r="E1245" s="54">
        <v>2</v>
      </c>
      <c r="F1245" s="55">
        <v>298811.40000000002</v>
      </c>
      <c r="G1245" s="55">
        <v>150267.6</v>
      </c>
    </row>
    <row r="1246" spans="1:7" ht="10.050000000000001" customHeight="1">
      <c r="A1246" s="52" t="s">
        <v>421</v>
      </c>
      <c r="B1246" s="52" t="s">
        <v>307</v>
      </c>
      <c r="C1246" s="53">
        <v>2005</v>
      </c>
      <c r="D1246" s="52" t="s">
        <v>110</v>
      </c>
      <c r="E1246" s="54">
        <v>3</v>
      </c>
      <c r="F1246" s="55">
        <v>326068.59999999998</v>
      </c>
      <c r="G1246" s="55">
        <v>119476.2</v>
      </c>
    </row>
    <row r="1247" spans="1:7" ht="10.050000000000001" customHeight="1">
      <c r="A1247" s="52" t="s">
        <v>421</v>
      </c>
      <c r="B1247" s="52" t="s">
        <v>307</v>
      </c>
      <c r="C1247" s="53">
        <v>2005</v>
      </c>
      <c r="D1247" s="52" t="s">
        <v>110</v>
      </c>
      <c r="E1247" s="54">
        <v>4</v>
      </c>
      <c r="F1247" s="55">
        <v>280448.09999999998</v>
      </c>
      <c r="G1247" s="55">
        <v>105599.2</v>
      </c>
    </row>
    <row r="1248" spans="1:7" ht="10.050000000000001" customHeight="1">
      <c r="A1248" s="52" t="s">
        <v>421</v>
      </c>
      <c r="B1248" s="52" t="s">
        <v>307</v>
      </c>
      <c r="C1248" s="53">
        <v>2005</v>
      </c>
      <c r="D1248" s="52" t="s">
        <v>110</v>
      </c>
      <c r="E1248" s="54">
        <v>5</v>
      </c>
      <c r="F1248" s="55">
        <v>262723.8</v>
      </c>
      <c r="G1248" s="55">
        <v>88883.8</v>
      </c>
    </row>
    <row r="1249" spans="1:7" ht="10.050000000000001" customHeight="1">
      <c r="A1249" s="52" t="s">
        <v>421</v>
      </c>
      <c r="B1249" s="52" t="s">
        <v>307</v>
      </c>
      <c r="C1249" s="53">
        <v>2005</v>
      </c>
      <c r="D1249" s="52" t="s">
        <v>110</v>
      </c>
      <c r="E1249" s="54">
        <v>6</v>
      </c>
      <c r="F1249" s="55">
        <v>247277.8</v>
      </c>
      <c r="G1249" s="55">
        <v>87263.6</v>
      </c>
    </row>
    <row r="1250" spans="1:7" ht="10.050000000000001" customHeight="1">
      <c r="A1250" s="52" t="s">
        <v>421</v>
      </c>
      <c r="B1250" s="52" t="s">
        <v>307</v>
      </c>
      <c r="C1250" s="53">
        <v>2005</v>
      </c>
      <c r="D1250" s="52" t="s">
        <v>111</v>
      </c>
      <c r="E1250" s="54">
        <v>7</v>
      </c>
      <c r="F1250" s="55">
        <v>194391.6</v>
      </c>
      <c r="G1250" s="55">
        <v>70232.399999999994</v>
      </c>
    </row>
    <row r="1251" spans="1:7" ht="10.050000000000001" customHeight="1">
      <c r="A1251" s="52" t="s">
        <v>421</v>
      </c>
      <c r="B1251" s="52" t="s">
        <v>307</v>
      </c>
      <c r="C1251" s="53">
        <v>2005</v>
      </c>
      <c r="D1251" s="52" t="s">
        <v>111</v>
      </c>
      <c r="E1251" s="54">
        <v>8</v>
      </c>
      <c r="F1251" s="55">
        <v>194037</v>
      </c>
      <c r="G1251" s="55">
        <v>53366.400000000001</v>
      </c>
    </row>
    <row r="1252" spans="1:7" ht="10.050000000000001" customHeight="1">
      <c r="A1252" s="52" t="s">
        <v>421</v>
      </c>
      <c r="B1252" s="52" t="s">
        <v>307</v>
      </c>
      <c r="C1252" s="53">
        <v>2005</v>
      </c>
      <c r="D1252" s="52" t="s">
        <v>111</v>
      </c>
      <c r="E1252" s="54">
        <v>9</v>
      </c>
      <c r="F1252" s="55">
        <v>187351.1</v>
      </c>
      <c r="G1252" s="55">
        <v>48743</v>
      </c>
    </row>
    <row r="1253" spans="1:7" ht="10.050000000000001" customHeight="1">
      <c r="A1253" s="52" t="s">
        <v>421</v>
      </c>
      <c r="B1253" s="52" t="s">
        <v>307</v>
      </c>
      <c r="C1253" s="53">
        <v>2005</v>
      </c>
      <c r="D1253" s="52" t="s">
        <v>111</v>
      </c>
      <c r="E1253" s="54">
        <v>10</v>
      </c>
      <c r="F1253" s="55">
        <v>215407</v>
      </c>
      <c r="G1253" s="55">
        <v>150049.1</v>
      </c>
    </row>
    <row r="1254" spans="1:7" ht="10.050000000000001" customHeight="1">
      <c r="A1254" s="52" t="s">
        <v>421</v>
      </c>
      <c r="B1254" s="52" t="s">
        <v>307</v>
      </c>
      <c r="C1254" s="53">
        <v>2005</v>
      </c>
      <c r="D1254" s="52" t="s">
        <v>111</v>
      </c>
      <c r="E1254" s="54">
        <v>11</v>
      </c>
      <c r="F1254" s="55">
        <v>253040.6</v>
      </c>
      <c r="G1254" s="55">
        <v>232174.8</v>
      </c>
    </row>
    <row r="1255" spans="1:7" ht="10.050000000000001" customHeight="1">
      <c r="A1255" s="52" t="s">
        <v>421</v>
      </c>
      <c r="B1255" s="52" t="s">
        <v>307</v>
      </c>
      <c r="C1255" s="53">
        <v>2005</v>
      </c>
      <c r="D1255" s="52" t="s">
        <v>111</v>
      </c>
      <c r="E1255" s="54">
        <v>12</v>
      </c>
      <c r="F1255" s="55">
        <v>234549.3</v>
      </c>
      <c r="G1255" s="55">
        <v>204912.4</v>
      </c>
    </row>
    <row r="1256" spans="1:7" ht="10.050000000000001" customHeight="1">
      <c r="A1256" s="52" t="s">
        <v>421</v>
      </c>
      <c r="B1256" s="52" t="s">
        <v>307</v>
      </c>
      <c r="C1256" s="53">
        <v>2006</v>
      </c>
      <c r="D1256" s="52" t="s">
        <v>111</v>
      </c>
      <c r="E1256" s="54">
        <v>1</v>
      </c>
      <c r="F1256" s="55">
        <v>221482.6</v>
      </c>
      <c r="G1256" s="55">
        <v>181399.3</v>
      </c>
    </row>
    <row r="1257" spans="1:7" ht="10.050000000000001" customHeight="1">
      <c r="A1257" s="52" t="s">
        <v>421</v>
      </c>
      <c r="B1257" s="52" t="s">
        <v>307</v>
      </c>
      <c r="C1257" s="53">
        <v>2006</v>
      </c>
      <c r="D1257" s="52" t="s">
        <v>111</v>
      </c>
      <c r="E1257" s="54">
        <v>2</v>
      </c>
      <c r="F1257" s="55">
        <v>200777.9</v>
      </c>
      <c r="G1257" s="55">
        <v>161322.1</v>
      </c>
    </row>
    <row r="1258" spans="1:7" ht="10.050000000000001" customHeight="1">
      <c r="A1258" s="52" t="s">
        <v>421</v>
      </c>
      <c r="B1258" s="52" t="s">
        <v>307</v>
      </c>
      <c r="C1258" s="53">
        <v>2006</v>
      </c>
      <c r="D1258" s="52" t="s">
        <v>111</v>
      </c>
      <c r="E1258" s="54">
        <v>3</v>
      </c>
      <c r="F1258" s="55">
        <v>227614.9</v>
      </c>
      <c r="G1258" s="55">
        <v>134891.6</v>
      </c>
    </row>
    <row r="1259" spans="1:7" ht="10.050000000000001" customHeight="1">
      <c r="A1259" s="52" t="s">
        <v>421</v>
      </c>
      <c r="B1259" s="52" t="s">
        <v>307</v>
      </c>
      <c r="C1259" s="53">
        <v>2006</v>
      </c>
      <c r="D1259" s="52" t="s">
        <v>111</v>
      </c>
      <c r="E1259" s="54">
        <v>4</v>
      </c>
      <c r="F1259" s="55">
        <v>207767.3</v>
      </c>
      <c r="G1259" s="55">
        <v>117200.1</v>
      </c>
    </row>
    <row r="1260" spans="1:7" ht="10.050000000000001" customHeight="1">
      <c r="A1260" s="52" t="s">
        <v>421</v>
      </c>
      <c r="B1260" s="52" t="s">
        <v>307</v>
      </c>
      <c r="C1260" s="53">
        <v>2006</v>
      </c>
      <c r="D1260" s="52" t="s">
        <v>111</v>
      </c>
      <c r="E1260" s="54">
        <v>5</v>
      </c>
      <c r="F1260" s="55">
        <v>223226.8</v>
      </c>
      <c r="G1260" s="55">
        <v>102793.5</v>
      </c>
    </row>
    <row r="1261" spans="1:7" ht="10.050000000000001" customHeight="1">
      <c r="A1261" s="52" t="s">
        <v>421</v>
      </c>
      <c r="B1261" s="52" t="s">
        <v>307</v>
      </c>
      <c r="C1261" s="53">
        <v>2006</v>
      </c>
      <c r="D1261" s="52" t="s">
        <v>111</v>
      </c>
      <c r="E1261" s="54">
        <v>6</v>
      </c>
      <c r="F1261" s="55">
        <v>223178.7</v>
      </c>
      <c r="G1261" s="55">
        <v>95771.199999999997</v>
      </c>
    </row>
    <row r="1262" spans="1:7" ht="10.050000000000001" customHeight="1">
      <c r="A1262" s="52" t="s">
        <v>421</v>
      </c>
      <c r="B1262" s="52" t="s">
        <v>307</v>
      </c>
      <c r="C1262" s="53">
        <v>2006</v>
      </c>
      <c r="D1262" s="52" t="s">
        <v>112</v>
      </c>
      <c r="E1262" s="54">
        <v>7</v>
      </c>
      <c r="F1262" s="55">
        <v>181074.9</v>
      </c>
      <c r="G1262" s="55">
        <v>78957.8</v>
      </c>
    </row>
    <row r="1263" spans="1:7" ht="10.050000000000001" customHeight="1">
      <c r="A1263" s="52" t="s">
        <v>421</v>
      </c>
      <c r="B1263" s="52" t="s">
        <v>307</v>
      </c>
      <c r="C1263" s="53">
        <v>2006</v>
      </c>
      <c r="D1263" s="52" t="s">
        <v>112</v>
      </c>
      <c r="E1263" s="54">
        <v>8</v>
      </c>
      <c r="F1263" s="55">
        <v>186412.1</v>
      </c>
      <c r="G1263" s="55">
        <v>56397.1</v>
      </c>
    </row>
    <row r="1264" spans="1:7" ht="10.050000000000001" customHeight="1">
      <c r="A1264" s="52" t="s">
        <v>421</v>
      </c>
      <c r="B1264" s="52" t="s">
        <v>307</v>
      </c>
      <c r="C1264" s="53">
        <v>2006</v>
      </c>
      <c r="D1264" s="52" t="s">
        <v>112</v>
      </c>
      <c r="E1264" s="54">
        <v>9</v>
      </c>
      <c r="F1264" s="55">
        <v>168860.79999999999</v>
      </c>
      <c r="G1264" s="55">
        <v>48929</v>
      </c>
    </row>
    <row r="1265" spans="1:7" ht="10.050000000000001" customHeight="1">
      <c r="A1265" s="52" t="s">
        <v>421</v>
      </c>
      <c r="B1265" s="52" t="s">
        <v>307</v>
      </c>
      <c r="C1265" s="53">
        <v>2006</v>
      </c>
      <c r="D1265" s="52" t="s">
        <v>112</v>
      </c>
      <c r="E1265" s="54">
        <v>10</v>
      </c>
      <c r="F1265" s="55">
        <v>212915.5</v>
      </c>
      <c r="G1265" s="55">
        <v>166911.9</v>
      </c>
    </row>
    <row r="1266" spans="1:7" ht="10.050000000000001" customHeight="1">
      <c r="A1266" s="52" t="s">
        <v>421</v>
      </c>
      <c r="B1266" s="52" t="s">
        <v>307</v>
      </c>
      <c r="C1266" s="53">
        <v>2006</v>
      </c>
      <c r="D1266" s="52" t="s">
        <v>112</v>
      </c>
      <c r="E1266" s="54">
        <v>11</v>
      </c>
      <c r="F1266" s="55">
        <v>251909.4</v>
      </c>
      <c r="G1266" s="55">
        <v>179790</v>
      </c>
    </row>
    <row r="1267" spans="1:7" ht="10.050000000000001" customHeight="1">
      <c r="A1267" s="52" t="s">
        <v>421</v>
      </c>
      <c r="B1267" s="52" t="s">
        <v>307</v>
      </c>
      <c r="C1267" s="53">
        <v>2006</v>
      </c>
      <c r="D1267" s="52" t="s">
        <v>112</v>
      </c>
      <c r="E1267" s="54">
        <v>12</v>
      </c>
      <c r="F1267" s="55">
        <v>235571.5</v>
      </c>
      <c r="G1267" s="55">
        <v>158153.79999999999</v>
      </c>
    </row>
    <row r="1268" spans="1:7" ht="10.050000000000001" customHeight="1">
      <c r="A1268" s="52" t="s">
        <v>421</v>
      </c>
      <c r="B1268" s="52" t="s">
        <v>307</v>
      </c>
      <c r="C1268" s="53">
        <v>2007</v>
      </c>
      <c r="D1268" s="52" t="s">
        <v>112</v>
      </c>
      <c r="E1268" s="54">
        <v>1</v>
      </c>
      <c r="F1268" s="55">
        <v>237961.2</v>
      </c>
      <c r="G1268" s="55">
        <v>134830.1</v>
      </c>
    </row>
    <row r="1269" spans="1:7" ht="10.050000000000001" customHeight="1">
      <c r="A1269" s="52" t="s">
        <v>421</v>
      </c>
      <c r="B1269" s="52" t="s">
        <v>307</v>
      </c>
      <c r="C1269" s="53">
        <v>2007</v>
      </c>
      <c r="D1269" s="52" t="s">
        <v>112</v>
      </c>
      <c r="E1269" s="54">
        <v>2</v>
      </c>
      <c r="F1269" s="55">
        <v>207782.7</v>
      </c>
      <c r="G1269" s="55">
        <v>123109.3</v>
      </c>
    </row>
    <row r="1270" spans="1:7" ht="10.050000000000001" customHeight="1">
      <c r="A1270" s="52" t="s">
        <v>421</v>
      </c>
      <c r="B1270" s="52" t="s">
        <v>307</v>
      </c>
      <c r="C1270" s="53">
        <v>2007</v>
      </c>
      <c r="D1270" s="52" t="s">
        <v>112</v>
      </c>
      <c r="E1270" s="54">
        <v>3</v>
      </c>
      <c r="F1270" s="55">
        <v>226407.4</v>
      </c>
      <c r="G1270" s="55">
        <v>109876.3</v>
      </c>
    </row>
    <row r="1271" spans="1:7" ht="10.050000000000001" customHeight="1">
      <c r="A1271" s="52" t="s">
        <v>421</v>
      </c>
      <c r="B1271" s="52" t="s">
        <v>307</v>
      </c>
      <c r="C1271" s="53">
        <v>2007</v>
      </c>
      <c r="D1271" s="52" t="s">
        <v>112</v>
      </c>
      <c r="E1271" s="54">
        <v>4</v>
      </c>
      <c r="F1271" s="55">
        <v>232895</v>
      </c>
      <c r="G1271" s="55">
        <v>97105.3</v>
      </c>
    </row>
    <row r="1272" spans="1:7" ht="10.050000000000001" customHeight="1">
      <c r="A1272" s="52" t="s">
        <v>421</v>
      </c>
      <c r="B1272" s="52" t="s">
        <v>307</v>
      </c>
      <c r="C1272" s="53">
        <v>2007</v>
      </c>
      <c r="D1272" s="52" t="s">
        <v>112</v>
      </c>
      <c r="E1272" s="54">
        <v>5</v>
      </c>
      <c r="F1272" s="55">
        <v>249822.3</v>
      </c>
      <c r="G1272" s="55">
        <v>83937</v>
      </c>
    </row>
    <row r="1273" spans="1:7" ht="10.050000000000001" customHeight="1">
      <c r="A1273" s="52" t="s">
        <v>421</v>
      </c>
      <c r="B1273" s="52" t="s">
        <v>307</v>
      </c>
      <c r="C1273" s="53">
        <v>2007</v>
      </c>
      <c r="D1273" s="52" t="s">
        <v>112</v>
      </c>
      <c r="E1273" s="54">
        <v>6</v>
      </c>
      <c r="F1273" s="55">
        <v>226488.4</v>
      </c>
      <c r="G1273" s="55">
        <v>98392.7</v>
      </c>
    </row>
    <row r="1274" spans="1:7" ht="10.050000000000001" customHeight="1">
      <c r="A1274" s="52" t="s">
        <v>421</v>
      </c>
      <c r="B1274" s="52" t="s">
        <v>307</v>
      </c>
      <c r="C1274" s="53">
        <v>2007</v>
      </c>
      <c r="D1274" s="52" t="s">
        <v>113</v>
      </c>
      <c r="E1274" s="54">
        <v>7</v>
      </c>
      <c r="F1274" s="55">
        <v>213005.4</v>
      </c>
      <c r="G1274" s="55">
        <v>75684.3</v>
      </c>
    </row>
    <row r="1275" spans="1:7" ht="10.050000000000001" customHeight="1">
      <c r="A1275" s="52" t="s">
        <v>421</v>
      </c>
      <c r="B1275" s="52" t="s">
        <v>307</v>
      </c>
      <c r="C1275" s="53">
        <v>2007</v>
      </c>
      <c r="D1275" s="52" t="s">
        <v>113</v>
      </c>
      <c r="E1275" s="54">
        <v>8</v>
      </c>
      <c r="F1275" s="55">
        <v>214407.4</v>
      </c>
      <c r="G1275" s="55">
        <v>60708.6</v>
      </c>
    </row>
    <row r="1276" spans="1:7" ht="10.050000000000001" customHeight="1">
      <c r="A1276" s="52" t="s">
        <v>421</v>
      </c>
      <c r="B1276" s="52" t="s">
        <v>307</v>
      </c>
      <c r="C1276" s="53">
        <v>2007</v>
      </c>
      <c r="D1276" s="52" t="s">
        <v>113</v>
      </c>
      <c r="E1276" s="54">
        <v>9</v>
      </c>
      <c r="F1276" s="55">
        <v>231916.4</v>
      </c>
      <c r="G1276" s="55">
        <v>59861.2</v>
      </c>
    </row>
    <row r="1277" spans="1:7" ht="10.050000000000001" customHeight="1">
      <c r="A1277" s="52" t="s">
        <v>421</v>
      </c>
      <c r="B1277" s="52" t="s">
        <v>307</v>
      </c>
      <c r="C1277" s="53">
        <v>2007</v>
      </c>
      <c r="D1277" s="52" t="s">
        <v>113</v>
      </c>
      <c r="E1277" s="54">
        <v>10</v>
      </c>
      <c r="F1277" s="55">
        <v>351008.4</v>
      </c>
      <c r="G1277" s="55">
        <v>104640</v>
      </c>
    </row>
    <row r="1278" spans="1:7" ht="10.050000000000001" customHeight="1">
      <c r="A1278" s="52" t="s">
        <v>421</v>
      </c>
      <c r="B1278" s="52" t="s">
        <v>307</v>
      </c>
      <c r="C1278" s="53">
        <v>2007</v>
      </c>
      <c r="D1278" s="52" t="s">
        <v>113</v>
      </c>
      <c r="E1278" s="54">
        <v>11</v>
      </c>
      <c r="F1278" s="55">
        <v>395403.2</v>
      </c>
      <c r="G1278" s="55">
        <v>205007.8</v>
      </c>
    </row>
    <row r="1279" spans="1:7" ht="10.050000000000001" customHeight="1">
      <c r="A1279" s="52" t="s">
        <v>421</v>
      </c>
      <c r="B1279" s="52" t="s">
        <v>307</v>
      </c>
      <c r="C1279" s="53">
        <v>2007</v>
      </c>
      <c r="D1279" s="52" t="s">
        <v>113</v>
      </c>
      <c r="E1279" s="54">
        <v>12</v>
      </c>
      <c r="F1279" s="55">
        <v>385410.1</v>
      </c>
      <c r="G1279" s="55">
        <v>188150.6</v>
      </c>
    </row>
    <row r="1280" spans="1:7" ht="10.050000000000001" customHeight="1">
      <c r="A1280" s="52" t="s">
        <v>421</v>
      </c>
      <c r="B1280" s="52" t="s">
        <v>307</v>
      </c>
      <c r="C1280" s="53">
        <v>2008</v>
      </c>
      <c r="D1280" s="52" t="s">
        <v>113</v>
      </c>
      <c r="E1280" s="54">
        <v>1</v>
      </c>
      <c r="F1280" s="55">
        <v>418982.9</v>
      </c>
      <c r="G1280" s="55">
        <v>165460.6</v>
      </c>
    </row>
    <row r="1281" spans="1:7" ht="10.050000000000001" customHeight="1">
      <c r="A1281" s="52" t="s">
        <v>421</v>
      </c>
      <c r="B1281" s="52" t="s">
        <v>307</v>
      </c>
      <c r="C1281" s="53">
        <v>2008</v>
      </c>
      <c r="D1281" s="52" t="s">
        <v>113</v>
      </c>
      <c r="E1281" s="54">
        <v>2</v>
      </c>
      <c r="F1281" s="55">
        <v>392870.3</v>
      </c>
      <c r="G1281" s="55">
        <v>148554.20000000001</v>
      </c>
    </row>
    <row r="1282" spans="1:7" ht="10.050000000000001" customHeight="1">
      <c r="A1282" s="52" t="s">
        <v>421</v>
      </c>
      <c r="B1282" s="52" t="s">
        <v>307</v>
      </c>
      <c r="C1282" s="53">
        <v>2008</v>
      </c>
      <c r="D1282" s="52" t="s">
        <v>113</v>
      </c>
      <c r="E1282" s="54">
        <v>3</v>
      </c>
      <c r="F1282" s="55">
        <v>396329.8</v>
      </c>
      <c r="G1282" s="55">
        <v>130338</v>
      </c>
    </row>
    <row r="1283" spans="1:7" ht="10.050000000000001" customHeight="1">
      <c r="A1283" s="52" t="s">
        <v>421</v>
      </c>
      <c r="B1283" s="52" t="s">
        <v>307</v>
      </c>
      <c r="C1283" s="53">
        <v>2008</v>
      </c>
      <c r="D1283" s="52" t="s">
        <v>113</v>
      </c>
      <c r="E1283" s="54">
        <v>4</v>
      </c>
      <c r="F1283" s="55">
        <v>427739.8</v>
      </c>
      <c r="G1283" s="55">
        <v>132027</v>
      </c>
    </row>
    <row r="1284" spans="1:7" ht="10.050000000000001" customHeight="1">
      <c r="A1284" s="52" t="s">
        <v>421</v>
      </c>
      <c r="B1284" s="52" t="s">
        <v>307</v>
      </c>
      <c r="C1284" s="53">
        <v>2008</v>
      </c>
      <c r="D1284" s="52" t="s">
        <v>113</v>
      </c>
      <c r="E1284" s="54">
        <v>5</v>
      </c>
      <c r="F1284" s="55">
        <v>388024.3</v>
      </c>
      <c r="G1284" s="55">
        <v>120438.6</v>
      </c>
    </row>
    <row r="1285" spans="1:7" ht="10.050000000000001" customHeight="1">
      <c r="A1285" s="52" t="s">
        <v>421</v>
      </c>
      <c r="B1285" s="52" t="s">
        <v>307</v>
      </c>
      <c r="C1285" s="53">
        <v>2008</v>
      </c>
      <c r="D1285" s="52" t="s">
        <v>113</v>
      </c>
      <c r="E1285" s="54">
        <v>6</v>
      </c>
      <c r="F1285" s="55">
        <v>320139.7</v>
      </c>
      <c r="G1285" s="55">
        <v>127794.5</v>
      </c>
    </row>
    <row r="1286" spans="1:7" ht="10.050000000000001" customHeight="1">
      <c r="A1286" s="52" t="s">
        <v>421</v>
      </c>
      <c r="B1286" s="52" t="s">
        <v>307</v>
      </c>
      <c r="C1286" s="53">
        <v>2008</v>
      </c>
      <c r="D1286" s="52" t="s">
        <v>107</v>
      </c>
      <c r="E1286" s="54">
        <v>7</v>
      </c>
      <c r="F1286" s="55">
        <v>284150.2</v>
      </c>
      <c r="G1286" s="55">
        <v>101157.3</v>
      </c>
    </row>
    <row r="1287" spans="1:7" ht="10.050000000000001" customHeight="1">
      <c r="A1287" s="52" t="s">
        <v>421</v>
      </c>
      <c r="B1287" s="52" t="s">
        <v>307</v>
      </c>
      <c r="C1287" s="53">
        <v>2008</v>
      </c>
      <c r="D1287" s="52" t="s">
        <v>107</v>
      </c>
      <c r="E1287" s="54">
        <v>8</v>
      </c>
      <c r="F1287" s="55">
        <v>207126.39999999999</v>
      </c>
      <c r="G1287" s="55">
        <v>80109</v>
      </c>
    </row>
    <row r="1288" spans="1:7" ht="10.050000000000001" customHeight="1">
      <c r="A1288" s="52" t="s">
        <v>421</v>
      </c>
      <c r="B1288" s="52" t="s">
        <v>307</v>
      </c>
      <c r="C1288" s="53">
        <v>2008</v>
      </c>
      <c r="D1288" s="52" t="s">
        <v>107</v>
      </c>
      <c r="E1288" s="54">
        <v>9</v>
      </c>
      <c r="F1288" s="55">
        <v>215764.5</v>
      </c>
      <c r="G1288" s="55">
        <v>63564.7</v>
      </c>
    </row>
    <row r="1289" spans="1:7" ht="10.050000000000001" customHeight="1">
      <c r="A1289" s="52" t="s">
        <v>421</v>
      </c>
      <c r="B1289" s="52" t="s">
        <v>307</v>
      </c>
      <c r="C1289" s="53">
        <v>2008</v>
      </c>
      <c r="D1289" s="52" t="s">
        <v>107</v>
      </c>
      <c r="E1289" s="54">
        <v>10</v>
      </c>
      <c r="F1289" s="55">
        <v>279664.3</v>
      </c>
      <c r="G1289" s="55">
        <v>74945.399999999994</v>
      </c>
    </row>
    <row r="1290" spans="1:7" ht="10.050000000000001" customHeight="1">
      <c r="A1290" s="52" t="s">
        <v>421</v>
      </c>
      <c r="B1290" s="52" t="s">
        <v>307</v>
      </c>
      <c r="C1290" s="53">
        <v>2008</v>
      </c>
      <c r="D1290" s="52" t="s">
        <v>107</v>
      </c>
      <c r="E1290" s="54">
        <v>11</v>
      </c>
      <c r="F1290" s="55">
        <v>308005.90000000002</v>
      </c>
      <c r="G1290" s="55">
        <v>164508.1</v>
      </c>
    </row>
    <row r="1291" spans="1:7" ht="10.050000000000001" customHeight="1">
      <c r="A1291" s="52" t="s">
        <v>421</v>
      </c>
      <c r="B1291" s="52" t="s">
        <v>307</v>
      </c>
      <c r="C1291" s="53">
        <v>2008</v>
      </c>
      <c r="D1291" s="52" t="s">
        <v>107</v>
      </c>
      <c r="E1291" s="54">
        <v>12</v>
      </c>
      <c r="F1291" s="55">
        <v>347124.4</v>
      </c>
      <c r="G1291" s="55">
        <v>185787.5</v>
      </c>
    </row>
    <row r="1292" spans="1:7" ht="10.050000000000001" customHeight="1">
      <c r="A1292" s="52" t="s">
        <v>421</v>
      </c>
      <c r="B1292" s="52" t="s">
        <v>307</v>
      </c>
      <c r="C1292" s="53">
        <v>2009</v>
      </c>
      <c r="D1292" s="52" t="s">
        <v>107</v>
      </c>
      <c r="E1292" s="54">
        <v>1</v>
      </c>
      <c r="F1292" s="55">
        <v>339551.9</v>
      </c>
      <c r="G1292" s="55">
        <v>150106.5</v>
      </c>
    </row>
    <row r="1293" spans="1:7" ht="10.050000000000001" customHeight="1">
      <c r="A1293" s="52" t="s">
        <v>421</v>
      </c>
      <c r="B1293" s="52" t="s">
        <v>307</v>
      </c>
      <c r="C1293" s="53">
        <v>2009</v>
      </c>
      <c r="D1293" s="52" t="s">
        <v>107</v>
      </c>
      <c r="E1293" s="54">
        <v>2</v>
      </c>
      <c r="F1293" s="55">
        <v>314697.7</v>
      </c>
      <c r="G1293" s="55">
        <v>133513</v>
      </c>
    </row>
    <row r="1294" spans="1:7" ht="10.050000000000001" customHeight="1">
      <c r="A1294" s="52" t="s">
        <v>421</v>
      </c>
      <c r="B1294" s="52" t="s">
        <v>307</v>
      </c>
      <c r="C1294" s="53">
        <v>2009</v>
      </c>
      <c r="D1294" s="52" t="s">
        <v>107</v>
      </c>
      <c r="E1294" s="54">
        <v>3</v>
      </c>
      <c r="F1294" s="55">
        <v>338993.8</v>
      </c>
      <c r="G1294" s="55">
        <v>113208.3</v>
      </c>
    </row>
    <row r="1295" spans="1:7" ht="10.050000000000001" customHeight="1">
      <c r="A1295" s="52" t="s">
        <v>421</v>
      </c>
      <c r="B1295" s="52" t="s">
        <v>307</v>
      </c>
      <c r="C1295" s="53">
        <v>2009</v>
      </c>
      <c r="D1295" s="52" t="s">
        <v>107</v>
      </c>
      <c r="E1295" s="54">
        <v>4</v>
      </c>
      <c r="F1295" s="55">
        <v>325983.40000000002</v>
      </c>
      <c r="G1295" s="55">
        <v>108155.5</v>
      </c>
    </row>
    <row r="1296" spans="1:7" ht="10.050000000000001" customHeight="1">
      <c r="A1296" s="52" t="s">
        <v>421</v>
      </c>
      <c r="B1296" s="52" t="s">
        <v>307</v>
      </c>
      <c r="C1296" s="53">
        <v>2009</v>
      </c>
      <c r="D1296" s="52" t="s">
        <v>107</v>
      </c>
      <c r="E1296" s="54">
        <v>5</v>
      </c>
      <c r="F1296" s="55">
        <v>263976.40000000002</v>
      </c>
      <c r="G1296" s="55">
        <v>91070.1</v>
      </c>
    </row>
    <row r="1297" spans="1:7" ht="10.050000000000001" customHeight="1">
      <c r="A1297" s="52" t="s">
        <v>421</v>
      </c>
      <c r="B1297" s="52" t="s">
        <v>307</v>
      </c>
      <c r="C1297" s="53">
        <v>2009</v>
      </c>
      <c r="D1297" s="52" t="s">
        <v>107</v>
      </c>
      <c r="E1297" s="54">
        <v>6</v>
      </c>
      <c r="F1297" s="55">
        <v>253575.9</v>
      </c>
      <c r="G1297" s="55">
        <v>110941.8</v>
      </c>
    </row>
    <row r="1298" spans="1:7" ht="10.050000000000001" customHeight="1">
      <c r="A1298" s="52" t="s">
        <v>421</v>
      </c>
      <c r="B1298" s="52" t="s">
        <v>307</v>
      </c>
      <c r="C1298" s="53">
        <v>2009</v>
      </c>
      <c r="D1298" s="52" t="s">
        <v>114</v>
      </c>
      <c r="E1298" s="54">
        <v>7</v>
      </c>
      <c r="F1298" s="55">
        <v>230756.1</v>
      </c>
      <c r="G1298" s="55">
        <v>88958.2</v>
      </c>
    </row>
    <row r="1299" spans="1:7" ht="10.050000000000001" customHeight="1">
      <c r="A1299" s="52" t="s">
        <v>421</v>
      </c>
      <c r="B1299" s="52" t="s">
        <v>307</v>
      </c>
      <c r="C1299" s="53">
        <v>2009</v>
      </c>
      <c r="D1299" s="52" t="s">
        <v>114</v>
      </c>
      <c r="E1299" s="54">
        <v>8</v>
      </c>
      <c r="F1299" s="55">
        <v>206841.1</v>
      </c>
      <c r="G1299" s="55">
        <v>70323.399999999994</v>
      </c>
    </row>
    <row r="1300" spans="1:7" ht="10.050000000000001" customHeight="1">
      <c r="A1300" s="52" t="s">
        <v>421</v>
      </c>
      <c r="B1300" s="52" t="s">
        <v>307</v>
      </c>
      <c r="C1300" s="53">
        <v>2009</v>
      </c>
      <c r="D1300" s="52" t="s">
        <v>114</v>
      </c>
      <c r="E1300" s="54">
        <v>9</v>
      </c>
      <c r="F1300" s="55">
        <v>218397.5</v>
      </c>
      <c r="G1300" s="55">
        <v>57876.800000000003</v>
      </c>
    </row>
    <row r="1301" spans="1:7" ht="10.050000000000001" customHeight="1">
      <c r="A1301" s="52" t="s">
        <v>421</v>
      </c>
      <c r="B1301" s="52" t="s">
        <v>307</v>
      </c>
      <c r="C1301" s="53">
        <v>2009</v>
      </c>
      <c r="D1301" s="52" t="s">
        <v>114</v>
      </c>
      <c r="E1301" s="54">
        <v>10</v>
      </c>
      <c r="F1301" s="55">
        <v>244752.2</v>
      </c>
      <c r="G1301" s="55">
        <v>143370.70000000001</v>
      </c>
    </row>
    <row r="1302" spans="1:7" ht="10.050000000000001" customHeight="1">
      <c r="A1302" s="52" t="s">
        <v>421</v>
      </c>
      <c r="B1302" s="52" t="s">
        <v>307</v>
      </c>
      <c r="C1302" s="53">
        <v>2009</v>
      </c>
      <c r="D1302" s="52" t="s">
        <v>114</v>
      </c>
      <c r="E1302" s="54">
        <v>11</v>
      </c>
      <c r="F1302" s="55">
        <v>273293.2</v>
      </c>
      <c r="G1302" s="55">
        <v>199143.4</v>
      </c>
    </row>
    <row r="1303" spans="1:7" ht="10.050000000000001" customHeight="1">
      <c r="A1303" s="52" t="s">
        <v>421</v>
      </c>
      <c r="B1303" s="52" t="s">
        <v>307</v>
      </c>
      <c r="C1303" s="53">
        <v>2009</v>
      </c>
      <c r="D1303" s="52" t="s">
        <v>114</v>
      </c>
      <c r="E1303" s="54">
        <v>12</v>
      </c>
      <c r="F1303" s="55">
        <v>265607.40000000002</v>
      </c>
      <c r="G1303" s="55">
        <v>142997.29999999999</v>
      </c>
    </row>
    <row r="1304" spans="1:7" ht="10.050000000000001" customHeight="1">
      <c r="A1304" s="52" t="s">
        <v>421</v>
      </c>
      <c r="B1304" s="52" t="s">
        <v>307</v>
      </c>
      <c r="C1304" s="53">
        <v>2010</v>
      </c>
      <c r="D1304" s="52" t="s">
        <v>114</v>
      </c>
      <c r="E1304" s="54">
        <v>1</v>
      </c>
      <c r="F1304" s="55">
        <v>231904.2</v>
      </c>
      <c r="G1304" s="55">
        <v>131811.6</v>
      </c>
    </row>
    <row r="1305" spans="1:7" ht="10.050000000000001" customHeight="1">
      <c r="A1305" s="52" t="s">
        <v>421</v>
      </c>
      <c r="B1305" s="52" t="s">
        <v>307</v>
      </c>
      <c r="C1305" s="53">
        <v>2010</v>
      </c>
      <c r="D1305" s="52" t="s">
        <v>114</v>
      </c>
      <c r="E1305" s="54">
        <v>2</v>
      </c>
      <c r="F1305" s="55">
        <v>199602.5</v>
      </c>
      <c r="G1305" s="55">
        <v>123340.6</v>
      </c>
    </row>
    <row r="1306" spans="1:7" ht="10.050000000000001" customHeight="1">
      <c r="A1306" s="52" t="s">
        <v>421</v>
      </c>
      <c r="B1306" s="52" t="s">
        <v>307</v>
      </c>
      <c r="C1306" s="53">
        <v>2010</v>
      </c>
      <c r="D1306" s="52" t="s">
        <v>114</v>
      </c>
      <c r="E1306" s="54">
        <v>3</v>
      </c>
      <c r="F1306" s="55">
        <v>227833</v>
      </c>
      <c r="G1306" s="55">
        <v>107880.9</v>
      </c>
    </row>
    <row r="1307" spans="1:7" ht="10.050000000000001" customHeight="1">
      <c r="A1307" s="52" t="s">
        <v>421</v>
      </c>
      <c r="B1307" s="52" t="s">
        <v>307</v>
      </c>
      <c r="C1307" s="53">
        <v>2010</v>
      </c>
      <c r="D1307" s="52" t="s">
        <v>114</v>
      </c>
      <c r="E1307" s="54">
        <v>4</v>
      </c>
      <c r="F1307" s="55">
        <v>219607.8</v>
      </c>
      <c r="G1307" s="55">
        <v>96860.9</v>
      </c>
    </row>
    <row r="1308" spans="1:7" ht="10.050000000000001" customHeight="1">
      <c r="A1308" s="52" t="s">
        <v>421</v>
      </c>
      <c r="B1308" s="52" t="s">
        <v>307</v>
      </c>
      <c r="C1308" s="53">
        <v>2010</v>
      </c>
      <c r="D1308" s="52" t="s">
        <v>114</v>
      </c>
      <c r="E1308" s="54">
        <v>5</v>
      </c>
      <c r="F1308" s="55">
        <v>211523</v>
      </c>
      <c r="G1308" s="55">
        <v>90455.1</v>
      </c>
    </row>
    <row r="1309" spans="1:7" ht="10.050000000000001" customHeight="1">
      <c r="A1309" s="52" t="s">
        <v>421</v>
      </c>
      <c r="B1309" s="52" t="s">
        <v>307</v>
      </c>
      <c r="C1309" s="53">
        <v>2010</v>
      </c>
      <c r="D1309" s="52" t="s">
        <v>114</v>
      </c>
      <c r="E1309" s="54">
        <v>6</v>
      </c>
      <c r="F1309" s="55">
        <v>213122.5</v>
      </c>
      <c r="G1309" s="55">
        <v>83151.7</v>
      </c>
    </row>
    <row r="1310" spans="1:7" ht="10.050000000000001" customHeight="1">
      <c r="A1310" s="52" t="s">
        <v>421</v>
      </c>
      <c r="B1310" s="52" t="s">
        <v>307</v>
      </c>
      <c r="C1310" s="53">
        <v>2010</v>
      </c>
      <c r="D1310" s="52" t="s">
        <v>115</v>
      </c>
      <c r="E1310" s="54">
        <v>7</v>
      </c>
      <c r="F1310" s="55">
        <v>209494.432</v>
      </c>
      <c r="G1310" s="55">
        <v>69460.123000000007</v>
      </c>
    </row>
    <row r="1311" spans="1:7" ht="10.050000000000001" customHeight="1">
      <c r="A1311" s="52" t="s">
        <v>421</v>
      </c>
      <c r="B1311" s="52" t="s">
        <v>307</v>
      </c>
      <c r="C1311" s="53">
        <v>2010</v>
      </c>
      <c r="D1311" s="52" t="s">
        <v>115</v>
      </c>
      <c r="E1311" s="54">
        <v>8</v>
      </c>
      <c r="F1311" s="55">
        <v>204896.476</v>
      </c>
      <c r="G1311" s="55">
        <v>59378.279000000002</v>
      </c>
    </row>
    <row r="1312" spans="1:7" ht="10.050000000000001" customHeight="1">
      <c r="A1312" s="52" t="s">
        <v>421</v>
      </c>
      <c r="B1312" s="52" t="s">
        <v>307</v>
      </c>
      <c r="C1312" s="53">
        <v>2010</v>
      </c>
      <c r="D1312" s="52" t="s">
        <v>115</v>
      </c>
      <c r="E1312" s="54">
        <v>9</v>
      </c>
      <c r="F1312" s="55">
        <v>224171.601</v>
      </c>
      <c r="G1312" s="55">
        <v>47582.593999999997</v>
      </c>
    </row>
    <row r="1313" spans="1:7" ht="10.050000000000001" customHeight="1">
      <c r="A1313" s="52" t="s">
        <v>421</v>
      </c>
      <c r="B1313" s="52" t="s">
        <v>307</v>
      </c>
      <c r="C1313" s="53">
        <v>2010</v>
      </c>
      <c r="D1313" s="52" t="s">
        <v>115</v>
      </c>
      <c r="E1313" s="54">
        <v>10</v>
      </c>
      <c r="F1313" s="55">
        <v>250462.79</v>
      </c>
      <c r="G1313" s="55">
        <v>74009.937999999995</v>
      </c>
    </row>
    <row r="1314" spans="1:7" ht="10.050000000000001" customHeight="1">
      <c r="A1314" s="52" t="s">
        <v>421</v>
      </c>
      <c r="B1314" s="52" t="s">
        <v>307</v>
      </c>
      <c r="C1314" s="53">
        <v>2010</v>
      </c>
      <c r="D1314" s="52" t="s">
        <v>115</v>
      </c>
      <c r="E1314" s="54">
        <v>11</v>
      </c>
      <c r="F1314" s="55">
        <v>289796.93400000001</v>
      </c>
      <c r="G1314" s="55">
        <v>99143.984000000099</v>
      </c>
    </row>
    <row r="1315" spans="1:7" ht="10.050000000000001" customHeight="1">
      <c r="A1315" s="52" t="s">
        <v>421</v>
      </c>
      <c r="B1315" s="52" t="s">
        <v>307</v>
      </c>
      <c r="C1315" s="53">
        <v>2010</v>
      </c>
      <c r="D1315" s="52" t="s">
        <v>115</v>
      </c>
      <c r="E1315" s="54">
        <v>12</v>
      </c>
      <c r="F1315" s="55">
        <v>314226.67499999999</v>
      </c>
      <c r="G1315" s="55">
        <v>85496.194000000003</v>
      </c>
    </row>
    <row r="1316" spans="1:7" ht="10.050000000000001" customHeight="1">
      <c r="A1316" s="52" t="s">
        <v>421</v>
      </c>
      <c r="B1316" s="52" t="s">
        <v>307</v>
      </c>
      <c r="C1316" s="53">
        <v>2011</v>
      </c>
      <c r="D1316" s="52" t="s">
        <v>115</v>
      </c>
      <c r="E1316" s="54">
        <v>1</v>
      </c>
      <c r="F1316" s="55">
        <v>324942.45600000001</v>
      </c>
      <c r="G1316" s="55">
        <v>93932.577000000005</v>
      </c>
    </row>
    <row r="1317" spans="1:7" ht="10.050000000000001" customHeight="1">
      <c r="A1317" s="52" t="s">
        <v>421</v>
      </c>
      <c r="B1317" s="52" t="s">
        <v>307</v>
      </c>
      <c r="C1317" s="53">
        <v>2011</v>
      </c>
      <c r="D1317" s="52" t="s">
        <v>115</v>
      </c>
      <c r="E1317" s="54">
        <v>2</v>
      </c>
      <c r="F1317" s="55">
        <v>323601.63199999998</v>
      </c>
      <c r="G1317" s="55">
        <v>91430.582999999999</v>
      </c>
    </row>
    <row r="1318" spans="1:7" ht="10.050000000000001" customHeight="1">
      <c r="A1318" s="52" t="s">
        <v>421</v>
      </c>
      <c r="B1318" s="52" t="s">
        <v>307</v>
      </c>
      <c r="C1318" s="53">
        <v>2011</v>
      </c>
      <c r="D1318" s="52" t="s">
        <v>115</v>
      </c>
      <c r="E1318" s="54">
        <v>3</v>
      </c>
      <c r="F1318" s="55">
        <v>379216.049</v>
      </c>
      <c r="G1318" s="55">
        <v>96440.966</v>
      </c>
    </row>
    <row r="1319" spans="1:7" ht="10.050000000000001" customHeight="1">
      <c r="A1319" s="52" t="s">
        <v>421</v>
      </c>
      <c r="B1319" s="52" t="s">
        <v>307</v>
      </c>
      <c r="C1319" s="53">
        <v>2011</v>
      </c>
      <c r="D1319" s="52" t="s">
        <v>115</v>
      </c>
      <c r="E1319" s="54">
        <v>4</v>
      </c>
      <c r="F1319" s="55">
        <v>320902.28899999999</v>
      </c>
      <c r="G1319" s="55">
        <v>86482.572</v>
      </c>
    </row>
    <row r="1320" spans="1:7" ht="10.050000000000001" customHeight="1">
      <c r="A1320" s="52" t="s">
        <v>421</v>
      </c>
      <c r="B1320" s="52" t="s">
        <v>307</v>
      </c>
      <c r="C1320" s="53">
        <v>2011</v>
      </c>
      <c r="D1320" s="52" t="s">
        <v>115</v>
      </c>
      <c r="E1320" s="54">
        <v>5</v>
      </c>
      <c r="F1320" s="55">
        <v>325956.76199999999</v>
      </c>
      <c r="G1320" s="55">
        <v>94906.231</v>
      </c>
    </row>
    <row r="1321" spans="1:7" ht="10.050000000000001" customHeight="1">
      <c r="A1321" s="52" t="s">
        <v>421</v>
      </c>
      <c r="B1321" s="52" t="s">
        <v>307</v>
      </c>
      <c r="C1321" s="53">
        <v>2011</v>
      </c>
      <c r="D1321" s="52" t="s">
        <v>115</v>
      </c>
      <c r="E1321" s="54">
        <v>6</v>
      </c>
      <c r="F1321" s="55">
        <v>299469.815</v>
      </c>
      <c r="G1321" s="55">
        <v>97497.142000000007</v>
      </c>
    </row>
    <row r="1322" spans="1:7" ht="10.050000000000001" customHeight="1">
      <c r="A1322" s="52" t="s">
        <v>421</v>
      </c>
      <c r="B1322" s="52" t="s">
        <v>307</v>
      </c>
      <c r="C1322" s="53">
        <v>2011</v>
      </c>
      <c r="D1322" s="52" t="s">
        <v>116</v>
      </c>
      <c r="E1322" s="54">
        <v>7</v>
      </c>
      <c r="F1322" s="55">
        <v>219016.78099999999</v>
      </c>
      <c r="G1322" s="55">
        <v>72834.164999999994</v>
      </c>
    </row>
    <row r="1323" spans="1:7" ht="10.050000000000001" customHeight="1">
      <c r="A1323" s="52" t="s">
        <v>421</v>
      </c>
      <c r="B1323" s="52" t="s">
        <v>307</v>
      </c>
      <c r="C1323" s="53">
        <v>2011</v>
      </c>
      <c r="D1323" s="52" t="s">
        <v>116</v>
      </c>
      <c r="E1323" s="54">
        <v>8</v>
      </c>
      <c r="F1323" s="55">
        <v>198686.7</v>
      </c>
      <c r="G1323" s="55">
        <v>57430.031000000003</v>
      </c>
    </row>
    <row r="1324" spans="1:7" ht="10.050000000000001" customHeight="1">
      <c r="A1324" s="52" t="s">
        <v>421</v>
      </c>
      <c r="B1324" s="52" t="s">
        <v>307</v>
      </c>
      <c r="C1324" s="53">
        <v>2011</v>
      </c>
      <c r="D1324" s="52" t="s">
        <v>116</v>
      </c>
      <c r="E1324" s="54">
        <v>9</v>
      </c>
      <c r="F1324" s="55">
        <v>206074.198</v>
      </c>
      <c r="G1324" s="55">
        <v>48277.349000000002</v>
      </c>
    </row>
    <row r="1325" spans="1:7" ht="10.050000000000001" customHeight="1">
      <c r="A1325" s="52" t="s">
        <v>421</v>
      </c>
      <c r="B1325" s="52" t="s">
        <v>307</v>
      </c>
      <c r="C1325" s="53">
        <v>2011</v>
      </c>
      <c r="D1325" s="52" t="s">
        <v>116</v>
      </c>
      <c r="E1325" s="54">
        <v>10</v>
      </c>
      <c r="F1325" s="55">
        <v>255958.68100000001</v>
      </c>
      <c r="G1325" s="55">
        <v>112198.52</v>
      </c>
    </row>
    <row r="1326" spans="1:7" ht="10.050000000000001" customHeight="1">
      <c r="A1326" s="52" t="s">
        <v>421</v>
      </c>
      <c r="B1326" s="52" t="s">
        <v>307</v>
      </c>
      <c r="C1326" s="53">
        <v>2011</v>
      </c>
      <c r="D1326" s="52" t="s">
        <v>116</v>
      </c>
      <c r="E1326" s="54">
        <v>11</v>
      </c>
      <c r="F1326" s="55">
        <v>329328.63099999999</v>
      </c>
      <c r="G1326" s="55">
        <v>124003.486</v>
      </c>
    </row>
    <row r="1327" spans="1:7" ht="10.050000000000001" customHeight="1">
      <c r="A1327" s="52" t="s">
        <v>421</v>
      </c>
      <c r="B1327" s="52" t="s">
        <v>307</v>
      </c>
      <c r="C1327" s="53">
        <v>2011</v>
      </c>
      <c r="D1327" s="52" t="s">
        <v>116</v>
      </c>
      <c r="E1327" s="54">
        <v>12</v>
      </c>
      <c r="F1327" s="55">
        <v>327472.81199999998</v>
      </c>
      <c r="G1327" s="55">
        <v>98279.675000000003</v>
      </c>
    </row>
    <row r="1328" spans="1:7" ht="10.050000000000001" customHeight="1">
      <c r="A1328" s="52" t="s">
        <v>421</v>
      </c>
      <c r="B1328" s="52" t="s">
        <v>307</v>
      </c>
      <c r="C1328" s="53">
        <v>2012</v>
      </c>
      <c r="D1328" s="52" t="s">
        <v>116</v>
      </c>
      <c r="E1328" s="54">
        <v>1</v>
      </c>
      <c r="F1328" s="55">
        <v>322402.38699999999</v>
      </c>
      <c r="G1328" s="55">
        <v>93007.426000000007</v>
      </c>
    </row>
    <row r="1329" spans="1:7" ht="10.050000000000001" customHeight="1">
      <c r="A1329" s="52" t="s">
        <v>421</v>
      </c>
      <c r="B1329" s="52" t="s">
        <v>307</v>
      </c>
      <c r="C1329" s="53">
        <v>2012</v>
      </c>
      <c r="D1329" s="52" t="s">
        <v>116</v>
      </c>
      <c r="E1329" s="54">
        <v>2</v>
      </c>
      <c r="F1329" s="55">
        <v>317774.18699999998</v>
      </c>
      <c r="G1329" s="55">
        <v>86520.096999999994</v>
      </c>
    </row>
    <row r="1330" spans="1:7" ht="10.050000000000001" customHeight="1">
      <c r="A1330" s="52" t="s">
        <v>421</v>
      </c>
      <c r="B1330" s="52" t="s">
        <v>307</v>
      </c>
      <c r="C1330" s="53">
        <v>2012</v>
      </c>
      <c r="D1330" s="52" t="s">
        <v>116</v>
      </c>
      <c r="E1330" s="54">
        <v>3</v>
      </c>
      <c r="F1330" s="55">
        <v>350231.10600000003</v>
      </c>
      <c r="G1330" s="55">
        <v>81951.244000000006</v>
      </c>
    </row>
    <row r="1331" spans="1:7" ht="10.050000000000001" customHeight="1">
      <c r="A1331" s="52" t="s">
        <v>421</v>
      </c>
      <c r="B1331" s="52" t="s">
        <v>307</v>
      </c>
      <c r="C1331" s="53">
        <v>2012</v>
      </c>
      <c r="D1331" s="52" t="s">
        <v>116</v>
      </c>
      <c r="E1331" s="54">
        <v>4</v>
      </c>
      <c r="F1331" s="55">
        <v>325032.30800000002</v>
      </c>
      <c r="G1331" s="55">
        <v>78576.142000000007</v>
      </c>
    </row>
    <row r="1332" spans="1:7" ht="10.050000000000001" customHeight="1">
      <c r="A1332" s="52" t="s">
        <v>421</v>
      </c>
      <c r="B1332" s="52" t="s">
        <v>307</v>
      </c>
      <c r="C1332" s="53">
        <v>2012</v>
      </c>
      <c r="D1332" s="52" t="s">
        <v>116</v>
      </c>
      <c r="E1332" s="54">
        <v>5</v>
      </c>
      <c r="F1332" s="55">
        <v>319866.57299999997</v>
      </c>
      <c r="G1332" s="55">
        <v>78666.995999999999</v>
      </c>
    </row>
    <row r="1333" spans="1:7" ht="10.050000000000001" customHeight="1">
      <c r="A1333" s="52" t="s">
        <v>421</v>
      </c>
      <c r="B1333" s="52" t="s">
        <v>307</v>
      </c>
      <c r="C1333" s="53">
        <v>2012</v>
      </c>
      <c r="D1333" s="52" t="s">
        <v>116</v>
      </c>
      <c r="E1333" s="54">
        <v>6</v>
      </c>
      <c r="F1333" s="55">
        <v>298349.17800000001</v>
      </c>
      <c r="G1333" s="55">
        <v>90247.187999999995</v>
      </c>
    </row>
    <row r="1334" spans="1:7" ht="10.050000000000001" customHeight="1">
      <c r="A1334" s="52" t="s">
        <v>421</v>
      </c>
      <c r="B1334" s="52" t="s">
        <v>307</v>
      </c>
      <c r="C1334" s="53">
        <v>2012</v>
      </c>
      <c r="D1334" s="52" t="s">
        <v>117</v>
      </c>
      <c r="E1334" s="54">
        <v>7</v>
      </c>
      <c r="F1334" s="55">
        <v>284174.723</v>
      </c>
      <c r="G1334" s="55">
        <v>64945.896999999997</v>
      </c>
    </row>
    <row r="1335" spans="1:7" ht="10.050000000000001" customHeight="1">
      <c r="A1335" s="52" t="s">
        <v>421</v>
      </c>
      <c r="B1335" s="52" t="s">
        <v>307</v>
      </c>
      <c r="C1335" s="53">
        <v>2012</v>
      </c>
      <c r="D1335" s="52" t="s">
        <v>117</v>
      </c>
      <c r="E1335" s="54">
        <v>8</v>
      </c>
      <c r="F1335" s="55">
        <v>234345.47899999999</v>
      </c>
      <c r="G1335" s="55">
        <v>58470.055999999997</v>
      </c>
    </row>
    <row r="1336" spans="1:7" ht="10.050000000000001" customHeight="1">
      <c r="A1336" s="52" t="s">
        <v>421</v>
      </c>
      <c r="B1336" s="52" t="s">
        <v>307</v>
      </c>
      <c r="C1336" s="53">
        <v>2012</v>
      </c>
      <c r="D1336" s="52" t="s">
        <v>117</v>
      </c>
      <c r="E1336" s="54">
        <v>9</v>
      </c>
      <c r="F1336" s="55">
        <v>197882.95699999999</v>
      </c>
      <c r="G1336" s="55">
        <v>52903.599000000002</v>
      </c>
    </row>
    <row r="1337" spans="1:7" ht="10.050000000000001" customHeight="1">
      <c r="A1337" s="52" t="s">
        <v>421</v>
      </c>
      <c r="B1337" s="52" t="s">
        <v>307</v>
      </c>
      <c r="C1337" s="53">
        <v>2012</v>
      </c>
      <c r="D1337" s="52" t="s">
        <v>117</v>
      </c>
      <c r="E1337" s="54">
        <v>10</v>
      </c>
      <c r="F1337" s="55">
        <v>267428.56400000001</v>
      </c>
      <c r="G1337" s="55">
        <v>61217.330999999998</v>
      </c>
    </row>
    <row r="1338" spans="1:7" ht="10.050000000000001" customHeight="1">
      <c r="A1338" s="52" t="s">
        <v>421</v>
      </c>
      <c r="B1338" s="52" t="s">
        <v>307</v>
      </c>
      <c r="C1338" s="53">
        <v>2012</v>
      </c>
      <c r="D1338" s="52" t="s">
        <v>117</v>
      </c>
      <c r="E1338" s="54">
        <v>11</v>
      </c>
      <c r="F1338" s="55">
        <v>306777.35800000001</v>
      </c>
      <c r="G1338" s="55">
        <v>134975.08300000001</v>
      </c>
    </row>
    <row r="1339" spans="1:7" ht="10.050000000000001" customHeight="1">
      <c r="A1339" s="52" t="s">
        <v>421</v>
      </c>
      <c r="B1339" s="52" t="s">
        <v>307</v>
      </c>
      <c r="C1339" s="53">
        <v>2012</v>
      </c>
      <c r="D1339" s="52" t="s">
        <v>117</v>
      </c>
      <c r="E1339" s="54">
        <v>12</v>
      </c>
      <c r="F1339" s="55">
        <v>305842.20299999998</v>
      </c>
      <c r="G1339" s="55">
        <v>132628.91699999999</v>
      </c>
    </row>
    <row r="1340" spans="1:7" ht="10.050000000000001" customHeight="1">
      <c r="A1340" s="52" t="s">
        <v>421</v>
      </c>
      <c r="B1340" s="52" t="s">
        <v>307</v>
      </c>
      <c r="C1340" s="53">
        <v>2013</v>
      </c>
      <c r="D1340" s="52" t="s">
        <v>117</v>
      </c>
      <c r="E1340" s="54">
        <v>1</v>
      </c>
      <c r="F1340" s="55">
        <v>333927.57699999999</v>
      </c>
      <c r="G1340" s="55">
        <v>116771.121</v>
      </c>
    </row>
    <row r="1341" spans="1:7" ht="10.050000000000001" customHeight="1">
      <c r="A1341" s="52" t="s">
        <v>421</v>
      </c>
      <c r="B1341" s="52" t="s">
        <v>307</v>
      </c>
      <c r="C1341" s="53">
        <v>2013</v>
      </c>
      <c r="D1341" s="52" t="s">
        <v>117</v>
      </c>
      <c r="E1341" s="54">
        <v>2</v>
      </c>
      <c r="F1341" s="55">
        <v>297667.342</v>
      </c>
      <c r="G1341" s="55">
        <v>108392.02800000001</v>
      </c>
    </row>
    <row r="1342" spans="1:7" ht="10.050000000000001" customHeight="1">
      <c r="A1342" s="52" t="s">
        <v>421</v>
      </c>
      <c r="B1342" s="52" t="s">
        <v>307</v>
      </c>
      <c r="C1342" s="53">
        <v>2013</v>
      </c>
      <c r="D1342" s="52" t="s">
        <v>117</v>
      </c>
      <c r="E1342" s="54">
        <v>3</v>
      </c>
      <c r="F1342" s="55">
        <v>323087.35600000003</v>
      </c>
      <c r="G1342" s="55">
        <v>94625.433000000005</v>
      </c>
    </row>
    <row r="1343" spans="1:7" ht="10.050000000000001" customHeight="1">
      <c r="A1343" s="52" t="s">
        <v>421</v>
      </c>
      <c r="B1343" s="52" t="s">
        <v>307</v>
      </c>
      <c r="C1343" s="53">
        <v>2013</v>
      </c>
      <c r="D1343" s="52" t="s">
        <v>117</v>
      </c>
      <c r="E1343" s="54">
        <v>4</v>
      </c>
      <c r="F1343" s="55">
        <v>322340.97700000001</v>
      </c>
      <c r="G1343" s="55">
        <v>92573.076000000001</v>
      </c>
    </row>
    <row r="1344" spans="1:7" ht="10.050000000000001" customHeight="1">
      <c r="A1344" s="52" t="s">
        <v>421</v>
      </c>
      <c r="B1344" s="52" t="s">
        <v>307</v>
      </c>
      <c r="C1344" s="53">
        <v>2013</v>
      </c>
      <c r="D1344" s="52" t="s">
        <v>117</v>
      </c>
      <c r="E1344" s="54">
        <v>5</v>
      </c>
      <c r="F1344" s="55">
        <v>334994.21299999999</v>
      </c>
      <c r="G1344" s="55">
        <v>84624.445999999996</v>
      </c>
    </row>
    <row r="1345" spans="1:7" ht="10.050000000000001" customHeight="1">
      <c r="A1345" s="52" t="s">
        <v>421</v>
      </c>
      <c r="B1345" s="52" t="s">
        <v>307</v>
      </c>
      <c r="C1345" s="53">
        <v>2013</v>
      </c>
      <c r="D1345" s="52" t="s">
        <v>117</v>
      </c>
      <c r="E1345" s="54">
        <v>6</v>
      </c>
      <c r="F1345" s="55">
        <v>283639.163</v>
      </c>
      <c r="G1345" s="55">
        <v>86862.294999999998</v>
      </c>
    </row>
    <row r="1346" spans="1:7" ht="10.050000000000001" customHeight="1">
      <c r="A1346" s="52" t="s">
        <v>421</v>
      </c>
      <c r="B1346" s="52" t="s">
        <v>307</v>
      </c>
      <c r="C1346" s="53">
        <v>2013</v>
      </c>
      <c r="D1346" s="52" t="s">
        <v>118</v>
      </c>
      <c r="E1346" s="54">
        <v>7</v>
      </c>
      <c r="F1346" s="55">
        <v>250272.087</v>
      </c>
      <c r="G1346" s="55">
        <v>82244.963000000003</v>
      </c>
    </row>
    <row r="1347" spans="1:7" ht="10.050000000000001" customHeight="1">
      <c r="A1347" s="52" t="s">
        <v>421</v>
      </c>
      <c r="B1347" s="52" t="s">
        <v>307</v>
      </c>
      <c r="C1347" s="53">
        <v>2013</v>
      </c>
      <c r="D1347" s="52" t="s">
        <v>118</v>
      </c>
      <c r="E1347" s="54">
        <v>8</v>
      </c>
      <c r="F1347" s="55">
        <v>194511.36900000001</v>
      </c>
      <c r="G1347" s="55">
        <v>63767.050999999999</v>
      </c>
    </row>
    <row r="1348" spans="1:7" ht="10.050000000000001" customHeight="1">
      <c r="A1348" s="52" t="s">
        <v>421</v>
      </c>
      <c r="B1348" s="52" t="s">
        <v>307</v>
      </c>
      <c r="C1348" s="53">
        <v>2013</v>
      </c>
      <c r="D1348" s="52" t="s">
        <v>118</v>
      </c>
      <c r="E1348" s="54">
        <v>9</v>
      </c>
      <c r="F1348" s="55">
        <v>178122.74400000001</v>
      </c>
      <c r="G1348" s="55">
        <v>52577.313000000002</v>
      </c>
    </row>
    <row r="1349" spans="1:7" ht="10.050000000000001" customHeight="1">
      <c r="A1349" s="52" t="s">
        <v>421</v>
      </c>
      <c r="B1349" s="52" t="s">
        <v>307</v>
      </c>
      <c r="C1349" s="53">
        <v>2013</v>
      </c>
      <c r="D1349" s="52" t="s">
        <v>118</v>
      </c>
      <c r="E1349" s="54">
        <v>10</v>
      </c>
      <c r="F1349" s="55">
        <v>246534.41</v>
      </c>
      <c r="G1349" s="55">
        <v>78551.686000000103</v>
      </c>
    </row>
    <row r="1350" spans="1:7" ht="10.050000000000001" customHeight="1">
      <c r="A1350" s="52" t="s">
        <v>421</v>
      </c>
      <c r="B1350" s="52" t="s">
        <v>307</v>
      </c>
      <c r="C1350" s="53">
        <v>2013</v>
      </c>
      <c r="D1350" s="52" t="s">
        <v>118</v>
      </c>
      <c r="E1350" s="54">
        <v>11</v>
      </c>
      <c r="F1350" s="55">
        <v>318250.99200000003</v>
      </c>
      <c r="G1350" s="55">
        <v>117697.836</v>
      </c>
    </row>
    <row r="1351" spans="1:7" ht="10.050000000000001" customHeight="1">
      <c r="A1351" s="52" t="s">
        <v>421</v>
      </c>
      <c r="B1351" s="52" t="s">
        <v>307</v>
      </c>
      <c r="C1351" s="53">
        <v>2013</v>
      </c>
      <c r="D1351" s="52" t="s">
        <v>118</v>
      </c>
      <c r="E1351" s="54">
        <v>12</v>
      </c>
      <c r="F1351" s="55">
        <v>340726.47399999999</v>
      </c>
      <c r="G1351" s="55">
        <v>110077.647</v>
      </c>
    </row>
    <row r="1352" spans="1:7" ht="10.050000000000001" customHeight="1">
      <c r="A1352" s="52" t="s">
        <v>421</v>
      </c>
      <c r="B1352" s="52" t="s">
        <v>307</v>
      </c>
      <c r="C1352" s="53">
        <v>2014</v>
      </c>
      <c r="D1352" s="52" t="s">
        <v>118</v>
      </c>
      <c r="E1352" s="54">
        <v>1</v>
      </c>
      <c r="F1352" s="55">
        <v>358933</v>
      </c>
      <c r="G1352" s="55">
        <v>98169.895000000004</v>
      </c>
    </row>
    <row r="1353" spans="1:7" ht="10.050000000000001" customHeight="1">
      <c r="A1353" s="52" t="s">
        <v>421</v>
      </c>
      <c r="B1353" s="52" t="s">
        <v>307</v>
      </c>
      <c r="C1353" s="53">
        <v>2014</v>
      </c>
      <c r="D1353" s="52" t="s">
        <v>118</v>
      </c>
      <c r="E1353" s="54">
        <v>2</v>
      </c>
      <c r="F1353" s="55">
        <v>306568.50300000003</v>
      </c>
      <c r="G1353" s="55">
        <v>92275.346999999994</v>
      </c>
    </row>
    <row r="1354" spans="1:7" ht="10.050000000000001" customHeight="1">
      <c r="A1354" s="52" t="s">
        <v>421</v>
      </c>
      <c r="B1354" s="52" t="s">
        <v>307</v>
      </c>
      <c r="C1354" s="53">
        <v>2014</v>
      </c>
      <c r="D1354" s="52" t="s">
        <v>118</v>
      </c>
      <c r="E1354" s="54">
        <v>3</v>
      </c>
      <c r="F1354" s="55">
        <v>333296.96899999998</v>
      </c>
      <c r="G1354" s="55">
        <v>80494.611000000004</v>
      </c>
    </row>
    <row r="1355" spans="1:7" ht="10.050000000000001" customHeight="1">
      <c r="A1355" s="52" t="s">
        <v>421</v>
      </c>
      <c r="B1355" s="52" t="s">
        <v>307</v>
      </c>
      <c r="C1355" s="53">
        <v>2014</v>
      </c>
      <c r="D1355" s="52" t="s">
        <v>118</v>
      </c>
      <c r="E1355" s="54">
        <v>4</v>
      </c>
      <c r="F1355" s="55">
        <v>352765.28100000002</v>
      </c>
      <c r="G1355" s="55">
        <v>83956.205000000002</v>
      </c>
    </row>
    <row r="1356" spans="1:7" ht="10.050000000000001" customHeight="1">
      <c r="A1356" s="52" t="s">
        <v>421</v>
      </c>
      <c r="B1356" s="52" t="s">
        <v>307</v>
      </c>
      <c r="C1356" s="53">
        <v>2014</v>
      </c>
      <c r="D1356" s="52" t="s">
        <v>118</v>
      </c>
      <c r="E1356" s="54">
        <v>5</v>
      </c>
      <c r="F1356" s="55">
        <v>337015.56400000001</v>
      </c>
      <c r="G1356" s="55">
        <v>78048.948999999993</v>
      </c>
    </row>
    <row r="1357" spans="1:7" ht="10.050000000000001" customHeight="1">
      <c r="A1357" s="52" t="s">
        <v>421</v>
      </c>
      <c r="B1357" s="52" t="s">
        <v>307</v>
      </c>
      <c r="C1357" s="53">
        <v>2014</v>
      </c>
      <c r="D1357" s="52" t="s">
        <v>118</v>
      </c>
      <c r="E1357" s="54">
        <v>6</v>
      </c>
      <c r="F1357" s="55">
        <v>313740.62800000003</v>
      </c>
      <c r="G1357" s="55">
        <v>93018.005999999994</v>
      </c>
    </row>
    <row r="1358" spans="1:7" ht="10.050000000000001" customHeight="1">
      <c r="A1358" s="52" t="s">
        <v>421</v>
      </c>
      <c r="B1358" s="52" t="s">
        <v>307</v>
      </c>
      <c r="C1358" s="53">
        <v>2014</v>
      </c>
      <c r="D1358" s="52" t="s">
        <v>119</v>
      </c>
      <c r="E1358" s="54">
        <v>7</v>
      </c>
      <c r="F1358" s="55">
        <v>293852.53200000001</v>
      </c>
      <c r="G1358" s="55">
        <v>76542.58</v>
      </c>
    </row>
    <row r="1359" spans="1:7" ht="10.050000000000001" customHeight="1">
      <c r="A1359" s="52" t="s">
        <v>421</v>
      </c>
      <c r="B1359" s="52" t="s">
        <v>307</v>
      </c>
      <c r="C1359" s="53">
        <v>2014</v>
      </c>
      <c r="D1359" s="52" t="s">
        <v>119</v>
      </c>
      <c r="E1359" s="54">
        <v>8</v>
      </c>
      <c r="F1359" s="55">
        <v>222877.37599999999</v>
      </c>
      <c r="G1359" s="55">
        <v>61969.237000000001</v>
      </c>
    </row>
    <row r="1360" spans="1:7" ht="10.050000000000001" customHeight="1">
      <c r="A1360" s="52" t="s">
        <v>421</v>
      </c>
      <c r="B1360" s="52" t="s">
        <v>307</v>
      </c>
      <c r="C1360" s="53">
        <v>2014</v>
      </c>
      <c r="D1360" s="52" t="s">
        <v>119</v>
      </c>
      <c r="E1360" s="54">
        <v>9</v>
      </c>
      <c r="F1360" s="55">
        <v>216374.40100000001</v>
      </c>
      <c r="G1360" s="55">
        <v>56109.654999999999</v>
      </c>
    </row>
    <row r="1361" spans="1:7" ht="10.050000000000001" customHeight="1">
      <c r="A1361" s="52" t="s">
        <v>421</v>
      </c>
      <c r="B1361" s="52" t="s">
        <v>307</v>
      </c>
      <c r="C1361" s="53">
        <v>2014</v>
      </c>
      <c r="D1361" s="52" t="s">
        <v>119</v>
      </c>
      <c r="E1361" s="54">
        <v>10</v>
      </c>
      <c r="F1361" s="55">
        <v>264671.995</v>
      </c>
      <c r="G1361" s="55">
        <v>89918.995999999999</v>
      </c>
    </row>
    <row r="1362" spans="1:7" ht="10.050000000000001" customHeight="1">
      <c r="A1362" s="52" t="s">
        <v>421</v>
      </c>
      <c r="B1362" s="52" t="s">
        <v>307</v>
      </c>
      <c r="C1362" s="53">
        <v>2014</v>
      </c>
      <c r="D1362" s="52" t="s">
        <v>119</v>
      </c>
      <c r="E1362" s="54">
        <v>11</v>
      </c>
      <c r="F1362" s="55">
        <v>292401.23499999999</v>
      </c>
      <c r="G1362" s="55">
        <v>136523.255</v>
      </c>
    </row>
    <row r="1363" spans="1:7" ht="10.050000000000001" customHeight="1">
      <c r="A1363" s="52" t="s">
        <v>421</v>
      </c>
      <c r="B1363" s="52" t="s">
        <v>307</v>
      </c>
      <c r="C1363" s="53">
        <v>2014</v>
      </c>
      <c r="D1363" s="52" t="s">
        <v>119</v>
      </c>
      <c r="E1363" s="54">
        <v>12</v>
      </c>
      <c r="F1363" s="55">
        <v>341080.38099999999</v>
      </c>
      <c r="G1363" s="55">
        <v>120695.387</v>
      </c>
    </row>
    <row r="1364" spans="1:7" ht="10.050000000000001" customHeight="1">
      <c r="A1364" s="52" t="s">
        <v>421</v>
      </c>
      <c r="B1364" s="52" t="s">
        <v>307</v>
      </c>
      <c r="C1364" s="53">
        <v>2015</v>
      </c>
      <c r="D1364" s="52" t="s">
        <v>119</v>
      </c>
      <c r="E1364" s="54">
        <v>1</v>
      </c>
      <c r="F1364" s="55">
        <v>357244.02</v>
      </c>
      <c r="G1364" s="55">
        <v>94934.561000000002</v>
      </c>
    </row>
    <row r="1365" spans="1:7" ht="10.050000000000001" customHeight="1">
      <c r="A1365" s="52" t="s">
        <v>421</v>
      </c>
      <c r="B1365" s="52" t="s">
        <v>307</v>
      </c>
      <c r="C1365" s="53">
        <v>2015</v>
      </c>
      <c r="D1365" s="52" t="s">
        <v>119</v>
      </c>
      <c r="E1365" s="54">
        <v>2</v>
      </c>
      <c r="F1365" s="55">
        <v>338539.13</v>
      </c>
      <c r="G1365" s="55">
        <v>90602.078999999998</v>
      </c>
    </row>
    <row r="1366" spans="1:7" ht="10.050000000000001" customHeight="1">
      <c r="A1366" s="52" t="s">
        <v>421</v>
      </c>
      <c r="B1366" s="52" t="s">
        <v>307</v>
      </c>
      <c r="C1366" s="53">
        <v>2015</v>
      </c>
      <c r="D1366" s="52" t="s">
        <v>119</v>
      </c>
      <c r="E1366" s="54">
        <v>3</v>
      </c>
      <c r="F1366" s="55">
        <v>368611.78100000002</v>
      </c>
      <c r="G1366" s="55">
        <v>86076.058999999994</v>
      </c>
    </row>
    <row r="1367" spans="1:7" ht="10.050000000000001" customHeight="1">
      <c r="A1367" s="52" t="s">
        <v>421</v>
      </c>
      <c r="B1367" s="52" t="s">
        <v>307</v>
      </c>
      <c r="C1367" s="53">
        <v>2015</v>
      </c>
      <c r="D1367" s="52" t="s">
        <v>119</v>
      </c>
      <c r="E1367" s="54">
        <v>4</v>
      </c>
      <c r="F1367" s="55">
        <v>370445.51799999998</v>
      </c>
      <c r="G1367" s="55">
        <v>88650.672999999995</v>
      </c>
    </row>
    <row r="1368" spans="1:7" ht="10.050000000000001" customHeight="1">
      <c r="A1368" s="52" t="s">
        <v>421</v>
      </c>
      <c r="B1368" s="52" t="s">
        <v>307</v>
      </c>
      <c r="C1368" s="53">
        <v>2015</v>
      </c>
      <c r="D1368" s="52" t="s">
        <v>119</v>
      </c>
      <c r="E1368" s="54">
        <v>5</v>
      </c>
      <c r="F1368" s="55">
        <v>316180.266</v>
      </c>
      <c r="G1368" s="55">
        <v>77596.119000000006</v>
      </c>
    </row>
    <row r="1369" spans="1:7" ht="10.050000000000001" customHeight="1">
      <c r="A1369" s="52" t="s">
        <v>421</v>
      </c>
      <c r="B1369" s="52" t="s">
        <v>307</v>
      </c>
      <c r="C1369" s="53">
        <v>2015</v>
      </c>
      <c r="D1369" s="52" t="s">
        <v>119</v>
      </c>
      <c r="E1369" s="54">
        <v>6</v>
      </c>
      <c r="F1369" s="55">
        <v>318275.179</v>
      </c>
      <c r="G1369" s="55">
        <v>84603.444000000003</v>
      </c>
    </row>
    <row r="1370" spans="1:7" ht="10.050000000000001" customHeight="1">
      <c r="A1370" s="52" t="s">
        <v>421</v>
      </c>
      <c r="B1370" s="52" t="s">
        <v>307</v>
      </c>
      <c r="C1370" s="53">
        <v>2015</v>
      </c>
      <c r="D1370" s="52" t="s">
        <v>120</v>
      </c>
      <c r="E1370" s="54">
        <v>7</v>
      </c>
      <c r="F1370" s="55">
        <v>292966.28399999999</v>
      </c>
      <c r="G1370" s="55">
        <v>72705.856</v>
      </c>
    </row>
    <row r="1371" spans="1:7" ht="10.050000000000001" customHeight="1">
      <c r="A1371" s="52" t="s">
        <v>421</v>
      </c>
      <c r="B1371" s="52" t="s">
        <v>307</v>
      </c>
      <c r="C1371" s="53">
        <v>2015</v>
      </c>
      <c r="D1371" s="52" t="s">
        <v>120</v>
      </c>
      <c r="E1371" s="54">
        <v>8</v>
      </c>
      <c r="F1371" s="55">
        <v>227017.685</v>
      </c>
      <c r="G1371" s="55">
        <v>68765.269</v>
      </c>
    </row>
    <row r="1372" spans="1:7" ht="10.050000000000001" customHeight="1">
      <c r="A1372" s="52" t="s">
        <v>421</v>
      </c>
      <c r="B1372" s="52" t="s">
        <v>307</v>
      </c>
      <c r="C1372" s="53">
        <v>2015</v>
      </c>
      <c r="D1372" s="52" t="s">
        <v>120</v>
      </c>
      <c r="E1372" s="54">
        <v>9</v>
      </c>
      <c r="F1372" s="55">
        <v>222959.038</v>
      </c>
      <c r="G1372" s="55">
        <v>63644.694000000003</v>
      </c>
    </row>
    <row r="1373" spans="1:7" ht="10.050000000000001" customHeight="1">
      <c r="A1373" s="52" t="s">
        <v>421</v>
      </c>
      <c r="B1373" s="52" t="s">
        <v>307</v>
      </c>
      <c r="C1373" s="53">
        <v>2015</v>
      </c>
      <c r="D1373" s="52" t="s">
        <v>120</v>
      </c>
      <c r="E1373" s="54">
        <v>10</v>
      </c>
      <c r="F1373" s="55">
        <v>238520.16099999999</v>
      </c>
      <c r="G1373" s="55">
        <v>70208.044999999998</v>
      </c>
    </row>
    <row r="1374" spans="1:7" ht="10.050000000000001" customHeight="1">
      <c r="A1374" s="52" t="s">
        <v>421</v>
      </c>
      <c r="B1374" s="52" t="s">
        <v>307</v>
      </c>
      <c r="C1374" s="53">
        <v>2015</v>
      </c>
      <c r="D1374" s="52" t="s">
        <v>120</v>
      </c>
      <c r="E1374" s="54">
        <v>11</v>
      </c>
      <c r="F1374" s="55">
        <v>242185.226</v>
      </c>
      <c r="G1374" s="55">
        <v>127710.806</v>
      </c>
    </row>
    <row r="1375" spans="1:7" ht="10.050000000000001" customHeight="1">
      <c r="A1375" s="52" t="s">
        <v>421</v>
      </c>
      <c r="B1375" s="52" t="s">
        <v>307</v>
      </c>
      <c r="C1375" s="53">
        <v>2015</v>
      </c>
      <c r="D1375" s="52" t="s">
        <v>120</v>
      </c>
      <c r="E1375" s="54">
        <v>12</v>
      </c>
      <c r="F1375" s="55">
        <v>256219.93</v>
      </c>
      <c r="G1375" s="55">
        <v>128722.02899999999</v>
      </c>
    </row>
    <row r="1376" spans="1:7" ht="10.050000000000001" customHeight="1">
      <c r="A1376" s="52" t="s">
        <v>421</v>
      </c>
      <c r="B1376" s="52" t="s">
        <v>307</v>
      </c>
      <c r="C1376" s="53">
        <v>2016</v>
      </c>
      <c r="D1376" s="52" t="s">
        <v>120</v>
      </c>
      <c r="E1376" s="54">
        <v>1</v>
      </c>
      <c r="F1376" s="55">
        <v>226392.027</v>
      </c>
      <c r="G1376" s="55">
        <v>111771.15300000001</v>
      </c>
    </row>
    <row r="1377" spans="1:7" ht="10.050000000000001" customHeight="1">
      <c r="A1377" s="52" t="s">
        <v>421</v>
      </c>
      <c r="B1377" s="52" t="s">
        <v>307</v>
      </c>
      <c r="C1377" s="53">
        <v>2016</v>
      </c>
      <c r="D1377" s="52" t="s">
        <v>120</v>
      </c>
      <c r="E1377" s="54">
        <v>2</v>
      </c>
      <c r="F1377" s="55">
        <v>223143.28599999999</v>
      </c>
      <c r="G1377" s="55">
        <v>100393.887</v>
      </c>
    </row>
    <row r="1378" spans="1:7" ht="10.050000000000001" customHeight="1">
      <c r="A1378" s="52" t="s">
        <v>421</v>
      </c>
      <c r="B1378" s="52" t="s">
        <v>307</v>
      </c>
      <c r="C1378" s="53">
        <v>2016</v>
      </c>
      <c r="D1378" s="52" t="s">
        <v>120</v>
      </c>
      <c r="E1378" s="54">
        <v>3</v>
      </c>
      <c r="F1378" s="55">
        <v>233873.95800000001</v>
      </c>
      <c r="G1378" s="55">
        <v>89093.830000000104</v>
      </c>
    </row>
    <row r="1379" spans="1:7" ht="10.050000000000001" customHeight="1">
      <c r="A1379" s="52" t="s">
        <v>421</v>
      </c>
      <c r="B1379" s="52" t="s">
        <v>307</v>
      </c>
      <c r="C1379" s="53">
        <v>2016</v>
      </c>
      <c r="D1379" s="52" t="s">
        <v>120</v>
      </c>
      <c r="E1379" s="54">
        <v>4</v>
      </c>
      <c r="F1379" s="55">
        <v>213034.818</v>
      </c>
      <c r="G1379" s="55">
        <v>82924.173999999999</v>
      </c>
    </row>
    <row r="1380" spans="1:7" ht="10.050000000000001" customHeight="1">
      <c r="A1380" s="52" t="s">
        <v>421</v>
      </c>
      <c r="B1380" s="52" t="s">
        <v>307</v>
      </c>
      <c r="C1380" s="53">
        <v>2016</v>
      </c>
      <c r="D1380" s="52" t="s">
        <v>120</v>
      </c>
      <c r="E1380" s="54">
        <v>5</v>
      </c>
      <c r="F1380" s="55">
        <v>201703.12400000001</v>
      </c>
      <c r="G1380" s="55">
        <v>87370.648000000001</v>
      </c>
    </row>
    <row r="1381" spans="1:7" ht="10.050000000000001" customHeight="1">
      <c r="A1381" s="52" t="s">
        <v>421</v>
      </c>
      <c r="B1381" s="52" t="s">
        <v>307</v>
      </c>
      <c r="C1381" s="53">
        <v>2016</v>
      </c>
      <c r="D1381" s="52" t="s">
        <v>120</v>
      </c>
      <c r="E1381" s="54">
        <v>6</v>
      </c>
      <c r="F1381" s="55">
        <v>195681.21100000001</v>
      </c>
      <c r="G1381" s="55">
        <v>89134.869000000006</v>
      </c>
    </row>
    <row r="1382" spans="1:7" ht="10.050000000000001" customHeight="1">
      <c r="A1382" s="52" t="s">
        <v>421</v>
      </c>
      <c r="B1382" s="52" t="s">
        <v>307</v>
      </c>
      <c r="C1382" s="53">
        <v>2016</v>
      </c>
      <c r="D1382" s="52" t="s">
        <v>121</v>
      </c>
      <c r="E1382" s="54">
        <v>7</v>
      </c>
      <c r="F1382" s="55">
        <v>178274.44899999999</v>
      </c>
      <c r="G1382" s="55">
        <v>76142.054999999993</v>
      </c>
    </row>
    <row r="1383" spans="1:7" ht="10.050000000000001" customHeight="1">
      <c r="A1383" s="52" t="s">
        <v>421</v>
      </c>
      <c r="B1383" s="52" t="s">
        <v>307</v>
      </c>
      <c r="C1383" s="53">
        <v>2016</v>
      </c>
      <c r="D1383" s="52" t="s">
        <v>121</v>
      </c>
      <c r="E1383" s="54">
        <v>8</v>
      </c>
      <c r="F1383" s="55">
        <v>193176.41699999999</v>
      </c>
      <c r="G1383" s="55">
        <v>58134.792000000001</v>
      </c>
    </row>
    <row r="1384" spans="1:7" ht="10.050000000000001" customHeight="1">
      <c r="A1384" s="52" t="s">
        <v>421</v>
      </c>
      <c r="B1384" s="52" t="s">
        <v>307</v>
      </c>
      <c r="C1384" s="53">
        <v>2016</v>
      </c>
      <c r="D1384" s="52" t="s">
        <v>121</v>
      </c>
      <c r="E1384" s="54">
        <v>9</v>
      </c>
      <c r="F1384" s="55">
        <v>181752.58900000001</v>
      </c>
      <c r="G1384" s="55">
        <v>52964.37</v>
      </c>
    </row>
    <row r="1385" spans="1:7" ht="10.050000000000001" customHeight="1">
      <c r="A1385" s="52" t="s">
        <v>421</v>
      </c>
      <c r="B1385" s="52" t="s">
        <v>307</v>
      </c>
      <c r="C1385" s="53">
        <v>2016</v>
      </c>
      <c r="D1385" s="52" t="s">
        <v>121</v>
      </c>
      <c r="E1385" s="54">
        <v>10</v>
      </c>
      <c r="F1385" s="55">
        <v>193221.07800000001</v>
      </c>
      <c r="G1385" s="55">
        <v>72960.172000000006</v>
      </c>
    </row>
    <row r="1386" spans="1:7" ht="10.050000000000001" customHeight="1">
      <c r="A1386" s="52" t="s">
        <v>421</v>
      </c>
      <c r="B1386" s="52" t="s">
        <v>307</v>
      </c>
      <c r="C1386" s="53">
        <v>2016</v>
      </c>
      <c r="D1386" s="52" t="s">
        <v>121</v>
      </c>
      <c r="E1386" s="54">
        <v>11</v>
      </c>
      <c r="F1386" s="55">
        <v>209046.29199999999</v>
      </c>
      <c r="G1386" s="55">
        <v>97229.381999999998</v>
      </c>
    </row>
    <row r="1387" spans="1:7" ht="10.050000000000001" customHeight="1">
      <c r="A1387" s="52" t="s">
        <v>421</v>
      </c>
      <c r="B1387" s="52" t="s">
        <v>307</v>
      </c>
      <c r="C1387" s="53">
        <v>2016</v>
      </c>
      <c r="D1387" s="52" t="s">
        <v>121</v>
      </c>
      <c r="E1387" s="54">
        <v>12</v>
      </c>
      <c r="F1387" s="55">
        <v>205063.201</v>
      </c>
      <c r="G1387" s="55">
        <v>90448.887000000002</v>
      </c>
    </row>
    <row r="1388" spans="1:7" ht="10.050000000000001" customHeight="1">
      <c r="A1388" s="52" t="s">
        <v>421</v>
      </c>
      <c r="B1388" s="52" t="s">
        <v>307</v>
      </c>
      <c r="C1388" s="53">
        <v>2017</v>
      </c>
      <c r="D1388" s="52" t="s">
        <v>121</v>
      </c>
      <c r="E1388" s="54">
        <v>1</v>
      </c>
      <c r="F1388" s="55">
        <v>206036.46299999999</v>
      </c>
      <c r="G1388" s="55">
        <v>89678.982999999993</v>
      </c>
    </row>
    <row r="1389" spans="1:7" ht="10.050000000000001" customHeight="1">
      <c r="A1389" s="52" t="s">
        <v>421</v>
      </c>
      <c r="B1389" s="52" t="s">
        <v>307</v>
      </c>
      <c r="C1389" s="53">
        <v>2017</v>
      </c>
      <c r="D1389" s="52" t="s">
        <v>121</v>
      </c>
      <c r="E1389" s="54">
        <v>2</v>
      </c>
      <c r="F1389" s="55">
        <v>180542</v>
      </c>
      <c r="G1389" s="55">
        <v>84851.47</v>
      </c>
    </row>
    <row r="1390" spans="1:7" ht="10.050000000000001" customHeight="1">
      <c r="A1390" s="52" t="s">
        <v>421</v>
      </c>
      <c r="B1390" s="52" t="s">
        <v>307</v>
      </c>
      <c r="C1390" s="53">
        <v>2017</v>
      </c>
      <c r="D1390" s="52" t="s">
        <v>121</v>
      </c>
      <c r="E1390" s="54">
        <v>3</v>
      </c>
      <c r="F1390" s="55">
        <v>203141.288</v>
      </c>
      <c r="G1390" s="55">
        <v>86498.341</v>
      </c>
    </row>
    <row r="1391" spans="1:7" ht="10.050000000000001" customHeight="1">
      <c r="A1391" s="52" t="s">
        <v>421</v>
      </c>
      <c r="B1391" s="52" t="s">
        <v>307</v>
      </c>
      <c r="C1391" s="53">
        <v>2017</v>
      </c>
      <c r="D1391" s="52" t="s">
        <v>121</v>
      </c>
      <c r="E1391" s="54">
        <v>4</v>
      </c>
      <c r="F1391" s="55">
        <v>173788.84099999999</v>
      </c>
      <c r="G1391" s="55">
        <v>75691.502999999997</v>
      </c>
    </row>
    <row r="1392" spans="1:7" ht="10.050000000000001" customHeight="1">
      <c r="A1392" s="52" t="s">
        <v>421</v>
      </c>
      <c r="B1392" s="52" t="s">
        <v>307</v>
      </c>
      <c r="C1392" s="53">
        <v>2017</v>
      </c>
      <c r="D1392" s="52" t="s">
        <v>121</v>
      </c>
      <c r="E1392" s="54">
        <v>5</v>
      </c>
      <c r="F1392" s="55">
        <v>182839.16899999999</v>
      </c>
      <c r="G1392" s="55">
        <v>78481.756999999998</v>
      </c>
    </row>
    <row r="1393" spans="1:7" ht="10.050000000000001" customHeight="1">
      <c r="A1393" s="52" t="s">
        <v>421</v>
      </c>
      <c r="B1393" s="52" t="s">
        <v>307</v>
      </c>
      <c r="C1393" s="53">
        <v>2017</v>
      </c>
      <c r="D1393" s="52" t="s">
        <v>121</v>
      </c>
      <c r="E1393" s="54">
        <v>6</v>
      </c>
      <c r="F1393" s="55">
        <v>179903.375</v>
      </c>
      <c r="G1393" s="55">
        <v>94091.328999999998</v>
      </c>
    </row>
    <row r="1394" spans="1:7" ht="10.050000000000001" customHeight="1">
      <c r="A1394" s="52" t="s">
        <v>421</v>
      </c>
      <c r="B1394" s="52" t="s">
        <v>307</v>
      </c>
      <c r="C1394" s="53">
        <v>2017</v>
      </c>
      <c r="D1394" s="52" t="s">
        <v>122</v>
      </c>
      <c r="E1394" s="54">
        <v>7</v>
      </c>
      <c r="F1394" s="55">
        <v>168154.63699999999</v>
      </c>
      <c r="G1394" s="55">
        <v>80487.573999999993</v>
      </c>
    </row>
    <row r="1395" spans="1:7" ht="10.050000000000001" customHeight="1">
      <c r="A1395" s="52" t="s">
        <v>421</v>
      </c>
      <c r="B1395" s="52" t="s">
        <v>307</v>
      </c>
      <c r="C1395" s="53">
        <v>2017</v>
      </c>
      <c r="D1395" s="52" t="s">
        <v>122</v>
      </c>
      <c r="E1395" s="54">
        <v>8</v>
      </c>
      <c r="F1395" s="55">
        <v>188126.652</v>
      </c>
      <c r="G1395" s="55">
        <v>65894.095000000001</v>
      </c>
    </row>
    <row r="1396" spans="1:7" ht="10.050000000000001" customHeight="1">
      <c r="A1396" s="52" t="s">
        <v>421</v>
      </c>
      <c r="B1396" s="52" t="s">
        <v>307</v>
      </c>
      <c r="C1396" s="53">
        <v>2017</v>
      </c>
      <c r="D1396" s="52" t="s">
        <v>122</v>
      </c>
      <c r="E1396" s="54">
        <v>9</v>
      </c>
      <c r="F1396" s="55">
        <v>177940.82699999999</v>
      </c>
      <c r="G1396" s="55">
        <v>60033.510999999999</v>
      </c>
    </row>
    <row r="1397" spans="1:7" ht="10.050000000000001" customHeight="1">
      <c r="A1397" s="52" t="s">
        <v>421</v>
      </c>
      <c r="B1397" s="52" t="s">
        <v>307</v>
      </c>
      <c r="C1397" s="53">
        <v>2017</v>
      </c>
      <c r="D1397" s="52" t="s">
        <v>122</v>
      </c>
      <c r="E1397" s="54">
        <v>10</v>
      </c>
      <c r="F1397" s="55">
        <v>208985.908</v>
      </c>
      <c r="G1397" s="55">
        <v>97053.432000000001</v>
      </c>
    </row>
    <row r="1398" spans="1:7" ht="10.050000000000001" customHeight="1">
      <c r="A1398" s="52" t="s">
        <v>421</v>
      </c>
      <c r="B1398" s="52" t="s">
        <v>307</v>
      </c>
      <c r="C1398" s="53">
        <v>2017</v>
      </c>
      <c r="D1398" s="52" t="s">
        <v>122</v>
      </c>
      <c r="E1398" s="54">
        <v>11</v>
      </c>
      <c r="F1398" s="55">
        <v>231818.55600000001</v>
      </c>
      <c r="G1398" s="55">
        <v>147091.25200000001</v>
      </c>
    </row>
    <row r="1399" spans="1:7" ht="10.050000000000001" customHeight="1">
      <c r="A1399" s="52" t="s">
        <v>421</v>
      </c>
      <c r="B1399" s="52" t="s">
        <v>307</v>
      </c>
      <c r="C1399" s="53">
        <v>2017</v>
      </c>
      <c r="D1399" s="52" t="s">
        <v>122</v>
      </c>
      <c r="E1399" s="54">
        <v>12</v>
      </c>
      <c r="F1399" s="55">
        <v>210345.01800000001</v>
      </c>
      <c r="G1399" s="55">
        <v>129449.125</v>
      </c>
    </row>
    <row r="1400" spans="1:7" ht="10.050000000000001" customHeight="1">
      <c r="A1400" s="52" t="s">
        <v>421</v>
      </c>
      <c r="B1400" s="52" t="s">
        <v>307</v>
      </c>
      <c r="C1400" s="53">
        <v>2018</v>
      </c>
      <c r="D1400" s="52" t="s">
        <v>122</v>
      </c>
      <c r="E1400" s="54">
        <v>1</v>
      </c>
      <c r="F1400" s="55">
        <v>221699.34</v>
      </c>
      <c r="G1400" s="55">
        <v>107900.501</v>
      </c>
    </row>
    <row r="1401" spans="1:7" ht="10.050000000000001" customHeight="1">
      <c r="A1401" s="52" t="s">
        <v>421</v>
      </c>
      <c r="B1401" s="52" t="s">
        <v>307</v>
      </c>
      <c r="C1401" s="53">
        <v>2018</v>
      </c>
      <c r="D1401" s="52" t="s">
        <v>122</v>
      </c>
      <c r="E1401" s="54">
        <v>2</v>
      </c>
      <c r="F1401" s="55">
        <v>207592.09599999999</v>
      </c>
      <c r="G1401" s="55">
        <v>92651.224000000002</v>
      </c>
    </row>
    <row r="1402" spans="1:7" ht="10.050000000000001" customHeight="1">
      <c r="A1402" s="52" t="s">
        <v>421</v>
      </c>
      <c r="B1402" s="52" t="s">
        <v>307</v>
      </c>
      <c r="C1402" s="53">
        <v>2018</v>
      </c>
      <c r="D1402" s="52" t="s">
        <v>122</v>
      </c>
      <c r="E1402" s="54">
        <v>3</v>
      </c>
      <c r="F1402" s="55">
        <v>235704.70300000001</v>
      </c>
      <c r="G1402" s="55">
        <v>81349.907000000007</v>
      </c>
    </row>
    <row r="1403" spans="1:7" ht="10.050000000000001" customHeight="1">
      <c r="A1403" s="52" t="s">
        <v>421</v>
      </c>
      <c r="B1403" s="52" t="s">
        <v>307</v>
      </c>
      <c r="C1403" s="53">
        <v>2018</v>
      </c>
      <c r="D1403" s="52" t="s">
        <v>122</v>
      </c>
      <c r="E1403" s="54">
        <v>4</v>
      </c>
      <c r="F1403" s="55">
        <v>210898.36600000001</v>
      </c>
      <c r="G1403" s="55">
        <v>84671.748000000094</v>
      </c>
    </row>
    <row r="1404" spans="1:7" ht="10.050000000000001" customHeight="1">
      <c r="A1404" s="52" t="s">
        <v>421</v>
      </c>
      <c r="B1404" s="52" t="s">
        <v>307</v>
      </c>
      <c r="C1404" s="53">
        <v>2018</v>
      </c>
      <c r="D1404" s="52" t="s">
        <v>122</v>
      </c>
      <c r="E1404" s="54">
        <v>5</v>
      </c>
      <c r="F1404" s="55">
        <v>219670.967</v>
      </c>
      <c r="G1404" s="55">
        <v>83861.732000000004</v>
      </c>
    </row>
    <row r="1405" spans="1:7" ht="10.050000000000001" customHeight="1">
      <c r="A1405" s="52" t="s">
        <v>421</v>
      </c>
      <c r="B1405" s="52" t="s">
        <v>307</v>
      </c>
      <c r="C1405" s="53">
        <v>2018</v>
      </c>
      <c r="D1405" s="52" t="s">
        <v>122</v>
      </c>
      <c r="E1405" s="54">
        <v>6</v>
      </c>
      <c r="F1405" s="55">
        <v>205873.07</v>
      </c>
      <c r="G1405" s="55">
        <v>90601.142000000007</v>
      </c>
    </row>
    <row r="1406" spans="1:7" ht="10.050000000000001" customHeight="1">
      <c r="A1406" s="52" t="s">
        <v>421</v>
      </c>
      <c r="B1406" s="52" t="s">
        <v>307</v>
      </c>
      <c r="C1406" s="53">
        <v>2018</v>
      </c>
      <c r="D1406" s="52" t="s">
        <v>123</v>
      </c>
      <c r="E1406" s="54">
        <v>7</v>
      </c>
      <c r="F1406" s="55">
        <v>197454.23199999999</v>
      </c>
      <c r="G1406" s="55">
        <v>77482.411999999997</v>
      </c>
    </row>
    <row r="1407" spans="1:7" ht="10.050000000000001" customHeight="1">
      <c r="A1407" s="52" t="s">
        <v>421</v>
      </c>
      <c r="B1407" s="52" t="s">
        <v>307</v>
      </c>
      <c r="C1407" s="53">
        <v>2018</v>
      </c>
      <c r="D1407" s="52" t="s">
        <v>123</v>
      </c>
      <c r="E1407" s="54">
        <v>8</v>
      </c>
      <c r="F1407" s="55">
        <v>208039.81700000001</v>
      </c>
      <c r="G1407" s="55">
        <v>67305.591</v>
      </c>
    </row>
    <row r="1408" spans="1:7" ht="10.050000000000001" customHeight="1">
      <c r="A1408" s="52" t="s">
        <v>421</v>
      </c>
      <c r="B1408" s="52" t="s">
        <v>307</v>
      </c>
      <c r="C1408" s="53">
        <v>2018</v>
      </c>
      <c r="D1408" s="52" t="s">
        <v>123</v>
      </c>
      <c r="E1408" s="54">
        <v>9</v>
      </c>
      <c r="F1408" s="55">
        <v>208950.954</v>
      </c>
      <c r="G1408" s="55">
        <v>62477.894</v>
      </c>
    </row>
    <row r="1409" spans="1:7" ht="10.050000000000001" customHeight="1">
      <c r="A1409" s="52" t="s">
        <v>421</v>
      </c>
      <c r="B1409" s="52" t="s">
        <v>307</v>
      </c>
      <c r="C1409" s="53">
        <v>2018</v>
      </c>
      <c r="D1409" s="52" t="s">
        <v>123</v>
      </c>
      <c r="E1409" s="54">
        <v>10</v>
      </c>
      <c r="F1409" s="55">
        <v>267236.95600000001</v>
      </c>
      <c r="G1409" s="55">
        <v>153919.34</v>
      </c>
    </row>
    <row r="1410" spans="1:7" ht="10.050000000000001" customHeight="1">
      <c r="A1410" s="52" t="s">
        <v>421</v>
      </c>
      <c r="B1410" s="52" t="s">
        <v>307</v>
      </c>
      <c r="C1410" s="53">
        <v>2018</v>
      </c>
      <c r="D1410" s="52" t="s">
        <v>123</v>
      </c>
      <c r="E1410" s="54">
        <v>11</v>
      </c>
      <c r="F1410" s="55">
        <v>302785.65999999997</v>
      </c>
      <c r="G1410" s="55">
        <v>150414.33900000001</v>
      </c>
    </row>
    <row r="1411" spans="1:7" ht="10.050000000000001" customHeight="1">
      <c r="A1411" s="52" t="s">
        <v>421</v>
      </c>
      <c r="B1411" s="52" t="s">
        <v>307</v>
      </c>
      <c r="C1411" s="53">
        <v>2018</v>
      </c>
      <c r="D1411" s="52" t="s">
        <v>123</v>
      </c>
      <c r="E1411" s="54">
        <v>12</v>
      </c>
      <c r="F1411" s="55">
        <v>299933.38299999997</v>
      </c>
      <c r="G1411" s="55">
        <v>135505.08199999999</v>
      </c>
    </row>
    <row r="1412" spans="1:7" ht="10.050000000000001" customHeight="1">
      <c r="A1412" s="52" t="s">
        <v>421</v>
      </c>
      <c r="B1412" s="52" t="s">
        <v>307</v>
      </c>
      <c r="C1412" s="53">
        <v>2019</v>
      </c>
      <c r="D1412" s="52" t="s">
        <v>123</v>
      </c>
      <c r="E1412" s="54">
        <v>1</v>
      </c>
      <c r="F1412" s="55">
        <v>339260.35600000003</v>
      </c>
      <c r="G1412" s="55">
        <v>139171.76300000001</v>
      </c>
    </row>
    <row r="1413" spans="1:7" ht="10.050000000000001" customHeight="1">
      <c r="A1413" s="52" t="s">
        <v>421</v>
      </c>
      <c r="B1413" s="52" t="s">
        <v>307</v>
      </c>
      <c r="C1413" s="53">
        <v>2019</v>
      </c>
      <c r="D1413" s="52" t="s">
        <v>123</v>
      </c>
      <c r="E1413" s="54">
        <v>2</v>
      </c>
      <c r="F1413" s="55">
        <v>292113.391</v>
      </c>
      <c r="G1413" s="55">
        <v>133395.63099999999</v>
      </c>
    </row>
    <row r="1414" spans="1:7" ht="10.050000000000001" customHeight="1">
      <c r="A1414" s="52" t="s">
        <v>421</v>
      </c>
      <c r="B1414" s="52" t="s">
        <v>307</v>
      </c>
      <c r="C1414" s="53">
        <v>2019</v>
      </c>
      <c r="D1414" s="52" t="s">
        <v>123</v>
      </c>
      <c r="E1414" s="54">
        <v>3</v>
      </c>
      <c r="F1414" s="55">
        <v>304325.72899999999</v>
      </c>
      <c r="G1414" s="55">
        <v>119185.886</v>
      </c>
    </row>
    <row r="1415" spans="1:7" ht="10.050000000000001" customHeight="1">
      <c r="A1415" s="52" t="s">
        <v>421</v>
      </c>
      <c r="B1415" s="52" t="s">
        <v>307</v>
      </c>
      <c r="C1415" s="53">
        <v>2019</v>
      </c>
      <c r="D1415" s="52" t="s">
        <v>123</v>
      </c>
      <c r="E1415" s="54">
        <v>4</v>
      </c>
      <c r="F1415" s="55">
        <v>306127.679</v>
      </c>
      <c r="G1415" s="55">
        <v>111799.761</v>
      </c>
    </row>
    <row r="1416" spans="1:7" ht="10.050000000000001" customHeight="1">
      <c r="A1416" s="52" t="s">
        <v>421</v>
      </c>
      <c r="B1416" s="52" t="s">
        <v>307</v>
      </c>
      <c r="C1416" s="53">
        <v>2019</v>
      </c>
      <c r="D1416" s="52" t="s">
        <v>123</v>
      </c>
      <c r="E1416" s="54">
        <v>5</v>
      </c>
      <c r="F1416" s="55">
        <v>305838.696</v>
      </c>
      <c r="G1416" s="55">
        <v>102303.205</v>
      </c>
    </row>
    <row r="1417" spans="1:7" ht="10.050000000000001" customHeight="1">
      <c r="A1417" s="52" t="s">
        <v>421</v>
      </c>
      <c r="B1417" s="52" t="s">
        <v>307</v>
      </c>
      <c r="C1417" s="53">
        <v>2019</v>
      </c>
      <c r="D1417" s="52" t="s">
        <v>123</v>
      </c>
      <c r="E1417" s="54">
        <v>6</v>
      </c>
      <c r="F1417" s="55">
        <v>256604.93700000001</v>
      </c>
      <c r="G1417" s="55">
        <v>108258.452</v>
      </c>
    </row>
    <row r="1418" spans="1:7" ht="10.050000000000001" customHeight="1">
      <c r="A1418" s="52" t="s">
        <v>421</v>
      </c>
      <c r="B1418" s="52" t="s">
        <v>307</v>
      </c>
      <c r="C1418" s="53">
        <v>2019</v>
      </c>
      <c r="D1418" s="52" t="s">
        <v>124</v>
      </c>
      <c r="E1418" s="54">
        <v>7</v>
      </c>
      <c r="F1418" s="55">
        <v>241899.58499999999</v>
      </c>
      <c r="G1418" s="55">
        <v>90248.883000000002</v>
      </c>
    </row>
    <row r="1419" spans="1:7" ht="10.050000000000001" customHeight="1">
      <c r="A1419" s="52" t="s">
        <v>421</v>
      </c>
      <c r="B1419" s="52" t="s">
        <v>307</v>
      </c>
      <c r="C1419" s="53">
        <v>2019</v>
      </c>
      <c r="D1419" s="52" t="s">
        <v>124</v>
      </c>
      <c r="E1419" s="54">
        <v>8</v>
      </c>
      <c r="F1419" s="55">
        <v>214920.622</v>
      </c>
      <c r="G1419" s="55">
        <v>77932.691999999995</v>
      </c>
    </row>
    <row r="1420" spans="1:7" ht="10.050000000000001" customHeight="1">
      <c r="A1420" s="52" t="s">
        <v>421</v>
      </c>
      <c r="B1420" s="52" t="s">
        <v>307</v>
      </c>
      <c r="C1420" s="53">
        <v>2019</v>
      </c>
      <c r="D1420" s="52" t="s">
        <v>124</v>
      </c>
      <c r="E1420" s="54">
        <v>9</v>
      </c>
      <c r="F1420" s="55">
        <v>203619.61199999999</v>
      </c>
      <c r="G1420" s="55">
        <v>69901.175000000003</v>
      </c>
    </row>
    <row r="1421" spans="1:7" ht="10.050000000000001" customHeight="1">
      <c r="A1421" s="52" t="s">
        <v>421</v>
      </c>
      <c r="B1421" s="52" t="s">
        <v>307</v>
      </c>
      <c r="C1421" s="53">
        <v>2019</v>
      </c>
      <c r="D1421" s="52" t="s">
        <v>124</v>
      </c>
      <c r="E1421" s="54">
        <v>10</v>
      </c>
      <c r="F1421" s="55">
        <v>229143.98699999999</v>
      </c>
      <c r="G1421" s="55">
        <v>79724.592999999993</v>
      </c>
    </row>
    <row r="1422" spans="1:7" ht="10.050000000000001" customHeight="1">
      <c r="A1422" s="52" t="s">
        <v>421</v>
      </c>
      <c r="B1422" s="52" t="s">
        <v>307</v>
      </c>
      <c r="C1422" s="53">
        <v>2019</v>
      </c>
      <c r="D1422" s="52" t="s">
        <v>124</v>
      </c>
      <c r="E1422" s="54">
        <v>11</v>
      </c>
      <c r="F1422" s="55">
        <v>213149.48</v>
      </c>
      <c r="G1422" s="55">
        <v>126634.921</v>
      </c>
    </row>
    <row r="1423" spans="1:7" ht="10.050000000000001" customHeight="1">
      <c r="A1423" s="52" t="s">
        <v>421</v>
      </c>
      <c r="B1423" s="52" t="s">
        <v>307</v>
      </c>
      <c r="C1423" s="53">
        <v>2019</v>
      </c>
      <c r="D1423" s="52" t="s">
        <v>124</v>
      </c>
      <c r="E1423" s="54">
        <v>12</v>
      </c>
      <c r="F1423" s="55">
        <v>218371.73800000001</v>
      </c>
      <c r="G1423" s="55">
        <v>124971.303</v>
      </c>
    </row>
    <row r="1424" spans="1:7" ht="10.050000000000001" customHeight="1">
      <c r="A1424" s="52" t="s">
        <v>421</v>
      </c>
      <c r="B1424" s="52" t="s">
        <v>307</v>
      </c>
      <c r="C1424" s="53">
        <v>2020</v>
      </c>
      <c r="D1424" s="52" t="s">
        <v>124</v>
      </c>
      <c r="E1424" s="54">
        <v>1</v>
      </c>
      <c r="F1424" s="55">
        <v>242534.981</v>
      </c>
      <c r="G1424" s="55">
        <v>110319.75199999999</v>
      </c>
    </row>
    <row r="1425" spans="1:7" ht="10.050000000000001" customHeight="1">
      <c r="A1425" s="52" t="s">
        <v>421</v>
      </c>
      <c r="B1425" s="52" t="s">
        <v>307</v>
      </c>
      <c r="C1425" s="53">
        <v>2020</v>
      </c>
      <c r="D1425" s="52" t="s">
        <v>124</v>
      </c>
      <c r="E1425" s="54">
        <v>2</v>
      </c>
      <c r="F1425" s="55">
        <v>235551.97700000001</v>
      </c>
      <c r="G1425" s="55">
        <v>104603.933</v>
      </c>
    </row>
    <row r="1426" spans="1:7" ht="10.050000000000001" customHeight="1">
      <c r="A1426" s="52" t="s">
        <v>421</v>
      </c>
      <c r="B1426" s="52" t="s">
        <v>307</v>
      </c>
      <c r="C1426" s="53">
        <v>2020</v>
      </c>
      <c r="D1426" s="52" t="s">
        <v>124</v>
      </c>
      <c r="E1426" s="54">
        <v>3</v>
      </c>
      <c r="F1426" s="55">
        <v>270517.13</v>
      </c>
      <c r="G1426" s="55">
        <v>104720.39</v>
      </c>
    </row>
    <row r="1427" spans="1:7" ht="10.050000000000001" customHeight="1">
      <c r="A1427" s="52" t="s">
        <v>421</v>
      </c>
      <c r="B1427" s="52" t="s">
        <v>307</v>
      </c>
      <c r="C1427" s="53">
        <v>2020</v>
      </c>
      <c r="D1427" s="52" t="s">
        <v>124</v>
      </c>
      <c r="E1427" s="54">
        <v>4</v>
      </c>
      <c r="F1427" s="55">
        <v>264550.342</v>
      </c>
      <c r="G1427" s="55">
        <v>97504.221000000107</v>
      </c>
    </row>
    <row r="1428" spans="1:7" ht="10.050000000000001" customHeight="1">
      <c r="A1428" s="52" t="s">
        <v>421</v>
      </c>
      <c r="B1428" s="52" t="s">
        <v>307</v>
      </c>
      <c r="C1428" s="53">
        <v>2020</v>
      </c>
      <c r="D1428" s="52" t="s">
        <v>124</v>
      </c>
      <c r="E1428" s="54">
        <v>5</v>
      </c>
      <c r="F1428" s="55">
        <v>264438.36200000002</v>
      </c>
      <c r="G1428" s="55">
        <v>91151.714999999997</v>
      </c>
    </row>
    <row r="1429" spans="1:7" ht="10.050000000000001" customHeight="1">
      <c r="A1429" s="52" t="s">
        <v>421</v>
      </c>
      <c r="B1429" s="52" t="s">
        <v>307</v>
      </c>
      <c r="C1429" s="53">
        <v>2020</v>
      </c>
      <c r="D1429" s="52" t="s">
        <v>124</v>
      </c>
      <c r="E1429" s="54">
        <v>6</v>
      </c>
      <c r="F1429" s="55">
        <v>264041.27299999999</v>
      </c>
      <c r="G1429" s="55">
        <v>109972.921</v>
      </c>
    </row>
    <row r="1430" spans="1:7" ht="10.050000000000001" customHeight="1">
      <c r="A1430" s="52" t="s">
        <v>421</v>
      </c>
      <c r="B1430" s="52" t="s">
        <v>307</v>
      </c>
      <c r="C1430" s="53">
        <v>2020</v>
      </c>
      <c r="D1430" s="52" t="s">
        <v>125</v>
      </c>
      <c r="E1430" s="54">
        <v>7</v>
      </c>
      <c r="F1430" s="55">
        <v>245002.88200000001</v>
      </c>
      <c r="G1430" s="55">
        <v>89172.648000000001</v>
      </c>
    </row>
    <row r="1431" spans="1:7" ht="10.050000000000001" customHeight="1">
      <c r="A1431" s="52" t="s">
        <v>421</v>
      </c>
      <c r="B1431" s="52" t="s">
        <v>307</v>
      </c>
      <c r="C1431" s="53">
        <v>2020</v>
      </c>
      <c r="D1431" s="52" t="s">
        <v>125</v>
      </c>
      <c r="E1431" s="54">
        <v>8</v>
      </c>
      <c r="F1431" s="55">
        <v>225093.66099999999</v>
      </c>
      <c r="G1431" s="55">
        <v>75575.23</v>
      </c>
    </row>
    <row r="1432" spans="1:7" ht="10.050000000000001" customHeight="1">
      <c r="A1432" s="52" t="s">
        <v>421</v>
      </c>
      <c r="B1432" s="52" t="s">
        <v>307</v>
      </c>
      <c r="C1432" s="53">
        <v>2020</v>
      </c>
      <c r="D1432" s="52" t="s">
        <v>125</v>
      </c>
      <c r="E1432" s="54">
        <v>9</v>
      </c>
      <c r="F1432" s="55">
        <v>243787.076</v>
      </c>
      <c r="G1432" s="55">
        <v>73985.476999999999</v>
      </c>
    </row>
    <row r="1433" spans="1:7" ht="10.050000000000001" customHeight="1">
      <c r="A1433" s="52" t="s">
        <v>421</v>
      </c>
      <c r="B1433" s="52" t="s">
        <v>307</v>
      </c>
      <c r="C1433" s="53">
        <v>2020</v>
      </c>
      <c r="D1433" s="52" t="s">
        <v>125</v>
      </c>
      <c r="E1433" s="54">
        <v>10</v>
      </c>
      <c r="F1433" s="55">
        <v>293169.72899999999</v>
      </c>
      <c r="G1433" s="55">
        <v>132968.76999999999</v>
      </c>
    </row>
    <row r="1434" spans="1:7" ht="10.050000000000001" customHeight="1">
      <c r="A1434" s="52" t="s">
        <v>421</v>
      </c>
      <c r="B1434" s="52" t="s">
        <v>307</v>
      </c>
      <c r="C1434" s="53">
        <v>2020</v>
      </c>
      <c r="D1434" s="52" t="s">
        <v>125</v>
      </c>
      <c r="E1434" s="54">
        <v>11</v>
      </c>
      <c r="F1434" s="55">
        <v>293134.09100000001</v>
      </c>
      <c r="G1434" s="55">
        <v>181187.34099999999</v>
      </c>
    </row>
    <row r="1435" spans="1:7" ht="10.050000000000001" customHeight="1">
      <c r="A1435" s="52" t="s">
        <v>421</v>
      </c>
      <c r="B1435" s="52" t="s">
        <v>307</v>
      </c>
      <c r="C1435" s="53">
        <v>2020</v>
      </c>
      <c r="D1435" s="52" t="s">
        <v>125</v>
      </c>
      <c r="E1435" s="54">
        <v>12</v>
      </c>
      <c r="F1435" s="55">
        <v>303394.16200000001</v>
      </c>
      <c r="G1435" s="55">
        <v>163991.80799999999</v>
      </c>
    </row>
    <row r="1436" spans="1:7" ht="10.050000000000001" customHeight="1">
      <c r="A1436" s="52" t="s">
        <v>421</v>
      </c>
      <c r="B1436" s="52" t="s">
        <v>307</v>
      </c>
      <c r="C1436" s="53">
        <v>2021</v>
      </c>
      <c r="D1436" s="52" t="s">
        <v>125</v>
      </c>
      <c r="E1436" s="54">
        <v>1</v>
      </c>
      <c r="F1436" s="55">
        <v>280555.18800000002</v>
      </c>
      <c r="G1436" s="55">
        <v>144523.54</v>
      </c>
    </row>
    <row r="1437" spans="1:7" ht="10.050000000000001" customHeight="1">
      <c r="A1437" s="52" t="s">
        <v>421</v>
      </c>
      <c r="B1437" s="52" t="s">
        <v>307</v>
      </c>
      <c r="C1437" s="53">
        <v>2021</v>
      </c>
      <c r="D1437" s="52" t="s">
        <v>125</v>
      </c>
      <c r="E1437" s="54">
        <v>2</v>
      </c>
      <c r="F1437" s="55">
        <v>268217.57</v>
      </c>
      <c r="G1437" s="55">
        <v>129717.243</v>
      </c>
    </row>
    <row r="1438" spans="1:7" ht="10.050000000000001" customHeight="1">
      <c r="A1438" s="52" t="s">
        <v>421</v>
      </c>
      <c r="B1438" s="52" t="s">
        <v>307</v>
      </c>
      <c r="C1438" s="53">
        <v>2021</v>
      </c>
      <c r="D1438" s="52" t="s">
        <v>125</v>
      </c>
      <c r="E1438" s="54">
        <v>3</v>
      </c>
      <c r="F1438" s="55">
        <v>298610.25900000002</v>
      </c>
      <c r="G1438" s="55">
        <v>115555.374</v>
      </c>
    </row>
    <row r="1439" spans="1:7" ht="10.050000000000001" customHeight="1">
      <c r="A1439" s="52" t="s">
        <v>421</v>
      </c>
      <c r="B1439" s="52" t="s">
        <v>307</v>
      </c>
      <c r="C1439" s="53">
        <v>2021</v>
      </c>
      <c r="D1439" s="52" t="s">
        <v>125</v>
      </c>
      <c r="E1439" s="54">
        <v>4</v>
      </c>
      <c r="F1439" s="55">
        <v>285601.40100000001</v>
      </c>
      <c r="G1439" s="55">
        <v>109135.9</v>
      </c>
    </row>
    <row r="1440" spans="1:7" ht="10.050000000000001" customHeight="1">
      <c r="A1440" s="52" t="s">
        <v>421</v>
      </c>
      <c r="B1440" s="52" t="s">
        <v>307</v>
      </c>
      <c r="C1440" s="53">
        <v>2021</v>
      </c>
      <c r="D1440" s="52" t="s">
        <v>125</v>
      </c>
      <c r="E1440" s="54">
        <v>5</v>
      </c>
      <c r="F1440" s="55">
        <v>249130.16200000001</v>
      </c>
      <c r="G1440" s="55">
        <v>108458.458</v>
      </c>
    </row>
    <row r="1441" spans="1:7" ht="10.050000000000001" customHeight="1">
      <c r="A1441" s="52" t="s">
        <v>421</v>
      </c>
      <c r="B1441" s="52" t="s">
        <v>307</v>
      </c>
      <c r="C1441" s="53">
        <v>2021</v>
      </c>
      <c r="D1441" s="52" t="s">
        <v>125</v>
      </c>
      <c r="E1441" s="54">
        <v>6</v>
      </c>
      <c r="F1441" s="55">
        <v>241660.26699999999</v>
      </c>
      <c r="G1441" s="55">
        <v>117000.189</v>
      </c>
    </row>
    <row r="1442" spans="1:7" ht="10.050000000000001" customHeight="1">
      <c r="A1442" s="52" t="s">
        <v>421</v>
      </c>
      <c r="B1442" s="52" t="s">
        <v>307</v>
      </c>
      <c r="C1442" s="53">
        <v>2021</v>
      </c>
      <c r="D1442" s="52" t="s">
        <v>126</v>
      </c>
      <c r="E1442" s="54">
        <v>7</v>
      </c>
      <c r="F1442" s="55">
        <v>212094.41399999999</v>
      </c>
      <c r="G1442" s="55">
        <v>93924.718999999997</v>
      </c>
    </row>
    <row r="1443" spans="1:7" ht="10.050000000000001" customHeight="1">
      <c r="A1443" s="52" t="s">
        <v>421</v>
      </c>
      <c r="B1443" s="52" t="s">
        <v>307</v>
      </c>
      <c r="C1443" s="53">
        <v>2021</v>
      </c>
      <c r="D1443" s="52" t="s">
        <v>126</v>
      </c>
      <c r="E1443" s="54">
        <v>8</v>
      </c>
      <c r="F1443" s="55">
        <v>194270.23199999999</v>
      </c>
      <c r="G1443" s="55">
        <v>82318.744000000006</v>
      </c>
    </row>
    <row r="1444" spans="1:7" ht="10.050000000000001" customHeight="1">
      <c r="A1444" s="52" t="s">
        <v>421</v>
      </c>
      <c r="B1444" s="52" t="s">
        <v>307</v>
      </c>
      <c r="C1444" s="53">
        <v>2021</v>
      </c>
      <c r="D1444" s="52" t="s">
        <v>126</v>
      </c>
      <c r="E1444" s="54">
        <v>9</v>
      </c>
      <c r="F1444" s="55">
        <v>187019.367</v>
      </c>
      <c r="G1444" s="55">
        <v>69878.311000000002</v>
      </c>
    </row>
    <row r="1445" spans="1:7" ht="10.050000000000001" customHeight="1">
      <c r="A1445" s="52" t="s">
        <v>421</v>
      </c>
      <c r="B1445" s="52" t="s">
        <v>307</v>
      </c>
      <c r="C1445" s="53">
        <v>2021</v>
      </c>
      <c r="D1445" s="52" t="s">
        <v>126</v>
      </c>
      <c r="E1445" s="54">
        <v>10</v>
      </c>
      <c r="F1445" s="55">
        <v>209316.45499999999</v>
      </c>
      <c r="G1445" s="55">
        <v>98960.37</v>
      </c>
    </row>
    <row r="1446" spans="1:7" ht="10.050000000000001" customHeight="1">
      <c r="A1446" s="52" t="s">
        <v>421</v>
      </c>
      <c r="B1446" s="52" t="s">
        <v>307</v>
      </c>
      <c r="C1446" s="53">
        <v>2021</v>
      </c>
      <c r="D1446" s="52" t="s">
        <v>126</v>
      </c>
      <c r="E1446" s="54">
        <v>11</v>
      </c>
      <c r="F1446" s="55">
        <v>273414.84499999997</v>
      </c>
      <c r="G1446" s="55">
        <v>191083.527</v>
      </c>
    </row>
    <row r="1447" spans="1:7" ht="10.050000000000001" customHeight="1">
      <c r="A1447" s="52" t="s">
        <v>421</v>
      </c>
      <c r="B1447" s="52" t="s">
        <v>307</v>
      </c>
      <c r="C1447" s="53">
        <v>2021</v>
      </c>
      <c r="D1447" s="52" t="s">
        <v>126</v>
      </c>
      <c r="E1447" s="54">
        <v>12</v>
      </c>
      <c r="F1447" s="55">
        <v>334142.92599999998</v>
      </c>
      <c r="G1447" s="55">
        <v>156323.82800000001</v>
      </c>
    </row>
    <row r="1448" spans="1:7" ht="10.050000000000001" customHeight="1">
      <c r="A1448" s="52" t="s">
        <v>421</v>
      </c>
      <c r="B1448" s="52" t="s">
        <v>307</v>
      </c>
      <c r="C1448" s="53">
        <v>2022</v>
      </c>
      <c r="D1448" s="52" t="s">
        <v>126</v>
      </c>
      <c r="E1448" s="54">
        <v>1</v>
      </c>
      <c r="F1448" s="55">
        <v>306504.86900000001</v>
      </c>
      <c r="G1448" s="55">
        <v>145023.057</v>
      </c>
    </row>
    <row r="1449" spans="1:7" ht="10.050000000000001" customHeight="1">
      <c r="A1449" s="52" t="s">
        <v>421</v>
      </c>
      <c r="B1449" s="52" t="s">
        <v>307</v>
      </c>
      <c r="C1449" s="53">
        <v>2022</v>
      </c>
      <c r="D1449" s="52" t="s">
        <v>126</v>
      </c>
      <c r="E1449" s="54">
        <v>2</v>
      </c>
      <c r="F1449" s="55">
        <v>274277.10499999998</v>
      </c>
      <c r="G1449" s="55">
        <v>135946.736</v>
      </c>
    </row>
    <row r="1450" spans="1:7" ht="10.050000000000001" customHeight="1">
      <c r="A1450" s="52" t="s">
        <v>421</v>
      </c>
      <c r="B1450" s="52" t="s">
        <v>307</v>
      </c>
      <c r="C1450" s="53">
        <v>2022</v>
      </c>
      <c r="D1450" s="52" t="s">
        <v>126</v>
      </c>
      <c r="E1450" s="54">
        <v>3</v>
      </c>
      <c r="F1450" s="55">
        <v>281224.74800000002</v>
      </c>
      <c r="G1450" s="55">
        <v>132748.424</v>
      </c>
    </row>
    <row r="1451" spans="1:7" ht="10.050000000000001" customHeight="1">
      <c r="A1451" s="52" t="s">
        <v>421</v>
      </c>
      <c r="B1451" s="52" t="s">
        <v>307</v>
      </c>
      <c r="C1451" s="53">
        <v>2022</v>
      </c>
      <c r="D1451" s="52" t="s">
        <v>126</v>
      </c>
      <c r="E1451" s="54">
        <v>4</v>
      </c>
      <c r="F1451" s="55">
        <v>232546.58100000001</v>
      </c>
      <c r="G1451" s="55">
        <v>126037.618</v>
      </c>
    </row>
    <row r="1452" spans="1:7" ht="10.050000000000001" customHeight="1">
      <c r="A1452" s="52" t="s">
        <v>421</v>
      </c>
      <c r="B1452" s="52" t="s">
        <v>307</v>
      </c>
      <c r="C1452" s="53">
        <v>2022</v>
      </c>
      <c r="D1452" s="52" t="s">
        <v>126</v>
      </c>
      <c r="E1452" s="54">
        <v>5</v>
      </c>
      <c r="F1452" s="55">
        <v>237356.26</v>
      </c>
      <c r="G1452" s="55">
        <v>125033.217</v>
      </c>
    </row>
    <row r="1453" spans="1:7" ht="10.050000000000001" customHeight="1">
      <c r="A1453" s="52" t="s">
        <v>421</v>
      </c>
      <c r="B1453" s="52" t="s">
        <v>307</v>
      </c>
      <c r="C1453" s="53">
        <v>2022</v>
      </c>
      <c r="D1453" s="52" t="s">
        <v>126</v>
      </c>
      <c r="E1453" s="54">
        <v>6</v>
      </c>
      <c r="F1453" s="55">
        <v>244492.872</v>
      </c>
      <c r="G1453" s="55">
        <v>145531.19200000001</v>
      </c>
    </row>
    <row r="1454" spans="1:7" ht="10.050000000000001" customHeight="1">
      <c r="A1454" s="52" t="s">
        <v>421</v>
      </c>
      <c r="B1454" s="52" t="s">
        <v>307</v>
      </c>
      <c r="C1454" s="53">
        <v>2022</v>
      </c>
      <c r="D1454" s="52" t="s">
        <v>127</v>
      </c>
      <c r="E1454" s="54">
        <v>7</v>
      </c>
      <c r="F1454" s="55">
        <v>225467.29</v>
      </c>
      <c r="G1454" s="55">
        <v>122554.23699999999</v>
      </c>
    </row>
    <row r="1455" spans="1:7" ht="10.050000000000001" customHeight="1">
      <c r="A1455" s="52" t="s">
        <v>421</v>
      </c>
      <c r="B1455" s="52" t="s">
        <v>307</v>
      </c>
      <c r="C1455" s="53">
        <v>2022</v>
      </c>
      <c r="D1455" s="52" t="s">
        <v>127</v>
      </c>
      <c r="E1455" s="54">
        <v>8</v>
      </c>
      <c r="F1455" s="55">
        <v>212491.024</v>
      </c>
      <c r="G1455" s="55">
        <v>114598.049</v>
      </c>
    </row>
    <row r="1456" spans="1:7" ht="10.050000000000001" customHeight="1">
      <c r="A1456" s="52" t="s">
        <v>421</v>
      </c>
      <c r="B1456" s="52" t="s">
        <v>307</v>
      </c>
      <c r="C1456" s="53">
        <v>2022</v>
      </c>
      <c r="D1456" s="52" t="s">
        <v>127</v>
      </c>
      <c r="E1456" s="54">
        <v>9</v>
      </c>
      <c r="F1456" s="55">
        <v>200309.679</v>
      </c>
      <c r="G1456" s="55">
        <v>121605.829</v>
      </c>
    </row>
    <row r="1457" spans="1:7" ht="10.050000000000001" customHeight="1">
      <c r="A1457" s="52" t="s">
        <v>421</v>
      </c>
      <c r="B1457" s="52" t="s">
        <v>307</v>
      </c>
      <c r="C1457" s="53">
        <v>2022</v>
      </c>
      <c r="D1457" s="52" t="s">
        <v>127</v>
      </c>
      <c r="E1457" s="54">
        <v>10</v>
      </c>
      <c r="F1457" s="55">
        <v>195588.834</v>
      </c>
      <c r="G1457" s="55">
        <v>185999.51500000001</v>
      </c>
    </row>
    <row r="1458" spans="1:7" ht="10.050000000000001" customHeight="1">
      <c r="A1458" s="52" t="s">
        <v>421</v>
      </c>
      <c r="B1458" s="52" t="s">
        <v>307</v>
      </c>
      <c r="C1458" s="53">
        <v>2022</v>
      </c>
      <c r="D1458" s="52" t="s">
        <v>127</v>
      </c>
      <c r="E1458" s="54">
        <v>11</v>
      </c>
      <c r="F1458" s="55">
        <v>199915.07500000001</v>
      </c>
      <c r="G1458" s="55">
        <v>190940.35699999999</v>
      </c>
    </row>
    <row r="1459" spans="1:7" ht="10.050000000000001" customHeight="1">
      <c r="A1459" s="52" t="s">
        <v>421</v>
      </c>
      <c r="B1459" s="52" t="s">
        <v>307</v>
      </c>
      <c r="C1459" s="53">
        <v>2022</v>
      </c>
      <c r="D1459" s="52" t="s">
        <v>127</v>
      </c>
      <c r="E1459" s="54">
        <v>12</v>
      </c>
      <c r="F1459" s="55">
        <v>195609.45800000001</v>
      </c>
      <c r="G1459" s="55">
        <v>173916.845</v>
      </c>
    </row>
    <row r="1460" spans="1:7" ht="10.050000000000001" customHeight="1">
      <c r="A1460" s="52" t="s">
        <v>421</v>
      </c>
      <c r="B1460" s="52" t="s">
        <v>307</v>
      </c>
      <c r="C1460" s="53">
        <v>2023</v>
      </c>
      <c r="D1460" s="52" t="s">
        <v>127</v>
      </c>
      <c r="E1460" s="54">
        <v>1</v>
      </c>
      <c r="F1460" s="55">
        <v>199629.17600000001</v>
      </c>
      <c r="G1460" s="55">
        <v>160370.049</v>
      </c>
    </row>
    <row r="1461" spans="1:7" ht="10.050000000000001" customHeight="1">
      <c r="A1461" s="52" t="s">
        <v>421</v>
      </c>
      <c r="B1461" s="52" t="s">
        <v>307</v>
      </c>
      <c r="C1461" s="53">
        <v>2023</v>
      </c>
      <c r="D1461" s="52" t="s">
        <v>127</v>
      </c>
      <c r="E1461" s="54">
        <v>2</v>
      </c>
      <c r="F1461" s="55">
        <v>185627.47500000001</v>
      </c>
      <c r="G1461" s="55">
        <v>146291.90400000001</v>
      </c>
    </row>
    <row r="1462" spans="1:7" ht="10.050000000000001" customHeight="1">
      <c r="A1462" s="52" t="s">
        <v>421</v>
      </c>
      <c r="B1462" s="52" t="s">
        <v>307</v>
      </c>
      <c r="C1462" s="53">
        <v>2023</v>
      </c>
      <c r="D1462" s="52" t="s">
        <v>127</v>
      </c>
      <c r="E1462" s="54">
        <v>3</v>
      </c>
      <c r="F1462" s="55">
        <v>207543.38800000001</v>
      </c>
      <c r="G1462" s="55">
        <v>139444.64000000001</v>
      </c>
    </row>
    <row r="1463" spans="1:7" ht="10.050000000000001" customHeight="1">
      <c r="A1463" s="52" t="s">
        <v>421</v>
      </c>
      <c r="B1463" s="52" t="s">
        <v>307</v>
      </c>
      <c r="C1463" s="53">
        <v>2023</v>
      </c>
      <c r="D1463" s="52" t="s">
        <v>127</v>
      </c>
      <c r="E1463" s="54">
        <v>4</v>
      </c>
      <c r="F1463" s="55">
        <v>190528.17800000001</v>
      </c>
      <c r="G1463" s="55">
        <v>130611.235</v>
      </c>
    </row>
    <row r="1464" spans="1:7" ht="10.050000000000001" customHeight="1">
      <c r="A1464" s="52" t="s">
        <v>421</v>
      </c>
      <c r="B1464" s="52" t="s">
        <v>307</v>
      </c>
      <c r="C1464" s="53">
        <v>2023</v>
      </c>
      <c r="D1464" s="52" t="s">
        <v>127</v>
      </c>
      <c r="E1464" s="54">
        <v>5</v>
      </c>
      <c r="F1464" s="55">
        <v>214646.959</v>
      </c>
      <c r="G1464" s="55">
        <v>113389.554</v>
      </c>
    </row>
    <row r="1465" spans="1:7" ht="10.050000000000001" customHeight="1">
      <c r="A1465" s="52" t="s">
        <v>421</v>
      </c>
      <c r="B1465" s="52" t="s">
        <v>307</v>
      </c>
      <c r="C1465" s="53">
        <v>2023</v>
      </c>
      <c r="D1465" s="52" t="s">
        <v>127</v>
      </c>
      <c r="E1465" s="54">
        <v>6</v>
      </c>
      <c r="F1465" s="55">
        <v>213926.08199999999</v>
      </c>
      <c r="G1465" s="55">
        <v>115642.156</v>
      </c>
    </row>
    <row r="1466" spans="1:7" ht="10.050000000000001" customHeight="1">
      <c r="A1466" s="52" t="s">
        <v>421</v>
      </c>
      <c r="B1466" s="52" t="s">
        <v>307</v>
      </c>
      <c r="C1466" s="53">
        <v>2023</v>
      </c>
      <c r="D1466" s="52" t="s">
        <v>128</v>
      </c>
      <c r="E1466" s="54">
        <v>7</v>
      </c>
      <c r="F1466" s="55">
        <v>187502.024</v>
      </c>
      <c r="G1466" s="55">
        <v>99172.061000000103</v>
      </c>
    </row>
    <row r="1467" spans="1:7" ht="10.050000000000001" customHeight="1">
      <c r="A1467" s="52" t="s">
        <v>421</v>
      </c>
      <c r="B1467" s="52" t="s">
        <v>307</v>
      </c>
      <c r="C1467" s="53">
        <v>2023</v>
      </c>
      <c r="D1467" s="52" t="s">
        <v>128</v>
      </c>
      <c r="E1467" s="54">
        <v>8</v>
      </c>
      <c r="F1467" s="55">
        <v>196123.60399999999</v>
      </c>
      <c r="G1467" s="55">
        <v>87090.754000000001</v>
      </c>
    </row>
    <row r="1468" spans="1:7" ht="10.050000000000001" customHeight="1">
      <c r="A1468" s="52" t="s">
        <v>421</v>
      </c>
      <c r="B1468" s="52" t="s">
        <v>307</v>
      </c>
      <c r="C1468" s="53">
        <v>2023</v>
      </c>
      <c r="D1468" s="52" t="s">
        <v>128</v>
      </c>
      <c r="E1468" s="54">
        <v>9</v>
      </c>
      <c r="F1468" s="55">
        <v>182489.83900000001</v>
      </c>
      <c r="G1468" s="55">
        <v>82651.945999999996</v>
      </c>
    </row>
    <row r="1469" spans="1:7" ht="10.050000000000001" customHeight="1">
      <c r="A1469" s="52" t="s">
        <v>421</v>
      </c>
      <c r="B1469" s="52" t="s">
        <v>307</v>
      </c>
      <c r="C1469" s="53">
        <v>2023</v>
      </c>
      <c r="D1469" s="52" t="s">
        <v>128</v>
      </c>
      <c r="E1469" s="54">
        <v>10</v>
      </c>
      <c r="F1469" s="55">
        <v>222489.802</v>
      </c>
      <c r="G1469" s="55">
        <v>154232.79</v>
      </c>
    </row>
    <row r="1470" spans="1:7" ht="10.050000000000001" customHeight="1">
      <c r="A1470" s="52" t="s">
        <v>421</v>
      </c>
      <c r="B1470" s="52" t="s">
        <v>307</v>
      </c>
      <c r="C1470" s="53">
        <v>2023</v>
      </c>
      <c r="D1470" s="52" t="s">
        <v>128</v>
      </c>
      <c r="E1470" s="54">
        <v>11</v>
      </c>
      <c r="F1470" s="55">
        <v>265927.01199999999</v>
      </c>
      <c r="G1470" s="55">
        <v>189762.549</v>
      </c>
    </row>
    <row r="1471" spans="1:7" ht="10.050000000000001" customHeight="1">
      <c r="A1471" s="52" t="s">
        <v>421</v>
      </c>
      <c r="B1471" s="52" t="s">
        <v>307</v>
      </c>
      <c r="C1471" s="53">
        <v>2023</v>
      </c>
      <c r="D1471" s="52" t="s">
        <v>128</v>
      </c>
      <c r="E1471" s="54">
        <v>12</v>
      </c>
      <c r="F1471" s="55">
        <v>243251.74799999999</v>
      </c>
      <c r="G1471" s="55">
        <v>181921.81</v>
      </c>
    </row>
    <row r="1472" spans="1:7" ht="10.050000000000001" customHeight="1">
      <c r="A1472" s="52" t="s">
        <v>421</v>
      </c>
      <c r="B1472" s="52" t="s">
        <v>307</v>
      </c>
      <c r="C1472" s="53">
        <v>2024</v>
      </c>
      <c r="D1472" s="52" t="s">
        <v>128</v>
      </c>
      <c r="E1472" s="54">
        <v>1</v>
      </c>
      <c r="F1472" s="55">
        <v>263619.33799999999</v>
      </c>
      <c r="G1472" s="55">
        <v>164708.13</v>
      </c>
    </row>
    <row r="1473" spans="1:7" ht="10.050000000000001" customHeight="1">
      <c r="A1473" s="52" t="s">
        <v>421</v>
      </c>
      <c r="B1473" s="52" t="s">
        <v>307</v>
      </c>
      <c r="C1473" s="53">
        <v>2024</v>
      </c>
      <c r="D1473" s="52" t="s">
        <v>128</v>
      </c>
      <c r="E1473" s="54">
        <v>2</v>
      </c>
      <c r="F1473" s="55">
        <v>249931.48</v>
      </c>
      <c r="G1473" s="55">
        <v>152796.37700000001</v>
      </c>
    </row>
    <row r="1474" spans="1:7" ht="10.050000000000001" customHeight="1">
      <c r="A1474" s="52" t="s">
        <v>421</v>
      </c>
      <c r="B1474" s="52" t="s">
        <v>307</v>
      </c>
      <c r="C1474" s="53">
        <v>2024</v>
      </c>
      <c r="D1474" s="52" t="s">
        <v>128</v>
      </c>
      <c r="E1474" s="54">
        <v>3</v>
      </c>
      <c r="F1474" s="55">
        <v>259765.15299999999</v>
      </c>
      <c r="G1474" s="55">
        <v>145887.48800000001</v>
      </c>
    </row>
    <row r="1475" spans="1:7" ht="10.050000000000001" customHeight="1">
      <c r="A1475" s="52" t="s">
        <v>421</v>
      </c>
      <c r="B1475" s="52" t="s">
        <v>307</v>
      </c>
      <c r="C1475" s="53">
        <v>2024</v>
      </c>
      <c r="D1475" s="52" t="s">
        <v>128</v>
      </c>
      <c r="E1475" s="54">
        <v>4</v>
      </c>
      <c r="F1475" s="55">
        <v>256911.34400000001</v>
      </c>
      <c r="G1475" s="55">
        <v>149213.39300000001</v>
      </c>
    </row>
    <row r="1476" spans="1:7" ht="10.050000000000001" customHeight="1">
      <c r="A1476" s="52" t="s">
        <v>421</v>
      </c>
      <c r="B1476" s="52" t="s">
        <v>307</v>
      </c>
      <c r="C1476" s="53">
        <v>2024</v>
      </c>
      <c r="D1476" s="52" t="s">
        <v>128</v>
      </c>
      <c r="E1476" s="54">
        <v>5</v>
      </c>
      <c r="F1476" s="55">
        <v>260274.10399999999</v>
      </c>
      <c r="G1476" s="55">
        <v>137958.644</v>
      </c>
    </row>
    <row r="1477" spans="1:7" ht="10.050000000000001" customHeight="1">
      <c r="A1477" s="52" t="s">
        <v>421</v>
      </c>
      <c r="B1477" s="52" t="s">
        <v>307</v>
      </c>
      <c r="C1477" s="53">
        <v>2024</v>
      </c>
      <c r="D1477" s="52" t="s">
        <v>128</v>
      </c>
      <c r="E1477" s="54">
        <v>6</v>
      </c>
      <c r="F1477" s="55">
        <v>227989.519</v>
      </c>
      <c r="G1477" s="55">
        <v>143670.019</v>
      </c>
    </row>
    <row r="1478" spans="1:7" ht="10.050000000000001" customHeight="1">
      <c r="A1478" s="52" t="s">
        <v>421</v>
      </c>
      <c r="B1478" s="52" t="s">
        <v>307</v>
      </c>
      <c r="C1478" s="53">
        <v>2024</v>
      </c>
      <c r="D1478" s="52" t="s">
        <v>129</v>
      </c>
      <c r="E1478" s="54">
        <v>7</v>
      </c>
      <c r="F1478" s="55">
        <v>240928.283</v>
      </c>
      <c r="G1478" s="55">
        <v>130730.682</v>
      </c>
    </row>
    <row r="1479" spans="1:7" ht="10.050000000000001" customHeight="1">
      <c r="A1479" s="52" t="s">
        <v>421</v>
      </c>
      <c r="B1479" s="52" t="s">
        <v>307</v>
      </c>
      <c r="C1479" s="53">
        <v>2024</v>
      </c>
      <c r="D1479" s="52" t="s">
        <v>129</v>
      </c>
      <c r="E1479" s="54">
        <v>8</v>
      </c>
      <c r="F1479" s="55">
        <v>213241.598</v>
      </c>
      <c r="G1479" s="55">
        <v>120820.76</v>
      </c>
    </row>
    <row r="1480" spans="1:7" ht="10.050000000000001" customHeight="1">
      <c r="A1480" s="52" t="s">
        <v>421</v>
      </c>
      <c r="B1480" s="52" t="s">
        <v>307</v>
      </c>
      <c r="C1480" s="53">
        <v>2024</v>
      </c>
      <c r="D1480" s="52" t="s">
        <v>129</v>
      </c>
      <c r="E1480" s="54">
        <v>9</v>
      </c>
      <c r="F1480" s="55">
        <v>208579.75700000001</v>
      </c>
      <c r="G1480" s="55">
        <v>110946.478</v>
      </c>
    </row>
    <row r="1481" spans="1:7" ht="10.050000000000001" customHeight="1">
      <c r="A1481" s="52" t="s">
        <v>421</v>
      </c>
      <c r="B1481" s="52" t="s">
        <v>307</v>
      </c>
      <c r="C1481" s="53">
        <v>2024</v>
      </c>
      <c r="D1481" s="52" t="s">
        <v>129</v>
      </c>
      <c r="E1481" s="54">
        <v>10</v>
      </c>
      <c r="F1481" s="55">
        <v>244130.37400000001</v>
      </c>
      <c r="G1481" s="55">
        <v>107637.731</v>
      </c>
    </row>
    <row r="1482" spans="1:7" ht="10.050000000000001" customHeight="1">
      <c r="A1482" s="52" t="s">
        <v>421</v>
      </c>
      <c r="B1482" s="52" t="s">
        <v>307</v>
      </c>
      <c r="C1482" s="53">
        <v>2024</v>
      </c>
      <c r="D1482" s="52" t="s">
        <v>129</v>
      </c>
      <c r="E1482" s="54">
        <v>11</v>
      </c>
      <c r="F1482" s="55">
        <v>245965.56</v>
      </c>
      <c r="G1482" s="55">
        <v>163062.878</v>
      </c>
    </row>
    <row r="1483" spans="1:7" ht="10.050000000000001" customHeight="1">
      <c r="A1483" s="52" t="s">
        <v>421</v>
      </c>
      <c r="B1483" s="52" t="s">
        <v>307</v>
      </c>
      <c r="C1483" s="53">
        <v>2024</v>
      </c>
      <c r="D1483" s="52" t="s">
        <v>129</v>
      </c>
      <c r="E1483" s="54">
        <v>12</v>
      </c>
      <c r="F1483" s="55">
        <v>249841.95699999999</v>
      </c>
      <c r="G1483" s="55">
        <v>171303.17600000001</v>
      </c>
    </row>
    <row r="1484" spans="1:7" ht="10.050000000000001" customHeight="1">
      <c r="A1484" s="52" t="s">
        <v>421</v>
      </c>
      <c r="B1484" s="52" t="s">
        <v>315</v>
      </c>
      <c r="C1484" s="53">
        <v>2000</v>
      </c>
      <c r="D1484" s="52" t="s">
        <v>105</v>
      </c>
      <c r="E1484" s="54">
        <v>7</v>
      </c>
      <c r="F1484" s="55">
        <v>0</v>
      </c>
      <c r="G1484" s="55">
        <v>123</v>
      </c>
    </row>
    <row r="1485" spans="1:7" ht="10.050000000000001" customHeight="1">
      <c r="A1485" s="52" t="s">
        <v>421</v>
      </c>
      <c r="B1485" s="52" t="s">
        <v>315</v>
      </c>
      <c r="C1485" s="53">
        <v>2000</v>
      </c>
      <c r="D1485" s="52" t="s">
        <v>105</v>
      </c>
      <c r="E1485" s="54">
        <v>8</v>
      </c>
      <c r="F1485" s="55">
        <v>3</v>
      </c>
      <c r="G1485" s="55">
        <v>120</v>
      </c>
    </row>
    <row r="1486" spans="1:7" ht="10.050000000000001" customHeight="1">
      <c r="A1486" s="52" t="s">
        <v>421</v>
      </c>
      <c r="B1486" s="52" t="s">
        <v>315</v>
      </c>
      <c r="C1486" s="53">
        <v>2000</v>
      </c>
      <c r="D1486" s="52" t="s">
        <v>105</v>
      </c>
      <c r="E1486" s="54">
        <v>9</v>
      </c>
      <c r="F1486" s="55">
        <v>169</v>
      </c>
      <c r="G1486" s="55">
        <v>80</v>
      </c>
    </row>
    <row r="1487" spans="1:7" ht="10.050000000000001" customHeight="1">
      <c r="A1487" s="52" t="s">
        <v>421</v>
      </c>
      <c r="B1487" s="52" t="s">
        <v>315</v>
      </c>
      <c r="C1487" s="53">
        <v>2000</v>
      </c>
      <c r="D1487" s="52" t="s">
        <v>105</v>
      </c>
      <c r="E1487" s="54">
        <v>10</v>
      </c>
      <c r="F1487" s="55">
        <v>0</v>
      </c>
      <c r="G1487" s="55">
        <v>100</v>
      </c>
    </row>
    <row r="1488" spans="1:7" ht="10.050000000000001" customHeight="1">
      <c r="A1488" s="52" t="s">
        <v>421</v>
      </c>
      <c r="B1488" s="52" t="s">
        <v>315</v>
      </c>
      <c r="C1488" s="53">
        <v>2000</v>
      </c>
      <c r="D1488" s="52" t="s">
        <v>105</v>
      </c>
      <c r="E1488" s="54">
        <v>11</v>
      </c>
      <c r="F1488" s="55">
        <v>0</v>
      </c>
      <c r="G1488" s="55">
        <v>100</v>
      </c>
    </row>
    <row r="1489" spans="1:7" ht="10.050000000000001" customHeight="1">
      <c r="A1489" s="52" t="s">
        <v>421</v>
      </c>
      <c r="B1489" s="52" t="s">
        <v>315</v>
      </c>
      <c r="C1489" s="53">
        <v>2000</v>
      </c>
      <c r="D1489" s="52" t="s">
        <v>105</v>
      </c>
      <c r="E1489" s="54">
        <v>12</v>
      </c>
      <c r="F1489" s="55">
        <v>0</v>
      </c>
      <c r="G1489" s="55">
        <v>100</v>
      </c>
    </row>
    <row r="1490" spans="1:7" ht="10.050000000000001" customHeight="1">
      <c r="A1490" s="52" t="s">
        <v>421</v>
      </c>
      <c r="B1490" s="52" t="s">
        <v>315</v>
      </c>
      <c r="C1490" s="53">
        <v>2001</v>
      </c>
      <c r="D1490" s="52" t="s">
        <v>105</v>
      </c>
      <c r="E1490" s="54">
        <v>1</v>
      </c>
      <c r="F1490" s="55">
        <v>0</v>
      </c>
      <c r="G1490" s="55">
        <v>100</v>
      </c>
    </row>
    <row r="1491" spans="1:7" ht="10.050000000000001" customHeight="1">
      <c r="A1491" s="52" t="s">
        <v>421</v>
      </c>
      <c r="B1491" s="52" t="s">
        <v>315</v>
      </c>
      <c r="C1491" s="53">
        <v>2001</v>
      </c>
      <c r="D1491" s="52" t="s">
        <v>105</v>
      </c>
      <c r="E1491" s="54">
        <v>2</v>
      </c>
      <c r="F1491" s="55">
        <v>0</v>
      </c>
      <c r="G1491" s="55">
        <v>100</v>
      </c>
    </row>
    <row r="1492" spans="1:7" ht="10.050000000000001" customHeight="1">
      <c r="A1492" s="52" t="s">
        <v>421</v>
      </c>
      <c r="B1492" s="52" t="s">
        <v>315</v>
      </c>
      <c r="C1492" s="53">
        <v>2001</v>
      </c>
      <c r="D1492" s="52" t="s">
        <v>105</v>
      </c>
      <c r="E1492" s="54">
        <v>3</v>
      </c>
      <c r="F1492" s="55">
        <v>0</v>
      </c>
      <c r="G1492" s="55">
        <v>100</v>
      </c>
    </row>
    <row r="1493" spans="1:7" ht="10.050000000000001" customHeight="1">
      <c r="A1493" s="52" t="s">
        <v>421</v>
      </c>
      <c r="B1493" s="52" t="s">
        <v>315</v>
      </c>
      <c r="C1493" s="53">
        <v>2001</v>
      </c>
      <c r="D1493" s="52" t="s">
        <v>105</v>
      </c>
      <c r="E1493" s="54">
        <v>4</v>
      </c>
      <c r="F1493" s="55">
        <v>0</v>
      </c>
      <c r="G1493" s="55">
        <v>100</v>
      </c>
    </row>
    <row r="1494" spans="1:7" ht="10.050000000000001" customHeight="1">
      <c r="A1494" s="52" t="s">
        <v>421</v>
      </c>
      <c r="B1494" s="52" t="s">
        <v>315</v>
      </c>
      <c r="C1494" s="53">
        <v>2001</v>
      </c>
      <c r="D1494" s="52" t="s">
        <v>105</v>
      </c>
      <c r="E1494" s="54">
        <v>5</v>
      </c>
      <c r="F1494" s="55">
        <v>0</v>
      </c>
      <c r="G1494" s="55">
        <v>100</v>
      </c>
    </row>
    <row r="1495" spans="1:7" ht="10.050000000000001" customHeight="1">
      <c r="A1495" s="52" t="s">
        <v>421</v>
      </c>
      <c r="B1495" s="52" t="s">
        <v>315</v>
      </c>
      <c r="C1495" s="53">
        <v>2001</v>
      </c>
      <c r="D1495" s="52" t="s">
        <v>105</v>
      </c>
      <c r="E1495" s="54">
        <v>6</v>
      </c>
      <c r="F1495" s="55">
        <v>0</v>
      </c>
      <c r="G1495" s="55">
        <v>100</v>
      </c>
    </row>
    <row r="1496" spans="1:7" ht="10.050000000000001" customHeight="1">
      <c r="A1496" s="52" t="s">
        <v>421</v>
      </c>
      <c r="B1496" s="52" t="s">
        <v>315</v>
      </c>
      <c r="C1496" s="53">
        <v>2001</v>
      </c>
      <c r="D1496" s="52" t="s">
        <v>108</v>
      </c>
      <c r="E1496" s="54">
        <v>7</v>
      </c>
      <c r="F1496" s="55">
        <v>0</v>
      </c>
      <c r="G1496" s="55">
        <v>100</v>
      </c>
    </row>
    <row r="1497" spans="1:7" ht="10.050000000000001" customHeight="1">
      <c r="A1497" s="52" t="s">
        <v>421</v>
      </c>
      <c r="B1497" s="52" t="s">
        <v>315</v>
      </c>
      <c r="C1497" s="53">
        <v>2001</v>
      </c>
      <c r="D1497" s="52" t="s">
        <v>108</v>
      </c>
      <c r="E1497" s="54">
        <v>8</v>
      </c>
      <c r="F1497" s="55">
        <v>0</v>
      </c>
      <c r="G1497" s="55">
        <v>100</v>
      </c>
    </row>
    <row r="1498" spans="1:7" ht="10.050000000000001" customHeight="1">
      <c r="A1498" s="52" t="s">
        <v>421</v>
      </c>
      <c r="B1498" s="52" t="s">
        <v>315</v>
      </c>
      <c r="C1498" s="53">
        <v>2001</v>
      </c>
      <c r="D1498" s="52" t="s">
        <v>108</v>
      </c>
      <c r="E1498" s="54">
        <v>9</v>
      </c>
      <c r="F1498" s="55">
        <v>0</v>
      </c>
      <c r="G1498" s="55">
        <v>100</v>
      </c>
    </row>
    <row r="1499" spans="1:7" ht="10.050000000000001" customHeight="1">
      <c r="A1499" s="52" t="s">
        <v>421</v>
      </c>
      <c r="B1499" s="52" t="s">
        <v>315</v>
      </c>
      <c r="C1499" s="53">
        <v>2001</v>
      </c>
      <c r="D1499" s="52" t="s">
        <v>108</v>
      </c>
      <c r="E1499" s="54">
        <v>10</v>
      </c>
      <c r="F1499" s="55">
        <v>0</v>
      </c>
      <c r="G1499" s="55">
        <v>100</v>
      </c>
    </row>
    <row r="1500" spans="1:7" ht="10.050000000000001" customHeight="1">
      <c r="A1500" s="52" t="s">
        <v>421</v>
      </c>
      <c r="B1500" s="52" t="s">
        <v>315</v>
      </c>
      <c r="C1500" s="53">
        <v>2001</v>
      </c>
      <c r="D1500" s="52" t="s">
        <v>108</v>
      </c>
      <c r="E1500" s="54">
        <v>11</v>
      </c>
      <c r="F1500" s="55">
        <v>0</v>
      </c>
      <c r="G1500" s="55">
        <v>100</v>
      </c>
    </row>
    <row r="1501" spans="1:7" ht="10.050000000000001" customHeight="1">
      <c r="A1501" s="52" t="s">
        <v>421</v>
      </c>
      <c r="B1501" s="52" t="s">
        <v>315</v>
      </c>
      <c r="C1501" s="53">
        <v>2001</v>
      </c>
      <c r="D1501" s="52" t="s">
        <v>108</v>
      </c>
      <c r="E1501" s="54">
        <v>12</v>
      </c>
      <c r="F1501" s="55">
        <v>0</v>
      </c>
      <c r="G1501" s="55">
        <v>100</v>
      </c>
    </row>
    <row r="1502" spans="1:7" ht="10.050000000000001" customHeight="1">
      <c r="A1502" s="52" t="s">
        <v>421</v>
      </c>
      <c r="B1502" s="52" t="s">
        <v>315</v>
      </c>
      <c r="C1502" s="53">
        <v>2002</v>
      </c>
      <c r="D1502" s="52" t="s">
        <v>108</v>
      </c>
      <c r="E1502" s="54">
        <v>1</v>
      </c>
      <c r="F1502" s="55">
        <v>17</v>
      </c>
      <c r="G1502" s="55">
        <v>100</v>
      </c>
    </row>
    <row r="1503" spans="1:7" ht="10.050000000000001" customHeight="1">
      <c r="A1503" s="52" t="s">
        <v>421</v>
      </c>
      <c r="B1503" s="52" t="s">
        <v>315</v>
      </c>
      <c r="C1503" s="53">
        <v>2002</v>
      </c>
      <c r="D1503" s="52" t="s">
        <v>108</v>
      </c>
      <c r="E1503" s="54">
        <v>2</v>
      </c>
      <c r="F1503" s="55">
        <v>2.4</v>
      </c>
      <c r="G1503" s="55">
        <v>100</v>
      </c>
    </row>
    <row r="1504" spans="1:7" ht="10.050000000000001" customHeight="1">
      <c r="A1504" s="52" t="s">
        <v>421</v>
      </c>
      <c r="B1504" s="52" t="s">
        <v>315</v>
      </c>
      <c r="C1504" s="53">
        <v>2002</v>
      </c>
      <c r="D1504" s="52" t="s">
        <v>108</v>
      </c>
      <c r="E1504" s="54">
        <v>3</v>
      </c>
      <c r="F1504" s="55">
        <v>0</v>
      </c>
      <c r="G1504" s="55">
        <v>100</v>
      </c>
    </row>
    <row r="1505" spans="1:7" ht="10.050000000000001" customHeight="1">
      <c r="A1505" s="52" t="s">
        <v>421</v>
      </c>
      <c r="B1505" s="52" t="s">
        <v>315</v>
      </c>
      <c r="C1505" s="53">
        <v>2002</v>
      </c>
      <c r="D1505" s="52" t="s">
        <v>108</v>
      </c>
      <c r="E1505" s="54">
        <v>4</v>
      </c>
      <c r="F1505" s="55">
        <v>0</v>
      </c>
      <c r="G1505" s="55">
        <v>100</v>
      </c>
    </row>
    <row r="1506" spans="1:7" ht="10.050000000000001" customHeight="1">
      <c r="A1506" s="52" t="s">
        <v>421</v>
      </c>
      <c r="B1506" s="52" t="s">
        <v>315</v>
      </c>
      <c r="C1506" s="53">
        <v>2002</v>
      </c>
      <c r="D1506" s="52" t="s">
        <v>108</v>
      </c>
      <c r="E1506" s="54">
        <v>5</v>
      </c>
      <c r="F1506" s="55">
        <v>0</v>
      </c>
      <c r="G1506" s="55">
        <v>100</v>
      </c>
    </row>
    <row r="1507" spans="1:7" ht="10.050000000000001" customHeight="1">
      <c r="A1507" s="52" t="s">
        <v>421</v>
      </c>
      <c r="B1507" s="52" t="s">
        <v>315</v>
      </c>
      <c r="C1507" s="53">
        <v>2002</v>
      </c>
      <c r="D1507" s="52" t="s">
        <v>108</v>
      </c>
      <c r="E1507" s="54">
        <v>6</v>
      </c>
      <c r="F1507" s="55">
        <v>0</v>
      </c>
      <c r="G1507" s="55">
        <v>100</v>
      </c>
    </row>
    <row r="1508" spans="1:7" ht="10.050000000000001" customHeight="1">
      <c r="A1508" s="52" t="s">
        <v>421</v>
      </c>
      <c r="B1508" s="52" t="s">
        <v>315</v>
      </c>
      <c r="C1508" s="53">
        <v>2002</v>
      </c>
      <c r="D1508" s="52" t="s">
        <v>109</v>
      </c>
      <c r="E1508" s="54">
        <v>7</v>
      </c>
      <c r="F1508" s="55">
        <v>0</v>
      </c>
      <c r="G1508" s="55">
        <v>100</v>
      </c>
    </row>
    <row r="1509" spans="1:7" ht="10.050000000000001" customHeight="1">
      <c r="A1509" s="52" t="s">
        <v>421</v>
      </c>
      <c r="B1509" s="52" t="s">
        <v>315</v>
      </c>
      <c r="C1509" s="53">
        <v>2002</v>
      </c>
      <c r="D1509" s="52" t="s">
        <v>109</v>
      </c>
      <c r="E1509" s="54">
        <v>8</v>
      </c>
      <c r="F1509" s="55">
        <v>0</v>
      </c>
      <c r="G1509" s="55">
        <v>100</v>
      </c>
    </row>
    <row r="1510" spans="1:7" ht="10.050000000000001" customHeight="1">
      <c r="A1510" s="52" t="s">
        <v>421</v>
      </c>
      <c r="B1510" s="52" t="s">
        <v>315</v>
      </c>
      <c r="C1510" s="53">
        <v>2002</v>
      </c>
      <c r="D1510" s="52" t="s">
        <v>109</v>
      </c>
      <c r="E1510" s="54">
        <v>9</v>
      </c>
      <c r="F1510" s="55">
        <v>0</v>
      </c>
      <c r="G1510" s="55">
        <v>100</v>
      </c>
    </row>
    <row r="1511" spans="1:7" ht="10.050000000000001" customHeight="1">
      <c r="A1511" s="52" t="s">
        <v>421</v>
      </c>
      <c r="B1511" s="52" t="s">
        <v>315</v>
      </c>
      <c r="C1511" s="53">
        <v>2002</v>
      </c>
      <c r="D1511" s="52" t="s">
        <v>109</v>
      </c>
      <c r="E1511" s="54">
        <v>10</v>
      </c>
      <c r="F1511" s="55">
        <v>0</v>
      </c>
      <c r="G1511" s="55">
        <v>100</v>
      </c>
    </row>
    <row r="1512" spans="1:7" ht="10.050000000000001" customHeight="1">
      <c r="A1512" s="52" t="s">
        <v>421</v>
      </c>
      <c r="B1512" s="52" t="s">
        <v>315</v>
      </c>
      <c r="C1512" s="53">
        <v>2002</v>
      </c>
      <c r="D1512" s="52" t="s">
        <v>109</v>
      </c>
      <c r="E1512" s="54">
        <v>11</v>
      </c>
      <c r="F1512" s="55">
        <v>0</v>
      </c>
      <c r="G1512" s="55">
        <v>100</v>
      </c>
    </row>
    <row r="1513" spans="1:7" ht="10.050000000000001" customHeight="1">
      <c r="A1513" s="52" t="s">
        <v>421</v>
      </c>
      <c r="B1513" s="52" t="s">
        <v>315</v>
      </c>
      <c r="C1513" s="53">
        <v>2002</v>
      </c>
      <c r="D1513" s="52" t="s">
        <v>109</v>
      </c>
      <c r="E1513" s="54">
        <v>12</v>
      </c>
      <c r="F1513" s="55">
        <v>0</v>
      </c>
      <c r="G1513" s="55">
        <v>100</v>
      </c>
    </row>
    <row r="1514" spans="1:7" ht="10.050000000000001" customHeight="1">
      <c r="A1514" s="52" t="s">
        <v>421</v>
      </c>
      <c r="B1514" s="52" t="s">
        <v>315</v>
      </c>
      <c r="C1514" s="53">
        <v>2003</v>
      </c>
      <c r="D1514" s="52" t="s">
        <v>109</v>
      </c>
      <c r="E1514" s="54">
        <v>1</v>
      </c>
      <c r="F1514" s="55">
        <v>0</v>
      </c>
      <c r="G1514" s="55">
        <v>100</v>
      </c>
    </row>
    <row r="1515" spans="1:7" ht="10.050000000000001" customHeight="1">
      <c r="A1515" s="52" t="s">
        <v>421</v>
      </c>
      <c r="B1515" s="52" t="s">
        <v>315</v>
      </c>
      <c r="C1515" s="53">
        <v>2003</v>
      </c>
      <c r="D1515" s="52" t="s">
        <v>109</v>
      </c>
      <c r="E1515" s="54">
        <v>2</v>
      </c>
      <c r="F1515" s="55">
        <v>0</v>
      </c>
      <c r="G1515" s="55">
        <v>100</v>
      </c>
    </row>
    <row r="1516" spans="1:7" ht="10.050000000000001" customHeight="1">
      <c r="A1516" s="52" t="s">
        <v>421</v>
      </c>
      <c r="B1516" s="52" t="s">
        <v>315</v>
      </c>
      <c r="C1516" s="53">
        <v>2003</v>
      </c>
      <c r="D1516" s="52" t="s">
        <v>109</v>
      </c>
      <c r="E1516" s="54">
        <v>3</v>
      </c>
      <c r="F1516" s="55">
        <v>0</v>
      </c>
      <c r="G1516" s="55">
        <v>100</v>
      </c>
    </row>
    <row r="1517" spans="1:7" ht="10.050000000000001" customHeight="1">
      <c r="A1517" s="52" t="s">
        <v>421</v>
      </c>
      <c r="B1517" s="52" t="s">
        <v>315</v>
      </c>
      <c r="C1517" s="53">
        <v>2003</v>
      </c>
      <c r="D1517" s="52" t="s">
        <v>109</v>
      </c>
      <c r="E1517" s="54">
        <v>4</v>
      </c>
      <c r="F1517" s="55">
        <v>0</v>
      </c>
      <c r="G1517" s="55">
        <v>100</v>
      </c>
    </row>
    <row r="1518" spans="1:7" ht="10.050000000000001" customHeight="1">
      <c r="A1518" s="52" t="s">
        <v>421</v>
      </c>
      <c r="B1518" s="52" t="s">
        <v>315</v>
      </c>
      <c r="C1518" s="53">
        <v>2003</v>
      </c>
      <c r="D1518" s="52" t="s">
        <v>109</v>
      </c>
      <c r="E1518" s="54">
        <v>5</v>
      </c>
      <c r="F1518" s="55">
        <v>0</v>
      </c>
      <c r="G1518" s="55">
        <v>100</v>
      </c>
    </row>
    <row r="1519" spans="1:7" ht="10.050000000000001" customHeight="1">
      <c r="A1519" s="52" t="s">
        <v>421</v>
      </c>
      <c r="B1519" s="52" t="s">
        <v>315</v>
      </c>
      <c r="C1519" s="53">
        <v>2003</v>
      </c>
      <c r="D1519" s="52" t="s">
        <v>109</v>
      </c>
      <c r="E1519" s="54">
        <v>6</v>
      </c>
      <c r="F1519" s="55">
        <v>0</v>
      </c>
      <c r="G1519" s="55">
        <v>100</v>
      </c>
    </row>
    <row r="1520" spans="1:7" ht="10.050000000000001" customHeight="1">
      <c r="A1520" s="52" t="s">
        <v>421</v>
      </c>
      <c r="B1520" s="52" t="s">
        <v>315</v>
      </c>
      <c r="C1520" s="53">
        <v>2003</v>
      </c>
      <c r="D1520" s="52" t="s">
        <v>106</v>
      </c>
      <c r="E1520" s="54">
        <v>7</v>
      </c>
      <c r="F1520" s="55">
        <v>0</v>
      </c>
      <c r="G1520" s="55">
        <v>100</v>
      </c>
    </row>
    <row r="1521" spans="1:7" ht="10.050000000000001" customHeight="1">
      <c r="A1521" s="52" t="s">
        <v>421</v>
      </c>
      <c r="B1521" s="52" t="s">
        <v>315</v>
      </c>
      <c r="C1521" s="53">
        <v>2003</v>
      </c>
      <c r="D1521" s="52" t="s">
        <v>106</v>
      </c>
      <c r="E1521" s="54">
        <v>8</v>
      </c>
      <c r="F1521" s="55">
        <v>0</v>
      </c>
      <c r="G1521" s="55">
        <v>100</v>
      </c>
    </row>
    <row r="1522" spans="1:7" ht="10.050000000000001" customHeight="1">
      <c r="A1522" s="52" t="s">
        <v>421</v>
      </c>
      <c r="B1522" s="52" t="s">
        <v>315</v>
      </c>
      <c r="C1522" s="53">
        <v>2003</v>
      </c>
      <c r="D1522" s="52" t="s">
        <v>106</v>
      </c>
      <c r="E1522" s="54">
        <v>11</v>
      </c>
      <c r="F1522" s="55">
        <v>27.5</v>
      </c>
      <c r="G1522" s="55">
        <v>0</v>
      </c>
    </row>
    <row r="1523" spans="1:7" ht="10.050000000000001" customHeight="1">
      <c r="A1523" s="52" t="s">
        <v>421</v>
      </c>
      <c r="B1523" s="52" t="s">
        <v>315</v>
      </c>
      <c r="C1523" s="53">
        <v>2003</v>
      </c>
      <c r="D1523" s="52" t="s">
        <v>106</v>
      </c>
      <c r="E1523" s="54">
        <v>12</v>
      </c>
      <c r="F1523" s="55">
        <v>0</v>
      </c>
      <c r="G1523" s="55">
        <v>11</v>
      </c>
    </row>
    <row r="1524" spans="1:7" ht="10.050000000000001" customHeight="1">
      <c r="A1524" s="52" t="s">
        <v>421</v>
      </c>
      <c r="B1524" s="52" t="s">
        <v>315</v>
      </c>
      <c r="C1524" s="53">
        <v>2004</v>
      </c>
      <c r="D1524" s="52" t="s">
        <v>106</v>
      </c>
      <c r="E1524" s="54">
        <v>1</v>
      </c>
      <c r="F1524" s="55">
        <v>55.9</v>
      </c>
      <c r="G1524" s="55">
        <v>6.8</v>
      </c>
    </row>
    <row r="1525" spans="1:7" ht="10.050000000000001" customHeight="1">
      <c r="A1525" s="52" t="s">
        <v>421</v>
      </c>
      <c r="B1525" s="52" t="s">
        <v>315</v>
      </c>
      <c r="C1525" s="53">
        <v>2004</v>
      </c>
      <c r="D1525" s="52" t="s">
        <v>106</v>
      </c>
      <c r="E1525" s="54">
        <v>2</v>
      </c>
      <c r="F1525" s="55">
        <v>0.9</v>
      </c>
      <c r="G1525" s="55">
        <v>5.9</v>
      </c>
    </row>
    <row r="1526" spans="1:7" ht="10.050000000000001" customHeight="1">
      <c r="A1526" s="52" t="s">
        <v>421</v>
      </c>
      <c r="B1526" s="52" t="s">
        <v>315</v>
      </c>
      <c r="C1526" s="53">
        <v>2004</v>
      </c>
      <c r="D1526" s="52" t="s">
        <v>106</v>
      </c>
      <c r="E1526" s="54">
        <v>3</v>
      </c>
      <c r="F1526" s="55">
        <v>55</v>
      </c>
      <c r="G1526" s="55">
        <v>4.9000000000000004</v>
      </c>
    </row>
    <row r="1527" spans="1:7" ht="10.050000000000001" customHeight="1">
      <c r="A1527" s="52" t="s">
        <v>421</v>
      </c>
      <c r="B1527" s="52" t="s">
        <v>315</v>
      </c>
      <c r="C1527" s="53">
        <v>2004</v>
      </c>
      <c r="D1527" s="52" t="s">
        <v>106</v>
      </c>
      <c r="E1527" s="54">
        <v>4</v>
      </c>
      <c r="F1527" s="55">
        <v>88.1</v>
      </c>
      <c r="G1527" s="55">
        <v>5.2</v>
      </c>
    </row>
    <row r="1528" spans="1:7" ht="10.050000000000001" customHeight="1">
      <c r="A1528" s="52" t="s">
        <v>421</v>
      </c>
      <c r="B1528" s="52" t="s">
        <v>315</v>
      </c>
      <c r="C1528" s="53">
        <v>2004</v>
      </c>
      <c r="D1528" s="52" t="s">
        <v>106</v>
      </c>
      <c r="E1528" s="54">
        <v>5</v>
      </c>
      <c r="F1528" s="55">
        <v>1</v>
      </c>
      <c r="G1528" s="55">
        <v>4.2</v>
      </c>
    </row>
    <row r="1529" spans="1:7" ht="10.050000000000001" customHeight="1">
      <c r="A1529" s="52" t="s">
        <v>421</v>
      </c>
      <c r="B1529" s="52" t="s">
        <v>315</v>
      </c>
      <c r="C1529" s="53">
        <v>2004</v>
      </c>
      <c r="D1529" s="52" t="s">
        <v>106</v>
      </c>
      <c r="E1529" s="54">
        <v>6</v>
      </c>
      <c r="F1529" s="55">
        <v>3.1</v>
      </c>
      <c r="G1529" s="55">
        <v>1.1000000000000001</v>
      </c>
    </row>
    <row r="1530" spans="1:7" ht="10.050000000000001" customHeight="1">
      <c r="A1530" s="52" t="s">
        <v>421</v>
      </c>
      <c r="B1530" s="52" t="s">
        <v>315</v>
      </c>
      <c r="C1530" s="53">
        <v>2004</v>
      </c>
      <c r="D1530" s="52" t="s">
        <v>110</v>
      </c>
      <c r="E1530" s="54">
        <v>7</v>
      </c>
      <c r="F1530" s="55">
        <v>79.900000000000006</v>
      </c>
      <c r="G1530" s="55">
        <v>1.1000000000000001</v>
      </c>
    </row>
    <row r="1531" spans="1:7" ht="10.050000000000001" customHeight="1">
      <c r="A1531" s="52" t="s">
        <v>421</v>
      </c>
      <c r="B1531" s="52" t="s">
        <v>315</v>
      </c>
      <c r="C1531" s="53">
        <v>2004</v>
      </c>
      <c r="D1531" s="52" t="s">
        <v>110</v>
      </c>
      <c r="E1531" s="54">
        <v>8</v>
      </c>
      <c r="F1531" s="55">
        <v>1.1000000000000001</v>
      </c>
      <c r="G1531" s="55">
        <v>0</v>
      </c>
    </row>
    <row r="1532" spans="1:7" ht="10.050000000000001" customHeight="1">
      <c r="A1532" s="52" t="s">
        <v>421</v>
      </c>
      <c r="B1532" s="52" t="s">
        <v>315</v>
      </c>
      <c r="C1532" s="53">
        <v>2004</v>
      </c>
      <c r="D1532" s="52" t="s">
        <v>110</v>
      </c>
      <c r="E1532" s="54">
        <v>9</v>
      </c>
      <c r="F1532" s="55">
        <v>1.5</v>
      </c>
      <c r="G1532" s="55">
        <v>0</v>
      </c>
    </row>
    <row r="1533" spans="1:7" ht="10.050000000000001" customHeight="1">
      <c r="A1533" s="52" t="s">
        <v>421</v>
      </c>
      <c r="B1533" s="52" t="s">
        <v>315</v>
      </c>
      <c r="C1533" s="53">
        <v>2004</v>
      </c>
      <c r="D1533" s="52" t="s">
        <v>110</v>
      </c>
      <c r="E1533" s="54">
        <v>11</v>
      </c>
      <c r="F1533" s="55">
        <v>0.4</v>
      </c>
      <c r="G1533" s="55">
        <v>15</v>
      </c>
    </row>
    <row r="1534" spans="1:7" ht="10.050000000000001" customHeight="1">
      <c r="A1534" s="52" t="s">
        <v>421</v>
      </c>
      <c r="B1534" s="52" t="s">
        <v>315</v>
      </c>
      <c r="C1534" s="53">
        <v>2004</v>
      </c>
      <c r="D1534" s="52" t="s">
        <v>110</v>
      </c>
      <c r="E1534" s="54">
        <v>12</v>
      </c>
      <c r="F1534" s="55">
        <v>28.6</v>
      </c>
      <c r="G1534" s="55">
        <v>13.4</v>
      </c>
    </row>
    <row r="1535" spans="1:7" ht="10.050000000000001" customHeight="1">
      <c r="A1535" s="52" t="s">
        <v>421</v>
      </c>
      <c r="B1535" s="52" t="s">
        <v>315</v>
      </c>
      <c r="C1535" s="53">
        <v>2005</v>
      </c>
      <c r="D1535" s="52" t="s">
        <v>110</v>
      </c>
      <c r="E1535" s="54">
        <v>1</v>
      </c>
      <c r="F1535" s="55">
        <v>1.5</v>
      </c>
      <c r="G1535" s="55">
        <v>11.9</v>
      </c>
    </row>
    <row r="1536" spans="1:7" ht="10.050000000000001" customHeight="1">
      <c r="A1536" s="52" t="s">
        <v>421</v>
      </c>
      <c r="B1536" s="52" t="s">
        <v>315</v>
      </c>
      <c r="C1536" s="53">
        <v>2005</v>
      </c>
      <c r="D1536" s="52" t="s">
        <v>110</v>
      </c>
      <c r="E1536" s="54">
        <v>2</v>
      </c>
      <c r="F1536" s="55">
        <v>82</v>
      </c>
      <c r="G1536" s="55">
        <v>10.4</v>
      </c>
    </row>
    <row r="1537" spans="1:7" ht="10.050000000000001" customHeight="1">
      <c r="A1537" s="52" t="s">
        <v>421</v>
      </c>
      <c r="B1537" s="52" t="s">
        <v>315</v>
      </c>
      <c r="C1537" s="53">
        <v>2005</v>
      </c>
      <c r="D1537" s="52" t="s">
        <v>110</v>
      </c>
      <c r="E1537" s="54">
        <v>3</v>
      </c>
      <c r="F1537" s="55">
        <v>80.5</v>
      </c>
      <c r="G1537" s="55">
        <v>8.9</v>
      </c>
    </row>
    <row r="1538" spans="1:7" ht="10.050000000000001" customHeight="1">
      <c r="A1538" s="52" t="s">
        <v>421</v>
      </c>
      <c r="B1538" s="52" t="s">
        <v>315</v>
      </c>
      <c r="C1538" s="53">
        <v>2005</v>
      </c>
      <c r="D1538" s="52" t="s">
        <v>110</v>
      </c>
      <c r="E1538" s="54">
        <v>4</v>
      </c>
      <c r="F1538" s="55">
        <v>0</v>
      </c>
      <c r="G1538" s="55">
        <v>7.9</v>
      </c>
    </row>
    <row r="1539" spans="1:7" ht="10.050000000000001" customHeight="1">
      <c r="A1539" s="52" t="s">
        <v>421</v>
      </c>
      <c r="B1539" s="52" t="s">
        <v>315</v>
      </c>
      <c r="C1539" s="53">
        <v>2005</v>
      </c>
      <c r="D1539" s="52" t="s">
        <v>110</v>
      </c>
      <c r="E1539" s="54">
        <v>5</v>
      </c>
      <c r="F1539" s="55">
        <v>0.9</v>
      </c>
      <c r="G1539" s="55">
        <v>7</v>
      </c>
    </row>
    <row r="1540" spans="1:7" ht="10.050000000000001" customHeight="1">
      <c r="A1540" s="52" t="s">
        <v>421</v>
      </c>
      <c r="B1540" s="52" t="s">
        <v>315</v>
      </c>
      <c r="C1540" s="53">
        <v>2005</v>
      </c>
      <c r="D1540" s="52" t="s">
        <v>110</v>
      </c>
      <c r="E1540" s="54">
        <v>6</v>
      </c>
      <c r="F1540" s="55">
        <v>0.5</v>
      </c>
      <c r="G1540" s="55">
        <v>6.5</v>
      </c>
    </row>
    <row r="1541" spans="1:7" ht="10.050000000000001" customHeight="1">
      <c r="A1541" s="52" t="s">
        <v>421</v>
      </c>
      <c r="B1541" s="52" t="s">
        <v>315</v>
      </c>
      <c r="C1541" s="53">
        <v>2005</v>
      </c>
      <c r="D1541" s="52" t="s">
        <v>111</v>
      </c>
      <c r="E1541" s="54">
        <v>7</v>
      </c>
      <c r="F1541" s="55">
        <v>1</v>
      </c>
      <c r="G1541" s="55">
        <v>5.5</v>
      </c>
    </row>
    <row r="1542" spans="1:7" ht="10.050000000000001" customHeight="1">
      <c r="A1542" s="52" t="s">
        <v>421</v>
      </c>
      <c r="B1542" s="52" t="s">
        <v>315</v>
      </c>
      <c r="C1542" s="53">
        <v>2005</v>
      </c>
      <c r="D1542" s="52" t="s">
        <v>111</v>
      </c>
      <c r="E1542" s="54">
        <v>8</v>
      </c>
      <c r="F1542" s="55">
        <v>1</v>
      </c>
      <c r="G1542" s="55">
        <v>4.5</v>
      </c>
    </row>
    <row r="1543" spans="1:7" ht="10.050000000000001" customHeight="1">
      <c r="A1543" s="52" t="s">
        <v>421</v>
      </c>
      <c r="B1543" s="52" t="s">
        <v>315</v>
      </c>
      <c r="C1543" s="53">
        <v>2005</v>
      </c>
      <c r="D1543" s="52" t="s">
        <v>111</v>
      </c>
      <c r="E1543" s="54">
        <v>9</v>
      </c>
      <c r="F1543" s="55">
        <v>1</v>
      </c>
      <c r="G1543" s="55">
        <v>3.5</v>
      </c>
    </row>
    <row r="1544" spans="1:7" ht="10.050000000000001" customHeight="1">
      <c r="A1544" s="52" t="s">
        <v>421</v>
      </c>
      <c r="B1544" s="52" t="s">
        <v>315</v>
      </c>
      <c r="C1544" s="53">
        <v>2005</v>
      </c>
      <c r="D1544" s="52" t="s">
        <v>111</v>
      </c>
      <c r="E1544" s="54">
        <v>10</v>
      </c>
      <c r="F1544" s="55">
        <v>2.1</v>
      </c>
      <c r="G1544" s="55">
        <v>27.5</v>
      </c>
    </row>
    <row r="1545" spans="1:7" ht="10.050000000000001" customHeight="1">
      <c r="A1545" s="52" t="s">
        <v>421</v>
      </c>
      <c r="B1545" s="52" t="s">
        <v>315</v>
      </c>
      <c r="C1545" s="53">
        <v>2005</v>
      </c>
      <c r="D1545" s="52" t="s">
        <v>111</v>
      </c>
      <c r="E1545" s="54">
        <v>11</v>
      </c>
      <c r="F1545" s="55">
        <v>0.3</v>
      </c>
      <c r="G1545" s="55">
        <v>27.2</v>
      </c>
    </row>
    <row r="1546" spans="1:7" ht="10.050000000000001" customHeight="1">
      <c r="A1546" s="52" t="s">
        <v>421</v>
      </c>
      <c r="B1546" s="52" t="s">
        <v>315</v>
      </c>
      <c r="C1546" s="53">
        <v>2005</v>
      </c>
      <c r="D1546" s="52" t="s">
        <v>111</v>
      </c>
      <c r="E1546" s="54">
        <v>12</v>
      </c>
      <c r="F1546" s="55">
        <v>0.8</v>
      </c>
      <c r="G1546" s="55">
        <v>26.4</v>
      </c>
    </row>
    <row r="1547" spans="1:7" ht="10.050000000000001" customHeight="1">
      <c r="A1547" s="52" t="s">
        <v>421</v>
      </c>
      <c r="B1547" s="52" t="s">
        <v>315</v>
      </c>
      <c r="C1547" s="53">
        <v>2006</v>
      </c>
      <c r="D1547" s="52" t="s">
        <v>111</v>
      </c>
      <c r="E1547" s="54">
        <v>1</v>
      </c>
      <c r="F1547" s="55">
        <v>3.2</v>
      </c>
      <c r="G1547" s="55">
        <v>23.2</v>
      </c>
    </row>
    <row r="1548" spans="1:7" ht="10.050000000000001" customHeight="1">
      <c r="A1548" s="52" t="s">
        <v>421</v>
      </c>
      <c r="B1548" s="52" t="s">
        <v>315</v>
      </c>
      <c r="C1548" s="53">
        <v>2006</v>
      </c>
      <c r="D1548" s="52" t="s">
        <v>111</v>
      </c>
      <c r="E1548" s="54">
        <v>2</v>
      </c>
      <c r="F1548" s="55">
        <v>0.2</v>
      </c>
      <c r="G1548" s="55">
        <v>23</v>
      </c>
    </row>
    <row r="1549" spans="1:7" ht="10.050000000000001" customHeight="1">
      <c r="A1549" s="52" t="s">
        <v>421</v>
      </c>
      <c r="B1549" s="52" t="s">
        <v>315</v>
      </c>
      <c r="C1549" s="53">
        <v>2006</v>
      </c>
      <c r="D1549" s="52" t="s">
        <v>111</v>
      </c>
      <c r="E1549" s="54">
        <v>3</v>
      </c>
      <c r="F1549" s="55">
        <v>78.900000000000006</v>
      </c>
      <c r="G1549" s="55">
        <v>22.7</v>
      </c>
    </row>
    <row r="1550" spans="1:7" ht="10.050000000000001" customHeight="1">
      <c r="A1550" s="52" t="s">
        <v>421</v>
      </c>
      <c r="B1550" s="52" t="s">
        <v>315</v>
      </c>
      <c r="C1550" s="53">
        <v>2006</v>
      </c>
      <c r="D1550" s="52" t="s">
        <v>111</v>
      </c>
      <c r="E1550" s="54">
        <v>4</v>
      </c>
      <c r="F1550" s="55">
        <v>0.5</v>
      </c>
      <c r="G1550" s="55">
        <v>22.2</v>
      </c>
    </row>
    <row r="1551" spans="1:7" ht="10.050000000000001" customHeight="1">
      <c r="A1551" s="52" t="s">
        <v>421</v>
      </c>
      <c r="B1551" s="52" t="s">
        <v>315</v>
      </c>
      <c r="C1551" s="53">
        <v>2006</v>
      </c>
      <c r="D1551" s="52" t="s">
        <v>111</v>
      </c>
      <c r="E1551" s="54">
        <v>5</v>
      </c>
      <c r="F1551" s="55">
        <v>0.5</v>
      </c>
      <c r="G1551" s="55">
        <v>21.7</v>
      </c>
    </row>
    <row r="1552" spans="1:7" ht="10.050000000000001" customHeight="1">
      <c r="A1552" s="52" t="s">
        <v>421</v>
      </c>
      <c r="B1552" s="52" t="s">
        <v>315</v>
      </c>
      <c r="C1552" s="53">
        <v>2006</v>
      </c>
      <c r="D1552" s="52" t="s">
        <v>111</v>
      </c>
      <c r="E1552" s="54">
        <v>6</v>
      </c>
      <c r="F1552" s="55">
        <v>0.4</v>
      </c>
      <c r="G1552" s="55">
        <v>21.3</v>
      </c>
    </row>
    <row r="1553" spans="1:7" ht="10.050000000000001" customHeight="1">
      <c r="A1553" s="52" t="s">
        <v>421</v>
      </c>
      <c r="B1553" s="52" t="s">
        <v>315</v>
      </c>
      <c r="C1553" s="53">
        <v>2006</v>
      </c>
      <c r="D1553" s="52" t="s">
        <v>112</v>
      </c>
      <c r="E1553" s="54">
        <v>7</v>
      </c>
      <c r="F1553" s="55">
        <v>0.1</v>
      </c>
      <c r="G1553" s="55">
        <v>21.2</v>
      </c>
    </row>
    <row r="1554" spans="1:7" ht="10.050000000000001" customHeight="1">
      <c r="A1554" s="52" t="s">
        <v>421</v>
      </c>
      <c r="B1554" s="52" t="s">
        <v>315</v>
      </c>
      <c r="C1554" s="53">
        <v>2006</v>
      </c>
      <c r="D1554" s="52" t="s">
        <v>112</v>
      </c>
      <c r="E1554" s="54">
        <v>8</v>
      </c>
      <c r="F1554" s="55">
        <v>26.1</v>
      </c>
      <c r="G1554" s="55">
        <v>21.2</v>
      </c>
    </row>
    <row r="1555" spans="1:7" ht="10.050000000000001" customHeight="1">
      <c r="A1555" s="52" t="s">
        <v>421</v>
      </c>
      <c r="B1555" s="52" t="s">
        <v>315</v>
      </c>
      <c r="C1555" s="53">
        <v>2006</v>
      </c>
      <c r="D1555" s="52" t="s">
        <v>112</v>
      </c>
      <c r="E1555" s="54">
        <v>9</v>
      </c>
      <c r="F1555" s="55">
        <v>27.3</v>
      </c>
      <c r="G1555" s="55">
        <v>21.2</v>
      </c>
    </row>
    <row r="1556" spans="1:7" ht="10.050000000000001" customHeight="1">
      <c r="A1556" s="52" t="s">
        <v>421</v>
      </c>
      <c r="B1556" s="52" t="s">
        <v>315</v>
      </c>
      <c r="C1556" s="53">
        <v>2006</v>
      </c>
      <c r="D1556" s="52" t="s">
        <v>112</v>
      </c>
      <c r="E1556" s="54">
        <v>10</v>
      </c>
      <c r="F1556" s="55">
        <v>3</v>
      </c>
      <c r="G1556" s="55">
        <v>18.2</v>
      </c>
    </row>
    <row r="1557" spans="1:7" ht="10.050000000000001" customHeight="1">
      <c r="A1557" s="52" t="s">
        <v>421</v>
      </c>
      <c r="B1557" s="52" t="s">
        <v>315</v>
      </c>
      <c r="C1557" s="53">
        <v>2006</v>
      </c>
      <c r="D1557" s="52" t="s">
        <v>112</v>
      </c>
      <c r="E1557" s="54">
        <v>11</v>
      </c>
      <c r="F1557" s="55">
        <v>0.4</v>
      </c>
      <c r="G1557" s="55">
        <v>17.8</v>
      </c>
    </row>
    <row r="1558" spans="1:7" ht="10.050000000000001" customHeight="1">
      <c r="A1558" s="52" t="s">
        <v>421</v>
      </c>
      <c r="B1558" s="52" t="s">
        <v>315</v>
      </c>
      <c r="C1558" s="53">
        <v>2006</v>
      </c>
      <c r="D1558" s="52" t="s">
        <v>112</v>
      </c>
      <c r="E1558" s="54">
        <v>12</v>
      </c>
      <c r="F1558" s="55">
        <v>0.9</v>
      </c>
      <c r="G1558" s="55">
        <v>16.899999999999999</v>
      </c>
    </row>
    <row r="1559" spans="1:7" ht="10.050000000000001" customHeight="1">
      <c r="A1559" s="52" t="s">
        <v>421</v>
      </c>
      <c r="B1559" s="52" t="s">
        <v>315</v>
      </c>
      <c r="C1559" s="53">
        <v>2007</v>
      </c>
      <c r="D1559" s="52" t="s">
        <v>112</v>
      </c>
      <c r="E1559" s="54">
        <v>1</v>
      </c>
      <c r="F1559" s="55">
        <v>28.8</v>
      </c>
      <c r="G1559" s="55">
        <v>21.4</v>
      </c>
    </row>
    <row r="1560" spans="1:7" ht="10.050000000000001" customHeight="1">
      <c r="A1560" s="52" t="s">
        <v>421</v>
      </c>
      <c r="B1560" s="52" t="s">
        <v>315</v>
      </c>
      <c r="C1560" s="53">
        <v>2007</v>
      </c>
      <c r="D1560" s="52" t="s">
        <v>112</v>
      </c>
      <c r="E1560" s="54">
        <v>2</v>
      </c>
      <c r="F1560" s="55">
        <v>3.1</v>
      </c>
      <c r="G1560" s="55">
        <v>18.3</v>
      </c>
    </row>
    <row r="1561" spans="1:7" ht="10.050000000000001" customHeight="1">
      <c r="A1561" s="52" t="s">
        <v>421</v>
      </c>
      <c r="B1561" s="52" t="s">
        <v>315</v>
      </c>
      <c r="C1561" s="53">
        <v>2007</v>
      </c>
      <c r="D1561" s="52" t="s">
        <v>112</v>
      </c>
      <c r="E1561" s="54">
        <v>3</v>
      </c>
      <c r="F1561" s="55">
        <v>0.8</v>
      </c>
      <c r="G1561" s="55">
        <v>17.5</v>
      </c>
    </row>
    <row r="1562" spans="1:7" ht="10.050000000000001" customHeight="1">
      <c r="A1562" s="52" t="s">
        <v>421</v>
      </c>
      <c r="B1562" s="52" t="s">
        <v>315</v>
      </c>
      <c r="C1562" s="53">
        <v>2007</v>
      </c>
      <c r="D1562" s="52" t="s">
        <v>112</v>
      </c>
      <c r="E1562" s="54">
        <v>4</v>
      </c>
      <c r="F1562" s="55">
        <v>2.1</v>
      </c>
      <c r="G1562" s="55">
        <v>15.4</v>
      </c>
    </row>
    <row r="1563" spans="1:7" ht="10.050000000000001" customHeight="1">
      <c r="A1563" s="52" t="s">
        <v>421</v>
      </c>
      <c r="B1563" s="52" t="s">
        <v>315</v>
      </c>
      <c r="C1563" s="53">
        <v>2007</v>
      </c>
      <c r="D1563" s="52" t="s">
        <v>112</v>
      </c>
      <c r="E1563" s="54">
        <v>5</v>
      </c>
      <c r="F1563" s="55">
        <v>0.4</v>
      </c>
      <c r="G1563" s="55">
        <v>15</v>
      </c>
    </row>
    <row r="1564" spans="1:7" ht="10.050000000000001" customHeight="1">
      <c r="A1564" s="52" t="s">
        <v>421</v>
      </c>
      <c r="B1564" s="52" t="s">
        <v>315</v>
      </c>
      <c r="C1564" s="53">
        <v>2007</v>
      </c>
      <c r="D1564" s="52" t="s">
        <v>112</v>
      </c>
      <c r="E1564" s="54">
        <v>6</v>
      </c>
      <c r="F1564" s="55">
        <v>2.2000000000000002</v>
      </c>
      <c r="G1564" s="55">
        <v>12.8</v>
      </c>
    </row>
    <row r="1565" spans="1:7" ht="10.050000000000001" customHeight="1">
      <c r="A1565" s="52" t="s">
        <v>421</v>
      </c>
      <c r="B1565" s="52" t="s">
        <v>315</v>
      </c>
      <c r="C1565" s="53">
        <v>2007</v>
      </c>
      <c r="D1565" s="52" t="s">
        <v>113</v>
      </c>
      <c r="E1565" s="54">
        <v>7</v>
      </c>
      <c r="F1565" s="55">
        <v>55</v>
      </c>
      <c r="G1565" s="55">
        <v>12.2</v>
      </c>
    </row>
    <row r="1566" spans="1:7" ht="10.050000000000001" customHeight="1">
      <c r="A1566" s="52" t="s">
        <v>421</v>
      </c>
      <c r="B1566" s="52" t="s">
        <v>315</v>
      </c>
      <c r="C1566" s="53">
        <v>2007</v>
      </c>
      <c r="D1566" s="52" t="s">
        <v>113</v>
      </c>
      <c r="E1566" s="54">
        <v>8</v>
      </c>
      <c r="F1566" s="55">
        <v>0.4</v>
      </c>
      <c r="G1566" s="55">
        <v>11.8</v>
      </c>
    </row>
    <row r="1567" spans="1:7" ht="10.050000000000001" customHeight="1">
      <c r="A1567" s="52" t="s">
        <v>421</v>
      </c>
      <c r="B1567" s="52" t="s">
        <v>315</v>
      </c>
      <c r="C1567" s="53">
        <v>2007</v>
      </c>
      <c r="D1567" s="52" t="s">
        <v>113</v>
      </c>
      <c r="E1567" s="54">
        <v>9</v>
      </c>
      <c r="F1567" s="55">
        <v>27.7</v>
      </c>
      <c r="G1567" s="55">
        <v>10.4</v>
      </c>
    </row>
    <row r="1568" spans="1:7" ht="10.050000000000001" customHeight="1">
      <c r="A1568" s="52" t="s">
        <v>421</v>
      </c>
      <c r="B1568" s="52" t="s">
        <v>315</v>
      </c>
      <c r="C1568" s="53">
        <v>2007</v>
      </c>
      <c r="D1568" s="52" t="s">
        <v>113</v>
      </c>
      <c r="E1568" s="54">
        <v>10</v>
      </c>
      <c r="F1568" s="55">
        <v>56.8</v>
      </c>
      <c r="G1568" s="55">
        <v>9.5</v>
      </c>
    </row>
    <row r="1569" spans="1:7" ht="10.050000000000001" customHeight="1">
      <c r="A1569" s="52" t="s">
        <v>421</v>
      </c>
      <c r="B1569" s="52" t="s">
        <v>315</v>
      </c>
      <c r="C1569" s="53">
        <v>2007</v>
      </c>
      <c r="D1569" s="52" t="s">
        <v>113</v>
      </c>
      <c r="E1569" s="54">
        <v>11</v>
      </c>
      <c r="F1569" s="55">
        <v>109</v>
      </c>
      <c r="G1569" s="55">
        <v>9.1999999999999993</v>
      </c>
    </row>
    <row r="1570" spans="1:7" ht="10.050000000000001" customHeight="1">
      <c r="A1570" s="52" t="s">
        <v>421</v>
      </c>
      <c r="B1570" s="52" t="s">
        <v>315</v>
      </c>
      <c r="C1570" s="53">
        <v>2007</v>
      </c>
      <c r="D1570" s="52" t="s">
        <v>113</v>
      </c>
      <c r="E1570" s="54">
        <v>12</v>
      </c>
      <c r="F1570" s="55">
        <v>0.3</v>
      </c>
      <c r="G1570" s="55">
        <v>8.9</v>
      </c>
    </row>
    <row r="1571" spans="1:7" ht="10.050000000000001" customHeight="1">
      <c r="A1571" s="52" t="s">
        <v>421</v>
      </c>
      <c r="B1571" s="52" t="s">
        <v>315</v>
      </c>
      <c r="C1571" s="53">
        <v>2008</v>
      </c>
      <c r="D1571" s="52" t="s">
        <v>113</v>
      </c>
      <c r="E1571" s="54">
        <v>1</v>
      </c>
      <c r="F1571" s="55">
        <v>51.5</v>
      </c>
      <c r="G1571" s="55">
        <v>8.5</v>
      </c>
    </row>
    <row r="1572" spans="1:7" ht="10.050000000000001" customHeight="1">
      <c r="A1572" s="52" t="s">
        <v>421</v>
      </c>
      <c r="B1572" s="52" t="s">
        <v>315</v>
      </c>
      <c r="C1572" s="53">
        <v>2008</v>
      </c>
      <c r="D1572" s="52" t="s">
        <v>113</v>
      </c>
      <c r="E1572" s="54">
        <v>2</v>
      </c>
      <c r="F1572" s="55">
        <v>55.1</v>
      </c>
      <c r="G1572" s="55">
        <v>15.4</v>
      </c>
    </row>
    <row r="1573" spans="1:7" ht="10.050000000000001" customHeight="1">
      <c r="A1573" s="52" t="s">
        <v>421</v>
      </c>
      <c r="B1573" s="52" t="s">
        <v>315</v>
      </c>
      <c r="C1573" s="53">
        <v>2008</v>
      </c>
      <c r="D1573" s="52" t="s">
        <v>113</v>
      </c>
      <c r="E1573" s="54">
        <v>3</v>
      </c>
      <c r="F1573" s="55">
        <v>0.5</v>
      </c>
      <c r="G1573" s="55">
        <v>14.9</v>
      </c>
    </row>
    <row r="1574" spans="1:7" ht="10.050000000000001" customHeight="1">
      <c r="A1574" s="52" t="s">
        <v>421</v>
      </c>
      <c r="B1574" s="52" t="s">
        <v>315</v>
      </c>
      <c r="C1574" s="53">
        <v>2008</v>
      </c>
      <c r="D1574" s="52" t="s">
        <v>113</v>
      </c>
      <c r="E1574" s="54">
        <v>4</v>
      </c>
      <c r="F1574" s="55">
        <v>27.3</v>
      </c>
      <c r="G1574" s="55">
        <v>14.6</v>
      </c>
    </row>
    <row r="1575" spans="1:7" ht="10.050000000000001" customHeight="1">
      <c r="A1575" s="52" t="s">
        <v>421</v>
      </c>
      <c r="B1575" s="52" t="s">
        <v>315</v>
      </c>
      <c r="C1575" s="53">
        <v>2008</v>
      </c>
      <c r="D1575" s="52" t="s">
        <v>113</v>
      </c>
      <c r="E1575" s="54">
        <v>5</v>
      </c>
      <c r="F1575" s="55">
        <v>79.2</v>
      </c>
      <c r="G1575" s="55">
        <v>14.3</v>
      </c>
    </row>
    <row r="1576" spans="1:7" ht="10.050000000000001" customHeight="1">
      <c r="A1576" s="52" t="s">
        <v>421</v>
      </c>
      <c r="B1576" s="52" t="s">
        <v>315</v>
      </c>
      <c r="C1576" s="53">
        <v>2008</v>
      </c>
      <c r="D1576" s="52" t="s">
        <v>113</v>
      </c>
      <c r="E1576" s="54">
        <v>6</v>
      </c>
      <c r="F1576" s="55">
        <v>23.2</v>
      </c>
      <c r="G1576" s="55">
        <v>14.3</v>
      </c>
    </row>
    <row r="1577" spans="1:7" ht="10.050000000000001" customHeight="1">
      <c r="A1577" s="52" t="s">
        <v>421</v>
      </c>
      <c r="B1577" s="52" t="s">
        <v>315</v>
      </c>
      <c r="C1577" s="53">
        <v>2008</v>
      </c>
      <c r="D1577" s="52" t="s">
        <v>107</v>
      </c>
      <c r="E1577" s="54">
        <v>7</v>
      </c>
      <c r="F1577" s="55">
        <v>54.5</v>
      </c>
      <c r="G1577" s="55">
        <v>13.8</v>
      </c>
    </row>
    <row r="1578" spans="1:7" ht="10.050000000000001" customHeight="1">
      <c r="A1578" s="52" t="s">
        <v>421</v>
      </c>
      <c r="B1578" s="52" t="s">
        <v>315</v>
      </c>
      <c r="C1578" s="53">
        <v>2008</v>
      </c>
      <c r="D1578" s="52" t="s">
        <v>107</v>
      </c>
      <c r="E1578" s="54">
        <v>8</v>
      </c>
      <c r="F1578" s="55">
        <v>28.2</v>
      </c>
      <c r="G1578" s="55">
        <v>12.8</v>
      </c>
    </row>
    <row r="1579" spans="1:7" ht="10.050000000000001" customHeight="1">
      <c r="A1579" s="52" t="s">
        <v>421</v>
      </c>
      <c r="B1579" s="52" t="s">
        <v>315</v>
      </c>
      <c r="C1579" s="53">
        <v>2008</v>
      </c>
      <c r="D1579" s="52" t="s">
        <v>107</v>
      </c>
      <c r="E1579" s="54">
        <v>9</v>
      </c>
      <c r="F1579" s="55">
        <v>0.8</v>
      </c>
      <c r="G1579" s="55">
        <v>12</v>
      </c>
    </row>
    <row r="1580" spans="1:7" ht="10.050000000000001" customHeight="1">
      <c r="A1580" s="52" t="s">
        <v>421</v>
      </c>
      <c r="B1580" s="52" t="s">
        <v>315</v>
      </c>
      <c r="C1580" s="53">
        <v>2008</v>
      </c>
      <c r="D1580" s="52" t="s">
        <v>107</v>
      </c>
      <c r="E1580" s="54">
        <v>10</v>
      </c>
      <c r="F1580" s="55">
        <v>28.1</v>
      </c>
      <c r="G1580" s="55">
        <v>10.6</v>
      </c>
    </row>
    <row r="1581" spans="1:7" ht="10.050000000000001" customHeight="1">
      <c r="A1581" s="52" t="s">
        <v>421</v>
      </c>
      <c r="B1581" s="52" t="s">
        <v>315</v>
      </c>
      <c r="C1581" s="53">
        <v>2008</v>
      </c>
      <c r="D1581" s="52" t="s">
        <v>107</v>
      </c>
      <c r="E1581" s="54">
        <v>11</v>
      </c>
      <c r="F1581" s="55">
        <v>0.5</v>
      </c>
      <c r="G1581" s="55">
        <v>10.1</v>
      </c>
    </row>
    <row r="1582" spans="1:7" ht="10.050000000000001" customHeight="1">
      <c r="A1582" s="52" t="s">
        <v>421</v>
      </c>
      <c r="B1582" s="52" t="s">
        <v>315</v>
      </c>
      <c r="C1582" s="53">
        <v>2008</v>
      </c>
      <c r="D1582" s="52" t="s">
        <v>107</v>
      </c>
      <c r="E1582" s="54">
        <v>12</v>
      </c>
      <c r="F1582" s="55">
        <v>0.3</v>
      </c>
      <c r="G1582" s="55">
        <v>9.8000000000000007</v>
      </c>
    </row>
    <row r="1583" spans="1:7" ht="10.050000000000001" customHeight="1">
      <c r="A1583" s="52" t="s">
        <v>421</v>
      </c>
      <c r="B1583" s="52" t="s">
        <v>315</v>
      </c>
      <c r="C1583" s="53">
        <v>2009</v>
      </c>
      <c r="D1583" s="52" t="s">
        <v>107</v>
      </c>
      <c r="E1583" s="54">
        <v>1</v>
      </c>
      <c r="F1583" s="55">
        <v>55.1</v>
      </c>
      <c r="G1583" s="55">
        <v>8.8000000000000007</v>
      </c>
    </row>
    <row r="1584" spans="1:7" ht="10.050000000000001" customHeight="1">
      <c r="A1584" s="52" t="s">
        <v>421</v>
      </c>
      <c r="B1584" s="52" t="s">
        <v>315</v>
      </c>
      <c r="C1584" s="53">
        <v>2009</v>
      </c>
      <c r="D1584" s="52" t="s">
        <v>107</v>
      </c>
      <c r="E1584" s="54">
        <v>2</v>
      </c>
      <c r="F1584" s="55">
        <v>0.3</v>
      </c>
      <c r="G1584" s="55">
        <v>8.5</v>
      </c>
    </row>
    <row r="1585" spans="1:7" ht="10.050000000000001" customHeight="1">
      <c r="A1585" s="52" t="s">
        <v>421</v>
      </c>
      <c r="B1585" s="52" t="s">
        <v>315</v>
      </c>
      <c r="C1585" s="53">
        <v>2009</v>
      </c>
      <c r="D1585" s="52" t="s">
        <v>107</v>
      </c>
      <c r="E1585" s="54">
        <v>3</v>
      </c>
      <c r="F1585" s="55">
        <v>0.1</v>
      </c>
      <c r="G1585" s="55">
        <v>5.8</v>
      </c>
    </row>
    <row r="1586" spans="1:7" ht="10.050000000000001" customHeight="1">
      <c r="A1586" s="52" t="s">
        <v>421</v>
      </c>
      <c r="B1586" s="52" t="s">
        <v>315</v>
      </c>
      <c r="C1586" s="53">
        <v>2009</v>
      </c>
      <c r="D1586" s="52" t="s">
        <v>107</v>
      </c>
      <c r="E1586" s="54">
        <v>4</v>
      </c>
      <c r="F1586" s="55">
        <v>0.4</v>
      </c>
      <c r="G1586" s="55">
        <v>6.7</v>
      </c>
    </row>
    <row r="1587" spans="1:7" ht="10.050000000000001" customHeight="1">
      <c r="A1587" s="52" t="s">
        <v>421</v>
      </c>
      <c r="B1587" s="52" t="s">
        <v>315</v>
      </c>
      <c r="C1587" s="53">
        <v>2009</v>
      </c>
      <c r="D1587" s="52" t="s">
        <v>107</v>
      </c>
      <c r="E1587" s="54">
        <v>5</v>
      </c>
      <c r="F1587" s="55">
        <v>29.2</v>
      </c>
      <c r="G1587" s="55">
        <v>4.5</v>
      </c>
    </row>
    <row r="1588" spans="1:7" ht="10.050000000000001" customHeight="1">
      <c r="A1588" s="52" t="s">
        <v>421</v>
      </c>
      <c r="B1588" s="52" t="s">
        <v>315</v>
      </c>
      <c r="C1588" s="53">
        <v>2009</v>
      </c>
      <c r="D1588" s="52" t="s">
        <v>107</v>
      </c>
      <c r="E1588" s="54">
        <v>6</v>
      </c>
      <c r="F1588" s="55">
        <v>27.5</v>
      </c>
      <c r="G1588" s="55">
        <v>4</v>
      </c>
    </row>
    <row r="1589" spans="1:7" ht="10.050000000000001" customHeight="1">
      <c r="A1589" s="52" t="s">
        <v>421</v>
      </c>
      <c r="B1589" s="52" t="s">
        <v>315</v>
      </c>
      <c r="C1589" s="53">
        <v>2009</v>
      </c>
      <c r="D1589" s="52" t="s">
        <v>114</v>
      </c>
      <c r="E1589" s="54">
        <v>7</v>
      </c>
      <c r="F1589" s="55">
        <v>0</v>
      </c>
      <c r="G1589" s="55">
        <v>4</v>
      </c>
    </row>
    <row r="1590" spans="1:7" ht="10.050000000000001" customHeight="1">
      <c r="A1590" s="52" t="s">
        <v>421</v>
      </c>
      <c r="B1590" s="52" t="s">
        <v>315</v>
      </c>
      <c r="C1590" s="53">
        <v>2009</v>
      </c>
      <c r="D1590" s="52" t="s">
        <v>114</v>
      </c>
      <c r="E1590" s="54">
        <v>8</v>
      </c>
      <c r="F1590" s="55">
        <v>0</v>
      </c>
      <c r="G1590" s="55">
        <v>4</v>
      </c>
    </row>
    <row r="1591" spans="1:7" ht="10.050000000000001" customHeight="1">
      <c r="A1591" s="52" t="s">
        <v>421</v>
      </c>
      <c r="B1591" s="52" t="s">
        <v>315</v>
      </c>
      <c r="C1591" s="53">
        <v>2009</v>
      </c>
      <c r="D1591" s="52" t="s">
        <v>114</v>
      </c>
      <c r="E1591" s="54">
        <v>9</v>
      </c>
      <c r="F1591" s="55">
        <v>0.1</v>
      </c>
      <c r="G1591" s="55">
        <v>3.9</v>
      </c>
    </row>
    <row r="1592" spans="1:7" ht="10.050000000000001" customHeight="1">
      <c r="A1592" s="52" t="s">
        <v>421</v>
      </c>
      <c r="B1592" s="52" t="s">
        <v>315</v>
      </c>
      <c r="C1592" s="53">
        <v>2009</v>
      </c>
      <c r="D1592" s="52" t="s">
        <v>114</v>
      </c>
      <c r="E1592" s="54">
        <v>10</v>
      </c>
      <c r="F1592" s="55">
        <v>0.8</v>
      </c>
      <c r="G1592" s="55">
        <v>3.1</v>
      </c>
    </row>
    <row r="1593" spans="1:7" ht="10.050000000000001" customHeight="1">
      <c r="A1593" s="52" t="s">
        <v>421</v>
      </c>
      <c r="B1593" s="52" t="s">
        <v>315</v>
      </c>
      <c r="C1593" s="53">
        <v>2009</v>
      </c>
      <c r="D1593" s="52" t="s">
        <v>114</v>
      </c>
      <c r="E1593" s="54">
        <v>11</v>
      </c>
      <c r="F1593" s="55">
        <v>0.1</v>
      </c>
      <c r="G1593" s="55">
        <v>3</v>
      </c>
    </row>
    <row r="1594" spans="1:7" ht="10.050000000000001" customHeight="1">
      <c r="A1594" s="52" t="s">
        <v>421</v>
      </c>
      <c r="B1594" s="52" t="s">
        <v>315</v>
      </c>
      <c r="C1594" s="53">
        <v>2009</v>
      </c>
      <c r="D1594" s="52" t="s">
        <v>114</v>
      </c>
      <c r="E1594" s="54">
        <v>12</v>
      </c>
      <c r="F1594" s="55">
        <v>0.2</v>
      </c>
      <c r="G1594" s="55">
        <v>2.8</v>
      </c>
    </row>
    <row r="1595" spans="1:7" ht="10.050000000000001" customHeight="1">
      <c r="A1595" s="52" t="s">
        <v>421</v>
      </c>
      <c r="B1595" s="52" t="s">
        <v>315</v>
      </c>
      <c r="C1595" s="53">
        <v>2010</v>
      </c>
      <c r="D1595" s="52" t="s">
        <v>114</v>
      </c>
      <c r="E1595" s="54">
        <v>1</v>
      </c>
      <c r="F1595" s="55">
        <v>0.2</v>
      </c>
      <c r="G1595" s="55">
        <v>2.6</v>
      </c>
    </row>
    <row r="1596" spans="1:7" ht="10.050000000000001" customHeight="1">
      <c r="A1596" s="52" t="s">
        <v>421</v>
      </c>
      <c r="B1596" s="52" t="s">
        <v>315</v>
      </c>
      <c r="C1596" s="53">
        <v>2010</v>
      </c>
      <c r="D1596" s="52" t="s">
        <v>114</v>
      </c>
      <c r="E1596" s="54">
        <v>2</v>
      </c>
      <c r="F1596" s="55">
        <v>0.1</v>
      </c>
      <c r="G1596" s="55">
        <v>2.5</v>
      </c>
    </row>
    <row r="1597" spans="1:7" ht="10.050000000000001" customHeight="1">
      <c r="A1597" s="52" t="s">
        <v>421</v>
      </c>
      <c r="B1597" s="52" t="s">
        <v>315</v>
      </c>
      <c r="C1597" s="53">
        <v>2010</v>
      </c>
      <c r="D1597" s="52" t="s">
        <v>114</v>
      </c>
      <c r="E1597" s="54">
        <v>3</v>
      </c>
      <c r="F1597" s="55">
        <v>27.2</v>
      </c>
      <c r="G1597" s="55">
        <v>2.2999999999999998</v>
      </c>
    </row>
    <row r="1598" spans="1:7" ht="10.050000000000001" customHeight="1">
      <c r="A1598" s="52" t="s">
        <v>421</v>
      </c>
      <c r="B1598" s="52" t="s">
        <v>315</v>
      </c>
      <c r="C1598" s="53">
        <v>2010</v>
      </c>
      <c r="D1598" s="52" t="s">
        <v>114</v>
      </c>
      <c r="E1598" s="54">
        <v>4</v>
      </c>
      <c r="F1598" s="55">
        <v>0.6</v>
      </c>
      <c r="G1598" s="55">
        <v>1.7</v>
      </c>
    </row>
    <row r="1599" spans="1:7" ht="10.050000000000001" customHeight="1">
      <c r="A1599" s="52" t="s">
        <v>421</v>
      </c>
      <c r="B1599" s="52" t="s">
        <v>315</v>
      </c>
      <c r="C1599" s="53">
        <v>2010</v>
      </c>
      <c r="D1599" s="52" t="s">
        <v>114</v>
      </c>
      <c r="E1599" s="54">
        <v>5</v>
      </c>
      <c r="F1599" s="55">
        <v>27.7</v>
      </c>
      <c r="G1599" s="55">
        <v>1.4</v>
      </c>
    </row>
    <row r="1600" spans="1:7" ht="10.050000000000001" customHeight="1">
      <c r="A1600" s="52" t="s">
        <v>421</v>
      </c>
      <c r="B1600" s="52" t="s">
        <v>315</v>
      </c>
      <c r="C1600" s="53">
        <v>2010</v>
      </c>
      <c r="D1600" s="52" t="s">
        <v>114</v>
      </c>
      <c r="E1600" s="54">
        <v>6</v>
      </c>
      <c r="F1600" s="55">
        <v>0.6</v>
      </c>
      <c r="G1600" s="55">
        <v>0.8</v>
      </c>
    </row>
    <row r="1601" spans="1:7" ht="10.050000000000001" customHeight="1">
      <c r="A1601" s="52" t="s">
        <v>421</v>
      </c>
      <c r="B1601" s="52" t="s">
        <v>315</v>
      </c>
      <c r="C1601" s="53">
        <v>2010</v>
      </c>
      <c r="D1601" s="52" t="s">
        <v>115</v>
      </c>
      <c r="E1601" s="54">
        <v>7</v>
      </c>
      <c r="F1601" s="55">
        <v>6.1</v>
      </c>
      <c r="G1601" s="55">
        <v>0.7</v>
      </c>
    </row>
    <row r="1602" spans="1:7" ht="10.050000000000001" customHeight="1">
      <c r="A1602" s="52" t="s">
        <v>421</v>
      </c>
      <c r="B1602" s="52" t="s">
        <v>315</v>
      </c>
      <c r="C1602" s="53">
        <v>2010</v>
      </c>
      <c r="D1602" s="52" t="s">
        <v>115</v>
      </c>
      <c r="E1602" s="54">
        <v>8</v>
      </c>
      <c r="F1602" s="55">
        <v>27</v>
      </c>
      <c r="G1602" s="55">
        <v>0.6</v>
      </c>
    </row>
    <row r="1603" spans="1:7" ht="10.050000000000001" customHeight="1">
      <c r="A1603" s="52" t="s">
        <v>421</v>
      </c>
      <c r="B1603" s="52" t="s">
        <v>315</v>
      </c>
      <c r="C1603" s="53">
        <v>2010</v>
      </c>
      <c r="D1603" s="52" t="s">
        <v>115</v>
      </c>
      <c r="E1603" s="54">
        <v>9</v>
      </c>
      <c r="F1603" s="55">
        <v>0.6</v>
      </c>
      <c r="G1603" s="55">
        <v>0</v>
      </c>
    </row>
    <row r="1604" spans="1:7" ht="10.050000000000001" customHeight="1">
      <c r="A1604" s="52" t="s">
        <v>421</v>
      </c>
      <c r="B1604" s="52" t="s">
        <v>315</v>
      </c>
      <c r="C1604" s="53">
        <v>2010</v>
      </c>
      <c r="D1604" s="52" t="s">
        <v>115</v>
      </c>
      <c r="E1604" s="54">
        <v>10</v>
      </c>
      <c r="F1604" s="55">
        <v>0</v>
      </c>
      <c r="G1604" s="55">
        <v>2.6</v>
      </c>
    </row>
    <row r="1605" spans="1:7" ht="10.050000000000001" customHeight="1">
      <c r="A1605" s="52" t="s">
        <v>421</v>
      </c>
      <c r="B1605" s="52" t="s">
        <v>315</v>
      </c>
      <c r="C1605" s="53">
        <v>2010</v>
      </c>
      <c r="D1605" s="52" t="s">
        <v>115</v>
      </c>
      <c r="E1605" s="54">
        <v>11</v>
      </c>
      <c r="F1605" s="55">
        <v>0.4</v>
      </c>
      <c r="G1605" s="55">
        <v>2.2000000000000002</v>
      </c>
    </row>
    <row r="1606" spans="1:7" ht="10.050000000000001" customHeight="1">
      <c r="A1606" s="52" t="s">
        <v>421</v>
      </c>
      <c r="B1606" s="52" t="s">
        <v>315</v>
      </c>
      <c r="C1606" s="53">
        <v>2010</v>
      </c>
      <c r="D1606" s="52" t="s">
        <v>115</v>
      </c>
      <c r="E1606" s="54">
        <v>12</v>
      </c>
      <c r="F1606" s="55">
        <v>0.2</v>
      </c>
      <c r="G1606" s="55">
        <v>2</v>
      </c>
    </row>
    <row r="1607" spans="1:7" ht="10.050000000000001" customHeight="1">
      <c r="A1607" s="52" t="s">
        <v>421</v>
      </c>
      <c r="B1607" s="52" t="s">
        <v>315</v>
      </c>
      <c r="C1607" s="53">
        <v>2011</v>
      </c>
      <c r="D1607" s="52" t="s">
        <v>115</v>
      </c>
      <c r="E1607" s="54">
        <v>1</v>
      </c>
      <c r="F1607" s="55">
        <v>0.1</v>
      </c>
      <c r="G1607" s="55">
        <v>1.9</v>
      </c>
    </row>
    <row r="1608" spans="1:7" ht="10.050000000000001" customHeight="1">
      <c r="A1608" s="52" t="s">
        <v>421</v>
      </c>
      <c r="B1608" s="52" t="s">
        <v>315</v>
      </c>
      <c r="C1608" s="53">
        <v>2011</v>
      </c>
      <c r="D1608" s="52" t="s">
        <v>115</v>
      </c>
      <c r="E1608" s="54">
        <v>2</v>
      </c>
      <c r="F1608" s="55">
        <v>0.1</v>
      </c>
      <c r="G1608" s="55">
        <v>1.8</v>
      </c>
    </row>
    <row r="1609" spans="1:7" ht="10.050000000000001" customHeight="1">
      <c r="A1609" s="52" t="s">
        <v>421</v>
      </c>
      <c r="B1609" s="52" t="s">
        <v>315</v>
      </c>
      <c r="C1609" s="53">
        <v>2011</v>
      </c>
      <c r="D1609" s="52" t="s">
        <v>115</v>
      </c>
      <c r="E1609" s="54">
        <v>3</v>
      </c>
      <c r="F1609" s="55">
        <v>79.099999999999994</v>
      </c>
      <c r="G1609" s="55">
        <v>1.6</v>
      </c>
    </row>
    <row r="1610" spans="1:7" ht="10.050000000000001" customHeight="1">
      <c r="A1610" s="52" t="s">
        <v>421</v>
      </c>
      <c r="B1610" s="52" t="s">
        <v>315</v>
      </c>
      <c r="C1610" s="53">
        <v>2011</v>
      </c>
      <c r="D1610" s="52" t="s">
        <v>115</v>
      </c>
      <c r="E1610" s="54">
        <v>4</v>
      </c>
      <c r="F1610" s="55">
        <v>0.4</v>
      </c>
      <c r="G1610" s="55">
        <v>1.2</v>
      </c>
    </row>
    <row r="1611" spans="1:7" ht="10.050000000000001" customHeight="1">
      <c r="A1611" s="52" t="s">
        <v>421</v>
      </c>
      <c r="B1611" s="52" t="s">
        <v>315</v>
      </c>
      <c r="C1611" s="53">
        <v>2011</v>
      </c>
      <c r="D1611" s="52" t="s">
        <v>115</v>
      </c>
      <c r="E1611" s="54">
        <v>6</v>
      </c>
      <c r="F1611" s="55">
        <v>0</v>
      </c>
      <c r="G1611" s="55">
        <v>1.2</v>
      </c>
    </row>
    <row r="1612" spans="1:7" ht="10.050000000000001" customHeight="1">
      <c r="A1612" s="52" t="s">
        <v>421</v>
      </c>
      <c r="B1612" s="52" t="s">
        <v>315</v>
      </c>
      <c r="C1612" s="53">
        <v>2011</v>
      </c>
      <c r="D1612" s="52" t="s">
        <v>116</v>
      </c>
      <c r="E1612" s="54">
        <v>7</v>
      </c>
      <c r="F1612" s="55">
        <v>0.1</v>
      </c>
      <c r="G1612" s="55">
        <v>1.1000000000000001</v>
      </c>
    </row>
    <row r="1613" spans="1:7" ht="10.050000000000001" customHeight="1">
      <c r="A1613" s="52" t="s">
        <v>421</v>
      </c>
      <c r="B1613" s="52" t="s">
        <v>315</v>
      </c>
      <c r="C1613" s="53">
        <v>2011</v>
      </c>
      <c r="D1613" s="52" t="s">
        <v>116</v>
      </c>
      <c r="E1613" s="54">
        <v>8</v>
      </c>
      <c r="F1613" s="55">
        <v>0</v>
      </c>
      <c r="G1613" s="55">
        <v>1.1000000000000001</v>
      </c>
    </row>
    <row r="1614" spans="1:7" ht="10.050000000000001" customHeight="1">
      <c r="A1614" s="52" t="s">
        <v>421</v>
      </c>
      <c r="B1614" s="52" t="s">
        <v>315</v>
      </c>
      <c r="C1614" s="53">
        <v>2011</v>
      </c>
      <c r="D1614" s="52" t="s">
        <v>116</v>
      </c>
      <c r="E1614" s="54">
        <v>9</v>
      </c>
      <c r="F1614" s="55">
        <v>25.07</v>
      </c>
      <c r="G1614" s="55">
        <v>1.03</v>
      </c>
    </row>
    <row r="1615" spans="1:7" ht="10.050000000000001" customHeight="1">
      <c r="A1615" s="52" t="s">
        <v>421</v>
      </c>
      <c r="B1615" s="52" t="s">
        <v>315</v>
      </c>
      <c r="C1615" s="53">
        <v>2011</v>
      </c>
      <c r="D1615" s="52" t="s">
        <v>116</v>
      </c>
      <c r="E1615" s="54">
        <v>10</v>
      </c>
      <c r="F1615" s="55">
        <v>66.48</v>
      </c>
      <c r="G1615" s="55">
        <v>0.85</v>
      </c>
    </row>
    <row r="1616" spans="1:7" ht="10.050000000000001" customHeight="1">
      <c r="A1616" s="52" t="s">
        <v>421</v>
      </c>
      <c r="B1616" s="52" t="s">
        <v>315</v>
      </c>
      <c r="C1616" s="53">
        <v>2011</v>
      </c>
      <c r="D1616" s="52" t="s">
        <v>116</v>
      </c>
      <c r="E1616" s="54">
        <v>11</v>
      </c>
      <c r="F1616" s="55">
        <v>37.549999999999997</v>
      </c>
      <c r="G1616" s="55">
        <v>0.7</v>
      </c>
    </row>
    <row r="1617" spans="1:7" ht="10.050000000000001" customHeight="1">
      <c r="A1617" s="52" t="s">
        <v>421</v>
      </c>
      <c r="B1617" s="52" t="s">
        <v>315</v>
      </c>
      <c r="C1617" s="53">
        <v>2011</v>
      </c>
      <c r="D1617" s="52" t="s">
        <v>116</v>
      </c>
      <c r="E1617" s="54">
        <v>12</v>
      </c>
      <c r="F1617" s="55">
        <v>56.25</v>
      </c>
      <c r="G1617" s="55">
        <v>10.65</v>
      </c>
    </row>
    <row r="1618" spans="1:7" ht="10.050000000000001" customHeight="1">
      <c r="A1618" s="52" t="s">
        <v>421</v>
      </c>
      <c r="B1618" s="52" t="s">
        <v>315</v>
      </c>
      <c r="C1618" s="53">
        <v>2012</v>
      </c>
      <c r="D1618" s="52" t="s">
        <v>116</v>
      </c>
      <c r="E1618" s="54">
        <v>1</v>
      </c>
      <c r="F1618" s="55">
        <v>60.66</v>
      </c>
      <c r="G1618" s="55">
        <v>10.79</v>
      </c>
    </row>
    <row r="1619" spans="1:7" ht="10.050000000000001" customHeight="1">
      <c r="A1619" s="52" t="s">
        <v>421</v>
      </c>
      <c r="B1619" s="52" t="s">
        <v>315</v>
      </c>
      <c r="C1619" s="53">
        <v>2012</v>
      </c>
      <c r="D1619" s="52" t="s">
        <v>116</v>
      </c>
      <c r="E1619" s="54">
        <v>2</v>
      </c>
      <c r="F1619" s="55">
        <v>90.24</v>
      </c>
      <c r="G1619" s="55">
        <v>5.78</v>
      </c>
    </row>
    <row r="1620" spans="1:7" ht="10.050000000000001" customHeight="1">
      <c r="A1620" s="52" t="s">
        <v>421</v>
      </c>
      <c r="B1620" s="52" t="s">
        <v>315</v>
      </c>
      <c r="C1620" s="53">
        <v>2012</v>
      </c>
      <c r="D1620" s="52" t="s">
        <v>116</v>
      </c>
      <c r="E1620" s="54">
        <v>3</v>
      </c>
      <c r="F1620" s="55">
        <v>79.13</v>
      </c>
      <c r="G1620" s="55">
        <v>8.75</v>
      </c>
    </row>
    <row r="1621" spans="1:7" ht="10.050000000000001" customHeight="1">
      <c r="A1621" s="52" t="s">
        <v>421</v>
      </c>
      <c r="B1621" s="52" t="s">
        <v>315</v>
      </c>
      <c r="C1621" s="53">
        <v>2012</v>
      </c>
      <c r="D1621" s="52" t="s">
        <v>116</v>
      </c>
      <c r="E1621" s="54">
        <v>4</v>
      </c>
      <c r="F1621" s="55">
        <v>71.680000000000007</v>
      </c>
      <c r="G1621" s="55">
        <v>23.27</v>
      </c>
    </row>
    <row r="1622" spans="1:7" ht="10.050000000000001" customHeight="1">
      <c r="A1622" s="52" t="s">
        <v>421</v>
      </c>
      <c r="B1622" s="52" t="s">
        <v>315</v>
      </c>
      <c r="C1622" s="53">
        <v>2012</v>
      </c>
      <c r="D1622" s="52" t="s">
        <v>116</v>
      </c>
      <c r="E1622" s="54">
        <v>5</v>
      </c>
      <c r="F1622" s="55">
        <v>58.11</v>
      </c>
      <c r="G1622" s="55">
        <v>47.56</v>
      </c>
    </row>
    <row r="1623" spans="1:7" ht="10.050000000000001" customHeight="1">
      <c r="A1623" s="52" t="s">
        <v>421</v>
      </c>
      <c r="B1623" s="52" t="s">
        <v>315</v>
      </c>
      <c r="C1623" s="53">
        <v>2012</v>
      </c>
      <c r="D1623" s="52" t="s">
        <v>116</v>
      </c>
      <c r="E1623" s="54">
        <v>6</v>
      </c>
      <c r="F1623" s="55">
        <v>114.45</v>
      </c>
      <c r="G1623" s="55">
        <v>0.22</v>
      </c>
    </row>
    <row r="1624" spans="1:7" ht="10.050000000000001" customHeight="1">
      <c r="A1624" s="52" t="s">
        <v>421</v>
      </c>
      <c r="B1624" s="52" t="s">
        <v>315</v>
      </c>
      <c r="C1624" s="53">
        <v>2012</v>
      </c>
      <c r="D1624" s="52" t="s">
        <v>117</v>
      </c>
      <c r="E1624" s="54">
        <v>7</v>
      </c>
      <c r="F1624" s="55">
        <v>34.26</v>
      </c>
      <c r="G1624" s="55">
        <v>14.26</v>
      </c>
    </row>
    <row r="1625" spans="1:7" ht="10.050000000000001" customHeight="1">
      <c r="A1625" s="52" t="s">
        <v>421</v>
      </c>
      <c r="B1625" s="52" t="s">
        <v>315</v>
      </c>
      <c r="C1625" s="53">
        <v>2012</v>
      </c>
      <c r="D1625" s="52" t="s">
        <v>117</v>
      </c>
      <c r="E1625" s="54">
        <v>8</v>
      </c>
      <c r="F1625" s="55">
        <v>82.78</v>
      </c>
      <c r="G1625" s="55">
        <v>65.03</v>
      </c>
    </row>
    <row r="1626" spans="1:7" ht="10.050000000000001" customHeight="1">
      <c r="A1626" s="52" t="s">
        <v>421</v>
      </c>
      <c r="B1626" s="52" t="s">
        <v>315</v>
      </c>
      <c r="C1626" s="53">
        <v>2012</v>
      </c>
      <c r="D1626" s="52" t="s">
        <v>117</v>
      </c>
      <c r="E1626" s="54">
        <v>9</v>
      </c>
      <c r="F1626" s="55">
        <v>81.05</v>
      </c>
      <c r="G1626" s="55">
        <v>34.28</v>
      </c>
    </row>
    <row r="1627" spans="1:7" ht="10.050000000000001" customHeight="1">
      <c r="A1627" s="52" t="s">
        <v>421</v>
      </c>
      <c r="B1627" s="52" t="s">
        <v>315</v>
      </c>
      <c r="C1627" s="53">
        <v>2012</v>
      </c>
      <c r="D1627" s="52" t="s">
        <v>117</v>
      </c>
      <c r="E1627" s="54">
        <v>10</v>
      </c>
      <c r="F1627" s="55">
        <v>184.86</v>
      </c>
      <c r="G1627" s="55">
        <v>57.12</v>
      </c>
    </row>
    <row r="1628" spans="1:7" ht="10.050000000000001" customHeight="1">
      <c r="A1628" s="52" t="s">
        <v>421</v>
      </c>
      <c r="B1628" s="52" t="s">
        <v>315</v>
      </c>
      <c r="C1628" s="53">
        <v>2012</v>
      </c>
      <c r="D1628" s="52" t="s">
        <v>117</v>
      </c>
      <c r="E1628" s="54">
        <v>11</v>
      </c>
      <c r="F1628" s="55">
        <v>91.42</v>
      </c>
      <c r="G1628" s="55">
        <v>80.75</v>
      </c>
    </row>
    <row r="1629" spans="1:7" ht="10.050000000000001" customHeight="1">
      <c r="A1629" s="52" t="s">
        <v>421</v>
      </c>
      <c r="B1629" s="52" t="s">
        <v>315</v>
      </c>
      <c r="C1629" s="53">
        <v>2012</v>
      </c>
      <c r="D1629" s="52" t="s">
        <v>117</v>
      </c>
      <c r="E1629" s="54">
        <v>12</v>
      </c>
      <c r="F1629" s="55">
        <v>250.97</v>
      </c>
      <c r="G1629" s="55">
        <v>8.6999999999999993</v>
      </c>
    </row>
    <row r="1630" spans="1:7" ht="10.050000000000001" customHeight="1">
      <c r="A1630" s="52" t="s">
        <v>421</v>
      </c>
      <c r="B1630" s="52" t="s">
        <v>315</v>
      </c>
      <c r="C1630" s="53">
        <v>2013</v>
      </c>
      <c r="D1630" s="52" t="s">
        <v>117</v>
      </c>
      <c r="E1630" s="54">
        <v>1</v>
      </c>
      <c r="F1630" s="55">
        <v>133.62</v>
      </c>
      <c r="G1630" s="55">
        <v>0</v>
      </c>
    </row>
    <row r="1631" spans="1:7" ht="10.050000000000001" customHeight="1">
      <c r="A1631" s="52" t="s">
        <v>421</v>
      </c>
      <c r="B1631" s="52" t="s">
        <v>315</v>
      </c>
      <c r="C1631" s="53">
        <v>2013</v>
      </c>
      <c r="D1631" s="52" t="s">
        <v>117</v>
      </c>
      <c r="E1631" s="54">
        <v>2</v>
      </c>
      <c r="F1631" s="55">
        <v>124.09</v>
      </c>
      <c r="G1631" s="55">
        <v>21.7</v>
      </c>
    </row>
    <row r="1632" spans="1:7" ht="10.050000000000001" customHeight="1">
      <c r="A1632" s="52" t="s">
        <v>421</v>
      </c>
      <c r="B1632" s="52" t="s">
        <v>315</v>
      </c>
      <c r="C1632" s="53">
        <v>2013</v>
      </c>
      <c r="D1632" s="52" t="s">
        <v>117</v>
      </c>
      <c r="E1632" s="54">
        <v>3</v>
      </c>
      <c r="F1632" s="55">
        <v>87.64</v>
      </c>
      <c r="G1632" s="55">
        <v>21.6</v>
      </c>
    </row>
    <row r="1633" spans="1:7" ht="10.050000000000001" customHeight="1">
      <c r="A1633" s="52" t="s">
        <v>421</v>
      </c>
      <c r="B1633" s="52" t="s">
        <v>315</v>
      </c>
      <c r="C1633" s="53">
        <v>2013</v>
      </c>
      <c r="D1633" s="52" t="s">
        <v>117</v>
      </c>
      <c r="E1633" s="54">
        <v>4</v>
      </c>
      <c r="F1633" s="55">
        <v>151.97999999999999</v>
      </c>
      <c r="G1633" s="55">
        <v>54.75</v>
      </c>
    </row>
    <row r="1634" spans="1:7" ht="10.050000000000001" customHeight="1">
      <c r="A1634" s="52" t="s">
        <v>421</v>
      </c>
      <c r="B1634" s="52" t="s">
        <v>315</v>
      </c>
      <c r="C1634" s="53">
        <v>2013</v>
      </c>
      <c r="D1634" s="52" t="s">
        <v>117</v>
      </c>
      <c r="E1634" s="54">
        <v>5</v>
      </c>
      <c r="F1634" s="55">
        <v>24.45</v>
      </c>
      <c r="G1634" s="55">
        <v>39.4</v>
      </c>
    </row>
    <row r="1635" spans="1:7" ht="10.050000000000001" customHeight="1">
      <c r="A1635" s="52" t="s">
        <v>421</v>
      </c>
      <c r="B1635" s="52" t="s">
        <v>315</v>
      </c>
      <c r="C1635" s="53">
        <v>2013</v>
      </c>
      <c r="D1635" s="52" t="s">
        <v>117</v>
      </c>
      <c r="E1635" s="54">
        <v>6</v>
      </c>
      <c r="F1635" s="55">
        <v>0</v>
      </c>
      <c r="G1635" s="55">
        <v>49</v>
      </c>
    </row>
    <row r="1636" spans="1:7" ht="10.050000000000001" customHeight="1">
      <c r="A1636" s="52" t="s">
        <v>421</v>
      </c>
      <c r="B1636" s="52" t="s">
        <v>315</v>
      </c>
      <c r="C1636" s="53">
        <v>2013</v>
      </c>
      <c r="D1636" s="52" t="s">
        <v>118</v>
      </c>
      <c r="E1636" s="54">
        <v>7</v>
      </c>
      <c r="F1636" s="55">
        <v>27.65</v>
      </c>
      <c r="G1636" s="55">
        <v>87.32</v>
      </c>
    </row>
    <row r="1637" spans="1:7" ht="10.050000000000001" customHeight="1">
      <c r="A1637" s="52" t="s">
        <v>421</v>
      </c>
      <c r="B1637" s="52" t="s">
        <v>315</v>
      </c>
      <c r="C1637" s="53">
        <v>2013</v>
      </c>
      <c r="D1637" s="52" t="s">
        <v>118</v>
      </c>
      <c r="E1637" s="54">
        <v>8</v>
      </c>
      <c r="F1637" s="55">
        <v>85.02</v>
      </c>
      <c r="G1637" s="55">
        <v>2.2999999999999998</v>
      </c>
    </row>
    <row r="1638" spans="1:7" ht="10.050000000000001" customHeight="1">
      <c r="A1638" s="52" t="s">
        <v>421</v>
      </c>
      <c r="B1638" s="52" t="s">
        <v>315</v>
      </c>
      <c r="C1638" s="53">
        <v>2013</v>
      </c>
      <c r="D1638" s="52" t="s">
        <v>118</v>
      </c>
      <c r="E1638" s="54">
        <v>9</v>
      </c>
      <c r="F1638" s="55">
        <v>28.84</v>
      </c>
      <c r="G1638" s="55">
        <v>2.2999999999999998</v>
      </c>
    </row>
    <row r="1639" spans="1:7" ht="10.050000000000001" customHeight="1">
      <c r="A1639" s="52" t="s">
        <v>421</v>
      </c>
      <c r="B1639" s="52" t="s">
        <v>315</v>
      </c>
      <c r="C1639" s="53">
        <v>2013</v>
      </c>
      <c r="D1639" s="52" t="s">
        <v>118</v>
      </c>
      <c r="E1639" s="54">
        <v>10</v>
      </c>
      <c r="F1639" s="55">
        <v>30.52</v>
      </c>
      <c r="G1639" s="55">
        <v>7.9</v>
      </c>
    </row>
    <row r="1640" spans="1:7" ht="10.050000000000001" customHeight="1">
      <c r="A1640" s="52" t="s">
        <v>421</v>
      </c>
      <c r="B1640" s="52" t="s">
        <v>315</v>
      </c>
      <c r="C1640" s="53">
        <v>2013</v>
      </c>
      <c r="D1640" s="52" t="s">
        <v>118</v>
      </c>
      <c r="E1640" s="54">
        <v>11</v>
      </c>
      <c r="F1640" s="55">
        <v>92.76</v>
      </c>
      <c r="G1640" s="55">
        <v>54.52</v>
      </c>
    </row>
    <row r="1641" spans="1:7" ht="10.050000000000001" customHeight="1">
      <c r="A1641" s="52" t="s">
        <v>421</v>
      </c>
      <c r="B1641" s="52" t="s">
        <v>315</v>
      </c>
      <c r="C1641" s="53">
        <v>2013</v>
      </c>
      <c r="D1641" s="52" t="s">
        <v>118</v>
      </c>
      <c r="E1641" s="54">
        <v>12</v>
      </c>
      <c r="F1641" s="55">
        <v>154.58000000000001</v>
      </c>
      <c r="G1641" s="55">
        <v>73.209999999999994</v>
      </c>
    </row>
    <row r="1642" spans="1:7" ht="10.050000000000001" customHeight="1">
      <c r="A1642" s="52" t="s">
        <v>421</v>
      </c>
      <c r="B1642" s="52" t="s">
        <v>315</v>
      </c>
      <c r="C1642" s="53">
        <v>2014</v>
      </c>
      <c r="D1642" s="52" t="s">
        <v>118</v>
      </c>
      <c r="E1642" s="54">
        <v>1</v>
      </c>
      <c r="F1642" s="55">
        <v>375.16</v>
      </c>
      <c r="G1642" s="55">
        <v>76.69</v>
      </c>
    </row>
    <row r="1643" spans="1:7" ht="10.050000000000001" customHeight="1">
      <c r="A1643" s="52" t="s">
        <v>421</v>
      </c>
      <c r="B1643" s="52" t="s">
        <v>315</v>
      </c>
      <c r="C1643" s="53">
        <v>2014</v>
      </c>
      <c r="D1643" s="52" t="s">
        <v>118</v>
      </c>
      <c r="E1643" s="54">
        <v>2</v>
      </c>
      <c r="F1643" s="55">
        <v>144.62</v>
      </c>
      <c r="G1643" s="55">
        <v>107.65</v>
      </c>
    </row>
    <row r="1644" spans="1:7" ht="10.050000000000001" customHeight="1">
      <c r="A1644" s="52" t="s">
        <v>421</v>
      </c>
      <c r="B1644" s="52" t="s">
        <v>315</v>
      </c>
      <c r="C1644" s="53">
        <v>2014</v>
      </c>
      <c r="D1644" s="52" t="s">
        <v>118</v>
      </c>
      <c r="E1644" s="54">
        <v>3</v>
      </c>
      <c r="F1644" s="55">
        <v>64.17</v>
      </c>
      <c r="G1644" s="55">
        <v>156.36000000000001</v>
      </c>
    </row>
    <row r="1645" spans="1:7" ht="10.050000000000001" customHeight="1">
      <c r="A1645" s="52" t="s">
        <v>421</v>
      </c>
      <c r="B1645" s="52" t="s">
        <v>315</v>
      </c>
      <c r="C1645" s="53">
        <v>2014</v>
      </c>
      <c r="D1645" s="52" t="s">
        <v>118</v>
      </c>
      <c r="E1645" s="54">
        <v>4</v>
      </c>
      <c r="F1645" s="55">
        <v>75.099999999999994</v>
      </c>
      <c r="G1645" s="55">
        <v>171.94</v>
      </c>
    </row>
    <row r="1646" spans="1:7" ht="10.050000000000001" customHeight="1">
      <c r="A1646" s="52" t="s">
        <v>421</v>
      </c>
      <c r="B1646" s="52" t="s">
        <v>315</v>
      </c>
      <c r="C1646" s="53">
        <v>2014</v>
      </c>
      <c r="D1646" s="52" t="s">
        <v>118</v>
      </c>
      <c r="E1646" s="54">
        <v>5</v>
      </c>
      <c r="F1646" s="55">
        <v>49.8</v>
      </c>
      <c r="G1646" s="55">
        <v>194</v>
      </c>
    </row>
    <row r="1647" spans="1:7" ht="10.050000000000001" customHeight="1">
      <c r="A1647" s="52" t="s">
        <v>421</v>
      </c>
      <c r="B1647" s="52" t="s">
        <v>315</v>
      </c>
      <c r="C1647" s="53">
        <v>2014</v>
      </c>
      <c r="D1647" s="52" t="s">
        <v>118</v>
      </c>
      <c r="E1647" s="54">
        <v>6</v>
      </c>
      <c r="F1647" s="55">
        <v>231.8</v>
      </c>
      <c r="G1647" s="55">
        <v>72.760000000000005</v>
      </c>
    </row>
    <row r="1648" spans="1:7" ht="10.050000000000001" customHeight="1">
      <c r="A1648" s="52" t="s">
        <v>421</v>
      </c>
      <c r="B1648" s="52" t="s">
        <v>315</v>
      </c>
      <c r="C1648" s="53">
        <v>2014</v>
      </c>
      <c r="D1648" s="52" t="s">
        <v>119</v>
      </c>
      <c r="E1648" s="54">
        <v>7</v>
      </c>
      <c r="F1648" s="55">
        <v>96.8</v>
      </c>
      <c r="G1648" s="55">
        <v>15.66</v>
      </c>
    </row>
    <row r="1649" spans="1:7" ht="10.050000000000001" customHeight="1">
      <c r="A1649" s="52" t="s">
        <v>421</v>
      </c>
      <c r="B1649" s="52" t="s">
        <v>315</v>
      </c>
      <c r="C1649" s="53">
        <v>2014</v>
      </c>
      <c r="D1649" s="52" t="s">
        <v>119</v>
      </c>
      <c r="E1649" s="54">
        <v>8</v>
      </c>
      <c r="F1649" s="55">
        <v>78.400000000000006</v>
      </c>
      <c r="G1649" s="55">
        <v>7.68</v>
      </c>
    </row>
    <row r="1650" spans="1:7" ht="10.050000000000001" customHeight="1">
      <c r="A1650" s="52" t="s">
        <v>421</v>
      </c>
      <c r="B1650" s="52" t="s">
        <v>315</v>
      </c>
      <c r="C1650" s="53">
        <v>2014</v>
      </c>
      <c r="D1650" s="52" t="s">
        <v>119</v>
      </c>
      <c r="E1650" s="54">
        <v>9</v>
      </c>
      <c r="F1650" s="55">
        <v>34.229999999999997</v>
      </c>
      <c r="G1650" s="55">
        <v>16.690000000000001</v>
      </c>
    </row>
    <row r="1651" spans="1:7" ht="10.050000000000001" customHeight="1">
      <c r="A1651" s="52" t="s">
        <v>421</v>
      </c>
      <c r="B1651" s="52" t="s">
        <v>315</v>
      </c>
      <c r="C1651" s="53">
        <v>2014</v>
      </c>
      <c r="D1651" s="52" t="s">
        <v>119</v>
      </c>
      <c r="E1651" s="54">
        <v>10</v>
      </c>
      <c r="F1651" s="55">
        <v>150.41999999999999</v>
      </c>
      <c r="G1651" s="55">
        <v>35.51</v>
      </c>
    </row>
    <row r="1652" spans="1:7" ht="10.050000000000001" customHeight="1">
      <c r="A1652" s="52" t="s">
        <v>421</v>
      </c>
      <c r="B1652" s="52" t="s">
        <v>315</v>
      </c>
      <c r="C1652" s="53">
        <v>2014</v>
      </c>
      <c r="D1652" s="52" t="s">
        <v>119</v>
      </c>
      <c r="E1652" s="54">
        <v>11</v>
      </c>
      <c r="F1652" s="55">
        <v>52.24</v>
      </c>
      <c r="G1652" s="55">
        <v>35.07</v>
      </c>
    </row>
    <row r="1653" spans="1:7" ht="10.050000000000001" customHeight="1">
      <c r="A1653" s="52" t="s">
        <v>421</v>
      </c>
      <c r="B1653" s="52" t="s">
        <v>315</v>
      </c>
      <c r="C1653" s="53">
        <v>2014</v>
      </c>
      <c r="D1653" s="52" t="s">
        <v>119</v>
      </c>
      <c r="E1653" s="54">
        <v>12</v>
      </c>
      <c r="F1653" s="55">
        <v>231.66</v>
      </c>
      <c r="G1653" s="55">
        <v>49.8</v>
      </c>
    </row>
    <row r="1654" spans="1:7" ht="10.050000000000001" customHeight="1">
      <c r="A1654" s="52" t="s">
        <v>421</v>
      </c>
      <c r="B1654" s="52" t="s">
        <v>315</v>
      </c>
      <c r="C1654" s="53">
        <v>2015</v>
      </c>
      <c r="D1654" s="52" t="s">
        <v>119</v>
      </c>
      <c r="E1654" s="54">
        <v>1</v>
      </c>
      <c r="F1654" s="55">
        <v>308.76</v>
      </c>
      <c r="G1654" s="55">
        <v>61.23</v>
      </c>
    </row>
    <row r="1655" spans="1:7" ht="10.050000000000001" customHeight="1">
      <c r="A1655" s="52" t="s">
        <v>421</v>
      </c>
      <c r="B1655" s="52" t="s">
        <v>315</v>
      </c>
      <c r="C1655" s="53">
        <v>2015</v>
      </c>
      <c r="D1655" s="52" t="s">
        <v>119</v>
      </c>
      <c r="E1655" s="54">
        <v>2</v>
      </c>
      <c r="F1655" s="55">
        <v>186.13</v>
      </c>
      <c r="G1655" s="55">
        <v>77.48</v>
      </c>
    </row>
    <row r="1656" spans="1:7" ht="10.050000000000001" customHeight="1">
      <c r="A1656" s="52" t="s">
        <v>421</v>
      </c>
      <c r="B1656" s="52" t="s">
        <v>315</v>
      </c>
      <c r="C1656" s="53">
        <v>2015</v>
      </c>
      <c r="D1656" s="52" t="s">
        <v>119</v>
      </c>
      <c r="E1656" s="54">
        <v>3</v>
      </c>
      <c r="F1656" s="55">
        <v>73.5</v>
      </c>
      <c r="G1656" s="55">
        <v>127.86</v>
      </c>
    </row>
    <row r="1657" spans="1:7" ht="10.050000000000001" customHeight="1">
      <c r="A1657" s="52" t="s">
        <v>421</v>
      </c>
      <c r="B1657" s="52" t="s">
        <v>315</v>
      </c>
      <c r="C1657" s="53">
        <v>2015</v>
      </c>
      <c r="D1657" s="52" t="s">
        <v>119</v>
      </c>
      <c r="E1657" s="54">
        <v>4</v>
      </c>
      <c r="F1657" s="55">
        <v>88.85</v>
      </c>
      <c r="G1657" s="55">
        <v>119.37</v>
      </c>
    </row>
    <row r="1658" spans="1:7" ht="10.050000000000001" customHeight="1">
      <c r="A1658" s="52" t="s">
        <v>421</v>
      </c>
      <c r="B1658" s="52" t="s">
        <v>315</v>
      </c>
      <c r="C1658" s="53">
        <v>2015</v>
      </c>
      <c r="D1658" s="52" t="s">
        <v>119</v>
      </c>
      <c r="E1658" s="54">
        <v>5</v>
      </c>
      <c r="F1658" s="55">
        <v>126</v>
      </c>
      <c r="G1658" s="55">
        <v>132.75</v>
      </c>
    </row>
    <row r="1659" spans="1:7" ht="10.050000000000001" customHeight="1">
      <c r="A1659" s="52" t="s">
        <v>421</v>
      </c>
      <c r="B1659" s="52" t="s">
        <v>315</v>
      </c>
      <c r="C1659" s="53">
        <v>2015</v>
      </c>
      <c r="D1659" s="52" t="s">
        <v>119</v>
      </c>
      <c r="E1659" s="54">
        <v>6</v>
      </c>
      <c r="F1659" s="55">
        <v>92.24</v>
      </c>
      <c r="G1659" s="55">
        <v>86.07</v>
      </c>
    </row>
    <row r="1660" spans="1:7" ht="10.050000000000001" customHeight="1">
      <c r="A1660" s="52" t="s">
        <v>421</v>
      </c>
      <c r="B1660" s="52" t="s">
        <v>315</v>
      </c>
      <c r="C1660" s="53">
        <v>2015</v>
      </c>
      <c r="D1660" s="52" t="s">
        <v>120</v>
      </c>
      <c r="E1660" s="54">
        <v>7</v>
      </c>
      <c r="F1660" s="55">
        <v>48.62</v>
      </c>
      <c r="G1660" s="55">
        <v>52.97</v>
      </c>
    </row>
    <row r="1661" spans="1:7" ht="10.050000000000001" customHeight="1">
      <c r="A1661" s="52" t="s">
        <v>421</v>
      </c>
      <c r="B1661" s="52" t="s">
        <v>315</v>
      </c>
      <c r="C1661" s="53">
        <v>2015</v>
      </c>
      <c r="D1661" s="52" t="s">
        <v>120</v>
      </c>
      <c r="E1661" s="54">
        <v>8</v>
      </c>
      <c r="F1661" s="55">
        <v>8</v>
      </c>
      <c r="G1661" s="55">
        <v>44.97</v>
      </c>
    </row>
    <row r="1662" spans="1:7" ht="10.050000000000001" customHeight="1">
      <c r="A1662" s="52" t="s">
        <v>421</v>
      </c>
      <c r="B1662" s="52" t="s">
        <v>315</v>
      </c>
      <c r="C1662" s="53">
        <v>2015</v>
      </c>
      <c r="D1662" s="52" t="s">
        <v>120</v>
      </c>
      <c r="E1662" s="54">
        <v>9</v>
      </c>
      <c r="F1662" s="55">
        <v>80</v>
      </c>
      <c r="G1662" s="55">
        <v>83.75</v>
      </c>
    </row>
    <row r="1663" spans="1:7" ht="10.050000000000001" customHeight="1">
      <c r="A1663" s="52" t="s">
        <v>421</v>
      </c>
      <c r="B1663" s="52" t="s">
        <v>315</v>
      </c>
      <c r="C1663" s="53">
        <v>2015</v>
      </c>
      <c r="D1663" s="52" t="s">
        <v>120</v>
      </c>
      <c r="E1663" s="54">
        <v>10</v>
      </c>
      <c r="F1663" s="55">
        <v>328.5</v>
      </c>
      <c r="G1663" s="55">
        <v>72.709999999999994</v>
      </c>
    </row>
    <row r="1664" spans="1:7" ht="10.050000000000001" customHeight="1">
      <c r="A1664" s="52" t="s">
        <v>421</v>
      </c>
      <c r="B1664" s="52" t="s">
        <v>315</v>
      </c>
      <c r="C1664" s="53">
        <v>2015</v>
      </c>
      <c r="D1664" s="52" t="s">
        <v>120</v>
      </c>
      <c r="E1664" s="54">
        <v>11</v>
      </c>
      <c r="F1664" s="55">
        <v>113.58</v>
      </c>
      <c r="G1664" s="55">
        <v>87.07</v>
      </c>
    </row>
    <row r="1665" spans="1:7" ht="10.050000000000001" customHeight="1">
      <c r="A1665" s="52" t="s">
        <v>421</v>
      </c>
      <c r="B1665" s="52" t="s">
        <v>315</v>
      </c>
      <c r="C1665" s="53">
        <v>2015</v>
      </c>
      <c r="D1665" s="52" t="s">
        <v>120</v>
      </c>
      <c r="E1665" s="54">
        <v>12</v>
      </c>
      <c r="F1665" s="55">
        <v>151.22</v>
      </c>
      <c r="G1665" s="55">
        <v>3.35</v>
      </c>
    </row>
    <row r="1666" spans="1:7" ht="10.050000000000001" customHeight="1">
      <c r="A1666" s="52" t="s">
        <v>421</v>
      </c>
      <c r="B1666" s="52" t="s">
        <v>315</v>
      </c>
      <c r="C1666" s="53">
        <v>2016</v>
      </c>
      <c r="D1666" s="52" t="s">
        <v>120</v>
      </c>
      <c r="E1666" s="54">
        <v>1</v>
      </c>
      <c r="F1666" s="55">
        <v>13.55</v>
      </c>
      <c r="G1666" s="55">
        <v>9.84</v>
      </c>
    </row>
    <row r="1667" spans="1:7" ht="10.050000000000001" customHeight="1">
      <c r="A1667" s="52" t="s">
        <v>421</v>
      </c>
      <c r="B1667" s="52" t="s">
        <v>315</v>
      </c>
      <c r="C1667" s="53">
        <v>2016</v>
      </c>
      <c r="D1667" s="52" t="s">
        <v>120</v>
      </c>
      <c r="E1667" s="54">
        <v>2</v>
      </c>
      <c r="F1667" s="55">
        <v>79.67</v>
      </c>
      <c r="G1667" s="55">
        <v>7.53</v>
      </c>
    </row>
    <row r="1668" spans="1:7" ht="10.050000000000001" customHeight="1">
      <c r="A1668" s="52" t="s">
        <v>421</v>
      </c>
      <c r="B1668" s="52" t="s">
        <v>315</v>
      </c>
      <c r="C1668" s="53">
        <v>2016</v>
      </c>
      <c r="D1668" s="52" t="s">
        <v>120</v>
      </c>
      <c r="E1668" s="54">
        <v>3</v>
      </c>
      <c r="F1668" s="55">
        <v>96.28</v>
      </c>
      <c r="G1668" s="55">
        <v>6.89</v>
      </c>
    </row>
    <row r="1669" spans="1:7" ht="10.050000000000001" customHeight="1">
      <c r="A1669" s="52" t="s">
        <v>421</v>
      </c>
      <c r="B1669" s="52" t="s">
        <v>315</v>
      </c>
      <c r="C1669" s="53">
        <v>2016</v>
      </c>
      <c r="D1669" s="52" t="s">
        <v>120</v>
      </c>
      <c r="E1669" s="54">
        <v>4</v>
      </c>
      <c r="F1669" s="55">
        <v>39.54</v>
      </c>
      <c r="G1669" s="55">
        <v>14.69</v>
      </c>
    </row>
    <row r="1670" spans="1:7" ht="10.050000000000001" customHeight="1">
      <c r="A1670" s="52" t="s">
        <v>421</v>
      </c>
      <c r="B1670" s="52" t="s">
        <v>315</v>
      </c>
      <c r="C1670" s="53">
        <v>2016</v>
      </c>
      <c r="D1670" s="52" t="s">
        <v>120</v>
      </c>
      <c r="E1670" s="54">
        <v>5</v>
      </c>
      <c r="F1670" s="55">
        <v>146.86000000000001</v>
      </c>
      <c r="G1670" s="55">
        <v>15.05</v>
      </c>
    </row>
    <row r="1671" spans="1:7" ht="10.050000000000001" customHeight="1">
      <c r="A1671" s="52" t="s">
        <v>421</v>
      </c>
      <c r="B1671" s="52" t="s">
        <v>315</v>
      </c>
      <c r="C1671" s="53">
        <v>2016</v>
      </c>
      <c r="D1671" s="52" t="s">
        <v>120</v>
      </c>
      <c r="E1671" s="54">
        <v>6</v>
      </c>
      <c r="F1671" s="55">
        <v>49.72</v>
      </c>
      <c r="G1671" s="55">
        <v>9.6300000000000008</v>
      </c>
    </row>
    <row r="1672" spans="1:7" ht="10.050000000000001" customHeight="1">
      <c r="A1672" s="52" t="s">
        <v>421</v>
      </c>
      <c r="B1672" s="52" t="s">
        <v>315</v>
      </c>
      <c r="C1672" s="53">
        <v>2016</v>
      </c>
      <c r="D1672" s="52" t="s">
        <v>121</v>
      </c>
      <c r="E1672" s="54">
        <v>7</v>
      </c>
      <c r="F1672" s="55">
        <v>2</v>
      </c>
      <c r="G1672" s="55">
        <v>7.63</v>
      </c>
    </row>
    <row r="1673" spans="1:7" ht="10.050000000000001" customHeight="1">
      <c r="A1673" s="52" t="s">
        <v>421</v>
      </c>
      <c r="B1673" s="52" t="s">
        <v>315</v>
      </c>
      <c r="C1673" s="53">
        <v>2016</v>
      </c>
      <c r="D1673" s="52" t="s">
        <v>121</v>
      </c>
      <c r="E1673" s="54">
        <v>8</v>
      </c>
      <c r="F1673" s="55">
        <v>25.2</v>
      </c>
      <c r="G1673" s="55">
        <v>21.31</v>
      </c>
    </row>
    <row r="1674" spans="1:7" ht="10.050000000000001" customHeight="1">
      <c r="A1674" s="52" t="s">
        <v>421</v>
      </c>
      <c r="B1674" s="52" t="s">
        <v>315</v>
      </c>
      <c r="C1674" s="53">
        <v>2016</v>
      </c>
      <c r="D1674" s="52" t="s">
        <v>121</v>
      </c>
      <c r="E1674" s="54">
        <v>9</v>
      </c>
      <c r="F1674" s="55">
        <v>52.82</v>
      </c>
      <c r="G1674" s="55">
        <v>13.07</v>
      </c>
    </row>
    <row r="1675" spans="1:7" ht="10.050000000000001" customHeight="1">
      <c r="A1675" s="52" t="s">
        <v>421</v>
      </c>
      <c r="B1675" s="52" t="s">
        <v>315</v>
      </c>
      <c r="C1675" s="53">
        <v>2016</v>
      </c>
      <c r="D1675" s="52" t="s">
        <v>121</v>
      </c>
      <c r="E1675" s="54">
        <v>10</v>
      </c>
      <c r="F1675" s="55">
        <v>9.2799999999999994</v>
      </c>
      <c r="G1675" s="55">
        <v>19.21</v>
      </c>
    </row>
    <row r="1676" spans="1:7" ht="10.050000000000001" customHeight="1">
      <c r="A1676" s="52" t="s">
        <v>421</v>
      </c>
      <c r="B1676" s="52" t="s">
        <v>315</v>
      </c>
      <c r="C1676" s="53">
        <v>2016</v>
      </c>
      <c r="D1676" s="52" t="s">
        <v>121</v>
      </c>
      <c r="E1676" s="54">
        <v>11</v>
      </c>
      <c r="F1676" s="55">
        <v>21.6</v>
      </c>
      <c r="G1676" s="55">
        <v>12.21</v>
      </c>
    </row>
    <row r="1677" spans="1:7" ht="10.050000000000001" customHeight="1">
      <c r="A1677" s="52" t="s">
        <v>421</v>
      </c>
      <c r="B1677" s="52" t="s">
        <v>315</v>
      </c>
      <c r="C1677" s="53">
        <v>2016</v>
      </c>
      <c r="D1677" s="52" t="s">
        <v>121</v>
      </c>
      <c r="E1677" s="54">
        <v>12</v>
      </c>
      <c r="F1677" s="55">
        <v>36.53</v>
      </c>
      <c r="G1677" s="55">
        <v>5.46</v>
      </c>
    </row>
    <row r="1678" spans="1:7" ht="10.050000000000001" customHeight="1">
      <c r="A1678" s="52" t="s">
        <v>421</v>
      </c>
      <c r="B1678" s="52" t="s">
        <v>315</v>
      </c>
      <c r="C1678" s="53">
        <v>2017</v>
      </c>
      <c r="D1678" s="52" t="s">
        <v>121</v>
      </c>
      <c r="E1678" s="54">
        <v>1</v>
      </c>
      <c r="F1678" s="55">
        <v>30.3</v>
      </c>
      <c r="G1678" s="55">
        <v>8.5</v>
      </c>
    </row>
    <row r="1679" spans="1:7" ht="10.050000000000001" customHeight="1">
      <c r="A1679" s="52" t="s">
        <v>421</v>
      </c>
      <c r="B1679" s="52" t="s">
        <v>315</v>
      </c>
      <c r="C1679" s="53">
        <v>2017</v>
      </c>
      <c r="D1679" s="52" t="s">
        <v>121</v>
      </c>
      <c r="E1679" s="54">
        <v>2</v>
      </c>
      <c r="F1679" s="55">
        <v>7.88</v>
      </c>
      <c r="G1679" s="55">
        <v>11.14</v>
      </c>
    </row>
    <row r="1680" spans="1:7" ht="10.050000000000001" customHeight="1">
      <c r="A1680" s="52" t="s">
        <v>421</v>
      </c>
      <c r="B1680" s="52" t="s">
        <v>315</v>
      </c>
      <c r="C1680" s="53">
        <v>2017</v>
      </c>
      <c r="D1680" s="52" t="s">
        <v>121</v>
      </c>
      <c r="E1680" s="54">
        <v>3</v>
      </c>
      <c r="F1680" s="55">
        <v>16.68</v>
      </c>
      <c r="G1680" s="55">
        <v>4.8</v>
      </c>
    </row>
    <row r="1681" spans="1:7" ht="10.050000000000001" customHeight="1">
      <c r="A1681" s="52" t="s">
        <v>421</v>
      </c>
      <c r="B1681" s="52" t="s">
        <v>315</v>
      </c>
      <c r="C1681" s="53">
        <v>2017</v>
      </c>
      <c r="D1681" s="52" t="s">
        <v>121</v>
      </c>
      <c r="E1681" s="54">
        <v>4</v>
      </c>
      <c r="F1681" s="55">
        <v>4.8</v>
      </c>
      <c r="G1681" s="55">
        <v>0</v>
      </c>
    </row>
    <row r="1682" spans="1:7" ht="10.050000000000001" customHeight="1">
      <c r="A1682" s="52" t="s">
        <v>421</v>
      </c>
      <c r="B1682" s="52" t="s">
        <v>315</v>
      </c>
      <c r="C1682" s="53">
        <v>2017</v>
      </c>
      <c r="D1682" s="52" t="s">
        <v>121</v>
      </c>
      <c r="E1682" s="54">
        <v>5</v>
      </c>
      <c r="F1682" s="55">
        <v>7</v>
      </c>
      <c r="G1682" s="55">
        <v>5.4</v>
      </c>
    </row>
    <row r="1683" spans="1:7" ht="10.050000000000001" customHeight="1">
      <c r="A1683" s="52" t="s">
        <v>421</v>
      </c>
      <c r="B1683" s="52" t="s">
        <v>315</v>
      </c>
      <c r="C1683" s="53">
        <v>2017</v>
      </c>
      <c r="D1683" s="52" t="s">
        <v>121</v>
      </c>
      <c r="E1683" s="54">
        <v>6</v>
      </c>
      <c r="F1683" s="55">
        <v>0</v>
      </c>
      <c r="G1683" s="55">
        <v>5.4</v>
      </c>
    </row>
    <row r="1684" spans="1:7" ht="10.050000000000001" customHeight="1">
      <c r="A1684" s="52" t="s">
        <v>421</v>
      </c>
      <c r="B1684" s="52" t="s">
        <v>315</v>
      </c>
      <c r="C1684" s="53">
        <v>2017</v>
      </c>
      <c r="D1684" s="52" t="s">
        <v>122</v>
      </c>
      <c r="E1684" s="54">
        <v>7</v>
      </c>
      <c r="F1684" s="55">
        <v>5.4</v>
      </c>
      <c r="G1684" s="55">
        <v>0</v>
      </c>
    </row>
    <row r="1685" spans="1:7" ht="10.050000000000001" customHeight="1">
      <c r="A1685" s="52" t="s">
        <v>421</v>
      </c>
      <c r="B1685" s="52" t="s">
        <v>315</v>
      </c>
      <c r="C1685" s="53">
        <v>2018</v>
      </c>
      <c r="D1685" s="52" t="s">
        <v>122</v>
      </c>
      <c r="E1685" s="54">
        <v>3</v>
      </c>
      <c r="F1685" s="55">
        <v>25</v>
      </c>
      <c r="G1685" s="55">
        <v>0</v>
      </c>
    </row>
    <row r="1686" spans="1:7" ht="10.050000000000001" customHeight="1">
      <c r="A1686" s="52" t="s">
        <v>421</v>
      </c>
      <c r="B1686" s="52" t="s">
        <v>315</v>
      </c>
      <c r="C1686" s="53">
        <v>2018</v>
      </c>
      <c r="D1686" s="52" t="s">
        <v>122</v>
      </c>
      <c r="E1686" s="54">
        <v>4</v>
      </c>
      <c r="F1686" s="55">
        <v>25</v>
      </c>
      <c r="G1686" s="55">
        <v>0</v>
      </c>
    </row>
    <row r="1687" spans="1:7" ht="10.050000000000001" customHeight="1">
      <c r="A1687" s="52" t="s">
        <v>421</v>
      </c>
      <c r="B1687" s="52" t="s">
        <v>315</v>
      </c>
      <c r="C1687" s="53">
        <v>2019</v>
      </c>
      <c r="D1687" s="52" t="s">
        <v>123</v>
      </c>
      <c r="E1687" s="54">
        <v>2</v>
      </c>
      <c r="F1687" s="55">
        <v>3.68</v>
      </c>
      <c r="G1687" s="55">
        <v>0</v>
      </c>
    </row>
    <row r="1688" spans="1:7" ht="10.050000000000001" customHeight="1">
      <c r="A1688" s="52" t="s">
        <v>421</v>
      </c>
      <c r="B1688" s="52" t="s">
        <v>315</v>
      </c>
      <c r="C1688" s="53">
        <v>2019</v>
      </c>
      <c r="D1688" s="52" t="s">
        <v>123</v>
      </c>
      <c r="E1688" s="54">
        <v>3</v>
      </c>
      <c r="F1688" s="55">
        <v>19.98</v>
      </c>
      <c r="G1688" s="55">
        <v>0</v>
      </c>
    </row>
    <row r="1689" spans="1:7" ht="10.050000000000001" customHeight="1">
      <c r="A1689" s="52" t="s">
        <v>421</v>
      </c>
      <c r="B1689" s="52" t="s">
        <v>315</v>
      </c>
      <c r="C1689" s="53">
        <v>2019</v>
      </c>
      <c r="D1689" s="52" t="s">
        <v>123</v>
      </c>
      <c r="E1689" s="54">
        <v>4</v>
      </c>
      <c r="F1689" s="55">
        <v>4.92</v>
      </c>
      <c r="G1689" s="55">
        <v>0</v>
      </c>
    </row>
    <row r="1690" spans="1:7" ht="10.050000000000001" customHeight="1">
      <c r="A1690" s="52" t="s">
        <v>421</v>
      </c>
      <c r="B1690" s="52" t="s">
        <v>315</v>
      </c>
      <c r="C1690" s="53">
        <v>2019</v>
      </c>
      <c r="D1690" s="52" t="s">
        <v>124</v>
      </c>
      <c r="E1690" s="54">
        <v>7</v>
      </c>
      <c r="F1690" s="55">
        <v>11</v>
      </c>
      <c r="G1690" s="55">
        <v>0</v>
      </c>
    </row>
    <row r="1691" spans="1:7" ht="10.050000000000001" customHeight="1">
      <c r="A1691" s="52" t="s">
        <v>421</v>
      </c>
      <c r="B1691" s="52" t="s">
        <v>315</v>
      </c>
      <c r="C1691" s="53">
        <v>2019</v>
      </c>
      <c r="D1691" s="52" t="s">
        <v>124</v>
      </c>
      <c r="E1691" s="54">
        <v>8</v>
      </c>
      <c r="F1691" s="55">
        <v>10</v>
      </c>
      <c r="G1691" s="55">
        <v>0</v>
      </c>
    </row>
    <row r="1692" spans="1:7" ht="10.050000000000001" customHeight="1">
      <c r="A1692" s="52" t="s">
        <v>421</v>
      </c>
      <c r="B1692" s="52" t="s">
        <v>315</v>
      </c>
      <c r="C1692" s="53">
        <v>2019</v>
      </c>
      <c r="D1692" s="52" t="s">
        <v>124</v>
      </c>
      <c r="E1692" s="54">
        <v>9</v>
      </c>
      <c r="F1692" s="55">
        <v>4</v>
      </c>
      <c r="G1692" s="55">
        <v>0</v>
      </c>
    </row>
    <row r="1693" spans="1:7" ht="10.050000000000001" customHeight="1">
      <c r="A1693" s="52" t="s">
        <v>421</v>
      </c>
      <c r="B1693" s="52" t="s">
        <v>315</v>
      </c>
      <c r="C1693" s="53">
        <v>2019</v>
      </c>
      <c r="D1693" s="52" t="s">
        <v>124</v>
      </c>
      <c r="E1693" s="54">
        <v>10</v>
      </c>
      <c r="F1693" s="55">
        <v>19.059999999999999</v>
      </c>
      <c r="G1693" s="55">
        <v>0</v>
      </c>
    </row>
    <row r="1694" spans="1:7" ht="10.050000000000001" customHeight="1">
      <c r="A1694" s="52" t="s">
        <v>421</v>
      </c>
      <c r="B1694" s="52" t="s">
        <v>315</v>
      </c>
      <c r="C1694" s="53">
        <v>2019</v>
      </c>
      <c r="D1694" s="52" t="s">
        <v>124</v>
      </c>
      <c r="E1694" s="54">
        <v>11</v>
      </c>
      <c r="F1694" s="55">
        <v>4.5</v>
      </c>
      <c r="G1694" s="55">
        <v>0</v>
      </c>
    </row>
    <row r="1695" spans="1:7" ht="10.050000000000001" customHeight="1">
      <c r="A1695" s="52" t="s">
        <v>421</v>
      </c>
      <c r="B1695" s="52" t="s">
        <v>315</v>
      </c>
      <c r="C1695" s="53">
        <v>2019</v>
      </c>
      <c r="D1695" s="52" t="s">
        <v>124</v>
      </c>
      <c r="E1695" s="54">
        <v>12</v>
      </c>
      <c r="F1695" s="55">
        <v>4.74</v>
      </c>
      <c r="G1695" s="55">
        <v>0</v>
      </c>
    </row>
    <row r="1696" spans="1:7" ht="10.050000000000001" customHeight="1">
      <c r="A1696" s="52" t="s">
        <v>421</v>
      </c>
      <c r="B1696" s="52" t="s">
        <v>315</v>
      </c>
      <c r="C1696" s="53">
        <v>2020</v>
      </c>
      <c r="D1696" s="52" t="s">
        <v>124</v>
      </c>
      <c r="E1696" s="54">
        <v>1</v>
      </c>
      <c r="F1696" s="55">
        <v>26.1</v>
      </c>
      <c r="G1696" s="55">
        <v>31.81</v>
      </c>
    </row>
    <row r="1697" spans="1:7" ht="10.050000000000001" customHeight="1">
      <c r="A1697" s="52" t="s">
        <v>421</v>
      </c>
      <c r="B1697" s="52" t="s">
        <v>315</v>
      </c>
      <c r="C1697" s="53">
        <v>2020</v>
      </c>
      <c r="D1697" s="52" t="s">
        <v>124</v>
      </c>
      <c r="E1697" s="54">
        <v>2</v>
      </c>
      <c r="F1697" s="55">
        <v>14.5</v>
      </c>
      <c r="G1697" s="55">
        <v>37.090000000000003</v>
      </c>
    </row>
    <row r="1698" spans="1:7" ht="10.050000000000001" customHeight="1">
      <c r="A1698" s="52" t="s">
        <v>421</v>
      </c>
      <c r="B1698" s="52" t="s">
        <v>315</v>
      </c>
      <c r="C1698" s="53">
        <v>2020</v>
      </c>
      <c r="D1698" s="52" t="s">
        <v>124</v>
      </c>
      <c r="E1698" s="54">
        <v>3</v>
      </c>
      <c r="F1698" s="55">
        <v>0</v>
      </c>
      <c r="G1698" s="55">
        <v>37.090000000000003</v>
      </c>
    </row>
    <row r="1699" spans="1:7" ht="10.050000000000001" customHeight="1">
      <c r="A1699" s="52" t="s">
        <v>421</v>
      </c>
      <c r="B1699" s="52" t="s">
        <v>315</v>
      </c>
      <c r="C1699" s="53">
        <v>2020</v>
      </c>
      <c r="D1699" s="52" t="s">
        <v>124</v>
      </c>
      <c r="E1699" s="54">
        <v>4</v>
      </c>
      <c r="F1699" s="55">
        <v>10.1</v>
      </c>
      <c r="G1699" s="55">
        <v>42.03</v>
      </c>
    </row>
    <row r="1700" spans="1:7" ht="10.050000000000001" customHeight="1">
      <c r="A1700" s="52" t="s">
        <v>421</v>
      </c>
      <c r="B1700" s="52" t="s">
        <v>315</v>
      </c>
      <c r="C1700" s="53">
        <v>2020</v>
      </c>
      <c r="D1700" s="52" t="s">
        <v>124</v>
      </c>
      <c r="E1700" s="54">
        <v>5</v>
      </c>
      <c r="F1700" s="55">
        <v>16.399999999999999</v>
      </c>
      <c r="G1700" s="55">
        <v>39.450000000000003</v>
      </c>
    </row>
    <row r="1701" spans="1:7" ht="10.050000000000001" customHeight="1">
      <c r="A1701" s="52" t="s">
        <v>421</v>
      </c>
      <c r="B1701" s="52" t="s">
        <v>315</v>
      </c>
      <c r="C1701" s="53">
        <v>2020</v>
      </c>
      <c r="D1701" s="52" t="s">
        <v>124</v>
      </c>
      <c r="E1701" s="54">
        <v>6</v>
      </c>
      <c r="F1701" s="55">
        <v>4.8</v>
      </c>
      <c r="G1701" s="55">
        <v>39.450000000000003</v>
      </c>
    </row>
    <row r="1702" spans="1:7" ht="10.050000000000001" customHeight="1">
      <c r="A1702" s="52" t="s">
        <v>421</v>
      </c>
      <c r="B1702" s="52" t="s">
        <v>315</v>
      </c>
      <c r="C1702" s="53">
        <v>2020</v>
      </c>
      <c r="D1702" s="52" t="s">
        <v>125</v>
      </c>
      <c r="E1702" s="54">
        <v>7</v>
      </c>
      <c r="F1702" s="55">
        <v>23.9</v>
      </c>
      <c r="G1702" s="55">
        <v>41.03</v>
      </c>
    </row>
    <row r="1703" spans="1:7" ht="10.050000000000001" customHeight="1">
      <c r="A1703" s="52" t="s">
        <v>421</v>
      </c>
      <c r="B1703" s="52" t="s">
        <v>315</v>
      </c>
      <c r="C1703" s="53">
        <v>2020</v>
      </c>
      <c r="D1703" s="52" t="s">
        <v>125</v>
      </c>
      <c r="E1703" s="54">
        <v>8</v>
      </c>
      <c r="F1703" s="55">
        <v>18.75</v>
      </c>
      <c r="G1703" s="55">
        <v>41.03</v>
      </c>
    </row>
    <row r="1704" spans="1:7" ht="10.050000000000001" customHeight="1">
      <c r="A1704" s="52" t="s">
        <v>421</v>
      </c>
      <c r="B1704" s="52" t="s">
        <v>315</v>
      </c>
      <c r="C1704" s="53">
        <v>2020</v>
      </c>
      <c r="D1704" s="52" t="s">
        <v>125</v>
      </c>
      <c r="E1704" s="54">
        <v>9</v>
      </c>
      <c r="F1704" s="55">
        <v>26.8</v>
      </c>
      <c r="G1704" s="55">
        <v>42.79</v>
      </c>
    </row>
    <row r="1705" spans="1:7" ht="10.050000000000001" customHeight="1">
      <c r="A1705" s="52" t="s">
        <v>421</v>
      </c>
      <c r="B1705" s="52" t="s">
        <v>315</v>
      </c>
      <c r="C1705" s="53">
        <v>2020</v>
      </c>
      <c r="D1705" s="52" t="s">
        <v>125</v>
      </c>
      <c r="E1705" s="54">
        <v>10</v>
      </c>
      <c r="F1705" s="55">
        <v>20.7</v>
      </c>
      <c r="G1705" s="55">
        <v>54.07</v>
      </c>
    </row>
    <row r="1706" spans="1:7" ht="10.050000000000001" customHeight="1">
      <c r="A1706" s="52" t="s">
        <v>421</v>
      </c>
      <c r="B1706" s="52" t="s">
        <v>315</v>
      </c>
      <c r="C1706" s="53">
        <v>2020</v>
      </c>
      <c r="D1706" s="52" t="s">
        <v>125</v>
      </c>
      <c r="E1706" s="54">
        <v>11</v>
      </c>
      <c r="F1706" s="55">
        <v>29.25</v>
      </c>
      <c r="G1706" s="55">
        <v>56.74</v>
      </c>
    </row>
    <row r="1707" spans="1:7" ht="10.050000000000001" customHeight="1">
      <c r="A1707" s="52" t="s">
        <v>421</v>
      </c>
      <c r="B1707" s="52" t="s">
        <v>315</v>
      </c>
      <c r="C1707" s="53">
        <v>2020</v>
      </c>
      <c r="D1707" s="52" t="s">
        <v>125</v>
      </c>
      <c r="E1707" s="54">
        <v>12</v>
      </c>
      <c r="F1707" s="55">
        <v>13.66</v>
      </c>
      <c r="G1707" s="55">
        <v>61.375</v>
      </c>
    </row>
    <row r="1708" spans="1:7" ht="10.050000000000001" customHeight="1">
      <c r="A1708" s="52" t="s">
        <v>421</v>
      </c>
      <c r="B1708" s="52" t="s">
        <v>315</v>
      </c>
      <c r="C1708" s="53">
        <v>2021</v>
      </c>
      <c r="D1708" s="52" t="s">
        <v>125</v>
      </c>
      <c r="E1708" s="54">
        <v>1</v>
      </c>
      <c r="F1708" s="55">
        <v>20.18</v>
      </c>
      <c r="G1708" s="55">
        <v>50.1</v>
      </c>
    </row>
    <row r="1709" spans="1:7" ht="10.050000000000001" customHeight="1">
      <c r="A1709" s="52" t="s">
        <v>421</v>
      </c>
      <c r="B1709" s="52" t="s">
        <v>315</v>
      </c>
      <c r="C1709" s="53">
        <v>2021</v>
      </c>
      <c r="D1709" s="52" t="s">
        <v>125</v>
      </c>
      <c r="E1709" s="54">
        <v>2</v>
      </c>
      <c r="F1709" s="55">
        <v>4.51</v>
      </c>
      <c r="G1709" s="55">
        <v>61.075000000000003</v>
      </c>
    </row>
    <row r="1710" spans="1:7" ht="10.050000000000001" customHeight="1">
      <c r="A1710" s="52" t="s">
        <v>421</v>
      </c>
      <c r="B1710" s="52" t="s">
        <v>315</v>
      </c>
      <c r="C1710" s="53">
        <v>2021</v>
      </c>
      <c r="D1710" s="52" t="s">
        <v>125</v>
      </c>
      <c r="E1710" s="54">
        <v>3</v>
      </c>
      <c r="F1710" s="55">
        <v>10.58</v>
      </c>
      <c r="G1710" s="55">
        <v>66.295000000000002</v>
      </c>
    </row>
    <row r="1711" spans="1:7" ht="10.050000000000001" customHeight="1">
      <c r="A1711" s="52" t="s">
        <v>421</v>
      </c>
      <c r="B1711" s="52" t="s">
        <v>315</v>
      </c>
      <c r="C1711" s="53">
        <v>2021</v>
      </c>
      <c r="D1711" s="52" t="s">
        <v>125</v>
      </c>
      <c r="E1711" s="54">
        <v>4</v>
      </c>
      <c r="F1711" s="55">
        <v>11.31</v>
      </c>
      <c r="G1711" s="55">
        <v>55.445</v>
      </c>
    </row>
    <row r="1712" spans="1:7" ht="10.050000000000001" customHeight="1">
      <c r="A1712" s="52" t="s">
        <v>421</v>
      </c>
      <c r="B1712" s="52" t="s">
        <v>315</v>
      </c>
      <c r="C1712" s="53">
        <v>2021</v>
      </c>
      <c r="D1712" s="52" t="s">
        <v>125</v>
      </c>
      <c r="E1712" s="54">
        <v>5</v>
      </c>
      <c r="F1712" s="55">
        <v>22.01</v>
      </c>
      <c r="G1712" s="55">
        <v>65.495000000000005</v>
      </c>
    </row>
    <row r="1713" spans="1:7" ht="10.050000000000001" customHeight="1">
      <c r="A1713" s="52" t="s">
        <v>421</v>
      </c>
      <c r="B1713" s="52" t="s">
        <v>315</v>
      </c>
      <c r="C1713" s="53">
        <v>2021</v>
      </c>
      <c r="D1713" s="52" t="s">
        <v>125</v>
      </c>
      <c r="E1713" s="54">
        <v>6</v>
      </c>
      <c r="F1713" s="55">
        <v>9.86</v>
      </c>
      <c r="G1713" s="55">
        <v>57.935000000000002</v>
      </c>
    </row>
    <row r="1714" spans="1:7" ht="10.050000000000001" customHeight="1">
      <c r="A1714" s="52" t="s">
        <v>421</v>
      </c>
      <c r="B1714" s="52" t="s">
        <v>315</v>
      </c>
      <c r="C1714" s="53">
        <v>2021</v>
      </c>
      <c r="D1714" s="52" t="s">
        <v>126</v>
      </c>
      <c r="E1714" s="54">
        <v>7</v>
      </c>
      <c r="F1714" s="55">
        <v>13.92</v>
      </c>
      <c r="G1714" s="55">
        <v>69.174999999999997</v>
      </c>
    </row>
    <row r="1715" spans="1:7" ht="10.050000000000001" customHeight="1">
      <c r="A1715" s="52" t="s">
        <v>421</v>
      </c>
      <c r="B1715" s="52" t="s">
        <v>315</v>
      </c>
      <c r="C1715" s="53">
        <v>2021</v>
      </c>
      <c r="D1715" s="52" t="s">
        <v>126</v>
      </c>
      <c r="E1715" s="54">
        <v>8</v>
      </c>
      <c r="F1715" s="55">
        <v>24.6</v>
      </c>
      <c r="G1715" s="55">
        <v>69.174999999999997</v>
      </c>
    </row>
    <row r="1716" spans="1:7" ht="10.050000000000001" customHeight="1">
      <c r="A1716" s="52" t="s">
        <v>421</v>
      </c>
      <c r="B1716" s="52" t="s">
        <v>315</v>
      </c>
      <c r="C1716" s="53">
        <v>2021</v>
      </c>
      <c r="D1716" s="52" t="s">
        <v>126</v>
      </c>
      <c r="E1716" s="54">
        <v>9</v>
      </c>
      <c r="F1716" s="55">
        <v>23.5</v>
      </c>
      <c r="G1716" s="55">
        <v>79.754999999999995</v>
      </c>
    </row>
    <row r="1717" spans="1:7" ht="10.050000000000001" customHeight="1">
      <c r="A1717" s="52" t="s">
        <v>421</v>
      </c>
      <c r="B1717" s="52" t="s">
        <v>315</v>
      </c>
      <c r="C1717" s="53">
        <v>2021</v>
      </c>
      <c r="D1717" s="52" t="s">
        <v>126</v>
      </c>
      <c r="E1717" s="54">
        <v>10</v>
      </c>
      <c r="F1717" s="55">
        <v>20.9</v>
      </c>
      <c r="G1717" s="55">
        <v>64.855000000000004</v>
      </c>
    </row>
    <row r="1718" spans="1:7" ht="10.050000000000001" customHeight="1">
      <c r="A1718" s="52" t="s">
        <v>421</v>
      </c>
      <c r="B1718" s="52" t="s">
        <v>315</v>
      </c>
      <c r="C1718" s="53">
        <v>2021</v>
      </c>
      <c r="D1718" s="52" t="s">
        <v>126</v>
      </c>
      <c r="E1718" s="54">
        <v>11</v>
      </c>
      <c r="F1718" s="55">
        <v>25.05</v>
      </c>
      <c r="G1718" s="55">
        <v>82.174999999999997</v>
      </c>
    </row>
    <row r="1719" spans="1:7" ht="10.050000000000001" customHeight="1">
      <c r="A1719" s="52" t="s">
        <v>421</v>
      </c>
      <c r="B1719" s="52" t="s">
        <v>315</v>
      </c>
      <c r="C1719" s="53">
        <v>2021</v>
      </c>
      <c r="D1719" s="52" t="s">
        <v>126</v>
      </c>
      <c r="E1719" s="54">
        <v>12</v>
      </c>
      <c r="F1719" s="55">
        <v>16.71</v>
      </c>
      <c r="G1719" s="55">
        <v>73.739999999999995</v>
      </c>
    </row>
    <row r="1720" spans="1:7" ht="10.050000000000001" customHeight="1">
      <c r="A1720" s="52" t="s">
        <v>421</v>
      </c>
      <c r="B1720" s="52" t="s">
        <v>315</v>
      </c>
      <c r="C1720" s="53">
        <v>2022</v>
      </c>
      <c r="D1720" s="52" t="s">
        <v>126</v>
      </c>
      <c r="E1720" s="54">
        <v>1</v>
      </c>
      <c r="F1720" s="55">
        <v>12.03</v>
      </c>
      <c r="G1720" s="55">
        <v>73.33</v>
      </c>
    </row>
    <row r="1721" spans="1:7" ht="10.050000000000001" customHeight="1">
      <c r="A1721" s="52" t="s">
        <v>421</v>
      </c>
      <c r="B1721" s="52" t="s">
        <v>315</v>
      </c>
      <c r="C1721" s="53">
        <v>2022</v>
      </c>
      <c r="D1721" s="52" t="s">
        <v>126</v>
      </c>
      <c r="E1721" s="54">
        <v>2</v>
      </c>
      <c r="F1721" s="55">
        <v>17.7</v>
      </c>
      <c r="G1721" s="55">
        <v>132.553</v>
      </c>
    </row>
    <row r="1722" spans="1:7" ht="10.050000000000001" customHeight="1">
      <c r="A1722" s="52" t="s">
        <v>421</v>
      </c>
      <c r="B1722" s="52" t="s">
        <v>315</v>
      </c>
      <c r="C1722" s="53">
        <v>2022</v>
      </c>
      <c r="D1722" s="52" t="s">
        <v>126</v>
      </c>
      <c r="E1722" s="54">
        <v>3</v>
      </c>
      <c r="F1722" s="55">
        <v>0</v>
      </c>
      <c r="G1722" s="55">
        <v>119.63800000000001</v>
      </c>
    </row>
    <row r="1723" spans="1:7" ht="10.050000000000001" customHeight="1">
      <c r="A1723" s="52" t="s">
        <v>421</v>
      </c>
      <c r="B1723" s="52" t="s">
        <v>315</v>
      </c>
      <c r="C1723" s="53">
        <v>2022</v>
      </c>
      <c r="D1723" s="52" t="s">
        <v>126</v>
      </c>
      <c r="E1723" s="54">
        <v>4</v>
      </c>
      <c r="F1723" s="55">
        <v>12.532</v>
      </c>
      <c r="G1723" s="55">
        <v>122.07599999999999</v>
      </c>
    </row>
    <row r="1724" spans="1:7" ht="10.050000000000001" customHeight="1">
      <c r="A1724" s="52" t="s">
        <v>421</v>
      </c>
      <c r="B1724" s="52" t="s">
        <v>315</v>
      </c>
      <c r="C1724" s="53">
        <v>2022</v>
      </c>
      <c r="D1724" s="52" t="s">
        <v>126</v>
      </c>
      <c r="E1724" s="54">
        <v>5</v>
      </c>
      <c r="F1724" s="55">
        <v>6.5540000000000003</v>
      </c>
      <c r="G1724" s="55">
        <v>120.252</v>
      </c>
    </row>
    <row r="1725" spans="1:7" ht="10.050000000000001" customHeight="1">
      <c r="A1725" s="52" t="s">
        <v>421</v>
      </c>
      <c r="B1725" s="52" t="s">
        <v>315</v>
      </c>
      <c r="C1725" s="53">
        <v>2022</v>
      </c>
      <c r="D1725" s="52" t="s">
        <v>126</v>
      </c>
      <c r="E1725" s="54">
        <v>6</v>
      </c>
      <c r="F1725" s="55">
        <v>16.012</v>
      </c>
      <c r="G1725" s="55">
        <v>118.42</v>
      </c>
    </row>
    <row r="1726" spans="1:7" ht="10.050000000000001" customHeight="1">
      <c r="A1726" s="52" t="s">
        <v>421</v>
      </c>
      <c r="B1726" s="52" t="s">
        <v>315</v>
      </c>
      <c r="C1726" s="53">
        <v>2022</v>
      </c>
      <c r="D1726" s="52" t="s">
        <v>127</v>
      </c>
      <c r="E1726" s="54">
        <v>7</v>
      </c>
      <c r="F1726" s="55">
        <v>21.75</v>
      </c>
      <c r="G1726" s="55">
        <v>133.91999999999999</v>
      </c>
    </row>
    <row r="1727" spans="1:7" ht="10.050000000000001" customHeight="1">
      <c r="A1727" s="52" t="s">
        <v>421</v>
      </c>
      <c r="B1727" s="52" t="s">
        <v>315</v>
      </c>
      <c r="C1727" s="53">
        <v>2022</v>
      </c>
      <c r="D1727" s="52" t="s">
        <v>127</v>
      </c>
      <c r="E1727" s="54">
        <v>8</v>
      </c>
      <c r="F1727" s="55">
        <v>37.58</v>
      </c>
      <c r="G1727" s="55">
        <v>128.52000000000001</v>
      </c>
    </row>
    <row r="1728" spans="1:7" ht="10.050000000000001" customHeight="1">
      <c r="A1728" s="52" t="s">
        <v>421</v>
      </c>
      <c r="B1728" s="52" t="s">
        <v>315</v>
      </c>
      <c r="C1728" s="53">
        <v>2022</v>
      </c>
      <c r="D1728" s="52" t="s">
        <v>127</v>
      </c>
      <c r="E1728" s="54">
        <v>9</v>
      </c>
      <c r="F1728" s="55">
        <v>17.940000000000001</v>
      </c>
      <c r="G1728" s="55">
        <v>127.92</v>
      </c>
    </row>
    <row r="1729" spans="1:7" ht="10.050000000000001" customHeight="1">
      <c r="A1729" s="52" t="s">
        <v>421</v>
      </c>
      <c r="B1729" s="52" t="s">
        <v>315</v>
      </c>
      <c r="C1729" s="53">
        <v>2022</v>
      </c>
      <c r="D1729" s="52" t="s">
        <v>127</v>
      </c>
      <c r="E1729" s="54">
        <v>10</v>
      </c>
      <c r="F1729" s="55">
        <v>40.436</v>
      </c>
      <c r="G1729" s="55">
        <v>102.794</v>
      </c>
    </row>
    <row r="1730" spans="1:7" ht="10.050000000000001" customHeight="1">
      <c r="A1730" s="52" t="s">
        <v>421</v>
      </c>
      <c r="B1730" s="52" t="s">
        <v>315</v>
      </c>
      <c r="C1730" s="53">
        <v>2022</v>
      </c>
      <c r="D1730" s="52" t="s">
        <v>127</v>
      </c>
      <c r="E1730" s="54">
        <v>11</v>
      </c>
      <c r="F1730" s="55">
        <v>35.673999999999999</v>
      </c>
      <c r="G1730" s="55">
        <v>77.92</v>
      </c>
    </row>
    <row r="1731" spans="1:7" ht="10.050000000000001" customHeight="1">
      <c r="A1731" s="52" t="s">
        <v>421</v>
      </c>
      <c r="B1731" s="52" t="s">
        <v>315</v>
      </c>
      <c r="C1731" s="53">
        <v>2022</v>
      </c>
      <c r="D1731" s="52" t="s">
        <v>127</v>
      </c>
      <c r="E1731" s="54">
        <v>12</v>
      </c>
      <c r="F1731" s="55">
        <v>10.64</v>
      </c>
      <c r="G1731" s="55">
        <v>96.72</v>
      </c>
    </row>
    <row r="1732" spans="1:7" ht="10.050000000000001" customHeight="1">
      <c r="A1732" s="52" t="s">
        <v>421</v>
      </c>
      <c r="B1732" s="52" t="s">
        <v>315</v>
      </c>
      <c r="C1732" s="53">
        <v>2023</v>
      </c>
      <c r="D1732" s="52" t="s">
        <v>127</v>
      </c>
      <c r="E1732" s="54">
        <v>1</v>
      </c>
      <c r="F1732" s="55">
        <v>12.48</v>
      </c>
      <c r="G1732" s="55">
        <v>84.24</v>
      </c>
    </row>
    <row r="1733" spans="1:7" ht="10.050000000000001" customHeight="1">
      <c r="A1733" s="52" t="s">
        <v>421</v>
      </c>
      <c r="B1733" s="52" t="s">
        <v>315</v>
      </c>
      <c r="C1733" s="53">
        <v>2023</v>
      </c>
      <c r="D1733" s="52" t="s">
        <v>127</v>
      </c>
      <c r="E1733" s="54">
        <v>2</v>
      </c>
      <c r="F1733" s="55">
        <v>17.12</v>
      </c>
      <c r="G1733" s="55">
        <v>70.42</v>
      </c>
    </row>
    <row r="1734" spans="1:7" ht="10.050000000000001" customHeight="1">
      <c r="A1734" s="52" t="s">
        <v>421</v>
      </c>
      <c r="B1734" s="52" t="s">
        <v>315</v>
      </c>
      <c r="C1734" s="53">
        <v>2023</v>
      </c>
      <c r="D1734" s="52" t="s">
        <v>127</v>
      </c>
      <c r="E1734" s="54">
        <v>3</v>
      </c>
      <c r="F1734" s="55">
        <v>0.8</v>
      </c>
      <c r="G1734" s="55">
        <v>70.42</v>
      </c>
    </row>
    <row r="1735" spans="1:7" ht="10.050000000000001" customHeight="1">
      <c r="A1735" s="52" t="s">
        <v>421</v>
      </c>
      <c r="B1735" s="52" t="s">
        <v>315</v>
      </c>
      <c r="C1735" s="53">
        <v>2023</v>
      </c>
      <c r="D1735" s="52" t="s">
        <v>127</v>
      </c>
      <c r="E1735" s="54">
        <v>4</v>
      </c>
      <c r="F1735" s="55">
        <v>5.8</v>
      </c>
      <c r="G1735" s="55">
        <v>76.12</v>
      </c>
    </row>
    <row r="1736" spans="1:7" ht="10.050000000000001" customHeight="1">
      <c r="A1736" s="52" t="s">
        <v>421</v>
      </c>
      <c r="B1736" s="52" t="s">
        <v>315</v>
      </c>
      <c r="C1736" s="53">
        <v>2023</v>
      </c>
      <c r="D1736" s="52" t="s">
        <v>127</v>
      </c>
      <c r="E1736" s="54">
        <v>5</v>
      </c>
      <c r="F1736" s="55">
        <v>1.2</v>
      </c>
      <c r="G1736" s="55">
        <v>74.92</v>
      </c>
    </row>
    <row r="1737" spans="1:7" ht="10.050000000000001" customHeight="1">
      <c r="A1737" s="52" t="s">
        <v>421</v>
      </c>
      <c r="B1737" s="52" t="s">
        <v>315</v>
      </c>
      <c r="C1737" s="53">
        <v>2023</v>
      </c>
      <c r="D1737" s="52" t="s">
        <v>127</v>
      </c>
      <c r="E1737" s="54">
        <v>6</v>
      </c>
      <c r="F1737" s="55">
        <v>7.02</v>
      </c>
      <c r="G1737" s="55">
        <v>94.92</v>
      </c>
    </row>
    <row r="1738" spans="1:7" ht="10.050000000000001" customHeight="1">
      <c r="A1738" s="52" t="s">
        <v>421</v>
      </c>
      <c r="B1738" s="52" t="s">
        <v>315</v>
      </c>
      <c r="C1738" s="53">
        <v>2023</v>
      </c>
      <c r="D1738" s="52" t="s">
        <v>128</v>
      </c>
      <c r="E1738" s="54">
        <v>7</v>
      </c>
      <c r="F1738" s="55">
        <v>3.86</v>
      </c>
      <c r="G1738" s="55">
        <v>91.92</v>
      </c>
    </row>
    <row r="1739" spans="1:7" ht="10.050000000000001" customHeight="1">
      <c r="A1739" s="52" t="s">
        <v>421</v>
      </c>
      <c r="B1739" s="52" t="s">
        <v>315</v>
      </c>
      <c r="C1739" s="53">
        <v>2023</v>
      </c>
      <c r="D1739" s="52" t="s">
        <v>128</v>
      </c>
      <c r="E1739" s="54">
        <v>8</v>
      </c>
      <c r="F1739" s="55">
        <v>4.34</v>
      </c>
      <c r="G1739" s="55">
        <v>89.92</v>
      </c>
    </row>
    <row r="1740" spans="1:7" ht="10.050000000000001" customHeight="1">
      <c r="A1740" s="52" t="s">
        <v>421</v>
      </c>
      <c r="B1740" s="52" t="s">
        <v>315</v>
      </c>
      <c r="C1740" s="53">
        <v>2023</v>
      </c>
      <c r="D1740" s="52" t="s">
        <v>128</v>
      </c>
      <c r="E1740" s="54">
        <v>9</v>
      </c>
      <c r="F1740" s="55">
        <v>10.38</v>
      </c>
      <c r="G1740" s="55">
        <v>84.52</v>
      </c>
    </row>
    <row r="1741" spans="1:7" ht="10.050000000000001" customHeight="1">
      <c r="A1741" s="52" t="s">
        <v>421</v>
      </c>
      <c r="B1741" s="52" t="s">
        <v>315</v>
      </c>
      <c r="C1741" s="53">
        <v>2023</v>
      </c>
      <c r="D1741" s="52" t="s">
        <v>128</v>
      </c>
      <c r="E1741" s="54">
        <v>10</v>
      </c>
      <c r="F1741" s="55">
        <v>4.3</v>
      </c>
      <c r="G1741" s="55">
        <v>80.22</v>
      </c>
    </row>
    <row r="1742" spans="1:7" ht="10.050000000000001" customHeight="1">
      <c r="A1742" s="52" t="s">
        <v>421</v>
      </c>
      <c r="B1742" s="52" t="s">
        <v>315</v>
      </c>
      <c r="C1742" s="53">
        <v>2023</v>
      </c>
      <c r="D1742" s="52" t="s">
        <v>128</v>
      </c>
      <c r="E1742" s="54">
        <v>11</v>
      </c>
      <c r="F1742" s="55">
        <v>14.19</v>
      </c>
      <c r="G1742" s="55">
        <v>79.92</v>
      </c>
    </row>
    <row r="1743" spans="1:7" ht="10.050000000000001" customHeight="1">
      <c r="A1743" s="52" t="s">
        <v>421</v>
      </c>
      <c r="B1743" s="52" t="s">
        <v>315</v>
      </c>
      <c r="C1743" s="53">
        <v>2023</v>
      </c>
      <c r="D1743" s="52" t="s">
        <v>128</v>
      </c>
      <c r="E1743" s="54">
        <v>12</v>
      </c>
      <c r="F1743" s="55">
        <v>2.15</v>
      </c>
      <c r="G1743" s="55">
        <v>76.92</v>
      </c>
    </row>
    <row r="1744" spans="1:7" ht="10.050000000000001" customHeight="1">
      <c r="A1744" s="52" t="s">
        <v>421</v>
      </c>
      <c r="B1744" s="52" t="s">
        <v>315</v>
      </c>
      <c r="C1744" s="53">
        <v>2024</v>
      </c>
      <c r="D1744" s="52" t="s">
        <v>128</v>
      </c>
      <c r="E1744" s="54">
        <v>1</v>
      </c>
      <c r="F1744" s="55">
        <v>15.62</v>
      </c>
      <c r="G1744" s="55">
        <v>82.12</v>
      </c>
    </row>
    <row r="1745" spans="1:7" ht="10.050000000000001" customHeight="1">
      <c r="A1745" s="52" t="s">
        <v>421</v>
      </c>
      <c r="B1745" s="52" t="s">
        <v>315</v>
      </c>
      <c r="C1745" s="53">
        <v>2024</v>
      </c>
      <c r="D1745" s="52" t="s">
        <v>128</v>
      </c>
      <c r="E1745" s="54">
        <v>2</v>
      </c>
      <c r="F1745" s="55">
        <v>24.31</v>
      </c>
      <c r="G1745" s="55">
        <v>108.22</v>
      </c>
    </row>
    <row r="1746" spans="1:7" ht="10.050000000000001" customHeight="1">
      <c r="A1746" s="52" t="s">
        <v>421</v>
      </c>
      <c r="B1746" s="52" t="s">
        <v>315</v>
      </c>
      <c r="C1746" s="53">
        <v>2024</v>
      </c>
      <c r="D1746" s="52" t="s">
        <v>128</v>
      </c>
      <c r="E1746" s="54">
        <v>3</v>
      </c>
      <c r="F1746" s="55">
        <v>95.7</v>
      </c>
      <c r="G1746" s="55">
        <v>154.82</v>
      </c>
    </row>
    <row r="1747" spans="1:7" ht="10.050000000000001" customHeight="1">
      <c r="A1747" s="52" t="s">
        <v>421</v>
      </c>
      <c r="B1747" s="52" t="s">
        <v>315</v>
      </c>
      <c r="C1747" s="53">
        <v>2024</v>
      </c>
      <c r="D1747" s="52" t="s">
        <v>128</v>
      </c>
      <c r="E1747" s="54">
        <v>4</v>
      </c>
      <c r="F1747" s="55">
        <v>125</v>
      </c>
      <c r="G1747" s="55">
        <v>112.62</v>
      </c>
    </row>
    <row r="1748" spans="1:7" ht="10.050000000000001" customHeight="1">
      <c r="A1748" s="52" t="s">
        <v>421</v>
      </c>
      <c r="B1748" s="52" t="s">
        <v>315</v>
      </c>
      <c r="C1748" s="53">
        <v>2024</v>
      </c>
      <c r="D1748" s="52" t="s">
        <v>128</v>
      </c>
      <c r="E1748" s="54">
        <v>5</v>
      </c>
      <c r="F1748" s="55">
        <v>102.14</v>
      </c>
      <c r="G1748" s="55">
        <v>115.92</v>
      </c>
    </row>
    <row r="1749" spans="1:7" ht="10.050000000000001" customHeight="1">
      <c r="A1749" s="52" t="s">
        <v>421</v>
      </c>
      <c r="B1749" s="52" t="s">
        <v>315</v>
      </c>
      <c r="C1749" s="53">
        <v>2024</v>
      </c>
      <c r="D1749" s="52" t="s">
        <v>128</v>
      </c>
      <c r="E1749" s="54">
        <v>6</v>
      </c>
      <c r="F1749" s="55">
        <v>50.22</v>
      </c>
      <c r="G1749" s="55">
        <v>121.22</v>
      </c>
    </row>
    <row r="1750" spans="1:7" ht="10.050000000000001" customHeight="1">
      <c r="A1750" s="52" t="s">
        <v>421</v>
      </c>
      <c r="B1750" s="52" t="s">
        <v>315</v>
      </c>
      <c r="C1750" s="53">
        <v>2024</v>
      </c>
      <c r="D1750" s="52" t="s">
        <v>129</v>
      </c>
      <c r="E1750" s="54">
        <v>7</v>
      </c>
      <c r="F1750" s="55">
        <v>36.799999999999997</v>
      </c>
      <c r="G1750" s="55">
        <v>102.92</v>
      </c>
    </row>
    <row r="1751" spans="1:7" ht="10.050000000000001" customHeight="1">
      <c r="A1751" s="52" t="s">
        <v>421</v>
      </c>
      <c r="B1751" s="52" t="s">
        <v>315</v>
      </c>
      <c r="C1751" s="53">
        <v>2024</v>
      </c>
      <c r="D1751" s="52" t="s">
        <v>129</v>
      </c>
      <c r="E1751" s="54">
        <v>8</v>
      </c>
      <c r="F1751" s="55">
        <v>49.61</v>
      </c>
      <c r="G1751" s="55">
        <v>96.92</v>
      </c>
    </row>
    <row r="1752" spans="1:7" ht="10.050000000000001" customHeight="1">
      <c r="A1752" s="52" t="s">
        <v>421</v>
      </c>
      <c r="B1752" s="52" t="s">
        <v>315</v>
      </c>
      <c r="C1752" s="53">
        <v>2024</v>
      </c>
      <c r="D1752" s="52" t="s">
        <v>129</v>
      </c>
      <c r="E1752" s="54">
        <v>9</v>
      </c>
      <c r="F1752" s="55">
        <v>6.35</v>
      </c>
      <c r="G1752" s="55">
        <v>91.92</v>
      </c>
    </row>
    <row r="1753" spans="1:7" ht="10.050000000000001" customHeight="1">
      <c r="A1753" s="52" t="s">
        <v>421</v>
      </c>
      <c r="B1753" s="52" t="s">
        <v>315</v>
      </c>
      <c r="C1753" s="53">
        <v>2024</v>
      </c>
      <c r="D1753" s="52" t="s">
        <v>129</v>
      </c>
      <c r="E1753" s="54">
        <v>10</v>
      </c>
      <c r="F1753" s="55">
        <v>19.28</v>
      </c>
      <c r="G1753" s="55">
        <v>99.92</v>
      </c>
    </row>
    <row r="1754" spans="1:7" ht="10.050000000000001" customHeight="1">
      <c r="A1754" s="52" t="s">
        <v>421</v>
      </c>
      <c r="B1754" s="52" t="s">
        <v>315</v>
      </c>
      <c r="C1754" s="53">
        <v>2024</v>
      </c>
      <c r="D1754" s="52" t="s">
        <v>129</v>
      </c>
      <c r="E1754" s="54">
        <v>11</v>
      </c>
      <c r="F1754" s="55">
        <v>27.44</v>
      </c>
      <c r="G1754" s="55">
        <v>91.92</v>
      </c>
    </row>
    <row r="1755" spans="1:7" ht="10.050000000000001" customHeight="1">
      <c r="A1755" s="52" t="s">
        <v>421</v>
      </c>
      <c r="B1755" s="52" t="s">
        <v>315</v>
      </c>
      <c r="C1755" s="53">
        <v>2024</v>
      </c>
      <c r="D1755" s="52" t="s">
        <v>129</v>
      </c>
      <c r="E1755" s="54">
        <v>12</v>
      </c>
      <c r="F1755" s="55">
        <v>2.68</v>
      </c>
      <c r="G1755" s="55">
        <v>89.92</v>
      </c>
    </row>
    <row r="1756" spans="1:7" ht="10.050000000000001" customHeight="1">
      <c r="A1756" s="52" t="s">
        <v>421</v>
      </c>
      <c r="B1756" s="52" t="s">
        <v>311</v>
      </c>
      <c r="C1756" s="53">
        <v>2004</v>
      </c>
      <c r="D1756" s="52" t="s">
        <v>110</v>
      </c>
      <c r="E1756" s="54">
        <v>7</v>
      </c>
      <c r="F1756" s="55">
        <v>0</v>
      </c>
      <c r="G1756" s="55">
        <v>9</v>
      </c>
    </row>
    <row r="1757" spans="1:7" ht="10.050000000000001" customHeight="1">
      <c r="A1757" s="52" t="s">
        <v>421</v>
      </c>
      <c r="B1757" s="52" t="s">
        <v>311</v>
      </c>
      <c r="C1757" s="53">
        <v>2017</v>
      </c>
      <c r="D1757" s="52" t="s">
        <v>122</v>
      </c>
      <c r="E1757" s="54">
        <v>8</v>
      </c>
      <c r="F1757" s="55">
        <v>0</v>
      </c>
      <c r="G1757" s="55">
        <v>17.82</v>
      </c>
    </row>
    <row r="1758" spans="1:7" ht="10.050000000000001" customHeight="1">
      <c r="A1758" s="52" t="s">
        <v>421</v>
      </c>
      <c r="B1758" s="52" t="s">
        <v>311</v>
      </c>
      <c r="C1758" s="53">
        <v>2017</v>
      </c>
      <c r="D1758" s="52" t="s">
        <v>122</v>
      </c>
      <c r="E1758" s="54">
        <v>9</v>
      </c>
      <c r="F1758" s="55">
        <v>0</v>
      </c>
      <c r="G1758" s="55">
        <v>113.62</v>
      </c>
    </row>
    <row r="1759" spans="1:7" ht="10.050000000000001" customHeight="1">
      <c r="A1759" s="52" t="s">
        <v>421</v>
      </c>
      <c r="B1759" s="52" t="s">
        <v>311</v>
      </c>
      <c r="C1759" s="53">
        <v>2017</v>
      </c>
      <c r="D1759" s="52" t="s">
        <v>122</v>
      </c>
      <c r="E1759" s="54">
        <v>10</v>
      </c>
      <c r="F1759" s="55">
        <v>78.358999999999995</v>
      </c>
      <c r="G1759" s="55">
        <v>50.600999999999999</v>
      </c>
    </row>
    <row r="1760" spans="1:7" ht="10.050000000000001" customHeight="1">
      <c r="A1760" s="52" t="s">
        <v>421</v>
      </c>
      <c r="B1760" s="52" t="s">
        <v>311</v>
      </c>
      <c r="C1760" s="53">
        <v>2017</v>
      </c>
      <c r="D1760" s="52" t="s">
        <v>122</v>
      </c>
      <c r="E1760" s="54">
        <v>11</v>
      </c>
      <c r="F1760" s="55">
        <v>184.34399999999999</v>
      </c>
      <c r="G1760" s="55">
        <v>56.057000000000002</v>
      </c>
    </row>
    <row r="1761" spans="1:7" ht="10.050000000000001" customHeight="1">
      <c r="A1761" s="52" t="s">
        <v>421</v>
      </c>
      <c r="B1761" s="52" t="s">
        <v>311</v>
      </c>
      <c r="C1761" s="53">
        <v>2017</v>
      </c>
      <c r="D1761" s="52" t="s">
        <v>122</v>
      </c>
      <c r="E1761" s="54">
        <v>12</v>
      </c>
      <c r="F1761" s="55">
        <v>216.18899999999999</v>
      </c>
      <c r="G1761" s="55">
        <v>97.468000000000004</v>
      </c>
    </row>
    <row r="1762" spans="1:7" ht="10.050000000000001" customHeight="1">
      <c r="A1762" s="52" t="s">
        <v>421</v>
      </c>
      <c r="B1762" s="52" t="s">
        <v>311</v>
      </c>
      <c r="C1762" s="53">
        <v>2018</v>
      </c>
      <c r="D1762" s="52" t="s">
        <v>122</v>
      </c>
      <c r="E1762" s="54">
        <v>1</v>
      </c>
      <c r="F1762" s="55">
        <v>158.97399999999999</v>
      </c>
      <c r="G1762" s="55">
        <v>84.459000000000003</v>
      </c>
    </row>
    <row r="1763" spans="1:7" ht="10.050000000000001" customHeight="1">
      <c r="A1763" s="52" t="s">
        <v>421</v>
      </c>
      <c r="B1763" s="52" t="s">
        <v>311</v>
      </c>
      <c r="C1763" s="53">
        <v>2018</v>
      </c>
      <c r="D1763" s="52" t="s">
        <v>122</v>
      </c>
      <c r="E1763" s="54">
        <v>2</v>
      </c>
      <c r="F1763" s="55">
        <v>210.905</v>
      </c>
      <c r="G1763" s="55">
        <v>47.533999999999999</v>
      </c>
    </row>
    <row r="1764" spans="1:7" ht="10.050000000000001" customHeight="1">
      <c r="A1764" s="52" t="s">
        <v>421</v>
      </c>
      <c r="B1764" s="52" t="s">
        <v>311</v>
      </c>
      <c r="C1764" s="53">
        <v>2018</v>
      </c>
      <c r="D1764" s="52" t="s">
        <v>122</v>
      </c>
      <c r="E1764" s="54">
        <v>3</v>
      </c>
      <c r="F1764" s="55">
        <v>61.606000000000002</v>
      </c>
      <c r="G1764" s="55">
        <v>9.4480000000000004</v>
      </c>
    </row>
    <row r="1765" spans="1:7" ht="10.050000000000001" customHeight="1">
      <c r="A1765" s="52" t="s">
        <v>421</v>
      </c>
      <c r="B1765" s="52" t="s">
        <v>311</v>
      </c>
      <c r="C1765" s="53">
        <v>2018</v>
      </c>
      <c r="D1765" s="52" t="s">
        <v>122</v>
      </c>
      <c r="E1765" s="54">
        <v>4</v>
      </c>
      <c r="F1765" s="55">
        <v>8.7780000000000005</v>
      </c>
      <c r="G1765" s="55">
        <v>0</v>
      </c>
    </row>
    <row r="1766" spans="1:7" ht="10.050000000000001" customHeight="1">
      <c r="A1766" s="52" t="s">
        <v>421</v>
      </c>
      <c r="B1766" s="52" t="s">
        <v>311</v>
      </c>
      <c r="C1766" s="53">
        <v>2018</v>
      </c>
      <c r="D1766" s="52" t="s">
        <v>123</v>
      </c>
      <c r="E1766" s="54">
        <v>9</v>
      </c>
      <c r="F1766" s="55">
        <v>65</v>
      </c>
      <c r="G1766" s="55">
        <v>0</v>
      </c>
    </row>
    <row r="1767" spans="1:7" ht="10.050000000000001" customHeight="1">
      <c r="A1767" s="52" t="s">
        <v>421</v>
      </c>
      <c r="B1767" s="52" t="s">
        <v>311</v>
      </c>
      <c r="C1767" s="53">
        <v>2018</v>
      </c>
      <c r="D1767" s="52" t="s">
        <v>123</v>
      </c>
      <c r="E1767" s="54">
        <v>10</v>
      </c>
      <c r="F1767" s="55">
        <v>48.64</v>
      </c>
      <c r="G1767" s="55">
        <v>0</v>
      </c>
    </row>
    <row r="1768" spans="1:7" ht="10.050000000000001" customHeight="1">
      <c r="A1768" s="52" t="s">
        <v>421</v>
      </c>
      <c r="B1768" s="52" t="s">
        <v>311</v>
      </c>
      <c r="C1768" s="53">
        <v>2022</v>
      </c>
      <c r="D1768" s="52" t="s">
        <v>127</v>
      </c>
      <c r="E1768" s="54">
        <v>8</v>
      </c>
      <c r="F1768" s="55">
        <v>4.4530000000000003</v>
      </c>
      <c r="G1768" s="55">
        <v>0</v>
      </c>
    </row>
    <row r="1769" spans="1:7" ht="10.050000000000001" customHeight="1">
      <c r="A1769" s="52" t="s">
        <v>421</v>
      </c>
      <c r="B1769" s="52" t="s">
        <v>311</v>
      </c>
      <c r="C1769" s="53">
        <v>2022</v>
      </c>
      <c r="D1769" s="52" t="s">
        <v>127</v>
      </c>
      <c r="E1769" s="54">
        <v>9</v>
      </c>
      <c r="F1769" s="55">
        <v>2.87</v>
      </c>
      <c r="G1769" s="55">
        <v>0</v>
      </c>
    </row>
    <row r="1770" spans="1:7" ht="10.050000000000001" customHeight="1">
      <c r="A1770" s="52" t="s">
        <v>421</v>
      </c>
      <c r="B1770" s="52" t="s">
        <v>311</v>
      </c>
      <c r="C1770" s="53">
        <v>2022</v>
      </c>
      <c r="D1770" s="52" t="s">
        <v>127</v>
      </c>
      <c r="E1770" s="54">
        <v>10</v>
      </c>
      <c r="F1770" s="55">
        <v>0.97699999999999998</v>
      </c>
      <c r="G1770" s="55">
        <v>0</v>
      </c>
    </row>
    <row r="1771" spans="1:7" ht="10.050000000000001" customHeight="1">
      <c r="A1771" s="52" t="s">
        <v>421</v>
      </c>
      <c r="B1771" s="52" t="s">
        <v>311</v>
      </c>
      <c r="C1771" s="53">
        <v>2022</v>
      </c>
      <c r="D1771" s="52" t="s">
        <v>127</v>
      </c>
      <c r="E1771" s="54">
        <v>11</v>
      </c>
      <c r="F1771" s="55">
        <v>55.36</v>
      </c>
      <c r="G1771" s="55">
        <v>0</v>
      </c>
    </row>
    <row r="1772" spans="1:7" ht="10.050000000000001" customHeight="1">
      <c r="A1772" s="52" t="s">
        <v>421</v>
      </c>
      <c r="B1772" s="52" t="s">
        <v>311</v>
      </c>
      <c r="C1772" s="53">
        <v>2022</v>
      </c>
      <c r="D1772" s="52" t="s">
        <v>127</v>
      </c>
      <c r="E1772" s="54">
        <v>12</v>
      </c>
      <c r="F1772" s="55">
        <v>90.811999999999998</v>
      </c>
      <c r="G1772" s="55">
        <v>0</v>
      </c>
    </row>
    <row r="1773" spans="1:7" ht="10.050000000000001" customHeight="1">
      <c r="A1773" s="52" t="s">
        <v>421</v>
      </c>
      <c r="B1773" s="52" t="s">
        <v>311</v>
      </c>
      <c r="C1773" s="53">
        <v>2023</v>
      </c>
      <c r="D1773" s="52" t="s">
        <v>127</v>
      </c>
      <c r="E1773" s="54">
        <v>1</v>
      </c>
      <c r="F1773" s="55">
        <v>94.67</v>
      </c>
      <c r="G1773" s="55">
        <v>0</v>
      </c>
    </row>
    <row r="1774" spans="1:7" ht="10.050000000000001" customHeight="1">
      <c r="A1774" s="52" t="s">
        <v>421</v>
      </c>
      <c r="B1774" s="52" t="s">
        <v>311</v>
      </c>
      <c r="C1774" s="53">
        <v>2023</v>
      </c>
      <c r="D1774" s="52" t="s">
        <v>127</v>
      </c>
      <c r="E1774" s="54">
        <v>2</v>
      </c>
      <c r="F1774" s="55">
        <v>149.31700000000001</v>
      </c>
      <c r="G1774" s="55">
        <v>0</v>
      </c>
    </row>
    <row r="1775" spans="1:7" ht="10.050000000000001" customHeight="1">
      <c r="A1775" s="52" t="s">
        <v>421</v>
      </c>
      <c r="B1775" s="52" t="s">
        <v>311</v>
      </c>
      <c r="C1775" s="53">
        <v>2023</v>
      </c>
      <c r="D1775" s="52" t="s">
        <v>127</v>
      </c>
      <c r="E1775" s="54">
        <v>3</v>
      </c>
      <c r="F1775" s="55">
        <v>127.63800000000001</v>
      </c>
      <c r="G1775" s="55">
        <v>0</v>
      </c>
    </row>
    <row r="1776" spans="1:7" ht="10.050000000000001" customHeight="1">
      <c r="A1776" s="52" t="s">
        <v>421</v>
      </c>
      <c r="B1776" s="52" t="s">
        <v>311</v>
      </c>
      <c r="C1776" s="53">
        <v>2023</v>
      </c>
      <c r="D1776" s="52" t="s">
        <v>127</v>
      </c>
      <c r="E1776" s="54">
        <v>4</v>
      </c>
      <c r="F1776" s="55">
        <v>2.1850000000000001</v>
      </c>
      <c r="G1776" s="55">
        <v>0</v>
      </c>
    </row>
    <row r="1777" spans="1:7" ht="10.050000000000001" customHeight="1">
      <c r="A1777" s="52" t="s">
        <v>421</v>
      </c>
      <c r="B1777" s="52" t="s">
        <v>311</v>
      </c>
      <c r="C1777" s="53">
        <v>2023</v>
      </c>
      <c r="D1777" s="52" t="s">
        <v>127</v>
      </c>
      <c r="E1777" s="54">
        <v>5</v>
      </c>
      <c r="F1777" s="55">
        <v>4.2880000000000003</v>
      </c>
      <c r="G1777" s="55">
        <v>0</v>
      </c>
    </row>
    <row r="1778" spans="1:7" ht="10.050000000000001" customHeight="1">
      <c r="A1778" s="52" t="s">
        <v>421</v>
      </c>
      <c r="B1778" s="52" t="s">
        <v>311</v>
      </c>
      <c r="C1778" s="53">
        <v>2023</v>
      </c>
      <c r="D1778" s="52" t="s">
        <v>127</v>
      </c>
      <c r="E1778" s="54">
        <v>6</v>
      </c>
      <c r="F1778" s="55">
        <v>71.498000000000005</v>
      </c>
      <c r="G1778" s="55">
        <v>0</v>
      </c>
    </row>
    <row r="1779" spans="1:7" ht="10.050000000000001" customHeight="1">
      <c r="A1779" s="52" t="s">
        <v>421</v>
      </c>
      <c r="B1779" s="52" t="s">
        <v>311</v>
      </c>
      <c r="C1779" s="53">
        <v>2023</v>
      </c>
      <c r="D1779" s="52" t="s">
        <v>128</v>
      </c>
      <c r="E1779" s="54">
        <v>7</v>
      </c>
      <c r="F1779" s="55">
        <v>24.395</v>
      </c>
      <c r="G1779" s="55">
        <v>0</v>
      </c>
    </row>
    <row r="1780" spans="1:7" ht="10.050000000000001" customHeight="1">
      <c r="A1780" s="52" t="s">
        <v>421</v>
      </c>
      <c r="B1780" s="52" t="s">
        <v>311</v>
      </c>
      <c r="C1780" s="53">
        <v>2023</v>
      </c>
      <c r="D1780" s="52" t="s">
        <v>128</v>
      </c>
      <c r="E1780" s="54">
        <v>8</v>
      </c>
      <c r="F1780" s="55">
        <v>4.82</v>
      </c>
      <c r="G1780" s="55">
        <v>0</v>
      </c>
    </row>
    <row r="1781" spans="1:7" ht="10.050000000000001" customHeight="1">
      <c r="A1781" s="52" t="s">
        <v>421</v>
      </c>
      <c r="B1781" s="52" t="s">
        <v>311</v>
      </c>
      <c r="C1781" s="53">
        <v>2023</v>
      </c>
      <c r="D1781" s="52" t="s">
        <v>128</v>
      </c>
      <c r="E1781" s="54">
        <v>9</v>
      </c>
      <c r="F1781" s="55">
        <v>19.132999999999999</v>
      </c>
      <c r="G1781" s="55">
        <v>0</v>
      </c>
    </row>
    <row r="1782" spans="1:7" ht="10.050000000000001" customHeight="1">
      <c r="A1782" s="52" t="s">
        <v>421</v>
      </c>
      <c r="B1782" s="52" t="s">
        <v>311</v>
      </c>
      <c r="C1782" s="53">
        <v>2023</v>
      </c>
      <c r="D1782" s="52" t="s">
        <v>128</v>
      </c>
      <c r="E1782" s="54">
        <v>10</v>
      </c>
      <c r="F1782" s="55">
        <v>7.18</v>
      </c>
      <c r="G1782" s="55">
        <v>0</v>
      </c>
    </row>
    <row r="1783" spans="1:7" ht="10.050000000000001" customHeight="1">
      <c r="A1783" s="52" t="s">
        <v>421</v>
      </c>
      <c r="B1783" s="52" t="s">
        <v>311</v>
      </c>
      <c r="C1783" s="53">
        <v>2023</v>
      </c>
      <c r="D1783" s="52" t="s">
        <v>128</v>
      </c>
      <c r="E1783" s="54">
        <v>11</v>
      </c>
      <c r="F1783" s="55">
        <v>27.302</v>
      </c>
      <c r="G1783" s="55">
        <v>0</v>
      </c>
    </row>
    <row r="1784" spans="1:7" ht="10.050000000000001" customHeight="1">
      <c r="A1784" s="52" t="s">
        <v>421</v>
      </c>
      <c r="B1784" s="52" t="s">
        <v>311</v>
      </c>
      <c r="C1784" s="53">
        <v>2023</v>
      </c>
      <c r="D1784" s="52" t="s">
        <v>128</v>
      </c>
      <c r="E1784" s="54">
        <v>12</v>
      </c>
      <c r="F1784" s="55">
        <v>11.295</v>
      </c>
      <c r="G1784" s="55">
        <v>0</v>
      </c>
    </row>
    <row r="1785" spans="1:7" ht="10.050000000000001" customHeight="1">
      <c r="A1785" s="52" t="s">
        <v>421</v>
      </c>
      <c r="B1785" s="52" t="s">
        <v>311</v>
      </c>
      <c r="C1785" s="53">
        <v>2024</v>
      </c>
      <c r="D1785" s="52" t="s">
        <v>128</v>
      </c>
      <c r="E1785" s="54">
        <v>1</v>
      </c>
      <c r="F1785" s="55">
        <v>43.289000000000001</v>
      </c>
      <c r="G1785" s="55">
        <v>0</v>
      </c>
    </row>
    <row r="1786" spans="1:7" ht="10.050000000000001" customHeight="1">
      <c r="A1786" s="52" t="s">
        <v>421</v>
      </c>
      <c r="B1786" s="52" t="s">
        <v>311</v>
      </c>
      <c r="C1786" s="53">
        <v>2024</v>
      </c>
      <c r="D1786" s="52" t="s">
        <v>128</v>
      </c>
      <c r="E1786" s="54">
        <v>2</v>
      </c>
      <c r="F1786" s="55">
        <v>35.136000000000003</v>
      </c>
      <c r="G1786" s="55">
        <v>0</v>
      </c>
    </row>
    <row r="1787" spans="1:7" ht="10.050000000000001" customHeight="1">
      <c r="A1787" s="52" t="s">
        <v>421</v>
      </c>
      <c r="B1787" s="52" t="s">
        <v>311</v>
      </c>
      <c r="C1787" s="53">
        <v>2024</v>
      </c>
      <c r="D1787" s="52" t="s">
        <v>128</v>
      </c>
      <c r="E1787" s="54">
        <v>3</v>
      </c>
      <c r="F1787" s="55">
        <v>38.284999999999997</v>
      </c>
      <c r="G1787" s="55">
        <v>0</v>
      </c>
    </row>
    <row r="1788" spans="1:7" ht="10.050000000000001" customHeight="1">
      <c r="A1788" s="52" t="s">
        <v>421</v>
      </c>
      <c r="B1788" s="52" t="s">
        <v>311</v>
      </c>
      <c r="C1788" s="53">
        <v>2024</v>
      </c>
      <c r="D1788" s="52" t="s">
        <v>128</v>
      </c>
      <c r="E1788" s="54">
        <v>4</v>
      </c>
      <c r="F1788" s="55">
        <v>103.934</v>
      </c>
      <c r="G1788" s="55">
        <v>0</v>
      </c>
    </row>
    <row r="1789" spans="1:7" ht="10.050000000000001" customHeight="1">
      <c r="A1789" s="52" t="s">
        <v>421</v>
      </c>
      <c r="B1789" s="52" t="s">
        <v>311</v>
      </c>
      <c r="C1789" s="53">
        <v>2024</v>
      </c>
      <c r="D1789" s="52" t="s">
        <v>128</v>
      </c>
      <c r="E1789" s="54">
        <v>5</v>
      </c>
      <c r="F1789" s="55">
        <v>62.290999999999997</v>
      </c>
      <c r="G1789" s="55">
        <v>0</v>
      </c>
    </row>
    <row r="1790" spans="1:7" ht="10.050000000000001" customHeight="1">
      <c r="A1790" s="52" t="s">
        <v>421</v>
      </c>
      <c r="B1790" s="52" t="s">
        <v>311</v>
      </c>
      <c r="C1790" s="53">
        <v>2024</v>
      </c>
      <c r="D1790" s="52" t="s">
        <v>128</v>
      </c>
      <c r="E1790" s="54">
        <v>6</v>
      </c>
      <c r="F1790" s="55">
        <v>128.87</v>
      </c>
      <c r="G1790" s="55">
        <v>0</v>
      </c>
    </row>
    <row r="1791" spans="1:7" ht="10.050000000000001" customHeight="1">
      <c r="A1791" s="52" t="s">
        <v>421</v>
      </c>
      <c r="B1791" s="52" t="s">
        <v>311</v>
      </c>
      <c r="C1791" s="53">
        <v>2024</v>
      </c>
      <c r="D1791" s="52" t="s">
        <v>129</v>
      </c>
      <c r="E1791" s="54">
        <v>7</v>
      </c>
      <c r="F1791" s="55">
        <v>4</v>
      </c>
      <c r="G1791" s="55">
        <v>0</v>
      </c>
    </row>
    <row r="1792" spans="1:7" ht="10.050000000000001" customHeight="1">
      <c r="A1792" s="52" t="s">
        <v>421</v>
      </c>
      <c r="B1792" s="52" t="s">
        <v>311</v>
      </c>
      <c r="C1792" s="53">
        <v>2024</v>
      </c>
      <c r="D1792" s="52" t="s">
        <v>129</v>
      </c>
      <c r="E1792" s="54">
        <v>8</v>
      </c>
      <c r="F1792" s="55">
        <v>28.52</v>
      </c>
      <c r="G1792" s="55">
        <v>0</v>
      </c>
    </row>
    <row r="1793" spans="1:7" ht="10.050000000000001" customHeight="1">
      <c r="A1793" s="52" t="s">
        <v>421</v>
      </c>
      <c r="B1793" s="52" t="s">
        <v>311</v>
      </c>
      <c r="C1793" s="53">
        <v>2024</v>
      </c>
      <c r="D1793" s="52" t="s">
        <v>129</v>
      </c>
      <c r="E1793" s="54">
        <v>9</v>
      </c>
      <c r="F1793" s="55">
        <v>28.7</v>
      </c>
      <c r="G1793" s="55">
        <v>0</v>
      </c>
    </row>
    <row r="1794" spans="1:7" ht="10.050000000000001" customHeight="1">
      <c r="A1794" s="52" t="s">
        <v>421</v>
      </c>
      <c r="B1794" s="52" t="s">
        <v>311</v>
      </c>
      <c r="C1794" s="53">
        <v>2024</v>
      </c>
      <c r="D1794" s="52" t="s">
        <v>129</v>
      </c>
      <c r="E1794" s="54">
        <v>11</v>
      </c>
      <c r="F1794" s="55">
        <v>8.6</v>
      </c>
      <c r="G1794" s="55">
        <v>0</v>
      </c>
    </row>
    <row r="1795" spans="1:7" ht="10.050000000000001" customHeight="1">
      <c r="A1795" s="52" t="s">
        <v>421</v>
      </c>
      <c r="B1795" s="52" t="s">
        <v>173</v>
      </c>
      <c r="C1795" s="53">
        <v>2000</v>
      </c>
      <c r="D1795" s="52" t="s">
        <v>105</v>
      </c>
      <c r="E1795" s="54">
        <v>7</v>
      </c>
      <c r="F1795" s="55">
        <v>80379.600000000006</v>
      </c>
      <c r="G1795" s="55">
        <v>91896.2</v>
      </c>
    </row>
    <row r="1796" spans="1:7" ht="10.050000000000001" customHeight="1">
      <c r="A1796" s="52" t="s">
        <v>421</v>
      </c>
      <c r="B1796" s="52" t="s">
        <v>173</v>
      </c>
      <c r="C1796" s="53">
        <v>2000</v>
      </c>
      <c r="D1796" s="52" t="s">
        <v>105</v>
      </c>
      <c r="E1796" s="54">
        <v>8</v>
      </c>
      <c r="F1796" s="55">
        <v>73948.3</v>
      </c>
      <c r="G1796" s="55">
        <v>78260</v>
      </c>
    </row>
    <row r="1797" spans="1:7" ht="10.050000000000001" customHeight="1">
      <c r="A1797" s="52" t="s">
        <v>421</v>
      </c>
      <c r="B1797" s="52" t="s">
        <v>173</v>
      </c>
      <c r="C1797" s="53">
        <v>2000</v>
      </c>
      <c r="D1797" s="52" t="s">
        <v>105</v>
      </c>
      <c r="E1797" s="54">
        <v>9</v>
      </c>
      <c r="F1797" s="55">
        <v>67913.7</v>
      </c>
      <c r="G1797" s="55">
        <v>75777.8</v>
      </c>
    </row>
    <row r="1798" spans="1:7" ht="10.050000000000001" customHeight="1">
      <c r="A1798" s="52" t="s">
        <v>421</v>
      </c>
      <c r="B1798" s="52" t="s">
        <v>173</v>
      </c>
      <c r="C1798" s="53">
        <v>2000</v>
      </c>
      <c r="D1798" s="52" t="s">
        <v>105</v>
      </c>
      <c r="E1798" s="54">
        <v>10</v>
      </c>
      <c r="F1798" s="55">
        <v>67636</v>
      </c>
      <c r="G1798" s="55">
        <v>69901.5</v>
      </c>
    </row>
    <row r="1799" spans="1:7" ht="10.050000000000001" customHeight="1">
      <c r="A1799" s="52" t="s">
        <v>421</v>
      </c>
      <c r="B1799" s="52" t="s">
        <v>173</v>
      </c>
      <c r="C1799" s="53">
        <v>2000</v>
      </c>
      <c r="D1799" s="52" t="s">
        <v>105</v>
      </c>
      <c r="E1799" s="54">
        <v>11</v>
      </c>
      <c r="F1799" s="55">
        <v>65890.7</v>
      </c>
      <c r="G1799" s="55">
        <v>62981.5</v>
      </c>
    </row>
    <row r="1800" spans="1:7" ht="10.050000000000001" customHeight="1">
      <c r="A1800" s="52" t="s">
        <v>421</v>
      </c>
      <c r="B1800" s="52" t="s">
        <v>173</v>
      </c>
      <c r="C1800" s="53">
        <v>2000</v>
      </c>
      <c r="D1800" s="52" t="s">
        <v>105</v>
      </c>
      <c r="E1800" s="54">
        <v>12</v>
      </c>
      <c r="F1800" s="55">
        <v>64484</v>
      </c>
      <c r="G1800" s="55">
        <v>60119.3</v>
      </c>
    </row>
    <row r="1801" spans="1:7" ht="10.050000000000001" customHeight="1">
      <c r="A1801" s="52" t="s">
        <v>421</v>
      </c>
      <c r="B1801" s="52" t="s">
        <v>173</v>
      </c>
      <c r="C1801" s="53">
        <v>2001</v>
      </c>
      <c r="D1801" s="52" t="s">
        <v>105</v>
      </c>
      <c r="E1801" s="54">
        <v>1</v>
      </c>
      <c r="F1801" s="55">
        <v>68705.600000000006</v>
      </c>
      <c r="G1801" s="55">
        <v>59126.400000000001</v>
      </c>
    </row>
    <row r="1802" spans="1:7" ht="10.050000000000001" customHeight="1">
      <c r="A1802" s="52" t="s">
        <v>421</v>
      </c>
      <c r="B1802" s="52" t="s">
        <v>173</v>
      </c>
      <c r="C1802" s="53">
        <v>2001</v>
      </c>
      <c r="D1802" s="52" t="s">
        <v>105</v>
      </c>
      <c r="E1802" s="54">
        <v>2</v>
      </c>
      <c r="F1802" s="55">
        <v>62837.1</v>
      </c>
      <c r="G1802" s="55">
        <v>54450.1</v>
      </c>
    </row>
    <row r="1803" spans="1:7" ht="10.050000000000001" customHeight="1">
      <c r="A1803" s="52" t="s">
        <v>421</v>
      </c>
      <c r="B1803" s="52" t="s">
        <v>173</v>
      </c>
      <c r="C1803" s="53">
        <v>2001</v>
      </c>
      <c r="D1803" s="52" t="s">
        <v>105</v>
      </c>
      <c r="E1803" s="54">
        <v>3</v>
      </c>
      <c r="F1803" s="55">
        <v>69278.7</v>
      </c>
      <c r="G1803" s="55">
        <v>46778.8</v>
      </c>
    </row>
    <row r="1804" spans="1:7" ht="10.050000000000001" customHeight="1">
      <c r="A1804" s="52" t="s">
        <v>421</v>
      </c>
      <c r="B1804" s="52" t="s">
        <v>173</v>
      </c>
      <c r="C1804" s="53">
        <v>2001</v>
      </c>
      <c r="D1804" s="52" t="s">
        <v>105</v>
      </c>
      <c r="E1804" s="54">
        <v>4</v>
      </c>
      <c r="F1804" s="55">
        <v>74640.5</v>
      </c>
      <c r="G1804" s="55">
        <v>37288.300000000003</v>
      </c>
    </row>
    <row r="1805" spans="1:7" ht="10.050000000000001" customHeight="1">
      <c r="A1805" s="52" t="s">
        <v>421</v>
      </c>
      <c r="B1805" s="52" t="s">
        <v>173</v>
      </c>
      <c r="C1805" s="53">
        <v>2001</v>
      </c>
      <c r="D1805" s="52" t="s">
        <v>105</v>
      </c>
      <c r="E1805" s="54">
        <v>5</v>
      </c>
      <c r="F1805" s="55">
        <v>73075.100000000006</v>
      </c>
      <c r="G1805" s="55">
        <v>36581.699999999997</v>
      </c>
    </row>
    <row r="1806" spans="1:7" ht="10.050000000000001" customHeight="1">
      <c r="A1806" s="52" t="s">
        <v>421</v>
      </c>
      <c r="B1806" s="52" t="s">
        <v>173</v>
      </c>
      <c r="C1806" s="53">
        <v>2001</v>
      </c>
      <c r="D1806" s="52" t="s">
        <v>105</v>
      </c>
      <c r="E1806" s="54">
        <v>6</v>
      </c>
      <c r="F1806" s="55">
        <v>78278.5</v>
      </c>
      <c r="G1806" s="55">
        <v>36277.9</v>
      </c>
    </row>
    <row r="1807" spans="1:7" ht="10.050000000000001" customHeight="1">
      <c r="A1807" s="52" t="s">
        <v>421</v>
      </c>
      <c r="B1807" s="52" t="s">
        <v>173</v>
      </c>
      <c r="C1807" s="53">
        <v>2001</v>
      </c>
      <c r="D1807" s="52" t="s">
        <v>108</v>
      </c>
      <c r="E1807" s="54">
        <v>7</v>
      </c>
      <c r="F1807" s="55">
        <v>100321.3</v>
      </c>
      <c r="G1807" s="55">
        <v>75115.5</v>
      </c>
    </row>
    <row r="1808" spans="1:7" ht="10.050000000000001" customHeight="1">
      <c r="A1808" s="52" t="s">
        <v>421</v>
      </c>
      <c r="B1808" s="52" t="s">
        <v>173</v>
      </c>
      <c r="C1808" s="53">
        <v>2001</v>
      </c>
      <c r="D1808" s="52" t="s">
        <v>108</v>
      </c>
      <c r="E1808" s="54">
        <v>8</v>
      </c>
      <c r="F1808" s="55">
        <v>102016.6</v>
      </c>
      <c r="G1808" s="55">
        <v>75529.3</v>
      </c>
    </row>
    <row r="1809" spans="1:7" ht="10.050000000000001" customHeight="1">
      <c r="A1809" s="52" t="s">
        <v>421</v>
      </c>
      <c r="B1809" s="52" t="s">
        <v>173</v>
      </c>
      <c r="C1809" s="53">
        <v>2001</v>
      </c>
      <c r="D1809" s="52" t="s">
        <v>108</v>
      </c>
      <c r="E1809" s="54">
        <v>9</v>
      </c>
      <c r="F1809" s="55">
        <v>99563.8</v>
      </c>
      <c r="G1809" s="55">
        <v>75195.7</v>
      </c>
    </row>
    <row r="1810" spans="1:7" ht="10.050000000000001" customHeight="1">
      <c r="A1810" s="52" t="s">
        <v>421</v>
      </c>
      <c r="B1810" s="52" t="s">
        <v>173</v>
      </c>
      <c r="C1810" s="53">
        <v>2001</v>
      </c>
      <c r="D1810" s="52" t="s">
        <v>108</v>
      </c>
      <c r="E1810" s="54">
        <v>10</v>
      </c>
      <c r="F1810" s="55">
        <v>112944.6</v>
      </c>
      <c r="G1810" s="55">
        <v>63911</v>
      </c>
    </row>
    <row r="1811" spans="1:7" ht="10.050000000000001" customHeight="1">
      <c r="A1811" s="52" t="s">
        <v>421</v>
      </c>
      <c r="B1811" s="52" t="s">
        <v>173</v>
      </c>
      <c r="C1811" s="53">
        <v>2001</v>
      </c>
      <c r="D1811" s="52" t="s">
        <v>108</v>
      </c>
      <c r="E1811" s="54">
        <v>11</v>
      </c>
      <c r="F1811" s="55">
        <v>114319.8</v>
      </c>
      <c r="G1811" s="55">
        <v>56027.1</v>
      </c>
    </row>
    <row r="1812" spans="1:7" ht="10.050000000000001" customHeight="1">
      <c r="A1812" s="52" t="s">
        <v>421</v>
      </c>
      <c r="B1812" s="52" t="s">
        <v>173</v>
      </c>
      <c r="C1812" s="53">
        <v>2001</v>
      </c>
      <c r="D1812" s="52" t="s">
        <v>108</v>
      </c>
      <c r="E1812" s="54">
        <v>12</v>
      </c>
      <c r="F1812" s="55">
        <v>120228.9</v>
      </c>
      <c r="G1812" s="55">
        <v>55198.3</v>
      </c>
    </row>
    <row r="1813" spans="1:7" ht="10.050000000000001" customHeight="1">
      <c r="A1813" s="52" t="s">
        <v>421</v>
      </c>
      <c r="B1813" s="52" t="s">
        <v>173</v>
      </c>
      <c r="C1813" s="53">
        <v>2002</v>
      </c>
      <c r="D1813" s="52" t="s">
        <v>108</v>
      </c>
      <c r="E1813" s="54">
        <v>1</v>
      </c>
      <c r="F1813" s="55">
        <v>137532.1</v>
      </c>
      <c r="G1813" s="55">
        <v>54738.1</v>
      </c>
    </row>
    <row r="1814" spans="1:7" ht="10.050000000000001" customHeight="1">
      <c r="A1814" s="52" t="s">
        <v>421</v>
      </c>
      <c r="B1814" s="52" t="s">
        <v>173</v>
      </c>
      <c r="C1814" s="53">
        <v>2002</v>
      </c>
      <c r="D1814" s="52" t="s">
        <v>108</v>
      </c>
      <c r="E1814" s="54">
        <v>2</v>
      </c>
      <c r="F1814" s="55">
        <v>124002.6</v>
      </c>
      <c r="G1814" s="55">
        <v>65461.4</v>
      </c>
    </row>
    <row r="1815" spans="1:7" ht="10.050000000000001" customHeight="1">
      <c r="A1815" s="52" t="s">
        <v>421</v>
      </c>
      <c r="B1815" s="52" t="s">
        <v>173</v>
      </c>
      <c r="C1815" s="53">
        <v>2002</v>
      </c>
      <c r="D1815" s="52" t="s">
        <v>108</v>
      </c>
      <c r="E1815" s="54">
        <v>3</v>
      </c>
      <c r="F1815" s="55">
        <v>129922.7</v>
      </c>
      <c r="G1815" s="55">
        <v>59609.1</v>
      </c>
    </row>
    <row r="1816" spans="1:7" ht="10.050000000000001" customHeight="1">
      <c r="A1816" s="52" t="s">
        <v>421</v>
      </c>
      <c r="B1816" s="52" t="s">
        <v>173</v>
      </c>
      <c r="C1816" s="53">
        <v>2002</v>
      </c>
      <c r="D1816" s="52" t="s">
        <v>108</v>
      </c>
      <c r="E1816" s="54">
        <v>4</v>
      </c>
      <c r="F1816" s="55">
        <v>124839.3</v>
      </c>
      <c r="G1816" s="55">
        <v>62184.800000000003</v>
      </c>
    </row>
    <row r="1817" spans="1:7" ht="10.050000000000001" customHeight="1">
      <c r="A1817" s="52" t="s">
        <v>421</v>
      </c>
      <c r="B1817" s="52" t="s">
        <v>173</v>
      </c>
      <c r="C1817" s="53">
        <v>2002</v>
      </c>
      <c r="D1817" s="52" t="s">
        <v>108</v>
      </c>
      <c r="E1817" s="54">
        <v>5</v>
      </c>
      <c r="F1817" s="55">
        <v>123306.8</v>
      </c>
      <c r="G1817" s="55">
        <v>58004.5</v>
      </c>
    </row>
    <row r="1818" spans="1:7" ht="10.050000000000001" customHeight="1">
      <c r="A1818" s="52" t="s">
        <v>421</v>
      </c>
      <c r="B1818" s="52" t="s">
        <v>173</v>
      </c>
      <c r="C1818" s="53">
        <v>2002</v>
      </c>
      <c r="D1818" s="52" t="s">
        <v>108</v>
      </c>
      <c r="E1818" s="54">
        <v>6</v>
      </c>
      <c r="F1818" s="55">
        <v>111640.4</v>
      </c>
      <c r="G1818" s="55">
        <v>46092.3</v>
      </c>
    </row>
    <row r="1819" spans="1:7" ht="10.050000000000001" customHeight="1">
      <c r="A1819" s="52" t="s">
        <v>421</v>
      </c>
      <c r="B1819" s="52" t="s">
        <v>173</v>
      </c>
      <c r="C1819" s="53">
        <v>2002</v>
      </c>
      <c r="D1819" s="52" t="s">
        <v>109</v>
      </c>
      <c r="E1819" s="54">
        <v>7</v>
      </c>
      <c r="F1819" s="55">
        <v>130709.1</v>
      </c>
      <c r="G1819" s="55">
        <v>88341.4</v>
      </c>
    </row>
    <row r="1820" spans="1:7" ht="10.050000000000001" customHeight="1">
      <c r="A1820" s="52" t="s">
        <v>421</v>
      </c>
      <c r="B1820" s="52" t="s">
        <v>173</v>
      </c>
      <c r="C1820" s="53">
        <v>2002</v>
      </c>
      <c r="D1820" s="52" t="s">
        <v>109</v>
      </c>
      <c r="E1820" s="54">
        <v>8</v>
      </c>
      <c r="F1820" s="55">
        <v>118678.9</v>
      </c>
      <c r="G1820" s="55">
        <v>80126</v>
      </c>
    </row>
    <row r="1821" spans="1:7" ht="10.050000000000001" customHeight="1">
      <c r="A1821" s="52" t="s">
        <v>421</v>
      </c>
      <c r="B1821" s="52" t="s">
        <v>173</v>
      </c>
      <c r="C1821" s="53">
        <v>2002</v>
      </c>
      <c r="D1821" s="52" t="s">
        <v>109</v>
      </c>
      <c r="E1821" s="54">
        <v>9</v>
      </c>
      <c r="F1821" s="55">
        <v>113359.1</v>
      </c>
      <c r="G1821" s="55">
        <v>76815.600000000006</v>
      </c>
    </row>
    <row r="1822" spans="1:7" ht="10.050000000000001" customHeight="1">
      <c r="A1822" s="52" t="s">
        <v>421</v>
      </c>
      <c r="B1822" s="52" t="s">
        <v>173</v>
      </c>
      <c r="C1822" s="53">
        <v>2002</v>
      </c>
      <c r="D1822" s="52" t="s">
        <v>109</v>
      </c>
      <c r="E1822" s="54">
        <v>10</v>
      </c>
      <c r="F1822" s="55">
        <v>120764.4</v>
      </c>
      <c r="G1822" s="55">
        <v>63574.8</v>
      </c>
    </row>
    <row r="1823" spans="1:7" ht="10.050000000000001" customHeight="1">
      <c r="A1823" s="52" t="s">
        <v>421</v>
      </c>
      <c r="B1823" s="52" t="s">
        <v>173</v>
      </c>
      <c r="C1823" s="53">
        <v>2002</v>
      </c>
      <c r="D1823" s="52" t="s">
        <v>109</v>
      </c>
      <c r="E1823" s="54">
        <v>11</v>
      </c>
      <c r="F1823" s="55">
        <v>102355.6</v>
      </c>
      <c r="G1823" s="55">
        <v>55882.2</v>
      </c>
    </row>
    <row r="1824" spans="1:7" ht="10.050000000000001" customHeight="1">
      <c r="A1824" s="52" t="s">
        <v>421</v>
      </c>
      <c r="B1824" s="52" t="s">
        <v>173</v>
      </c>
      <c r="C1824" s="53">
        <v>2002</v>
      </c>
      <c r="D1824" s="52" t="s">
        <v>109</v>
      </c>
      <c r="E1824" s="54">
        <v>12</v>
      </c>
      <c r="F1824" s="55">
        <v>104410.9</v>
      </c>
      <c r="G1824" s="55">
        <v>50177.3</v>
      </c>
    </row>
    <row r="1825" spans="1:7" ht="10.050000000000001" customHeight="1">
      <c r="A1825" s="52" t="s">
        <v>421</v>
      </c>
      <c r="B1825" s="52" t="s">
        <v>173</v>
      </c>
      <c r="C1825" s="53">
        <v>2003</v>
      </c>
      <c r="D1825" s="52" t="s">
        <v>109</v>
      </c>
      <c r="E1825" s="54">
        <v>1</v>
      </c>
      <c r="F1825" s="55">
        <v>112368.2</v>
      </c>
      <c r="G1825" s="55">
        <v>50501</v>
      </c>
    </row>
    <row r="1826" spans="1:7" ht="10.050000000000001" customHeight="1">
      <c r="A1826" s="52" t="s">
        <v>421</v>
      </c>
      <c r="B1826" s="52" t="s">
        <v>173</v>
      </c>
      <c r="C1826" s="53">
        <v>2003</v>
      </c>
      <c r="D1826" s="52" t="s">
        <v>109</v>
      </c>
      <c r="E1826" s="54">
        <v>2</v>
      </c>
      <c r="F1826" s="55">
        <v>102065</v>
      </c>
      <c r="G1826" s="55">
        <v>50748.9</v>
      </c>
    </row>
    <row r="1827" spans="1:7" ht="10.050000000000001" customHeight="1">
      <c r="A1827" s="52" t="s">
        <v>421</v>
      </c>
      <c r="B1827" s="52" t="s">
        <v>173</v>
      </c>
      <c r="C1827" s="53">
        <v>2003</v>
      </c>
      <c r="D1827" s="52" t="s">
        <v>109</v>
      </c>
      <c r="E1827" s="54">
        <v>3</v>
      </c>
      <c r="F1827" s="55">
        <v>100529.60000000001</v>
      </c>
      <c r="G1827" s="55">
        <v>44796.5</v>
      </c>
    </row>
    <row r="1828" spans="1:7" ht="10.050000000000001" customHeight="1">
      <c r="A1828" s="52" t="s">
        <v>421</v>
      </c>
      <c r="B1828" s="52" t="s">
        <v>173</v>
      </c>
      <c r="C1828" s="53">
        <v>2003</v>
      </c>
      <c r="D1828" s="52" t="s">
        <v>109</v>
      </c>
      <c r="E1828" s="54">
        <v>4</v>
      </c>
      <c r="F1828" s="55">
        <v>96468.4</v>
      </c>
      <c r="G1828" s="55">
        <v>41156.300000000003</v>
      </c>
    </row>
    <row r="1829" spans="1:7" ht="10.050000000000001" customHeight="1">
      <c r="A1829" s="52" t="s">
        <v>421</v>
      </c>
      <c r="B1829" s="52" t="s">
        <v>173</v>
      </c>
      <c r="C1829" s="53">
        <v>2003</v>
      </c>
      <c r="D1829" s="52" t="s">
        <v>109</v>
      </c>
      <c r="E1829" s="54">
        <v>5</v>
      </c>
      <c r="F1829" s="55">
        <v>93151.2</v>
      </c>
      <c r="G1829" s="55">
        <v>41739.4</v>
      </c>
    </row>
    <row r="1830" spans="1:7" ht="10.050000000000001" customHeight="1">
      <c r="A1830" s="52" t="s">
        <v>421</v>
      </c>
      <c r="B1830" s="52" t="s">
        <v>173</v>
      </c>
      <c r="C1830" s="53">
        <v>2003</v>
      </c>
      <c r="D1830" s="52" t="s">
        <v>109</v>
      </c>
      <c r="E1830" s="54">
        <v>6</v>
      </c>
      <c r="F1830" s="55">
        <v>91683.3</v>
      </c>
      <c r="G1830" s="55">
        <v>42466.5</v>
      </c>
    </row>
    <row r="1831" spans="1:7" ht="10.050000000000001" customHeight="1">
      <c r="A1831" s="52" t="s">
        <v>421</v>
      </c>
      <c r="B1831" s="52" t="s">
        <v>173</v>
      </c>
      <c r="C1831" s="53">
        <v>2003</v>
      </c>
      <c r="D1831" s="52" t="s">
        <v>106</v>
      </c>
      <c r="E1831" s="54">
        <v>7</v>
      </c>
      <c r="F1831" s="55">
        <v>129571.5</v>
      </c>
      <c r="G1831" s="55">
        <v>85122.2</v>
      </c>
    </row>
    <row r="1832" spans="1:7" ht="10.050000000000001" customHeight="1">
      <c r="A1832" s="52" t="s">
        <v>421</v>
      </c>
      <c r="B1832" s="52" t="s">
        <v>173</v>
      </c>
      <c r="C1832" s="53">
        <v>2003</v>
      </c>
      <c r="D1832" s="52" t="s">
        <v>106</v>
      </c>
      <c r="E1832" s="54">
        <v>8</v>
      </c>
      <c r="F1832" s="55">
        <v>116080.1</v>
      </c>
      <c r="G1832" s="55">
        <v>77572.7</v>
      </c>
    </row>
    <row r="1833" spans="1:7" ht="10.050000000000001" customHeight="1">
      <c r="A1833" s="52" t="s">
        <v>421</v>
      </c>
      <c r="B1833" s="52" t="s">
        <v>173</v>
      </c>
      <c r="C1833" s="53">
        <v>2003</v>
      </c>
      <c r="D1833" s="52" t="s">
        <v>106</v>
      </c>
      <c r="E1833" s="54">
        <v>9</v>
      </c>
      <c r="F1833" s="55">
        <v>129908</v>
      </c>
      <c r="G1833" s="55">
        <v>72403.100000000006</v>
      </c>
    </row>
    <row r="1834" spans="1:7" ht="10.050000000000001" customHeight="1">
      <c r="A1834" s="52" t="s">
        <v>421</v>
      </c>
      <c r="B1834" s="52" t="s">
        <v>173</v>
      </c>
      <c r="C1834" s="53">
        <v>2003</v>
      </c>
      <c r="D1834" s="52" t="s">
        <v>106</v>
      </c>
      <c r="E1834" s="54">
        <v>10</v>
      </c>
      <c r="F1834" s="55">
        <v>155342.9</v>
      </c>
      <c r="G1834" s="55">
        <v>54567.8</v>
      </c>
    </row>
    <row r="1835" spans="1:7" ht="10.050000000000001" customHeight="1">
      <c r="A1835" s="52" t="s">
        <v>421</v>
      </c>
      <c r="B1835" s="52" t="s">
        <v>173</v>
      </c>
      <c r="C1835" s="53">
        <v>2003</v>
      </c>
      <c r="D1835" s="52" t="s">
        <v>106</v>
      </c>
      <c r="E1835" s="54">
        <v>11</v>
      </c>
      <c r="F1835" s="55">
        <v>157823.5</v>
      </c>
      <c r="G1835" s="55">
        <v>59371.4</v>
      </c>
    </row>
    <row r="1836" spans="1:7" ht="10.050000000000001" customHeight="1">
      <c r="A1836" s="52" t="s">
        <v>421</v>
      </c>
      <c r="B1836" s="52" t="s">
        <v>173</v>
      </c>
      <c r="C1836" s="53">
        <v>2003</v>
      </c>
      <c r="D1836" s="52" t="s">
        <v>106</v>
      </c>
      <c r="E1836" s="54">
        <v>12</v>
      </c>
      <c r="F1836" s="55">
        <v>200669</v>
      </c>
      <c r="G1836" s="55">
        <v>71870.7</v>
      </c>
    </row>
    <row r="1837" spans="1:7" ht="10.050000000000001" customHeight="1">
      <c r="A1837" s="52" t="s">
        <v>421</v>
      </c>
      <c r="B1837" s="52" t="s">
        <v>173</v>
      </c>
      <c r="C1837" s="53">
        <v>2004</v>
      </c>
      <c r="D1837" s="52" t="s">
        <v>106</v>
      </c>
      <c r="E1837" s="54">
        <v>1</v>
      </c>
      <c r="F1837" s="55">
        <v>205084.79999999999</v>
      </c>
      <c r="G1837" s="55">
        <v>66272</v>
      </c>
    </row>
    <row r="1838" spans="1:7" ht="10.050000000000001" customHeight="1">
      <c r="A1838" s="52" t="s">
        <v>421</v>
      </c>
      <c r="B1838" s="52" t="s">
        <v>173</v>
      </c>
      <c r="C1838" s="53">
        <v>2004</v>
      </c>
      <c r="D1838" s="52" t="s">
        <v>106</v>
      </c>
      <c r="E1838" s="54">
        <v>2</v>
      </c>
      <c r="F1838" s="55">
        <v>170443.8</v>
      </c>
      <c r="G1838" s="55">
        <v>73721.100000000006</v>
      </c>
    </row>
    <row r="1839" spans="1:7" ht="10.050000000000001" customHeight="1">
      <c r="A1839" s="52" t="s">
        <v>421</v>
      </c>
      <c r="B1839" s="52" t="s">
        <v>173</v>
      </c>
      <c r="C1839" s="53">
        <v>2004</v>
      </c>
      <c r="D1839" s="52" t="s">
        <v>106</v>
      </c>
      <c r="E1839" s="54">
        <v>3</v>
      </c>
      <c r="F1839" s="55">
        <v>188740.5</v>
      </c>
      <c r="G1839" s="55">
        <v>68148.399999999994</v>
      </c>
    </row>
    <row r="1840" spans="1:7" ht="10.050000000000001" customHeight="1">
      <c r="A1840" s="52" t="s">
        <v>421</v>
      </c>
      <c r="B1840" s="52" t="s">
        <v>173</v>
      </c>
      <c r="C1840" s="53">
        <v>2004</v>
      </c>
      <c r="D1840" s="52" t="s">
        <v>106</v>
      </c>
      <c r="E1840" s="54">
        <v>4</v>
      </c>
      <c r="F1840" s="55">
        <v>194781.5</v>
      </c>
      <c r="G1840" s="55">
        <v>63314.6</v>
      </c>
    </row>
    <row r="1841" spans="1:7" ht="10.050000000000001" customHeight="1">
      <c r="A1841" s="52" t="s">
        <v>421</v>
      </c>
      <c r="B1841" s="52" t="s">
        <v>173</v>
      </c>
      <c r="C1841" s="53">
        <v>2004</v>
      </c>
      <c r="D1841" s="52" t="s">
        <v>106</v>
      </c>
      <c r="E1841" s="54">
        <v>5</v>
      </c>
      <c r="F1841" s="55">
        <v>176727</v>
      </c>
      <c r="G1841" s="55">
        <v>51480</v>
      </c>
    </row>
    <row r="1842" spans="1:7" ht="10.050000000000001" customHeight="1">
      <c r="A1842" s="52" t="s">
        <v>421</v>
      </c>
      <c r="B1842" s="52" t="s">
        <v>173</v>
      </c>
      <c r="C1842" s="53">
        <v>2004</v>
      </c>
      <c r="D1842" s="52" t="s">
        <v>106</v>
      </c>
      <c r="E1842" s="54">
        <v>6</v>
      </c>
      <c r="F1842" s="55">
        <v>183784.8</v>
      </c>
      <c r="G1842" s="55">
        <v>55156.6</v>
      </c>
    </row>
    <row r="1843" spans="1:7" ht="10.050000000000001" customHeight="1">
      <c r="A1843" s="52" t="s">
        <v>421</v>
      </c>
      <c r="B1843" s="52" t="s">
        <v>173</v>
      </c>
      <c r="C1843" s="53">
        <v>2004</v>
      </c>
      <c r="D1843" s="52" t="s">
        <v>110</v>
      </c>
      <c r="E1843" s="54">
        <v>7</v>
      </c>
      <c r="F1843" s="55">
        <v>201234.2</v>
      </c>
      <c r="G1843" s="55">
        <v>92015.9</v>
      </c>
    </row>
    <row r="1844" spans="1:7" ht="10.050000000000001" customHeight="1">
      <c r="A1844" s="52" t="s">
        <v>421</v>
      </c>
      <c r="B1844" s="52" t="s">
        <v>173</v>
      </c>
      <c r="C1844" s="53">
        <v>2004</v>
      </c>
      <c r="D1844" s="52" t="s">
        <v>110</v>
      </c>
      <c r="E1844" s="54">
        <v>8</v>
      </c>
      <c r="F1844" s="55">
        <v>143171</v>
      </c>
      <c r="G1844" s="55">
        <v>74577.600000000006</v>
      </c>
    </row>
    <row r="1845" spans="1:7" ht="10.050000000000001" customHeight="1">
      <c r="A1845" s="52" t="s">
        <v>421</v>
      </c>
      <c r="B1845" s="52" t="s">
        <v>173</v>
      </c>
      <c r="C1845" s="53">
        <v>2004</v>
      </c>
      <c r="D1845" s="52" t="s">
        <v>110</v>
      </c>
      <c r="E1845" s="54">
        <v>9</v>
      </c>
      <c r="F1845" s="55">
        <v>126544.7</v>
      </c>
      <c r="G1845" s="55">
        <v>69207.5</v>
      </c>
    </row>
    <row r="1846" spans="1:7" ht="10.050000000000001" customHeight="1">
      <c r="A1846" s="52" t="s">
        <v>421</v>
      </c>
      <c r="B1846" s="52" t="s">
        <v>173</v>
      </c>
      <c r="C1846" s="53">
        <v>2004</v>
      </c>
      <c r="D1846" s="52" t="s">
        <v>110</v>
      </c>
      <c r="E1846" s="54">
        <v>10</v>
      </c>
      <c r="F1846" s="55">
        <v>104311.1</v>
      </c>
      <c r="G1846" s="55">
        <v>60343.1</v>
      </c>
    </row>
    <row r="1847" spans="1:7" ht="10.050000000000001" customHeight="1">
      <c r="A1847" s="52" t="s">
        <v>421</v>
      </c>
      <c r="B1847" s="52" t="s">
        <v>173</v>
      </c>
      <c r="C1847" s="53">
        <v>2004</v>
      </c>
      <c r="D1847" s="52" t="s">
        <v>110</v>
      </c>
      <c r="E1847" s="54">
        <v>11</v>
      </c>
      <c r="F1847" s="55">
        <v>94945.5</v>
      </c>
      <c r="G1847" s="55">
        <v>60057.4</v>
      </c>
    </row>
    <row r="1848" spans="1:7" ht="10.050000000000001" customHeight="1">
      <c r="A1848" s="52" t="s">
        <v>421</v>
      </c>
      <c r="B1848" s="52" t="s">
        <v>173</v>
      </c>
      <c r="C1848" s="53">
        <v>2004</v>
      </c>
      <c r="D1848" s="52" t="s">
        <v>110</v>
      </c>
      <c r="E1848" s="54">
        <v>12</v>
      </c>
      <c r="F1848" s="55">
        <v>99344.5</v>
      </c>
      <c r="G1848" s="55">
        <v>57442.5</v>
      </c>
    </row>
    <row r="1849" spans="1:7" ht="10.050000000000001" customHeight="1">
      <c r="A1849" s="52" t="s">
        <v>421</v>
      </c>
      <c r="B1849" s="52" t="s">
        <v>173</v>
      </c>
      <c r="C1849" s="53">
        <v>2005</v>
      </c>
      <c r="D1849" s="52" t="s">
        <v>110</v>
      </c>
      <c r="E1849" s="54">
        <v>1</v>
      </c>
      <c r="F1849" s="55">
        <v>86804.1</v>
      </c>
      <c r="G1849" s="55">
        <v>59581.8</v>
      </c>
    </row>
    <row r="1850" spans="1:7" ht="10.050000000000001" customHeight="1">
      <c r="A1850" s="52" t="s">
        <v>421</v>
      </c>
      <c r="B1850" s="52" t="s">
        <v>173</v>
      </c>
      <c r="C1850" s="53">
        <v>2005</v>
      </c>
      <c r="D1850" s="52" t="s">
        <v>110</v>
      </c>
      <c r="E1850" s="54">
        <v>2</v>
      </c>
      <c r="F1850" s="55">
        <v>83672.5</v>
      </c>
      <c r="G1850" s="55">
        <v>59200.6</v>
      </c>
    </row>
    <row r="1851" spans="1:7" ht="10.050000000000001" customHeight="1">
      <c r="A1851" s="52" t="s">
        <v>421</v>
      </c>
      <c r="B1851" s="52" t="s">
        <v>173</v>
      </c>
      <c r="C1851" s="53">
        <v>2005</v>
      </c>
      <c r="D1851" s="52" t="s">
        <v>110</v>
      </c>
      <c r="E1851" s="54">
        <v>3</v>
      </c>
      <c r="F1851" s="55">
        <v>90517.7</v>
      </c>
      <c r="G1851" s="55">
        <v>56087.6</v>
      </c>
    </row>
    <row r="1852" spans="1:7" ht="10.050000000000001" customHeight="1">
      <c r="A1852" s="52" t="s">
        <v>421</v>
      </c>
      <c r="B1852" s="52" t="s">
        <v>173</v>
      </c>
      <c r="C1852" s="53">
        <v>2005</v>
      </c>
      <c r="D1852" s="52" t="s">
        <v>110</v>
      </c>
      <c r="E1852" s="54">
        <v>4</v>
      </c>
      <c r="F1852" s="55">
        <v>81424.7</v>
      </c>
      <c r="G1852" s="55">
        <v>52605.7</v>
      </c>
    </row>
    <row r="1853" spans="1:7" ht="10.050000000000001" customHeight="1">
      <c r="A1853" s="52" t="s">
        <v>421</v>
      </c>
      <c r="B1853" s="52" t="s">
        <v>173</v>
      </c>
      <c r="C1853" s="53">
        <v>2005</v>
      </c>
      <c r="D1853" s="52" t="s">
        <v>110</v>
      </c>
      <c r="E1853" s="54">
        <v>5</v>
      </c>
      <c r="F1853" s="55">
        <v>78018.600000000006</v>
      </c>
      <c r="G1853" s="55">
        <v>46824.3</v>
      </c>
    </row>
    <row r="1854" spans="1:7" ht="10.050000000000001" customHeight="1">
      <c r="A1854" s="52" t="s">
        <v>421</v>
      </c>
      <c r="B1854" s="52" t="s">
        <v>173</v>
      </c>
      <c r="C1854" s="53">
        <v>2005</v>
      </c>
      <c r="D1854" s="52" t="s">
        <v>110</v>
      </c>
      <c r="E1854" s="54">
        <v>6</v>
      </c>
      <c r="F1854" s="55">
        <v>79534.8</v>
      </c>
      <c r="G1854" s="55">
        <v>45225.599999999999</v>
      </c>
    </row>
    <row r="1855" spans="1:7" ht="10.050000000000001" customHeight="1">
      <c r="A1855" s="52" t="s">
        <v>421</v>
      </c>
      <c r="B1855" s="52" t="s">
        <v>173</v>
      </c>
      <c r="C1855" s="53">
        <v>2005</v>
      </c>
      <c r="D1855" s="52" t="s">
        <v>111</v>
      </c>
      <c r="E1855" s="54">
        <v>7</v>
      </c>
      <c r="F1855" s="55">
        <v>84348.1</v>
      </c>
      <c r="G1855" s="55">
        <v>100743.4</v>
      </c>
    </row>
    <row r="1856" spans="1:7" ht="10.050000000000001" customHeight="1">
      <c r="A1856" s="52" t="s">
        <v>421</v>
      </c>
      <c r="B1856" s="52" t="s">
        <v>173</v>
      </c>
      <c r="C1856" s="53">
        <v>2005</v>
      </c>
      <c r="D1856" s="52" t="s">
        <v>111</v>
      </c>
      <c r="E1856" s="54">
        <v>8</v>
      </c>
      <c r="F1856" s="55">
        <v>84769.3</v>
      </c>
      <c r="G1856" s="55">
        <v>86389.2</v>
      </c>
    </row>
    <row r="1857" spans="1:7" ht="10.050000000000001" customHeight="1">
      <c r="A1857" s="52" t="s">
        <v>421</v>
      </c>
      <c r="B1857" s="52" t="s">
        <v>173</v>
      </c>
      <c r="C1857" s="53">
        <v>2005</v>
      </c>
      <c r="D1857" s="52" t="s">
        <v>111</v>
      </c>
      <c r="E1857" s="54">
        <v>9</v>
      </c>
      <c r="F1857" s="55">
        <v>91729.4</v>
      </c>
      <c r="G1857" s="55">
        <v>77226.399999999994</v>
      </c>
    </row>
    <row r="1858" spans="1:7" ht="10.050000000000001" customHeight="1">
      <c r="A1858" s="52" t="s">
        <v>421</v>
      </c>
      <c r="B1858" s="52" t="s">
        <v>173</v>
      </c>
      <c r="C1858" s="53">
        <v>2005</v>
      </c>
      <c r="D1858" s="52" t="s">
        <v>111</v>
      </c>
      <c r="E1858" s="54">
        <v>10</v>
      </c>
      <c r="F1858" s="55">
        <v>78922.8</v>
      </c>
      <c r="G1858" s="55">
        <v>72670.100000000006</v>
      </c>
    </row>
    <row r="1859" spans="1:7" ht="10.050000000000001" customHeight="1">
      <c r="A1859" s="52" t="s">
        <v>421</v>
      </c>
      <c r="B1859" s="52" t="s">
        <v>173</v>
      </c>
      <c r="C1859" s="53">
        <v>2005</v>
      </c>
      <c r="D1859" s="52" t="s">
        <v>111</v>
      </c>
      <c r="E1859" s="54">
        <v>11</v>
      </c>
      <c r="F1859" s="55">
        <v>81675.300000000105</v>
      </c>
      <c r="G1859" s="55">
        <v>61070.5</v>
      </c>
    </row>
    <row r="1860" spans="1:7" ht="10.050000000000001" customHeight="1">
      <c r="A1860" s="52" t="s">
        <v>421</v>
      </c>
      <c r="B1860" s="52" t="s">
        <v>173</v>
      </c>
      <c r="C1860" s="53">
        <v>2005</v>
      </c>
      <c r="D1860" s="52" t="s">
        <v>111</v>
      </c>
      <c r="E1860" s="54">
        <v>12</v>
      </c>
      <c r="F1860" s="55">
        <v>84895.1</v>
      </c>
      <c r="G1860" s="55">
        <v>53341.4</v>
      </c>
    </row>
    <row r="1861" spans="1:7" ht="10.050000000000001" customHeight="1">
      <c r="A1861" s="52" t="s">
        <v>421</v>
      </c>
      <c r="B1861" s="52" t="s">
        <v>173</v>
      </c>
      <c r="C1861" s="53">
        <v>2006</v>
      </c>
      <c r="D1861" s="52" t="s">
        <v>111</v>
      </c>
      <c r="E1861" s="54">
        <v>1</v>
      </c>
      <c r="F1861" s="55">
        <v>84650</v>
      </c>
      <c r="G1861" s="55">
        <v>55626</v>
      </c>
    </row>
    <row r="1862" spans="1:7" ht="10.050000000000001" customHeight="1">
      <c r="A1862" s="52" t="s">
        <v>421</v>
      </c>
      <c r="B1862" s="52" t="s">
        <v>173</v>
      </c>
      <c r="C1862" s="53">
        <v>2006</v>
      </c>
      <c r="D1862" s="52" t="s">
        <v>111</v>
      </c>
      <c r="E1862" s="54">
        <v>2</v>
      </c>
      <c r="F1862" s="55">
        <v>79884.100000000006</v>
      </c>
      <c r="G1862" s="55">
        <v>54384.9</v>
      </c>
    </row>
    <row r="1863" spans="1:7" ht="10.050000000000001" customHeight="1">
      <c r="A1863" s="52" t="s">
        <v>421</v>
      </c>
      <c r="B1863" s="52" t="s">
        <v>173</v>
      </c>
      <c r="C1863" s="53">
        <v>2006</v>
      </c>
      <c r="D1863" s="52" t="s">
        <v>111</v>
      </c>
      <c r="E1863" s="54">
        <v>3</v>
      </c>
      <c r="F1863" s="55">
        <v>100410.8</v>
      </c>
      <c r="G1863" s="55">
        <v>51261.3</v>
      </c>
    </row>
    <row r="1864" spans="1:7" ht="10.050000000000001" customHeight="1">
      <c r="A1864" s="52" t="s">
        <v>421</v>
      </c>
      <c r="B1864" s="52" t="s">
        <v>173</v>
      </c>
      <c r="C1864" s="53">
        <v>2006</v>
      </c>
      <c r="D1864" s="52" t="s">
        <v>111</v>
      </c>
      <c r="E1864" s="54">
        <v>4</v>
      </c>
      <c r="F1864" s="55">
        <v>90340.4</v>
      </c>
      <c r="G1864" s="55">
        <v>51262.400000000001</v>
      </c>
    </row>
    <row r="1865" spans="1:7" ht="10.050000000000001" customHeight="1">
      <c r="A1865" s="52" t="s">
        <v>421</v>
      </c>
      <c r="B1865" s="52" t="s">
        <v>173</v>
      </c>
      <c r="C1865" s="53">
        <v>2006</v>
      </c>
      <c r="D1865" s="52" t="s">
        <v>111</v>
      </c>
      <c r="E1865" s="54">
        <v>5</v>
      </c>
      <c r="F1865" s="55">
        <v>103957.9</v>
      </c>
      <c r="G1865" s="55">
        <v>48145.1</v>
      </c>
    </row>
    <row r="1866" spans="1:7" ht="10.050000000000001" customHeight="1">
      <c r="A1866" s="52" t="s">
        <v>421</v>
      </c>
      <c r="B1866" s="52" t="s">
        <v>173</v>
      </c>
      <c r="C1866" s="53">
        <v>2006</v>
      </c>
      <c r="D1866" s="52" t="s">
        <v>111</v>
      </c>
      <c r="E1866" s="54">
        <v>6</v>
      </c>
      <c r="F1866" s="55">
        <v>122959.1</v>
      </c>
      <c r="G1866" s="55">
        <v>44707.3</v>
      </c>
    </row>
    <row r="1867" spans="1:7" ht="10.050000000000001" customHeight="1">
      <c r="A1867" s="52" t="s">
        <v>421</v>
      </c>
      <c r="B1867" s="52" t="s">
        <v>173</v>
      </c>
      <c r="C1867" s="53">
        <v>2006</v>
      </c>
      <c r="D1867" s="52" t="s">
        <v>112</v>
      </c>
      <c r="E1867" s="54">
        <v>7</v>
      </c>
      <c r="F1867" s="55">
        <v>130498.3</v>
      </c>
      <c r="G1867" s="55">
        <v>111796.4</v>
      </c>
    </row>
    <row r="1868" spans="1:7" ht="10.050000000000001" customHeight="1">
      <c r="A1868" s="52" t="s">
        <v>421</v>
      </c>
      <c r="B1868" s="52" t="s">
        <v>173</v>
      </c>
      <c r="C1868" s="53">
        <v>2006</v>
      </c>
      <c r="D1868" s="52" t="s">
        <v>112</v>
      </c>
      <c r="E1868" s="54">
        <v>8</v>
      </c>
      <c r="F1868" s="55">
        <v>147464.6</v>
      </c>
      <c r="G1868" s="55">
        <v>78347.7</v>
      </c>
    </row>
    <row r="1869" spans="1:7" ht="10.050000000000001" customHeight="1">
      <c r="A1869" s="52" t="s">
        <v>421</v>
      </c>
      <c r="B1869" s="52" t="s">
        <v>173</v>
      </c>
      <c r="C1869" s="53">
        <v>2006</v>
      </c>
      <c r="D1869" s="52" t="s">
        <v>112</v>
      </c>
      <c r="E1869" s="54">
        <v>9</v>
      </c>
      <c r="F1869" s="55">
        <v>151381.20000000001</v>
      </c>
      <c r="G1869" s="55">
        <v>68976.500000000102</v>
      </c>
    </row>
    <row r="1870" spans="1:7" ht="10.050000000000001" customHeight="1">
      <c r="A1870" s="52" t="s">
        <v>421</v>
      </c>
      <c r="B1870" s="52" t="s">
        <v>173</v>
      </c>
      <c r="C1870" s="53">
        <v>2006</v>
      </c>
      <c r="D1870" s="52" t="s">
        <v>112</v>
      </c>
      <c r="E1870" s="54">
        <v>10</v>
      </c>
      <c r="F1870" s="55">
        <v>164285.29999999999</v>
      </c>
      <c r="G1870" s="55">
        <v>69640.600000000006</v>
      </c>
    </row>
    <row r="1871" spans="1:7" ht="10.050000000000001" customHeight="1">
      <c r="A1871" s="52" t="s">
        <v>421</v>
      </c>
      <c r="B1871" s="52" t="s">
        <v>173</v>
      </c>
      <c r="C1871" s="53">
        <v>2006</v>
      </c>
      <c r="D1871" s="52" t="s">
        <v>112</v>
      </c>
      <c r="E1871" s="54">
        <v>11</v>
      </c>
      <c r="F1871" s="55">
        <v>163825.79999999999</v>
      </c>
      <c r="G1871" s="55">
        <v>58658.400000000001</v>
      </c>
    </row>
    <row r="1872" spans="1:7" ht="10.050000000000001" customHeight="1">
      <c r="A1872" s="52" t="s">
        <v>421</v>
      </c>
      <c r="B1872" s="52" t="s">
        <v>173</v>
      </c>
      <c r="C1872" s="53">
        <v>2006</v>
      </c>
      <c r="D1872" s="52" t="s">
        <v>112</v>
      </c>
      <c r="E1872" s="54">
        <v>12</v>
      </c>
      <c r="F1872" s="55">
        <v>143636.5</v>
      </c>
      <c r="G1872" s="55">
        <v>62569.1</v>
      </c>
    </row>
    <row r="1873" spans="1:7" ht="10.050000000000001" customHeight="1">
      <c r="A1873" s="52" t="s">
        <v>421</v>
      </c>
      <c r="B1873" s="52" t="s">
        <v>173</v>
      </c>
      <c r="C1873" s="53">
        <v>2007</v>
      </c>
      <c r="D1873" s="52" t="s">
        <v>112</v>
      </c>
      <c r="E1873" s="54">
        <v>1</v>
      </c>
      <c r="F1873" s="55">
        <v>141864.29999999999</v>
      </c>
      <c r="G1873" s="55">
        <v>66349.2</v>
      </c>
    </row>
    <row r="1874" spans="1:7" ht="10.050000000000001" customHeight="1">
      <c r="A1874" s="52" t="s">
        <v>421</v>
      </c>
      <c r="B1874" s="52" t="s">
        <v>173</v>
      </c>
      <c r="C1874" s="53">
        <v>2007</v>
      </c>
      <c r="D1874" s="52" t="s">
        <v>112</v>
      </c>
      <c r="E1874" s="54">
        <v>2</v>
      </c>
      <c r="F1874" s="55">
        <v>124043.7</v>
      </c>
      <c r="G1874" s="55">
        <v>69204.600000000006</v>
      </c>
    </row>
    <row r="1875" spans="1:7" ht="10.050000000000001" customHeight="1">
      <c r="A1875" s="52" t="s">
        <v>421</v>
      </c>
      <c r="B1875" s="52" t="s">
        <v>173</v>
      </c>
      <c r="C1875" s="53">
        <v>2007</v>
      </c>
      <c r="D1875" s="52" t="s">
        <v>112</v>
      </c>
      <c r="E1875" s="54">
        <v>3</v>
      </c>
      <c r="F1875" s="55">
        <v>139507.79999999999</v>
      </c>
      <c r="G1875" s="55">
        <v>63708</v>
      </c>
    </row>
    <row r="1876" spans="1:7" ht="10.050000000000001" customHeight="1">
      <c r="A1876" s="52" t="s">
        <v>421</v>
      </c>
      <c r="B1876" s="52" t="s">
        <v>173</v>
      </c>
      <c r="C1876" s="53">
        <v>2007</v>
      </c>
      <c r="D1876" s="52" t="s">
        <v>112</v>
      </c>
      <c r="E1876" s="54">
        <v>4</v>
      </c>
      <c r="F1876" s="55">
        <v>141022.9</v>
      </c>
      <c r="G1876" s="55">
        <v>65387.3</v>
      </c>
    </row>
    <row r="1877" spans="1:7" ht="10.050000000000001" customHeight="1">
      <c r="A1877" s="52" t="s">
        <v>421</v>
      </c>
      <c r="B1877" s="52" t="s">
        <v>173</v>
      </c>
      <c r="C1877" s="53">
        <v>2007</v>
      </c>
      <c r="D1877" s="52" t="s">
        <v>112</v>
      </c>
      <c r="E1877" s="54">
        <v>5</v>
      </c>
      <c r="F1877" s="55">
        <v>139914.79999999999</v>
      </c>
      <c r="G1877" s="55">
        <v>52981</v>
      </c>
    </row>
    <row r="1878" spans="1:7" ht="10.050000000000001" customHeight="1">
      <c r="A1878" s="52" t="s">
        <v>421</v>
      </c>
      <c r="B1878" s="52" t="s">
        <v>173</v>
      </c>
      <c r="C1878" s="53">
        <v>2007</v>
      </c>
      <c r="D1878" s="52" t="s">
        <v>112</v>
      </c>
      <c r="E1878" s="54">
        <v>6</v>
      </c>
      <c r="F1878" s="55">
        <v>126476.9</v>
      </c>
      <c r="G1878" s="55">
        <v>53411.3</v>
      </c>
    </row>
    <row r="1879" spans="1:7" ht="10.050000000000001" customHeight="1">
      <c r="A1879" s="52" t="s">
        <v>421</v>
      </c>
      <c r="B1879" s="52" t="s">
        <v>173</v>
      </c>
      <c r="C1879" s="53">
        <v>2007</v>
      </c>
      <c r="D1879" s="52" t="s">
        <v>113</v>
      </c>
      <c r="E1879" s="54">
        <v>7</v>
      </c>
      <c r="F1879" s="55">
        <v>137909.70000000001</v>
      </c>
      <c r="G1879" s="55">
        <v>86753.4</v>
      </c>
    </row>
    <row r="1880" spans="1:7" ht="10.050000000000001" customHeight="1">
      <c r="A1880" s="52" t="s">
        <v>421</v>
      </c>
      <c r="B1880" s="52" t="s">
        <v>173</v>
      </c>
      <c r="C1880" s="53">
        <v>2007</v>
      </c>
      <c r="D1880" s="52" t="s">
        <v>113</v>
      </c>
      <c r="E1880" s="54">
        <v>8</v>
      </c>
      <c r="F1880" s="55">
        <v>127999</v>
      </c>
      <c r="G1880" s="55">
        <v>71770.3</v>
      </c>
    </row>
    <row r="1881" spans="1:7" ht="10.050000000000001" customHeight="1">
      <c r="A1881" s="52" t="s">
        <v>421</v>
      </c>
      <c r="B1881" s="52" t="s">
        <v>173</v>
      </c>
      <c r="C1881" s="53">
        <v>2007</v>
      </c>
      <c r="D1881" s="52" t="s">
        <v>113</v>
      </c>
      <c r="E1881" s="54">
        <v>9</v>
      </c>
      <c r="F1881" s="55">
        <v>111054.39999999999</v>
      </c>
      <c r="G1881" s="55">
        <v>81868.800000000003</v>
      </c>
    </row>
    <row r="1882" spans="1:7" ht="10.050000000000001" customHeight="1">
      <c r="A1882" s="52" t="s">
        <v>421</v>
      </c>
      <c r="B1882" s="52" t="s">
        <v>173</v>
      </c>
      <c r="C1882" s="53">
        <v>2007</v>
      </c>
      <c r="D1882" s="52" t="s">
        <v>113</v>
      </c>
      <c r="E1882" s="54">
        <v>10</v>
      </c>
      <c r="F1882" s="55">
        <v>109812.2</v>
      </c>
      <c r="G1882" s="55">
        <v>77310</v>
      </c>
    </row>
    <row r="1883" spans="1:7" ht="10.050000000000001" customHeight="1">
      <c r="A1883" s="52" t="s">
        <v>421</v>
      </c>
      <c r="B1883" s="52" t="s">
        <v>173</v>
      </c>
      <c r="C1883" s="53">
        <v>2007</v>
      </c>
      <c r="D1883" s="52" t="s">
        <v>113</v>
      </c>
      <c r="E1883" s="54">
        <v>11</v>
      </c>
      <c r="F1883" s="55">
        <v>86949.8</v>
      </c>
      <c r="G1883" s="55">
        <v>69234.899999999994</v>
      </c>
    </row>
    <row r="1884" spans="1:7" ht="10.050000000000001" customHeight="1">
      <c r="A1884" s="52" t="s">
        <v>421</v>
      </c>
      <c r="B1884" s="52" t="s">
        <v>173</v>
      </c>
      <c r="C1884" s="53">
        <v>2007</v>
      </c>
      <c r="D1884" s="52" t="s">
        <v>113</v>
      </c>
      <c r="E1884" s="54">
        <v>12</v>
      </c>
      <c r="F1884" s="55">
        <v>81059.8</v>
      </c>
      <c r="G1884" s="55">
        <v>70523</v>
      </c>
    </row>
    <row r="1885" spans="1:7" ht="10.050000000000001" customHeight="1">
      <c r="A1885" s="52" t="s">
        <v>421</v>
      </c>
      <c r="B1885" s="52" t="s">
        <v>173</v>
      </c>
      <c r="C1885" s="53">
        <v>2008</v>
      </c>
      <c r="D1885" s="52" t="s">
        <v>113</v>
      </c>
      <c r="E1885" s="54">
        <v>1</v>
      </c>
      <c r="F1885" s="55">
        <v>88569.1</v>
      </c>
      <c r="G1885" s="55">
        <v>66319.7</v>
      </c>
    </row>
    <row r="1886" spans="1:7" ht="10.050000000000001" customHeight="1">
      <c r="A1886" s="52" t="s">
        <v>421</v>
      </c>
      <c r="B1886" s="52" t="s">
        <v>173</v>
      </c>
      <c r="C1886" s="53">
        <v>2008</v>
      </c>
      <c r="D1886" s="52" t="s">
        <v>113</v>
      </c>
      <c r="E1886" s="54">
        <v>2</v>
      </c>
      <c r="F1886" s="55">
        <v>86482.9</v>
      </c>
      <c r="G1886" s="55">
        <v>66573.2</v>
      </c>
    </row>
    <row r="1887" spans="1:7" ht="10.050000000000001" customHeight="1">
      <c r="A1887" s="52" t="s">
        <v>421</v>
      </c>
      <c r="B1887" s="52" t="s">
        <v>173</v>
      </c>
      <c r="C1887" s="53">
        <v>2008</v>
      </c>
      <c r="D1887" s="52" t="s">
        <v>113</v>
      </c>
      <c r="E1887" s="54">
        <v>3</v>
      </c>
      <c r="F1887" s="55">
        <v>95061</v>
      </c>
      <c r="G1887" s="55">
        <v>57771.199999999997</v>
      </c>
    </row>
    <row r="1888" spans="1:7" ht="10.050000000000001" customHeight="1">
      <c r="A1888" s="52" t="s">
        <v>421</v>
      </c>
      <c r="B1888" s="52" t="s">
        <v>173</v>
      </c>
      <c r="C1888" s="53">
        <v>2008</v>
      </c>
      <c r="D1888" s="52" t="s">
        <v>113</v>
      </c>
      <c r="E1888" s="54">
        <v>4</v>
      </c>
      <c r="F1888" s="55">
        <v>112967.4</v>
      </c>
      <c r="G1888" s="55">
        <v>57240.6</v>
      </c>
    </row>
    <row r="1889" spans="1:7" ht="10.050000000000001" customHeight="1">
      <c r="A1889" s="52" t="s">
        <v>421</v>
      </c>
      <c r="B1889" s="52" t="s">
        <v>173</v>
      </c>
      <c r="C1889" s="53">
        <v>2008</v>
      </c>
      <c r="D1889" s="52" t="s">
        <v>113</v>
      </c>
      <c r="E1889" s="54">
        <v>5</v>
      </c>
      <c r="F1889" s="55">
        <v>115801.4</v>
      </c>
      <c r="G1889" s="55">
        <v>54482.400000000001</v>
      </c>
    </row>
    <row r="1890" spans="1:7" ht="10.050000000000001" customHeight="1">
      <c r="A1890" s="52" t="s">
        <v>421</v>
      </c>
      <c r="B1890" s="52" t="s">
        <v>173</v>
      </c>
      <c r="C1890" s="53">
        <v>2008</v>
      </c>
      <c r="D1890" s="52" t="s">
        <v>113</v>
      </c>
      <c r="E1890" s="54">
        <v>6</v>
      </c>
      <c r="F1890" s="55">
        <v>106532.1</v>
      </c>
      <c r="G1890" s="55">
        <v>51734.3</v>
      </c>
    </row>
    <row r="1891" spans="1:7" ht="10.050000000000001" customHeight="1">
      <c r="A1891" s="52" t="s">
        <v>421</v>
      </c>
      <c r="B1891" s="52" t="s">
        <v>173</v>
      </c>
      <c r="C1891" s="53">
        <v>2008</v>
      </c>
      <c r="D1891" s="52" t="s">
        <v>107</v>
      </c>
      <c r="E1891" s="54">
        <v>7</v>
      </c>
      <c r="F1891" s="55">
        <v>149458</v>
      </c>
      <c r="G1891" s="55">
        <v>109272.1</v>
      </c>
    </row>
    <row r="1892" spans="1:7" ht="10.050000000000001" customHeight="1">
      <c r="A1892" s="52" t="s">
        <v>421</v>
      </c>
      <c r="B1892" s="52" t="s">
        <v>173</v>
      </c>
      <c r="C1892" s="53">
        <v>2008</v>
      </c>
      <c r="D1892" s="52" t="s">
        <v>107</v>
      </c>
      <c r="E1892" s="54">
        <v>8</v>
      </c>
      <c r="F1892" s="55">
        <v>163027.20000000001</v>
      </c>
      <c r="G1892" s="55">
        <v>96410.6</v>
      </c>
    </row>
    <row r="1893" spans="1:7" ht="10.050000000000001" customHeight="1">
      <c r="A1893" s="52" t="s">
        <v>421</v>
      </c>
      <c r="B1893" s="52" t="s">
        <v>173</v>
      </c>
      <c r="C1893" s="53">
        <v>2008</v>
      </c>
      <c r="D1893" s="52" t="s">
        <v>107</v>
      </c>
      <c r="E1893" s="54">
        <v>9</v>
      </c>
      <c r="F1893" s="55">
        <v>149349.20000000001</v>
      </c>
      <c r="G1893" s="55">
        <v>85430.2</v>
      </c>
    </row>
    <row r="1894" spans="1:7" ht="10.050000000000001" customHeight="1">
      <c r="A1894" s="52" t="s">
        <v>421</v>
      </c>
      <c r="B1894" s="52" t="s">
        <v>173</v>
      </c>
      <c r="C1894" s="53">
        <v>2008</v>
      </c>
      <c r="D1894" s="52" t="s">
        <v>107</v>
      </c>
      <c r="E1894" s="54">
        <v>10</v>
      </c>
      <c r="F1894" s="55">
        <v>135612.9</v>
      </c>
      <c r="G1894" s="55">
        <v>76970.600000000006</v>
      </c>
    </row>
    <row r="1895" spans="1:7" ht="10.050000000000001" customHeight="1">
      <c r="A1895" s="52" t="s">
        <v>421</v>
      </c>
      <c r="B1895" s="52" t="s">
        <v>173</v>
      </c>
      <c r="C1895" s="53">
        <v>2008</v>
      </c>
      <c r="D1895" s="52" t="s">
        <v>107</v>
      </c>
      <c r="E1895" s="54">
        <v>11</v>
      </c>
      <c r="F1895" s="55">
        <v>108519.9</v>
      </c>
      <c r="G1895" s="55">
        <v>69310.899999999994</v>
      </c>
    </row>
    <row r="1896" spans="1:7" ht="10.050000000000001" customHeight="1">
      <c r="A1896" s="52" t="s">
        <v>421</v>
      </c>
      <c r="B1896" s="52" t="s">
        <v>173</v>
      </c>
      <c r="C1896" s="53">
        <v>2008</v>
      </c>
      <c r="D1896" s="52" t="s">
        <v>107</v>
      </c>
      <c r="E1896" s="54">
        <v>12</v>
      </c>
      <c r="F1896" s="55">
        <v>130155.3</v>
      </c>
      <c r="G1896" s="55">
        <v>61444.800000000003</v>
      </c>
    </row>
    <row r="1897" spans="1:7" ht="10.050000000000001" customHeight="1">
      <c r="A1897" s="52" t="s">
        <v>421</v>
      </c>
      <c r="B1897" s="52" t="s">
        <v>173</v>
      </c>
      <c r="C1897" s="53">
        <v>2009</v>
      </c>
      <c r="D1897" s="52" t="s">
        <v>107</v>
      </c>
      <c r="E1897" s="54">
        <v>1</v>
      </c>
      <c r="F1897" s="55">
        <v>124952</v>
      </c>
      <c r="G1897" s="55">
        <v>63920</v>
      </c>
    </row>
    <row r="1898" spans="1:7" ht="10.050000000000001" customHeight="1">
      <c r="A1898" s="52" t="s">
        <v>421</v>
      </c>
      <c r="B1898" s="52" t="s">
        <v>173</v>
      </c>
      <c r="C1898" s="53">
        <v>2009</v>
      </c>
      <c r="D1898" s="52" t="s">
        <v>107</v>
      </c>
      <c r="E1898" s="54">
        <v>2</v>
      </c>
      <c r="F1898" s="55">
        <v>119614</v>
      </c>
      <c r="G1898" s="55">
        <v>65976.7</v>
      </c>
    </row>
    <row r="1899" spans="1:7" ht="10.050000000000001" customHeight="1">
      <c r="A1899" s="52" t="s">
        <v>421</v>
      </c>
      <c r="B1899" s="52" t="s">
        <v>173</v>
      </c>
      <c r="C1899" s="53">
        <v>2009</v>
      </c>
      <c r="D1899" s="52" t="s">
        <v>107</v>
      </c>
      <c r="E1899" s="54">
        <v>3</v>
      </c>
      <c r="F1899" s="55">
        <v>135197.79999999999</v>
      </c>
      <c r="G1899" s="55">
        <v>64129.599999999999</v>
      </c>
    </row>
    <row r="1900" spans="1:7" ht="10.050000000000001" customHeight="1">
      <c r="A1900" s="52" t="s">
        <v>421</v>
      </c>
      <c r="B1900" s="52" t="s">
        <v>173</v>
      </c>
      <c r="C1900" s="53">
        <v>2009</v>
      </c>
      <c r="D1900" s="52" t="s">
        <v>107</v>
      </c>
      <c r="E1900" s="54">
        <v>4</v>
      </c>
      <c r="F1900" s="55">
        <v>136438.39999999999</v>
      </c>
      <c r="G1900" s="55">
        <v>61583.3</v>
      </c>
    </row>
    <row r="1901" spans="1:7" ht="10.050000000000001" customHeight="1">
      <c r="A1901" s="52" t="s">
        <v>421</v>
      </c>
      <c r="B1901" s="52" t="s">
        <v>173</v>
      </c>
      <c r="C1901" s="53">
        <v>2009</v>
      </c>
      <c r="D1901" s="52" t="s">
        <v>107</v>
      </c>
      <c r="E1901" s="54">
        <v>5</v>
      </c>
      <c r="F1901" s="55">
        <v>129263.8</v>
      </c>
      <c r="G1901" s="55">
        <v>51734.7</v>
      </c>
    </row>
    <row r="1902" spans="1:7" ht="10.050000000000001" customHeight="1">
      <c r="A1902" s="52" t="s">
        <v>421</v>
      </c>
      <c r="B1902" s="52" t="s">
        <v>173</v>
      </c>
      <c r="C1902" s="53">
        <v>2009</v>
      </c>
      <c r="D1902" s="52" t="s">
        <v>107</v>
      </c>
      <c r="E1902" s="54">
        <v>6</v>
      </c>
      <c r="F1902" s="55">
        <v>139268.4</v>
      </c>
      <c r="G1902" s="55">
        <v>62599</v>
      </c>
    </row>
    <row r="1903" spans="1:7" ht="10.050000000000001" customHeight="1">
      <c r="A1903" s="52" t="s">
        <v>421</v>
      </c>
      <c r="B1903" s="52" t="s">
        <v>173</v>
      </c>
      <c r="C1903" s="53">
        <v>2009</v>
      </c>
      <c r="D1903" s="52" t="s">
        <v>114</v>
      </c>
      <c r="E1903" s="54">
        <v>7</v>
      </c>
      <c r="F1903" s="55">
        <v>150516.4</v>
      </c>
      <c r="G1903" s="55">
        <v>102689.3</v>
      </c>
    </row>
    <row r="1904" spans="1:7" ht="10.050000000000001" customHeight="1">
      <c r="A1904" s="52" t="s">
        <v>421</v>
      </c>
      <c r="B1904" s="52" t="s">
        <v>173</v>
      </c>
      <c r="C1904" s="53">
        <v>2009</v>
      </c>
      <c r="D1904" s="52" t="s">
        <v>114</v>
      </c>
      <c r="E1904" s="54">
        <v>8</v>
      </c>
      <c r="F1904" s="55">
        <v>133546.4</v>
      </c>
      <c r="G1904" s="55">
        <v>86606.5</v>
      </c>
    </row>
    <row r="1905" spans="1:7" ht="10.050000000000001" customHeight="1">
      <c r="A1905" s="52" t="s">
        <v>421</v>
      </c>
      <c r="B1905" s="52" t="s">
        <v>173</v>
      </c>
      <c r="C1905" s="53">
        <v>2009</v>
      </c>
      <c r="D1905" s="52" t="s">
        <v>114</v>
      </c>
      <c r="E1905" s="54">
        <v>9</v>
      </c>
      <c r="F1905" s="55">
        <v>125010.2</v>
      </c>
      <c r="G1905" s="55">
        <v>79346.3</v>
      </c>
    </row>
    <row r="1906" spans="1:7" ht="10.050000000000001" customHeight="1">
      <c r="A1906" s="52" t="s">
        <v>421</v>
      </c>
      <c r="B1906" s="52" t="s">
        <v>173</v>
      </c>
      <c r="C1906" s="53">
        <v>2009</v>
      </c>
      <c r="D1906" s="52" t="s">
        <v>114</v>
      </c>
      <c r="E1906" s="54">
        <v>10</v>
      </c>
      <c r="F1906" s="55">
        <v>116791.9</v>
      </c>
      <c r="G1906" s="55">
        <v>75573.3</v>
      </c>
    </row>
    <row r="1907" spans="1:7" ht="10.050000000000001" customHeight="1">
      <c r="A1907" s="52" t="s">
        <v>421</v>
      </c>
      <c r="B1907" s="52" t="s">
        <v>173</v>
      </c>
      <c r="C1907" s="53">
        <v>2009</v>
      </c>
      <c r="D1907" s="52" t="s">
        <v>114</v>
      </c>
      <c r="E1907" s="54">
        <v>11</v>
      </c>
      <c r="F1907" s="55">
        <v>118909.2</v>
      </c>
      <c r="G1907" s="55">
        <v>65572.600000000006</v>
      </c>
    </row>
    <row r="1908" spans="1:7" ht="10.050000000000001" customHeight="1">
      <c r="A1908" s="52" t="s">
        <v>421</v>
      </c>
      <c r="B1908" s="52" t="s">
        <v>173</v>
      </c>
      <c r="C1908" s="53">
        <v>2009</v>
      </c>
      <c r="D1908" s="52" t="s">
        <v>114</v>
      </c>
      <c r="E1908" s="54">
        <v>12</v>
      </c>
      <c r="F1908" s="55">
        <v>143891.9</v>
      </c>
      <c r="G1908" s="55">
        <v>54818.7</v>
      </c>
    </row>
    <row r="1909" spans="1:7" ht="10.050000000000001" customHeight="1">
      <c r="A1909" s="52" t="s">
        <v>421</v>
      </c>
      <c r="B1909" s="52" t="s">
        <v>173</v>
      </c>
      <c r="C1909" s="53">
        <v>2010</v>
      </c>
      <c r="D1909" s="52" t="s">
        <v>114</v>
      </c>
      <c r="E1909" s="54">
        <v>1</v>
      </c>
      <c r="F1909" s="55">
        <v>140906.20000000001</v>
      </c>
      <c r="G1909" s="55">
        <v>51791.8</v>
      </c>
    </row>
    <row r="1910" spans="1:7" ht="10.050000000000001" customHeight="1">
      <c r="A1910" s="52" t="s">
        <v>421</v>
      </c>
      <c r="B1910" s="52" t="s">
        <v>173</v>
      </c>
      <c r="C1910" s="53">
        <v>2010</v>
      </c>
      <c r="D1910" s="52" t="s">
        <v>114</v>
      </c>
      <c r="E1910" s="54">
        <v>2</v>
      </c>
      <c r="F1910" s="55">
        <v>135124.70000000001</v>
      </c>
      <c r="G1910" s="55">
        <v>57023.9</v>
      </c>
    </row>
    <row r="1911" spans="1:7" ht="10.050000000000001" customHeight="1">
      <c r="A1911" s="52" t="s">
        <v>421</v>
      </c>
      <c r="B1911" s="52" t="s">
        <v>173</v>
      </c>
      <c r="C1911" s="53">
        <v>2010</v>
      </c>
      <c r="D1911" s="52" t="s">
        <v>114</v>
      </c>
      <c r="E1911" s="54">
        <v>3</v>
      </c>
      <c r="F1911" s="55">
        <v>158970.6</v>
      </c>
      <c r="G1911" s="55">
        <v>55676.2</v>
      </c>
    </row>
    <row r="1912" spans="1:7" ht="10.050000000000001" customHeight="1">
      <c r="A1912" s="52" t="s">
        <v>421</v>
      </c>
      <c r="B1912" s="52" t="s">
        <v>173</v>
      </c>
      <c r="C1912" s="53">
        <v>2010</v>
      </c>
      <c r="D1912" s="52" t="s">
        <v>114</v>
      </c>
      <c r="E1912" s="54">
        <v>4</v>
      </c>
      <c r="F1912" s="55">
        <v>147487.29999999999</v>
      </c>
      <c r="G1912" s="55">
        <v>47851</v>
      </c>
    </row>
    <row r="1913" spans="1:7" ht="10.050000000000001" customHeight="1">
      <c r="A1913" s="52" t="s">
        <v>421</v>
      </c>
      <c r="B1913" s="52" t="s">
        <v>173</v>
      </c>
      <c r="C1913" s="53">
        <v>2010</v>
      </c>
      <c r="D1913" s="52" t="s">
        <v>114</v>
      </c>
      <c r="E1913" s="54">
        <v>5</v>
      </c>
      <c r="F1913" s="55">
        <v>145014.6</v>
      </c>
      <c r="G1913" s="55">
        <v>42648.7</v>
      </c>
    </row>
    <row r="1914" spans="1:7" ht="10.050000000000001" customHeight="1">
      <c r="A1914" s="52" t="s">
        <v>421</v>
      </c>
      <c r="B1914" s="52" t="s">
        <v>173</v>
      </c>
      <c r="C1914" s="53">
        <v>2010</v>
      </c>
      <c r="D1914" s="52" t="s">
        <v>114</v>
      </c>
      <c r="E1914" s="54">
        <v>6</v>
      </c>
      <c r="F1914" s="55">
        <v>159474.70000000001</v>
      </c>
      <c r="G1914" s="55">
        <v>45455.5</v>
      </c>
    </row>
    <row r="1915" spans="1:7" ht="10.050000000000001" customHeight="1">
      <c r="A1915" s="52" t="s">
        <v>421</v>
      </c>
      <c r="B1915" s="52" t="s">
        <v>173</v>
      </c>
      <c r="C1915" s="53">
        <v>2010</v>
      </c>
      <c r="D1915" s="52" t="s">
        <v>115</v>
      </c>
      <c r="E1915" s="54">
        <v>7</v>
      </c>
      <c r="F1915" s="55">
        <v>172637.06099999999</v>
      </c>
      <c r="G1915" s="55">
        <v>74447.044999999998</v>
      </c>
    </row>
    <row r="1916" spans="1:7" ht="10.050000000000001" customHeight="1">
      <c r="A1916" s="52" t="s">
        <v>421</v>
      </c>
      <c r="B1916" s="52" t="s">
        <v>173</v>
      </c>
      <c r="C1916" s="53">
        <v>2010</v>
      </c>
      <c r="D1916" s="52" t="s">
        <v>115</v>
      </c>
      <c r="E1916" s="54">
        <v>8</v>
      </c>
      <c r="F1916" s="55">
        <v>174053.095</v>
      </c>
      <c r="G1916" s="55">
        <v>63577.921999999999</v>
      </c>
    </row>
    <row r="1917" spans="1:7" ht="10.050000000000001" customHeight="1">
      <c r="A1917" s="52" t="s">
        <v>421</v>
      </c>
      <c r="B1917" s="52" t="s">
        <v>173</v>
      </c>
      <c r="C1917" s="53">
        <v>2010</v>
      </c>
      <c r="D1917" s="52" t="s">
        <v>115</v>
      </c>
      <c r="E1917" s="54">
        <v>9</v>
      </c>
      <c r="F1917" s="55">
        <v>168848.16200000001</v>
      </c>
      <c r="G1917" s="55">
        <v>52733.523000000001</v>
      </c>
    </row>
    <row r="1918" spans="1:7" ht="10.050000000000001" customHeight="1">
      <c r="A1918" s="52" t="s">
        <v>421</v>
      </c>
      <c r="B1918" s="52" t="s">
        <v>173</v>
      </c>
      <c r="C1918" s="53">
        <v>2010</v>
      </c>
      <c r="D1918" s="52" t="s">
        <v>115</v>
      </c>
      <c r="E1918" s="54">
        <v>10</v>
      </c>
      <c r="F1918" s="55">
        <v>157396.58100000001</v>
      </c>
      <c r="G1918" s="55">
        <v>54301.235000000001</v>
      </c>
    </row>
    <row r="1919" spans="1:7" ht="10.050000000000001" customHeight="1">
      <c r="A1919" s="52" t="s">
        <v>421</v>
      </c>
      <c r="B1919" s="52" t="s">
        <v>173</v>
      </c>
      <c r="C1919" s="53">
        <v>2010</v>
      </c>
      <c r="D1919" s="52" t="s">
        <v>115</v>
      </c>
      <c r="E1919" s="54">
        <v>11</v>
      </c>
      <c r="F1919" s="55">
        <v>157033.45499999999</v>
      </c>
      <c r="G1919" s="55">
        <v>58140.105000000003</v>
      </c>
    </row>
    <row r="1920" spans="1:7" ht="10.050000000000001" customHeight="1">
      <c r="A1920" s="52" t="s">
        <v>421</v>
      </c>
      <c r="B1920" s="52" t="s">
        <v>173</v>
      </c>
      <c r="C1920" s="53">
        <v>2010</v>
      </c>
      <c r="D1920" s="52" t="s">
        <v>115</v>
      </c>
      <c r="E1920" s="54">
        <v>12</v>
      </c>
      <c r="F1920" s="55">
        <v>168006.149</v>
      </c>
      <c r="G1920" s="55">
        <v>55514.472000000002</v>
      </c>
    </row>
    <row r="1921" spans="1:7" ht="10.050000000000001" customHeight="1">
      <c r="A1921" s="52" t="s">
        <v>421</v>
      </c>
      <c r="B1921" s="52" t="s">
        <v>173</v>
      </c>
      <c r="C1921" s="53">
        <v>2011</v>
      </c>
      <c r="D1921" s="52" t="s">
        <v>115</v>
      </c>
      <c r="E1921" s="54">
        <v>1</v>
      </c>
      <c r="F1921" s="55">
        <v>151726.837</v>
      </c>
      <c r="G1921" s="55">
        <v>63149.873</v>
      </c>
    </row>
    <row r="1922" spans="1:7" ht="10.050000000000001" customHeight="1">
      <c r="A1922" s="52" t="s">
        <v>421</v>
      </c>
      <c r="B1922" s="52" t="s">
        <v>173</v>
      </c>
      <c r="C1922" s="53">
        <v>2011</v>
      </c>
      <c r="D1922" s="52" t="s">
        <v>115</v>
      </c>
      <c r="E1922" s="54">
        <v>2</v>
      </c>
      <c r="F1922" s="55">
        <v>142365.34299999999</v>
      </c>
      <c r="G1922" s="55">
        <v>66579.199999999997</v>
      </c>
    </row>
    <row r="1923" spans="1:7" ht="10.050000000000001" customHeight="1">
      <c r="A1923" s="52" t="s">
        <v>421</v>
      </c>
      <c r="B1923" s="52" t="s">
        <v>173</v>
      </c>
      <c r="C1923" s="53">
        <v>2011</v>
      </c>
      <c r="D1923" s="52" t="s">
        <v>115</v>
      </c>
      <c r="E1923" s="54">
        <v>3</v>
      </c>
      <c r="F1923" s="55">
        <v>173283.734</v>
      </c>
      <c r="G1923" s="55">
        <v>62462.247000000003</v>
      </c>
    </row>
    <row r="1924" spans="1:7" ht="10.050000000000001" customHeight="1">
      <c r="A1924" s="52" t="s">
        <v>421</v>
      </c>
      <c r="B1924" s="52" t="s">
        <v>173</v>
      </c>
      <c r="C1924" s="53">
        <v>2011</v>
      </c>
      <c r="D1924" s="52" t="s">
        <v>115</v>
      </c>
      <c r="E1924" s="54">
        <v>4</v>
      </c>
      <c r="F1924" s="55">
        <v>161851.52600000001</v>
      </c>
      <c r="G1924" s="55">
        <v>57548.534</v>
      </c>
    </row>
    <row r="1925" spans="1:7" ht="10.050000000000001" customHeight="1">
      <c r="A1925" s="52" t="s">
        <v>421</v>
      </c>
      <c r="B1925" s="52" t="s">
        <v>173</v>
      </c>
      <c r="C1925" s="53">
        <v>2011</v>
      </c>
      <c r="D1925" s="52" t="s">
        <v>115</v>
      </c>
      <c r="E1925" s="54">
        <v>5</v>
      </c>
      <c r="F1925" s="55">
        <v>183762.13500000001</v>
      </c>
      <c r="G1925" s="55">
        <v>66823.929000000004</v>
      </c>
    </row>
    <row r="1926" spans="1:7" ht="10.050000000000001" customHeight="1">
      <c r="A1926" s="52" t="s">
        <v>421</v>
      </c>
      <c r="B1926" s="52" t="s">
        <v>173</v>
      </c>
      <c r="C1926" s="53">
        <v>2011</v>
      </c>
      <c r="D1926" s="52" t="s">
        <v>115</v>
      </c>
      <c r="E1926" s="54">
        <v>6</v>
      </c>
      <c r="F1926" s="55">
        <v>189104.14799999999</v>
      </c>
      <c r="G1926" s="55">
        <v>56090.794000000002</v>
      </c>
    </row>
    <row r="1927" spans="1:7" ht="10.050000000000001" customHeight="1">
      <c r="A1927" s="52" t="s">
        <v>421</v>
      </c>
      <c r="B1927" s="52" t="s">
        <v>173</v>
      </c>
      <c r="C1927" s="53">
        <v>2011</v>
      </c>
      <c r="D1927" s="52" t="s">
        <v>116</v>
      </c>
      <c r="E1927" s="54">
        <v>7</v>
      </c>
      <c r="F1927" s="55">
        <v>174651.212</v>
      </c>
      <c r="G1927" s="55">
        <v>72776.217999999993</v>
      </c>
    </row>
    <row r="1928" spans="1:7" ht="10.050000000000001" customHeight="1">
      <c r="A1928" s="52" t="s">
        <v>421</v>
      </c>
      <c r="B1928" s="52" t="s">
        <v>173</v>
      </c>
      <c r="C1928" s="53">
        <v>2011</v>
      </c>
      <c r="D1928" s="52" t="s">
        <v>116</v>
      </c>
      <c r="E1928" s="54">
        <v>8</v>
      </c>
      <c r="F1928" s="55">
        <v>149103.93900000001</v>
      </c>
      <c r="G1928" s="55">
        <v>62204.264000000003</v>
      </c>
    </row>
    <row r="1929" spans="1:7" ht="10.050000000000001" customHeight="1">
      <c r="A1929" s="52" t="s">
        <v>421</v>
      </c>
      <c r="B1929" s="52" t="s">
        <v>173</v>
      </c>
      <c r="C1929" s="53">
        <v>2011</v>
      </c>
      <c r="D1929" s="52" t="s">
        <v>116</v>
      </c>
      <c r="E1929" s="54">
        <v>9</v>
      </c>
      <c r="F1929" s="55">
        <v>124798.405</v>
      </c>
      <c r="G1929" s="55">
        <v>64867.767</v>
      </c>
    </row>
    <row r="1930" spans="1:7" ht="10.050000000000001" customHeight="1">
      <c r="A1930" s="52" t="s">
        <v>421</v>
      </c>
      <c r="B1930" s="52" t="s">
        <v>173</v>
      </c>
      <c r="C1930" s="53">
        <v>2011</v>
      </c>
      <c r="D1930" s="52" t="s">
        <v>116</v>
      </c>
      <c r="E1930" s="54">
        <v>10</v>
      </c>
      <c r="F1930" s="55">
        <v>94367.452999999994</v>
      </c>
      <c r="G1930" s="55">
        <v>61930.114000000001</v>
      </c>
    </row>
    <row r="1931" spans="1:7" ht="10.050000000000001" customHeight="1">
      <c r="A1931" s="52" t="s">
        <v>421</v>
      </c>
      <c r="B1931" s="52" t="s">
        <v>173</v>
      </c>
      <c r="C1931" s="53">
        <v>2011</v>
      </c>
      <c r="D1931" s="52" t="s">
        <v>116</v>
      </c>
      <c r="E1931" s="54">
        <v>11</v>
      </c>
      <c r="F1931" s="55">
        <v>87380.53</v>
      </c>
      <c r="G1931" s="55">
        <v>64947.065000000002</v>
      </c>
    </row>
    <row r="1932" spans="1:7" ht="10.050000000000001" customHeight="1">
      <c r="A1932" s="52" t="s">
        <v>421</v>
      </c>
      <c r="B1932" s="52" t="s">
        <v>173</v>
      </c>
      <c r="C1932" s="53">
        <v>2011</v>
      </c>
      <c r="D1932" s="52" t="s">
        <v>116</v>
      </c>
      <c r="E1932" s="54">
        <v>12</v>
      </c>
      <c r="F1932" s="55">
        <v>86856.156000000003</v>
      </c>
      <c r="G1932" s="55">
        <v>59037.589</v>
      </c>
    </row>
    <row r="1933" spans="1:7" ht="10.050000000000001" customHeight="1">
      <c r="A1933" s="52" t="s">
        <v>421</v>
      </c>
      <c r="B1933" s="52" t="s">
        <v>173</v>
      </c>
      <c r="C1933" s="53">
        <v>2012</v>
      </c>
      <c r="D1933" s="52" t="s">
        <v>116</v>
      </c>
      <c r="E1933" s="54">
        <v>1</v>
      </c>
      <c r="F1933" s="55">
        <v>85341.773000000001</v>
      </c>
      <c r="G1933" s="55">
        <v>56518.190999999999</v>
      </c>
    </row>
    <row r="1934" spans="1:7" ht="10.050000000000001" customHeight="1">
      <c r="A1934" s="52" t="s">
        <v>421</v>
      </c>
      <c r="B1934" s="52" t="s">
        <v>173</v>
      </c>
      <c r="C1934" s="53">
        <v>2012</v>
      </c>
      <c r="D1934" s="52" t="s">
        <v>116</v>
      </c>
      <c r="E1934" s="54">
        <v>2</v>
      </c>
      <c r="F1934" s="55">
        <v>83514.328999999998</v>
      </c>
      <c r="G1934" s="55">
        <v>57677.561000000002</v>
      </c>
    </row>
    <row r="1935" spans="1:7" ht="10.050000000000001" customHeight="1">
      <c r="A1935" s="52" t="s">
        <v>421</v>
      </c>
      <c r="B1935" s="52" t="s">
        <v>173</v>
      </c>
      <c r="C1935" s="53">
        <v>2012</v>
      </c>
      <c r="D1935" s="52" t="s">
        <v>116</v>
      </c>
      <c r="E1935" s="54">
        <v>3</v>
      </c>
      <c r="F1935" s="55">
        <v>87171.073999999993</v>
      </c>
      <c r="G1935" s="55">
        <v>49547.298000000003</v>
      </c>
    </row>
    <row r="1936" spans="1:7" ht="10.050000000000001" customHeight="1">
      <c r="A1936" s="52" t="s">
        <v>421</v>
      </c>
      <c r="B1936" s="52" t="s">
        <v>173</v>
      </c>
      <c r="C1936" s="53">
        <v>2012</v>
      </c>
      <c r="D1936" s="52" t="s">
        <v>116</v>
      </c>
      <c r="E1936" s="54">
        <v>4</v>
      </c>
      <c r="F1936" s="55">
        <v>85522.191000000006</v>
      </c>
      <c r="G1936" s="55">
        <v>46562.076000000001</v>
      </c>
    </row>
    <row r="1937" spans="1:7" ht="10.050000000000001" customHeight="1">
      <c r="A1937" s="52" t="s">
        <v>421</v>
      </c>
      <c r="B1937" s="52" t="s">
        <v>173</v>
      </c>
      <c r="C1937" s="53">
        <v>2012</v>
      </c>
      <c r="D1937" s="52" t="s">
        <v>116</v>
      </c>
      <c r="E1937" s="54">
        <v>5</v>
      </c>
      <c r="F1937" s="55">
        <v>90611.146999999997</v>
      </c>
      <c r="G1937" s="55">
        <v>45953.364999999998</v>
      </c>
    </row>
    <row r="1938" spans="1:7" ht="10.050000000000001" customHeight="1">
      <c r="A1938" s="52" t="s">
        <v>421</v>
      </c>
      <c r="B1938" s="52" t="s">
        <v>173</v>
      </c>
      <c r="C1938" s="53">
        <v>2012</v>
      </c>
      <c r="D1938" s="52" t="s">
        <v>116</v>
      </c>
      <c r="E1938" s="54">
        <v>6</v>
      </c>
      <c r="F1938" s="55">
        <v>89538.096999999994</v>
      </c>
      <c r="G1938" s="55">
        <v>40721.358</v>
      </c>
    </row>
    <row r="1939" spans="1:7" ht="10.050000000000001" customHeight="1">
      <c r="A1939" s="52" t="s">
        <v>421</v>
      </c>
      <c r="B1939" s="52" t="s">
        <v>173</v>
      </c>
      <c r="C1939" s="53">
        <v>2012</v>
      </c>
      <c r="D1939" s="52" t="s">
        <v>117</v>
      </c>
      <c r="E1939" s="54">
        <v>7</v>
      </c>
      <c r="F1939" s="55">
        <v>129284.978</v>
      </c>
      <c r="G1939" s="55">
        <v>90141.884000000005</v>
      </c>
    </row>
    <row r="1940" spans="1:7" ht="10.050000000000001" customHeight="1">
      <c r="A1940" s="52" t="s">
        <v>421</v>
      </c>
      <c r="B1940" s="52" t="s">
        <v>173</v>
      </c>
      <c r="C1940" s="53">
        <v>2012</v>
      </c>
      <c r="D1940" s="52" t="s">
        <v>117</v>
      </c>
      <c r="E1940" s="54">
        <v>8</v>
      </c>
      <c r="F1940" s="55">
        <v>126044.368</v>
      </c>
      <c r="G1940" s="55">
        <v>75528.441000000006</v>
      </c>
    </row>
    <row r="1941" spans="1:7" ht="10.050000000000001" customHeight="1">
      <c r="A1941" s="52" t="s">
        <v>421</v>
      </c>
      <c r="B1941" s="52" t="s">
        <v>173</v>
      </c>
      <c r="C1941" s="53">
        <v>2012</v>
      </c>
      <c r="D1941" s="52" t="s">
        <v>117</v>
      </c>
      <c r="E1941" s="54">
        <v>9</v>
      </c>
      <c r="F1941" s="55">
        <v>105822.75900000001</v>
      </c>
      <c r="G1941" s="55">
        <v>67985.141000000003</v>
      </c>
    </row>
    <row r="1942" spans="1:7" ht="10.050000000000001" customHeight="1">
      <c r="A1942" s="52" t="s">
        <v>421</v>
      </c>
      <c r="B1942" s="52" t="s">
        <v>173</v>
      </c>
      <c r="C1942" s="53">
        <v>2012</v>
      </c>
      <c r="D1942" s="52" t="s">
        <v>117</v>
      </c>
      <c r="E1942" s="54">
        <v>10</v>
      </c>
      <c r="F1942" s="55">
        <v>111288.82</v>
      </c>
      <c r="G1942" s="55">
        <v>59446.63</v>
      </c>
    </row>
    <row r="1943" spans="1:7" ht="10.050000000000001" customHeight="1">
      <c r="A1943" s="52" t="s">
        <v>421</v>
      </c>
      <c r="B1943" s="52" t="s">
        <v>173</v>
      </c>
      <c r="C1943" s="53">
        <v>2012</v>
      </c>
      <c r="D1943" s="52" t="s">
        <v>117</v>
      </c>
      <c r="E1943" s="54">
        <v>11</v>
      </c>
      <c r="F1943" s="55">
        <v>98674.997000000105</v>
      </c>
      <c r="G1943" s="55">
        <v>57173.144999999997</v>
      </c>
    </row>
    <row r="1944" spans="1:7" ht="10.050000000000001" customHeight="1">
      <c r="A1944" s="52" t="s">
        <v>421</v>
      </c>
      <c r="B1944" s="52" t="s">
        <v>173</v>
      </c>
      <c r="C1944" s="53">
        <v>2012</v>
      </c>
      <c r="D1944" s="52" t="s">
        <v>117</v>
      </c>
      <c r="E1944" s="54">
        <v>12</v>
      </c>
      <c r="F1944" s="55">
        <v>100103.041</v>
      </c>
      <c r="G1944" s="55">
        <v>51772.036</v>
      </c>
    </row>
    <row r="1945" spans="1:7" ht="10.050000000000001" customHeight="1">
      <c r="A1945" s="52" t="s">
        <v>421</v>
      </c>
      <c r="B1945" s="52" t="s">
        <v>173</v>
      </c>
      <c r="C1945" s="53">
        <v>2013</v>
      </c>
      <c r="D1945" s="52" t="s">
        <v>117</v>
      </c>
      <c r="E1945" s="54">
        <v>1</v>
      </c>
      <c r="F1945" s="55">
        <v>112491.11599999999</v>
      </c>
      <c r="G1945" s="55">
        <v>52373.463000000003</v>
      </c>
    </row>
    <row r="1946" spans="1:7" ht="10.050000000000001" customHeight="1">
      <c r="A1946" s="52" t="s">
        <v>421</v>
      </c>
      <c r="B1946" s="52" t="s">
        <v>173</v>
      </c>
      <c r="C1946" s="53">
        <v>2013</v>
      </c>
      <c r="D1946" s="52" t="s">
        <v>117</v>
      </c>
      <c r="E1946" s="54">
        <v>2</v>
      </c>
      <c r="F1946" s="55">
        <v>93015.404999999999</v>
      </c>
      <c r="G1946" s="55">
        <v>55598.442000000003</v>
      </c>
    </row>
    <row r="1947" spans="1:7" ht="10.050000000000001" customHeight="1">
      <c r="A1947" s="52" t="s">
        <v>421</v>
      </c>
      <c r="B1947" s="52" t="s">
        <v>173</v>
      </c>
      <c r="C1947" s="53">
        <v>2013</v>
      </c>
      <c r="D1947" s="52" t="s">
        <v>117</v>
      </c>
      <c r="E1947" s="54">
        <v>3</v>
      </c>
      <c r="F1947" s="55">
        <v>100064.63099999999</v>
      </c>
      <c r="G1947" s="55">
        <v>49176.678</v>
      </c>
    </row>
    <row r="1948" spans="1:7" ht="10.050000000000001" customHeight="1">
      <c r="A1948" s="52" t="s">
        <v>421</v>
      </c>
      <c r="B1948" s="52" t="s">
        <v>173</v>
      </c>
      <c r="C1948" s="53">
        <v>2013</v>
      </c>
      <c r="D1948" s="52" t="s">
        <v>117</v>
      </c>
      <c r="E1948" s="54">
        <v>4</v>
      </c>
      <c r="F1948" s="55">
        <v>103517.45299999999</v>
      </c>
      <c r="G1948" s="55">
        <v>52109.572</v>
      </c>
    </row>
    <row r="1949" spans="1:7" ht="10.050000000000001" customHeight="1">
      <c r="A1949" s="52" t="s">
        <v>421</v>
      </c>
      <c r="B1949" s="52" t="s">
        <v>173</v>
      </c>
      <c r="C1949" s="53">
        <v>2013</v>
      </c>
      <c r="D1949" s="52" t="s">
        <v>117</v>
      </c>
      <c r="E1949" s="54">
        <v>5</v>
      </c>
      <c r="F1949" s="55">
        <v>107109.537</v>
      </c>
      <c r="G1949" s="55">
        <v>44398.576999999997</v>
      </c>
    </row>
    <row r="1950" spans="1:7" ht="10.050000000000001" customHeight="1">
      <c r="A1950" s="52" t="s">
        <v>421</v>
      </c>
      <c r="B1950" s="52" t="s">
        <v>173</v>
      </c>
      <c r="C1950" s="53">
        <v>2013</v>
      </c>
      <c r="D1950" s="52" t="s">
        <v>117</v>
      </c>
      <c r="E1950" s="54">
        <v>6</v>
      </c>
      <c r="F1950" s="55">
        <v>103782.565</v>
      </c>
      <c r="G1950" s="55">
        <v>42596.375</v>
      </c>
    </row>
    <row r="1951" spans="1:7" ht="10.050000000000001" customHeight="1">
      <c r="A1951" s="52" t="s">
        <v>421</v>
      </c>
      <c r="B1951" s="52" t="s">
        <v>173</v>
      </c>
      <c r="C1951" s="53">
        <v>2013</v>
      </c>
      <c r="D1951" s="52" t="s">
        <v>118</v>
      </c>
      <c r="E1951" s="54">
        <v>7</v>
      </c>
      <c r="F1951" s="55">
        <v>134856.97200000001</v>
      </c>
      <c r="G1951" s="55">
        <v>90697.868000000002</v>
      </c>
    </row>
    <row r="1952" spans="1:7" ht="10.050000000000001" customHeight="1">
      <c r="A1952" s="52" t="s">
        <v>421</v>
      </c>
      <c r="B1952" s="52" t="s">
        <v>173</v>
      </c>
      <c r="C1952" s="53">
        <v>2013</v>
      </c>
      <c r="D1952" s="52" t="s">
        <v>118</v>
      </c>
      <c r="E1952" s="54">
        <v>8</v>
      </c>
      <c r="F1952" s="55">
        <v>120175.246</v>
      </c>
      <c r="G1952" s="55">
        <v>84054.120999999999</v>
      </c>
    </row>
    <row r="1953" spans="1:7" ht="10.050000000000001" customHeight="1">
      <c r="A1953" s="52" t="s">
        <v>421</v>
      </c>
      <c r="B1953" s="52" t="s">
        <v>173</v>
      </c>
      <c r="C1953" s="53">
        <v>2013</v>
      </c>
      <c r="D1953" s="52" t="s">
        <v>118</v>
      </c>
      <c r="E1953" s="54">
        <v>9</v>
      </c>
      <c r="F1953" s="55">
        <v>98619.630999999994</v>
      </c>
      <c r="G1953" s="55">
        <v>75507.236999999994</v>
      </c>
    </row>
    <row r="1954" spans="1:7" ht="10.050000000000001" customHeight="1">
      <c r="A1954" s="52" t="s">
        <v>421</v>
      </c>
      <c r="B1954" s="52" t="s">
        <v>173</v>
      </c>
      <c r="C1954" s="53">
        <v>2013</v>
      </c>
      <c r="D1954" s="52" t="s">
        <v>118</v>
      </c>
      <c r="E1954" s="54">
        <v>10</v>
      </c>
      <c r="F1954" s="55">
        <v>99813.494000000093</v>
      </c>
      <c r="G1954" s="55">
        <v>64186.713000000003</v>
      </c>
    </row>
    <row r="1955" spans="1:7" ht="10.050000000000001" customHeight="1">
      <c r="A1955" s="52" t="s">
        <v>421</v>
      </c>
      <c r="B1955" s="52" t="s">
        <v>173</v>
      </c>
      <c r="C1955" s="53">
        <v>2013</v>
      </c>
      <c r="D1955" s="52" t="s">
        <v>118</v>
      </c>
      <c r="E1955" s="54">
        <v>11</v>
      </c>
      <c r="F1955" s="55">
        <v>81730.122000000003</v>
      </c>
      <c r="G1955" s="55">
        <v>57114.012999999999</v>
      </c>
    </row>
    <row r="1956" spans="1:7" ht="10.050000000000001" customHeight="1">
      <c r="A1956" s="52" t="s">
        <v>421</v>
      </c>
      <c r="B1956" s="52" t="s">
        <v>173</v>
      </c>
      <c r="C1956" s="53">
        <v>2013</v>
      </c>
      <c r="D1956" s="52" t="s">
        <v>118</v>
      </c>
      <c r="E1956" s="54">
        <v>12</v>
      </c>
      <c r="F1956" s="55">
        <v>91887.264000000097</v>
      </c>
      <c r="G1956" s="55">
        <v>57530.462</v>
      </c>
    </row>
    <row r="1957" spans="1:7" ht="10.050000000000001" customHeight="1">
      <c r="A1957" s="52" t="s">
        <v>421</v>
      </c>
      <c r="B1957" s="52" t="s">
        <v>173</v>
      </c>
      <c r="C1957" s="53">
        <v>2014</v>
      </c>
      <c r="D1957" s="52" t="s">
        <v>118</v>
      </c>
      <c r="E1957" s="54">
        <v>1</v>
      </c>
      <c r="F1957" s="55">
        <v>91620.069000000003</v>
      </c>
      <c r="G1957" s="55">
        <v>56217.858</v>
      </c>
    </row>
    <row r="1958" spans="1:7" ht="10.050000000000001" customHeight="1">
      <c r="A1958" s="52" t="s">
        <v>421</v>
      </c>
      <c r="B1958" s="52" t="s">
        <v>173</v>
      </c>
      <c r="C1958" s="53">
        <v>2014</v>
      </c>
      <c r="D1958" s="52" t="s">
        <v>118</v>
      </c>
      <c r="E1958" s="54">
        <v>2</v>
      </c>
      <c r="F1958" s="55">
        <v>81955.509999999995</v>
      </c>
      <c r="G1958" s="55">
        <v>55158.258999999998</v>
      </c>
    </row>
    <row r="1959" spans="1:7" ht="10.050000000000001" customHeight="1">
      <c r="A1959" s="52" t="s">
        <v>421</v>
      </c>
      <c r="B1959" s="52" t="s">
        <v>173</v>
      </c>
      <c r="C1959" s="53">
        <v>2014</v>
      </c>
      <c r="D1959" s="52" t="s">
        <v>118</v>
      </c>
      <c r="E1959" s="54">
        <v>3</v>
      </c>
      <c r="F1959" s="55">
        <v>92418.447</v>
      </c>
      <c r="G1959" s="55">
        <v>54050.074999999997</v>
      </c>
    </row>
    <row r="1960" spans="1:7" ht="10.050000000000001" customHeight="1">
      <c r="A1960" s="52" t="s">
        <v>421</v>
      </c>
      <c r="B1960" s="52" t="s">
        <v>173</v>
      </c>
      <c r="C1960" s="53">
        <v>2014</v>
      </c>
      <c r="D1960" s="52" t="s">
        <v>118</v>
      </c>
      <c r="E1960" s="54">
        <v>4</v>
      </c>
      <c r="F1960" s="55">
        <v>100786.891</v>
      </c>
      <c r="G1960" s="55">
        <v>52445.807000000001</v>
      </c>
    </row>
    <row r="1961" spans="1:7" ht="10.050000000000001" customHeight="1">
      <c r="A1961" s="52" t="s">
        <v>421</v>
      </c>
      <c r="B1961" s="52" t="s">
        <v>173</v>
      </c>
      <c r="C1961" s="53">
        <v>2014</v>
      </c>
      <c r="D1961" s="52" t="s">
        <v>118</v>
      </c>
      <c r="E1961" s="54">
        <v>5</v>
      </c>
      <c r="F1961" s="55">
        <v>103835.243</v>
      </c>
      <c r="G1961" s="55">
        <v>43278.438000000002</v>
      </c>
    </row>
    <row r="1962" spans="1:7" ht="10.050000000000001" customHeight="1">
      <c r="A1962" s="52" t="s">
        <v>421</v>
      </c>
      <c r="B1962" s="52" t="s">
        <v>173</v>
      </c>
      <c r="C1962" s="53">
        <v>2014</v>
      </c>
      <c r="D1962" s="52" t="s">
        <v>118</v>
      </c>
      <c r="E1962" s="54">
        <v>6</v>
      </c>
      <c r="F1962" s="55">
        <v>107517.087</v>
      </c>
      <c r="G1962" s="55">
        <v>42939.050999999999</v>
      </c>
    </row>
    <row r="1963" spans="1:7" ht="10.050000000000001" customHeight="1">
      <c r="A1963" s="52" t="s">
        <v>421</v>
      </c>
      <c r="B1963" s="52" t="s">
        <v>173</v>
      </c>
      <c r="C1963" s="53">
        <v>2014</v>
      </c>
      <c r="D1963" s="52" t="s">
        <v>119</v>
      </c>
      <c r="E1963" s="54">
        <v>7</v>
      </c>
      <c r="F1963" s="55">
        <v>122956.125</v>
      </c>
      <c r="G1963" s="55">
        <v>114458.86900000001</v>
      </c>
    </row>
    <row r="1964" spans="1:7" ht="10.050000000000001" customHeight="1">
      <c r="A1964" s="52" t="s">
        <v>421</v>
      </c>
      <c r="B1964" s="52" t="s">
        <v>173</v>
      </c>
      <c r="C1964" s="53">
        <v>2014</v>
      </c>
      <c r="D1964" s="52" t="s">
        <v>119</v>
      </c>
      <c r="E1964" s="54">
        <v>8</v>
      </c>
      <c r="F1964" s="55">
        <v>105582.88099999999</v>
      </c>
      <c r="G1964" s="55">
        <v>92686.03</v>
      </c>
    </row>
    <row r="1965" spans="1:7" ht="10.050000000000001" customHeight="1">
      <c r="A1965" s="52" t="s">
        <v>421</v>
      </c>
      <c r="B1965" s="52" t="s">
        <v>173</v>
      </c>
      <c r="C1965" s="53">
        <v>2014</v>
      </c>
      <c r="D1965" s="52" t="s">
        <v>119</v>
      </c>
      <c r="E1965" s="54">
        <v>9</v>
      </c>
      <c r="F1965" s="55">
        <v>98297.663</v>
      </c>
      <c r="G1965" s="55">
        <v>80527.906000000003</v>
      </c>
    </row>
    <row r="1966" spans="1:7" ht="10.050000000000001" customHeight="1">
      <c r="A1966" s="52" t="s">
        <v>421</v>
      </c>
      <c r="B1966" s="52" t="s">
        <v>173</v>
      </c>
      <c r="C1966" s="53">
        <v>2014</v>
      </c>
      <c r="D1966" s="52" t="s">
        <v>119</v>
      </c>
      <c r="E1966" s="54">
        <v>10</v>
      </c>
      <c r="F1966" s="55">
        <v>90838.422000000006</v>
      </c>
      <c r="G1966" s="55">
        <v>70545.61</v>
      </c>
    </row>
    <row r="1967" spans="1:7" ht="10.050000000000001" customHeight="1">
      <c r="A1967" s="52" t="s">
        <v>421</v>
      </c>
      <c r="B1967" s="52" t="s">
        <v>173</v>
      </c>
      <c r="C1967" s="53">
        <v>2014</v>
      </c>
      <c r="D1967" s="52" t="s">
        <v>119</v>
      </c>
      <c r="E1967" s="54">
        <v>11</v>
      </c>
      <c r="F1967" s="55">
        <v>73825.755999999994</v>
      </c>
      <c r="G1967" s="55">
        <v>70143.626000000004</v>
      </c>
    </row>
    <row r="1968" spans="1:7" ht="10.050000000000001" customHeight="1">
      <c r="A1968" s="52" t="s">
        <v>421</v>
      </c>
      <c r="B1968" s="52" t="s">
        <v>173</v>
      </c>
      <c r="C1968" s="53">
        <v>2014</v>
      </c>
      <c r="D1968" s="52" t="s">
        <v>119</v>
      </c>
      <c r="E1968" s="54">
        <v>12</v>
      </c>
      <c r="F1968" s="55">
        <v>82366.317999999999</v>
      </c>
      <c r="G1968" s="55">
        <v>56221.779000000002</v>
      </c>
    </row>
    <row r="1969" spans="1:7" ht="10.050000000000001" customHeight="1">
      <c r="A1969" s="52" t="s">
        <v>421</v>
      </c>
      <c r="B1969" s="52" t="s">
        <v>173</v>
      </c>
      <c r="C1969" s="53">
        <v>2015</v>
      </c>
      <c r="D1969" s="52" t="s">
        <v>119</v>
      </c>
      <c r="E1969" s="54">
        <v>1</v>
      </c>
      <c r="F1969" s="55">
        <v>78286.909</v>
      </c>
      <c r="G1969" s="55">
        <v>47183.226999999999</v>
      </c>
    </row>
    <row r="1970" spans="1:7" ht="10.050000000000001" customHeight="1">
      <c r="A1970" s="52" t="s">
        <v>421</v>
      </c>
      <c r="B1970" s="52" t="s">
        <v>173</v>
      </c>
      <c r="C1970" s="53">
        <v>2015</v>
      </c>
      <c r="D1970" s="52" t="s">
        <v>119</v>
      </c>
      <c r="E1970" s="54">
        <v>2</v>
      </c>
      <c r="F1970" s="55">
        <v>69530.548999999999</v>
      </c>
      <c r="G1970" s="55">
        <v>45536.800999999999</v>
      </c>
    </row>
    <row r="1971" spans="1:7" ht="10.050000000000001" customHeight="1">
      <c r="A1971" s="52" t="s">
        <v>421</v>
      </c>
      <c r="B1971" s="52" t="s">
        <v>173</v>
      </c>
      <c r="C1971" s="53">
        <v>2015</v>
      </c>
      <c r="D1971" s="52" t="s">
        <v>119</v>
      </c>
      <c r="E1971" s="54">
        <v>3</v>
      </c>
      <c r="F1971" s="55">
        <v>75394.004000000001</v>
      </c>
      <c r="G1971" s="55">
        <v>43900.529000000002</v>
      </c>
    </row>
    <row r="1972" spans="1:7" ht="10.050000000000001" customHeight="1">
      <c r="A1972" s="52" t="s">
        <v>421</v>
      </c>
      <c r="B1972" s="52" t="s">
        <v>173</v>
      </c>
      <c r="C1972" s="53">
        <v>2015</v>
      </c>
      <c r="D1972" s="52" t="s">
        <v>119</v>
      </c>
      <c r="E1972" s="54">
        <v>4</v>
      </c>
      <c r="F1972" s="55">
        <v>75549.937999999995</v>
      </c>
      <c r="G1972" s="55">
        <v>41367.199999999997</v>
      </c>
    </row>
    <row r="1973" spans="1:7" ht="10.050000000000001" customHeight="1">
      <c r="A1973" s="52" t="s">
        <v>421</v>
      </c>
      <c r="B1973" s="52" t="s">
        <v>173</v>
      </c>
      <c r="C1973" s="53">
        <v>2015</v>
      </c>
      <c r="D1973" s="52" t="s">
        <v>119</v>
      </c>
      <c r="E1973" s="54">
        <v>5</v>
      </c>
      <c r="F1973" s="55">
        <v>69213.354000000007</v>
      </c>
      <c r="G1973" s="55">
        <v>37684.408000000003</v>
      </c>
    </row>
    <row r="1974" spans="1:7" ht="10.050000000000001" customHeight="1">
      <c r="A1974" s="52" t="s">
        <v>421</v>
      </c>
      <c r="B1974" s="52" t="s">
        <v>173</v>
      </c>
      <c r="C1974" s="53">
        <v>2015</v>
      </c>
      <c r="D1974" s="52" t="s">
        <v>119</v>
      </c>
      <c r="E1974" s="54">
        <v>6</v>
      </c>
      <c r="F1974" s="55">
        <v>70309.498000000007</v>
      </c>
      <c r="G1974" s="55">
        <v>42623.775000000001</v>
      </c>
    </row>
    <row r="1975" spans="1:7" ht="10.050000000000001" customHeight="1">
      <c r="A1975" s="52" t="s">
        <v>421</v>
      </c>
      <c r="B1975" s="52" t="s">
        <v>173</v>
      </c>
      <c r="C1975" s="53">
        <v>2015</v>
      </c>
      <c r="D1975" s="52" t="s">
        <v>120</v>
      </c>
      <c r="E1975" s="54">
        <v>7</v>
      </c>
      <c r="F1975" s="55">
        <v>81462.005999999994</v>
      </c>
      <c r="G1975" s="55">
        <v>118827.93700000001</v>
      </c>
    </row>
    <row r="1976" spans="1:7" ht="10.050000000000001" customHeight="1">
      <c r="A1976" s="52" t="s">
        <v>421</v>
      </c>
      <c r="B1976" s="52" t="s">
        <v>173</v>
      </c>
      <c r="C1976" s="53">
        <v>2015</v>
      </c>
      <c r="D1976" s="52" t="s">
        <v>120</v>
      </c>
      <c r="E1976" s="54">
        <v>8</v>
      </c>
      <c r="F1976" s="55">
        <v>79364.326000000001</v>
      </c>
      <c r="G1976" s="55">
        <v>117312.855</v>
      </c>
    </row>
    <row r="1977" spans="1:7" ht="10.050000000000001" customHeight="1">
      <c r="A1977" s="52" t="s">
        <v>421</v>
      </c>
      <c r="B1977" s="52" t="s">
        <v>173</v>
      </c>
      <c r="C1977" s="53">
        <v>2015</v>
      </c>
      <c r="D1977" s="52" t="s">
        <v>120</v>
      </c>
      <c r="E1977" s="54">
        <v>9</v>
      </c>
      <c r="F1977" s="55">
        <v>86899.069000000003</v>
      </c>
      <c r="G1977" s="55">
        <v>100873.039</v>
      </c>
    </row>
    <row r="1978" spans="1:7" ht="10.050000000000001" customHeight="1">
      <c r="A1978" s="52" t="s">
        <v>421</v>
      </c>
      <c r="B1978" s="52" t="s">
        <v>173</v>
      </c>
      <c r="C1978" s="53">
        <v>2015</v>
      </c>
      <c r="D1978" s="52" t="s">
        <v>120</v>
      </c>
      <c r="E1978" s="54">
        <v>10</v>
      </c>
      <c r="F1978" s="55">
        <v>88806.796000000002</v>
      </c>
      <c r="G1978" s="55">
        <v>84758.042000000001</v>
      </c>
    </row>
    <row r="1979" spans="1:7" ht="10.050000000000001" customHeight="1">
      <c r="A1979" s="52" t="s">
        <v>421</v>
      </c>
      <c r="B1979" s="52" t="s">
        <v>173</v>
      </c>
      <c r="C1979" s="53">
        <v>2015</v>
      </c>
      <c r="D1979" s="52" t="s">
        <v>120</v>
      </c>
      <c r="E1979" s="54">
        <v>11</v>
      </c>
      <c r="F1979" s="55">
        <v>75366.13</v>
      </c>
      <c r="G1979" s="55">
        <v>75274.187000000005</v>
      </c>
    </row>
    <row r="1980" spans="1:7" ht="10.050000000000001" customHeight="1">
      <c r="A1980" s="52" t="s">
        <v>421</v>
      </c>
      <c r="B1980" s="52" t="s">
        <v>173</v>
      </c>
      <c r="C1980" s="53">
        <v>2015</v>
      </c>
      <c r="D1980" s="52" t="s">
        <v>120</v>
      </c>
      <c r="E1980" s="54">
        <v>12</v>
      </c>
      <c r="F1980" s="55">
        <v>90848.497000000003</v>
      </c>
      <c r="G1980" s="55">
        <v>67010.808999999994</v>
      </c>
    </row>
    <row r="1981" spans="1:7" ht="10.050000000000001" customHeight="1">
      <c r="A1981" s="52" t="s">
        <v>421</v>
      </c>
      <c r="B1981" s="52" t="s">
        <v>173</v>
      </c>
      <c r="C1981" s="53">
        <v>2016</v>
      </c>
      <c r="D1981" s="52" t="s">
        <v>120</v>
      </c>
      <c r="E1981" s="54">
        <v>1</v>
      </c>
      <c r="F1981" s="55">
        <v>84735.317999999999</v>
      </c>
      <c r="G1981" s="55">
        <v>59055.720999999998</v>
      </c>
    </row>
    <row r="1982" spans="1:7" ht="10.050000000000001" customHeight="1">
      <c r="A1982" s="52" t="s">
        <v>421</v>
      </c>
      <c r="B1982" s="52" t="s">
        <v>173</v>
      </c>
      <c r="C1982" s="53">
        <v>2016</v>
      </c>
      <c r="D1982" s="52" t="s">
        <v>120</v>
      </c>
      <c r="E1982" s="54">
        <v>2</v>
      </c>
      <c r="F1982" s="55">
        <v>86180.426999999996</v>
      </c>
      <c r="G1982" s="55">
        <v>54387.074999999997</v>
      </c>
    </row>
    <row r="1983" spans="1:7" ht="10.050000000000001" customHeight="1">
      <c r="A1983" s="52" t="s">
        <v>421</v>
      </c>
      <c r="B1983" s="52" t="s">
        <v>173</v>
      </c>
      <c r="C1983" s="53">
        <v>2016</v>
      </c>
      <c r="D1983" s="52" t="s">
        <v>120</v>
      </c>
      <c r="E1983" s="54">
        <v>3</v>
      </c>
      <c r="F1983" s="55">
        <v>92640.774000000005</v>
      </c>
      <c r="G1983" s="55">
        <v>52927.47</v>
      </c>
    </row>
    <row r="1984" spans="1:7" ht="10.050000000000001" customHeight="1">
      <c r="A1984" s="52" t="s">
        <v>421</v>
      </c>
      <c r="B1984" s="52" t="s">
        <v>173</v>
      </c>
      <c r="C1984" s="53">
        <v>2016</v>
      </c>
      <c r="D1984" s="52" t="s">
        <v>120</v>
      </c>
      <c r="E1984" s="54">
        <v>4</v>
      </c>
      <c r="F1984" s="55">
        <v>84359.205000000002</v>
      </c>
      <c r="G1984" s="55">
        <v>50465.019</v>
      </c>
    </row>
    <row r="1985" spans="1:7" ht="10.050000000000001" customHeight="1">
      <c r="A1985" s="52" t="s">
        <v>421</v>
      </c>
      <c r="B1985" s="52" t="s">
        <v>173</v>
      </c>
      <c r="C1985" s="53">
        <v>2016</v>
      </c>
      <c r="D1985" s="52" t="s">
        <v>120</v>
      </c>
      <c r="E1985" s="54">
        <v>5</v>
      </c>
      <c r="F1985" s="55">
        <v>81146.475999999995</v>
      </c>
      <c r="G1985" s="55">
        <v>46794.012000000002</v>
      </c>
    </row>
    <row r="1986" spans="1:7" ht="10.050000000000001" customHeight="1">
      <c r="A1986" s="52" t="s">
        <v>421</v>
      </c>
      <c r="B1986" s="52" t="s">
        <v>173</v>
      </c>
      <c r="C1986" s="53">
        <v>2016</v>
      </c>
      <c r="D1986" s="52" t="s">
        <v>120</v>
      </c>
      <c r="E1986" s="54">
        <v>6</v>
      </c>
      <c r="F1986" s="55">
        <v>83180.44</v>
      </c>
      <c r="G1986" s="55">
        <v>40756.256000000001</v>
      </c>
    </row>
    <row r="1987" spans="1:7" ht="10.050000000000001" customHeight="1">
      <c r="A1987" s="52" t="s">
        <v>421</v>
      </c>
      <c r="B1987" s="52" t="s">
        <v>173</v>
      </c>
      <c r="C1987" s="53">
        <v>2016</v>
      </c>
      <c r="D1987" s="52" t="s">
        <v>121</v>
      </c>
      <c r="E1987" s="54">
        <v>7</v>
      </c>
      <c r="F1987" s="55">
        <v>95225.731</v>
      </c>
      <c r="G1987" s="55">
        <v>117719.20600000001</v>
      </c>
    </row>
    <row r="1988" spans="1:7" ht="10.050000000000001" customHeight="1">
      <c r="A1988" s="52" t="s">
        <v>421</v>
      </c>
      <c r="B1988" s="52" t="s">
        <v>173</v>
      </c>
      <c r="C1988" s="53">
        <v>2016</v>
      </c>
      <c r="D1988" s="52" t="s">
        <v>121</v>
      </c>
      <c r="E1988" s="54">
        <v>8</v>
      </c>
      <c r="F1988" s="55">
        <v>109070.47500000001</v>
      </c>
      <c r="G1988" s="55">
        <v>99179.166000000099</v>
      </c>
    </row>
    <row r="1989" spans="1:7" ht="10.050000000000001" customHeight="1">
      <c r="A1989" s="52" t="s">
        <v>421</v>
      </c>
      <c r="B1989" s="52" t="s">
        <v>173</v>
      </c>
      <c r="C1989" s="53">
        <v>2016</v>
      </c>
      <c r="D1989" s="52" t="s">
        <v>121</v>
      </c>
      <c r="E1989" s="54">
        <v>9</v>
      </c>
      <c r="F1989" s="55">
        <v>112732.511</v>
      </c>
      <c r="G1989" s="55">
        <v>79373.138000000006</v>
      </c>
    </row>
    <row r="1990" spans="1:7" ht="10.050000000000001" customHeight="1">
      <c r="A1990" s="52" t="s">
        <v>421</v>
      </c>
      <c r="B1990" s="52" t="s">
        <v>173</v>
      </c>
      <c r="C1990" s="53">
        <v>2016</v>
      </c>
      <c r="D1990" s="52" t="s">
        <v>121</v>
      </c>
      <c r="E1990" s="54">
        <v>10</v>
      </c>
      <c r="F1990" s="55">
        <v>120306.319</v>
      </c>
      <c r="G1990" s="55">
        <v>69373.595000000001</v>
      </c>
    </row>
    <row r="1991" spans="1:7" ht="10.050000000000001" customHeight="1">
      <c r="A1991" s="52" t="s">
        <v>421</v>
      </c>
      <c r="B1991" s="52" t="s">
        <v>173</v>
      </c>
      <c r="C1991" s="53">
        <v>2016</v>
      </c>
      <c r="D1991" s="52" t="s">
        <v>121</v>
      </c>
      <c r="E1991" s="54">
        <v>11</v>
      </c>
      <c r="F1991" s="55">
        <v>134418.76500000001</v>
      </c>
      <c r="G1991" s="55">
        <v>74887.271999999997</v>
      </c>
    </row>
    <row r="1992" spans="1:7" ht="10.050000000000001" customHeight="1">
      <c r="A1992" s="52" t="s">
        <v>421</v>
      </c>
      <c r="B1992" s="52" t="s">
        <v>173</v>
      </c>
      <c r="C1992" s="53">
        <v>2016</v>
      </c>
      <c r="D1992" s="52" t="s">
        <v>121</v>
      </c>
      <c r="E1992" s="54">
        <v>12</v>
      </c>
      <c r="F1992" s="55">
        <v>147839.223</v>
      </c>
      <c r="G1992" s="55">
        <v>65018.904000000002</v>
      </c>
    </row>
    <row r="1993" spans="1:7" ht="10.050000000000001" customHeight="1">
      <c r="A1993" s="52" t="s">
        <v>421</v>
      </c>
      <c r="B1993" s="52" t="s">
        <v>173</v>
      </c>
      <c r="C1993" s="53">
        <v>2017</v>
      </c>
      <c r="D1993" s="52" t="s">
        <v>121</v>
      </c>
      <c r="E1993" s="54">
        <v>1</v>
      </c>
      <c r="F1993" s="55">
        <v>151170.84</v>
      </c>
      <c r="G1993" s="55">
        <v>63125.82</v>
      </c>
    </row>
    <row r="1994" spans="1:7" ht="10.050000000000001" customHeight="1">
      <c r="A1994" s="52" t="s">
        <v>421</v>
      </c>
      <c r="B1994" s="52" t="s">
        <v>173</v>
      </c>
      <c r="C1994" s="53">
        <v>2017</v>
      </c>
      <c r="D1994" s="52" t="s">
        <v>121</v>
      </c>
      <c r="E1994" s="54">
        <v>2</v>
      </c>
      <c r="F1994" s="55">
        <v>137734.60800000001</v>
      </c>
      <c r="G1994" s="55">
        <v>59665.582999999999</v>
      </c>
    </row>
    <row r="1995" spans="1:7" ht="10.050000000000001" customHeight="1">
      <c r="A1995" s="52" t="s">
        <v>421</v>
      </c>
      <c r="B1995" s="52" t="s">
        <v>173</v>
      </c>
      <c r="C1995" s="53">
        <v>2017</v>
      </c>
      <c r="D1995" s="52" t="s">
        <v>121</v>
      </c>
      <c r="E1995" s="54">
        <v>3</v>
      </c>
      <c r="F1995" s="55">
        <v>158472.67300000001</v>
      </c>
      <c r="G1995" s="55">
        <v>60727.868999999999</v>
      </c>
    </row>
    <row r="1996" spans="1:7" ht="10.050000000000001" customHeight="1">
      <c r="A1996" s="52" t="s">
        <v>421</v>
      </c>
      <c r="B1996" s="52" t="s">
        <v>173</v>
      </c>
      <c r="C1996" s="53">
        <v>2017</v>
      </c>
      <c r="D1996" s="52" t="s">
        <v>121</v>
      </c>
      <c r="E1996" s="54">
        <v>4</v>
      </c>
      <c r="F1996" s="55">
        <v>140854.54199999999</v>
      </c>
      <c r="G1996" s="55">
        <v>56185.712</v>
      </c>
    </row>
    <row r="1997" spans="1:7" ht="10.050000000000001" customHeight="1">
      <c r="A1997" s="52" t="s">
        <v>421</v>
      </c>
      <c r="B1997" s="52" t="s">
        <v>173</v>
      </c>
      <c r="C1997" s="53">
        <v>2017</v>
      </c>
      <c r="D1997" s="52" t="s">
        <v>121</v>
      </c>
      <c r="E1997" s="54">
        <v>5</v>
      </c>
      <c r="F1997" s="55">
        <v>151854.86199999999</v>
      </c>
      <c r="G1997" s="55">
        <v>54805.031000000003</v>
      </c>
    </row>
    <row r="1998" spans="1:7" ht="10.050000000000001" customHeight="1">
      <c r="A1998" s="52" t="s">
        <v>421</v>
      </c>
      <c r="B1998" s="52" t="s">
        <v>173</v>
      </c>
      <c r="C1998" s="53">
        <v>2017</v>
      </c>
      <c r="D1998" s="52" t="s">
        <v>121</v>
      </c>
      <c r="E1998" s="54">
        <v>6</v>
      </c>
      <c r="F1998" s="55">
        <v>150622.72099999999</v>
      </c>
      <c r="G1998" s="55">
        <v>59694.928999999996</v>
      </c>
    </row>
    <row r="1999" spans="1:7" ht="10.050000000000001" customHeight="1">
      <c r="A1999" s="52" t="s">
        <v>421</v>
      </c>
      <c r="B1999" s="52" t="s">
        <v>173</v>
      </c>
      <c r="C1999" s="53">
        <v>2017</v>
      </c>
      <c r="D1999" s="52" t="s">
        <v>122</v>
      </c>
      <c r="E1999" s="54">
        <v>7</v>
      </c>
      <c r="F1999" s="55">
        <v>133923.62100000001</v>
      </c>
      <c r="G1999" s="55">
        <v>122843.09600000001</v>
      </c>
    </row>
    <row r="2000" spans="1:7" ht="10.050000000000001" customHeight="1">
      <c r="A2000" s="52" t="s">
        <v>421</v>
      </c>
      <c r="B2000" s="52" t="s">
        <v>173</v>
      </c>
      <c r="C2000" s="53">
        <v>2017</v>
      </c>
      <c r="D2000" s="52" t="s">
        <v>122</v>
      </c>
      <c r="E2000" s="54">
        <v>8</v>
      </c>
      <c r="F2000" s="55">
        <v>141191.15900000001</v>
      </c>
      <c r="G2000" s="55">
        <v>107165.908</v>
      </c>
    </row>
    <row r="2001" spans="1:7" ht="10.050000000000001" customHeight="1">
      <c r="A2001" s="52" t="s">
        <v>421</v>
      </c>
      <c r="B2001" s="52" t="s">
        <v>173</v>
      </c>
      <c r="C2001" s="53">
        <v>2017</v>
      </c>
      <c r="D2001" s="52" t="s">
        <v>122</v>
      </c>
      <c r="E2001" s="54">
        <v>9</v>
      </c>
      <c r="F2001" s="55">
        <v>129492.198</v>
      </c>
      <c r="G2001" s="55">
        <v>94796.904999999999</v>
      </c>
    </row>
    <row r="2002" spans="1:7" ht="10.050000000000001" customHeight="1">
      <c r="A2002" s="52" t="s">
        <v>421</v>
      </c>
      <c r="B2002" s="52" t="s">
        <v>173</v>
      </c>
      <c r="C2002" s="53">
        <v>2017</v>
      </c>
      <c r="D2002" s="52" t="s">
        <v>122</v>
      </c>
      <c r="E2002" s="54">
        <v>10</v>
      </c>
      <c r="F2002" s="55">
        <v>114812.045</v>
      </c>
      <c r="G2002" s="55">
        <v>82545.64</v>
      </c>
    </row>
    <row r="2003" spans="1:7" ht="10.050000000000001" customHeight="1">
      <c r="A2003" s="52" t="s">
        <v>421</v>
      </c>
      <c r="B2003" s="52" t="s">
        <v>173</v>
      </c>
      <c r="C2003" s="53">
        <v>2017</v>
      </c>
      <c r="D2003" s="52" t="s">
        <v>122</v>
      </c>
      <c r="E2003" s="54">
        <v>11</v>
      </c>
      <c r="F2003" s="55">
        <v>103378.59299999999</v>
      </c>
      <c r="G2003" s="55">
        <v>74089.558999999994</v>
      </c>
    </row>
    <row r="2004" spans="1:7" ht="10.050000000000001" customHeight="1">
      <c r="A2004" s="52" t="s">
        <v>421</v>
      </c>
      <c r="B2004" s="52" t="s">
        <v>173</v>
      </c>
      <c r="C2004" s="53">
        <v>2017</v>
      </c>
      <c r="D2004" s="52" t="s">
        <v>122</v>
      </c>
      <c r="E2004" s="54">
        <v>12</v>
      </c>
      <c r="F2004" s="55">
        <v>99822.505000000005</v>
      </c>
      <c r="G2004" s="55">
        <v>69241.785000000003</v>
      </c>
    </row>
    <row r="2005" spans="1:7" ht="10.050000000000001" customHeight="1">
      <c r="A2005" s="52" t="s">
        <v>421</v>
      </c>
      <c r="B2005" s="52" t="s">
        <v>173</v>
      </c>
      <c r="C2005" s="53">
        <v>2018</v>
      </c>
      <c r="D2005" s="52" t="s">
        <v>122</v>
      </c>
      <c r="E2005" s="54">
        <v>1</v>
      </c>
      <c r="F2005" s="55">
        <v>104236.02899999999</v>
      </c>
      <c r="G2005" s="55">
        <v>67812.478000000003</v>
      </c>
    </row>
    <row r="2006" spans="1:7" ht="10.050000000000001" customHeight="1">
      <c r="A2006" s="52" t="s">
        <v>421</v>
      </c>
      <c r="B2006" s="52" t="s">
        <v>173</v>
      </c>
      <c r="C2006" s="53">
        <v>2018</v>
      </c>
      <c r="D2006" s="52" t="s">
        <v>122</v>
      </c>
      <c r="E2006" s="54">
        <v>2</v>
      </c>
      <c r="F2006" s="55">
        <v>88018.952999999994</v>
      </c>
      <c r="G2006" s="55">
        <v>66726.082999999999</v>
      </c>
    </row>
    <row r="2007" spans="1:7" ht="10.050000000000001" customHeight="1">
      <c r="A2007" s="52" t="s">
        <v>421</v>
      </c>
      <c r="B2007" s="52" t="s">
        <v>173</v>
      </c>
      <c r="C2007" s="53">
        <v>2018</v>
      </c>
      <c r="D2007" s="52" t="s">
        <v>122</v>
      </c>
      <c r="E2007" s="54">
        <v>3</v>
      </c>
      <c r="F2007" s="55">
        <v>95570.596000000005</v>
      </c>
      <c r="G2007" s="55">
        <v>63195.633999999998</v>
      </c>
    </row>
    <row r="2008" spans="1:7" ht="10.050000000000001" customHeight="1">
      <c r="A2008" s="52" t="s">
        <v>421</v>
      </c>
      <c r="B2008" s="52" t="s">
        <v>173</v>
      </c>
      <c r="C2008" s="53">
        <v>2018</v>
      </c>
      <c r="D2008" s="52" t="s">
        <v>122</v>
      </c>
      <c r="E2008" s="54">
        <v>4</v>
      </c>
      <c r="F2008" s="55">
        <v>82329.785000000003</v>
      </c>
      <c r="G2008" s="55">
        <v>63238.451999999997</v>
      </c>
    </row>
    <row r="2009" spans="1:7" ht="10.050000000000001" customHeight="1">
      <c r="A2009" s="52" t="s">
        <v>421</v>
      </c>
      <c r="B2009" s="52" t="s">
        <v>173</v>
      </c>
      <c r="C2009" s="53">
        <v>2018</v>
      </c>
      <c r="D2009" s="52" t="s">
        <v>122</v>
      </c>
      <c r="E2009" s="54">
        <v>5</v>
      </c>
      <c r="F2009" s="55">
        <v>81953.607000000004</v>
      </c>
      <c r="G2009" s="55">
        <v>55105.4</v>
      </c>
    </row>
    <row r="2010" spans="1:7" ht="10.050000000000001" customHeight="1">
      <c r="A2010" s="52" t="s">
        <v>421</v>
      </c>
      <c r="B2010" s="52" t="s">
        <v>173</v>
      </c>
      <c r="C2010" s="53">
        <v>2018</v>
      </c>
      <c r="D2010" s="52" t="s">
        <v>122</v>
      </c>
      <c r="E2010" s="54">
        <v>6</v>
      </c>
      <c r="F2010" s="55">
        <v>83377.319000000003</v>
      </c>
      <c r="G2010" s="55">
        <v>62417.809000000001</v>
      </c>
    </row>
    <row r="2011" spans="1:7" ht="10.050000000000001" customHeight="1">
      <c r="A2011" s="52" t="s">
        <v>421</v>
      </c>
      <c r="B2011" s="52" t="s">
        <v>173</v>
      </c>
      <c r="C2011" s="53">
        <v>2018</v>
      </c>
      <c r="D2011" s="52" t="s">
        <v>123</v>
      </c>
      <c r="E2011" s="54">
        <v>7</v>
      </c>
      <c r="F2011" s="55">
        <v>85988.53</v>
      </c>
      <c r="G2011" s="55">
        <v>114058.29300000001</v>
      </c>
    </row>
    <row r="2012" spans="1:7" ht="10.050000000000001" customHeight="1">
      <c r="A2012" s="52" t="s">
        <v>421</v>
      </c>
      <c r="B2012" s="52" t="s">
        <v>173</v>
      </c>
      <c r="C2012" s="53">
        <v>2018</v>
      </c>
      <c r="D2012" s="52" t="s">
        <v>123</v>
      </c>
      <c r="E2012" s="54">
        <v>8</v>
      </c>
      <c r="F2012" s="55">
        <v>88106.462</v>
      </c>
      <c r="G2012" s="55">
        <v>105538.12</v>
      </c>
    </row>
    <row r="2013" spans="1:7" ht="10.050000000000001" customHeight="1">
      <c r="A2013" s="52" t="s">
        <v>421</v>
      </c>
      <c r="B2013" s="52" t="s">
        <v>173</v>
      </c>
      <c r="C2013" s="53">
        <v>2018</v>
      </c>
      <c r="D2013" s="52" t="s">
        <v>123</v>
      </c>
      <c r="E2013" s="54">
        <v>9</v>
      </c>
      <c r="F2013" s="55">
        <v>78157.285999999993</v>
      </c>
      <c r="G2013" s="55">
        <v>96540.616999999998</v>
      </c>
    </row>
    <row r="2014" spans="1:7" ht="10.050000000000001" customHeight="1">
      <c r="A2014" s="52" t="s">
        <v>421</v>
      </c>
      <c r="B2014" s="52" t="s">
        <v>173</v>
      </c>
      <c r="C2014" s="53">
        <v>2018</v>
      </c>
      <c r="D2014" s="52" t="s">
        <v>123</v>
      </c>
      <c r="E2014" s="54">
        <v>10</v>
      </c>
      <c r="F2014" s="55">
        <v>83923.282999999996</v>
      </c>
      <c r="G2014" s="55">
        <v>83426.315000000104</v>
      </c>
    </row>
    <row r="2015" spans="1:7" ht="10.050000000000001" customHeight="1">
      <c r="A2015" s="52" t="s">
        <v>421</v>
      </c>
      <c r="B2015" s="52" t="s">
        <v>173</v>
      </c>
      <c r="C2015" s="53">
        <v>2018</v>
      </c>
      <c r="D2015" s="52" t="s">
        <v>123</v>
      </c>
      <c r="E2015" s="54">
        <v>11</v>
      </c>
      <c r="F2015" s="55">
        <v>75847.717000000004</v>
      </c>
      <c r="G2015" s="55">
        <v>76239.05</v>
      </c>
    </row>
    <row r="2016" spans="1:7" ht="10.050000000000001" customHeight="1">
      <c r="A2016" s="52" t="s">
        <v>421</v>
      </c>
      <c r="B2016" s="52" t="s">
        <v>173</v>
      </c>
      <c r="C2016" s="53">
        <v>2018</v>
      </c>
      <c r="D2016" s="52" t="s">
        <v>123</v>
      </c>
      <c r="E2016" s="54">
        <v>12</v>
      </c>
      <c r="F2016" s="55">
        <v>75758.472999999998</v>
      </c>
      <c r="G2016" s="55">
        <v>67263.899999999994</v>
      </c>
    </row>
    <row r="2017" spans="1:7" ht="10.050000000000001" customHeight="1">
      <c r="A2017" s="52" t="s">
        <v>421</v>
      </c>
      <c r="B2017" s="52" t="s">
        <v>173</v>
      </c>
      <c r="C2017" s="53">
        <v>2019</v>
      </c>
      <c r="D2017" s="52" t="s">
        <v>123</v>
      </c>
      <c r="E2017" s="54">
        <v>1</v>
      </c>
      <c r="F2017" s="55">
        <v>80795.373000000007</v>
      </c>
      <c r="G2017" s="55">
        <v>60285.114999999998</v>
      </c>
    </row>
    <row r="2018" spans="1:7" ht="10.050000000000001" customHeight="1">
      <c r="A2018" s="52" t="s">
        <v>421</v>
      </c>
      <c r="B2018" s="52" t="s">
        <v>173</v>
      </c>
      <c r="C2018" s="53">
        <v>2019</v>
      </c>
      <c r="D2018" s="52" t="s">
        <v>123</v>
      </c>
      <c r="E2018" s="54">
        <v>2</v>
      </c>
      <c r="F2018" s="55">
        <v>71791.231</v>
      </c>
      <c r="G2018" s="55">
        <v>56168.163</v>
      </c>
    </row>
    <row r="2019" spans="1:7" ht="10.050000000000001" customHeight="1">
      <c r="A2019" s="52" t="s">
        <v>421</v>
      </c>
      <c r="B2019" s="52" t="s">
        <v>173</v>
      </c>
      <c r="C2019" s="53">
        <v>2019</v>
      </c>
      <c r="D2019" s="52" t="s">
        <v>123</v>
      </c>
      <c r="E2019" s="54">
        <v>3</v>
      </c>
      <c r="F2019" s="55">
        <v>84711.913</v>
      </c>
      <c r="G2019" s="55">
        <v>57661.283000000003</v>
      </c>
    </row>
    <row r="2020" spans="1:7" ht="10.050000000000001" customHeight="1">
      <c r="A2020" s="52" t="s">
        <v>421</v>
      </c>
      <c r="B2020" s="52" t="s">
        <v>173</v>
      </c>
      <c r="C2020" s="53">
        <v>2019</v>
      </c>
      <c r="D2020" s="52" t="s">
        <v>123</v>
      </c>
      <c r="E2020" s="54">
        <v>4</v>
      </c>
      <c r="F2020" s="55">
        <v>95140.157000000007</v>
      </c>
      <c r="G2020" s="55">
        <v>52267.231</v>
      </c>
    </row>
    <row r="2021" spans="1:7" ht="10.050000000000001" customHeight="1">
      <c r="A2021" s="52" t="s">
        <v>421</v>
      </c>
      <c r="B2021" s="52" t="s">
        <v>173</v>
      </c>
      <c r="C2021" s="53">
        <v>2019</v>
      </c>
      <c r="D2021" s="52" t="s">
        <v>123</v>
      </c>
      <c r="E2021" s="54">
        <v>5</v>
      </c>
      <c r="F2021" s="55">
        <v>101743.954</v>
      </c>
      <c r="G2021" s="55">
        <v>49035.983</v>
      </c>
    </row>
    <row r="2022" spans="1:7" ht="10.050000000000001" customHeight="1">
      <c r="A2022" s="52" t="s">
        <v>421</v>
      </c>
      <c r="B2022" s="52" t="s">
        <v>173</v>
      </c>
      <c r="C2022" s="53">
        <v>2019</v>
      </c>
      <c r="D2022" s="52" t="s">
        <v>123</v>
      </c>
      <c r="E2022" s="54">
        <v>6</v>
      </c>
      <c r="F2022" s="55">
        <v>102525.62</v>
      </c>
      <c r="G2022" s="55">
        <v>40543.061000000002</v>
      </c>
    </row>
    <row r="2023" spans="1:7" ht="10.050000000000001" customHeight="1">
      <c r="A2023" s="52" t="s">
        <v>421</v>
      </c>
      <c r="B2023" s="52" t="s">
        <v>173</v>
      </c>
      <c r="C2023" s="53">
        <v>2019</v>
      </c>
      <c r="D2023" s="52" t="s">
        <v>124</v>
      </c>
      <c r="E2023" s="54">
        <v>7</v>
      </c>
      <c r="F2023" s="55">
        <v>130369.897</v>
      </c>
      <c r="G2023" s="55">
        <v>117263.379</v>
      </c>
    </row>
    <row r="2024" spans="1:7" ht="10.050000000000001" customHeight="1">
      <c r="A2024" s="52" t="s">
        <v>421</v>
      </c>
      <c r="B2024" s="52" t="s">
        <v>173</v>
      </c>
      <c r="C2024" s="53">
        <v>2019</v>
      </c>
      <c r="D2024" s="52" t="s">
        <v>124</v>
      </c>
      <c r="E2024" s="54">
        <v>8</v>
      </c>
      <c r="F2024" s="55">
        <v>120562.628</v>
      </c>
      <c r="G2024" s="55">
        <v>114581.098</v>
      </c>
    </row>
    <row r="2025" spans="1:7" ht="10.050000000000001" customHeight="1">
      <c r="A2025" s="52" t="s">
        <v>421</v>
      </c>
      <c r="B2025" s="52" t="s">
        <v>173</v>
      </c>
      <c r="C2025" s="53">
        <v>2019</v>
      </c>
      <c r="D2025" s="52" t="s">
        <v>124</v>
      </c>
      <c r="E2025" s="54">
        <v>9</v>
      </c>
      <c r="F2025" s="55">
        <v>112148.54700000001</v>
      </c>
      <c r="G2025" s="55">
        <v>98979.413</v>
      </c>
    </row>
    <row r="2026" spans="1:7" ht="10.050000000000001" customHeight="1">
      <c r="A2026" s="52" t="s">
        <v>421</v>
      </c>
      <c r="B2026" s="52" t="s">
        <v>173</v>
      </c>
      <c r="C2026" s="53">
        <v>2019</v>
      </c>
      <c r="D2026" s="52" t="s">
        <v>124</v>
      </c>
      <c r="E2026" s="54">
        <v>10</v>
      </c>
      <c r="F2026" s="55">
        <v>117399.802</v>
      </c>
      <c r="G2026" s="55">
        <v>84415.805999999997</v>
      </c>
    </row>
    <row r="2027" spans="1:7" ht="10.050000000000001" customHeight="1">
      <c r="A2027" s="52" t="s">
        <v>421</v>
      </c>
      <c r="B2027" s="52" t="s">
        <v>173</v>
      </c>
      <c r="C2027" s="53">
        <v>2019</v>
      </c>
      <c r="D2027" s="52" t="s">
        <v>124</v>
      </c>
      <c r="E2027" s="54">
        <v>11</v>
      </c>
      <c r="F2027" s="55">
        <v>100492.37699999999</v>
      </c>
      <c r="G2027" s="55">
        <v>77437.751999999993</v>
      </c>
    </row>
    <row r="2028" spans="1:7" ht="10.050000000000001" customHeight="1">
      <c r="A2028" s="52" t="s">
        <v>421</v>
      </c>
      <c r="B2028" s="52" t="s">
        <v>173</v>
      </c>
      <c r="C2028" s="53">
        <v>2019</v>
      </c>
      <c r="D2028" s="52" t="s">
        <v>124</v>
      </c>
      <c r="E2028" s="54">
        <v>12</v>
      </c>
      <c r="F2028" s="55">
        <v>110222.32799999999</v>
      </c>
      <c r="G2028" s="55">
        <v>72675.388000000006</v>
      </c>
    </row>
    <row r="2029" spans="1:7" ht="10.050000000000001" customHeight="1">
      <c r="A2029" s="52" t="s">
        <v>421</v>
      </c>
      <c r="B2029" s="52" t="s">
        <v>173</v>
      </c>
      <c r="C2029" s="53">
        <v>2020</v>
      </c>
      <c r="D2029" s="52" t="s">
        <v>124</v>
      </c>
      <c r="E2029" s="54">
        <v>1</v>
      </c>
      <c r="F2029" s="55">
        <v>124370.61</v>
      </c>
      <c r="G2029" s="55">
        <v>70723.47</v>
      </c>
    </row>
    <row r="2030" spans="1:7" ht="10.050000000000001" customHeight="1">
      <c r="A2030" s="52" t="s">
        <v>421</v>
      </c>
      <c r="B2030" s="52" t="s">
        <v>173</v>
      </c>
      <c r="C2030" s="53">
        <v>2020</v>
      </c>
      <c r="D2030" s="52" t="s">
        <v>124</v>
      </c>
      <c r="E2030" s="54">
        <v>2</v>
      </c>
      <c r="F2030" s="55">
        <v>121333.63499999999</v>
      </c>
      <c r="G2030" s="55">
        <v>64879.743000000002</v>
      </c>
    </row>
    <row r="2031" spans="1:7" ht="10.050000000000001" customHeight="1">
      <c r="A2031" s="52" t="s">
        <v>421</v>
      </c>
      <c r="B2031" s="52" t="s">
        <v>173</v>
      </c>
      <c r="C2031" s="53">
        <v>2020</v>
      </c>
      <c r="D2031" s="52" t="s">
        <v>124</v>
      </c>
      <c r="E2031" s="54">
        <v>3</v>
      </c>
      <c r="F2031" s="55">
        <v>139549.122</v>
      </c>
      <c r="G2031" s="55">
        <v>74485.835000000006</v>
      </c>
    </row>
    <row r="2032" spans="1:7" ht="10.050000000000001" customHeight="1">
      <c r="A2032" s="52" t="s">
        <v>421</v>
      </c>
      <c r="B2032" s="52" t="s">
        <v>173</v>
      </c>
      <c r="C2032" s="53">
        <v>2020</v>
      </c>
      <c r="D2032" s="52" t="s">
        <v>124</v>
      </c>
      <c r="E2032" s="54">
        <v>4</v>
      </c>
      <c r="F2032" s="55">
        <v>135507.40900000001</v>
      </c>
      <c r="G2032" s="55">
        <v>82042.468999999997</v>
      </c>
    </row>
    <row r="2033" spans="1:7" ht="10.050000000000001" customHeight="1">
      <c r="A2033" s="52" t="s">
        <v>421</v>
      </c>
      <c r="B2033" s="52" t="s">
        <v>173</v>
      </c>
      <c r="C2033" s="53">
        <v>2020</v>
      </c>
      <c r="D2033" s="52" t="s">
        <v>124</v>
      </c>
      <c r="E2033" s="54">
        <v>5</v>
      </c>
      <c r="F2033" s="55">
        <v>136334.91699999999</v>
      </c>
      <c r="G2033" s="55">
        <v>72409.891000000003</v>
      </c>
    </row>
    <row r="2034" spans="1:7" ht="10.050000000000001" customHeight="1">
      <c r="A2034" s="52" t="s">
        <v>421</v>
      </c>
      <c r="B2034" s="52" t="s">
        <v>173</v>
      </c>
      <c r="C2034" s="53">
        <v>2020</v>
      </c>
      <c r="D2034" s="52" t="s">
        <v>124</v>
      </c>
      <c r="E2034" s="54">
        <v>6</v>
      </c>
      <c r="F2034" s="55">
        <v>148919.34099999999</v>
      </c>
      <c r="G2034" s="55">
        <v>63227.468000000001</v>
      </c>
    </row>
    <row r="2035" spans="1:7" ht="10.050000000000001" customHeight="1">
      <c r="A2035" s="52" t="s">
        <v>421</v>
      </c>
      <c r="B2035" s="52" t="s">
        <v>173</v>
      </c>
      <c r="C2035" s="53">
        <v>2020</v>
      </c>
      <c r="D2035" s="52" t="s">
        <v>125</v>
      </c>
      <c r="E2035" s="54">
        <v>7</v>
      </c>
      <c r="F2035" s="55">
        <v>151506.514</v>
      </c>
      <c r="G2035" s="55">
        <v>112408.766</v>
      </c>
    </row>
    <row r="2036" spans="1:7" ht="10.050000000000001" customHeight="1">
      <c r="A2036" s="52" t="s">
        <v>421</v>
      </c>
      <c r="B2036" s="52" t="s">
        <v>173</v>
      </c>
      <c r="C2036" s="53">
        <v>2020</v>
      </c>
      <c r="D2036" s="52" t="s">
        <v>125</v>
      </c>
      <c r="E2036" s="54">
        <v>8</v>
      </c>
      <c r="F2036" s="55">
        <v>125763.56299999999</v>
      </c>
      <c r="G2036" s="55">
        <v>121253.838</v>
      </c>
    </row>
    <row r="2037" spans="1:7" ht="10.050000000000001" customHeight="1">
      <c r="A2037" s="52" t="s">
        <v>421</v>
      </c>
      <c r="B2037" s="52" t="s">
        <v>173</v>
      </c>
      <c r="C2037" s="53">
        <v>2020</v>
      </c>
      <c r="D2037" s="52" t="s">
        <v>125</v>
      </c>
      <c r="E2037" s="54">
        <v>9</v>
      </c>
      <c r="F2037" s="55">
        <v>128179.629</v>
      </c>
      <c r="G2037" s="55">
        <v>101139.026</v>
      </c>
    </row>
    <row r="2038" spans="1:7" ht="10.050000000000001" customHeight="1">
      <c r="A2038" s="52" t="s">
        <v>421</v>
      </c>
      <c r="B2038" s="52" t="s">
        <v>173</v>
      </c>
      <c r="C2038" s="53">
        <v>2020</v>
      </c>
      <c r="D2038" s="52" t="s">
        <v>125</v>
      </c>
      <c r="E2038" s="54">
        <v>10</v>
      </c>
      <c r="F2038" s="55">
        <v>128806.435</v>
      </c>
      <c r="G2038" s="55">
        <v>90108.66</v>
      </c>
    </row>
    <row r="2039" spans="1:7" ht="10.050000000000001" customHeight="1">
      <c r="A2039" s="52" t="s">
        <v>421</v>
      </c>
      <c r="B2039" s="52" t="s">
        <v>173</v>
      </c>
      <c r="C2039" s="53">
        <v>2020</v>
      </c>
      <c r="D2039" s="52" t="s">
        <v>125</v>
      </c>
      <c r="E2039" s="54">
        <v>11</v>
      </c>
      <c r="F2039" s="55">
        <v>117917.27899999999</v>
      </c>
      <c r="G2039" s="55">
        <v>83544.225999999995</v>
      </c>
    </row>
    <row r="2040" spans="1:7" ht="10.050000000000001" customHeight="1">
      <c r="A2040" s="52" t="s">
        <v>421</v>
      </c>
      <c r="B2040" s="52" t="s">
        <v>173</v>
      </c>
      <c r="C2040" s="53">
        <v>2020</v>
      </c>
      <c r="D2040" s="52" t="s">
        <v>125</v>
      </c>
      <c r="E2040" s="54">
        <v>12</v>
      </c>
      <c r="F2040" s="55">
        <v>125821.201</v>
      </c>
      <c r="G2040" s="55">
        <v>75187.434999999998</v>
      </c>
    </row>
    <row r="2041" spans="1:7" ht="10.050000000000001" customHeight="1">
      <c r="A2041" s="52" t="s">
        <v>421</v>
      </c>
      <c r="B2041" s="52" t="s">
        <v>173</v>
      </c>
      <c r="C2041" s="53">
        <v>2021</v>
      </c>
      <c r="D2041" s="52" t="s">
        <v>125</v>
      </c>
      <c r="E2041" s="54">
        <v>1</v>
      </c>
      <c r="F2041" s="55">
        <v>111329.54700000001</v>
      </c>
      <c r="G2041" s="55">
        <v>77073.596999999994</v>
      </c>
    </row>
    <row r="2042" spans="1:7" ht="10.050000000000001" customHeight="1">
      <c r="A2042" s="52" t="s">
        <v>421</v>
      </c>
      <c r="B2042" s="52" t="s">
        <v>173</v>
      </c>
      <c r="C2042" s="53">
        <v>2021</v>
      </c>
      <c r="D2042" s="52" t="s">
        <v>125</v>
      </c>
      <c r="E2042" s="54">
        <v>2</v>
      </c>
      <c r="F2042" s="55">
        <v>101845.927</v>
      </c>
      <c r="G2042" s="55">
        <v>71515.187999999995</v>
      </c>
    </row>
    <row r="2043" spans="1:7" ht="10.050000000000001" customHeight="1">
      <c r="A2043" s="52" t="s">
        <v>421</v>
      </c>
      <c r="B2043" s="52" t="s">
        <v>173</v>
      </c>
      <c r="C2043" s="53">
        <v>2021</v>
      </c>
      <c r="D2043" s="52" t="s">
        <v>125</v>
      </c>
      <c r="E2043" s="54">
        <v>3</v>
      </c>
      <c r="F2043" s="55">
        <v>118113.014</v>
      </c>
      <c r="G2043" s="55">
        <v>68694.463000000003</v>
      </c>
    </row>
    <row r="2044" spans="1:7" ht="10.050000000000001" customHeight="1">
      <c r="A2044" s="52" t="s">
        <v>421</v>
      </c>
      <c r="B2044" s="52" t="s">
        <v>173</v>
      </c>
      <c r="C2044" s="53">
        <v>2021</v>
      </c>
      <c r="D2044" s="52" t="s">
        <v>125</v>
      </c>
      <c r="E2044" s="54">
        <v>4</v>
      </c>
      <c r="F2044" s="55">
        <v>113561.071</v>
      </c>
      <c r="G2044" s="55">
        <v>59128.553999999996</v>
      </c>
    </row>
    <row r="2045" spans="1:7" ht="10.050000000000001" customHeight="1">
      <c r="A2045" s="52" t="s">
        <v>421</v>
      </c>
      <c r="B2045" s="52" t="s">
        <v>173</v>
      </c>
      <c r="C2045" s="53">
        <v>2021</v>
      </c>
      <c r="D2045" s="52" t="s">
        <v>125</v>
      </c>
      <c r="E2045" s="54">
        <v>5</v>
      </c>
      <c r="F2045" s="55">
        <v>106379.743</v>
      </c>
      <c r="G2045" s="55">
        <v>52173.644999999997</v>
      </c>
    </row>
    <row r="2046" spans="1:7" ht="10.050000000000001" customHeight="1">
      <c r="A2046" s="52" t="s">
        <v>421</v>
      </c>
      <c r="B2046" s="52" t="s">
        <v>173</v>
      </c>
      <c r="C2046" s="53">
        <v>2021</v>
      </c>
      <c r="D2046" s="52" t="s">
        <v>125</v>
      </c>
      <c r="E2046" s="54">
        <v>6</v>
      </c>
      <c r="F2046" s="55">
        <v>107963.183</v>
      </c>
      <c r="G2046" s="55">
        <v>51126.247000000003</v>
      </c>
    </row>
    <row r="2047" spans="1:7" ht="10.050000000000001" customHeight="1">
      <c r="A2047" s="52" t="s">
        <v>421</v>
      </c>
      <c r="B2047" s="52" t="s">
        <v>173</v>
      </c>
      <c r="C2047" s="53">
        <v>2021</v>
      </c>
      <c r="D2047" s="52" t="s">
        <v>126</v>
      </c>
      <c r="E2047" s="54">
        <v>7</v>
      </c>
      <c r="F2047" s="55">
        <v>124550.431</v>
      </c>
      <c r="G2047" s="55">
        <v>108340.928</v>
      </c>
    </row>
    <row r="2048" spans="1:7" ht="10.050000000000001" customHeight="1">
      <c r="A2048" s="52" t="s">
        <v>421</v>
      </c>
      <c r="B2048" s="52" t="s">
        <v>173</v>
      </c>
      <c r="C2048" s="53">
        <v>2021</v>
      </c>
      <c r="D2048" s="52" t="s">
        <v>126</v>
      </c>
      <c r="E2048" s="54">
        <v>8</v>
      </c>
      <c r="F2048" s="55">
        <v>113444.546</v>
      </c>
      <c r="G2048" s="55">
        <v>107129.61900000001</v>
      </c>
    </row>
    <row r="2049" spans="1:7" ht="10.050000000000001" customHeight="1">
      <c r="A2049" s="52" t="s">
        <v>421</v>
      </c>
      <c r="B2049" s="52" t="s">
        <v>173</v>
      </c>
      <c r="C2049" s="53">
        <v>2021</v>
      </c>
      <c r="D2049" s="52" t="s">
        <v>126</v>
      </c>
      <c r="E2049" s="54">
        <v>9</v>
      </c>
      <c r="F2049" s="55">
        <v>102808.546</v>
      </c>
      <c r="G2049" s="55">
        <v>99103.758000000002</v>
      </c>
    </row>
    <row r="2050" spans="1:7" ht="10.050000000000001" customHeight="1">
      <c r="A2050" s="52" t="s">
        <v>421</v>
      </c>
      <c r="B2050" s="52" t="s">
        <v>173</v>
      </c>
      <c r="C2050" s="53">
        <v>2021</v>
      </c>
      <c r="D2050" s="52" t="s">
        <v>126</v>
      </c>
      <c r="E2050" s="54">
        <v>10</v>
      </c>
      <c r="F2050" s="55">
        <v>91127.455000000002</v>
      </c>
      <c r="G2050" s="55">
        <v>83460.471000000005</v>
      </c>
    </row>
    <row r="2051" spans="1:7" ht="10.050000000000001" customHeight="1">
      <c r="A2051" s="52" t="s">
        <v>421</v>
      </c>
      <c r="B2051" s="52" t="s">
        <v>173</v>
      </c>
      <c r="C2051" s="53">
        <v>2021</v>
      </c>
      <c r="D2051" s="52" t="s">
        <v>126</v>
      </c>
      <c r="E2051" s="54">
        <v>11</v>
      </c>
      <c r="F2051" s="55">
        <v>84482.947</v>
      </c>
      <c r="G2051" s="55">
        <v>80235.948999999993</v>
      </c>
    </row>
    <row r="2052" spans="1:7" ht="10.050000000000001" customHeight="1">
      <c r="A2052" s="52" t="s">
        <v>421</v>
      </c>
      <c r="B2052" s="52" t="s">
        <v>173</v>
      </c>
      <c r="C2052" s="53">
        <v>2021</v>
      </c>
      <c r="D2052" s="52" t="s">
        <v>126</v>
      </c>
      <c r="E2052" s="54">
        <v>12</v>
      </c>
      <c r="F2052" s="55">
        <v>87214.376000000004</v>
      </c>
      <c r="G2052" s="55">
        <v>69821.410999999993</v>
      </c>
    </row>
    <row r="2053" spans="1:7" ht="10.050000000000001" customHeight="1">
      <c r="A2053" s="52" t="s">
        <v>421</v>
      </c>
      <c r="B2053" s="52" t="s">
        <v>173</v>
      </c>
      <c r="C2053" s="53">
        <v>2022</v>
      </c>
      <c r="D2053" s="52" t="s">
        <v>126</v>
      </c>
      <c r="E2053" s="54">
        <v>1</v>
      </c>
      <c r="F2053" s="55">
        <v>81033.832999999999</v>
      </c>
      <c r="G2053" s="55">
        <v>73679.228000000003</v>
      </c>
    </row>
    <row r="2054" spans="1:7" ht="10.050000000000001" customHeight="1">
      <c r="A2054" s="52" t="s">
        <v>421</v>
      </c>
      <c r="B2054" s="52" t="s">
        <v>173</v>
      </c>
      <c r="C2054" s="53">
        <v>2022</v>
      </c>
      <c r="D2054" s="52" t="s">
        <v>126</v>
      </c>
      <c r="E2054" s="54">
        <v>2</v>
      </c>
      <c r="F2054" s="55">
        <v>75401.717000000004</v>
      </c>
      <c r="G2054" s="55">
        <v>72696.755999999994</v>
      </c>
    </row>
    <row r="2055" spans="1:7" ht="10.050000000000001" customHeight="1">
      <c r="A2055" s="52" t="s">
        <v>421</v>
      </c>
      <c r="B2055" s="52" t="s">
        <v>173</v>
      </c>
      <c r="C2055" s="53">
        <v>2022</v>
      </c>
      <c r="D2055" s="52" t="s">
        <v>126</v>
      </c>
      <c r="E2055" s="54">
        <v>3</v>
      </c>
      <c r="F2055" s="55">
        <v>87765.154000000097</v>
      </c>
      <c r="G2055" s="55">
        <v>65339.938999999998</v>
      </c>
    </row>
    <row r="2056" spans="1:7" ht="10.050000000000001" customHeight="1">
      <c r="A2056" s="52" t="s">
        <v>421</v>
      </c>
      <c r="B2056" s="52" t="s">
        <v>173</v>
      </c>
      <c r="C2056" s="53">
        <v>2022</v>
      </c>
      <c r="D2056" s="52" t="s">
        <v>126</v>
      </c>
      <c r="E2056" s="54">
        <v>4</v>
      </c>
      <c r="F2056" s="55">
        <v>73594.180999999997</v>
      </c>
      <c r="G2056" s="55">
        <v>62144.978999999999</v>
      </c>
    </row>
    <row r="2057" spans="1:7" ht="10.050000000000001" customHeight="1">
      <c r="A2057" s="52" t="s">
        <v>421</v>
      </c>
      <c r="B2057" s="52" t="s">
        <v>173</v>
      </c>
      <c r="C2057" s="53">
        <v>2022</v>
      </c>
      <c r="D2057" s="52" t="s">
        <v>126</v>
      </c>
      <c r="E2057" s="54">
        <v>5</v>
      </c>
      <c r="F2057" s="55">
        <v>70743.199999999997</v>
      </c>
      <c r="G2057" s="55">
        <v>56784.677000000003</v>
      </c>
    </row>
    <row r="2058" spans="1:7" ht="10.050000000000001" customHeight="1">
      <c r="A2058" s="52" t="s">
        <v>421</v>
      </c>
      <c r="B2058" s="52" t="s">
        <v>173</v>
      </c>
      <c r="C2058" s="53">
        <v>2022</v>
      </c>
      <c r="D2058" s="52" t="s">
        <v>126</v>
      </c>
      <c r="E2058" s="54">
        <v>6</v>
      </c>
      <c r="F2058" s="55">
        <v>72152.892000000007</v>
      </c>
      <c r="G2058" s="55">
        <v>68588.796000000002</v>
      </c>
    </row>
    <row r="2059" spans="1:7" ht="10.050000000000001" customHeight="1">
      <c r="A2059" s="52" t="s">
        <v>421</v>
      </c>
      <c r="B2059" s="52" t="s">
        <v>173</v>
      </c>
      <c r="C2059" s="53">
        <v>2022</v>
      </c>
      <c r="D2059" s="52" t="s">
        <v>127</v>
      </c>
      <c r="E2059" s="54">
        <v>7</v>
      </c>
      <c r="F2059" s="55">
        <v>75784.447</v>
      </c>
      <c r="G2059" s="55">
        <v>128467.81600000001</v>
      </c>
    </row>
    <row r="2060" spans="1:7" ht="10.050000000000001" customHeight="1">
      <c r="A2060" s="52" t="s">
        <v>421</v>
      </c>
      <c r="B2060" s="52" t="s">
        <v>173</v>
      </c>
      <c r="C2060" s="53">
        <v>2022</v>
      </c>
      <c r="D2060" s="52" t="s">
        <v>127</v>
      </c>
      <c r="E2060" s="54">
        <v>8</v>
      </c>
      <c r="F2060" s="55">
        <v>91067.989000000001</v>
      </c>
      <c r="G2060" s="55">
        <v>110052.96</v>
      </c>
    </row>
    <row r="2061" spans="1:7" ht="10.050000000000001" customHeight="1">
      <c r="A2061" s="52" t="s">
        <v>421</v>
      </c>
      <c r="B2061" s="52" t="s">
        <v>173</v>
      </c>
      <c r="C2061" s="53">
        <v>2022</v>
      </c>
      <c r="D2061" s="52" t="s">
        <v>127</v>
      </c>
      <c r="E2061" s="54">
        <v>9</v>
      </c>
      <c r="F2061" s="55">
        <v>93460.212</v>
      </c>
      <c r="G2061" s="55">
        <v>95814.403999999995</v>
      </c>
    </row>
    <row r="2062" spans="1:7" ht="10.050000000000001" customHeight="1">
      <c r="A2062" s="52" t="s">
        <v>421</v>
      </c>
      <c r="B2062" s="52" t="s">
        <v>173</v>
      </c>
      <c r="C2062" s="53">
        <v>2022</v>
      </c>
      <c r="D2062" s="52" t="s">
        <v>127</v>
      </c>
      <c r="E2062" s="54">
        <v>10</v>
      </c>
      <c r="F2062" s="55">
        <v>93289.945000000007</v>
      </c>
      <c r="G2062" s="55">
        <v>87153.362999999998</v>
      </c>
    </row>
    <row r="2063" spans="1:7" ht="10.050000000000001" customHeight="1">
      <c r="A2063" s="52" t="s">
        <v>421</v>
      </c>
      <c r="B2063" s="52" t="s">
        <v>173</v>
      </c>
      <c r="C2063" s="53">
        <v>2022</v>
      </c>
      <c r="D2063" s="52" t="s">
        <v>127</v>
      </c>
      <c r="E2063" s="54">
        <v>11</v>
      </c>
      <c r="F2063" s="55">
        <v>102089.61900000001</v>
      </c>
      <c r="G2063" s="55">
        <v>83231.308999999994</v>
      </c>
    </row>
    <row r="2064" spans="1:7" ht="10.050000000000001" customHeight="1">
      <c r="A2064" s="52" t="s">
        <v>421</v>
      </c>
      <c r="B2064" s="52" t="s">
        <v>173</v>
      </c>
      <c r="C2064" s="53">
        <v>2022</v>
      </c>
      <c r="D2064" s="52" t="s">
        <v>127</v>
      </c>
      <c r="E2064" s="54">
        <v>12</v>
      </c>
      <c r="F2064" s="55">
        <v>113857.567</v>
      </c>
      <c r="G2064" s="55">
        <v>75038.417000000001</v>
      </c>
    </row>
    <row r="2065" spans="1:7" ht="10.050000000000001" customHeight="1">
      <c r="A2065" s="52" t="s">
        <v>421</v>
      </c>
      <c r="B2065" s="52" t="s">
        <v>173</v>
      </c>
      <c r="C2065" s="53">
        <v>2023</v>
      </c>
      <c r="D2065" s="52" t="s">
        <v>127</v>
      </c>
      <c r="E2065" s="54">
        <v>1</v>
      </c>
      <c r="F2065" s="55">
        <v>113577.69899999999</v>
      </c>
      <c r="G2065" s="55">
        <v>70409.009000000005</v>
      </c>
    </row>
    <row r="2066" spans="1:7" ht="10.050000000000001" customHeight="1">
      <c r="A2066" s="52" t="s">
        <v>421</v>
      </c>
      <c r="B2066" s="52" t="s">
        <v>173</v>
      </c>
      <c r="C2066" s="53">
        <v>2023</v>
      </c>
      <c r="D2066" s="52" t="s">
        <v>127</v>
      </c>
      <c r="E2066" s="54">
        <v>2</v>
      </c>
      <c r="F2066" s="55">
        <v>105202.815</v>
      </c>
      <c r="G2066" s="55">
        <v>69435.764999999999</v>
      </c>
    </row>
    <row r="2067" spans="1:7" ht="10.050000000000001" customHeight="1">
      <c r="A2067" s="52" t="s">
        <v>421</v>
      </c>
      <c r="B2067" s="52" t="s">
        <v>173</v>
      </c>
      <c r="C2067" s="53">
        <v>2023</v>
      </c>
      <c r="D2067" s="52" t="s">
        <v>127</v>
      </c>
      <c r="E2067" s="54">
        <v>3</v>
      </c>
      <c r="F2067" s="55">
        <v>115396.159</v>
      </c>
      <c r="G2067" s="55">
        <v>75406.051999999996</v>
      </c>
    </row>
    <row r="2068" spans="1:7" ht="10.050000000000001" customHeight="1">
      <c r="A2068" s="52" t="s">
        <v>421</v>
      </c>
      <c r="B2068" s="52" t="s">
        <v>173</v>
      </c>
      <c r="C2068" s="53">
        <v>2023</v>
      </c>
      <c r="D2068" s="52" t="s">
        <v>127</v>
      </c>
      <c r="E2068" s="54">
        <v>4</v>
      </c>
      <c r="F2068" s="55">
        <v>96597.853000000003</v>
      </c>
      <c r="G2068" s="55">
        <v>67556.923999999999</v>
      </c>
    </row>
    <row r="2069" spans="1:7" ht="10.050000000000001" customHeight="1">
      <c r="A2069" s="52" t="s">
        <v>421</v>
      </c>
      <c r="B2069" s="52" t="s">
        <v>173</v>
      </c>
      <c r="C2069" s="53">
        <v>2023</v>
      </c>
      <c r="D2069" s="52" t="s">
        <v>127</v>
      </c>
      <c r="E2069" s="54">
        <v>5</v>
      </c>
      <c r="F2069" s="55">
        <v>101313.10400000001</v>
      </c>
      <c r="G2069" s="55">
        <v>58967.16</v>
      </c>
    </row>
    <row r="2070" spans="1:7" ht="10.050000000000001" customHeight="1">
      <c r="A2070" s="52" t="s">
        <v>421</v>
      </c>
      <c r="B2070" s="52" t="s">
        <v>173</v>
      </c>
      <c r="C2070" s="53">
        <v>2023</v>
      </c>
      <c r="D2070" s="52" t="s">
        <v>127</v>
      </c>
      <c r="E2070" s="54">
        <v>6</v>
      </c>
      <c r="F2070" s="55">
        <v>99449.028999999995</v>
      </c>
      <c r="G2070" s="55">
        <v>68998.087</v>
      </c>
    </row>
    <row r="2071" spans="1:7" ht="10.050000000000001" customHeight="1">
      <c r="A2071" s="52" t="s">
        <v>421</v>
      </c>
      <c r="B2071" s="52" t="s">
        <v>173</v>
      </c>
      <c r="C2071" s="53">
        <v>2023</v>
      </c>
      <c r="D2071" s="52" t="s">
        <v>128</v>
      </c>
      <c r="E2071" s="54">
        <v>7</v>
      </c>
      <c r="F2071" s="55">
        <v>110708.33500000001</v>
      </c>
      <c r="G2071" s="55">
        <v>111109.889</v>
      </c>
    </row>
    <row r="2072" spans="1:7" ht="10.050000000000001" customHeight="1">
      <c r="A2072" s="52" t="s">
        <v>421</v>
      </c>
      <c r="B2072" s="52" t="s">
        <v>173</v>
      </c>
      <c r="C2072" s="53">
        <v>2023</v>
      </c>
      <c r="D2072" s="52" t="s">
        <v>128</v>
      </c>
      <c r="E2072" s="54">
        <v>8</v>
      </c>
      <c r="F2072" s="55">
        <v>112539.033</v>
      </c>
      <c r="G2072" s="55">
        <v>103020.03200000001</v>
      </c>
    </row>
    <row r="2073" spans="1:7" ht="10.050000000000001" customHeight="1">
      <c r="A2073" s="52" t="s">
        <v>421</v>
      </c>
      <c r="B2073" s="52" t="s">
        <v>173</v>
      </c>
      <c r="C2073" s="53">
        <v>2023</v>
      </c>
      <c r="D2073" s="52" t="s">
        <v>128</v>
      </c>
      <c r="E2073" s="54">
        <v>9</v>
      </c>
      <c r="F2073" s="55">
        <v>100839.72900000001</v>
      </c>
      <c r="G2073" s="55">
        <v>95312.41</v>
      </c>
    </row>
    <row r="2074" spans="1:7" ht="10.050000000000001" customHeight="1">
      <c r="A2074" s="52" t="s">
        <v>421</v>
      </c>
      <c r="B2074" s="52" t="s">
        <v>173</v>
      </c>
      <c r="C2074" s="53">
        <v>2023</v>
      </c>
      <c r="D2074" s="52" t="s">
        <v>128</v>
      </c>
      <c r="E2074" s="54">
        <v>10</v>
      </c>
      <c r="F2074" s="55">
        <v>92007.284000000102</v>
      </c>
      <c r="G2074" s="55">
        <v>88225.593999999997</v>
      </c>
    </row>
    <row r="2075" spans="1:7" ht="10.050000000000001" customHeight="1">
      <c r="A2075" s="52" t="s">
        <v>421</v>
      </c>
      <c r="B2075" s="52" t="s">
        <v>173</v>
      </c>
      <c r="C2075" s="53">
        <v>2023</v>
      </c>
      <c r="D2075" s="52" t="s">
        <v>128</v>
      </c>
      <c r="E2075" s="54">
        <v>11</v>
      </c>
      <c r="F2075" s="55">
        <v>86638.77</v>
      </c>
      <c r="G2075" s="55">
        <v>79465.828999999998</v>
      </c>
    </row>
    <row r="2076" spans="1:7" ht="10.050000000000001" customHeight="1">
      <c r="A2076" s="52" t="s">
        <v>421</v>
      </c>
      <c r="B2076" s="52" t="s">
        <v>173</v>
      </c>
      <c r="C2076" s="53">
        <v>2023</v>
      </c>
      <c r="D2076" s="52" t="s">
        <v>128</v>
      </c>
      <c r="E2076" s="54">
        <v>12</v>
      </c>
      <c r="F2076" s="55">
        <v>84563.009000000005</v>
      </c>
      <c r="G2076" s="55">
        <v>80892.240000000005</v>
      </c>
    </row>
    <row r="2077" spans="1:7" ht="10.050000000000001" customHeight="1">
      <c r="A2077" s="52" t="s">
        <v>421</v>
      </c>
      <c r="B2077" s="52" t="s">
        <v>173</v>
      </c>
      <c r="C2077" s="53">
        <v>2024</v>
      </c>
      <c r="D2077" s="52" t="s">
        <v>128</v>
      </c>
      <c r="E2077" s="54">
        <v>1</v>
      </c>
      <c r="F2077" s="55">
        <v>90223.922999999995</v>
      </c>
      <c r="G2077" s="55">
        <v>68469.505999999994</v>
      </c>
    </row>
    <row r="2078" spans="1:7" ht="10.050000000000001" customHeight="1">
      <c r="A2078" s="52" t="s">
        <v>421</v>
      </c>
      <c r="B2078" s="52" t="s">
        <v>173</v>
      </c>
      <c r="C2078" s="53">
        <v>2024</v>
      </c>
      <c r="D2078" s="52" t="s">
        <v>128</v>
      </c>
      <c r="E2078" s="54">
        <v>2</v>
      </c>
      <c r="F2078" s="55">
        <v>87144.229000000007</v>
      </c>
      <c r="G2078" s="55">
        <v>67557.14</v>
      </c>
    </row>
    <row r="2079" spans="1:7" ht="10.050000000000001" customHeight="1">
      <c r="A2079" s="52" t="s">
        <v>421</v>
      </c>
      <c r="B2079" s="52" t="s">
        <v>173</v>
      </c>
      <c r="C2079" s="53">
        <v>2024</v>
      </c>
      <c r="D2079" s="52" t="s">
        <v>128</v>
      </c>
      <c r="E2079" s="54">
        <v>3</v>
      </c>
      <c r="F2079" s="55">
        <v>90986.729000000007</v>
      </c>
      <c r="G2079" s="55">
        <v>63827.819000000003</v>
      </c>
    </row>
    <row r="2080" spans="1:7" ht="10.050000000000001" customHeight="1">
      <c r="A2080" s="52" t="s">
        <v>421</v>
      </c>
      <c r="B2080" s="52" t="s">
        <v>173</v>
      </c>
      <c r="C2080" s="53">
        <v>2024</v>
      </c>
      <c r="D2080" s="52" t="s">
        <v>128</v>
      </c>
      <c r="E2080" s="54">
        <v>4</v>
      </c>
      <c r="F2080" s="55">
        <v>89778.263000000006</v>
      </c>
      <c r="G2080" s="55">
        <v>66621.433999999994</v>
      </c>
    </row>
    <row r="2081" spans="1:7" ht="10.050000000000001" customHeight="1">
      <c r="A2081" s="52" t="s">
        <v>421</v>
      </c>
      <c r="B2081" s="52" t="s">
        <v>173</v>
      </c>
      <c r="C2081" s="53">
        <v>2024</v>
      </c>
      <c r="D2081" s="52" t="s">
        <v>128</v>
      </c>
      <c r="E2081" s="54">
        <v>5</v>
      </c>
      <c r="F2081" s="55">
        <v>87280.493000000002</v>
      </c>
      <c r="G2081" s="55">
        <v>60805.04</v>
      </c>
    </row>
    <row r="2082" spans="1:7" ht="10.050000000000001" customHeight="1">
      <c r="A2082" s="52" t="s">
        <v>421</v>
      </c>
      <c r="B2082" s="52" t="s">
        <v>173</v>
      </c>
      <c r="C2082" s="53">
        <v>2024</v>
      </c>
      <c r="D2082" s="52" t="s">
        <v>128</v>
      </c>
      <c r="E2082" s="54">
        <v>6</v>
      </c>
      <c r="F2082" s="55">
        <v>77125.472999999998</v>
      </c>
      <c r="G2082" s="55">
        <v>60572.298999999999</v>
      </c>
    </row>
    <row r="2083" spans="1:7" ht="10.050000000000001" customHeight="1">
      <c r="A2083" s="52" t="s">
        <v>421</v>
      </c>
      <c r="B2083" s="52" t="s">
        <v>173</v>
      </c>
      <c r="C2083" s="53">
        <v>2024</v>
      </c>
      <c r="D2083" s="52" t="s">
        <v>129</v>
      </c>
      <c r="E2083" s="54">
        <v>7</v>
      </c>
      <c r="F2083" s="55">
        <v>97021.542000000001</v>
      </c>
      <c r="G2083" s="55">
        <v>99001.400999999998</v>
      </c>
    </row>
    <row r="2084" spans="1:7" ht="10.050000000000001" customHeight="1">
      <c r="A2084" s="52" t="s">
        <v>421</v>
      </c>
      <c r="B2084" s="52" t="s">
        <v>173</v>
      </c>
      <c r="C2084" s="53">
        <v>2024</v>
      </c>
      <c r="D2084" s="52" t="s">
        <v>129</v>
      </c>
      <c r="E2084" s="54">
        <v>8</v>
      </c>
      <c r="F2084" s="55">
        <v>96588.961000000098</v>
      </c>
      <c r="G2084" s="55">
        <v>96140.883000000002</v>
      </c>
    </row>
    <row r="2085" spans="1:7" ht="10.050000000000001" customHeight="1">
      <c r="A2085" s="52" t="s">
        <v>421</v>
      </c>
      <c r="B2085" s="52" t="s">
        <v>173</v>
      </c>
      <c r="C2085" s="53">
        <v>2024</v>
      </c>
      <c r="D2085" s="52" t="s">
        <v>129</v>
      </c>
      <c r="E2085" s="54">
        <v>9</v>
      </c>
      <c r="F2085" s="55">
        <v>92600.021999999997</v>
      </c>
      <c r="G2085" s="55">
        <v>92374.191000000006</v>
      </c>
    </row>
    <row r="2086" spans="1:7" ht="10.050000000000001" customHeight="1">
      <c r="A2086" s="52" t="s">
        <v>421</v>
      </c>
      <c r="B2086" s="52" t="s">
        <v>173</v>
      </c>
      <c r="C2086" s="53">
        <v>2024</v>
      </c>
      <c r="D2086" s="52" t="s">
        <v>129</v>
      </c>
      <c r="E2086" s="54">
        <v>10</v>
      </c>
      <c r="F2086" s="55">
        <v>103009.644</v>
      </c>
      <c r="G2086" s="55">
        <v>82717.631999999998</v>
      </c>
    </row>
    <row r="2087" spans="1:7" ht="10.050000000000001" customHeight="1">
      <c r="A2087" s="52" t="s">
        <v>421</v>
      </c>
      <c r="B2087" s="52" t="s">
        <v>173</v>
      </c>
      <c r="C2087" s="53">
        <v>2024</v>
      </c>
      <c r="D2087" s="52" t="s">
        <v>129</v>
      </c>
      <c r="E2087" s="54">
        <v>11</v>
      </c>
      <c r="F2087" s="55">
        <v>96049.913</v>
      </c>
      <c r="G2087" s="55">
        <v>74027.187999999995</v>
      </c>
    </row>
    <row r="2088" spans="1:7" ht="10.050000000000001" customHeight="1">
      <c r="A2088" s="52" t="s">
        <v>421</v>
      </c>
      <c r="B2088" s="52" t="s">
        <v>173</v>
      </c>
      <c r="C2088" s="53">
        <v>2024</v>
      </c>
      <c r="D2088" s="52" t="s">
        <v>129</v>
      </c>
      <c r="E2088" s="54">
        <v>12</v>
      </c>
      <c r="F2088" s="55">
        <v>103348.41800000001</v>
      </c>
      <c r="G2088" s="55">
        <v>64784.385000000002</v>
      </c>
    </row>
    <row r="2089" spans="1:7" ht="10.050000000000001" customHeight="1">
      <c r="A2089" s="52" t="s">
        <v>421</v>
      </c>
      <c r="B2089" s="52" t="s">
        <v>316</v>
      </c>
      <c r="C2089" s="53">
        <v>2010</v>
      </c>
      <c r="D2089" s="52" t="s">
        <v>115</v>
      </c>
      <c r="E2089" s="54">
        <v>7</v>
      </c>
      <c r="F2089" s="55">
        <v>0</v>
      </c>
      <c r="G2089" s="55">
        <v>2.1</v>
      </c>
    </row>
    <row r="2090" spans="1:7" ht="10.050000000000001" customHeight="1">
      <c r="A2090" s="52" t="s">
        <v>421</v>
      </c>
      <c r="B2090" s="52" t="s">
        <v>316</v>
      </c>
      <c r="C2090" s="53">
        <v>2010</v>
      </c>
      <c r="D2090" s="52" t="s">
        <v>115</v>
      </c>
      <c r="E2090" s="54">
        <v>8</v>
      </c>
      <c r="F2090" s="55">
        <v>0.1</v>
      </c>
      <c r="G2090" s="55">
        <v>2</v>
      </c>
    </row>
    <row r="2091" spans="1:7" ht="10.050000000000001" customHeight="1">
      <c r="A2091" s="52" t="s">
        <v>421</v>
      </c>
      <c r="B2091" s="52" t="s">
        <v>316</v>
      </c>
      <c r="C2091" s="53">
        <v>2010</v>
      </c>
      <c r="D2091" s="52" t="s">
        <v>115</v>
      </c>
      <c r="E2091" s="54">
        <v>9</v>
      </c>
      <c r="F2091" s="55">
        <v>0</v>
      </c>
      <c r="G2091" s="55">
        <v>2</v>
      </c>
    </row>
    <row r="2092" spans="1:7" ht="10.050000000000001" customHeight="1">
      <c r="A2092" s="52" t="s">
        <v>421</v>
      </c>
      <c r="B2092" s="52" t="s">
        <v>316</v>
      </c>
      <c r="C2092" s="53">
        <v>2010</v>
      </c>
      <c r="D2092" s="52" t="s">
        <v>115</v>
      </c>
      <c r="E2092" s="54">
        <v>10</v>
      </c>
      <c r="F2092" s="55">
        <v>0</v>
      </c>
      <c r="G2092" s="55">
        <v>2</v>
      </c>
    </row>
    <row r="2093" spans="1:7" ht="10.050000000000001" customHeight="1">
      <c r="A2093" s="52" t="s">
        <v>421</v>
      </c>
      <c r="B2093" s="52" t="s">
        <v>316</v>
      </c>
      <c r="C2093" s="53">
        <v>2010</v>
      </c>
      <c r="D2093" s="52" t="s">
        <v>115</v>
      </c>
      <c r="E2093" s="54">
        <v>11</v>
      </c>
      <c r="F2093" s="55">
        <v>0.1</v>
      </c>
      <c r="G2093" s="55">
        <v>1.9</v>
      </c>
    </row>
    <row r="2094" spans="1:7" ht="10.050000000000001" customHeight="1">
      <c r="A2094" s="52" t="s">
        <v>421</v>
      </c>
      <c r="B2094" s="52" t="s">
        <v>316</v>
      </c>
      <c r="C2094" s="53">
        <v>2010</v>
      </c>
      <c r="D2094" s="52" t="s">
        <v>115</v>
      </c>
      <c r="E2094" s="54">
        <v>12</v>
      </c>
      <c r="F2094" s="55">
        <v>0</v>
      </c>
      <c r="G2094" s="55">
        <v>1.9</v>
      </c>
    </row>
    <row r="2095" spans="1:7" ht="10.050000000000001" customHeight="1">
      <c r="A2095" s="52" t="s">
        <v>421</v>
      </c>
      <c r="B2095" s="52" t="s">
        <v>316</v>
      </c>
      <c r="C2095" s="53">
        <v>2011</v>
      </c>
      <c r="D2095" s="52" t="s">
        <v>115</v>
      </c>
      <c r="E2095" s="54">
        <v>1</v>
      </c>
      <c r="F2095" s="55">
        <v>0</v>
      </c>
      <c r="G2095" s="55">
        <v>1.9</v>
      </c>
    </row>
    <row r="2096" spans="1:7" ht="10.050000000000001" customHeight="1">
      <c r="A2096" s="52" t="s">
        <v>421</v>
      </c>
      <c r="B2096" s="52" t="s">
        <v>316</v>
      </c>
      <c r="C2096" s="53">
        <v>2011</v>
      </c>
      <c r="D2096" s="52" t="s">
        <v>115</v>
      </c>
      <c r="E2096" s="54">
        <v>2</v>
      </c>
      <c r="F2096" s="55">
        <v>0</v>
      </c>
      <c r="G2096" s="55">
        <v>1.9</v>
      </c>
    </row>
    <row r="2097" spans="1:7" ht="10.050000000000001" customHeight="1">
      <c r="A2097" s="52" t="s">
        <v>421</v>
      </c>
      <c r="B2097" s="52" t="s">
        <v>316</v>
      </c>
      <c r="C2097" s="53">
        <v>2011</v>
      </c>
      <c r="D2097" s="52" t="s">
        <v>115</v>
      </c>
      <c r="E2097" s="54">
        <v>3</v>
      </c>
      <c r="F2097" s="55">
        <v>0</v>
      </c>
      <c r="G2097" s="55">
        <v>1.9</v>
      </c>
    </row>
    <row r="2098" spans="1:7" ht="10.050000000000001" customHeight="1">
      <c r="A2098" s="52" t="s">
        <v>421</v>
      </c>
      <c r="B2098" s="52" t="s">
        <v>316</v>
      </c>
      <c r="C2098" s="53">
        <v>2011</v>
      </c>
      <c r="D2098" s="52" t="s">
        <v>115</v>
      </c>
      <c r="E2098" s="54">
        <v>4</v>
      </c>
      <c r="F2098" s="55">
        <v>0.1</v>
      </c>
      <c r="G2098" s="55">
        <v>1.8</v>
      </c>
    </row>
    <row r="2099" spans="1:7" ht="10.050000000000001" customHeight="1">
      <c r="A2099" s="52" t="s">
        <v>421</v>
      </c>
      <c r="B2099" s="52" t="s">
        <v>316</v>
      </c>
      <c r="C2099" s="53">
        <v>2011</v>
      </c>
      <c r="D2099" s="52" t="s">
        <v>115</v>
      </c>
      <c r="E2099" s="54">
        <v>6</v>
      </c>
      <c r="F2099" s="55">
        <v>0</v>
      </c>
      <c r="G2099" s="55">
        <v>1.8</v>
      </c>
    </row>
    <row r="2100" spans="1:7" ht="10.050000000000001" customHeight="1">
      <c r="A2100" s="52" t="s">
        <v>421</v>
      </c>
      <c r="B2100" s="52" t="s">
        <v>316</v>
      </c>
      <c r="C2100" s="53">
        <v>2011</v>
      </c>
      <c r="D2100" s="52" t="s">
        <v>116</v>
      </c>
      <c r="E2100" s="54">
        <v>7</v>
      </c>
      <c r="F2100" s="55">
        <v>0</v>
      </c>
      <c r="G2100" s="55">
        <v>1.8</v>
      </c>
    </row>
    <row r="2101" spans="1:7" ht="10.050000000000001" customHeight="1">
      <c r="A2101" s="52" t="s">
        <v>421</v>
      </c>
      <c r="B2101" s="52" t="s">
        <v>316</v>
      </c>
      <c r="C2101" s="53">
        <v>2011</v>
      </c>
      <c r="D2101" s="52" t="s">
        <v>116</v>
      </c>
      <c r="E2101" s="54">
        <v>8</v>
      </c>
      <c r="F2101" s="55">
        <v>0</v>
      </c>
      <c r="G2101" s="55">
        <v>1.8</v>
      </c>
    </row>
    <row r="2102" spans="1:7" ht="10.050000000000001" customHeight="1">
      <c r="A2102" s="52" t="s">
        <v>421</v>
      </c>
      <c r="B2102" s="52" t="s">
        <v>316</v>
      </c>
      <c r="C2102" s="53">
        <v>2011</v>
      </c>
      <c r="D2102" s="52" t="s">
        <v>116</v>
      </c>
      <c r="E2102" s="54">
        <v>9</v>
      </c>
      <c r="F2102" s="55">
        <v>0</v>
      </c>
      <c r="G2102" s="55">
        <v>1.8</v>
      </c>
    </row>
    <row r="2103" spans="1:7" ht="10.050000000000001" customHeight="1">
      <c r="A2103" s="52" t="s">
        <v>421</v>
      </c>
      <c r="B2103" s="52" t="s">
        <v>316</v>
      </c>
      <c r="C2103" s="53">
        <v>2011</v>
      </c>
      <c r="D2103" s="52" t="s">
        <v>116</v>
      </c>
      <c r="E2103" s="54">
        <v>10</v>
      </c>
      <c r="F2103" s="55">
        <v>0</v>
      </c>
      <c r="G2103" s="55">
        <v>1.8</v>
      </c>
    </row>
    <row r="2104" spans="1:7" ht="10.050000000000001" customHeight="1">
      <c r="A2104" s="52" t="s">
        <v>421</v>
      </c>
      <c r="B2104" s="52" t="s">
        <v>316</v>
      </c>
      <c r="C2104" s="53">
        <v>2011</v>
      </c>
      <c r="D2104" s="52" t="s">
        <v>116</v>
      </c>
      <c r="E2104" s="54">
        <v>11</v>
      </c>
      <c r="F2104" s="55">
        <v>0</v>
      </c>
      <c r="G2104" s="55">
        <v>1.8</v>
      </c>
    </row>
    <row r="2105" spans="1:7" ht="10.050000000000001" customHeight="1">
      <c r="A2105" s="52" t="s">
        <v>421</v>
      </c>
      <c r="B2105" s="52" t="s">
        <v>316</v>
      </c>
      <c r="C2105" s="53">
        <v>2011</v>
      </c>
      <c r="D2105" s="52" t="s">
        <v>116</v>
      </c>
      <c r="E2105" s="54">
        <v>12</v>
      </c>
      <c r="F2105" s="55">
        <v>0</v>
      </c>
      <c r="G2105" s="55">
        <v>1.8</v>
      </c>
    </row>
    <row r="2106" spans="1:7" ht="10.050000000000001" customHeight="1">
      <c r="A2106" s="52" t="s">
        <v>421</v>
      </c>
      <c r="B2106" s="52" t="s">
        <v>316</v>
      </c>
      <c r="C2106" s="53">
        <v>2012</v>
      </c>
      <c r="D2106" s="52" t="s">
        <v>116</v>
      </c>
      <c r="E2106" s="54">
        <v>1</v>
      </c>
      <c r="F2106" s="55">
        <v>16.100000000000001</v>
      </c>
      <c r="G2106" s="55">
        <v>1.8</v>
      </c>
    </row>
    <row r="2107" spans="1:7" ht="10.050000000000001" customHeight="1">
      <c r="A2107" s="52" t="s">
        <v>421</v>
      </c>
      <c r="B2107" s="52" t="s">
        <v>316</v>
      </c>
      <c r="C2107" s="53">
        <v>2012</v>
      </c>
      <c r="D2107" s="52" t="s">
        <v>116</v>
      </c>
      <c r="E2107" s="54">
        <v>2</v>
      </c>
      <c r="F2107" s="55">
        <v>0</v>
      </c>
      <c r="G2107" s="55">
        <v>1.8</v>
      </c>
    </row>
    <row r="2108" spans="1:7" ht="10.050000000000001" customHeight="1">
      <c r="A2108" s="52" t="s">
        <v>421</v>
      </c>
      <c r="B2108" s="52" t="s">
        <v>316</v>
      </c>
      <c r="C2108" s="53">
        <v>2012</v>
      </c>
      <c r="D2108" s="52" t="s">
        <v>116</v>
      </c>
      <c r="E2108" s="54">
        <v>3</v>
      </c>
      <c r="F2108" s="55">
        <v>0</v>
      </c>
      <c r="G2108" s="55">
        <v>1.8</v>
      </c>
    </row>
    <row r="2109" spans="1:7" ht="10.050000000000001" customHeight="1">
      <c r="A2109" s="52" t="s">
        <v>421</v>
      </c>
      <c r="B2109" s="52" t="s">
        <v>316</v>
      </c>
      <c r="C2109" s="53">
        <v>2012</v>
      </c>
      <c r="D2109" s="52" t="s">
        <v>116</v>
      </c>
      <c r="E2109" s="54">
        <v>4</v>
      </c>
      <c r="F2109" s="55">
        <v>0</v>
      </c>
      <c r="G2109" s="55">
        <v>1.8</v>
      </c>
    </row>
    <row r="2110" spans="1:7" ht="10.050000000000001" customHeight="1">
      <c r="A2110" s="52" t="s">
        <v>421</v>
      </c>
      <c r="B2110" s="52" t="s">
        <v>316</v>
      </c>
      <c r="C2110" s="53">
        <v>2012</v>
      </c>
      <c r="D2110" s="52" t="s">
        <v>116</v>
      </c>
      <c r="E2110" s="54">
        <v>5</v>
      </c>
      <c r="F2110" s="55">
        <v>0</v>
      </c>
      <c r="G2110" s="55">
        <v>1.8</v>
      </c>
    </row>
    <row r="2111" spans="1:7" ht="10.050000000000001" customHeight="1">
      <c r="A2111" s="52" t="s">
        <v>421</v>
      </c>
      <c r="B2111" s="52" t="s">
        <v>316</v>
      </c>
      <c r="C2111" s="53">
        <v>2012</v>
      </c>
      <c r="D2111" s="52" t="s">
        <v>116</v>
      </c>
      <c r="E2111" s="54">
        <v>6</v>
      </c>
      <c r="F2111" s="55">
        <v>0</v>
      </c>
      <c r="G2111" s="55">
        <v>1.8</v>
      </c>
    </row>
    <row r="2112" spans="1:7" ht="10.050000000000001" customHeight="1">
      <c r="A2112" s="52" t="s">
        <v>421</v>
      </c>
      <c r="B2112" s="52" t="s">
        <v>316</v>
      </c>
      <c r="C2112" s="53">
        <v>2012</v>
      </c>
      <c r="D2112" s="52" t="s">
        <v>117</v>
      </c>
      <c r="E2112" s="54">
        <v>7</v>
      </c>
      <c r="F2112" s="55">
        <v>0</v>
      </c>
      <c r="G2112" s="55">
        <v>1.8</v>
      </c>
    </row>
    <row r="2113" spans="1:7" ht="10.050000000000001" customHeight="1">
      <c r="A2113" s="52" t="s">
        <v>421</v>
      </c>
      <c r="B2113" s="52" t="s">
        <v>316</v>
      </c>
      <c r="C2113" s="53">
        <v>2012</v>
      </c>
      <c r="D2113" s="52" t="s">
        <v>117</v>
      </c>
      <c r="E2113" s="54">
        <v>8</v>
      </c>
      <c r="F2113" s="55">
        <v>0</v>
      </c>
      <c r="G2113" s="55">
        <v>1.8</v>
      </c>
    </row>
    <row r="2114" spans="1:7" ht="10.050000000000001" customHeight="1">
      <c r="A2114" s="52" t="s">
        <v>421</v>
      </c>
      <c r="B2114" s="52" t="s">
        <v>316</v>
      </c>
      <c r="C2114" s="53">
        <v>2012</v>
      </c>
      <c r="D2114" s="52" t="s">
        <v>117</v>
      </c>
      <c r="E2114" s="54">
        <v>9</v>
      </c>
      <c r="F2114" s="55">
        <v>0</v>
      </c>
      <c r="G2114" s="55">
        <v>1.8</v>
      </c>
    </row>
    <row r="2115" spans="1:7" ht="10.050000000000001" customHeight="1">
      <c r="A2115" s="52" t="s">
        <v>421</v>
      </c>
      <c r="B2115" s="52" t="s">
        <v>316</v>
      </c>
      <c r="C2115" s="53">
        <v>2012</v>
      </c>
      <c r="D2115" s="52" t="s">
        <v>117</v>
      </c>
      <c r="E2115" s="54">
        <v>10</v>
      </c>
      <c r="F2115" s="55">
        <v>0.02</v>
      </c>
      <c r="G2115" s="55">
        <v>1.78</v>
      </c>
    </row>
    <row r="2116" spans="1:7" ht="10.050000000000001" customHeight="1">
      <c r="A2116" s="52" t="s">
        <v>421</v>
      </c>
      <c r="B2116" s="52" t="s">
        <v>316</v>
      </c>
      <c r="C2116" s="53">
        <v>2012</v>
      </c>
      <c r="D2116" s="52" t="s">
        <v>117</v>
      </c>
      <c r="E2116" s="54">
        <v>11</v>
      </c>
      <c r="F2116" s="55">
        <v>0</v>
      </c>
      <c r="G2116" s="55">
        <v>1.78</v>
      </c>
    </row>
    <row r="2117" spans="1:7" ht="10.050000000000001" customHeight="1">
      <c r="A2117" s="52" t="s">
        <v>421</v>
      </c>
      <c r="B2117" s="52" t="s">
        <v>316</v>
      </c>
      <c r="C2117" s="53">
        <v>2012</v>
      </c>
      <c r="D2117" s="52" t="s">
        <v>117</v>
      </c>
      <c r="E2117" s="54">
        <v>12</v>
      </c>
      <c r="F2117" s="55">
        <v>0</v>
      </c>
      <c r="G2117" s="55">
        <v>1.78</v>
      </c>
    </row>
    <row r="2118" spans="1:7" ht="10.050000000000001" customHeight="1">
      <c r="A2118" s="52" t="s">
        <v>421</v>
      </c>
      <c r="B2118" s="52" t="s">
        <v>316</v>
      </c>
      <c r="C2118" s="53">
        <v>2013</v>
      </c>
      <c r="D2118" s="52" t="s">
        <v>117</v>
      </c>
      <c r="E2118" s="54">
        <v>1</v>
      </c>
      <c r="F2118" s="55">
        <v>0</v>
      </c>
      <c r="G2118" s="55">
        <v>1.78</v>
      </c>
    </row>
    <row r="2119" spans="1:7" ht="10.050000000000001" customHeight="1">
      <c r="A2119" s="52" t="s">
        <v>421</v>
      </c>
      <c r="B2119" s="52" t="s">
        <v>316</v>
      </c>
      <c r="C2119" s="53">
        <v>2013</v>
      </c>
      <c r="D2119" s="52" t="s">
        <v>117</v>
      </c>
      <c r="E2119" s="54">
        <v>2</v>
      </c>
      <c r="F2119" s="55">
        <v>0</v>
      </c>
      <c r="G2119" s="55">
        <v>1.78</v>
      </c>
    </row>
    <row r="2120" spans="1:7" ht="10.050000000000001" customHeight="1">
      <c r="A2120" s="52" t="s">
        <v>421</v>
      </c>
      <c r="B2120" s="52" t="s">
        <v>316</v>
      </c>
      <c r="C2120" s="53">
        <v>2013</v>
      </c>
      <c r="D2120" s="52" t="s">
        <v>117</v>
      </c>
      <c r="E2120" s="54">
        <v>3</v>
      </c>
      <c r="F2120" s="55">
        <v>0</v>
      </c>
      <c r="G2120" s="55">
        <v>1.78</v>
      </c>
    </row>
    <row r="2121" spans="1:7" ht="10.050000000000001" customHeight="1">
      <c r="A2121" s="52" t="s">
        <v>421</v>
      </c>
      <c r="B2121" s="52" t="s">
        <v>316</v>
      </c>
      <c r="C2121" s="53">
        <v>2013</v>
      </c>
      <c r="D2121" s="52" t="s">
        <v>117</v>
      </c>
      <c r="E2121" s="54">
        <v>4</v>
      </c>
      <c r="F2121" s="55">
        <v>0</v>
      </c>
      <c r="G2121" s="55">
        <v>1.78</v>
      </c>
    </row>
    <row r="2122" spans="1:7" ht="10.050000000000001" customHeight="1">
      <c r="A2122" s="52" t="s">
        <v>421</v>
      </c>
      <c r="B2122" s="52" t="s">
        <v>316</v>
      </c>
      <c r="C2122" s="53">
        <v>2013</v>
      </c>
      <c r="D2122" s="52" t="s">
        <v>117</v>
      </c>
      <c r="E2122" s="54">
        <v>5</v>
      </c>
      <c r="F2122" s="55">
        <v>0</v>
      </c>
      <c r="G2122" s="55">
        <v>1.78</v>
      </c>
    </row>
    <row r="2123" spans="1:7" ht="10.050000000000001" customHeight="1">
      <c r="A2123" s="52" t="s">
        <v>421</v>
      </c>
      <c r="B2123" s="52" t="s">
        <v>316</v>
      </c>
      <c r="C2123" s="53">
        <v>2013</v>
      </c>
      <c r="D2123" s="52" t="s">
        <v>117</v>
      </c>
      <c r="E2123" s="54">
        <v>6</v>
      </c>
      <c r="F2123" s="55">
        <v>0</v>
      </c>
      <c r="G2123" s="55">
        <v>1.78</v>
      </c>
    </row>
    <row r="2124" spans="1:7" ht="10.050000000000001" customHeight="1">
      <c r="A2124" s="52" t="s">
        <v>421</v>
      </c>
      <c r="B2124" s="52" t="s">
        <v>316</v>
      </c>
      <c r="C2124" s="53">
        <v>2013</v>
      </c>
      <c r="D2124" s="52" t="s">
        <v>118</v>
      </c>
      <c r="E2124" s="54">
        <v>7</v>
      </c>
      <c r="F2124" s="55">
        <v>0</v>
      </c>
      <c r="G2124" s="55">
        <v>1.78</v>
      </c>
    </row>
    <row r="2125" spans="1:7" ht="10.050000000000001" customHeight="1">
      <c r="A2125" s="52" t="s">
        <v>421</v>
      </c>
      <c r="B2125" s="52" t="s">
        <v>316</v>
      </c>
      <c r="C2125" s="53">
        <v>2013</v>
      </c>
      <c r="D2125" s="52" t="s">
        <v>118</v>
      </c>
      <c r="E2125" s="54">
        <v>8</v>
      </c>
      <c r="F2125" s="55">
        <v>0</v>
      </c>
      <c r="G2125" s="55">
        <v>1.78</v>
      </c>
    </row>
    <row r="2126" spans="1:7" ht="10.050000000000001" customHeight="1">
      <c r="A2126" s="52" t="s">
        <v>421</v>
      </c>
      <c r="B2126" s="52" t="s">
        <v>316</v>
      </c>
      <c r="C2126" s="53">
        <v>2013</v>
      </c>
      <c r="D2126" s="52" t="s">
        <v>118</v>
      </c>
      <c r="E2126" s="54">
        <v>9</v>
      </c>
      <c r="F2126" s="55">
        <v>0</v>
      </c>
      <c r="G2126" s="55">
        <v>1.78</v>
      </c>
    </row>
    <row r="2127" spans="1:7" ht="10.050000000000001" customHeight="1">
      <c r="A2127" s="52" t="s">
        <v>421</v>
      </c>
      <c r="B2127" s="52" t="s">
        <v>316</v>
      </c>
      <c r="C2127" s="53">
        <v>2013</v>
      </c>
      <c r="D2127" s="52" t="s">
        <v>118</v>
      </c>
      <c r="E2127" s="54">
        <v>11</v>
      </c>
      <c r="F2127" s="55">
        <v>0</v>
      </c>
      <c r="G2127" s="55">
        <v>1.78</v>
      </c>
    </row>
    <row r="2128" spans="1:7" ht="10.050000000000001" customHeight="1">
      <c r="A2128" s="52" t="s">
        <v>421</v>
      </c>
      <c r="B2128" s="52" t="s">
        <v>316</v>
      </c>
      <c r="C2128" s="53">
        <v>2013</v>
      </c>
      <c r="D2128" s="52" t="s">
        <v>118</v>
      </c>
      <c r="E2128" s="54">
        <v>12</v>
      </c>
      <c r="F2128" s="55">
        <v>0.06</v>
      </c>
      <c r="G2128" s="55">
        <v>1.72</v>
      </c>
    </row>
    <row r="2129" spans="1:7" ht="10.050000000000001" customHeight="1">
      <c r="A2129" s="52" t="s">
        <v>421</v>
      </c>
      <c r="B2129" s="52" t="s">
        <v>316</v>
      </c>
      <c r="C2129" s="53">
        <v>2014</v>
      </c>
      <c r="D2129" s="52" t="s">
        <v>118</v>
      </c>
      <c r="E2129" s="54">
        <v>1</v>
      </c>
      <c r="F2129" s="55">
        <v>0</v>
      </c>
      <c r="G2129" s="55">
        <v>1.72</v>
      </c>
    </row>
    <row r="2130" spans="1:7" ht="10.050000000000001" customHeight="1">
      <c r="A2130" s="52" t="s">
        <v>421</v>
      </c>
      <c r="B2130" s="52" t="s">
        <v>316</v>
      </c>
      <c r="C2130" s="53">
        <v>2014</v>
      </c>
      <c r="D2130" s="52" t="s">
        <v>118</v>
      </c>
      <c r="E2130" s="54">
        <v>2</v>
      </c>
      <c r="F2130" s="55">
        <v>0</v>
      </c>
      <c r="G2130" s="55">
        <v>1.72</v>
      </c>
    </row>
    <row r="2131" spans="1:7" ht="10.050000000000001" customHeight="1">
      <c r="A2131" s="52" t="s">
        <v>421</v>
      </c>
      <c r="B2131" s="52" t="s">
        <v>316</v>
      </c>
      <c r="C2131" s="53">
        <v>2014</v>
      </c>
      <c r="D2131" s="52" t="s">
        <v>119</v>
      </c>
      <c r="E2131" s="54">
        <v>9</v>
      </c>
      <c r="F2131" s="55">
        <v>27.2</v>
      </c>
      <c r="G2131" s="55">
        <v>0</v>
      </c>
    </row>
    <row r="2132" spans="1:7" ht="10.050000000000001" customHeight="1">
      <c r="A2132" s="52" t="s">
        <v>421</v>
      </c>
      <c r="B2132" s="52" t="s">
        <v>316</v>
      </c>
      <c r="C2132" s="53">
        <v>2014</v>
      </c>
      <c r="D2132" s="52" t="s">
        <v>119</v>
      </c>
      <c r="E2132" s="54">
        <v>10</v>
      </c>
      <c r="F2132" s="55">
        <v>0.3</v>
      </c>
      <c r="G2132" s="55">
        <v>0</v>
      </c>
    </row>
    <row r="2133" spans="1:7" ht="10.050000000000001" customHeight="1">
      <c r="A2133" s="52" t="s">
        <v>421</v>
      </c>
      <c r="B2133" s="52" t="s">
        <v>316</v>
      </c>
      <c r="C2133" s="53">
        <v>2014</v>
      </c>
      <c r="D2133" s="52" t="s">
        <v>119</v>
      </c>
      <c r="E2133" s="54">
        <v>12</v>
      </c>
      <c r="F2133" s="55">
        <v>0</v>
      </c>
      <c r="G2133" s="55">
        <v>37.799999999999997</v>
      </c>
    </row>
    <row r="2134" spans="1:7" ht="10.050000000000001" customHeight="1">
      <c r="A2134" s="52" t="s">
        <v>421</v>
      </c>
      <c r="B2134" s="52" t="s">
        <v>316</v>
      </c>
      <c r="C2134" s="53">
        <v>2015</v>
      </c>
      <c r="D2134" s="52" t="s">
        <v>119</v>
      </c>
      <c r="E2134" s="54">
        <v>1</v>
      </c>
      <c r="F2134" s="55">
        <v>0</v>
      </c>
      <c r="G2134" s="55">
        <v>37.799999999999997</v>
      </c>
    </row>
    <row r="2135" spans="1:7" ht="10.050000000000001" customHeight="1">
      <c r="A2135" s="52" t="s">
        <v>421</v>
      </c>
      <c r="B2135" s="52" t="s">
        <v>316</v>
      </c>
      <c r="C2135" s="53">
        <v>2015</v>
      </c>
      <c r="D2135" s="52" t="s">
        <v>119</v>
      </c>
      <c r="E2135" s="54">
        <v>2</v>
      </c>
      <c r="F2135" s="55">
        <v>29</v>
      </c>
      <c r="G2135" s="55">
        <v>8.8000000000000007</v>
      </c>
    </row>
    <row r="2136" spans="1:7" ht="10.050000000000001" customHeight="1">
      <c r="A2136" s="52" t="s">
        <v>421</v>
      </c>
      <c r="B2136" s="52" t="s">
        <v>316</v>
      </c>
      <c r="C2136" s="53">
        <v>2015</v>
      </c>
      <c r="D2136" s="52" t="s">
        <v>119</v>
      </c>
      <c r="E2136" s="54">
        <v>3</v>
      </c>
      <c r="F2136" s="55">
        <v>0</v>
      </c>
      <c r="G2136" s="55">
        <v>8.8000000000000007</v>
      </c>
    </row>
    <row r="2137" spans="1:7" ht="10.050000000000001" customHeight="1">
      <c r="A2137" s="52" t="s">
        <v>421</v>
      </c>
      <c r="B2137" s="52" t="s">
        <v>316</v>
      </c>
      <c r="C2137" s="53">
        <v>2015</v>
      </c>
      <c r="D2137" s="52" t="s">
        <v>119</v>
      </c>
      <c r="E2137" s="54">
        <v>4</v>
      </c>
      <c r="F2137" s="55">
        <v>0</v>
      </c>
      <c r="G2137" s="55">
        <v>8.8000000000000007</v>
      </c>
    </row>
    <row r="2138" spans="1:7" ht="10.050000000000001" customHeight="1">
      <c r="A2138" s="52" t="s">
        <v>421</v>
      </c>
      <c r="B2138" s="52" t="s">
        <v>316</v>
      </c>
      <c r="C2138" s="53">
        <v>2015</v>
      </c>
      <c r="D2138" s="52" t="s">
        <v>119</v>
      </c>
      <c r="E2138" s="54">
        <v>5</v>
      </c>
      <c r="F2138" s="55">
        <v>55.64</v>
      </c>
      <c r="G2138" s="55">
        <v>0</v>
      </c>
    </row>
    <row r="2139" spans="1:7" ht="10.050000000000001" customHeight="1">
      <c r="A2139" s="52" t="s">
        <v>421</v>
      </c>
      <c r="B2139" s="52" t="s">
        <v>316</v>
      </c>
      <c r="C2139" s="53">
        <v>2015</v>
      </c>
      <c r="D2139" s="52" t="s">
        <v>119</v>
      </c>
      <c r="E2139" s="54">
        <v>6</v>
      </c>
      <c r="F2139" s="55">
        <v>44.74</v>
      </c>
      <c r="G2139" s="55">
        <v>0</v>
      </c>
    </row>
    <row r="2140" spans="1:7" ht="10.050000000000001" customHeight="1">
      <c r="A2140" s="52" t="s">
        <v>421</v>
      </c>
      <c r="B2140" s="52" t="s">
        <v>316</v>
      </c>
      <c r="C2140" s="53">
        <v>2015</v>
      </c>
      <c r="D2140" s="52" t="s">
        <v>120</v>
      </c>
      <c r="E2140" s="54">
        <v>8</v>
      </c>
      <c r="F2140" s="55">
        <v>28.8</v>
      </c>
      <c r="G2140" s="55">
        <v>0</v>
      </c>
    </row>
    <row r="2141" spans="1:7" ht="10.050000000000001" customHeight="1">
      <c r="A2141" s="52" t="s">
        <v>421</v>
      </c>
      <c r="B2141" s="52" t="s">
        <v>316</v>
      </c>
      <c r="C2141" s="53">
        <v>2016</v>
      </c>
      <c r="D2141" s="52" t="s">
        <v>121</v>
      </c>
      <c r="E2141" s="54">
        <v>10</v>
      </c>
      <c r="F2141" s="55">
        <v>0</v>
      </c>
      <c r="G2141" s="55">
        <v>2.2000000000000002</v>
      </c>
    </row>
    <row r="2142" spans="1:7" ht="10.050000000000001" customHeight="1">
      <c r="A2142" s="52" t="s">
        <v>421</v>
      </c>
      <c r="B2142" s="52" t="s">
        <v>316</v>
      </c>
      <c r="C2142" s="53">
        <v>2016</v>
      </c>
      <c r="D2142" s="52" t="s">
        <v>121</v>
      </c>
      <c r="E2142" s="54">
        <v>11</v>
      </c>
      <c r="F2142" s="55">
        <v>0</v>
      </c>
      <c r="G2142" s="55">
        <v>2.2000000000000002</v>
      </c>
    </row>
    <row r="2143" spans="1:7" ht="10.050000000000001" customHeight="1">
      <c r="A2143" s="52" t="s">
        <v>421</v>
      </c>
      <c r="B2143" s="52" t="s">
        <v>316</v>
      </c>
      <c r="C2143" s="53">
        <v>2016</v>
      </c>
      <c r="D2143" s="52" t="s">
        <v>121</v>
      </c>
      <c r="E2143" s="54">
        <v>12</v>
      </c>
      <c r="F2143" s="55">
        <v>0</v>
      </c>
      <c r="G2143" s="55">
        <v>2.2000000000000002</v>
      </c>
    </row>
    <row r="2144" spans="1:7" ht="10.050000000000001" customHeight="1">
      <c r="A2144" s="52" t="s">
        <v>421</v>
      </c>
      <c r="B2144" s="52" t="s">
        <v>316</v>
      </c>
      <c r="C2144" s="53">
        <v>2017</v>
      </c>
      <c r="D2144" s="52" t="s">
        <v>121</v>
      </c>
      <c r="E2144" s="54">
        <v>1</v>
      </c>
      <c r="F2144" s="55">
        <v>0</v>
      </c>
      <c r="G2144" s="55">
        <v>2.2000000000000002</v>
      </c>
    </row>
    <row r="2145" spans="1:7" ht="10.050000000000001" customHeight="1">
      <c r="A2145" s="52" t="s">
        <v>421</v>
      </c>
      <c r="B2145" s="52" t="s">
        <v>316</v>
      </c>
      <c r="C2145" s="53">
        <v>2017</v>
      </c>
      <c r="D2145" s="52" t="s">
        <v>121</v>
      </c>
      <c r="E2145" s="54">
        <v>2</v>
      </c>
      <c r="F2145" s="55">
        <v>0</v>
      </c>
      <c r="G2145" s="55">
        <v>2.2000000000000002</v>
      </c>
    </row>
    <row r="2146" spans="1:7" ht="10.050000000000001" customHeight="1">
      <c r="A2146" s="52" t="s">
        <v>421</v>
      </c>
      <c r="B2146" s="52" t="s">
        <v>316</v>
      </c>
      <c r="C2146" s="53">
        <v>2017</v>
      </c>
      <c r="D2146" s="52" t="s">
        <v>121</v>
      </c>
      <c r="E2146" s="54">
        <v>3</v>
      </c>
      <c r="F2146" s="55">
        <v>0</v>
      </c>
      <c r="G2146" s="55">
        <v>2.2000000000000002</v>
      </c>
    </row>
    <row r="2147" spans="1:7" ht="10.050000000000001" customHeight="1">
      <c r="A2147" s="52" t="s">
        <v>421</v>
      </c>
      <c r="B2147" s="52" t="s">
        <v>316</v>
      </c>
      <c r="C2147" s="53">
        <v>2017</v>
      </c>
      <c r="D2147" s="52" t="s">
        <v>121</v>
      </c>
      <c r="E2147" s="54">
        <v>4</v>
      </c>
      <c r="F2147" s="55">
        <v>0</v>
      </c>
      <c r="G2147" s="55">
        <v>2.2000000000000002</v>
      </c>
    </row>
    <row r="2148" spans="1:7" ht="10.050000000000001" customHeight="1">
      <c r="A2148" s="52" t="s">
        <v>421</v>
      </c>
      <c r="B2148" s="52" t="s">
        <v>316</v>
      </c>
      <c r="C2148" s="53">
        <v>2018</v>
      </c>
      <c r="D2148" s="52" t="s">
        <v>122</v>
      </c>
      <c r="E2148" s="54">
        <v>6</v>
      </c>
      <c r="F2148" s="55">
        <v>6.3</v>
      </c>
      <c r="G2148" s="55">
        <v>0</v>
      </c>
    </row>
    <row r="2149" spans="1:7" ht="10.050000000000001" customHeight="1">
      <c r="A2149" s="52" t="s">
        <v>421</v>
      </c>
      <c r="B2149" s="52" t="s">
        <v>316</v>
      </c>
      <c r="C2149" s="53">
        <v>2019</v>
      </c>
      <c r="D2149" s="52" t="s">
        <v>124</v>
      </c>
      <c r="E2149" s="54">
        <v>10</v>
      </c>
      <c r="F2149" s="55">
        <v>3.52</v>
      </c>
      <c r="G2149" s="55">
        <v>0</v>
      </c>
    </row>
    <row r="2150" spans="1:7" ht="10.050000000000001" customHeight="1">
      <c r="A2150" s="52" t="s">
        <v>421</v>
      </c>
      <c r="B2150" s="52" t="s">
        <v>316</v>
      </c>
      <c r="C2150" s="53">
        <v>2020</v>
      </c>
      <c r="D2150" s="52" t="s">
        <v>124</v>
      </c>
      <c r="E2150" s="54">
        <v>1</v>
      </c>
      <c r="F2150" s="55">
        <v>1.26</v>
      </c>
      <c r="G2150" s="55">
        <v>3.36</v>
      </c>
    </row>
    <row r="2151" spans="1:7" ht="10.050000000000001" customHeight="1">
      <c r="A2151" s="52" t="s">
        <v>421</v>
      </c>
      <c r="B2151" s="52" t="s">
        <v>316</v>
      </c>
      <c r="C2151" s="53">
        <v>2020</v>
      </c>
      <c r="D2151" s="52" t="s">
        <v>124</v>
      </c>
      <c r="E2151" s="54">
        <v>2</v>
      </c>
      <c r="F2151" s="55">
        <v>0.86</v>
      </c>
      <c r="G2151" s="55">
        <v>0</v>
      </c>
    </row>
    <row r="2152" spans="1:7" ht="10.050000000000001" customHeight="1">
      <c r="A2152" s="52" t="s">
        <v>421</v>
      </c>
      <c r="B2152" s="52" t="s">
        <v>316</v>
      </c>
      <c r="C2152" s="53">
        <v>2020</v>
      </c>
      <c r="D2152" s="52" t="s">
        <v>124</v>
      </c>
      <c r="E2152" s="54">
        <v>3</v>
      </c>
      <c r="F2152" s="55">
        <v>0.16</v>
      </c>
      <c r="G2152" s="55">
        <v>0</v>
      </c>
    </row>
    <row r="2153" spans="1:7" ht="10.050000000000001" customHeight="1">
      <c r="A2153" s="52" t="s">
        <v>421</v>
      </c>
      <c r="B2153" s="52" t="s">
        <v>316</v>
      </c>
      <c r="C2153" s="53">
        <v>2020</v>
      </c>
      <c r="D2153" s="52" t="s">
        <v>124</v>
      </c>
      <c r="E2153" s="54">
        <v>4</v>
      </c>
      <c r="F2153" s="55">
        <v>0.3</v>
      </c>
      <c r="G2153" s="55">
        <v>0</v>
      </c>
    </row>
    <row r="2154" spans="1:7" ht="10.050000000000001" customHeight="1">
      <c r="A2154" s="52" t="s">
        <v>421</v>
      </c>
      <c r="B2154" s="52" t="s">
        <v>316</v>
      </c>
      <c r="C2154" s="53">
        <v>2020</v>
      </c>
      <c r="D2154" s="52" t="s">
        <v>124</v>
      </c>
      <c r="E2154" s="54">
        <v>5</v>
      </c>
      <c r="F2154" s="55">
        <v>0.28000000000000003</v>
      </c>
      <c r="G2154" s="55">
        <v>0</v>
      </c>
    </row>
    <row r="2155" spans="1:7" ht="10.050000000000001" customHeight="1">
      <c r="A2155" s="52" t="s">
        <v>421</v>
      </c>
      <c r="B2155" s="52" t="s">
        <v>316</v>
      </c>
      <c r="C2155" s="53">
        <v>2020</v>
      </c>
      <c r="D2155" s="52" t="s">
        <v>124</v>
      </c>
      <c r="E2155" s="54">
        <v>6</v>
      </c>
      <c r="F2155" s="55">
        <v>0.76</v>
      </c>
      <c r="G2155" s="55">
        <v>0</v>
      </c>
    </row>
    <row r="2156" spans="1:7" ht="10.050000000000001" customHeight="1">
      <c r="A2156" s="52" t="s">
        <v>421</v>
      </c>
      <c r="B2156" s="52" t="s">
        <v>316</v>
      </c>
      <c r="C2156" s="53">
        <v>2020</v>
      </c>
      <c r="D2156" s="52" t="s">
        <v>125</v>
      </c>
      <c r="E2156" s="54">
        <v>7</v>
      </c>
      <c r="F2156" s="55">
        <v>1.38</v>
      </c>
      <c r="G2156" s="55">
        <v>0</v>
      </c>
    </row>
    <row r="2157" spans="1:7" ht="10.050000000000001" customHeight="1">
      <c r="A2157" s="52" t="s">
        <v>421</v>
      </c>
      <c r="B2157" s="52" t="s">
        <v>316</v>
      </c>
      <c r="C2157" s="53">
        <v>2020</v>
      </c>
      <c r="D2157" s="52" t="s">
        <v>125</v>
      </c>
      <c r="E2157" s="54">
        <v>8</v>
      </c>
      <c r="F2157" s="55">
        <v>2.75</v>
      </c>
      <c r="G2157" s="55">
        <v>0</v>
      </c>
    </row>
    <row r="2158" spans="1:7" ht="10.050000000000001" customHeight="1">
      <c r="A2158" s="52" t="s">
        <v>421</v>
      </c>
      <c r="B2158" s="52" t="s">
        <v>316</v>
      </c>
      <c r="C2158" s="53">
        <v>2020</v>
      </c>
      <c r="D2158" s="52" t="s">
        <v>125</v>
      </c>
      <c r="E2158" s="54">
        <v>10</v>
      </c>
      <c r="F2158" s="55">
        <v>1.0900000000000001</v>
      </c>
      <c r="G2158" s="55">
        <v>0.69799999999999995</v>
      </c>
    </row>
    <row r="2159" spans="1:7" ht="10.050000000000001" customHeight="1">
      <c r="A2159" s="52" t="s">
        <v>421</v>
      </c>
      <c r="B2159" s="52" t="s">
        <v>316</v>
      </c>
      <c r="C2159" s="53">
        <v>2020</v>
      </c>
      <c r="D2159" s="52" t="s">
        <v>125</v>
      </c>
      <c r="E2159" s="54">
        <v>11</v>
      </c>
      <c r="F2159" s="55">
        <v>0.3</v>
      </c>
      <c r="G2159" s="55">
        <v>0.69799999999999995</v>
      </c>
    </row>
    <row r="2160" spans="1:7" ht="10.050000000000001" customHeight="1">
      <c r="A2160" s="52" t="s">
        <v>421</v>
      </c>
      <c r="B2160" s="52" t="s">
        <v>316</v>
      </c>
      <c r="C2160" s="53">
        <v>2020</v>
      </c>
      <c r="D2160" s="52" t="s">
        <v>125</v>
      </c>
      <c r="E2160" s="54">
        <v>12</v>
      </c>
      <c r="F2160" s="55">
        <v>0.4</v>
      </c>
      <c r="G2160" s="55">
        <v>0.69799999999999995</v>
      </c>
    </row>
    <row r="2161" spans="1:7" ht="10.050000000000001" customHeight="1">
      <c r="A2161" s="52" t="s">
        <v>421</v>
      </c>
      <c r="B2161" s="52" t="s">
        <v>316</v>
      </c>
      <c r="C2161" s="53">
        <v>2021</v>
      </c>
      <c r="D2161" s="52" t="s">
        <v>125</v>
      </c>
      <c r="E2161" s="54">
        <v>1</v>
      </c>
      <c r="F2161" s="55">
        <v>0.3</v>
      </c>
      <c r="G2161" s="55">
        <v>0.69799999999999995</v>
      </c>
    </row>
    <row r="2162" spans="1:7" ht="10.050000000000001" customHeight="1">
      <c r="A2162" s="52" t="s">
        <v>421</v>
      </c>
      <c r="B2162" s="52" t="s">
        <v>316</v>
      </c>
      <c r="C2162" s="53">
        <v>2021</v>
      </c>
      <c r="D2162" s="52" t="s">
        <v>125</v>
      </c>
      <c r="E2162" s="54">
        <v>2</v>
      </c>
      <c r="F2162" s="55">
        <v>0</v>
      </c>
      <c r="G2162" s="55">
        <v>0.69799999999999995</v>
      </c>
    </row>
    <row r="2163" spans="1:7" ht="10.050000000000001" customHeight="1">
      <c r="A2163" s="52" t="s">
        <v>421</v>
      </c>
      <c r="B2163" s="52" t="s">
        <v>316</v>
      </c>
      <c r="C2163" s="53">
        <v>2021</v>
      </c>
      <c r="D2163" s="52" t="s">
        <v>125</v>
      </c>
      <c r="E2163" s="54">
        <v>5</v>
      </c>
      <c r="F2163" s="55">
        <v>1</v>
      </c>
      <c r="G2163" s="55">
        <v>0</v>
      </c>
    </row>
    <row r="2164" spans="1:7" ht="10.050000000000001" customHeight="1">
      <c r="A2164" s="52" t="s">
        <v>421</v>
      </c>
      <c r="B2164" s="52" t="s">
        <v>316</v>
      </c>
      <c r="C2164" s="53">
        <v>2021</v>
      </c>
      <c r="D2164" s="52" t="s">
        <v>125</v>
      </c>
      <c r="E2164" s="54">
        <v>6</v>
      </c>
      <c r="F2164" s="55">
        <v>0.26</v>
      </c>
      <c r="G2164" s="55">
        <v>0</v>
      </c>
    </row>
    <row r="2165" spans="1:7" ht="10.050000000000001" customHeight="1">
      <c r="A2165" s="52" t="s">
        <v>421</v>
      </c>
      <c r="B2165" s="52" t="s">
        <v>316</v>
      </c>
      <c r="C2165" s="53">
        <v>2021</v>
      </c>
      <c r="D2165" s="52" t="s">
        <v>126</v>
      </c>
      <c r="E2165" s="54">
        <v>7</v>
      </c>
      <c r="F2165" s="55">
        <v>1.3</v>
      </c>
      <c r="G2165" s="55">
        <v>0</v>
      </c>
    </row>
    <row r="2166" spans="1:7" ht="10.050000000000001" customHeight="1">
      <c r="A2166" s="52" t="s">
        <v>421</v>
      </c>
      <c r="B2166" s="52" t="s">
        <v>316</v>
      </c>
      <c r="C2166" s="53">
        <v>2021</v>
      </c>
      <c r="D2166" s="52" t="s">
        <v>126</v>
      </c>
      <c r="E2166" s="54">
        <v>8</v>
      </c>
      <c r="F2166" s="55">
        <v>1.28</v>
      </c>
      <c r="G2166" s="55">
        <v>0</v>
      </c>
    </row>
    <row r="2167" spans="1:7" ht="10.050000000000001" customHeight="1">
      <c r="A2167" s="52" t="s">
        <v>421</v>
      </c>
      <c r="B2167" s="52" t="s">
        <v>316</v>
      </c>
      <c r="C2167" s="53">
        <v>2021</v>
      </c>
      <c r="D2167" s="52" t="s">
        <v>126</v>
      </c>
      <c r="E2167" s="54">
        <v>9</v>
      </c>
      <c r="F2167" s="55">
        <v>2.46</v>
      </c>
      <c r="G2167" s="55">
        <v>0</v>
      </c>
    </row>
    <row r="2168" spans="1:7" ht="10.050000000000001" customHeight="1">
      <c r="A2168" s="52" t="s">
        <v>421</v>
      </c>
      <c r="B2168" s="52" t="s">
        <v>316</v>
      </c>
      <c r="C2168" s="53">
        <v>2021</v>
      </c>
      <c r="D2168" s="52" t="s">
        <v>126</v>
      </c>
      <c r="E2168" s="54">
        <v>10</v>
      </c>
      <c r="F2168" s="55">
        <v>0.8</v>
      </c>
      <c r="G2168" s="55">
        <v>0</v>
      </c>
    </row>
    <row r="2169" spans="1:7" ht="10.050000000000001" customHeight="1">
      <c r="A2169" s="52" t="s">
        <v>421</v>
      </c>
      <c r="B2169" s="52" t="s">
        <v>316</v>
      </c>
      <c r="C2169" s="53">
        <v>2021</v>
      </c>
      <c r="D2169" s="52" t="s">
        <v>126</v>
      </c>
      <c r="E2169" s="54">
        <v>11</v>
      </c>
      <c r="F2169" s="55">
        <v>1</v>
      </c>
      <c r="G2169" s="55">
        <v>0</v>
      </c>
    </row>
    <row r="2170" spans="1:7" ht="10.050000000000001" customHeight="1">
      <c r="A2170" s="52" t="s">
        <v>421</v>
      </c>
      <c r="B2170" s="52" t="s">
        <v>316</v>
      </c>
      <c r="C2170" s="53">
        <v>2021</v>
      </c>
      <c r="D2170" s="52" t="s">
        <v>126</v>
      </c>
      <c r="E2170" s="54">
        <v>12</v>
      </c>
      <c r="F2170" s="55">
        <v>0.3</v>
      </c>
      <c r="G2170" s="55">
        <v>0</v>
      </c>
    </row>
    <row r="2171" spans="1:7" ht="10.050000000000001" customHeight="1">
      <c r="A2171" s="52" t="s">
        <v>421</v>
      </c>
      <c r="B2171" s="52" t="s">
        <v>316</v>
      </c>
      <c r="C2171" s="53">
        <v>2022</v>
      </c>
      <c r="D2171" s="52" t="s">
        <v>126</v>
      </c>
      <c r="E2171" s="54">
        <v>1</v>
      </c>
      <c r="F2171" s="55">
        <v>0.2</v>
      </c>
      <c r="G2171" s="55">
        <v>0</v>
      </c>
    </row>
    <row r="2172" spans="1:7" ht="10.050000000000001" customHeight="1">
      <c r="A2172" s="52" t="s">
        <v>421</v>
      </c>
      <c r="B2172" s="52" t="s">
        <v>316</v>
      </c>
      <c r="C2172" s="53">
        <v>2022</v>
      </c>
      <c r="D2172" s="52" t="s">
        <v>126</v>
      </c>
      <c r="E2172" s="54">
        <v>5</v>
      </c>
      <c r="F2172" s="55">
        <v>0.81</v>
      </c>
      <c r="G2172" s="55">
        <v>0</v>
      </c>
    </row>
    <row r="2173" spans="1:7" ht="10.050000000000001" customHeight="1">
      <c r="A2173" s="52" t="s">
        <v>421</v>
      </c>
      <c r="B2173" s="52" t="s">
        <v>316</v>
      </c>
      <c r="C2173" s="53">
        <v>2022</v>
      </c>
      <c r="D2173" s="52" t="s">
        <v>126</v>
      </c>
      <c r="E2173" s="54">
        <v>6</v>
      </c>
      <c r="F2173" s="55">
        <v>0.68</v>
      </c>
      <c r="G2173" s="55">
        <v>0.5</v>
      </c>
    </row>
    <row r="2174" spans="1:7" ht="10.050000000000001" customHeight="1">
      <c r="A2174" s="52" t="s">
        <v>421</v>
      </c>
      <c r="B2174" s="52" t="s">
        <v>316</v>
      </c>
      <c r="C2174" s="53">
        <v>2022</v>
      </c>
      <c r="D2174" s="52" t="s">
        <v>127</v>
      </c>
      <c r="E2174" s="54">
        <v>7</v>
      </c>
      <c r="F2174" s="55">
        <v>1.663</v>
      </c>
      <c r="G2174" s="55">
        <v>0.437</v>
      </c>
    </row>
    <row r="2175" spans="1:7" ht="10.050000000000001" customHeight="1">
      <c r="A2175" s="52" t="s">
        <v>421</v>
      </c>
      <c r="B2175" s="52" t="s">
        <v>316</v>
      </c>
      <c r="C2175" s="53">
        <v>2022</v>
      </c>
      <c r="D2175" s="52" t="s">
        <v>127</v>
      </c>
      <c r="E2175" s="54">
        <v>8</v>
      </c>
      <c r="F2175" s="55">
        <v>0.126</v>
      </c>
      <c r="G2175" s="55">
        <v>0.311</v>
      </c>
    </row>
    <row r="2176" spans="1:7" ht="10.050000000000001" customHeight="1">
      <c r="A2176" s="52" t="s">
        <v>421</v>
      </c>
      <c r="B2176" s="52" t="s">
        <v>316</v>
      </c>
      <c r="C2176" s="53">
        <v>2022</v>
      </c>
      <c r="D2176" s="52" t="s">
        <v>127</v>
      </c>
      <c r="E2176" s="54">
        <v>9</v>
      </c>
      <c r="F2176" s="55">
        <v>1.0049999999999999</v>
      </c>
      <c r="G2176" s="55">
        <v>0.216</v>
      </c>
    </row>
    <row r="2177" spans="1:7" ht="10.050000000000001" customHeight="1">
      <c r="A2177" s="52" t="s">
        <v>421</v>
      </c>
      <c r="B2177" s="52" t="s">
        <v>316</v>
      </c>
      <c r="C2177" s="53">
        <v>2022</v>
      </c>
      <c r="D2177" s="52" t="s">
        <v>127</v>
      </c>
      <c r="E2177" s="54">
        <v>10</v>
      </c>
      <c r="F2177" s="55">
        <v>0.107</v>
      </c>
      <c r="G2177" s="55">
        <v>0.109</v>
      </c>
    </row>
    <row r="2178" spans="1:7" ht="10.050000000000001" customHeight="1">
      <c r="A2178" s="52" t="s">
        <v>421</v>
      </c>
      <c r="B2178" s="52" t="s">
        <v>316</v>
      </c>
      <c r="C2178" s="53">
        <v>2022</v>
      </c>
      <c r="D2178" s="52" t="s">
        <v>127</v>
      </c>
      <c r="E2178" s="54">
        <v>11</v>
      </c>
      <c r="F2178" s="55">
        <v>2.8000000000000001E-2</v>
      </c>
      <c r="G2178" s="55">
        <v>8.1000000000000003E-2</v>
      </c>
    </row>
    <row r="2179" spans="1:7" ht="10.050000000000001" customHeight="1">
      <c r="A2179" s="52" t="s">
        <v>421</v>
      </c>
      <c r="B2179" s="52" t="s">
        <v>316</v>
      </c>
      <c r="C2179" s="53">
        <v>2022</v>
      </c>
      <c r="D2179" s="52" t="s">
        <v>127</v>
      </c>
      <c r="E2179" s="54">
        <v>12</v>
      </c>
      <c r="F2179" s="55">
        <v>8.1000000000000003E-2</v>
      </c>
      <c r="G2179" s="55">
        <v>0</v>
      </c>
    </row>
    <row r="2180" spans="1:7" ht="10.050000000000001" customHeight="1">
      <c r="A2180" s="52" t="s">
        <v>421</v>
      </c>
      <c r="B2180" s="52" t="s">
        <v>316</v>
      </c>
      <c r="C2180" s="53">
        <v>2023</v>
      </c>
      <c r="D2180" s="52" t="s">
        <v>127</v>
      </c>
      <c r="E2180" s="54">
        <v>1</v>
      </c>
      <c r="F2180" s="55">
        <v>0</v>
      </c>
      <c r="G2180" s="55">
        <v>0.36799999999999999</v>
      </c>
    </row>
    <row r="2181" spans="1:7" ht="10.050000000000001" customHeight="1">
      <c r="A2181" s="52" t="s">
        <v>421</v>
      </c>
      <c r="B2181" s="52" t="s">
        <v>316</v>
      </c>
      <c r="C2181" s="53">
        <v>2023</v>
      </c>
      <c r="D2181" s="52" t="s">
        <v>127</v>
      </c>
      <c r="E2181" s="54">
        <v>2</v>
      </c>
      <c r="F2181" s="55">
        <v>0</v>
      </c>
      <c r="G2181" s="55">
        <v>0.36799999999999999</v>
      </c>
    </row>
    <row r="2182" spans="1:7" ht="10.050000000000001" customHeight="1">
      <c r="A2182" s="52" t="s">
        <v>421</v>
      </c>
      <c r="B2182" s="52" t="s">
        <v>316</v>
      </c>
      <c r="C2182" s="53">
        <v>2023</v>
      </c>
      <c r="D2182" s="52" t="s">
        <v>127</v>
      </c>
      <c r="E2182" s="54">
        <v>3</v>
      </c>
      <c r="F2182" s="55">
        <v>0</v>
      </c>
      <c r="G2182" s="55">
        <v>0.36799999999999999</v>
      </c>
    </row>
    <row r="2183" spans="1:7" ht="10.050000000000001" customHeight="1">
      <c r="A2183" s="52" t="s">
        <v>421</v>
      </c>
      <c r="B2183" s="52" t="s">
        <v>316</v>
      </c>
      <c r="C2183" s="53">
        <v>2023</v>
      </c>
      <c r="D2183" s="52" t="s">
        <v>127</v>
      </c>
      <c r="E2183" s="54">
        <v>4</v>
      </c>
      <c r="F2183" s="55">
        <v>1.4999999999999999E-2</v>
      </c>
      <c r="G2183" s="55">
        <v>0.497</v>
      </c>
    </row>
    <row r="2184" spans="1:7" ht="10.050000000000001" customHeight="1">
      <c r="A2184" s="52" t="s">
        <v>421</v>
      </c>
      <c r="B2184" s="52" t="s">
        <v>316</v>
      </c>
      <c r="C2184" s="53">
        <v>2023</v>
      </c>
      <c r="D2184" s="52" t="s">
        <v>127</v>
      </c>
      <c r="E2184" s="54">
        <v>5</v>
      </c>
      <c r="F2184" s="55">
        <v>0.04</v>
      </c>
      <c r="G2184" s="55">
        <v>0.40699999999999997</v>
      </c>
    </row>
    <row r="2185" spans="1:7" ht="10.050000000000001" customHeight="1">
      <c r="A2185" s="52" t="s">
        <v>421</v>
      </c>
      <c r="B2185" s="52" t="s">
        <v>316</v>
      </c>
      <c r="C2185" s="53">
        <v>2023</v>
      </c>
      <c r="D2185" s="52" t="s">
        <v>127</v>
      </c>
      <c r="E2185" s="54">
        <v>6</v>
      </c>
      <c r="F2185" s="55">
        <v>3.9E-2</v>
      </c>
      <c r="G2185" s="55">
        <v>0</v>
      </c>
    </row>
    <row r="2186" spans="1:7" ht="10.050000000000001" customHeight="1">
      <c r="A2186" s="52" t="s">
        <v>421</v>
      </c>
      <c r="B2186" s="52" t="s">
        <v>316</v>
      </c>
      <c r="C2186" s="53">
        <v>2023</v>
      </c>
      <c r="D2186" s="52" t="s">
        <v>128</v>
      </c>
      <c r="E2186" s="54">
        <v>8</v>
      </c>
      <c r="F2186" s="55">
        <v>38.840000000000003</v>
      </c>
      <c r="G2186" s="55">
        <v>7.05</v>
      </c>
    </row>
    <row r="2187" spans="1:7" ht="10.050000000000001" customHeight="1">
      <c r="A2187" s="52" t="s">
        <v>421</v>
      </c>
      <c r="B2187" s="52" t="s">
        <v>316</v>
      </c>
      <c r="C2187" s="53">
        <v>2023</v>
      </c>
      <c r="D2187" s="52" t="s">
        <v>128</v>
      </c>
      <c r="E2187" s="54">
        <v>9</v>
      </c>
      <c r="F2187" s="55">
        <v>7.05</v>
      </c>
      <c r="G2187" s="55">
        <v>0</v>
      </c>
    </row>
    <row r="2188" spans="1:7" ht="10.050000000000001" customHeight="1">
      <c r="A2188" s="52" t="s">
        <v>421</v>
      </c>
      <c r="B2188" s="52" t="s">
        <v>316</v>
      </c>
      <c r="C2188" s="53">
        <v>2023</v>
      </c>
      <c r="D2188" s="52" t="s">
        <v>128</v>
      </c>
      <c r="E2188" s="54">
        <v>10</v>
      </c>
      <c r="F2188" s="55">
        <v>3.5000000000000003E-2</v>
      </c>
      <c r="G2188" s="55">
        <v>7.2969999999999997</v>
      </c>
    </row>
    <row r="2189" spans="1:7" ht="10.050000000000001" customHeight="1">
      <c r="A2189" s="52" t="s">
        <v>421</v>
      </c>
      <c r="B2189" s="52" t="s">
        <v>316</v>
      </c>
      <c r="C2189" s="53">
        <v>2023</v>
      </c>
      <c r="D2189" s="52" t="s">
        <v>128</v>
      </c>
      <c r="E2189" s="54">
        <v>11</v>
      </c>
      <c r="F2189" s="55">
        <v>0.106</v>
      </c>
      <c r="G2189" s="55">
        <v>0.40899999999999997</v>
      </c>
    </row>
    <row r="2190" spans="1:7" ht="10.050000000000001" customHeight="1">
      <c r="A2190" s="52" t="s">
        <v>421</v>
      </c>
      <c r="B2190" s="52" t="s">
        <v>316</v>
      </c>
      <c r="C2190" s="53">
        <v>2023</v>
      </c>
      <c r="D2190" s="52" t="s">
        <v>128</v>
      </c>
      <c r="E2190" s="54">
        <v>12</v>
      </c>
      <c r="F2190" s="55">
        <v>8.3000000000000004E-2</v>
      </c>
      <c r="G2190" s="55">
        <v>0.32600000000000001</v>
      </c>
    </row>
    <row r="2191" spans="1:7" ht="10.050000000000001" customHeight="1">
      <c r="A2191" s="52" t="s">
        <v>421</v>
      </c>
      <c r="B2191" s="52" t="s">
        <v>316</v>
      </c>
      <c r="C2191" s="53">
        <v>2024</v>
      </c>
      <c r="D2191" s="52" t="s">
        <v>128</v>
      </c>
      <c r="E2191" s="54">
        <v>1</v>
      </c>
      <c r="F2191" s="55">
        <v>8.5999999999999993E-2</v>
      </c>
      <c r="G2191" s="55">
        <v>0.22</v>
      </c>
    </row>
    <row r="2192" spans="1:7" ht="10.050000000000001" customHeight="1">
      <c r="A2192" s="52" t="s">
        <v>421</v>
      </c>
      <c r="B2192" s="52" t="s">
        <v>316</v>
      </c>
      <c r="C2192" s="53">
        <v>2024</v>
      </c>
      <c r="D2192" s="52" t="s">
        <v>128</v>
      </c>
      <c r="E2192" s="54">
        <v>2</v>
      </c>
      <c r="F2192" s="55">
        <v>8.2000000000000003E-2</v>
      </c>
      <c r="G2192" s="55">
        <v>0.13800000000000001</v>
      </c>
    </row>
    <row r="2193" spans="1:7" ht="10.050000000000001" customHeight="1">
      <c r="A2193" s="52" t="s">
        <v>421</v>
      </c>
      <c r="B2193" s="52" t="s">
        <v>316</v>
      </c>
      <c r="C2193" s="53">
        <v>2024</v>
      </c>
      <c r="D2193" s="52" t="s">
        <v>128</v>
      </c>
      <c r="E2193" s="54">
        <v>3</v>
      </c>
      <c r="F2193" s="55">
        <v>4.2999999999999997E-2</v>
      </c>
      <c r="G2193" s="55">
        <v>7.0000000000000007E-2</v>
      </c>
    </row>
    <row r="2194" spans="1:7" ht="10.050000000000001" customHeight="1">
      <c r="A2194" s="52" t="s">
        <v>421</v>
      </c>
      <c r="B2194" s="52" t="s">
        <v>316</v>
      </c>
      <c r="C2194" s="53">
        <v>2024</v>
      </c>
      <c r="D2194" s="52" t="s">
        <v>128</v>
      </c>
      <c r="E2194" s="54">
        <v>4</v>
      </c>
      <c r="F2194" s="55">
        <v>4.8000000000000001E-2</v>
      </c>
      <c r="G2194" s="55">
        <v>2.1999999999999999E-2</v>
      </c>
    </row>
    <row r="2195" spans="1:7" ht="10.050000000000001" customHeight="1">
      <c r="A2195" s="52" t="s">
        <v>421</v>
      </c>
      <c r="B2195" s="52" t="s">
        <v>316</v>
      </c>
      <c r="C2195" s="53">
        <v>2024</v>
      </c>
      <c r="D2195" s="52" t="s">
        <v>128</v>
      </c>
      <c r="E2195" s="54">
        <v>5</v>
      </c>
      <c r="F2195" s="55">
        <v>1.4E-2</v>
      </c>
      <c r="G2195" s="55">
        <v>8.0000000000000002E-3</v>
      </c>
    </row>
    <row r="2196" spans="1:7" ht="10.050000000000001" customHeight="1">
      <c r="A2196" s="52" t="s">
        <v>421</v>
      </c>
      <c r="B2196" s="52" t="s">
        <v>316</v>
      </c>
      <c r="C2196" s="53">
        <v>2024</v>
      </c>
      <c r="D2196" s="52" t="s">
        <v>128</v>
      </c>
      <c r="E2196" s="54">
        <v>6</v>
      </c>
      <c r="F2196" s="55">
        <v>0</v>
      </c>
      <c r="G2196" s="55">
        <v>8.0000000000000002E-3</v>
      </c>
    </row>
    <row r="2197" spans="1:7" ht="10.050000000000001" customHeight="1">
      <c r="A2197" s="52" t="s">
        <v>421</v>
      </c>
      <c r="B2197" s="52" t="s">
        <v>316</v>
      </c>
      <c r="C2197" s="53">
        <v>2024</v>
      </c>
      <c r="D2197" s="52" t="s">
        <v>129</v>
      </c>
      <c r="E2197" s="54">
        <v>10</v>
      </c>
      <c r="F2197" s="55">
        <v>0</v>
      </c>
      <c r="G2197" s="55">
        <v>10.316000000000001</v>
      </c>
    </row>
    <row r="2198" spans="1:7" ht="10.050000000000001" customHeight="1">
      <c r="A2198" s="52" t="s">
        <v>421</v>
      </c>
      <c r="B2198" s="52" t="s">
        <v>316</v>
      </c>
      <c r="C2198" s="53">
        <v>2024</v>
      </c>
      <c r="D2198" s="52" t="s">
        <v>129</v>
      </c>
      <c r="E2198" s="54">
        <v>11</v>
      </c>
      <c r="F2198" s="55">
        <v>0</v>
      </c>
      <c r="G2198" s="55">
        <v>10.316000000000001</v>
      </c>
    </row>
    <row r="2199" spans="1:7" ht="10.050000000000001" customHeight="1">
      <c r="A2199" s="52" t="s">
        <v>421</v>
      </c>
      <c r="B2199" s="52" t="s">
        <v>316</v>
      </c>
      <c r="C2199" s="53">
        <v>2024</v>
      </c>
      <c r="D2199" s="52" t="s">
        <v>129</v>
      </c>
      <c r="E2199" s="54">
        <v>12</v>
      </c>
      <c r="F2199" s="55">
        <v>0</v>
      </c>
      <c r="G2199" s="55">
        <v>10.316000000000001</v>
      </c>
    </row>
    <row r="2200" spans="1:7" ht="10.050000000000001" customHeight="1">
      <c r="A2200" s="52" t="s">
        <v>421</v>
      </c>
      <c r="B2200" s="52" t="s">
        <v>310</v>
      </c>
      <c r="C2200" s="53">
        <v>2000</v>
      </c>
      <c r="D2200" s="52" t="s">
        <v>105</v>
      </c>
      <c r="E2200" s="54">
        <v>7</v>
      </c>
      <c r="F2200" s="55">
        <v>26.9</v>
      </c>
      <c r="G2200" s="55">
        <v>90.3</v>
      </c>
    </row>
    <row r="2201" spans="1:7" ht="10.050000000000001" customHeight="1">
      <c r="A2201" s="52" t="s">
        <v>421</v>
      </c>
      <c r="B2201" s="52" t="s">
        <v>310</v>
      </c>
      <c r="C2201" s="53">
        <v>2000</v>
      </c>
      <c r="D2201" s="52" t="s">
        <v>105</v>
      </c>
      <c r="E2201" s="54">
        <v>8</v>
      </c>
      <c r="F2201" s="55">
        <v>203.6</v>
      </c>
      <c r="G2201" s="55">
        <v>938.9</v>
      </c>
    </row>
    <row r="2202" spans="1:7" ht="10.050000000000001" customHeight="1">
      <c r="A2202" s="52" t="s">
        <v>421</v>
      </c>
      <c r="B2202" s="52" t="s">
        <v>310</v>
      </c>
      <c r="C2202" s="53">
        <v>2000</v>
      </c>
      <c r="D2202" s="52" t="s">
        <v>105</v>
      </c>
      <c r="E2202" s="54">
        <v>9</v>
      </c>
      <c r="F2202" s="55">
        <v>257.8</v>
      </c>
      <c r="G2202" s="55">
        <v>1119.8</v>
      </c>
    </row>
    <row r="2203" spans="1:7" ht="10.050000000000001" customHeight="1">
      <c r="A2203" s="52" t="s">
        <v>421</v>
      </c>
      <c r="B2203" s="52" t="s">
        <v>310</v>
      </c>
      <c r="C2203" s="53">
        <v>2000</v>
      </c>
      <c r="D2203" s="52" t="s">
        <v>105</v>
      </c>
      <c r="E2203" s="54">
        <v>10</v>
      </c>
      <c r="F2203" s="55">
        <v>463.3</v>
      </c>
      <c r="G2203" s="55">
        <v>897.7</v>
      </c>
    </row>
    <row r="2204" spans="1:7" ht="10.050000000000001" customHeight="1">
      <c r="A2204" s="52" t="s">
        <v>421</v>
      </c>
      <c r="B2204" s="52" t="s">
        <v>310</v>
      </c>
      <c r="C2204" s="53">
        <v>2000</v>
      </c>
      <c r="D2204" s="52" t="s">
        <v>105</v>
      </c>
      <c r="E2204" s="54">
        <v>11</v>
      </c>
      <c r="F2204" s="55">
        <v>229.6</v>
      </c>
      <c r="G2204" s="55">
        <v>757.2</v>
      </c>
    </row>
    <row r="2205" spans="1:7" ht="10.050000000000001" customHeight="1">
      <c r="A2205" s="52" t="s">
        <v>421</v>
      </c>
      <c r="B2205" s="52" t="s">
        <v>310</v>
      </c>
      <c r="C2205" s="53">
        <v>2000</v>
      </c>
      <c r="D2205" s="52" t="s">
        <v>105</v>
      </c>
      <c r="E2205" s="54">
        <v>12</v>
      </c>
      <c r="F2205" s="55">
        <v>638</v>
      </c>
      <c r="G2205" s="55">
        <v>413.8</v>
      </c>
    </row>
    <row r="2206" spans="1:7" ht="10.050000000000001" customHeight="1">
      <c r="A2206" s="52" t="s">
        <v>421</v>
      </c>
      <c r="B2206" s="52" t="s">
        <v>310</v>
      </c>
      <c r="C2206" s="53">
        <v>2001</v>
      </c>
      <c r="D2206" s="52" t="s">
        <v>105</v>
      </c>
      <c r="E2206" s="54">
        <v>1</v>
      </c>
      <c r="F2206" s="55">
        <v>171.5</v>
      </c>
      <c r="G2206" s="55">
        <v>326.39999999999998</v>
      </c>
    </row>
    <row r="2207" spans="1:7" ht="10.050000000000001" customHeight="1">
      <c r="A2207" s="52" t="s">
        <v>421</v>
      </c>
      <c r="B2207" s="52" t="s">
        <v>310</v>
      </c>
      <c r="C2207" s="53">
        <v>2001</v>
      </c>
      <c r="D2207" s="52" t="s">
        <v>105</v>
      </c>
      <c r="E2207" s="54">
        <v>2</v>
      </c>
      <c r="F2207" s="55">
        <v>175.2</v>
      </c>
      <c r="G2207" s="55">
        <v>277.5</v>
      </c>
    </row>
    <row r="2208" spans="1:7" ht="10.050000000000001" customHeight="1">
      <c r="A2208" s="52" t="s">
        <v>421</v>
      </c>
      <c r="B2208" s="52" t="s">
        <v>310</v>
      </c>
      <c r="C2208" s="53">
        <v>2001</v>
      </c>
      <c r="D2208" s="52" t="s">
        <v>105</v>
      </c>
      <c r="E2208" s="54">
        <v>3</v>
      </c>
      <c r="F2208" s="55">
        <v>190.5</v>
      </c>
      <c r="G2208" s="55">
        <v>165.2</v>
      </c>
    </row>
    <row r="2209" spans="1:7" ht="10.050000000000001" customHeight="1">
      <c r="A2209" s="52" t="s">
        <v>421</v>
      </c>
      <c r="B2209" s="52" t="s">
        <v>310</v>
      </c>
      <c r="C2209" s="53">
        <v>2001</v>
      </c>
      <c r="D2209" s="52" t="s">
        <v>105</v>
      </c>
      <c r="E2209" s="54">
        <v>4</v>
      </c>
      <c r="F2209" s="55">
        <v>196.3</v>
      </c>
      <c r="G2209" s="55">
        <v>149.80000000000001</v>
      </c>
    </row>
    <row r="2210" spans="1:7" ht="10.050000000000001" customHeight="1">
      <c r="A2210" s="52" t="s">
        <v>421</v>
      </c>
      <c r="B2210" s="52" t="s">
        <v>310</v>
      </c>
      <c r="C2210" s="53">
        <v>2001</v>
      </c>
      <c r="D2210" s="52" t="s">
        <v>105</v>
      </c>
      <c r="E2210" s="54">
        <v>5</v>
      </c>
      <c r="F2210" s="55">
        <v>312.39999999999998</v>
      </c>
      <c r="G2210" s="55">
        <v>150.9</v>
      </c>
    </row>
    <row r="2211" spans="1:7" ht="10.050000000000001" customHeight="1">
      <c r="A2211" s="52" t="s">
        <v>421</v>
      </c>
      <c r="B2211" s="52" t="s">
        <v>310</v>
      </c>
      <c r="C2211" s="53">
        <v>2001</v>
      </c>
      <c r="D2211" s="52" t="s">
        <v>105</v>
      </c>
      <c r="E2211" s="54">
        <v>6</v>
      </c>
      <c r="F2211" s="55">
        <v>350.1</v>
      </c>
      <c r="G2211" s="55">
        <v>96.9</v>
      </c>
    </row>
    <row r="2212" spans="1:7" ht="10.050000000000001" customHeight="1">
      <c r="A2212" s="52" t="s">
        <v>421</v>
      </c>
      <c r="B2212" s="52" t="s">
        <v>310</v>
      </c>
      <c r="C2212" s="53">
        <v>2001</v>
      </c>
      <c r="D2212" s="52" t="s">
        <v>108</v>
      </c>
      <c r="E2212" s="54">
        <v>7</v>
      </c>
      <c r="F2212" s="55">
        <v>39.9</v>
      </c>
      <c r="G2212" s="55">
        <v>216.5</v>
      </c>
    </row>
    <row r="2213" spans="1:7" ht="10.050000000000001" customHeight="1">
      <c r="A2213" s="52" t="s">
        <v>421</v>
      </c>
      <c r="B2213" s="52" t="s">
        <v>310</v>
      </c>
      <c r="C2213" s="53">
        <v>2001</v>
      </c>
      <c r="D2213" s="52" t="s">
        <v>108</v>
      </c>
      <c r="E2213" s="54">
        <v>8</v>
      </c>
      <c r="F2213" s="55">
        <v>305.3</v>
      </c>
      <c r="G2213" s="55">
        <v>447.8</v>
      </c>
    </row>
    <row r="2214" spans="1:7" ht="10.050000000000001" customHeight="1">
      <c r="A2214" s="52" t="s">
        <v>421</v>
      </c>
      <c r="B2214" s="52" t="s">
        <v>310</v>
      </c>
      <c r="C2214" s="53">
        <v>2001</v>
      </c>
      <c r="D2214" s="52" t="s">
        <v>108</v>
      </c>
      <c r="E2214" s="54">
        <v>9</v>
      </c>
      <c r="F2214" s="55">
        <v>479.8</v>
      </c>
      <c r="G2214" s="55">
        <v>293.5</v>
      </c>
    </row>
    <row r="2215" spans="1:7" ht="10.050000000000001" customHeight="1">
      <c r="A2215" s="52" t="s">
        <v>421</v>
      </c>
      <c r="B2215" s="52" t="s">
        <v>310</v>
      </c>
      <c r="C2215" s="53">
        <v>2001</v>
      </c>
      <c r="D2215" s="52" t="s">
        <v>108</v>
      </c>
      <c r="E2215" s="54">
        <v>10</v>
      </c>
      <c r="F2215" s="55">
        <v>225.7</v>
      </c>
      <c r="G2215" s="55">
        <v>235.4</v>
      </c>
    </row>
    <row r="2216" spans="1:7" ht="10.050000000000001" customHeight="1">
      <c r="A2216" s="52" t="s">
        <v>421</v>
      </c>
      <c r="B2216" s="52" t="s">
        <v>310</v>
      </c>
      <c r="C2216" s="53">
        <v>2001</v>
      </c>
      <c r="D2216" s="52" t="s">
        <v>108</v>
      </c>
      <c r="E2216" s="54">
        <v>11</v>
      </c>
      <c r="F2216" s="55">
        <v>149</v>
      </c>
      <c r="G2216" s="55">
        <v>133.4</v>
      </c>
    </row>
    <row r="2217" spans="1:7" ht="10.050000000000001" customHeight="1">
      <c r="A2217" s="52" t="s">
        <v>421</v>
      </c>
      <c r="B2217" s="52" t="s">
        <v>310</v>
      </c>
      <c r="C2217" s="53">
        <v>2001</v>
      </c>
      <c r="D2217" s="52" t="s">
        <v>108</v>
      </c>
      <c r="E2217" s="54">
        <v>12</v>
      </c>
      <c r="F2217" s="55">
        <v>45.7</v>
      </c>
      <c r="G2217" s="55">
        <v>99</v>
      </c>
    </row>
    <row r="2218" spans="1:7" ht="10.050000000000001" customHeight="1">
      <c r="A2218" s="52" t="s">
        <v>421</v>
      </c>
      <c r="B2218" s="52" t="s">
        <v>310</v>
      </c>
      <c r="C2218" s="53">
        <v>2002</v>
      </c>
      <c r="D2218" s="52" t="s">
        <v>108</v>
      </c>
      <c r="E2218" s="54">
        <v>1</v>
      </c>
      <c r="F2218" s="55">
        <v>61.7</v>
      </c>
      <c r="G2218" s="55">
        <v>139.5</v>
      </c>
    </row>
    <row r="2219" spans="1:7" ht="10.050000000000001" customHeight="1">
      <c r="A2219" s="52" t="s">
        <v>421</v>
      </c>
      <c r="B2219" s="52" t="s">
        <v>310</v>
      </c>
      <c r="C2219" s="53">
        <v>2002</v>
      </c>
      <c r="D2219" s="52" t="s">
        <v>108</v>
      </c>
      <c r="E2219" s="54">
        <v>2</v>
      </c>
      <c r="F2219" s="55">
        <v>61.7</v>
      </c>
      <c r="G2219" s="55">
        <v>150.80000000000001</v>
      </c>
    </row>
    <row r="2220" spans="1:7" ht="10.050000000000001" customHeight="1">
      <c r="A2220" s="52" t="s">
        <v>421</v>
      </c>
      <c r="B2220" s="52" t="s">
        <v>310</v>
      </c>
      <c r="C2220" s="53">
        <v>2002</v>
      </c>
      <c r="D2220" s="52" t="s">
        <v>108</v>
      </c>
      <c r="E2220" s="54">
        <v>3</v>
      </c>
      <c r="F2220" s="55">
        <v>24.2</v>
      </c>
      <c r="G2220" s="55">
        <v>156.69999999999999</v>
      </c>
    </row>
    <row r="2221" spans="1:7" ht="10.050000000000001" customHeight="1">
      <c r="A2221" s="52" t="s">
        <v>421</v>
      </c>
      <c r="B2221" s="52" t="s">
        <v>310</v>
      </c>
      <c r="C2221" s="53">
        <v>2002</v>
      </c>
      <c r="D2221" s="52" t="s">
        <v>108</v>
      </c>
      <c r="E2221" s="54">
        <v>4</v>
      </c>
      <c r="F2221" s="55">
        <v>26.6</v>
      </c>
      <c r="G2221" s="55">
        <v>179.6</v>
      </c>
    </row>
    <row r="2222" spans="1:7" ht="10.050000000000001" customHeight="1">
      <c r="A2222" s="52" t="s">
        <v>421</v>
      </c>
      <c r="B2222" s="52" t="s">
        <v>310</v>
      </c>
      <c r="C2222" s="53">
        <v>2002</v>
      </c>
      <c r="D2222" s="52" t="s">
        <v>108</v>
      </c>
      <c r="E2222" s="54">
        <v>5</v>
      </c>
      <c r="F2222" s="55">
        <v>41.9</v>
      </c>
      <c r="G2222" s="55">
        <v>229.3</v>
      </c>
    </row>
    <row r="2223" spans="1:7" ht="10.050000000000001" customHeight="1">
      <c r="A2223" s="52" t="s">
        <v>421</v>
      </c>
      <c r="B2223" s="52" t="s">
        <v>310</v>
      </c>
      <c r="C2223" s="53">
        <v>2002</v>
      </c>
      <c r="D2223" s="52" t="s">
        <v>108</v>
      </c>
      <c r="E2223" s="54">
        <v>6</v>
      </c>
      <c r="F2223" s="55">
        <v>110.2</v>
      </c>
      <c r="G2223" s="55">
        <v>242.6</v>
      </c>
    </row>
    <row r="2224" spans="1:7" ht="10.050000000000001" customHeight="1">
      <c r="A2224" s="52" t="s">
        <v>421</v>
      </c>
      <c r="B2224" s="52" t="s">
        <v>310</v>
      </c>
      <c r="C2224" s="53">
        <v>2002</v>
      </c>
      <c r="D2224" s="52" t="s">
        <v>109</v>
      </c>
      <c r="E2224" s="54">
        <v>7</v>
      </c>
      <c r="F2224" s="55">
        <v>135.30000000000001</v>
      </c>
      <c r="G2224" s="55">
        <v>475.6</v>
      </c>
    </row>
    <row r="2225" spans="1:7" ht="10.050000000000001" customHeight="1">
      <c r="A2225" s="52" t="s">
        <v>421</v>
      </c>
      <c r="B2225" s="52" t="s">
        <v>310</v>
      </c>
      <c r="C2225" s="53">
        <v>2002</v>
      </c>
      <c r="D2225" s="52" t="s">
        <v>109</v>
      </c>
      <c r="E2225" s="54">
        <v>8</v>
      </c>
      <c r="F2225" s="55">
        <v>306.7</v>
      </c>
      <c r="G2225" s="55">
        <v>856.1</v>
      </c>
    </row>
    <row r="2226" spans="1:7" ht="10.050000000000001" customHeight="1">
      <c r="A2226" s="52" t="s">
        <v>421</v>
      </c>
      <c r="B2226" s="52" t="s">
        <v>310</v>
      </c>
      <c r="C2226" s="53">
        <v>2002</v>
      </c>
      <c r="D2226" s="52" t="s">
        <v>109</v>
      </c>
      <c r="E2226" s="54">
        <v>9</v>
      </c>
      <c r="F2226" s="55">
        <v>327.60000000000002</v>
      </c>
      <c r="G2226" s="55">
        <v>872.8</v>
      </c>
    </row>
    <row r="2227" spans="1:7" ht="10.050000000000001" customHeight="1">
      <c r="A2227" s="52" t="s">
        <v>421</v>
      </c>
      <c r="B2227" s="52" t="s">
        <v>310</v>
      </c>
      <c r="C2227" s="53">
        <v>2002</v>
      </c>
      <c r="D2227" s="52" t="s">
        <v>109</v>
      </c>
      <c r="E2227" s="54">
        <v>10</v>
      </c>
      <c r="F2227" s="55">
        <v>171.7</v>
      </c>
      <c r="G2227" s="55">
        <v>910.2</v>
      </c>
    </row>
    <row r="2228" spans="1:7" ht="10.050000000000001" customHeight="1">
      <c r="A2228" s="52" t="s">
        <v>421</v>
      </c>
      <c r="B2228" s="52" t="s">
        <v>310</v>
      </c>
      <c r="C2228" s="53">
        <v>2002</v>
      </c>
      <c r="D2228" s="52" t="s">
        <v>109</v>
      </c>
      <c r="E2228" s="54">
        <v>11</v>
      </c>
      <c r="F2228" s="55">
        <v>104</v>
      </c>
      <c r="G2228" s="55">
        <v>887.9</v>
      </c>
    </row>
    <row r="2229" spans="1:7" ht="10.050000000000001" customHeight="1">
      <c r="A2229" s="52" t="s">
        <v>421</v>
      </c>
      <c r="B2229" s="52" t="s">
        <v>310</v>
      </c>
      <c r="C2229" s="53">
        <v>2002</v>
      </c>
      <c r="D2229" s="52" t="s">
        <v>109</v>
      </c>
      <c r="E2229" s="54">
        <v>12</v>
      </c>
      <c r="F2229" s="55">
        <v>237.2</v>
      </c>
      <c r="G2229" s="55">
        <v>757.6</v>
      </c>
    </row>
    <row r="2230" spans="1:7" ht="10.050000000000001" customHeight="1">
      <c r="A2230" s="52" t="s">
        <v>421</v>
      </c>
      <c r="B2230" s="52" t="s">
        <v>310</v>
      </c>
      <c r="C2230" s="53">
        <v>2003</v>
      </c>
      <c r="D2230" s="52" t="s">
        <v>109</v>
      </c>
      <c r="E2230" s="54">
        <v>1</v>
      </c>
      <c r="F2230" s="55">
        <v>156.4</v>
      </c>
      <c r="G2230" s="55">
        <v>410.1</v>
      </c>
    </row>
    <row r="2231" spans="1:7" ht="10.050000000000001" customHeight="1">
      <c r="A2231" s="52" t="s">
        <v>421</v>
      </c>
      <c r="B2231" s="52" t="s">
        <v>310</v>
      </c>
      <c r="C2231" s="53">
        <v>2003</v>
      </c>
      <c r="D2231" s="52" t="s">
        <v>109</v>
      </c>
      <c r="E2231" s="54">
        <v>2</v>
      </c>
      <c r="F2231" s="55">
        <v>89.5</v>
      </c>
      <c r="G2231" s="55">
        <v>363.4</v>
      </c>
    </row>
    <row r="2232" spans="1:7" ht="10.050000000000001" customHeight="1">
      <c r="A2232" s="52" t="s">
        <v>421</v>
      </c>
      <c r="B2232" s="52" t="s">
        <v>310</v>
      </c>
      <c r="C2232" s="53">
        <v>2003</v>
      </c>
      <c r="D2232" s="52" t="s">
        <v>109</v>
      </c>
      <c r="E2232" s="54">
        <v>3</v>
      </c>
      <c r="F2232" s="55">
        <v>118.8</v>
      </c>
      <c r="G2232" s="55">
        <v>273.89999999999998</v>
      </c>
    </row>
    <row r="2233" spans="1:7" ht="10.050000000000001" customHeight="1">
      <c r="A2233" s="52" t="s">
        <v>421</v>
      </c>
      <c r="B2233" s="52" t="s">
        <v>310</v>
      </c>
      <c r="C2233" s="53">
        <v>2003</v>
      </c>
      <c r="D2233" s="52" t="s">
        <v>109</v>
      </c>
      <c r="E2233" s="54">
        <v>4</v>
      </c>
      <c r="F2233" s="55">
        <v>152</v>
      </c>
      <c r="G2233" s="55">
        <v>254.3</v>
      </c>
    </row>
    <row r="2234" spans="1:7" ht="10.050000000000001" customHeight="1">
      <c r="A2234" s="52" t="s">
        <v>421</v>
      </c>
      <c r="B2234" s="52" t="s">
        <v>310</v>
      </c>
      <c r="C2234" s="53">
        <v>2003</v>
      </c>
      <c r="D2234" s="52" t="s">
        <v>109</v>
      </c>
      <c r="E2234" s="54">
        <v>5</v>
      </c>
      <c r="F2234" s="55">
        <v>281.7</v>
      </c>
      <c r="G2234" s="55">
        <v>214.3</v>
      </c>
    </row>
    <row r="2235" spans="1:7" ht="10.050000000000001" customHeight="1">
      <c r="A2235" s="52" t="s">
        <v>421</v>
      </c>
      <c r="B2235" s="52" t="s">
        <v>310</v>
      </c>
      <c r="C2235" s="53">
        <v>2003</v>
      </c>
      <c r="D2235" s="52" t="s">
        <v>109</v>
      </c>
      <c r="E2235" s="54">
        <v>6</v>
      </c>
      <c r="F2235" s="55">
        <v>286.60000000000002</v>
      </c>
      <c r="G2235" s="55">
        <v>251.7</v>
      </c>
    </row>
    <row r="2236" spans="1:7" ht="10.050000000000001" customHeight="1">
      <c r="A2236" s="52" t="s">
        <v>421</v>
      </c>
      <c r="B2236" s="52" t="s">
        <v>310</v>
      </c>
      <c r="C2236" s="53">
        <v>2003</v>
      </c>
      <c r="D2236" s="52" t="s">
        <v>106</v>
      </c>
      <c r="E2236" s="54">
        <v>7</v>
      </c>
      <c r="F2236" s="55">
        <v>212.3</v>
      </c>
      <c r="G2236" s="55">
        <v>512.6</v>
      </c>
    </row>
    <row r="2237" spans="1:7" ht="10.050000000000001" customHeight="1">
      <c r="A2237" s="52" t="s">
        <v>421</v>
      </c>
      <c r="B2237" s="52" t="s">
        <v>310</v>
      </c>
      <c r="C2237" s="53">
        <v>2003</v>
      </c>
      <c r="D2237" s="52" t="s">
        <v>106</v>
      </c>
      <c r="E2237" s="54">
        <v>8</v>
      </c>
      <c r="F2237" s="55">
        <v>191.3</v>
      </c>
      <c r="G2237" s="55">
        <v>525.6</v>
      </c>
    </row>
    <row r="2238" spans="1:7" ht="10.050000000000001" customHeight="1">
      <c r="A2238" s="52" t="s">
        <v>421</v>
      </c>
      <c r="B2238" s="52" t="s">
        <v>310</v>
      </c>
      <c r="C2238" s="53">
        <v>2003</v>
      </c>
      <c r="D2238" s="52" t="s">
        <v>106</v>
      </c>
      <c r="E2238" s="54">
        <v>9</v>
      </c>
      <c r="F2238" s="55">
        <v>138</v>
      </c>
      <c r="G2238" s="55">
        <v>298.3</v>
      </c>
    </row>
    <row r="2239" spans="1:7" ht="10.050000000000001" customHeight="1">
      <c r="A2239" s="52" t="s">
        <v>421</v>
      </c>
      <c r="B2239" s="52" t="s">
        <v>310</v>
      </c>
      <c r="C2239" s="53">
        <v>2003</v>
      </c>
      <c r="D2239" s="52" t="s">
        <v>106</v>
      </c>
      <c r="E2239" s="54">
        <v>10</v>
      </c>
      <c r="F2239" s="55">
        <v>493.3</v>
      </c>
      <c r="G2239" s="55">
        <v>313.2</v>
      </c>
    </row>
    <row r="2240" spans="1:7" ht="10.050000000000001" customHeight="1">
      <c r="A2240" s="52" t="s">
        <v>421</v>
      </c>
      <c r="B2240" s="52" t="s">
        <v>310</v>
      </c>
      <c r="C2240" s="53">
        <v>2003</v>
      </c>
      <c r="D2240" s="52" t="s">
        <v>106</v>
      </c>
      <c r="E2240" s="54">
        <v>11</v>
      </c>
      <c r="F2240" s="55">
        <v>302.5</v>
      </c>
      <c r="G2240" s="55">
        <v>295.39999999999998</v>
      </c>
    </row>
    <row r="2241" spans="1:7" ht="10.050000000000001" customHeight="1">
      <c r="A2241" s="52" t="s">
        <v>421</v>
      </c>
      <c r="B2241" s="52" t="s">
        <v>310</v>
      </c>
      <c r="C2241" s="53">
        <v>2003</v>
      </c>
      <c r="D2241" s="52" t="s">
        <v>106</v>
      </c>
      <c r="E2241" s="54">
        <v>12</v>
      </c>
      <c r="F2241" s="55">
        <v>8325.2000000000007</v>
      </c>
      <c r="G2241" s="55">
        <v>4012.5</v>
      </c>
    </row>
    <row r="2242" spans="1:7" ht="10.050000000000001" customHeight="1">
      <c r="A2242" s="52" t="s">
        <v>421</v>
      </c>
      <c r="B2242" s="52" t="s">
        <v>310</v>
      </c>
      <c r="C2242" s="53">
        <v>2004</v>
      </c>
      <c r="D2242" s="52" t="s">
        <v>106</v>
      </c>
      <c r="E2242" s="54">
        <v>1</v>
      </c>
      <c r="F2242" s="55">
        <v>12473.5</v>
      </c>
      <c r="G2242" s="55">
        <v>10575.6</v>
      </c>
    </row>
    <row r="2243" spans="1:7" ht="10.050000000000001" customHeight="1">
      <c r="A2243" s="52" t="s">
        <v>421</v>
      </c>
      <c r="B2243" s="52" t="s">
        <v>310</v>
      </c>
      <c r="C2243" s="53">
        <v>2004</v>
      </c>
      <c r="D2243" s="52" t="s">
        <v>106</v>
      </c>
      <c r="E2243" s="54">
        <v>2</v>
      </c>
      <c r="F2243" s="55">
        <v>11166.4</v>
      </c>
      <c r="G2243" s="55">
        <v>4669.8</v>
      </c>
    </row>
    <row r="2244" spans="1:7" ht="10.050000000000001" customHeight="1">
      <c r="A2244" s="52" t="s">
        <v>421</v>
      </c>
      <c r="B2244" s="52" t="s">
        <v>310</v>
      </c>
      <c r="C2244" s="53">
        <v>2004</v>
      </c>
      <c r="D2244" s="52" t="s">
        <v>106</v>
      </c>
      <c r="E2244" s="54">
        <v>3</v>
      </c>
      <c r="F2244" s="55">
        <v>6505.1</v>
      </c>
      <c r="G2244" s="55">
        <v>5488.3</v>
      </c>
    </row>
    <row r="2245" spans="1:7" ht="10.050000000000001" customHeight="1">
      <c r="A2245" s="52" t="s">
        <v>421</v>
      </c>
      <c r="B2245" s="52" t="s">
        <v>310</v>
      </c>
      <c r="C2245" s="53">
        <v>2004</v>
      </c>
      <c r="D2245" s="52" t="s">
        <v>106</v>
      </c>
      <c r="E2245" s="54">
        <v>4</v>
      </c>
      <c r="F2245" s="55">
        <v>7078.8</v>
      </c>
      <c r="G2245" s="55">
        <v>223.5</v>
      </c>
    </row>
    <row r="2246" spans="1:7" ht="10.050000000000001" customHeight="1">
      <c r="A2246" s="52" t="s">
        <v>421</v>
      </c>
      <c r="B2246" s="52" t="s">
        <v>310</v>
      </c>
      <c r="C2246" s="53">
        <v>2004</v>
      </c>
      <c r="D2246" s="52" t="s">
        <v>106</v>
      </c>
      <c r="E2246" s="54">
        <v>5</v>
      </c>
      <c r="F2246" s="55">
        <v>342.5</v>
      </c>
      <c r="G2246" s="55">
        <v>165.4</v>
      </c>
    </row>
    <row r="2247" spans="1:7" ht="10.050000000000001" customHeight="1">
      <c r="A2247" s="52" t="s">
        <v>421</v>
      </c>
      <c r="B2247" s="52" t="s">
        <v>310</v>
      </c>
      <c r="C2247" s="53">
        <v>2004</v>
      </c>
      <c r="D2247" s="52" t="s">
        <v>106</v>
      </c>
      <c r="E2247" s="54">
        <v>6</v>
      </c>
      <c r="F2247" s="55">
        <v>600</v>
      </c>
      <c r="G2247" s="55">
        <v>104.7</v>
      </c>
    </row>
    <row r="2248" spans="1:7" ht="10.050000000000001" customHeight="1">
      <c r="A2248" s="52" t="s">
        <v>421</v>
      </c>
      <c r="B2248" s="52" t="s">
        <v>310</v>
      </c>
      <c r="C2248" s="53">
        <v>2004</v>
      </c>
      <c r="D2248" s="52" t="s">
        <v>110</v>
      </c>
      <c r="E2248" s="54">
        <v>7</v>
      </c>
      <c r="F2248" s="55">
        <v>147.6</v>
      </c>
      <c r="G2248" s="55">
        <v>249.9</v>
      </c>
    </row>
    <row r="2249" spans="1:7" ht="10.050000000000001" customHeight="1">
      <c r="A2249" s="52" t="s">
        <v>421</v>
      </c>
      <c r="B2249" s="52" t="s">
        <v>310</v>
      </c>
      <c r="C2249" s="53">
        <v>2004</v>
      </c>
      <c r="D2249" s="52" t="s">
        <v>110</v>
      </c>
      <c r="E2249" s="54">
        <v>8</v>
      </c>
      <c r="F2249" s="55">
        <v>552.1</v>
      </c>
      <c r="G2249" s="55">
        <v>660.6</v>
      </c>
    </row>
    <row r="2250" spans="1:7" ht="10.050000000000001" customHeight="1">
      <c r="A2250" s="52" t="s">
        <v>421</v>
      </c>
      <c r="B2250" s="52" t="s">
        <v>310</v>
      </c>
      <c r="C2250" s="53">
        <v>2004</v>
      </c>
      <c r="D2250" s="52" t="s">
        <v>110</v>
      </c>
      <c r="E2250" s="54">
        <v>9</v>
      </c>
      <c r="F2250" s="55">
        <v>361</v>
      </c>
      <c r="G2250" s="55">
        <v>633.70000000000005</v>
      </c>
    </row>
    <row r="2251" spans="1:7" ht="10.050000000000001" customHeight="1">
      <c r="A2251" s="52" t="s">
        <v>421</v>
      </c>
      <c r="B2251" s="52" t="s">
        <v>310</v>
      </c>
      <c r="C2251" s="53">
        <v>2004</v>
      </c>
      <c r="D2251" s="52" t="s">
        <v>110</v>
      </c>
      <c r="E2251" s="54">
        <v>10</v>
      </c>
      <c r="F2251" s="55">
        <v>455</v>
      </c>
      <c r="G2251" s="55">
        <v>734.9</v>
      </c>
    </row>
    <row r="2252" spans="1:7" ht="10.050000000000001" customHeight="1">
      <c r="A2252" s="52" t="s">
        <v>421</v>
      </c>
      <c r="B2252" s="52" t="s">
        <v>310</v>
      </c>
      <c r="C2252" s="53">
        <v>2004</v>
      </c>
      <c r="D2252" s="52" t="s">
        <v>110</v>
      </c>
      <c r="E2252" s="54">
        <v>11</v>
      </c>
      <c r="F2252" s="55">
        <v>301.10000000000002</v>
      </c>
      <c r="G2252" s="55">
        <v>852.9</v>
      </c>
    </row>
    <row r="2253" spans="1:7" ht="10.050000000000001" customHeight="1">
      <c r="A2253" s="52" t="s">
        <v>421</v>
      </c>
      <c r="B2253" s="52" t="s">
        <v>310</v>
      </c>
      <c r="C2253" s="53">
        <v>2004</v>
      </c>
      <c r="D2253" s="52" t="s">
        <v>110</v>
      </c>
      <c r="E2253" s="54">
        <v>12</v>
      </c>
      <c r="F2253" s="55">
        <v>198.5</v>
      </c>
      <c r="G2253" s="55">
        <v>931</v>
      </c>
    </row>
    <row r="2254" spans="1:7" ht="10.050000000000001" customHeight="1">
      <c r="A2254" s="52" t="s">
        <v>421</v>
      </c>
      <c r="B2254" s="52" t="s">
        <v>310</v>
      </c>
      <c r="C2254" s="53">
        <v>2005</v>
      </c>
      <c r="D2254" s="52" t="s">
        <v>110</v>
      </c>
      <c r="E2254" s="54">
        <v>1</v>
      </c>
      <c r="F2254" s="55">
        <v>265.60000000000002</v>
      </c>
      <c r="G2254" s="55">
        <v>1144.5</v>
      </c>
    </row>
    <row r="2255" spans="1:7" ht="10.050000000000001" customHeight="1">
      <c r="A2255" s="52" t="s">
        <v>421</v>
      </c>
      <c r="B2255" s="52" t="s">
        <v>310</v>
      </c>
      <c r="C2255" s="53">
        <v>2005</v>
      </c>
      <c r="D2255" s="52" t="s">
        <v>110</v>
      </c>
      <c r="E2255" s="54">
        <v>2</v>
      </c>
      <c r="F2255" s="55">
        <v>424.2</v>
      </c>
      <c r="G2255" s="55">
        <v>1022.4</v>
      </c>
    </row>
    <row r="2256" spans="1:7" ht="10.050000000000001" customHeight="1">
      <c r="A2256" s="52" t="s">
        <v>421</v>
      </c>
      <c r="B2256" s="52" t="s">
        <v>310</v>
      </c>
      <c r="C2256" s="53">
        <v>2005</v>
      </c>
      <c r="D2256" s="52" t="s">
        <v>110</v>
      </c>
      <c r="E2256" s="54">
        <v>3</v>
      </c>
      <c r="F2256" s="55">
        <v>771.7</v>
      </c>
      <c r="G2256" s="55">
        <v>1420.5</v>
      </c>
    </row>
    <row r="2257" spans="1:7" ht="10.050000000000001" customHeight="1">
      <c r="A2257" s="52" t="s">
        <v>421</v>
      </c>
      <c r="B2257" s="52" t="s">
        <v>310</v>
      </c>
      <c r="C2257" s="53">
        <v>2005</v>
      </c>
      <c r="D2257" s="52" t="s">
        <v>110</v>
      </c>
      <c r="E2257" s="54">
        <v>4</v>
      </c>
      <c r="F2257" s="55">
        <v>1027.5</v>
      </c>
      <c r="G2257" s="55">
        <v>1073</v>
      </c>
    </row>
    <row r="2258" spans="1:7" ht="10.050000000000001" customHeight="1">
      <c r="A2258" s="52" t="s">
        <v>421</v>
      </c>
      <c r="B2258" s="52" t="s">
        <v>310</v>
      </c>
      <c r="C2258" s="53">
        <v>2005</v>
      </c>
      <c r="D2258" s="52" t="s">
        <v>110</v>
      </c>
      <c r="E2258" s="54">
        <v>5</v>
      </c>
      <c r="F2258" s="55">
        <v>1271.5999999999999</v>
      </c>
      <c r="G2258" s="55">
        <v>927.7</v>
      </c>
    </row>
    <row r="2259" spans="1:7" ht="10.050000000000001" customHeight="1">
      <c r="A2259" s="52" t="s">
        <v>421</v>
      </c>
      <c r="B2259" s="52" t="s">
        <v>310</v>
      </c>
      <c r="C2259" s="53">
        <v>2005</v>
      </c>
      <c r="D2259" s="52" t="s">
        <v>110</v>
      </c>
      <c r="E2259" s="54">
        <v>6</v>
      </c>
      <c r="F2259" s="55">
        <v>1012.1</v>
      </c>
      <c r="G2259" s="55">
        <v>1236.8</v>
      </c>
    </row>
    <row r="2260" spans="1:7" ht="10.050000000000001" customHeight="1">
      <c r="A2260" s="52" t="s">
        <v>421</v>
      </c>
      <c r="B2260" s="52" t="s">
        <v>310</v>
      </c>
      <c r="C2260" s="53">
        <v>2005</v>
      </c>
      <c r="D2260" s="52" t="s">
        <v>111</v>
      </c>
      <c r="E2260" s="54">
        <v>7</v>
      </c>
      <c r="F2260" s="55">
        <v>638.6</v>
      </c>
      <c r="G2260" s="55">
        <v>1326</v>
      </c>
    </row>
    <row r="2261" spans="1:7" ht="10.050000000000001" customHeight="1">
      <c r="A2261" s="52" t="s">
        <v>421</v>
      </c>
      <c r="B2261" s="52" t="s">
        <v>310</v>
      </c>
      <c r="C2261" s="53">
        <v>2005</v>
      </c>
      <c r="D2261" s="52" t="s">
        <v>111</v>
      </c>
      <c r="E2261" s="54">
        <v>8</v>
      </c>
      <c r="F2261" s="55">
        <v>282.5</v>
      </c>
      <c r="G2261" s="55">
        <v>1361.7</v>
      </c>
    </row>
    <row r="2262" spans="1:7" ht="10.050000000000001" customHeight="1">
      <c r="A2262" s="52" t="s">
        <v>421</v>
      </c>
      <c r="B2262" s="52" t="s">
        <v>310</v>
      </c>
      <c r="C2262" s="53">
        <v>2005</v>
      </c>
      <c r="D2262" s="52" t="s">
        <v>111</v>
      </c>
      <c r="E2262" s="54">
        <v>9</v>
      </c>
      <c r="F2262" s="55">
        <v>347.7</v>
      </c>
      <c r="G2262" s="55">
        <v>1563.9</v>
      </c>
    </row>
    <row r="2263" spans="1:7" ht="10.050000000000001" customHeight="1">
      <c r="A2263" s="52" t="s">
        <v>421</v>
      </c>
      <c r="B2263" s="52" t="s">
        <v>310</v>
      </c>
      <c r="C2263" s="53">
        <v>2005</v>
      </c>
      <c r="D2263" s="52" t="s">
        <v>111</v>
      </c>
      <c r="E2263" s="54">
        <v>10</v>
      </c>
      <c r="F2263" s="55">
        <v>2333</v>
      </c>
      <c r="G2263" s="55">
        <v>3407.3</v>
      </c>
    </row>
    <row r="2264" spans="1:7" ht="10.050000000000001" customHeight="1">
      <c r="A2264" s="52" t="s">
        <v>421</v>
      </c>
      <c r="B2264" s="52" t="s">
        <v>310</v>
      </c>
      <c r="C2264" s="53">
        <v>2005</v>
      </c>
      <c r="D2264" s="52" t="s">
        <v>111</v>
      </c>
      <c r="E2264" s="54">
        <v>11</v>
      </c>
      <c r="F2264" s="55">
        <v>3311.5</v>
      </c>
      <c r="G2264" s="55">
        <v>4450.1000000000004</v>
      </c>
    </row>
    <row r="2265" spans="1:7" ht="10.050000000000001" customHeight="1">
      <c r="A2265" s="52" t="s">
        <v>421</v>
      </c>
      <c r="B2265" s="52" t="s">
        <v>310</v>
      </c>
      <c r="C2265" s="53">
        <v>2005</v>
      </c>
      <c r="D2265" s="52" t="s">
        <v>111</v>
      </c>
      <c r="E2265" s="54">
        <v>12</v>
      </c>
      <c r="F2265" s="55">
        <v>3205.1</v>
      </c>
      <c r="G2265" s="55">
        <v>2989.8</v>
      </c>
    </row>
    <row r="2266" spans="1:7" ht="10.050000000000001" customHeight="1">
      <c r="A2266" s="52" t="s">
        <v>421</v>
      </c>
      <c r="B2266" s="52" t="s">
        <v>310</v>
      </c>
      <c r="C2266" s="53">
        <v>2006</v>
      </c>
      <c r="D2266" s="52" t="s">
        <v>111</v>
      </c>
      <c r="E2266" s="54">
        <v>1</v>
      </c>
      <c r="F2266" s="55">
        <v>2271.8000000000002</v>
      </c>
      <c r="G2266" s="55">
        <v>1135</v>
      </c>
    </row>
    <row r="2267" spans="1:7" ht="10.050000000000001" customHeight="1">
      <c r="A2267" s="52" t="s">
        <v>421</v>
      </c>
      <c r="B2267" s="52" t="s">
        <v>310</v>
      </c>
      <c r="C2267" s="53">
        <v>2006</v>
      </c>
      <c r="D2267" s="52" t="s">
        <v>111</v>
      </c>
      <c r="E2267" s="54">
        <v>2</v>
      </c>
      <c r="F2267" s="55">
        <v>347.4</v>
      </c>
      <c r="G2267" s="55">
        <v>1108.8</v>
      </c>
    </row>
    <row r="2268" spans="1:7" ht="10.050000000000001" customHeight="1">
      <c r="A2268" s="52" t="s">
        <v>421</v>
      </c>
      <c r="B2268" s="52" t="s">
        <v>310</v>
      </c>
      <c r="C2268" s="53">
        <v>2006</v>
      </c>
      <c r="D2268" s="52" t="s">
        <v>111</v>
      </c>
      <c r="E2268" s="54">
        <v>3</v>
      </c>
      <c r="F2268" s="55">
        <v>477.4</v>
      </c>
      <c r="G2268" s="55">
        <v>981.5</v>
      </c>
    </row>
    <row r="2269" spans="1:7" ht="10.050000000000001" customHeight="1">
      <c r="A2269" s="52" t="s">
        <v>421</v>
      </c>
      <c r="B2269" s="52" t="s">
        <v>310</v>
      </c>
      <c r="C2269" s="53">
        <v>2006</v>
      </c>
      <c r="D2269" s="52" t="s">
        <v>111</v>
      </c>
      <c r="E2269" s="54">
        <v>4</v>
      </c>
      <c r="F2269" s="55">
        <v>404.2</v>
      </c>
      <c r="G2269" s="55">
        <v>931</v>
      </c>
    </row>
    <row r="2270" spans="1:7" ht="10.050000000000001" customHeight="1">
      <c r="A2270" s="52" t="s">
        <v>421</v>
      </c>
      <c r="B2270" s="52" t="s">
        <v>310</v>
      </c>
      <c r="C2270" s="53">
        <v>2006</v>
      </c>
      <c r="D2270" s="52" t="s">
        <v>111</v>
      </c>
      <c r="E2270" s="54">
        <v>5</v>
      </c>
      <c r="F2270" s="55">
        <v>1402.8</v>
      </c>
      <c r="G2270" s="55">
        <v>2460.1999999999998</v>
      </c>
    </row>
    <row r="2271" spans="1:7" ht="10.050000000000001" customHeight="1">
      <c r="A2271" s="52" t="s">
        <v>421</v>
      </c>
      <c r="B2271" s="52" t="s">
        <v>310</v>
      </c>
      <c r="C2271" s="53">
        <v>2006</v>
      </c>
      <c r="D2271" s="52" t="s">
        <v>111</v>
      </c>
      <c r="E2271" s="54">
        <v>6</v>
      </c>
      <c r="F2271" s="55">
        <v>4256</v>
      </c>
      <c r="G2271" s="55">
        <v>2048.1999999999998</v>
      </c>
    </row>
    <row r="2272" spans="1:7" ht="10.050000000000001" customHeight="1">
      <c r="A2272" s="52" t="s">
        <v>421</v>
      </c>
      <c r="B2272" s="52" t="s">
        <v>310</v>
      </c>
      <c r="C2272" s="53">
        <v>2006</v>
      </c>
      <c r="D2272" s="52" t="s">
        <v>112</v>
      </c>
      <c r="E2272" s="54">
        <v>7</v>
      </c>
      <c r="F2272" s="55">
        <v>3051.1</v>
      </c>
      <c r="G2272" s="55">
        <v>656.1</v>
      </c>
    </row>
    <row r="2273" spans="1:7" ht="10.050000000000001" customHeight="1">
      <c r="A2273" s="52" t="s">
        <v>421</v>
      </c>
      <c r="B2273" s="52" t="s">
        <v>310</v>
      </c>
      <c r="C2273" s="53">
        <v>2006</v>
      </c>
      <c r="D2273" s="52" t="s">
        <v>112</v>
      </c>
      <c r="E2273" s="54">
        <v>8</v>
      </c>
      <c r="F2273" s="55">
        <v>279.60000000000002</v>
      </c>
      <c r="G2273" s="55">
        <v>685.1</v>
      </c>
    </row>
    <row r="2274" spans="1:7" ht="10.050000000000001" customHeight="1">
      <c r="A2274" s="52" t="s">
        <v>421</v>
      </c>
      <c r="B2274" s="52" t="s">
        <v>310</v>
      </c>
      <c r="C2274" s="53">
        <v>2006</v>
      </c>
      <c r="D2274" s="52" t="s">
        <v>112</v>
      </c>
      <c r="E2274" s="54">
        <v>9</v>
      </c>
      <c r="F2274" s="55">
        <v>342</v>
      </c>
      <c r="G2274" s="55">
        <v>796.2</v>
      </c>
    </row>
    <row r="2275" spans="1:7" ht="10.050000000000001" customHeight="1">
      <c r="A2275" s="52" t="s">
        <v>421</v>
      </c>
      <c r="B2275" s="52" t="s">
        <v>310</v>
      </c>
      <c r="C2275" s="53">
        <v>2006</v>
      </c>
      <c r="D2275" s="52" t="s">
        <v>112</v>
      </c>
      <c r="E2275" s="54">
        <v>10</v>
      </c>
      <c r="F2275" s="55">
        <v>327.3</v>
      </c>
      <c r="G2275" s="55">
        <v>731.5</v>
      </c>
    </row>
    <row r="2276" spans="1:7" ht="10.050000000000001" customHeight="1">
      <c r="A2276" s="52" t="s">
        <v>421</v>
      </c>
      <c r="B2276" s="52" t="s">
        <v>310</v>
      </c>
      <c r="C2276" s="53">
        <v>2006</v>
      </c>
      <c r="D2276" s="52" t="s">
        <v>112</v>
      </c>
      <c r="E2276" s="54">
        <v>11</v>
      </c>
      <c r="F2276" s="55">
        <v>313.3</v>
      </c>
      <c r="G2276" s="55">
        <v>751.9</v>
      </c>
    </row>
    <row r="2277" spans="1:7" ht="10.050000000000001" customHeight="1">
      <c r="A2277" s="52" t="s">
        <v>421</v>
      </c>
      <c r="B2277" s="52" t="s">
        <v>310</v>
      </c>
      <c r="C2277" s="53">
        <v>2006</v>
      </c>
      <c r="D2277" s="52" t="s">
        <v>112</v>
      </c>
      <c r="E2277" s="54">
        <v>12</v>
      </c>
      <c r="F2277" s="55">
        <v>348.4</v>
      </c>
      <c r="G2277" s="55">
        <v>727.8</v>
      </c>
    </row>
    <row r="2278" spans="1:7" ht="10.050000000000001" customHeight="1">
      <c r="A2278" s="52" t="s">
        <v>421</v>
      </c>
      <c r="B2278" s="52" t="s">
        <v>310</v>
      </c>
      <c r="C2278" s="53">
        <v>2007</v>
      </c>
      <c r="D2278" s="52" t="s">
        <v>112</v>
      </c>
      <c r="E2278" s="54">
        <v>1</v>
      </c>
      <c r="F2278" s="55">
        <v>444.2</v>
      </c>
      <c r="G2278" s="55">
        <v>3015.9</v>
      </c>
    </row>
    <row r="2279" spans="1:7" ht="10.050000000000001" customHeight="1">
      <c r="A2279" s="52" t="s">
        <v>421</v>
      </c>
      <c r="B2279" s="52" t="s">
        <v>310</v>
      </c>
      <c r="C2279" s="53">
        <v>2007</v>
      </c>
      <c r="D2279" s="52" t="s">
        <v>112</v>
      </c>
      <c r="E2279" s="54">
        <v>2</v>
      </c>
      <c r="F2279" s="55">
        <v>1003.4</v>
      </c>
      <c r="G2279" s="55">
        <v>2209</v>
      </c>
    </row>
    <row r="2280" spans="1:7" ht="10.050000000000001" customHeight="1">
      <c r="A2280" s="52" t="s">
        <v>421</v>
      </c>
      <c r="B2280" s="52" t="s">
        <v>310</v>
      </c>
      <c r="C2280" s="53">
        <v>2007</v>
      </c>
      <c r="D2280" s="52" t="s">
        <v>112</v>
      </c>
      <c r="E2280" s="54">
        <v>3</v>
      </c>
      <c r="F2280" s="55">
        <v>2355.6</v>
      </c>
      <c r="G2280" s="55">
        <v>1531.1</v>
      </c>
    </row>
    <row r="2281" spans="1:7" ht="10.050000000000001" customHeight="1">
      <c r="A2281" s="52" t="s">
        <v>421</v>
      </c>
      <c r="B2281" s="52" t="s">
        <v>310</v>
      </c>
      <c r="C2281" s="53">
        <v>2007</v>
      </c>
      <c r="D2281" s="52" t="s">
        <v>112</v>
      </c>
      <c r="E2281" s="54">
        <v>4</v>
      </c>
      <c r="F2281" s="55">
        <v>1246.7</v>
      </c>
      <c r="G2281" s="55">
        <v>524.6</v>
      </c>
    </row>
    <row r="2282" spans="1:7" ht="10.050000000000001" customHeight="1">
      <c r="A2282" s="52" t="s">
        <v>421</v>
      </c>
      <c r="B2282" s="52" t="s">
        <v>310</v>
      </c>
      <c r="C2282" s="53">
        <v>2007</v>
      </c>
      <c r="D2282" s="52" t="s">
        <v>112</v>
      </c>
      <c r="E2282" s="54">
        <v>5</v>
      </c>
      <c r="F2282" s="55">
        <v>830.5</v>
      </c>
      <c r="G2282" s="55">
        <v>126.5</v>
      </c>
    </row>
    <row r="2283" spans="1:7" ht="10.050000000000001" customHeight="1">
      <c r="A2283" s="52" t="s">
        <v>421</v>
      </c>
      <c r="B2283" s="52" t="s">
        <v>310</v>
      </c>
      <c r="C2283" s="53">
        <v>2007</v>
      </c>
      <c r="D2283" s="52" t="s">
        <v>112</v>
      </c>
      <c r="E2283" s="54">
        <v>6</v>
      </c>
      <c r="F2283" s="55">
        <v>723.4</v>
      </c>
      <c r="G2283" s="55">
        <v>187.6</v>
      </c>
    </row>
    <row r="2284" spans="1:7" ht="10.050000000000001" customHeight="1">
      <c r="A2284" s="52" t="s">
        <v>421</v>
      </c>
      <c r="B2284" s="52" t="s">
        <v>310</v>
      </c>
      <c r="C2284" s="53">
        <v>2007</v>
      </c>
      <c r="D2284" s="52" t="s">
        <v>113</v>
      </c>
      <c r="E2284" s="54">
        <v>7</v>
      </c>
      <c r="F2284" s="55">
        <v>345.7</v>
      </c>
      <c r="G2284" s="55">
        <v>268.39999999999998</v>
      </c>
    </row>
    <row r="2285" spans="1:7" ht="10.050000000000001" customHeight="1">
      <c r="A2285" s="52" t="s">
        <v>421</v>
      </c>
      <c r="B2285" s="52" t="s">
        <v>310</v>
      </c>
      <c r="C2285" s="53">
        <v>2007</v>
      </c>
      <c r="D2285" s="52" t="s">
        <v>113</v>
      </c>
      <c r="E2285" s="54">
        <v>8</v>
      </c>
      <c r="F2285" s="55">
        <v>341</v>
      </c>
      <c r="G2285" s="55">
        <v>1159.0999999999999</v>
      </c>
    </row>
    <row r="2286" spans="1:7" ht="10.050000000000001" customHeight="1">
      <c r="A2286" s="52" t="s">
        <v>421</v>
      </c>
      <c r="B2286" s="52" t="s">
        <v>310</v>
      </c>
      <c r="C2286" s="53">
        <v>2007</v>
      </c>
      <c r="D2286" s="52" t="s">
        <v>113</v>
      </c>
      <c r="E2286" s="54">
        <v>9</v>
      </c>
      <c r="F2286" s="55">
        <v>171.5</v>
      </c>
      <c r="G2286" s="55">
        <v>1350.6</v>
      </c>
    </row>
    <row r="2287" spans="1:7" ht="10.050000000000001" customHeight="1">
      <c r="A2287" s="52" t="s">
        <v>421</v>
      </c>
      <c r="B2287" s="52" t="s">
        <v>310</v>
      </c>
      <c r="C2287" s="53">
        <v>2007</v>
      </c>
      <c r="D2287" s="52" t="s">
        <v>113</v>
      </c>
      <c r="E2287" s="54">
        <v>10</v>
      </c>
      <c r="F2287" s="55">
        <v>208.4</v>
      </c>
      <c r="G2287" s="55">
        <v>1502.2</v>
      </c>
    </row>
    <row r="2288" spans="1:7" ht="10.050000000000001" customHeight="1">
      <c r="A2288" s="52" t="s">
        <v>421</v>
      </c>
      <c r="B2288" s="52" t="s">
        <v>310</v>
      </c>
      <c r="C2288" s="53">
        <v>2007</v>
      </c>
      <c r="D2288" s="52" t="s">
        <v>113</v>
      </c>
      <c r="E2288" s="54">
        <v>11</v>
      </c>
      <c r="F2288" s="55">
        <v>340.6</v>
      </c>
      <c r="G2288" s="55">
        <v>1588</v>
      </c>
    </row>
    <row r="2289" spans="1:7" ht="10.050000000000001" customHeight="1">
      <c r="A2289" s="52" t="s">
        <v>421</v>
      </c>
      <c r="B2289" s="52" t="s">
        <v>310</v>
      </c>
      <c r="C2289" s="53">
        <v>2007</v>
      </c>
      <c r="D2289" s="52" t="s">
        <v>113</v>
      </c>
      <c r="E2289" s="54">
        <v>12</v>
      </c>
      <c r="F2289" s="55">
        <v>397</v>
      </c>
      <c r="G2289" s="55">
        <v>1101.8</v>
      </c>
    </row>
    <row r="2290" spans="1:7" ht="10.050000000000001" customHeight="1">
      <c r="A2290" s="52" t="s">
        <v>421</v>
      </c>
      <c r="B2290" s="52" t="s">
        <v>310</v>
      </c>
      <c r="C2290" s="53">
        <v>2008</v>
      </c>
      <c r="D2290" s="52" t="s">
        <v>113</v>
      </c>
      <c r="E2290" s="54">
        <v>1</v>
      </c>
      <c r="F2290" s="55">
        <v>352.2</v>
      </c>
      <c r="G2290" s="55">
        <v>843.7</v>
      </c>
    </row>
    <row r="2291" spans="1:7" ht="10.050000000000001" customHeight="1">
      <c r="A2291" s="52" t="s">
        <v>421</v>
      </c>
      <c r="B2291" s="52" t="s">
        <v>310</v>
      </c>
      <c r="C2291" s="53">
        <v>2008</v>
      </c>
      <c r="D2291" s="52" t="s">
        <v>113</v>
      </c>
      <c r="E2291" s="54">
        <v>2</v>
      </c>
      <c r="F2291" s="55">
        <v>416.1</v>
      </c>
      <c r="G2291" s="55">
        <v>754.7</v>
      </c>
    </row>
    <row r="2292" spans="1:7" ht="10.050000000000001" customHeight="1">
      <c r="A2292" s="52" t="s">
        <v>421</v>
      </c>
      <c r="B2292" s="52" t="s">
        <v>310</v>
      </c>
      <c r="C2292" s="53">
        <v>2008</v>
      </c>
      <c r="D2292" s="52" t="s">
        <v>113</v>
      </c>
      <c r="E2292" s="54">
        <v>3</v>
      </c>
      <c r="F2292" s="55">
        <v>354.4</v>
      </c>
      <c r="G2292" s="55">
        <v>758.6</v>
      </c>
    </row>
    <row r="2293" spans="1:7" ht="10.050000000000001" customHeight="1">
      <c r="A2293" s="52" t="s">
        <v>421</v>
      </c>
      <c r="B2293" s="52" t="s">
        <v>310</v>
      </c>
      <c r="C2293" s="53">
        <v>2008</v>
      </c>
      <c r="D2293" s="52" t="s">
        <v>113</v>
      </c>
      <c r="E2293" s="54">
        <v>4</v>
      </c>
      <c r="F2293" s="55">
        <v>314.7</v>
      </c>
      <c r="G2293" s="55">
        <v>692.9</v>
      </c>
    </row>
    <row r="2294" spans="1:7" ht="10.050000000000001" customHeight="1">
      <c r="A2294" s="52" t="s">
        <v>421</v>
      </c>
      <c r="B2294" s="52" t="s">
        <v>310</v>
      </c>
      <c r="C2294" s="53">
        <v>2008</v>
      </c>
      <c r="D2294" s="52" t="s">
        <v>113</v>
      </c>
      <c r="E2294" s="54">
        <v>5</v>
      </c>
      <c r="F2294" s="55">
        <v>237</v>
      </c>
      <c r="G2294" s="55">
        <v>219.2</v>
      </c>
    </row>
    <row r="2295" spans="1:7" ht="10.050000000000001" customHeight="1">
      <c r="A2295" s="52" t="s">
        <v>421</v>
      </c>
      <c r="B2295" s="52" t="s">
        <v>310</v>
      </c>
      <c r="C2295" s="53">
        <v>2008</v>
      </c>
      <c r="D2295" s="52" t="s">
        <v>113</v>
      </c>
      <c r="E2295" s="54">
        <v>6</v>
      </c>
      <c r="F2295" s="55">
        <v>260.5</v>
      </c>
      <c r="G2295" s="55">
        <v>195.3</v>
      </c>
    </row>
    <row r="2296" spans="1:7" ht="10.050000000000001" customHeight="1">
      <c r="A2296" s="52" t="s">
        <v>421</v>
      </c>
      <c r="B2296" s="52" t="s">
        <v>310</v>
      </c>
      <c r="C2296" s="53">
        <v>2008</v>
      </c>
      <c r="D2296" s="52" t="s">
        <v>107</v>
      </c>
      <c r="E2296" s="54">
        <v>7</v>
      </c>
      <c r="F2296" s="55">
        <v>164.9</v>
      </c>
      <c r="G2296" s="55">
        <v>107.7</v>
      </c>
    </row>
    <row r="2297" spans="1:7" ht="10.050000000000001" customHeight="1">
      <c r="A2297" s="52" t="s">
        <v>421</v>
      </c>
      <c r="B2297" s="52" t="s">
        <v>310</v>
      </c>
      <c r="C2297" s="53">
        <v>2008</v>
      </c>
      <c r="D2297" s="52" t="s">
        <v>107</v>
      </c>
      <c r="E2297" s="54">
        <v>8</v>
      </c>
      <c r="F2297" s="55">
        <v>126.2</v>
      </c>
      <c r="G2297" s="55">
        <v>893.6</v>
      </c>
    </row>
    <row r="2298" spans="1:7" ht="10.050000000000001" customHeight="1">
      <c r="A2298" s="52" t="s">
        <v>421</v>
      </c>
      <c r="B2298" s="52" t="s">
        <v>310</v>
      </c>
      <c r="C2298" s="53">
        <v>2008</v>
      </c>
      <c r="D2298" s="52" t="s">
        <v>107</v>
      </c>
      <c r="E2298" s="54">
        <v>9</v>
      </c>
      <c r="F2298" s="55">
        <v>454.5</v>
      </c>
      <c r="G2298" s="55">
        <v>660.5</v>
      </c>
    </row>
    <row r="2299" spans="1:7" ht="10.050000000000001" customHeight="1">
      <c r="A2299" s="52" t="s">
        <v>421</v>
      </c>
      <c r="B2299" s="52" t="s">
        <v>310</v>
      </c>
      <c r="C2299" s="53">
        <v>2008</v>
      </c>
      <c r="D2299" s="52" t="s">
        <v>107</v>
      </c>
      <c r="E2299" s="54">
        <v>10</v>
      </c>
      <c r="F2299" s="55">
        <v>237.2</v>
      </c>
      <c r="G2299" s="55">
        <v>651.6</v>
      </c>
    </row>
    <row r="2300" spans="1:7" ht="10.050000000000001" customHeight="1">
      <c r="A2300" s="52" t="s">
        <v>421</v>
      </c>
      <c r="B2300" s="52" t="s">
        <v>310</v>
      </c>
      <c r="C2300" s="53">
        <v>2008</v>
      </c>
      <c r="D2300" s="52" t="s">
        <v>107</v>
      </c>
      <c r="E2300" s="54">
        <v>11</v>
      </c>
      <c r="F2300" s="55">
        <v>217.7</v>
      </c>
      <c r="G2300" s="55">
        <v>696.9</v>
      </c>
    </row>
    <row r="2301" spans="1:7" ht="10.050000000000001" customHeight="1">
      <c r="A2301" s="52" t="s">
        <v>421</v>
      </c>
      <c r="B2301" s="52" t="s">
        <v>310</v>
      </c>
      <c r="C2301" s="53">
        <v>2008</v>
      </c>
      <c r="D2301" s="52" t="s">
        <v>107</v>
      </c>
      <c r="E2301" s="54">
        <v>12</v>
      </c>
      <c r="F2301" s="55">
        <v>395.7</v>
      </c>
      <c r="G2301" s="55">
        <v>417.4</v>
      </c>
    </row>
    <row r="2302" spans="1:7" ht="10.050000000000001" customHeight="1">
      <c r="A2302" s="52" t="s">
        <v>421</v>
      </c>
      <c r="B2302" s="52" t="s">
        <v>310</v>
      </c>
      <c r="C2302" s="53">
        <v>2009</v>
      </c>
      <c r="D2302" s="52" t="s">
        <v>107</v>
      </c>
      <c r="E2302" s="54">
        <v>1</v>
      </c>
      <c r="F2302" s="55">
        <v>215.4</v>
      </c>
      <c r="G2302" s="55">
        <v>283.10000000000002</v>
      </c>
    </row>
    <row r="2303" spans="1:7" ht="10.050000000000001" customHeight="1">
      <c r="A2303" s="52" t="s">
        <v>421</v>
      </c>
      <c r="B2303" s="52" t="s">
        <v>310</v>
      </c>
      <c r="C2303" s="53">
        <v>2009</v>
      </c>
      <c r="D2303" s="52" t="s">
        <v>107</v>
      </c>
      <c r="E2303" s="54">
        <v>2</v>
      </c>
      <c r="F2303" s="55">
        <v>396.7</v>
      </c>
      <c r="G2303" s="55">
        <v>214.2</v>
      </c>
    </row>
    <row r="2304" spans="1:7" ht="10.050000000000001" customHeight="1">
      <c r="A2304" s="52" t="s">
        <v>421</v>
      </c>
      <c r="B2304" s="52" t="s">
        <v>310</v>
      </c>
      <c r="C2304" s="53">
        <v>2009</v>
      </c>
      <c r="D2304" s="52" t="s">
        <v>107</v>
      </c>
      <c r="E2304" s="54">
        <v>3</v>
      </c>
      <c r="F2304" s="55">
        <v>230</v>
      </c>
      <c r="G2304" s="55">
        <v>75.8</v>
      </c>
    </row>
    <row r="2305" spans="1:7" ht="10.050000000000001" customHeight="1">
      <c r="A2305" s="52" t="s">
        <v>421</v>
      </c>
      <c r="B2305" s="52" t="s">
        <v>310</v>
      </c>
      <c r="C2305" s="53">
        <v>2009</v>
      </c>
      <c r="D2305" s="52" t="s">
        <v>107</v>
      </c>
      <c r="E2305" s="54">
        <v>4</v>
      </c>
      <c r="F2305" s="55">
        <v>232.9</v>
      </c>
      <c r="G2305" s="55">
        <v>242.8</v>
      </c>
    </row>
    <row r="2306" spans="1:7" ht="10.050000000000001" customHeight="1">
      <c r="A2306" s="52" t="s">
        <v>421</v>
      </c>
      <c r="B2306" s="52" t="s">
        <v>310</v>
      </c>
      <c r="C2306" s="53">
        <v>2009</v>
      </c>
      <c r="D2306" s="52" t="s">
        <v>107</v>
      </c>
      <c r="E2306" s="54">
        <v>5</v>
      </c>
      <c r="F2306" s="55">
        <v>538.70000000000005</v>
      </c>
      <c r="G2306" s="55">
        <v>184</v>
      </c>
    </row>
    <row r="2307" spans="1:7" ht="10.050000000000001" customHeight="1">
      <c r="A2307" s="52" t="s">
        <v>421</v>
      </c>
      <c r="B2307" s="52" t="s">
        <v>310</v>
      </c>
      <c r="C2307" s="53">
        <v>2009</v>
      </c>
      <c r="D2307" s="52" t="s">
        <v>107</v>
      </c>
      <c r="E2307" s="54">
        <v>6</v>
      </c>
      <c r="F2307" s="55">
        <v>508.4</v>
      </c>
      <c r="G2307" s="55">
        <v>187.3</v>
      </c>
    </row>
    <row r="2308" spans="1:7" ht="10.050000000000001" customHeight="1">
      <c r="A2308" s="52" t="s">
        <v>421</v>
      </c>
      <c r="B2308" s="52" t="s">
        <v>310</v>
      </c>
      <c r="C2308" s="53">
        <v>2009</v>
      </c>
      <c r="D2308" s="52" t="s">
        <v>114</v>
      </c>
      <c r="E2308" s="54">
        <v>7</v>
      </c>
      <c r="F2308" s="55">
        <v>120.1</v>
      </c>
      <c r="G2308" s="55">
        <v>392.9</v>
      </c>
    </row>
    <row r="2309" spans="1:7" ht="10.050000000000001" customHeight="1">
      <c r="A2309" s="52" t="s">
        <v>421</v>
      </c>
      <c r="B2309" s="52" t="s">
        <v>310</v>
      </c>
      <c r="C2309" s="53">
        <v>2009</v>
      </c>
      <c r="D2309" s="52" t="s">
        <v>114</v>
      </c>
      <c r="E2309" s="54">
        <v>8</v>
      </c>
      <c r="F2309" s="55">
        <v>257.7</v>
      </c>
      <c r="G2309" s="55">
        <v>754</v>
      </c>
    </row>
    <row r="2310" spans="1:7" ht="10.050000000000001" customHeight="1">
      <c r="A2310" s="52" t="s">
        <v>421</v>
      </c>
      <c r="B2310" s="52" t="s">
        <v>310</v>
      </c>
      <c r="C2310" s="53">
        <v>2009</v>
      </c>
      <c r="D2310" s="52" t="s">
        <v>114</v>
      </c>
      <c r="E2310" s="54">
        <v>9</v>
      </c>
      <c r="F2310" s="55">
        <v>341.8</v>
      </c>
      <c r="G2310" s="55">
        <v>728.2</v>
      </c>
    </row>
    <row r="2311" spans="1:7" ht="10.050000000000001" customHeight="1">
      <c r="A2311" s="52" t="s">
        <v>421</v>
      </c>
      <c r="B2311" s="52" t="s">
        <v>310</v>
      </c>
      <c r="C2311" s="53">
        <v>2009</v>
      </c>
      <c r="D2311" s="52" t="s">
        <v>114</v>
      </c>
      <c r="E2311" s="54">
        <v>10</v>
      </c>
      <c r="F2311" s="55">
        <v>337.2</v>
      </c>
      <c r="G2311" s="55">
        <v>733.1</v>
      </c>
    </row>
    <row r="2312" spans="1:7" ht="10.050000000000001" customHeight="1">
      <c r="A2312" s="52" t="s">
        <v>421</v>
      </c>
      <c r="B2312" s="52" t="s">
        <v>310</v>
      </c>
      <c r="C2312" s="53">
        <v>2009</v>
      </c>
      <c r="D2312" s="52" t="s">
        <v>114</v>
      </c>
      <c r="E2312" s="54">
        <v>11</v>
      </c>
      <c r="F2312" s="55">
        <v>537.6</v>
      </c>
      <c r="G2312" s="55">
        <v>698.5</v>
      </c>
    </row>
    <row r="2313" spans="1:7" ht="10.050000000000001" customHeight="1">
      <c r="A2313" s="52" t="s">
        <v>421</v>
      </c>
      <c r="B2313" s="52" t="s">
        <v>310</v>
      </c>
      <c r="C2313" s="53">
        <v>2009</v>
      </c>
      <c r="D2313" s="52" t="s">
        <v>114</v>
      </c>
      <c r="E2313" s="54">
        <v>12</v>
      </c>
      <c r="F2313" s="55">
        <v>670.2</v>
      </c>
      <c r="G2313" s="55">
        <v>550.4</v>
      </c>
    </row>
    <row r="2314" spans="1:7" ht="10.050000000000001" customHeight="1">
      <c r="A2314" s="52" t="s">
        <v>421</v>
      </c>
      <c r="B2314" s="52" t="s">
        <v>310</v>
      </c>
      <c r="C2314" s="53">
        <v>2010</v>
      </c>
      <c r="D2314" s="52" t="s">
        <v>114</v>
      </c>
      <c r="E2314" s="54">
        <v>1</v>
      </c>
      <c r="F2314" s="55">
        <v>435.4</v>
      </c>
      <c r="G2314" s="55">
        <v>412.4</v>
      </c>
    </row>
    <row r="2315" spans="1:7" ht="10.050000000000001" customHeight="1">
      <c r="A2315" s="52" t="s">
        <v>421</v>
      </c>
      <c r="B2315" s="52" t="s">
        <v>310</v>
      </c>
      <c r="C2315" s="53">
        <v>2010</v>
      </c>
      <c r="D2315" s="52" t="s">
        <v>114</v>
      </c>
      <c r="E2315" s="54">
        <v>2</v>
      </c>
      <c r="F2315" s="55">
        <v>409.5</v>
      </c>
      <c r="G2315" s="55">
        <v>448.1</v>
      </c>
    </row>
    <row r="2316" spans="1:7" ht="10.050000000000001" customHeight="1">
      <c r="A2316" s="52" t="s">
        <v>421</v>
      </c>
      <c r="B2316" s="52" t="s">
        <v>310</v>
      </c>
      <c r="C2316" s="53">
        <v>2010</v>
      </c>
      <c r="D2316" s="52" t="s">
        <v>114</v>
      </c>
      <c r="E2316" s="54">
        <v>3</v>
      </c>
      <c r="F2316" s="55">
        <v>674.5</v>
      </c>
      <c r="G2316" s="55">
        <v>349.6</v>
      </c>
    </row>
    <row r="2317" spans="1:7" ht="10.050000000000001" customHeight="1">
      <c r="A2317" s="52" t="s">
        <v>421</v>
      </c>
      <c r="B2317" s="52" t="s">
        <v>310</v>
      </c>
      <c r="C2317" s="53">
        <v>2010</v>
      </c>
      <c r="D2317" s="52" t="s">
        <v>114</v>
      </c>
      <c r="E2317" s="54">
        <v>4</v>
      </c>
      <c r="F2317" s="55">
        <v>503</v>
      </c>
      <c r="G2317" s="55">
        <v>431.3</v>
      </c>
    </row>
    <row r="2318" spans="1:7" ht="10.050000000000001" customHeight="1">
      <c r="A2318" s="52" t="s">
        <v>421</v>
      </c>
      <c r="B2318" s="52" t="s">
        <v>310</v>
      </c>
      <c r="C2318" s="53">
        <v>2010</v>
      </c>
      <c r="D2318" s="52" t="s">
        <v>114</v>
      </c>
      <c r="E2318" s="54">
        <v>5</v>
      </c>
      <c r="F2318" s="55">
        <v>435.6</v>
      </c>
      <c r="G2318" s="55">
        <v>283.7</v>
      </c>
    </row>
    <row r="2319" spans="1:7" ht="10.050000000000001" customHeight="1">
      <c r="A2319" s="52" t="s">
        <v>421</v>
      </c>
      <c r="B2319" s="52" t="s">
        <v>310</v>
      </c>
      <c r="C2319" s="53">
        <v>2010</v>
      </c>
      <c r="D2319" s="52" t="s">
        <v>114</v>
      </c>
      <c r="E2319" s="54">
        <v>6</v>
      </c>
      <c r="F2319" s="55">
        <v>628.79999999999995</v>
      </c>
      <c r="G2319" s="55">
        <v>452.8</v>
      </c>
    </row>
    <row r="2320" spans="1:7" ht="10.050000000000001" customHeight="1">
      <c r="A2320" s="52" t="s">
        <v>421</v>
      </c>
      <c r="B2320" s="52" t="s">
        <v>310</v>
      </c>
      <c r="C2320" s="53">
        <v>2010</v>
      </c>
      <c r="D2320" s="52" t="s">
        <v>115</v>
      </c>
      <c r="E2320" s="54">
        <v>7</v>
      </c>
      <c r="F2320" s="55">
        <v>190.4</v>
      </c>
      <c r="G2320" s="55">
        <v>430.1</v>
      </c>
    </row>
    <row r="2321" spans="1:7" ht="10.050000000000001" customHeight="1">
      <c r="A2321" s="52" t="s">
        <v>421</v>
      </c>
      <c r="B2321" s="52" t="s">
        <v>310</v>
      </c>
      <c r="C2321" s="53">
        <v>2010</v>
      </c>
      <c r="D2321" s="52" t="s">
        <v>115</v>
      </c>
      <c r="E2321" s="54">
        <v>8</v>
      </c>
      <c r="F2321" s="55">
        <v>382.1</v>
      </c>
      <c r="G2321" s="55">
        <v>669.3</v>
      </c>
    </row>
    <row r="2322" spans="1:7" ht="10.050000000000001" customHeight="1">
      <c r="A2322" s="52" t="s">
        <v>421</v>
      </c>
      <c r="B2322" s="52" t="s">
        <v>310</v>
      </c>
      <c r="C2322" s="53">
        <v>2010</v>
      </c>
      <c r="D2322" s="52" t="s">
        <v>115</v>
      </c>
      <c r="E2322" s="54">
        <v>9</v>
      </c>
      <c r="F2322" s="55">
        <v>660.77</v>
      </c>
      <c r="G2322" s="55">
        <v>685.97</v>
      </c>
    </row>
    <row r="2323" spans="1:7" ht="10.050000000000001" customHeight="1">
      <c r="A2323" s="52" t="s">
        <v>421</v>
      </c>
      <c r="B2323" s="52" t="s">
        <v>310</v>
      </c>
      <c r="C2323" s="53">
        <v>2010</v>
      </c>
      <c r="D2323" s="52" t="s">
        <v>115</v>
      </c>
      <c r="E2323" s="54">
        <v>10</v>
      </c>
      <c r="F2323" s="55">
        <v>1482.76</v>
      </c>
      <c r="G2323" s="55">
        <v>1064.24</v>
      </c>
    </row>
    <row r="2324" spans="1:7" ht="10.050000000000001" customHeight="1">
      <c r="A2324" s="52" t="s">
        <v>421</v>
      </c>
      <c r="B2324" s="52" t="s">
        <v>310</v>
      </c>
      <c r="C2324" s="53">
        <v>2010</v>
      </c>
      <c r="D2324" s="52" t="s">
        <v>115</v>
      </c>
      <c r="E2324" s="54">
        <v>11</v>
      </c>
      <c r="F2324" s="55">
        <v>2351.25</v>
      </c>
      <c r="G2324" s="55">
        <v>865.23</v>
      </c>
    </row>
    <row r="2325" spans="1:7" ht="10.050000000000001" customHeight="1">
      <c r="A2325" s="52" t="s">
        <v>421</v>
      </c>
      <c r="B2325" s="52" t="s">
        <v>310</v>
      </c>
      <c r="C2325" s="53">
        <v>2010</v>
      </c>
      <c r="D2325" s="52" t="s">
        <v>115</v>
      </c>
      <c r="E2325" s="54">
        <v>12</v>
      </c>
      <c r="F2325" s="55">
        <v>2885.48</v>
      </c>
      <c r="G2325" s="55">
        <v>1105.21</v>
      </c>
    </row>
    <row r="2326" spans="1:7" ht="10.050000000000001" customHeight="1">
      <c r="A2326" s="52" t="s">
        <v>421</v>
      </c>
      <c r="B2326" s="52" t="s">
        <v>310</v>
      </c>
      <c r="C2326" s="53">
        <v>2011</v>
      </c>
      <c r="D2326" s="52" t="s">
        <v>115</v>
      </c>
      <c r="E2326" s="54">
        <v>1</v>
      </c>
      <c r="F2326" s="55">
        <v>3601.56</v>
      </c>
      <c r="G2326" s="55">
        <v>1797.44</v>
      </c>
    </row>
    <row r="2327" spans="1:7" ht="10.050000000000001" customHeight="1">
      <c r="A2327" s="52" t="s">
        <v>421</v>
      </c>
      <c r="B2327" s="52" t="s">
        <v>310</v>
      </c>
      <c r="C2327" s="53">
        <v>2011</v>
      </c>
      <c r="D2327" s="52" t="s">
        <v>115</v>
      </c>
      <c r="E2327" s="54">
        <v>2</v>
      </c>
      <c r="F2327" s="55">
        <v>5955.04</v>
      </c>
      <c r="G2327" s="55">
        <v>3269.56</v>
      </c>
    </row>
    <row r="2328" spans="1:7" ht="10.050000000000001" customHeight="1">
      <c r="A2328" s="52" t="s">
        <v>421</v>
      </c>
      <c r="B2328" s="52" t="s">
        <v>310</v>
      </c>
      <c r="C2328" s="53">
        <v>2011</v>
      </c>
      <c r="D2328" s="52" t="s">
        <v>115</v>
      </c>
      <c r="E2328" s="54">
        <v>3</v>
      </c>
      <c r="F2328" s="55">
        <v>7449.0429999999997</v>
      </c>
      <c r="G2328" s="55">
        <v>4571.88</v>
      </c>
    </row>
    <row r="2329" spans="1:7" ht="10.050000000000001" customHeight="1">
      <c r="A2329" s="52" t="s">
        <v>421</v>
      </c>
      <c r="B2329" s="52" t="s">
        <v>310</v>
      </c>
      <c r="C2329" s="53">
        <v>2011</v>
      </c>
      <c r="D2329" s="52" t="s">
        <v>115</v>
      </c>
      <c r="E2329" s="54">
        <v>4</v>
      </c>
      <c r="F2329" s="55">
        <v>4354.5020000000004</v>
      </c>
      <c r="G2329" s="55">
        <v>5972.5479999999998</v>
      </c>
    </row>
    <row r="2330" spans="1:7" ht="10.050000000000001" customHeight="1">
      <c r="A2330" s="52" t="s">
        <v>421</v>
      </c>
      <c r="B2330" s="52" t="s">
        <v>310</v>
      </c>
      <c r="C2330" s="53">
        <v>2011</v>
      </c>
      <c r="D2330" s="52" t="s">
        <v>115</v>
      </c>
      <c r="E2330" s="54">
        <v>5</v>
      </c>
      <c r="F2330" s="55">
        <v>5620.4319999999998</v>
      </c>
      <c r="G2330" s="55">
        <v>2958.9569999999999</v>
      </c>
    </row>
    <row r="2331" spans="1:7" ht="10.050000000000001" customHeight="1">
      <c r="A2331" s="52" t="s">
        <v>421</v>
      </c>
      <c r="B2331" s="52" t="s">
        <v>310</v>
      </c>
      <c r="C2331" s="53">
        <v>2011</v>
      </c>
      <c r="D2331" s="52" t="s">
        <v>115</v>
      </c>
      <c r="E2331" s="54">
        <v>6</v>
      </c>
      <c r="F2331" s="55">
        <v>3710.7</v>
      </c>
      <c r="G2331" s="55">
        <v>457.22699999999998</v>
      </c>
    </row>
    <row r="2332" spans="1:7" ht="10.050000000000001" customHeight="1">
      <c r="A2332" s="52" t="s">
        <v>421</v>
      </c>
      <c r="B2332" s="52" t="s">
        <v>310</v>
      </c>
      <c r="C2332" s="53">
        <v>2011</v>
      </c>
      <c r="D2332" s="52" t="s">
        <v>116</v>
      </c>
      <c r="E2332" s="54">
        <v>7</v>
      </c>
      <c r="F2332" s="55">
        <v>354.17</v>
      </c>
      <c r="G2332" s="55">
        <v>499.81900000000002</v>
      </c>
    </row>
    <row r="2333" spans="1:7" ht="10.050000000000001" customHeight="1">
      <c r="A2333" s="52" t="s">
        <v>421</v>
      </c>
      <c r="B2333" s="52" t="s">
        <v>310</v>
      </c>
      <c r="C2333" s="53">
        <v>2011</v>
      </c>
      <c r="D2333" s="52" t="s">
        <v>116</v>
      </c>
      <c r="E2333" s="54">
        <v>8</v>
      </c>
      <c r="F2333" s="55">
        <v>872.34900000000005</v>
      </c>
      <c r="G2333" s="55">
        <v>889.54600000000005</v>
      </c>
    </row>
    <row r="2334" spans="1:7" ht="10.050000000000001" customHeight="1">
      <c r="A2334" s="52" t="s">
        <v>421</v>
      </c>
      <c r="B2334" s="52" t="s">
        <v>310</v>
      </c>
      <c r="C2334" s="53">
        <v>2011</v>
      </c>
      <c r="D2334" s="52" t="s">
        <v>116</v>
      </c>
      <c r="E2334" s="54">
        <v>9</v>
      </c>
      <c r="F2334" s="55">
        <v>608.16499999999996</v>
      </c>
      <c r="G2334" s="55">
        <v>744.846</v>
      </c>
    </row>
    <row r="2335" spans="1:7" ht="10.050000000000001" customHeight="1">
      <c r="A2335" s="52" t="s">
        <v>421</v>
      </c>
      <c r="B2335" s="52" t="s">
        <v>310</v>
      </c>
      <c r="C2335" s="53">
        <v>2011</v>
      </c>
      <c r="D2335" s="52" t="s">
        <v>116</v>
      </c>
      <c r="E2335" s="54">
        <v>10</v>
      </c>
      <c r="F2335" s="55">
        <v>866.13</v>
      </c>
      <c r="G2335" s="55">
        <v>631.14599999999996</v>
      </c>
    </row>
    <row r="2336" spans="1:7" ht="10.050000000000001" customHeight="1">
      <c r="A2336" s="52" t="s">
        <v>421</v>
      </c>
      <c r="B2336" s="52" t="s">
        <v>310</v>
      </c>
      <c r="C2336" s="53">
        <v>2011</v>
      </c>
      <c r="D2336" s="52" t="s">
        <v>116</v>
      </c>
      <c r="E2336" s="54">
        <v>11</v>
      </c>
      <c r="F2336" s="55">
        <v>734.69799999999998</v>
      </c>
      <c r="G2336" s="55">
        <v>678.24599999999998</v>
      </c>
    </row>
    <row r="2337" spans="1:7" ht="10.050000000000001" customHeight="1">
      <c r="A2337" s="52" t="s">
        <v>421</v>
      </c>
      <c r="B2337" s="52" t="s">
        <v>310</v>
      </c>
      <c r="C2337" s="53">
        <v>2011</v>
      </c>
      <c r="D2337" s="52" t="s">
        <v>116</v>
      </c>
      <c r="E2337" s="54">
        <v>12</v>
      </c>
      <c r="F2337" s="55">
        <v>931.94899999999996</v>
      </c>
      <c r="G2337" s="55">
        <v>601.09199999999998</v>
      </c>
    </row>
    <row r="2338" spans="1:7" ht="10.050000000000001" customHeight="1">
      <c r="A2338" s="52" t="s">
        <v>421</v>
      </c>
      <c r="B2338" s="52" t="s">
        <v>310</v>
      </c>
      <c r="C2338" s="53">
        <v>2012</v>
      </c>
      <c r="D2338" s="52" t="s">
        <v>116</v>
      </c>
      <c r="E2338" s="54">
        <v>1</v>
      </c>
      <c r="F2338" s="55">
        <v>740.322</v>
      </c>
      <c r="G2338" s="55">
        <v>480.17</v>
      </c>
    </row>
    <row r="2339" spans="1:7" ht="10.050000000000001" customHeight="1">
      <c r="A2339" s="52" t="s">
        <v>421</v>
      </c>
      <c r="B2339" s="52" t="s">
        <v>310</v>
      </c>
      <c r="C2339" s="53">
        <v>2012</v>
      </c>
      <c r="D2339" s="52" t="s">
        <v>116</v>
      </c>
      <c r="E2339" s="54">
        <v>2</v>
      </c>
      <c r="F2339" s="55">
        <v>756.5</v>
      </c>
      <c r="G2339" s="55">
        <v>414.72500000000002</v>
      </c>
    </row>
    <row r="2340" spans="1:7" ht="10.050000000000001" customHeight="1">
      <c r="A2340" s="52" t="s">
        <v>421</v>
      </c>
      <c r="B2340" s="52" t="s">
        <v>310</v>
      </c>
      <c r="C2340" s="53">
        <v>2012</v>
      </c>
      <c r="D2340" s="52" t="s">
        <v>116</v>
      </c>
      <c r="E2340" s="54">
        <v>3</v>
      </c>
      <c r="F2340" s="55">
        <v>806.01099999999997</v>
      </c>
      <c r="G2340" s="55">
        <v>206.261</v>
      </c>
    </row>
    <row r="2341" spans="1:7" ht="10.050000000000001" customHeight="1">
      <c r="A2341" s="52" t="s">
        <v>421</v>
      </c>
      <c r="B2341" s="52" t="s">
        <v>310</v>
      </c>
      <c r="C2341" s="53">
        <v>2012</v>
      </c>
      <c r="D2341" s="52" t="s">
        <v>116</v>
      </c>
      <c r="E2341" s="54">
        <v>4</v>
      </c>
      <c r="F2341" s="55">
        <v>795.79</v>
      </c>
      <c r="G2341" s="55">
        <v>151.334</v>
      </c>
    </row>
    <row r="2342" spans="1:7" ht="10.050000000000001" customHeight="1">
      <c r="A2342" s="52" t="s">
        <v>421</v>
      </c>
      <c r="B2342" s="52" t="s">
        <v>310</v>
      </c>
      <c r="C2342" s="53">
        <v>2012</v>
      </c>
      <c r="D2342" s="52" t="s">
        <v>116</v>
      </c>
      <c r="E2342" s="54">
        <v>5</v>
      </c>
      <c r="F2342" s="55">
        <v>347.84</v>
      </c>
      <c r="G2342" s="55">
        <v>130.38499999999999</v>
      </c>
    </row>
    <row r="2343" spans="1:7" ht="10.050000000000001" customHeight="1">
      <c r="A2343" s="52" t="s">
        <v>421</v>
      </c>
      <c r="B2343" s="52" t="s">
        <v>310</v>
      </c>
      <c r="C2343" s="53">
        <v>2012</v>
      </c>
      <c r="D2343" s="52" t="s">
        <v>116</v>
      </c>
      <c r="E2343" s="54">
        <v>6</v>
      </c>
      <c r="F2343" s="55">
        <v>417.22</v>
      </c>
      <c r="G2343" s="55">
        <v>91.596999999999994</v>
      </c>
    </row>
    <row r="2344" spans="1:7" ht="10.050000000000001" customHeight="1">
      <c r="A2344" s="52" t="s">
        <v>421</v>
      </c>
      <c r="B2344" s="52" t="s">
        <v>310</v>
      </c>
      <c r="C2344" s="53">
        <v>2012</v>
      </c>
      <c r="D2344" s="52" t="s">
        <v>117</v>
      </c>
      <c r="E2344" s="54">
        <v>7</v>
      </c>
      <c r="F2344" s="55">
        <v>419.8</v>
      </c>
      <c r="G2344" s="55">
        <v>387.839</v>
      </c>
    </row>
    <row r="2345" spans="1:7" ht="10.050000000000001" customHeight="1">
      <c r="A2345" s="52" t="s">
        <v>421</v>
      </c>
      <c r="B2345" s="52" t="s">
        <v>310</v>
      </c>
      <c r="C2345" s="53">
        <v>2012</v>
      </c>
      <c r="D2345" s="52" t="s">
        <v>117</v>
      </c>
      <c r="E2345" s="54">
        <v>8</v>
      </c>
      <c r="F2345" s="55">
        <v>528.02200000000005</v>
      </c>
      <c r="G2345" s="55">
        <v>1094.6379999999999</v>
      </c>
    </row>
    <row r="2346" spans="1:7" ht="10.050000000000001" customHeight="1">
      <c r="A2346" s="52" t="s">
        <v>421</v>
      </c>
      <c r="B2346" s="52" t="s">
        <v>310</v>
      </c>
      <c r="C2346" s="53">
        <v>2012</v>
      </c>
      <c r="D2346" s="52" t="s">
        <v>117</v>
      </c>
      <c r="E2346" s="54">
        <v>9</v>
      </c>
      <c r="F2346" s="55">
        <v>703.24099999999999</v>
      </c>
      <c r="G2346" s="55">
        <v>1176.106</v>
      </c>
    </row>
    <row r="2347" spans="1:7" ht="10.050000000000001" customHeight="1">
      <c r="A2347" s="52" t="s">
        <v>421</v>
      </c>
      <c r="B2347" s="52" t="s">
        <v>310</v>
      </c>
      <c r="C2347" s="53">
        <v>2012</v>
      </c>
      <c r="D2347" s="52" t="s">
        <v>117</v>
      </c>
      <c r="E2347" s="54">
        <v>10</v>
      </c>
      <c r="F2347" s="55">
        <v>886.11199999999997</v>
      </c>
      <c r="G2347" s="55">
        <v>1101.0940000000001</v>
      </c>
    </row>
    <row r="2348" spans="1:7" ht="10.050000000000001" customHeight="1">
      <c r="A2348" s="52" t="s">
        <v>421</v>
      </c>
      <c r="B2348" s="52" t="s">
        <v>310</v>
      </c>
      <c r="C2348" s="53">
        <v>2012</v>
      </c>
      <c r="D2348" s="52" t="s">
        <v>117</v>
      </c>
      <c r="E2348" s="54">
        <v>11</v>
      </c>
      <c r="F2348" s="55">
        <v>738.35699999999997</v>
      </c>
      <c r="G2348" s="55">
        <v>1143.864</v>
      </c>
    </row>
    <row r="2349" spans="1:7" ht="10.050000000000001" customHeight="1">
      <c r="A2349" s="52" t="s">
        <v>421</v>
      </c>
      <c r="B2349" s="52" t="s">
        <v>310</v>
      </c>
      <c r="C2349" s="53">
        <v>2012</v>
      </c>
      <c r="D2349" s="52" t="s">
        <v>117</v>
      </c>
      <c r="E2349" s="54">
        <v>12</v>
      </c>
      <c r="F2349" s="55">
        <v>913.04499999999996</v>
      </c>
      <c r="G2349" s="55">
        <v>988.81100000000004</v>
      </c>
    </row>
    <row r="2350" spans="1:7" ht="10.050000000000001" customHeight="1">
      <c r="A2350" s="52" t="s">
        <v>421</v>
      </c>
      <c r="B2350" s="52" t="s">
        <v>310</v>
      </c>
      <c r="C2350" s="53">
        <v>2013</v>
      </c>
      <c r="D2350" s="52" t="s">
        <v>117</v>
      </c>
      <c r="E2350" s="54">
        <v>1</v>
      </c>
      <c r="F2350" s="55">
        <v>980.08299999999997</v>
      </c>
      <c r="G2350" s="55">
        <v>862.08199999999999</v>
      </c>
    </row>
    <row r="2351" spans="1:7" ht="10.050000000000001" customHeight="1">
      <c r="A2351" s="52" t="s">
        <v>421</v>
      </c>
      <c r="B2351" s="52" t="s">
        <v>310</v>
      </c>
      <c r="C2351" s="53">
        <v>2013</v>
      </c>
      <c r="D2351" s="52" t="s">
        <v>117</v>
      </c>
      <c r="E2351" s="54">
        <v>2</v>
      </c>
      <c r="F2351" s="55">
        <v>498.577</v>
      </c>
      <c r="G2351" s="55">
        <v>906.61400000000003</v>
      </c>
    </row>
    <row r="2352" spans="1:7" ht="10.050000000000001" customHeight="1">
      <c r="A2352" s="52" t="s">
        <v>421</v>
      </c>
      <c r="B2352" s="52" t="s">
        <v>310</v>
      </c>
      <c r="C2352" s="53">
        <v>2013</v>
      </c>
      <c r="D2352" s="52" t="s">
        <v>117</v>
      </c>
      <c r="E2352" s="54">
        <v>3</v>
      </c>
      <c r="F2352" s="55">
        <v>995.62400000000002</v>
      </c>
      <c r="G2352" s="55">
        <v>1052.279</v>
      </c>
    </row>
    <row r="2353" spans="1:7" ht="10.050000000000001" customHeight="1">
      <c r="A2353" s="52" t="s">
        <v>421</v>
      </c>
      <c r="B2353" s="52" t="s">
        <v>310</v>
      </c>
      <c r="C2353" s="53">
        <v>2013</v>
      </c>
      <c r="D2353" s="52" t="s">
        <v>117</v>
      </c>
      <c r="E2353" s="54">
        <v>4</v>
      </c>
      <c r="F2353" s="55">
        <v>1428.9190000000001</v>
      </c>
      <c r="G2353" s="55">
        <v>857.06200000000001</v>
      </c>
    </row>
    <row r="2354" spans="1:7" ht="10.050000000000001" customHeight="1">
      <c r="A2354" s="52" t="s">
        <v>421</v>
      </c>
      <c r="B2354" s="52" t="s">
        <v>310</v>
      </c>
      <c r="C2354" s="53">
        <v>2013</v>
      </c>
      <c r="D2354" s="52" t="s">
        <v>117</v>
      </c>
      <c r="E2354" s="54">
        <v>5</v>
      </c>
      <c r="F2354" s="55">
        <v>1757.961</v>
      </c>
      <c r="G2354" s="55">
        <v>960.83299999999997</v>
      </c>
    </row>
    <row r="2355" spans="1:7" ht="10.050000000000001" customHeight="1">
      <c r="A2355" s="52" t="s">
        <v>421</v>
      </c>
      <c r="B2355" s="52" t="s">
        <v>310</v>
      </c>
      <c r="C2355" s="53">
        <v>2013</v>
      </c>
      <c r="D2355" s="52" t="s">
        <v>117</v>
      </c>
      <c r="E2355" s="54">
        <v>6</v>
      </c>
      <c r="F2355" s="55">
        <v>2482.4929999999999</v>
      </c>
      <c r="G2355" s="55">
        <v>510.54599999999999</v>
      </c>
    </row>
    <row r="2356" spans="1:7" ht="10.050000000000001" customHeight="1">
      <c r="A2356" s="52" t="s">
        <v>421</v>
      </c>
      <c r="B2356" s="52" t="s">
        <v>310</v>
      </c>
      <c r="C2356" s="53">
        <v>2013</v>
      </c>
      <c r="D2356" s="52" t="s">
        <v>118</v>
      </c>
      <c r="E2356" s="54">
        <v>7</v>
      </c>
      <c r="F2356" s="55">
        <v>704.678</v>
      </c>
      <c r="G2356" s="55">
        <v>372.68700000000001</v>
      </c>
    </row>
    <row r="2357" spans="1:7" ht="10.050000000000001" customHeight="1">
      <c r="A2357" s="52" t="s">
        <v>421</v>
      </c>
      <c r="B2357" s="52" t="s">
        <v>310</v>
      </c>
      <c r="C2357" s="53">
        <v>2013</v>
      </c>
      <c r="D2357" s="52" t="s">
        <v>118</v>
      </c>
      <c r="E2357" s="54">
        <v>8</v>
      </c>
      <c r="F2357" s="55">
        <v>701.58299999999997</v>
      </c>
      <c r="G2357" s="55">
        <v>993.51300000000003</v>
      </c>
    </row>
    <row r="2358" spans="1:7" ht="10.050000000000001" customHeight="1">
      <c r="A2358" s="52" t="s">
        <v>421</v>
      </c>
      <c r="B2358" s="52" t="s">
        <v>310</v>
      </c>
      <c r="C2358" s="53">
        <v>2013</v>
      </c>
      <c r="D2358" s="52" t="s">
        <v>118</v>
      </c>
      <c r="E2358" s="54">
        <v>9</v>
      </c>
      <c r="F2358" s="55">
        <v>563.11900000000003</v>
      </c>
      <c r="G2358" s="55">
        <v>989.69399999999996</v>
      </c>
    </row>
    <row r="2359" spans="1:7" ht="10.050000000000001" customHeight="1">
      <c r="A2359" s="52" t="s">
        <v>421</v>
      </c>
      <c r="B2359" s="52" t="s">
        <v>310</v>
      </c>
      <c r="C2359" s="53">
        <v>2013</v>
      </c>
      <c r="D2359" s="52" t="s">
        <v>118</v>
      </c>
      <c r="E2359" s="54">
        <v>10</v>
      </c>
      <c r="F2359" s="55">
        <v>732.19200000000001</v>
      </c>
      <c r="G2359" s="55">
        <v>1160.93</v>
      </c>
    </row>
    <row r="2360" spans="1:7" ht="10.050000000000001" customHeight="1">
      <c r="A2360" s="52" t="s">
        <v>421</v>
      </c>
      <c r="B2360" s="52" t="s">
        <v>310</v>
      </c>
      <c r="C2360" s="53">
        <v>2013</v>
      </c>
      <c r="D2360" s="52" t="s">
        <v>118</v>
      </c>
      <c r="E2360" s="54">
        <v>11</v>
      </c>
      <c r="F2360" s="55">
        <v>938.68700000000001</v>
      </c>
      <c r="G2360" s="55">
        <v>975.06399999999996</v>
      </c>
    </row>
    <row r="2361" spans="1:7" ht="10.050000000000001" customHeight="1">
      <c r="A2361" s="52" t="s">
        <v>421</v>
      </c>
      <c r="B2361" s="52" t="s">
        <v>310</v>
      </c>
      <c r="C2361" s="53">
        <v>2013</v>
      </c>
      <c r="D2361" s="52" t="s">
        <v>118</v>
      </c>
      <c r="E2361" s="54">
        <v>12</v>
      </c>
      <c r="F2361" s="55">
        <v>777.04100000000005</v>
      </c>
      <c r="G2361" s="55">
        <v>856.96699999999998</v>
      </c>
    </row>
    <row r="2362" spans="1:7" ht="10.050000000000001" customHeight="1">
      <c r="A2362" s="52" t="s">
        <v>421</v>
      </c>
      <c r="B2362" s="52" t="s">
        <v>310</v>
      </c>
      <c r="C2362" s="53">
        <v>2014</v>
      </c>
      <c r="D2362" s="52" t="s">
        <v>118</v>
      </c>
      <c r="E2362" s="54">
        <v>1</v>
      </c>
      <c r="F2362" s="55">
        <v>619.24400000000003</v>
      </c>
      <c r="G2362" s="55">
        <v>754.69299999999998</v>
      </c>
    </row>
    <row r="2363" spans="1:7" ht="10.050000000000001" customHeight="1">
      <c r="A2363" s="52" t="s">
        <v>421</v>
      </c>
      <c r="B2363" s="52" t="s">
        <v>310</v>
      </c>
      <c r="C2363" s="53">
        <v>2014</v>
      </c>
      <c r="D2363" s="52" t="s">
        <v>118</v>
      </c>
      <c r="E2363" s="54">
        <v>2</v>
      </c>
      <c r="F2363" s="55">
        <v>810.02499999999998</v>
      </c>
      <c r="G2363" s="55">
        <v>738.35900000000004</v>
      </c>
    </row>
    <row r="2364" spans="1:7" ht="10.050000000000001" customHeight="1">
      <c r="A2364" s="52" t="s">
        <v>421</v>
      </c>
      <c r="B2364" s="52" t="s">
        <v>310</v>
      </c>
      <c r="C2364" s="53">
        <v>2014</v>
      </c>
      <c r="D2364" s="52" t="s">
        <v>118</v>
      </c>
      <c r="E2364" s="54">
        <v>3</v>
      </c>
      <c r="F2364" s="55">
        <v>1020.345</v>
      </c>
      <c r="G2364" s="55">
        <v>687.01</v>
      </c>
    </row>
    <row r="2365" spans="1:7" ht="10.050000000000001" customHeight="1">
      <c r="A2365" s="52" t="s">
        <v>421</v>
      </c>
      <c r="B2365" s="52" t="s">
        <v>310</v>
      </c>
      <c r="C2365" s="53">
        <v>2014</v>
      </c>
      <c r="D2365" s="52" t="s">
        <v>118</v>
      </c>
      <c r="E2365" s="54">
        <v>4</v>
      </c>
      <c r="F2365" s="55">
        <v>1175.3989999999999</v>
      </c>
      <c r="G2365" s="55">
        <v>1919.097</v>
      </c>
    </row>
    <row r="2366" spans="1:7" ht="10.050000000000001" customHeight="1">
      <c r="A2366" s="52" t="s">
        <v>421</v>
      </c>
      <c r="B2366" s="52" t="s">
        <v>310</v>
      </c>
      <c r="C2366" s="53">
        <v>2014</v>
      </c>
      <c r="D2366" s="52" t="s">
        <v>118</v>
      </c>
      <c r="E2366" s="54">
        <v>5</v>
      </c>
      <c r="F2366" s="55">
        <v>1902.4659999999999</v>
      </c>
      <c r="G2366" s="55">
        <v>1326.2860000000001</v>
      </c>
    </row>
    <row r="2367" spans="1:7" ht="10.050000000000001" customHeight="1">
      <c r="A2367" s="52" t="s">
        <v>421</v>
      </c>
      <c r="B2367" s="52" t="s">
        <v>310</v>
      </c>
      <c r="C2367" s="53">
        <v>2014</v>
      </c>
      <c r="D2367" s="52" t="s">
        <v>118</v>
      </c>
      <c r="E2367" s="54">
        <v>6</v>
      </c>
      <c r="F2367" s="55">
        <v>2466.029</v>
      </c>
      <c r="G2367" s="55">
        <v>302.19499999999999</v>
      </c>
    </row>
    <row r="2368" spans="1:7" ht="10.050000000000001" customHeight="1">
      <c r="A2368" s="52" t="s">
        <v>421</v>
      </c>
      <c r="B2368" s="52" t="s">
        <v>310</v>
      </c>
      <c r="C2368" s="53">
        <v>2014</v>
      </c>
      <c r="D2368" s="52" t="s">
        <v>119</v>
      </c>
      <c r="E2368" s="54">
        <v>7</v>
      </c>
      <c r="F2368" s="55">
        <v>522.53099999999995</v>
      </c>
      <c r="G2368" s="55">
        <v>221.51400000000001</v>
      </c>
    </row>
    <row r="2369" spans="1:7" ht="10.050000000000001" customHeight="1">
      <c r="A2369" s="52" t="s">
        <v>421</v>
      </c>
      <c r="B2369" s="52" t="s">
        <v>310</v>
      </c>
      <c r="C2369" s="53">
        <v>2014</v>
      </c>
      <c r="D2369" s="52" t="s">
        <v>119</v>
      </c>
      <c r="E2369" s="54">
        <v>8</v>
      </c>
      <c r="F2369" s="55">
        <v>490.18400000000003</v>
      </c>
      <c r="G2369" s="55">
        <v>1022.9589999999999</v>
      </c>
    </row>
    <row r="2370" spans="1:7" ht="10.050000000000001" customHeight="1">
      <c r="A2370" s="52" t="s">
        <v>421</v>
      </c>
      <c r="B2370" s="52" t="s">
        <v>310</v>
      </c>
      <c r="C2370" s="53">
        <v>2014</v>
      </c>
      <c r="D2370" s="52" t="s">
        <v>119</v>
      </c>
      <c r="E2370" s="54">
        <v>9</v>
      </c>
      <c r="F2370" s="55">
        <v>388.82100000000003</v>
      </c>
      <c r="G2370" s="55">
        <v>1299.07</v>
      </c>
    </row>
    <row r="2371" spans="1:7" ht="10.050000000000001" customHeight="1">
      <c r="A2371" s="52" t="s">
        <v>421</v>
      </c>
      <c r="B2371" s="52" t="s">
        <v>310</v>
      </c>
      <c r="C2371" s="53">
        <v>2014</v>
      </c>
      <c r="D2371" s="52" t="s">
        <v>119</v>
      </c>
      <c r="E2371" s="54">
        <v>10</v>
      </c>
      <c r="F2371" s="55">
        <v>679.21</v>
      </c>
      <c r="G2371" s="55">
        <v>1112.979</v>
      </c>
    </row>
    <row r="2372" spans="1:7" ht="10.050000000000001" customHeight="1">
      <c r="A2372" s="52" t="s">
        <v>421</v>
      </c>
      <c r="B2372" s="52" t="s">
        <v>310</v>
      </c>
      <c r="C2372" s="53">
        <v>2014</v>
      </c>
      <c r="D2372" s="52" t="s">
        <v>119</v>
      </c>
      <c r="E2372" s="54">
        <v>11</v>
      </c>
      <c r="F2372" s="55">
        <v>533.995</v>
      </c>
      <c r="G2372" s="55">
        <v>927.84500000000003</v>
      </c>
    </row>
    <row r="2373" spans="1:7" ht="10.050000000000001" customHeight="1">
      <c r="A2373" s="52" t="s">
        <v>421</v>
      </c>
      <c r="B2373" s="52" t="s">
        <v>310</v>
      </c>
      <c r="C2373" s="53">
        <v>2014</v>
      </c>
      <c r="D2373" s="52" t="s">
        <v>119</v>
      </c>
      <c r="E2373" s="54">
        <v>12</v>
      </c>
      <c r="F2373" s="55">
        <v>608.37900000000002</v>
      </c>
      <c r="G2373" s="55">
        <v>835.90300000000002</v>
      </c>
    </row>
    <row r="2374" spans="1:7" ht="10.050000000000001" customHeight="1">
      <c r="A2374" s="52" t="s">
        <v>421</v>
      </c>
      <c r="B2374" s="52" t="s">
        <v>310</v>
      </c>
      <c r="C2374" s="53">
        <v>2015</v>
      </c>
      <c r="D2374" s="52" t="s">
        <v>119</v>
      </c>
      <c r="E2374" s="54">
        <v>1</v>
      </c>
      <c r="F2374" s="55">
        <v>663.18799999999999</v>
      </c>
      <c r="G2374" s="55">
        <v>826.1</v>
      </c>
    </row>
    <row r="2375" spans="1:7" ht="10.050000000000001" customHeight="1">
      <c r="A2375" s="52" t="s">
        <v>421</v>
      </c>
      <c r="B2375" s="52" t="s">
        <v>310</v>
      </c>
      <c r="C2375" s="53">
        <v>2015</v>
      </c>
      <c r="D2375" s="52" t="s">
        <v>119</v>
      </c>
      <c r="E2375" s="54">
        <v>2</v>
      </c>
      <c r="F2375" s="55">
        <v>583.71100000000001</v>
      </c>
      <c r="G2375" s="55">
        <v>884.37099999999998</v>
      </c>
    </row>
    <row r="2376" spans="1:7" ht="10.050000000000001" customHeight="1">
      <c r="A2376" s="52" t="s">
        <v>421</v>
      </c>
      <c r="B2376" s="52" t="s">
        <v>310</v>
      </c>
      <c r="C2376" s="53">
        <v>2015</v>
      </c>
      <c r="D2376" s="52" t="s">
        <v>119</v>
      </c>
      <c r="E2376" s="54">
        <v>3</v>
      </c>
      <c r="F2376" s="55">
        <v>512.97199999999998</v>
      </c>
      <c r="G2376" s="55">
        <v>775.80100000000004</v>
      </c>
    </row>
    <row r="2377" spans="1:7" ht="10.050000000000001" customHeight="1">
      <c r="A2377" s="52" t="s">
        <v>421</v>
      </c>
      <c r="B2377" s="52" t="s">
        <v>310</v>
      </c>
      <c r="C2377" s="53">
        <v>2015</v>
      </c>
      <c r="D2377" s="52" t="s">
        <v>119</v>
      </c>
      <c r="E2377" s="54">
        <v>4</v>
      </c>
      <c r="F2377" s="55">
        <v>1654.29</v>
      </c>
      <c r="G2377" s="55">
        <v>1267.751</v>
      </c>
    </row>
    <row r="2378" spans="1:7" ht="10.050000000000001" customHeight="1">
      <c r="A2378" s="52" t="s">
        <v>421</v>
      </c>
      <c r="B2378" s="52" t="s">
        <v>310</v>
      </c>
      <c r="C2378" s="53">
        <v>2015</v>
      </c>
      <c r="D2378" s="52" t="s">
        <v>119</v>
      </c>
      <c r="E2378" s="54">
        <v>5</v>
      </c>
      <c r="F2378" s="55">
        <v>1577.4659999999999</v>
      </c>
      <c r="G2378" s="55">
        <v>684.37300000000005</v>
      </c>
    </row>
    <row r="2379" spans="1:7" ht="10.050000000000001" customHeight="1">
      <c r="A2379" s="52" t="s">
        <v>421</v>
      </c>
      <c r="B2379" s="52" t="s">
        <v>310</v>
      </c>
      <c r="C2379" s="53">
        <v>2015</v>
      </c>
      <c r="D2379" s="52" t="s">
        <v>119</v>
      </c>
      <c r="E2379" s="54">
        <v>6</v>
      </c>
      <c r="F2379" s="55">
        <v>1070.2719999999999</v>
      </c>
      <c r="G2379" s="55">
        <v>518.06700000000001</v>
      </c>
    </row>
    <row r="2380" spans="1:7" ht="10.050000000000001" customHeight="1">
      <c r="A2380" s="52" t="s">
        <v>421</v>
      </c>
      <c r="B2380" s="52" t="s">
        <v>310</v>
      </c>
      <c r="C2380" s="53">
        <v>2015</v>
      </c>
      <c r="D2380" s="52" t="s">
        <v>120</v>
      </c>
      <c r="E2380" s="54">
        <v>7</v>
      </c>
      <c r="F2380" s="55">
        <v>516.04600000000005</v>
      </c>
      <c r="G2380" s="55">
        <v>1039.9580000000001</v>
      </c>
    </row>
    <row r="2381" spans="1:7" ht="10.050000000000001" customHeight="1">
      <c r="A2381" s="52" t="s">
        <v>421</v>
      </c>
      <c r="B2381" s="52" t="s">
        <v>310</v>
      </c>
      <c r="C2381" s="53">
        <v>2015</v>
      </c>
      <c r="D2381" s="52" t="s">
        <v>120</v>
      </c>
      <c r="E2381" s="54">
        <v>8</v>
      </c>
      <c r="F2381" s="55">
        <v>425.52600000000001</v>
      </c>
      <c r="G2381" s="55">
        <v>1256.8489999999999</v>
      </c>
    </row>
    <row r="2382" spans="1:7" ht="10.050000000000001" customHeight="1">
      <c r="A2382" s="52" t="s">
        <v>421</v>
      </c>
      <c r="B2382" s="52" t="s">
        <v>310</v>
      </c>
      <c r="C2382" s="53">
        <v>2015</v>
      </c>
      <c r="D2382" s="52" t="s">
        <v>120</v>
      </c>
      <c r="E2382" s="54">
        <v>9</v>
      </c>
      <c r="F2382" s="55">
        <v>254.98500000000001</v>
      </c>
      <c r="G2382" s="55">
        <v>1313.104</v>
      </c>
    </row>
    <row r="2383" spans="1:7" ht="10.050000000000001" customHeight="1">
      <c r="A2383" s="52" t="s">
        <v>421</v>
      </c>
      <c r="B2383" s="52" t="s">
        <v>310</v>
      </c>
      <c r="C2383" s="53">
        <v>2015</v>
      </c>
      <c r="D2383" s="52" t="s">
        <v>120</v>
      </c>
      <c r="E2383" s="54">
        <v>10</v>
      </c>
      <c r="F2383" s="55">
        <v>330.50900000000001</v>
      </c>
      <c r="G2383" s="55">
        <v>2551.1289999999999</v>
      </c>
    </row>
    <row r="2384" spans="1:7" ht="10.050000000000001" customHeight="1">
      <c r="A2384" s="52" t="s">
        <v>421</v>
      </c>
      <c r="B2384" s="52" t="s">
        <v>310</v>
      </c>
      <c r="C2384" s="53">
        <v>2015</v>
      </c>
      <c r="D2384" s="52" t="s">
        <v>120</v>
      </c>
      <c r="E2384" s="54">
        <v>11</v>
      </c>
      <c r="F2384" s="55">
        <v>2050.4229999999998</v>
      </c>
      <c r="G2384" s="55">
        <v>1850.4739999999999</v>
      </c>
    </row>
    <row r="2385" spans="1:7" ht="10.050000000000001" customHeight="1">
      <c r="A2385" s="52" t="s">
        <v>421</v>
      </c>
      <c r="B2385" s="52" t="s">
        <v>310</v>
      </c>
      <c r="C2385" s="53">
        <v>2015</v>
      </c>
      <c r="D2385" s="52" t="s">
        <v>120</v>
      </c>
      <c r="E2385" s="54">
        <v>12</v>
      </c>
      <c r="F2385" s="55">
        <v>1322.97</v>
      </c>
      <c r="G2385" s="55">
        <v>958.904</v>
      </c>
    </row>
    <row r="2386" spans="1:7" ht="10.050000000000001" customHeight="1">
      <c r="A2386" s="52" t="s">
        <v>421</v>
      </c>
      <c r="B2386" s="52" t="s">
        <v>310</v>
      </c>
      <c r="C2386" s="53">
        <v>2016</v>
      </c>
      <c r="D2386" s="52" t="s">
        <v>120</v>
      </c>
      <c r="E2386" s="54">
        <v>1</v>
      </c>
      <c r="F2386" s="55">
        <v>910.14</v>
      </c>
      <c r="G2386" s="55">
        <v>1565.2180000000001</v>
      </c>
    </row>
    <row r="2387" spans="1:7" ht="10.050000000000001" customHeight="1">
      <c r="A2387" s="52" t="s">
        <v>421</v>
      </c>
      <c r="B2387" s="52" t="s">
        <v>310</v>
      </c>
      <c r="C2387" s="53">
        <v>2016</v>
      </c>
      <c r="D2387" s="52" t="s">
        <v>120</v>
      </c>
      <c r="E2387" s="54">
        <v>2</v>
      </c>
      <c r="F2387" s="55">
        <v>1287.6489999999999</v>
      </c>
      <c r="G2387" s="55">
        <v>760.67399999999998</v>
      </c>
    </row>
    <row r="2388" spans="1:7" ht="10.050000000000001" customHeight="1">
      <c r="A2388" s="52" t="s">
        <v>421</v>
      </c>
      <c r="B2388" s="52" t="s">
        <v>310</v>
      </c>
      <c r="C2388" s="53">
        <v>2016</v>
      </c>
      <c r="D2388" s="52" t="s">
        <v>120</v>
      </c>
      <c r="E2388" s="54">
        <v>3</v>
      </c>
      <c r="F2388" s="55">
        <v>397.84</v>
      </c>
      <c r="G2388" s="55">
        <v>551.28800000000001</v>
      </c>
    </row>
    <row r="2389" spans="1:7" ht="10.050000000000001" customHeight="1">
      <c r="A2389" s="52" t="s">
        <v>421</v>
      </c>
      <c r="B2389" s="52" t="s">
        <v>310</v>
      </c>
      <c r="C2389" s="53">
        <v>2016</v>
      </c>
      <c r="D2389" s="52" t="s">
        <v>120</v>
      </c>
      <c r="E2389" s="54">
        <v>4</v>
      </c>
      <c r="F2389" s="55">
        <v>479.9</v>
      </c>
      <c r="G2389" s="55">
        <v>1309.4369999999999</v>
      </c>
    </row>
    <row r="2390" spans="1:7" ht="10.050000000000001" customHeight="1">
      <c r="A2390" s="52" t="s">
        <v>421</v>
      </c>
      <c r="B2390" s="52" t="s">
        <v>310</v>
      </c>
      <c r="C2390" s="53">
        <v>2016</v>
      </c>
      <c r="D2390" s="52" t="s">
        <v>120</v>
      </c>
      <c r="E2390" s="54">
        <v>5</v>
      </c>
      <c r="F2390" s="55">
        <v>1090.624</v>
      </c>
      <c r="G2390" s="55">
        <v>638.68299999999999</v>
      </c>
    </row>
    <row r="2391" spans="1:7" ht="10.050000000000001" customHeight="1">
      <c r="A2391" s="52" t="s">
        <v>421</v>
      </c>
      <c r="B2391" s="52" t="s">
        <v>310</v>
      </c>
      <c r="C2391" s="53">
        <v>2016</v>
      </c>
      <c r="D2391" s="52" t="s">
        <v>120</v>
      </c>
      <c r="E2391" s="54">
        <v>6</v>
      </c>
      <c r="F2391" s="55">
        <v>531.83900000000006</v>
      </c>
      <c r="G2391" s="55">
        <v>539.61300000000006</v>
      </c>
    </row>
    <row r="2392" spans="1:7" ht="10.050000000000001" customHeight="1">
      <c r="A2392" s="52" t="s">
        <v>421</v>
      </c>
      <c r="B2392" s="52" t="s">
        <v>310</v>
      </c>
      <c r="C2392" s="53">
        <v>2016</v>
      </c>
      <c r="D2392" s="52" t="s">
        <v>121</v>
      </c>
      <c r="E2392" s="54">
        <v>7</v>
      </c>
      <c r="F2392" s="55">
        <v>362.88099999999997</v>
      </c>
      <c r="G2392" s="55">
        <v>213.6</v>
      </c>
    </row>
    <row r="2393" spans="1:7" ht="10.050000000000001" customHeight="1">
      <c r="A2393" s="52" t="s">
        <v>421</v>
      </c>
      <c r="B2393" s="52" t="s">
        <v>310</v>
      </c>
      <c r="C2393" s="53">
        <v>2016</v>
      </c>
      <c r="D2393" s="52" t="s">
        <v>121</v>
      </c>
      <c r="E2393" s="54">
        <v>8</v>
      </c>
      <c r="F2393" s="55">
        <v>521.30999999999995</v>
      </c>
      <c r="G2393" s="55">
        <v>796.09299999999996</v>
      </c>
    </row>
    <row r="2394" spans="1:7" ht="10.050000000000001" customHeight="1">
      <c r="A2394" s="52" t="s">
        <v>421</v>
      </c>
      <c r="B2394" s="52" t="s">
        <v>310</v>
      </c>
      <c r="C2394" s="53">
        <v>2016</v>
      </c>
      <c r="D2394" s="52" t="s">
        <v>121</v>
      </c>
      <c r="E2394" s="54">
        <v>9</v>
      </c>
      <c r="F2394" s="55">
        <v>517.20000000000005</v>
      </c>
      <c r="G2394" s="55">
        <v>818.61699999999996</v>
      </c>
    </row>
    <row r="2395" spans="1:7" ht="10.050000000000001" customHeight="1">
      <c r="A2395" s="52" t="s">
        <v>421</v>
      </c>
      <c r="B2395" s="52" t="s">
        <v>310</v>
      </c>
      <c r="C2395" s="53">
        <v>2016</v>
      </c>
      <c r="D2395" s="52" t="s">
        <v>121</v>
      </c>
      <c r="E2395" s="54">
        <v>10</v>
      </c>
      <c r="F2395" s="55">
        <v>284.00700000000001</v>
      </c>
      <c r="G2395" s="55">
        <v>588.06100000000004</v>
      </c>
    </row>
    <row r="2396" spans="1:7" ht="10.050000000000001" customHeight="1">
      <c r="A2396" s="52" t="s">
        <v>421</v>
      </c>
      <c r="B2396" s="52" t="s">
        <v>310</v>
      </c>
      <c r="C2396" s="53">
        <v>2016</v>
      </c>
      <c r="D2396" s="52" t="s">
        <v>121</v>
      </c>
      <c r="E2396" s="54">
        <v>11</v>
      </c>
      <c r="F2396" s="55">
        <v>464.65899999999999</v>
      </c>
      <c r="G2396" s="55">
        <v>664.48299999999995</v>
      </c>
    </row>
    <row r="2397" spans="1:7" ht="10.050000000000001" customHeight="1">
      <c r="A2397" s="52" t="s">
        <v>421</v>
      </c>
      <c r="B2397" s="52" t="s">
        <v>310</v>
      </c>
      <c r="C2397" s="53">
        <v>2016</v>
      </c>
      <c r="D2397" s="52" t="s">
        <v>121</v>
      </c>
      <c r="E2397" s="54">
        <v>12</v>
      </c>
      <c r="F2397" s="55">
        <v>131.09299999999999</v>
      </c>
      <c r="G2397" s="55">
        <v>600.03499999999997</v>
      </c>
    </row>
    <row r="2398" spans="1:7" ht="10.050000000000001" customHeight="1">
      <c r="A2398" s="52" t="s">
        <v>421</v>
      </c>
      <c r="B2398" s="52" t="s">
        <v>310</v>
      </c>
      <c r="C2398" s="53">
        <v>2017</v>
      </c>
      <c r="D2398" s="52" t="s">
        <v>121</v>
      </c>
      <c r="E2398" s="54">
        <v>1</v>
      </c>
      <c r="F2398" s="55">
        <v>327.07900000000001</v>
      </c>
      <c r="G2398" s="55">
        <v>558.69600000000003</v>
      </c>
    </row>
    <row r="2399" spans="1:7" ht="10.050000000000001" customHeight="1">
      <c r="A2399" s="52" t="s">
        <v>421</v>
      </c>
      <c r="B2399" s="52" t="s">
        <v>310</v>
      </c>
      <c r="C2399" s="53">
        <v>2017</v>
      </c>
      <c r="D2399" s="52" t="s">
        <v>121</v>
      </c>
      <c r="E2399" s="54">
        <v>2</v>
      </c>
      <c r="F2399" s="55">
        <v>337.34800000000001</v>
      </c>
      <c r="G2399" s="55">
        <v>454.34899999999999</v>
      </c>
    </row>
    <row r="2400" spans="1:7" ht="10.050000000000001" customHeight="1">
      <c r="A2400" s="52" t="s">
        <v>421</v>
      </c>
      <c r="B2400" s="52" t="s">
        <v>310</v>
      </c>
      <c r="C2400" s="53">
        <v>2017</v>
      </c>
      <c r="D2400" s="52" t="s">
        <v>121</v>
      </c>
      <c r="E2400" s="54">
        <v>3</v>
      </c>
      <c r="F2400" s="55">
        <v>382.28800000000001</v>
      </c>
      <c r="G2400" s="55">
        <v>416.63799999999998</v>
      </c>
    </row>
    <row r="2401" spans="1:7" ht="10.050000000000001" customHeight="1">
      <c r="A2401" s="52" t="s">
        <v>421</v>
      </c>
      <c r="B2401" s="52" t="s">
        <v>310</v>
      </c>
      <c r="C2401" s="53">
        <v>2017</v>
      </c>
      <c r="D2401" s="52" t="s">
        <v>121</v>
      </c>
      <c r="E2401" s="54">
        <v>4</v>
      </c>
      <c r="F2401" s="55">
        <v>277.60500000000002</v>
      </c>
      <c r="G2401" s="55">
        <v>386.93700000000001</v>
      </c>
    </row>
    <row r="2402" spans="1:7" ht="10.050000000000001" customHeight="1">
      <c r="A2402" s="52" t="s">
        <v>421</v>
      </c>
      <c r="B2402" s="52" t="s">
        <v>310</v>
      </c>
      <c r="C2402" s="53">
        <v>2017</v>
      </c>
      <c r="D2402" s="52" t="s">
        <v>121</v>
      </c>
      <c r="E2402" s="54">
        <v>5</v>
      </c>
      <c r="F2402" s="55">
        <v>305.54000000000002</v>
      </c>
      <c r="G2402" s="55">
        <v>311.09699999999998</v>
      </c>
    </row>
    <row r="2403" spans="1:7" ht="10.050000000000001" customHeight="1">
      <c r="A2403" s="52" t="s">
        <v>421</v>
      </c>
      <c r="B2403" s="52" t="s">
        <v>310</v>
      </c>
      <c r="C2403" s="53">
        <v>2017</v>
      </c>
      <c r="D2403" s="52" t="s">
        <v>121</v>
      </c>
      <c r="E2403" s="54">
        <v>6</v>
      </c>
      <c r="F2403" s="55">
        <v>644.40599999999995</v>
      </c>
      <c r="G2403" s="55">
        <v>61.468000000000004</v>
      </c>
    </row>
    <row r="2404" spans="1:7" ht="10.050000000000001" customHeight="1">
      <c r="A2404" s="52" t="s">
        <v>421</v>
      </c>
      <c r="B2404" s="52" t="s">
        <v>310</v>
      </c>
      <c r="C2404" s="53">
        <v>2017</v>
      </c>
      <c r="D2404" s="52" t="s">
        <v>122</v>
      </c>
      <c r="E2404" s="54">
        <v>7</v>
      </c>
      <c r="F2404" s="55">
        <v>407.75799999999998</v>
      </c>
      <c r="G2404" s="55">
        <v>145.46600000000001</v>
      </c>
    </row>
    <row r="2405" spans="1:7" ht="10.050000000000001" customHeight="1">
      <c r="A2405" s="52" t="s">
        <v>421</v>
      </c>
      <c r="B2405" s="52" t="s">
        <v>310</v>
      </c>
      <c r="C2405" s="53">
        <v>2017</v>
      </c>
      <c r="D2405" s="52" t="s">
        <v>122</v>
      </c>
      <c r="E2405" s="54">
        <v>8</v>
      </c>
      <c r="F2405" s="55">
        <v>378.38200000000001</v>
      </c>
      <c r="G2405" s="55">
        <v>441.50099999999998</v>
      </c>
    </row>
    <row r="2406" spans="1:7" ht="10.050000000000001" customHeight="1">
      <c r="A2406" s="52" t="s">
        <v>421</v>
      </c>
      <c r="B2406" s="52" t="s">
        <v>310</v>
      </c>
      <c r="C2406" s="53">
        <v>2017</v>
      </c>
      <c r="D2406" s="52" t="s">
        <v>122</v>
      </c>
      <c r="E2406" s="54">
        <v>9</v>
      </c>
      <c r="F2406" s="55">
        <v>580.06299999999999</v>
      </c>
      <c r="G2406" s="55">
        <v>453.899</v>
      </c>
    </row>
    <row r="2407" spans="1:7" ht="10.050000000000001" customHeight="1">
      <c r="A2407" s="52" t="s">
        <v>421</v>
      </c>
      <c r="B2407" s="52" t="s">
        <v>310</v>
      </c>
      <c r="C2407" s="53">
        <v>2017</v>
      </c>
      <c r="D2407" s="52" t="s">
        <v>122</v>
      </c>
      <c r="E2407" s="54">
        <v>10</v>
      </c>
      <c r="F2407" s="55">
        <v>325.80599999999998</v>
      </c>
      <c r="G2407" s="55">
        <v>456.565</v>
      </c>
    </row>
    <row r="2408" spans="1:7" ht="10.050000000000001" customHeight="1">
      <c r="A2408" s="52" t="s">
        <v>421</v>
      </c>
      <c r="B2408" s="52" t="s">
        <v>310</v>
      </c>
      <c r="C2408" s="53">
        <v>2017</v>
      </c>
      <c r="D2408" s="52" t="s">
        <v>122</v>
      </c>
      <c r="E2408" s="54">
        <v>11</v>
      </c>
      <c r="F2408" s="55">
        <v>391.24299999999999</v>
      </c>
      <c r="G2408" s="55">
        <v>489.69099999999997</v>
      </c>
    </row>
    <row r="2409" spans="1:7" ht="10.050000000000001" customHeight="1">
      <c r="A2409" s="52" t="s">
        <v>421</v>
      </c>
      <c r="B2409" s="52" t="s">
        <v>310</v>
      </c>
      <c r="C2409" s="53">
        <v>2017</v>
      </c>
      <c r="D2409" s="52" t="s">
        <v>122</v>
      </c>
      <c r="E2409" s="54">
        <v>12</v>
      </c>
      <c r="F2409" s="55">
        <v>158.494</v>
      </c>
      <c r="G2409" s="55">
        <v>374.22500000000002</v>
      </c>
    </row>
    <row r="2410" spans="1:7" ht="10.050000000000001" customHeight="1">
      <c r="A2410" s="52" t="s">
        <v>421</v>
      </c>
      <c r="B2410" s="52" t="s">
        <v>310</v>
      </c>
      <c r="C2410" s="53">
        <v>2018</v>
      </c>
      <c r="D2410" s="52" t="s">
        <v>122</v>
      </c>
      <c r="E2410" s="54">
        <v>1</v>
      </c>
      <c r="F2410" s="55">
        <v>85.007999999999996</v>
      </c>
      <c r="G2410" s="55">
        <v>347.39699999999999</v>
      </c>
    </row>
    <row r="2411" spans="1:7" ht="10.050000000000001" customHeight="1">
      <c r="A2411" s="52" t="s">
        <v>421</v>
      </c>
      <c r="B2411" s="52" t="s">
        <v>310</v>
      </c>
      <c r="C2411" s="53">
        <v>2018</v>
      </c>
      <c r="D2411" s="52" t="s">
        <v>122</v>
      </c>
      <c r="E2411" s="54">
        <v>2</v>
      </c>
      <c r="F2411" s="55">
        <v>54.103000000000002</v>
      </c>
      <c r="G2411" s="55">
        <v>336.23399999999998</v>
      </c>
    </row>
    <row r="2412" spans="1:7" ht="10.050000000000001" customHeight="1">
      <c r="A2412" s="52" t="s">
        <v>421</v>
      </c>
      <c r="B2412" s="52" t="s">
        <v>310</v>
      </c>
      <c r="C2412" s="53">
        <v>2018</v>
      </c>
      <c r="D2412" s="52" t="s">
        <v>122</v>
      </c>
      <c r="E2412" s="54">
        <v>3</v>
      </c>
      <c r="F2412" s="55">
        <v>123.444</v>
      </c>
      <c r="G2412" s="55">
        <v>300.38</v>
      </c>
    </row>
    <row r="2413" spans="1:7" ht="10.050000000000001" customHeight="1">
      <c r="A2413" s="52" t="s">
        <v>421</v>
      </c>
      <c r="B2413" s="52" t="s">
        <v>310</v>
      </c>
      <c r="C2413" s="53">
        <v>2018</v>
      </c>
      <c r="D2413" s="52" t="s">
        <v>122</v>
      </c>
      <c r="E2413" s="54">
        <v>4</v>
      </c>
      <c r="F2413" s="55">
        <v>133.18</v>
      </c>
      <c r="G2413" s="55">
        <v>225.72</v>
      </c>
    </row>
    <row r="2414" spans="1:7" ht="10.050000000000001" customHeight="1">
      <c r="A2414" s="52" t="s">
        <v>421</v>
      </c>
      <c r="B2414" s="52" t="s">
        <v>310</v>
      </c>
      <c r="C2414" s="53">
        <v>2018</v>
      </c>
      <c r="D2414" s="52" t="s">
        <v>122</v>
      </c>
      <c r="E2414" s="54">
        <v>5</v>
      </c>
      <c r="F2414" s="55">
        <v>102.741</v>
      </c>
      <c r="G2414" s="55">
        <v>211.82300000000001</v>
      </c>
    </row>
    <row r="2415" spans="1:7" ht="10.050000000000001" customHeight="1">
      <c r="A2415" s="52" t="s">
        <v>421</v>
      </c>
      <c r="B2415" s="52" t="s">
        <v>310</v>
      </c>
      <c r="C2415" s="53">
        <v>2018</v>
      </c>
      <c r="D2415" s="52" t="s">
        <v>122</v>
      </c>
      <c r="E2415" s="54">
        <v>6</v>
      </c>
      <c r="F2415" s="55">
        <v>877.55600000000004</v>
      </c>
      <c r="G2415" s="55">
        <v>295.952</v>
      </c>
    </row>
    <row r="2416" spans="1:7" ht="10.050000000000001" customHeight="1">
      <c r="A2416" s="52" t="s">
        <v>421</v>
      </c>
      <c r="B2416" s="52" t="s">
        <v>310</v>
      </c>
      <c r="C2416" s="53">
        <v>2018</v>
      </c>
      <c r="D2416" s="52" t="s">
        <v>123</v>
      </c>
      <c r="E2416" s="54">
        <v>7</v>
      </c>
      <c r="F2416" s="55">
        <v>522.20299999999997</v>
      </c>
      <c r="G2416" s="55">
        <v>340.02800000000002</v>
      </c>
    </row>
    <row r="2417" spans="1:7" ht="10.050000000000001" customHeight="1">
      <c r="A2417" s="52" t="s">
        <v>421</v>
      </c>
      <c r="B2417" s="52" t="s">
        <v>310</v>
      </c>
      <c r="C2417" s="53">
        <v>2018</v>
      </c>
      <c r="D2417" s="52" t="s">
        <v>123</v>
      </c>
      <c r="E2417" s="54">
        <v>8</v>
      </c>
      <c r="F2417" s="55">
        <v>263.23399999999998</v>
      </c>
      <c r="G2417" s="55">
        <v>620.83299999999997</v>
      </c>
    </row>
    <row r="2418" spans="1:7" ht="10.050000000000001" customHeight="1">
      <c r="A2418" s="52" t="s">
        <v>421</v>
      </c>
      <c r="B2418" s="52" t="s">
        <v>310</v>
      </c>
      <c r="C2418" s="53">
        <v>2018</v>
      </c>
      <c r="D2418" s="52" t="s">
        <v>123</v>
      </c>
      <c r="E2418" s="54">
        <v>9</v>
      </c>
      <c r="F2418" s="55">
        <v>207.54400000000001</v>
      </c>
      <c r="G2418" s="55">
        <v>621.92899999999997</v>
      </c>
    </row>
    <row r="2419" spans="1:7" ht="10.050000000000001" customHeight="1">
      <c r="A2419" s="52" t="s">
        <v>421</v>
      </c>
      <c r="B2419" s="52" t="s">
        <v>310</v>
      </c>
      <c r="C2419" s="53">
        <v>2018</v>
      </c>
      <c r="D2419" s="52" t="s">
        <v>123</v>
      </c>
      <c r="E2419" s="54">
        <v>10</v>
      </c>
      <c r="F2419" s="55">
        <v>537.83500000000004</v>
      </c>
      <c r="G2419" s="55">
        <v>459.30099999999999</v>
      </c>
    </row>
    <row r="2420" spans="1:7" ht="10.050000000000001" customHeight="1">
      <c r="A2420" s="52" t="s">
        <v>421</v>
      </c>
      <c r="B2420" s="52" t="s">
        <v>310</v>
      </c>
      <c r="C2420" s="53">
        <v>2018</v>
      </c>
      <c r="D2420" s="52" t="s">
        <v>123</v>
      </c>
      <c r="E2420" s="54">
        <v>11</v>
      </c>
      <c r="F2420" s="55">
        <v>282.57600000000002</v>
      </c>
      <c r="G2420" s="55">
        <v>450.13600000000002</v>
      </c>
    </row>
    <row r="2421" spans="1:7" ht="10.050000000000001" customHeight="1">
      <c r="A2421" s="52" t="s">
        <v>421</v>
      </c>
      <c r="B2421" s="52" t="s">
        <v>310</v>
      </c>
      <c r="C2421" s="53">
        <v>2018</v>
      </c>
      <c r="D2421" s="52" t="s">
        <v>123</v>
      </c>
      <c r="E2421" s="54">
        <v>12</v>
      </c>
      <c r="F2421" s="55">
        <v>250.13399999999999</v>
      </c>
      <c r="G2421" s="55">
        <v>377.95</v>
      </c>
    </row>
    <row r="2422" spans="1:7" ht="10.050000000000001" customHeight="1">
      <c r="A2422" s="52" t="s">
        <v>421</v>
      </c>
      <c r="B2422" s="52" t="s">
        <v>310</v>
      </c>
      <c r="C2422" s="53">
        <v>2019</v>
      </c>
      <c r="D2422" s="52" t="s">
        <v>123</v>
      </c>
      <c r="E2422" s="54">
        <v>1</v>
      </c>
      <c r="F2422" s="55">
        <v>38.774999999999999</v>
      </c>
      <c r="G2422" s="55">
        <v>364.23899999999998</v>
      </c>
    </row>
    <row r="2423" spans="1:7" ht="10.050000000000001" customHeight="1">
      <c r="A2423" s="52" t="s">
        <v>421</v>
      </c>
      <c r="B2423" s="52" t="s">
        <v>310</v>
      </c>
      <c r="C2423" s="53">
        <v>2019</v>
      </c>
      <c r="D2423" s="52" t="s">
        <v>123</v>
      </c>
      <c r="E2423" s="54">
        <v>2</v>
      </c>
      <c r="F2423" s="55">
        <v>658.89</v>
      </c>
      <c r="G2423" s="55">
        <v>242.96899999999999</v>
      </c>
    </row>
    <row r="2424" spans="1:7" ht="10.050000000000001" customHeight="1">
      <c r="A2424" s="52" t="s">
        <v>421</v>
      </c>
      <c r="B2424" s="52" t="s">
        <v>310</v>
      </c>
      <c r="C2424" s="53">
        <v>2019</v>
      </c>
      <c r="D2424" s="52" t="s">
        <v>123</v>
      </c>
      <c r="E2424" s="54">
        <v>3</v>
      </c>
      <c r="F2424" s="55">
        <v>169.34800000000001</v>
      </c>
      <c r="G2424" s="55">
        <v>318.75799999999998</v>
      </c>
    </row>
    <row r="2425" spans="1:7" ht="10.050000000000001" customHeight="1">
      <c r="A2425" s="52" t="s">
        <v>421</v>
      </c>
      <c r="B2425" s="52" t="s">
        <v>310</v>
      </c>
      <c r="C2425" s="53">
        <v>2019</v>
      </c>
      <c r="D2425" s="52" t="s">
        <v>123</v>
      </c>
      <c r="E2425" s="54">
        <v>4</v>
      </c>
      <c r="F2425" s="55">
        <v>245.37700000000001</v>
      </c>
      <c r="G2425" s="55">
        <v>337.22300000000001</v>
      </c>
    </row>
    <row r="2426" spans="1:7" ht="10.050000000000001" customHeight="1">
      <c r="A2426" s="52" t="s">
        <v>421</v>
      </c>
      <c r="B2426" s="52" t="s">
        <v>310</v>
      </c>
      <c r="C2426" s="53">
        <v>2019</v>
      </c>
      <c r="D2426" s="52" t="s">
        <v>123</v>
      </c>
      <c r="E2426" s="54">
        <v>5</v>
      </c>
      <c r="F2426" s="55">
        <v>511.04199999999997</v>
      </c>
      <c r="G2426" s="55">
        <v>248.60400000000001</v>
      </c>
    </row>
    <row r="2427" spans="1:7" ht="10.050000000000001" customHeight="1">
      <c r="A2427" s="52" t="s">
        <v>421</v>
      </c>
      <c r="B2427" s="52" t="s">
        <v>310</v>
      </c>
      <c r="C2427" s="53">
        <v>2019</v>
      </c>
      <c r="D2427" s="52" t="s">
        <v>123</v>
      </c>
      <c r="E2427" s="54">
        <v>6</v>
      </c>
      <c r="F2427" s="55">
        <v>409</v>
      </c>
      <c r="G2427" s="55">
        <v>189.06100000000001</v>
      </c>
    </row>
    <row r="2428" spans="1:7" ht="10.050000000000001" customHeight="1">
      <c r="A2428" s="52" t="s">
        <v>421</v>
      </c>
      <c r="B2428" s="52" t="s">
        <v>310</v>
      </c>
      <c r="C2428" s="53">
        <v>2019</v>
      </c>
      <c r="D2428" s="52" t="s">
        <v>124</v>
      </c>
      <c r="E2428" s="54">
        <v>7</v>
      </c>
      <c r="F2428" s="55">
        <v>221.85900000000001</v>
      </c>
      <c r="G2428" s="55">
        <v>277.54700000000003</v>
      </c>
    </row>
    <row r="2429" spans="1:7" ht="10.050000000000001" customHeight="1">
      <c r="A2429" s="52" t="s">
        <v>421</v>
      </c>
      <c r="B2429" s="52" t="s">
        <v>310</v>
      </c>
      <c r="C2429" s="53">
        <v>2019</v>
      </c>
      <c r="D2429" s="52" t="s">
        <v>124</v>
      </c>
      <c r="E2429" s="54">
        <v>8</v>
      </c>
      <c r="F2429" s="55">
        <v>359.62099999999998</v>
      </c>
      <c r="G2429" s="55">
        <v>845.03099999999995</v>
      </c>
    </row>
    <row r="2430" spans="1:7" ht="10.050000000000001" customHeight="1">
      <c r="A2430" s="52" t="s">
        <v>421</v>
      </c>
      <c r="B2430" s="52" t="s">
        <v>310</v>
      </c>
      <c r="C2430" s="53">
        <v>2019</v>
      </c>
      <c r="D2430" s="52" t="s">
        <v>124</v>
      </c>
      <c r="E2430" s="54">
        <v>9</v>
      </c>
      <c r="F2430" s="55">
        <v>360.62799999999999</v>
      </c>
      <c r="G2430" s="55">
        <v>822.00199999999995</v>
      </c>
    </row>
    <row r="2431" spans="1:7" ht="10.050000000000001" customHeight="1">
      <c r="A2431" s="52" t="s">
        <v>421</v>
      </c>
      <c r="B2431" s="52" t="s">
        <v>310</v>
      </c>
      <c r="C2431" s="53">
        <v>2019</v>
      </c>
      <c r="D2431" s="52" t="s">
        <v>124</v>
      </c>
      <c r="E2431" s="54">
        <v>10</v>
      </c>
      <c r="F2431" s="55">
        <v>385.11399999999998</v>
      </c>
      <c r="G2431" s="55">
        <v>628.72799999999995</v>
      </c>
    </row>
    <row r="2432" spans="1:7" ht="10.050000000000001" customHeight="1">
      <c r="A2432" s="52" t="s">
        <v>421</v>
      </c>
      <c r="B2432" s="52" t="s">
        <v>310</v>
      </c>
      <c r="C2432" s="53">
        <v>2019</v>
      </c>
      <c r="D2432" s="52" t="s">
        <v>124</v>
      </c>
      <c r="E2432" s="54">
        <v>11</v>
      </c>
      <c r="F2432" s="55">
        <v>420.41</v>
      </c>
      <c r="G2432" s="55">
        <v>575.21699999999998</v>
      </c>
    </row>
    <row r="2433" spans="1:7" ht="10.050000000000001" customHeight="1">
      <c r="A2433" s="52" t="s">
        <v>421</v>
      </c>
      <c r="B2433" s="52" t="s">
        <v>310</v>
      </c>
      <c r="C2433" s="53">
        <v>2019</v>
      </c>
      <c r="D2433" s="52" t="s">
        <v>124</v>
      </c>
      <c r="E2433" s="54">
        <v>12</v>
      </c>
      <c r="F2433" s="55">
        <v>520.24599999999998</v>
      </c>
      <c r="G2433" s="55">
        <v>430.05200000000002</v>
      </c>
    </row>
    <row r="2434" spans="1:7" ht="10.050000000000001" customHeight="1">
      <c r="A2434" s="52" t="s">
        <v>421</v>
      </c>
      <c r="B2434" s="52" t="s">
        <v>310</v>
      </c>
      <c r="C2434" s="53">
        <v>2020</v>
      </c>
      <c r="D2434" s="52" t="s">
        <v>124</v>
      </c>
      <c r="E2434" s="54">
        <v>1</v>
      </c>
      <c r="F2434" s="55">
        <v>278.565</v>
      </c>
      <c r="G2434" s="55">
        <v>592.053</v>
      </c>
    </row>
    <row r="2435" spans="1:7" ht="10.050000000000001" customHeight="1">
      <c r="A2435" s="52" t="s">
        <v>421</v>
      </c>
      <c r="B2435" s="52" t="s">
        <v>310</v>
      </c>
      <c r="C2435" s="53">
        <v>2020</v>
      </c>
      <c r="D2435" s="52" t="s">
        <v>124</v>
      </c>
      <c r="E2435" s="54">
        <v>2</v>
      </c>
      <c r="F2435" s="55">
        <v>391.09899999999999</v>
      </c>
      <c r="G2435" s="55">
        <v>972.06399999999996</v>
      </c>
    </row>
    <row r="2436" spans="1:7" ht="10.050000000000001" customHeight="1">
      <c r="A2436" s="52" t="s">
        <v>421</v>
      </c>
      <c r="B2436" s="52" t="s">
        <v>310</v>
      </c>
      <c r="C2436" s="53">
        <v>2020</v>
      </c>
      <c r="D2436" s="52" t="s">
        <v>124</v>
      </c>
      <c r="E2436" s="54">
        <v>3</v>
      </c>
      <c r="F2436" s="55">
        <v>789.15200000000004</v>
      </c>
      <c r="G2436" s="55">
        <v>345.93099999999998</v>
      </c>
    </row>
    <row r="2437" spans="1:7" ht="10.050000000000001" customHeight="1">
      <c r="A2437" s="52" t="s">
        <v>421</v>
      </c>
      <c r="B2437" s="52" t="s">
        <v>310</v>
      </c>
      <c r="C2437" s="53">
        <v>2020</v>
      </c>
      <c r="D2437" s="52" t="s">
        <v>124</v>
      </c>
      <c r="E2437" s="54">
        <v>4</v>
      </c>
      <c r="F2437" s="55">
        <v>429.459</v>
      </c>
      <c r="G2437" s="55">
        <v>246.46799999999999</v>
      </c>
    </row>
    <row r="2438" spans="1:7" ht="10.050000000000001" customHeight="1">
      <c r="A2438" s="52" t="s">
        <v>421</v>
      </c>
      <c r="B2438" s="52" t="s">
        <v>310</v>
      </c>
      <c r="C2438" s="53">
        <v>2020</v>
      </c>
      <c r="D2438" s="52" t="s">
        <v>124</v>
      </c>
      <c r="E2438" s="54">
        <v>5</v>
      </c>
      <c r="F2438" s="55">
        <v>365.33300000000003</v>
      </c>
      <c r="G2438" s="55">
        <v>229.102</v>
      </c>
    </row>
    <row r="2439" spans="1:7" ht="10.050000000000001" customHeight="1">
      <c r="A2439" s="52" t="s">
        <v>421</v>
      </c>
      <c r="B2439" s="52" t="s">
        <v>310</v>
      </c>
      <c r="C2439" s="53">
        <v>2020</v>
      </c>
      <c r="D2439" s="52" t="s">
        <v>124</v>
      </c>
      <c r="E2439" s="54">
        <v>6</v>
      </c>
      <c r="F2439" s="55">
        <v>230.99199999999999</v>
      </c>
      <c r="G2439" s="55">
        <v>314.51799999999997</v>
      </c>
    </row>
    <row r="2440" spans="1:7" ht="10.050000000000001" customHeight="1">
      <c r="A2440" s="52" t="s">
        <v>421</v>
      </c>
      <c r="B2440" s="52" t="s">
        <v>310</v>
      </c>
      <c r="C2440" s="53">
        <v>2020</v>
      </c>
      <c r="D2440" s="52" t="s">
        <v>125</v>
      </c>
      <c r="E2440" s="54">
        <v>7</v>
      </c>
      <c r="F2440" s="55">
        <v>468.58800000000002</v>
      </c>
      <c r="G2440" s="55">
        <v>866.62599999999998</v>
      </c>
    </row>
    <row r="2441" spans="1:7" ht="10.050000000000001" customHeight="1">
      <c r="A2441" s="52" t="s">
        <v>421</v>
      </c>
      <c r="B2441" s="52" t="s">
        <v>310</v>
      </c>
      <c r="C2441" s="53">
        <v>2020</v>
      </c>
      <c r="D2441" s="52" t="s">
        <v>125</v>
      </c>
      <c r="E2441" s="54">
        <v>8</v>
      </c>
      <c r="F2441" s="55">
        <v>565.85</v>
      </c>
      <c r="G2441" s="55">
        <v>1501.6030000000001</v>
      </c>
    </row>
    <row r="2442" spans="1:7" ht="10.050000000000001" customHeight="1">
      <c r="A2442" s="52" t="s">
        <v>421</v>
      </c>
      <c r="B2442" s="52" t="s">
        <v>310</v>
      </c>
      <c r="C2442" s="53">
        <v>2020</v>
      </c>
      <c r="D2442" s="52" t="s">
        <v>125</v>
      </c>
      <c r="E2442" s="54">
        <v>9</v>
      </c>
      <c r="F2442" s="55">
        <v>589.096</v>
      </c>
      <c r="G2442" s="55">
        <v>4759.4660000000003</v>
      </c>
    </row>
    <row r="2443" spans="1:7" ht="10.050000000000001" customHeight="1">
      <c r="A2443" s="52" t="s">
        <v>421</v>
      </c>
      <c r="B2443" s="52" t="s">
        <v>310</v>
      </c>
      <c r="C2443" s="53">
        <v>2020</v>
      </c>
      <c r="D2443" s="52" t="s">
        <v>125</v>
      </c>
      <c r="E2443" s="54">
        <v>10</v>
      </c>
      <c r="F2443" s="55">
        <v>1056.8679999999999</v>
      </c>
      <c r="G2443" s="55">
        <v>4066.654</v>
      </c>
    </row>
    <row r="2444" spans="1:7" ht="10.050000000000001" customHeight="1">
      <c r="A2444" s="52" t="s">
        <v>421</v>
      </c>
      <c r="B2444" s="52" t="s">
        <v>310</v>
      </c>
      <c r="C2444" s="53">
        <v>2020</v>
      </c>
      <c r="D2444" s="52" t="s">
        <v>125</v>
      </c>
      <c r="E2444" s="54">
        <v>11</v>
      </c>
      <c r="F2444" s="55">
        <v>944.40899999999999</v>
      </c>
      <c r="G2444" s="55">
        <v>3608.84</v>
      </c>
    </row>
    <row r="2445" spans="1:7" ht="10.050000000000001" customHeight="1">
      <c r="A2445" s="52" t="s">
        <v>421</v>
      </c>
      <c r="B2445" s="52" t="s">
        <v>310</v>
      </c>
      <c r="C2445" s="53">
        <v>2020</v>
      </c>
      <c r="D2445" s="52" t="s">
        <v>125</v>
      </c>
      <c r="E2445" s="54">
        <v>12</v>
      </c>
      <c r="F2445" s="55">
        <v>1017.5119999999999</v>
      </c>
      <c r="G2445" s="55">
        <v>3233.44</v>
      </c>
    </row>
    <row r="2446" spans="1:7" ht="10.050000000000001" customHeight="1">
      <c r="A2446" s="52" t="s">
        <v>421</v>
      </c>
      <c r="B2446" s="52" t="s">
        <v>310</v>
      </c>
      <c r="C2446" s="53">
        <v>2021</v>
      </c>
      <c r="D2446" s="52" t="s">
        <v>125</v>
      </c>
      <c r="E2446" s="54">
        <v>1</v>
      </c>
      <c r="F2446" s="55">
        <v>578.07100000000003</v>
      </c>
      <c r="G2446" s="55">
        <v>2853.3290000000002</v>
      </c>
    </row>
    <row r="2447" spans="1:7" ht="10.050000000000001" customHeight="1">
      <c r="A2447" s="52" t="s">
        <v>421</v>
      </c>
      <c r="B2447" s="52" t="s">
        <v>310</v>
      </c>
      <c r="C2447" s="53">
        <v>2021</v>
      </c>
      <c r="D2447" s="52" t="s">
        <v>125</v>
      </c>
      <c r="E2447" s="54">
        <v>2</v>
      </c>
      <c r="F2447" s="55">
        <v>803.77</v>
      </c>
      <c r="G2447" s="55">
        <v>2301.4949999999999</v>
      </c>
    </row>
    <row r="2448" spans="1:7" ht="10.050000000000001" customHeight="1">
      <c r="A2448" s="52" t="s">
        <v>421</v>
      </c>
      <c r="B2448" s="52" t="s">
        <v>310</v>
      </c>
      <c r="C2448" s="53">
        <v>2021</v>
      </c>
      <c r="D2448" s="52" t="s">
        <v>125</v>
      </c>
      <c r="E2448" s="54">
        <v>3</v>
      </c>
      <c r="F2448" s="55">
        <v>982.31100000000004</v>
      </c>
      <c r="G2448" s="55">
        <v>1630.787</v>
      </c>
    </row>
    <row r="2449" spans="1:7" ht="10.050000000000001" customHeight="1">
      <c r="A2449" s="52" t="s">
        <v>421</v>
      </c>
      <c r="B2449" s="52" t="s">
        <v>310</v>
      </c>
      <c r="C2449" s="53">
        <v>2021</v>
      </c>
      <c r="D2449" s="52" t="s">
        <v>125</v>
      </c>
      <c r="E2449" s="54">
        <v>4</v>
      </c>
      <c r="F2449" s="55">
        <v>1041.201</v>
      </c>
      <c r="G2449" s="55">
        <v>1045.7929999999999</v>
      </c>
    </row>
    <row r="2450" spans="1:7" ht="10.050000000000001" customHeight="1">
      <c r="A2450" s="52" t="s">
        <v>421</v>
      </c>
      <c r="B2450" s="52" t="s">
        <v>310</v>
      </c>
      <c r="C2450" s="53">
        <v>2021</v>
      </c>
      <c r="D2450" s="52" t="s">
        <v>125</v>
      </c>
      <c r="E2450" s="54">
        <v>5</v>
      </c>
      <c r="F2450" s="55">
        <v>467.92399999999998</v>
      </c>
      <c r="G2450" s="55">
        <v>728.93899999999996</v>
      </c>
    </row>
    <row r="2451" spans="1:7" ht="10.050000000000001" customHeight="1">
      <c r="A2451" s="52" t="s">
        <v>421</v>
      </c>
      <c r="B2451" s="52" t="s">
        <v>310</v>
      </c>
      <c r="C2451" s="53">
        <v>2021</v>
      </c>
      <c r="D2451" s="52" t="s">
        <v>125</v>
      </c>
      <c r="E2451" s="54">
        <v>6</v>
      </c>
      <c r="F2451" s="55">
        <v>852.50199999999995</v>
      </c>
      <c r="G2451" s="55">
        <v>253.82499999999999</v>
      </c>
    </row>
    <row r="2452" spans="1:7" ht="10.050000000000001" customHeight="1">
      <c r="A2452" s="52" t="s">
        <v>421</v>
      </c>
      <c r="B2452" s="52" t="s">
        <v>310</v>
      </c>
      <c r="C2452" s="53">
        <v>2021</v>
      </c>
      <c r="D2452" s="52" t="s">
        <v>126</v>
      </c>
      <c r="E2452" s="54">
        <v>7</v>
      </c>
      <c r="F2452" s="55">
        <v>293.642</v>
      </c>
      <c r="G2452" s="55">
        <v>322.35899999999998</v>
      </c>
    </row>
    <row r="2453" spans="1:7" ht="10.050000000000001" customHeight="1">
      <c r="A2453" s="52" t="s">
        <v>421</v>
      </c>
      <c r="B2453" s="52" t="s">
        <v>310</v>
      </c>
      <c r="C2453" s="53">
        <v>2021</v>
      </c>
      <c r="D2453" s="52" t="s">
        <v>126</v>
      </c>
      <c r="E2453" s="54">
        <v>8</v>
      </c>
      <c r="F2453" s="55">
        <v>481.43900000000002</v>
      </c>
      <c r="G2453" s="55">
        <v>1079.3499999999999</v>
      </c>
    </row>
    <row r="2454" spans="1:7" ht="10.050000000000001" customHeight="1">
      <c r="A2454" s="52" t="s">
        <v>421</v>
      </c>
      <c r="B2454" s="52" t="s">
        <v>310</v>
      </c>
      <c r="C2454" s="53">
        <v>2021</v>
      </c>
      <c r="D2454" s="52" t="s">
        <v>126</v>
      </c>
      <c r="E2454" s="54">
        <v>9</v>
      </c>
      <c r="F2454" s="55">
        <v>484.89499999999998</v>
      </c>
      <c r="G2454" s="55">
        <v>1141.979</v>
      </c>
    </row>
    <row r="2455" spans="1:7" ht="10.050000000000001" customHeight="1">
      <c r="A2455" s="52" t="s">
        <v>421</v>
      </c>
      <c r="B2455" s="52" t="s">
        <v>310</v>
      </c>
      <c r="C2455" s="53">
        <v>2021</v>
      </c>
      <c r="D2455" s="52" t="s">
        <v>126</v>
      </c>
      <c r="E2455" s="54">
        <v>10</v>
      </c>
      <c r="F2455" s="55">
        <v>443.43400000000003</v>
      </c>
      <c r="G2455" s="55">
        <v>1165.068</v>
      </c>
    </row>
    <row r="2456" spans="1:7" ht="10.050000000000001" customHeight="1">
      <c r="A2456" s="52" t="s">
        <v>421</v>
      </c>
      <c r="B2456" s="52" t="s">
        <v>310</v>
      </c>
      <c r="C2456" s="53">
        <v>2021</v>
      </c>
      <c r="D2456" s="52" t="s">
        <v>126</v>
      </c>
      <c r="E2456" s="54">
        <v>11</v>
      </c>
      <c r="F2456" s="55">
        <v>660.95500000000004</v>
      </c>
      <c r="G2456" s="55">
        <v>924.00199999999995</v>
      </c>
    </row>
    <row r="2457" spans="1:7" ht="10.050000000000001" customHeight="1">
      <c r="A2457" s="52" t="s">
        <v>421</v>
      </c>
      <c r="B2457" s="52" t="s">
        <v>310</v>
      </c>
      <c r="C2457" s="53">
        <v>2021</v>
      </c>
      <c r="D2457" s="52" t="s">
        <v>126</v>
      </c>
      <c r="E2457" s="54">
        <v>12</v>
      </c>
      <c r="F2457" s="55">
        <v>696.45100000000002</v>
      </c>
      <c r="G2457" s="55">
        <v>844.697</v>
      </c>
    </row>
    <row r="2458" spans="1:7" ht="10.050000000000001" customHeight="1">
      <c r="A2458" s="52" t="s">
        <v>421</v>
      </c>
      <c r="B2458" s="52" t="s">
        <v>310</v>
      </c>
      <c r="C2458" s="53">
        <v>2022</v>
      </c>
      <c r="D2458" s="52" t="s">
        <v>126</v>
      </c>
      <c r="E2458" s="54">
        <v>1</v>
      </c>
      <c r="F2458" s="55">
        <v>775.36300000000006</v>
      </c>
      <c r="G2458" s="55">
        <v>761.55700000000002</v>
      </c>
    </row>
    <row r="2459" spans="1:7" ht="10.050000000000001" customHeight="1">
      <c r="A2459" s="52" t="s">
        <v>421</v>
      </c>
      <c r="B2459" s="52" t="s">
        <v>310</v>
      </c>
      <c r="C2459" s="53">
        <v>2022</v>
      </c>
      <c r="D2459" s="52" t="s">
        <v>126</v>
      </c>
      <c r="E2459" s="54">
        <v>2</v>
      </c>
      <c r="F2459" s="55">
        <v>722.67200000000003</v>
      </c>
      <c r="G2459" s="55">
        <v>801.04300000000001</v>
      </c>
    </row>
    <row r="2460" spans="1:7" ht="10.050000000000001" customHeight="1">
      <c r="A2460" s="52" t="s">
        <v>421</v>
      </c>
      <c r="B2460" s="52" t="s">
        <v>310</v>
      </c>
      <c r="C2460" s="53">
        <v>2022</v>
      </c>
      <c r="D2460" s="52" t="s">
        <v>126</v>
      </c>
      <c r="E2460" s="54">
        <v>3</v>
      </c>
      <c r="F2460" s="55">
        <v>1169.472</v>
      </c>
      <c r="G2460" s="55">
        <v>898.81799999999998</v>
      </c>
    </row>
    <row r="2461" spans="1:7" ht="10.050000000000001" customHeight="1">
      <c r="A2461" s="52" t="s">
        <v>421</v>
      </c>
      <c r="B2461" s="52" t="s">
        <v>310</v>
      </c>
      <c r="C2461" s="53">
        <v>2022</v>
      </c>
      <c r="D2461" s="52" t="s">
        <v>126</v>
      </c>
      <c r="E2461" s="54">
        <v>4</v>
      </c>
      <c r="F2461" s="55">
        <v>984.70500000000004</v>
      </c>
      <c r="G2461" s="55">
        <v>510.839</v>
      </c>
    </row>
    <row r="2462" spans="1:7" ht="10.050000000000001" customHeight="1">
      <c r="A2462" s="52" t="s">
        <v>421</v>
      </c>
      <c r="B2462" s="52" t="s">
        <v>310</v>
      </c>
      <c r="C2462" s="53">
        <v>2022</v>
      </c>
      <c r="D2462" s="52" t="s">
        <v>126</v>
      </c>
      <c r="E2462" s="54">
        <v>5</v>
      </c>
      <c r="F2462" s="55">
        <v>627.39200000000005</v>
      </c>
      <c r="G2462" s="55">
        <v>343.65499999999997</v>
      </c>
    </row>
    <row r="2463" spans="1:7" ht="10.050000000000001" customHeight="1">
      <c r="A2463" s="52" t="s">
        <v>421</v>
      </c>
      <c r="B2463" s="52" t="s">
        <v>310</v>
      </c>
      <c r="C2463" s="53">
        <v>2022</v>
      </c>
      <c r="D2463" s="52" t="s">
        <v>126</v>
      </c>
      <c r="E2463" s="54">
        <v>6</v>
      </c>
      <c r="F2463" s="55">
        <v>527.13099999999997</v>
      </c>
      <c r="G2463" s="55">
        <v>171.048</v>
      </c>
    </row>
    <row r="2464" spans="1:7" ht="10.050000000000001" customHeight="1">
      <c r="A2464" s="52" t="s">
        <v>421</v>
      </c>
      <c r="B2464" s="52" t="s">
        <v>310</v>
      </c>
      <c r="C2464" s="53">
        <v>2022</v>
      </c>
      <c r="D2464" s="52" t="s">
        <v>127</v>
      </c>
      <c r="E2464" s="54">
        <v>7</v>
      </c>
      <c r="F2464" s="55">
        <v>689.274</v>
      </c>
      <c r="G2464" s="55">
        <v>584.76199999999994</v>
      </c>
    </row>
    <row r="2465" spans="1:7" ht="10.050000000000001" customHeight="1">
      <c r="A2465" s="52" t="s">
        <v>421</v>
      </c>
      <c r="B2465" s="52" t="s">
        <v>310</v>
      </c>
      <c r="C2465" s="53">
        <v>2022</v>
      </c>
      <c r="D2465" s="52" t="s">
        <v>127</v>
      </c>
      <c r="E2465" s="54">
        <v>8</v>
      </c>
      <c r="F2465" s="55">
        <v>369.71100000000001</v>
      </c>
      <c r="G2465" s="55">
        <v>517.71699999999998</v>
      </c>
    </row>
    <row r="2466" spans="1:7" ht="10.050000000000001" customHeight="1">
      <c r="A2466" s="52" t="s">
        <v>421</v>
      </c>
      <c r="B2466" s="52" t="s">
        <v>310</v>
      </c>
      <c r="C2466" s="53">
        <v>2022</v>
      </c>
      <c r="D2466" s="52" t="s">
        <v>127</v>
      </c>
      <c r="E2466" s="54">
        <v>9</v>
      </c>
      <c r="F2466" s="55">
        <v>458.92200000000003</v>
      </c>
      <c r="G2466" s="55">
        <v>504.22500000000002</v>
      </c>
    </row>
    <row r="2467" spans="1:7" ht="10.050000000000001" customHeight="1">
      <c r="A2467" s="52" t="s">
        <v>421</v>
      </c>
      <c r="B2467" s="52" t="s">
        <v>310</v>
      </c>
      <c r="C2467" s="53">
        <v>2022</v>
      </c>
      <c r="D2467" s="52" t="s">
        <v>127</v>
      </c>
      <c r="E2467" s="54">
        <v>10</v>
      </c>
      <c r="F2467" s="55">
        <v>379.71199999999999</v>
      </c>
      <c r="G2467" s="55">
        <v>575.47299999999996</v>
      </c>
    </row>
    <row r="2468" spans="1:7" ht="10.050000000000001" customHeight="1">
      <c r="A2468" s="52" t="s">
        <v>421</v>
      </c>
      <c r="B2468" s="52" t="s">
        <v>310</v>
      </c>
      <c r="C2468" s="53">
        <v>2022</v>
      </c>
      <c r="D2468" s="52" t="s">
        <v>127</v>
      </c>
      <c r="E2468" s="54">
        <v>11</v>
      </c>
      <c r="F2468" s="55">
        <v>717.19</v>
      </c>
      <c r="G2468" s="55">
        <v>451.33100000000002</v>
      </c>
    </row>
    <row r="2469" spans="1:7" ht="10.050000000000001" customHeight="1">
      <c r="A2469" s="52" t="s">
        <v>421</v>
      </c>
      <c r="B2469" s="52" t="s">
        <v>310</v>
      </c>
      <c r="C2469" s="53">
        <v>2022</v>
      </c>
      <c r="D2469" s="52" t="s">
        <v>127</v>
      </c>
      <c r="E2469" s="54">
        <v>12</v>
      </c>
      <c r="F2469" s="55">
        <v>801.32399999999996</v>
      </c>
      <c r="G2469" s="55">
        <v>275.42200000000003</v>
      </c>
    </row>
    <row r="2470" spans="1:7" ht="10.050000000000001" customHeight="1">
      <c r="A2470" s="52" t="s">
        <v>421</v>
      </c>
      <c r="B2470" s="52" t="s">
        <v>310</v>
      </c>
      <c r="C2470" s="53">
        <v>2023</v>
      </c>
      <c r="D2470" s="52" t="s">
        <v>127</v>
      </c>
      <c r="E2470" s="54">
        <v>1</v>
      </c>
      <c r="F2470" s="55">
        <v>568.89599999999996</v>
      </c>
      <c r="G2470" s="55">
        <v>315.17500000000001</v>
      </c>
    </row>
    <row r="2471" spans="1:7" ht="10.050000000000001" customHeight="1">
      <c r="A2471" s="52" t="s">
        <v>421</v>
      </c>
      <c r="B2471" s="52" t="s">
        <v>310</v>
      </c>
      <c r="C2471" s="53">
        <v>2023</v>
      </c>
      <c r="D2471" s="52" t="s">
        <v>127</v>
      </c>
      <c r="E2471" s="54">
        <v>2</v>
      </c>
      <c r="F2471" s="55">
        <v>444.827</v>
      </c>
      <c r="G2471" s="55">
        <v>288.01</v>
      </c>
    </row>
    <row r="2472" spans="1:7" ht="10.050000000000001" customHeight="1">
      <c r="A2472" s="52" t="s">
        <v>421</v>
      </c>
      <c r="B2472" s="52" t="s">
        <v>310</v>
      </c>
      <c r="C2472" s="53">
        <v>2023</v>
      </c>
      <c r="D2472" s="52" t="s">
        <v>127</v>
      </c>
      <c r="E2472" s="54">
        <v>3</v>
      </c>
      <c r="F2472" s="55">
        <v>463.87599999999998</v>
      </c>
      <c r="G2472" s="55">
        <v>292.75200000000001</v>
      </c>
    </row>
    <row r="2473" spans="1:7" ht="10.050000000000001" customHeight="1">
      <c r="A2473" s="52" t="s">
        <v>421</v>
      </c>
      <c r="B2473" s="52" t="s">
        <v>310</v>
      </c>
      <c r="C2473" s="53">
        <v>2023</v>
      </c>
      <c r="D2473" s="52" t="s">
        <v>127</v>
      </c>
      <c r="E2473" s="54">
        <v>4</v>
      </c>
      <c r="F2473" s="55">
        <v>432.10700000000003</v>
      </c>
      <c r="G2473" s="55">
        <v>237.02799999999999</v>
      </c>
    </row>
    <row r="2474" spans="1:7" ht="10.050000000000001" customHeight="1">
      <c r="A2474" s="52" t="s">
        <v>421</v>
      </c>
      <c r="B2474" s="52" t="s">
        <v>310</v>
      </c>
      <c r="C2474" s="53">
        <v>2023</v>
      </c>
      <c r="D2474" s="52" t="s">
        <v>127</v>
      </c>
      <c r="E2474" s="54">
        <v>5</v>
      </c>
      <c r="F2474" s="55">
        <v>471.36700000000002</v>
      </c>
      <c r="G2474" s="55">
        <v>205.066</v>
      </c>
    </row>
    <row r="2475" spans="1:7" ht="10.050000000000001" customHeight="1">
      <c r="A2475" s="52" t="s">
        <v>421</v>
      </c>
      <c r="B2475" s="52" t="s">
        <v>310</v>
      </c>
      <c r="C2475" s="53">
        <v>2023</v>
      </c>
      <c r="D2475" s="52" t="s">
        <v>127</v>
      </c>
      <c r="E2475" s="54">
        <v>6</v>
      </c>
      <c r="F2475" s="55">
        <v>763.68100000000004</v>
      </c>
      <c r="G2475" s="55">
        <v>268.88400000000001</v>
      </c>
    </row>
    <row r="2476" spans="1:7" ht="10.050000000000001" customHeight="1">
      <c r="A2476" s="52" t="s">
        <v>421</v>
      </c>
      <c r="B2476" s="52" t="s">
        <v>310</v>
      </c>
      <c r="C2476" s="53">
        <v>2023</v>
      </c>
      <c r="D2476" s="52" t="s">
        <v>128</v>
      </c>
      <c r="E2476" s="54">
        <v>7</v>
      </c>
      <c r="F2476" s="55">
        <v>396.44400000000002</v>
      </c>
      <c r="G2476" s="55">
        <v>569.63699999999994</v>
      </c>
    </row>
    <row r="2477" spans="1:7" ht="10.050000000000001" customHeight="1">
      <c r="A2477" s="52" t="s">
        <v>421</v>
      </c>
      <c r="B2477" s="52" t="s">
        <v>310</v>
      </c>
      <c r="C2477" s="53">
        <v>2023</v>
      </c>
      <c r="D2477" s="52" t="s">
        <v>128</v>
      </c>
      <c r="E2477" s="54">
        <v>8</v>
      </c>
      <c r="F2477" s="55">
        <v>513.44200000000001</v>
      </c>
      <c r="G2477" s="55">
        <v>1485.5609999999999</v>
      </c>
    </row>
    <row r="2478" spans="1:7" ht="10.050000000000001" customHeight="1">
      <c r="A2478" s="52" t="s">
        <v>421</v>
      </c>
      <c r="B2478" s="52" t="s">
        <v>310</v>
      </c>
      <c r="C2478" s="53">
        <v>2023</v>
      </c>
      <c r="D2478" s="52" t="s">
        <v>128</v>
      </c>
      <c r="E2478" s="54">
        <v>9</v>
      </c>
      <c r="F2478" s="55">
        <v>719.06700000000001</v>
      </c>
      <c r="G2478" s="55">
        <v>1324.5709999999999</v>
      </c>
    </row>
    <row r="2479" spans="1:7" ht="10.050000000000001" customHeight="1">
      <c r="A2479" s="52" t="s">
        <v>421</v>
      </c>
      <c r="B2479" s="52" t="s">
        <v>310</v>
      </c>
      <c r="C2479" s="53">
        <v>2023</v>
      </c>
      <c r="D2479" s="52" t="s">
        <v>128</v>
      </c>
      <c r="E2479" s="54">
        <v>10</v>
      </c>
      <c r="F2479" s="55">
        <v>879.83</v>
      </c>
      <c r="G2479" s="55">
        <v>1129.2059999999999</v>
      </c>
    </row>
    <row r="2480" spans="1:7" ht="10.050000000000001" customHeight="1">
      <c r="A2480" s="52" t="s">
        <v>421</v>
      </c>
      <c r="B2480" s="52" t="s">
        <v>310</v>
      </c>
      <c r="C2480" s="53">
        <v>2023</v>
      </c>
      <c r="D2480" s="52" t="s">
        <v>128</v>
      </c>
      <c r="E2480" s="54">
        <v>11</v>
      </c>
      <c r="F2480" s="55">
        <v>587.39800000000002</v>
      </c>
      <c r="G2480" s="55">
        <v>1074.155</v>
      </c>
    </row>
    <row r="2481" spans="1:7" ht="10.050000000000001" customHeight="1">
      <c r="A2481" s="52" t="s">
        <v>421</v>
      </c>
      <c r="B2481" s="52" t="s">
        <v>310</v>
      </c>
      <c r="C2481" s="53">
        <v>2023</v>
      </c>
      <c r="D2481" s="52" t="s">
        <v>128</v>
      </c>
      <c r="E2481" s="54">
        <v>12</v>
      </c>
      <c r="F2481" s="55">
        <v>770.57100000000003</v>
      </c>
      <c r="G2481" s="55">
        <v>1313.91</v>
      </c>
    </row>
    <row r="2482" spans="1:7" ht="10.050000000000001" customHeight="1">
      <c r="A2482" s="52" t="s">
        <v>421</v>
      </c>
      <c r="B2482" s="52" t="s">
        <v>310</v>
      </c>
      <c r="C2482" s="53">
        <v>2024</v>
      </c>
      <c r="D2482" s="52" t="s">
        <v>128</v>
      </c>
      <c r="E2482" s="54">
        <v>1</v>
      </c>
      <c r="F2482" s="55">
        <v>728.00900000000001</v>
      </c>
      <c r="G2482" s="55">
        <v>1024.567</v>
      </c>
    </row>
    <row r="2483" spans="1:7" ht="10.050000000000001" customHeight="1">
      <c r="A2483" s="52" t="s">
        <v>421</v>
      </c>
      <c r="B2483" s="52" t="s">
        <v>310</v>
      </c>
      <c r="C2483" s="53">
        <v>2024</v>
      </c>
      <c r="D2483" s="52" t="s">
        <v>128</v>
      </c>
      <c r="E2483" s="54">
        <v>2</v>
      </c>
      <c r="F2483" s="55">
        <v>877.58699999999999</v>
      </c>
      <c r="G2483" s="55">
        <v>764.94899999999996</v>
      </c>
    </row>
    <row r="2484" spans="1:7" ht="10.050000000000001" customHeight="1">
      <c r="A2484" s="52" t="s">
        <v>421</v>
      </c>
      <c r="B2484" s="52" t="s">
        <v>310</v>
      </c>
      <c r="C2484" s="53">
        <v>2024</v>
      </c>
      <c r="D2484" s="52" t="s">
        <v>128</v>
      </c>
      <c r="E2484" s="54">
        <v>3</v>
      </c>
      <c r="F2484" s="55">
        <v>534.14400000000001</v>
      </c>
      <c r="G2484" s="55">
        <v>693.51099999999997</v>
      </c>
    </row>
    <row r="2485" spans="1:7" ht="10.050000000000001" customHeight="1">
      <c r="A2485" s="52" t="s">
        <v>421</v>
      </c>
      <c r="B2485" s="52" t="s">
        <v>310</v>
      </c>
      <c r="C2485" s="53">
        <v>2024</v>
      </c>
      <c r="D2485" s="52" t="s">
        <v>128</v>
      </c>
      <c r="E2485" s="54">
        <v>4</v>
      </c>
      <c r="F2485" s="55">
        <v>501.96</v>
      </c>
      <c r="G2485" s="55">
        <v>395.67</v>
      </c>
    </row>
    <row r="2486" spans="1:7" ht="10.050000000000001" customHeight="1">
      <c r="A2486" s="52" t="s">
        <v>421</v>
      </c>
      <c r="B2486" s="52" t="s">
        <v>310</v>
      </c>
      <c r="C2486" s="53">
        <v>2024</v>
      </c>
      <c r="D2486" s="52" t="s">
        <v>128</v>
      </c>
      <c r="E2486" s="54">
        <v>5</v>
      </c>
      <c r="F2486" s="55">
        <v>500.93700000000001</v>
      </c>
      <c r="G2486" s="55">
        <v>340.63099999999997</v>
      </c>
    </row>
    <row r="2487" spans="1:7" ht="10.050000000000001" customHeight="1">
      <c r="A2487" s="52" t="s">
        <v>421</v>
      </c>
      <c r="B2487" s="52" t="s">
        <v>310</v>
      </c>
      <c r="C2487" s="53">
        <v>2024</v>
      </c>
      <c r="D2487" s="52" t="s">
        <v>128</v>
      </c>
      <c r="E2487" s="54">
        <v>6</v>
      </c>
      <c r="F2487" s="55">
        <v>220.72200000000001</v>
      </c>
      <c r="G2487" s="55">
        <v>301.358</v>
      </c>
    </row>
    <row r="2488" spans="1:7" ht="10.050000000000001" customHeight="1">
      <c r="A2488" s="52" t="s">
        <v>421</v>
      </c>
      <c r="B2488" s="52" t="s">
        <v>310</v>
      </c>
      <c r="C2488" s="53">
        <v>2024</v>
      </c>
      <c r="D2488" s="52" t="s">
        <v>129</v>
      </c>
      <c r="E2488" s="54">
        <v>7</v>
      </c>
      <c r="F2488" s="55">
        <v>304.71300000000002</v>
      </c>
      <c r="G2488" s="55">
        <v>434.40499999999997</v>
      </c>
    </row>
    <row r="2489" spans="1:7" ht="10.050000000000001" customHeight="1">
      <c r="A2489" s="52" t="s">
        <v>421</v>
      </c>
      <c r="B2489" s="52" t="s">
        <v>310</v>
      </c>
      <c r="C2489" s="53">
        <v>2024</v>
      </c>
      <c r="D2489" s="52" t="s">
        <v>129</v>
      </c>
      <c r="E2489" s="54">
        <v>8</v>
      </c>
      <c r="F2489" s="55">
        <v>529.91600000000005</v>
      </c>
      <c r="G2489" s="55">
        <v>1194.779</v>
      </c>
    </row>
    <row r="2490" spans="1:7" ht="10.050000000000001" customHeight="1">
      <c r="A2490" s="52" t="s">
        <v>421</v>
      </c>
      <c r="B2490" s="52" t="s">
        <v>310</v>
      </c>
      <c r="C2490" s="53">
        <v>2024</v>
      </c>
      <c r="D2490" s="52" t="s">
        <v>129</v>
      </c>
      <c r="E2490" s="54">
        <v>9</v>
      </c>
      <c r="F2490" s="55">
        <v>506.346</v>
      </c>
      <c r="G2490" s="55">
        <v>969.62199999999996</v>
      </c>
    </row>
    <row r="2491" spans="1:7" ht="10.050000000000001" customHeight="1">
      <c r="A2491" s="52" t="s">
        <v>421</v>
      </c>
      <c r="B2491" s="52" t="s">
        <v>310</v>
      </c>
      <c r="C2491" s="53">
        <v>2024</v>
      </c>
      <c r="D2491" s="52" t="s">
        <v>129</v>
      </c>
      <c r="E2491" s="54">
        <v>10</v>
      </c>
      <c r="F2491" s="55">
        <v>708.92499999999995</v>
      </c>
      <c r="G2491" s="55">
        <v>721.64800000000002</v>
      </c>
    </row>
    <row r="2492" spans="1:7" ht="10.050000000000001" customHeight="1">
      <c r="A2492" s="52" t="s">
        <v>421</v>
      </c>
      <c r="B2492" s="52" t="s">
        <v>310</v>
      </c>
      <c r="C2492" s="53">
        <v>2024</v>
      </c>
      <c r="D2492" s="52" t="s">
        <v>129</v>
      </c>
      <c r="E2492" s="54">
        <v>11</v>
      </c>
      <c r="F2492" s="55">
        <v>445.59500000000003</v>
      </c>
      <c r="G2492" s="55">
        <v>598.053</v>
      </c>
    </row>
    <row r="2493" spans="1:7" ht="10.050000000000001" customHeight="1">
      <c r="A2493" s="52" t="s">
        <v>421</v>
      </c>
      <c r="B2493" s="52" t="s">
        <v>310</v>
      </c>
      <c r="C2493" s="53">
        <v>2024</v>
      </c>
      <c r="D2493" s="52" t="s">
        <v>129</v>
      </c>
      <c r="E2493" s="54">
        <v>12</v>
      </c>
      <c r="F2493" s="55">
        <v>441.76400000000001</v>
      </c>
      <c r="G2493" s="55">
        <v>434.78899999999999</v>
      </c>
    </row>
    <row r="2494" spans="1:7" ht="10.050000000000001" customHeight="1">
      <c r="A2494" s="52" t="s">
        <v>421</v>
      </c>
      <c r="B2494" s="52" t="s">
        <v>308</v>
      </c>
      <c r="C2494" s="53">
        <v>2000</v>
      </c>
      <c r="D2494" s="52" t="s">
        <v>105</v>
      </c>
      <c r="E2494" s="54">
        <v>7</v>
      </c>
      <c r="F2494" s="55">
        <v>1710.8</v>
      </c>
      <c r="G2494" s="55">
        <v>662.2</v>
      </c>
    </row>
    <row r="2495" spans="1:7" ht="10.050000000000001" customHeight="1">
      <c r="A2495" s="52" t="s">
        <v>421</v>
      </c>
      <c r="B2495" s="52" t="s">
        <v>308</v>
      </c>
      <c r="C2495" s="53">
        <v>2000</v>
      </c>
      <c r="D2495" s="52" t="s">
        <v>105</v>
      </c>
      <c r="E2495" s="54">
        <v>8</v>
      </c>
      <c r="F2495" s="55">
        <v>864.2</v>
      </c>
      <c r="G2495" s="55">
        <v>475.3</v>
      </c>
    </row>
    <row r="2496" spans="1:7" ht="10.050000000000001" customHeight="1">
      <c r="A2496" s="52" t="s">
        <v>421</v>
      </c>
      <c r="B2496" s="52" t="s">
        <v>308</v>
      </c>
      <c r="C2496" s="53">
        <v>2000</v>
      </c>
      <c r="D2496" s="52" t="s">
        <v>105</v>
      </c>
      <c r="E2496" s="54">
        <v>9</v>
      </c>
      <c r="F2496" s="55">
        <v>1276.4000000000001</v>
      </c>
      <c r="G2496" s="55">
        <v>575.29999999999995</v>
      </c>
    </row>
    <row r="2497" spans="1:7" ht="10.050000000000001" customHeight="1">
      <c r="A2497" s="52" t="s">
        <v>421</v>
      </c>
      <c r="B2497" s="52" t="s">
        <v>308</v>
      </c>
      <c r="C2497" s="53">
        <v>2000</v>
      </c>
      <c r="D2497" s="52" t="s">
        <v>105</v>
      </c>
      <c r="E2497" s="54">
        <v>10</v>
      </c>
      <c r="F2497" s="55">
        <v>5068.7</v>
      </c>
      <c r="G2497" s="55">
        <v>952.8</v>
      </c>
    </row>
    <row r="2498" spans="1:7" ht="10.050000000000001" customHeight="1">
      <c r="A2498" s="52" t="s">
        <v>421</v>
      </c>
      <c r="B2498" s="52" t="s">
        <v>308</v>
      </c>
      <c r="C2498" s="53">
        <v>2000</v>
      </c>
      <c r="D2498" s="52" t="s">
        <v>105</v>
      </c>
      <c r="E2498" s="54">
        <v>11</v>
      </c>
      <c r="F2498" s="55">
        <v>7749.9</v>
      </c>
      <c r="G2498" s="55">
        <v>993.8</v>
      </c>
    </row>
    <row r="2499" spans="1:7" ht="10.050000000000001" customHeight="1">
      <c r="A2499" s="52" t="s">
        <v>421</v>
      </c>
      <c r="B2499" s="52" t="s">
        <v>308</v>
      </c>
      <c r="C2499" s="53">
        <v>2000</v>
      </c>
      <c r="D2499" s="52" t="s">
        <v>105</v>
      </c>
      <c r="E2499" s="54">
        <v>12</v>
      </c>
      <c r="F2499" s="55">
        <v>7906.5</v>
      </c>
      <c r="G2499" s="55">
        <v>1470.9</v>
      </c>
    </row>
    <row r="2500" spans="1:7" ht="10.050000000000001" customHeight="1">
      <c r="A2500" s="52" t="s">
        <v>421</v>
      </c>
      <c r="B2500" s="52" t="s">
        <v>308</v>
      </c>
      <c r="C2500" s="53">
        <v>2001</v>
      </c>
      <c r="D2500" s="52" t="s">
        <v>105</v>
      </c>
      <c r="E2500" s="54">
        <v>1</v>
      </c>
      <c r="F2500" s="55">
        <v>8841.2000000000007</v>
      </c>
      <c r="G2500" s="55">
        <v>1452.7</v>
      </c>
    </row>
    <row r="2501" spans="1:7" ht="10.050000000000001" customHeight="1">
      <c r="A2501" s="52" t="s">
        <v>421</v>
      </c>
      <c r="B2501" s="52" t="s">
        <v>308</v>
      </c>
      <c r="C2501" s="53">
        <v>2001</v>
      </c>
      <c r="D2501" s="52" t="s">
        <v>105</v>
      </c>
      <c r="E2501" s="54">
        <v>2</v>
      </c>
      <c r="F2501" s="55">
        <v>8619.4</v>
      </c>
      <c r="G2501" s="55">
        <v>1310.9</v>
      </c>
    </row>
    <row r="2502" spans="1:7" ht="10.050000000000001" customHeight="1">
      <c r="A2502" s="52" t="s">
        <v>421</v>
      </c>
      <c r="B2502" s="52" t="s">
        <v>308</v>
      </c>
      <c r="C2502" s="53">
        <v>2001</v>
      </c>
      <c r="D2502" s="52" t="s">
        <v>105</v>
      </c>
      <c r="E2502" s="54">
        <v>3</v>
      </c>
      <c r="F2502" s="55">
        <v>9247.9</v>
      </c>
      <c r="G2502" s="55">
        <v>1723.3</v>
      </c>
    </row>
    <row r="2503" spans="1:7" ht="10.050000000000001" customHeight="1">
      <c r="A2503" s="52" t="s">
        <v>421</v>
      </c>
      <c r="B2503" s="52" t="s">
        <v>308</v>
      </c>
      <c r="C2503" s="53">
        <v>2001</v>
      </c>
      <c r="D2503" s="52" t="s">
        <v>105</v>
      </c>
      <c r="E2503" s="54">
        <v>4</v>
      </c>
      <c r="F2503" s="55">
        <v>8648.4</v>
      </c>
      <c r="G2503" s="55">
        <v>1757</v>
      </c>
    </row>
    <row r="2504" spans="1:7" ht="10.050000000000001" customHeight="1">
      <c r="A2504" s="52" t="s">
        <v>421</v>
      </c>
      <c r="B2504" s="52" t="s">
        <v>308</v>
      </c>
      <c r="C2504" s="53">
        <v>2001</v>
      </c>
      <c r="D2504" s="52" t="s">
        <v>105</v>
      </c>
      <c r="E2504" s="54">
        <v>5</v>
      </c>
      <c r="F2504" s="55">
        <v>6053.5</v>
      </c>
      <c r="G2504" s="55">
        <v>1927.4</v>
      </c>
    </row>
    <row r="2505" spans="1:7" ht="10.050000000000001" customHeight="1">
      <c r="A2505" s="52" t="s">
        <v>421</v>
      </c>
      <c r="B2505" s="52" t="s">
        <v>308</v>
      </c>
      <c r="C2505" s="53">
        <v>2001</v>
      </c>
      <c r="D2505" s="52" t="s">
        <v>105</v>
      </c>
      <c r="E2505" s="54">
        <v>6</v>
      </c>
      <c r="F2505" s="55">
        <v>5286.8</v>
      </c>
      <c r="G2505" s="55">
        <v>1448.2</v>
      </c>
    </row>
    <row r="2506" spans="1:7" ht="10.050000000000001" customHeight="1">
      <c r="A2506" s="52" t="s">
        <v>421</v>
      </c>
      <c r="B2506" s="52" t="s">
        <v>308</v>
      </c>
      <c r="C2506" s="53">
        <v>2001</v>
      </c>
      <c r="D2506" s="52" t="s">
        <v>108</v>
      </c>
      <c r="E2506" s="54">
        <v>7</v>
      </c>
      <c r="F2506" s="55">
        <v>3907</v>
      </c>
      <c r="G2506" s="55">
        <v>1040.8</v>
      </c>
    </row>
    <row r="2507" spans="1:7" ht="10.050000000000001" customHeight="1">
      <c r="A2507" s="52" t="s">
        <v>421</v>
      </c>
      <c r="B2507" s="52" t="s">
        <v>308</v>
      </c>
      <c r="C2507" s="53">
        <v>2001</v>
      </c>
      <c r="D2507" s="52" t="s">
        <v>108</v>
      </c>
      <c r="E2507" s="54">
        <v>8</v>
      </c>
      <c r="F2507" s="55">
        <v>2012</v>
      </c>
      <c r="G2507" s="55">
        <v>901.3</v>
      </c>
    </row>
    <row r="2508" spans="1:7" ht="10.050000000000001" customHeight="1">
      <c r="A2508" s="52" t="s">
        <v>421</v>
      </c>
      <c r="B2508" s="52" t="s">
        <v>308</v>
      </c>
      <c r="C2508" s="53">
        <v>2001</v>
      </c>
      <c r="D2508" s="52" t="s">
        <v>108</v>
      </c>
      <c r="E2508" s="54">
        <v>9</v>
      </c>
      <c r="F2508" s="55">
        <v>1859.3</v>
      </c>
      <c r="G2508" s="55">
        <v>736.7</v>
      </c>
    </row>
    <row r="2509" spans="1:7" ht="10.050000000000001" customHeight="1">
      <c r="A2509" s="52" t="s">
        <v>421</v>
      </c>
      <c r="B2509" s="52" t="s">
        <v>308</v>
      </c>
      <c r="C2509" s="53">
        <v>2001</v>
      </c>
      <c r="D2509" s="52" t="s">
        <v>108</v>
      </c>
      <c r="E2509" s="54">
        <v>10</v>
      </c>
      <c r="F2509" s="55">
        <v>3695.5</v>
      </c>
      <c r="G2509" s="55">
        <v>1106.3</v>
      </c>
    </row>
    <row r="2510" spans="1:7" ht="10.050000000000001" customHeight="1">
      <c r="A2510" s="52" t="s">
        <v>421</v>
      </c>
      <c r="B2510" s="52" t="s">
        <v>308</v>
      </c>
      <c r="C2510" s="53">
        <v>2001</v>
      </c>
      <c r="D2510" s="52" t="s">
        <v>108</v>
      </c>
      <c r="E2510" s="54">
        <v>11</v>
      </c>
      <c r="F2510" s="55">
        <v>5471.3</v>
      </c>
      <c r="G2510" s="55">
        <v>1636.4</v>
      </c>
    </row>
    <row r="2511" spans="1:7" ht="10.050000000000001" customHeight="1">
      <c r="A2511" s="52" t="s">
        <v>421</v>
      </c>
      <c r="B2511" s="52" t="s">
        <v>308</v>
      </c>
      <c r="C2511" s="53">
        <v>2001</v>
      </c>
      <c r="D2511" s="52" t="s">
        <v>108</v>
      </c>
      <c r="E2511" s="54">
        <v>12</v>
      </c>
      <c r="F2511" s="55">
        <v>7198</v>
      </c>
      <c r="G2511" s="55">
        <v>1751.9</v>
      </c>
    </row>
    <row r="2512" spans="1:7" ht="10.050000000000001" customHeight="1">
      <c r="A2512" s="52" t="s">
        <v>421</v>
      </c>
      <c r="B2512" s="52" t="s">
        <v>308</v>
      </c>
      <c r="C2512" s="53">
        <v>2002</v>
      </c>
      <c r="D2512" s="52" t="s">
        <v>108</v>
      </c>
      <c r="E2512" s="54">
        <v>1</v>
      </c>
      <c r="F2512" s="55">
        <v>8154.5</v>
      </c>
      <c r="G2512" s="55">
        <v>2020.8</v>
      </c>
    </row>
    <row r="2513" spans="1:7" ht="10.050000000000001" customHeight="1">
      <c r="A2513" s="52" t="s">
        <v>421</v>
      </c>
      <c r="B2513" s="52" t="s">
        <v>308</v>
      </c>
      <c r="C2513" s="53">
        <v>2002</v>
      </c>
      <c r="D2513" s="52" t="s">
        <v>108</v>
      </c>
      <c r="E2513" s="54">
        <v>2</v>
      </c>
      <c r="F2513" s="55">
        <v>10238</v>
      </c>
      <c r="G2513" s="55">
        <v>2284.1</v>
      </c>
    </row>
    <row r="2514" spans="1:7" ht="10.050000000000001" customHeight="1">
      <c r="A2514" s="52" t="s">
        <v>421</v>
      </c>
      <c r="B2514" s="52" t="s">
        <v>308</v>
      </c>
      <c r="C2514" s="53">
        <v>2002</v>
      </c>
      <c r="D2514" s="52" t="s">
        <v>108</v>
      </c>
      <c r="E2514" s="54">
        <v>3</v>
      </c>
      <c r="F2514" s="55">
        <v>10693.8</v>
      </c>
      <c r="G2514" s="55">
        <v>2087.1999999999998</v>
      </c>
    </row>
    <row r="2515" spans="1:7" ht="10.050000000000001" customHeight="1">
      <c r="A2515" s="52" t="s">
        <v>421</v>
      </c>
      <c r="B2515" s="52" t="s">
        <v>308</v>
      </c>
      <c r="C2515" s="53">
        <v>2002</v>
      </c>
      <c r="D2515" s="52" t="s">
        <v>108</v>
      </c>
      <c r="E2515" s="54">
        <v>4</v>
      </c>
      <c r="F2515" s="55">
        <v>9961</v>
      </c>
      <c r="G2515" s="55">
        <v>1660.2</v>
      </c>
    </row>
    <row r="2516" spans="1:7" ht="10.050000000000001" customHeight="1">
      <c r="A2516" s="52" t="s">
        <v>421</v>
      </c>
      <c r="B2516" s="52" t="s">
        <v>308</v>
      </c>
      <c r="C2516" s="53">
        <v>2002</v>
      </c>
      <c r="D2516" s="52" t="s">
        <v>108</v>
      </c>
      <c r="E2516" s="54">
        <v>5</v>
      </c>
      <c r="F2516" s="55">
        <v>7316.1</v>
      </c>
      <c r="G2516" s="55">
        <v>1498.9</v>
      </c>
    </row>
    <row r="2517" spans="1:7" ht="10.050000000000001" customHeight="1">
      <c r="A2517" s="52" t="s">
        <v>421</v>
      </c>
      <c r="B2517" s="52" t="s">
        <v>308</v>
      </c>
      <c r="C2517" s="53">
        <v>2002</v>
      </c>
      <c r="D2517" s="52" t="s">
        <v>108</v>
      </c>
      <c r="E2517" s="54">
        <v>6</v>
      </c>
      <c r="F2517" s="55">
        <v>4121.3</v>
      </c>
      <c r="G2517" s="55">
        <v>1321.3</v>
      </c>
    </row>
    <row r="2518" spans="1:7" ht="10.050000000000001" customHeight="1">
      <c r="A2518" s="52" t="s">
        <v>421</v>
      </c>
      <c r="B2518" s="52" t="s">
        <v>308</v>
      </c>
      <c r="C2518" s="53">
        <v>2002</v>
      </c>
      <c r="D2518" s="52" t="s">
        <v>109</v>
      </c>
      <c r="E2518" s="54">
        <v>7</v>
      </c>
      <c r="F2518" s="55">
        <v>1984.4</v>
      </c>
      <c r="G2518" s="55">
        <v>617.1</v>
      </c>
    </row>
    <row r="2519" spans="1:7" ht="10.050000000000001" customHeight="1">
      <c r="A2519" s="52" t="s">
        <v>421</v>
      </c>
      <c r="B2519" s="52" t="s">
        <v>308</v>
      </c>
      <c r="C2519" s="53">
        <v>2002</v>
      </c>
      <c r="D2519" s="52" t="s">
        <v>109</v>
      </c>
      <c r="E2519" s="54">
        <v>8</v>
      </c>
      <c r="F2519" s="55">
        <v>796.9</v>
      </c>
      <c r="G2519" s="55">
        <v>388.9</v>
      </c>
    </row>
    <row r="2520" spans="1:7" ht="10.050000000000001" customHeight="1">
      <c r="A2520" s="52" t="s">
        <v>421</v>
      </c>
      <c r="B2520" s="52" t="s">
        <v>308</v>
      </c>
      <c r="C2520" s="53">
        <v>2002</v>
      </c>
      <c r="D2520" s="52" t="s">
        <v>109</v>
      </c>
      <c r="E2520" s="54">
        <v>9</v>
      </c>
      <c r="F2520" s="55">
        <v>455.4</v>
      </c>
      <c r="G2520" s="55">
        <v>352.9</v>
      </c>
    </row>
    <row r="2521" spans="1:7" ht="10.050000000000001" customHeight="1">
      <c r="A2521" s="52" t="s">
        <v>421</v>
      </c>
      <c r="B2521" s="52" t="s">
        <v>308</v>
      </c>
      <c r="C2521" s="53">
        <v>2002</v>
      </c>
      <c r="D2521" s="52" t="s">
        <v>109</v>
      </c>
      <c r="E2521" s="54">
        <v>10</v>
      </c>
      <c r="F2521" s="55">
        <v>1592.3</v>
      </c>
      <c r="G2521" s="55">
        <v>1078.4000000000001</v>
      </c>
    </row>
    <row r="2522" spans="1:7" ht="10.050000000000001" customHeight="1">
      <c r="A2522" s="52" t="s">
        <v>421</v>
      </c>
      <c r="B2522" s="52" t="s">
        <v>308</v>
      </c>
      <c r="C2522" s="53">
        <v>2002</v>
      </c>
      <c r="D2522" s="52" t="s">
        <v>109</v>
      </c>
      <c r="E2522" s="54">
        <v>11</v>
      </c>
      <c r="F2522" s="55">
        <v>7940.5</v>
      </c>
      <c r="G2522" s="55">
        <v>1902.2</v>
      </c>
    </row>
    <row r="2523" spans="1:7" ht="10.050000000000001" customHeight="1">
      <c r="A2523" s="52" t="s">
        <v>421</v>
      </c>
      <c r="B2523" s="52" t="s">
        <v>308</v>
      </c>
      <c r="C2523" s="53">
        <v>2002</v>
      </c>
      <c r="D2523" s="52" t="s">
        <v>109</v>
      </c>
      <c r="E2523" s="54">
        <v>12</v>
      </c>
      <c r="F2523" s="55">
        <v>9828.1</v>
      </c>
      <c r="G2523" s="55">
        <v>2234.6</v>
      </c>
    </row>
    <row r="2524" spans="1:7" ht="10.050000000000001" customHeight="1">
      <c r="A2524" s="52" t="s">
        <v>421</v>
      </c>
      <c r="B2524" s="52" t="s">
        <v>308</v>
      </c>
      <c r="C2524" s="53">
        <v>2003</v>
      </c>
      <c r="D2524" s="52" t="s">
        <v>109</v>
      </c>
      <c r="E2524" s="54">
        <v>1</v>
      </c>
      <c r="F2524" s="55">
        <v>11779.2</v>
      </c>
      <c r="G2524" s="55">
        <v>2276.8000000000002</v>
      </c>
    </row>
    <row r="2525" spans="1:7" ht="10.050000000000001" customHeight="1">
      <c r="A2525" s="52" t="s">
        <v>421</v>
      </c>
      <c r="B2525" s="52" t="s">
        <v>308</v>
      </c>
      <c r="C2525" s="53">
        <v>2003</v>
      </c>
      <c r="D2525" s="52" t="s">
        <v>109</v>
      </c>
      <c r="E2525" s="54">
        <v>2</v>
      </c>
      <c r="F2525" s="55">
        <v>10918.5</v>
      </c>
      <c r="G2525" s="55">
        <v>2016.1</v>
      </c>
    </row>
    <row r="2526" spans="1:7" ht="10.050000000000001" customHeight="1">
      <c r="A2526" s="52" t="s">
        <v>421</v>
      </c>
      <c r="B2526" s="52" t="s">
        <v>308</v>
      </c>
      <c r="C2526" s="53">
        <v>2003</v>
      </c>
      <c r="D2526" s="52" t="s">
        <v>109</v>
      </c>
      <c r="E2526" s="54">
        <v>3</v>
      </c>
      <c r="F2526" s="55">
        <v>11520.5</v>
      </c>
      <c r="G2526" s="55">
        <v>2312</v>
      </c>
    </row>
    <row r="2527" spans="1:7" ht="10.050000000000001" customHeight="1">
      <c r="A2527" s="52" t="s">
        <v>421</v>
      </c>
      <c r="B2527" s="52" t="s">
        <v>308</v>
      </c>
      <c r="C2527" s="53">
        <v>2003</v>
      </c>
      <c r="D2527" s="52" t="s">
        <v>109</v>
      </c>
      <c r="E2527" s="54">
        <v>4</v>
      </c>
      <c r="F2527" s="55">
        <v>12318.6</v>
      </c>
      <c r="G2527" s="55">
        <v>2534.1999999999998</v>
      </c>
    </row>
    <row r="2528" spans="1:7" ht="10.050000000000001" customHeight="1">
      <c r="A2528" s="52" t="s">
        <v>421</v>
      </c>
      <c r="B2528" s="52" t="s">
        <v>308</v>
      </c>
      <c r="C2528" s="53">
        <v>2003</v>
      </c>
      <c r="D2528" s="52" t="s">
        <v>109</v>
      </c>
      <c r="E2528" s="54">
        <v>5</v>
      </c>
      <c r="F2528" s="55">
        <v>10607.5</v>
      </c>
      <c r="G2528" s="55">
        <v>2169</v>
      </c>
    </row>
    <row r="2529" spans="1:7" ht="10.050000000000001" customHeight="1">
      <c r="A2529" s="52" t="s">
        <v>421</v>
      </c>
      <c r="B2529" s="52" t="s">
        <v>308</v>
      </c>
      <c r="C2529" s="53">
        <v>2003</v>
      </c>
      <c r="D2529" s="52" t="s">
        <v>109</v>
      </c>
      <c r="E2529" s="54">
        <v>6</v>
      </c>
      <c r="F2529" s="55">
        <v>8067.5</v>
      </c>
      <c r="G2529" s="55">
        <v>1889.2</v>
      </c>
    </row>
    <row r="2530" spans="1:7" ht="10.050000000000001" customHeight="1">
      <c r="A2530" s="52" t="s">
        <v>421</v>
      </c>
      <c r="B2530" s="52" t="s">
        <v>308</v>
      </c>
      <c r="C2530" s="53">
        <v>2003</v>
      </c>
      <c r="D2530" s="52" t="s">
        <v>106</v>
      </c>
      <c r="E2530" s="54">
        <v>7</v>
      </c>
      <c r="F2530" s="55">
        <v>4628.2</v>
      </c>
      <c r="G2530" s="55">
        <v>1174.5999999999999</v>
      </c>
    </row>
    <row r="2531" spans="1:7" ht="10.050000000000001" customHeight="1">
      <c r="A2531" s="52" t="s">
        <v>421</v>
      </c>
      <c r="B2531" s="52" t="s">
        <v>308</v>
      </c>
      <c r="C2531" s="53">
        <v>2003</v>
      </c>
      <c r="D2531" s="52" t="s">
        <v>106</v>
      </c>
      <c r="E2531" s="54">
        <v>8</v>
      </c>
      <c r="F2531" s="55">
        <v>3142.3</v>
      </c>
      <c r="G2531" s="55">
        <v>937.5</v>
      </c>
    </row>
    <row r="2532" spans="1:7" ht="10.050000000000001" customHeight="1">
      <c r="A2532" s="52" t="s">
        <v>421</v>
      </c>
      <c r="B2532" s="52" t="s">
        <v>308</v>
      </c>
      <c r="C2532" s="53">
        <v>2003</v>
      </c>
      <c r="D2532" s="52" t="s">
        <v>106</v>
      </c>
      <c r="E2532" s="54">
        <v>9</v>
      </c>
      <c r="F2532" s="55">
        <v>3841.6</v>
      </c>
      <c r="G2532" s="55">
        <v>1046</v>
      </c>
    </row>
    <row r="2533" spans="1:7" ht="10.050000000000001" customHeight="1">
      <c r="A2533" s="52" t="s">
        <v>421</v>
      </c>
      <c r="B2533" s="52" t="s">
        <v>308</v>
      </c>
      <c r="C2533" s="53">
        <v>2003</v>
      </c>
      <c r="D2533" s="52" t="s">
        <v>106</v>
      </c>
      <c r="E2533" s="54">
        <v>10</v>
      </c>
      <c r="F2533" s="55">
        <v>6602.4</v>
      </c>
      <c r="G2533" s="55">
        <v>1070.7</v>
      </c>
    </row>
    <row r="2534" spans="1:7" ht="10.050000000000001" customHeight="1">
      <c r="A2534" s="52" t="s">
        <v>421</v>
      </c>
      <c r="B2534" s="52" t="s">
        <v>308</v>
      </c>
      <c r="C2534" s="53">
        <v>2003</v>
      </c>
      <c r="D2534" s="52" t="s">
        <v>106</v>
      </c>
      <c r="E2534" s="54">
        <v>11</v>
      </c>
      <c r="F2534" s="55">
        <v>6083.1</v>
      </c>
      <c r="G2534" s="55">
        <v>1285.4000000000001</v>
      </c>
    </row>
    <row r="2535" spans="1:7" ht="10.050000000000001" customHeight="1">
      <c r="A2535" s="52" t="s">
        <v>421</v>
      </c>
      <c r="B2535" s="52" t="s">
        <v>308</v>
      </c>
      <c r="C2535" s="53">
        <v>2003</v>
      </c>
      <c r="D2535" s="52" t="s">
        <v>106</v>
      </c>
      <c r="E2535" s="54">
        <v>12</v>
      </c>
      <c r="F2535" s="55">
        <v>7585.5</v>
      </c>
      <c r="G2535" s="55">
        <v>1675.9</v>
      </c>
    </row>
    <row r="2536" spans="1:7" ht="10.050000000000001" customHeight="1">
      <c r="A2536" s="52" t="s">
        <v>421</v>
      </c>
      <c r="B2536" s="52" t="s">
        <v>308</v>
      </c>
      <c r="C2536" s="53">
        <v>2004</v>
      </c>
      <c r="D2536" s="52" t="s">
        <v>106</v>
      </c>
      <c r="E2536" s="54">
        <v>1</v>
      </c>
      <c r="F2536" s="55">
        <v>7463.2</v>
      </c>
      <c r="G2536" s="55">
        <v>1470.3</v>
      </c>
    </row>
    <row r="2537" spans="1:7" ht="10.050000000000001" customHeight="1">
      <c r="A2537" s="52" t="s">
        <v>421</v>
      </c>
      <c r="B2537" s="52" t="s">
        <v>308</v>
      </c>
      <c r="C2537" s="53">
        <v>2004</v>
      </c>
      <c r="D2537" s="52" t="s">
        <v>106</v>
      </c>
      <c r="E2537" s="54">
        <v>2</v>
      </c>
      <c r="F2537" s="55">
        <v>7033.3</v>
      </c>
      <c r="G2537" s="55">
        <v>1452.7</v>
      </c>
    </row>
    <row r="2538" spans="1:7" ht="10.050000000000001" customHeight="1">
      <c r="A2538" s="52" t="s">
        <v>421</v>
      </c>
      <c r="B2538" s="52" t="s">
        <v>308</v>
      </c>
      <c r="C2538" s="53">
        <v>2004</v>
      </c>
      <c r="D2538" s="52" t="s">
        <v>106</v>
      </c>
      <c r="E2538" s="54">
        <v>3</v>
      </c>
      <c r="F2538" s="55">
        <v>8627.4</v>
      </c>
      <c r="G2538" s="55">
        <v>2030.2</v>
      </c>
    </row>
    <row r="2539" spans="1:7" ht="10.050000000000001" customHeight="1">
      <c r="A2539" s="52" t="s">
        <v>421</v>
      </c>
      <c r="B2539" s="52" t="s">
        <v>308</v>
      </c>
      <c r="C2539" s="53">
        <v>2004</v>
      </c>
      <c r="D2539" s="52" t="s">
        <v>106</v>
      </c>
      <c r="E2539" s="54">
        <v>4</v>
      </c>
      <c r="F2539" s="55">
        <v>8001.2</v>
      </c>
      <c r="G2539" s="55">
        <v>1770.3</v>
      </c>
    </row>
    <row r="2540" spans="1:7" ht="10.050000000000001" customHeight="1">
      <c r="A2540" s="52" t="s">
        <v>421</v>
      </c>
      <c r="B2540" s="52" t="s">
        <v>308</v>
      </c>
      <c r="C2540" s="53">
        <v>2004</v>
      </c>
      <c r="D2540" s="52" t="s">
        <v>106</v>
      </c>
      <c r="E2540" s="54">
        <v>5</v>
      </c>
      <c r="F2540" s="55">
        <v>6627.3</v>
      </c>
      <c r="G2540" s="55">
        <v>1381</v>
      </c>
    </row>
    <row r="2541" spans="1:7" ht="10.050000000000001" customHeight="1">
      <c r="A2541" s="52" t="s">
        <v>421</v>
      </c>
      <c r="B2541" s="52" t="s">
        <v>308</v>
      </c>
      <c r="C2541" s="53">
        <v>2004</v>
      </c>
      <c r="D2541" s="52" t="s">
        <v>106</v>
      </c>
      <c r="E2541" s="54">
        <v>6</v>
      </c>
      <c r="F2541" s="55">
        <v>6920.9</v>
      </c>
      <c r="G2541" s="55">
        <v>1507</v>
      </c>
    </row>
    <row r="2542" spans="1:7" ht="10.050000000000001" customHeight="1">
      <c r="A2542" s="52" t="s">
        <v>421</v>
      </c>
      <c r="B2542" s="52" t="s">
        <v>308</v>
      </c>
      <c r="C2542" s="53">
        <v>2004</v>
      </c>
      <c r="D2542" s="52" t="s">
        <v>110</v>
      </c>
      <c r="E2542" s="54">
        <v>7</v>
      </c>
      <c r="F2542" s="55">
        <v>2911.2</v>
      </c>
      <c r="G2542" s="55">
        <v>1023.5</v>
      </c>
    </row>
    <row r="2543" spans="1:7" ht="10.050000000000001" customHeight="1">
      <c r="A2543" s="52" t="s">
        <v>421</v>
      </c>
      <c r="B2543" s="52" t="s">
        <v>308</v>
      </c>
      <c r="C2543" s="53">
        <v>2004</v>
      </c>
      <c r="D2543" s="52" t="s">
        <v>110</v>
      </c>
      <c r="E2543" s="54">
        <v>8</v>
      </c>
      <c r="F2543" s="55">
        <v>1910.9</v>
      </c>
      <c r="G2543" s="55">
        <v>985.7</v>
      </c>
    </row>
    <row r="2544" spans="1:7" ht="10.050000000000001" customHeight="1">
      <c r="A2544" s="52" t="s">
        <v>421</v>
      </c>
      <c r="B2544" s="52" t="s">
        <v>308</v>
      </c>
      <c r="C2544" s="53">
        <v>2004</v>
      </c>
      <c r="D2544" s="52" t="s">
        <v>110</v>
      </c>
      <c r="E2544" s="54">
        <v>9</v>
      </c>
      <c r="F2544" s="55">
        <v>1521.8</v>
      </c>
      <c r="G2544" s="55">
        <v>714.9</v>
      </c>
    </row>
    <row r="2545" spans="1:7" ht="10.050000000000001" customHeight="1">
      <c r="A2545" s="52" t="s">
        <v>421</v>
      </c>
      <c r="B2545" s="52" t="s">
        <v>308</v>
      </c>
      <c r="C2545" s="53">
        <v>2004</v>
      </c>
      <c r="D2545" s="52" t="s">
        <v>110</v>
      </c>
      <c r="E2545" s="54">
        <v>10</v>
      </c>
      <c r="F2545" s="55">
        <v>3464</v>
      </c>
      <c r="G2545" s="55">
        <v>990.1</v>
      </c>
    </row>
    <row r="2546" spans="1:7" ht="10.050000000000001" customHeight="1">
      <c r="A2546" s="52" t="s">
        <v>421</v>
      </c>
      <c r="B2546" s="52" t="s">
        <v>308</v>
      </c>
      <c r="C2546" s="53">
        <v>2004</v>
      </c>
      <c r="D2546" s="52" t="s">
        <v>110</v>
      </c>
      <c r="E2546" s="54">
        <v>11</v>
      </c>
      <c r="F2546" s="55">
        <v>7178</v>
      </c>
      <c r="G2546" s="55">
        <v>1966</v>
      </c>
    </row>
    <row r="2547" spans="1:7" ht="10.050000000000001" customHeight="1">
      <c r="A2547" s="52" t="s">
        <v>421</v>
      </c>
      <c r="B2547" s="52" t="s">
        <v>308</v>
      </c>
      <c r="C2547" s="53">
        <v>2004</v>
      </c>
      <c r="D2547" s="52" t="s">
        <v>110</v>
      </c>
      <c r="E2547" s="54">
        <v>12</v>
      </c>
      <c r="F2547" s="55">
        <v>7741.5</v>
      </c>
      <c r="G2547" s="55">
        <v>1375.5</v>
      </c>
    </row>
    <row r="2548" spans="1:7" ht="10.050000000000001" customHeight="1">
      <c r="A2548" s="52" t="s">
        <v>421</v>
      </c>
      <c r="B2548" s="52" t="s">
        <v>308</v>
      </c>
      <c r="C2548" s="53">
        <v>2005</v>
      </c>
      <c r="D2548" s="52" t="s">
        <v>110</v>
      </c>
      <c r="E2548" s="54">
        <v>1</v>
      </c>
      <c r="F2548" s="55">
        <v>5750.3</v>
      </c>
      <c r="G2548" s="55">
        <v>1327.2</v>
      </c>
    </row>
    <row r="2549" spans="1:7" ht="10.050000000000001" customHeight="1">
      <c r="A2549" s="52" t="s">
        <v>421</v>
      </c>
      <c r="B2549" s="52" t="s">
        <v>308</v>
      </c>
      <c r="C2549" s="53">
        <v>2005</v>
      </c>
      <c r="D2549" s="52" t="s">
        <v>110</v>
      </c>
      <c r="E2549" s="54">
        <v>2</v>
      </c>
      <c r="F2549" s="55">
        <v>4976.5</v>
      </c>
      <c r="G2549" s="55">
        <v>1310.5999999999999</v>
      </c>
    </row>
    <row r="2550" spans="1:7" ht="10.050000000000001" customHeight="1">
      <c r="A2550" s="52" t="s">
        <v>421</v>
      </c>
      <c r="B2550" s="52" t="s">
        <v>308</v>
      </c>
      <c r="C2550" s="53">
        <v>2005</v>
      </c>
      <c r="D2550" s="52" t="s">
        <v>110</v>
      </c>
      <c r="E2550" s="54">
        <v>3</v>
      </c>
      <c r="F2550" s="55">
        <v>3874.7</v>
      </c>
      <c r="G2550" s="55">
        <v>1151.5</v>
      </c>
    </row>
    <row r="2551" spans="1:7" ht="10.050000000000001" customHeight="1">
      <c r="A2551" s="52" t="s">
        <v>421</v>
      </c>
      <c r="B2551" s="52" t="s">
        <v>308</v>
      </c>
      <c r="C2551" s="53">
        <v>2005</v>
      </c>
      <c r="D2551" s="52" t="s">
        <v>110</v>
      </c>
      <c r="E2551" s="54">
        <v>4</v>
      </c>
      <c r="F2551" s="55">
        <v>2255.3000000000002</v>
      </c>
      <c r="G2551" s="55">
        <v>625.5</v>
      </c>
    </row>
    <row r="2552" spans="1:7" ht="10.050000000000001" customHeight="1">
      <c r="A2552" s="52" t="s">
        <v>421</v>
      </c>
      <c r="B2552" s="52" t="s">
        <v>308</v>
      </c>
      <c r="C2552" s="53">
        <v>2005</v>
      </c>
      <c r="D2552" s="52" t="s">
        <v>110</v>
      </c>
      <c r="E2552" s="54">
        <v>5</v>
      </c>
      <c r="F2552" s="55">
        <v>1666.5</v>
      </c>
      <c r="G2552" s="55">
        <v>512.4</v>
      </c>
    </row>
    <row r="2553" spans="1:7" ht="10.050000000000001" customHeight="1">
      <c r="A2553" s="52" t="s">
        <v>421</v>
      </c>
      <c r="B2553" s="52" t="s">
        <v>308</v>
      </c>
      <c r="C2553" s="53">
        <v>2005</v>
      </c>
      <c r="D2553" s="52" t="s">
        <v>110</v>
      </c>
      <c r="E2553" s="54">
        <v>6</v>
      </c>
      <c r="F2553" s="55">
        <v>1356</v>
      </c>
      <c r="G2553" s="55">
        <v>549.1</v>
      </c>
    </row>
    <row r="2554" spans="1:7" ht="10.050000000000001" customHeight="1">
      <c r="A2554" s="52" t="s">
        <v>421</v>
      </c>
      <c r="B2554" s="52" t="s">
        <v>308</v>
      </c>
      <c r="C2554" s="53">
        <v>2005</v>
      </c>
      <c r="D2554" s="52" t="s">
        <v>111</v>
      </c>
      <c r="E2554" s="54">
        <v>7</v>
      </c>
      <c r="F2554" s="55">
        <v>1190.3</v>
      </c>
      <c r="G2554" s="55">
        <v>462.8</v>
      </c>
    </row>
    <row r="2555" spans="1:7" ht="10.050000000000001" customHeight="1">
      <c r="A2555" s="52" t="s">
        <v>421</v>
      </c>
      <c r="B2555" s="52" t="s">
        <v>308</v>
      </c>
      <c r="C2555" s="53">
        <v>2005</v>
      </c>
      <c r="D2555" s="52" t="s">
        <v>111</v>
      </c>
      <c r="E2555" s="54">
        <v>8</v>
      </c>
      <c r="F2555" s="55">
        <v>860.6</v>
      </c>
      <c r="G2555" s="55">
        <v>350.9</v>
      </c>
    </row>
    <row r="2556" spans="1:7" ht="10.050000000000001" customHeight="1">
      <c r="A2556" s="52" t="s">
        <v>421</v>
      </c>
      <c r="B2556" s="52" t="s">
        <v>308</v>
      </c>
      <c r="C2556" s="53">
        <v>2005</v>
      </c>
      <c r="D2556" s="52" t="s">
        <v>111</v>
      </c>
      <c r="E2556" s="54">
        <v>9</v>
      </c>
      <c r="F2556" s="55">
        <v>894.7</v>
      </c>
      <c r="G2556" s="55">
        <v>547.29999999999995</v>
      </c>
    </row>
    <row r="2557" spans="1:7" ht="10.050000000000001" customHeight="1">
      <c r="A2557" s="52" t="s">
        <v>421</v>
      </c>
      <c r="B2557" s="52" t="s">
        <v>308</v>
      </c>
      <c r="C2557" s="53">
        <v>2005</v>
      </c>
      <c r="D2557" s="52" t="s">
        <v>111</v>
      </c>
      <c r="E2557" s="54">
        <v>10</v>
      </c>
      <c r="F2557" s="55">
        <v>1651.5</v>
      </c>
      <c r="G2557" s="55">
        <v>1507.2</v>
      </c>
    </row>
    <row r="2558" spans="1:7" ht="10.050000000000001" customHeight="1">
      <c r="A2558" s="52" t="s">
        <v>421</v>
      </c>
      <c r="B2558" s="52" t="s">
        <v>308</v>
      </c>
      <c r="C2558" s="53">
        <v>2005</v>
      </c>
      <c r="D2558" s="52" t="s">
        <v>111</v>
      </c>
      <c r="E2558" s="54">
        <v>11</v>
      </c>
      <c r="F2558" s="55">
        <v>3996.7</v>
      </c>
      <c r="G2558" s="55">
        <v>1578.7</v>
      </c>
    </row>
    <row r="2559" spans="1:7" ht="10.050000000000001" customHeight="1">
      <c r="A2559" s="52" t="s">
        <v>421</v>
      </c>
      <c r="B2559" s="52" t="s">
        <v>308</v>
      </c>
      <c r="C2559" s="53">
        <v>2005</v>
      </c>
      <c r="D2559" s="52" t="s">
        <v>111</v>
      </c>
      <c r="E2559" s="54">
        <v>12</v>
      </c>
      <c r="F2559" s="55">
        <v>4719</v>
      </c>
      <c r="G2559" s="55">
        <v>1662.3</v>
      </c>
    </row>
    <row r="2560" spans="1:7" ht="10.050000000000001" customHeight="1">
      <c r="A2560" s="52" t="s">
        <v>421</v>
      </c>
      <c r="B2560" s="52" t="s">
        <v>308</v>
      </c>
      <c r="C2560" s="53">
        <v>2006</v>
      </c>
      <c r="D2560" s="52" t="s">
        <v>111</v>
      </c>
      <c r="E2560" s="54">
        <v>1</v>
      </c>
      <c r="F2560" s="55">
        <v>4696.1000000000004</v>
      </c>
      <c r="G2560" s="55">
        <v>1707.7</v>
      </c>
    </row>
    <row r="2561" spans="1:7" ht="10.050000000000001" customHeight="1">
      <c r="A2561" s="52" t="s">
        <v>421</v>
      </c>
      <c r="B2561" s="52" t="s">
        <v>308</v>
      </c>
      <c r="C2561" s="53">
        <v>2006</v>
      </c>
      <c r="D2561" s="52" t="s">
        <v>111</v>
      </c>
      <c r="E2561" s="54">
        <v>2</v>
      </c>
      <c r="F2561" s="55">
        <v>4420.3999999999996</v>
      </c>
      <c r="G2561" s="55">
        <v>1069.9000000000001</v>
      </c>
    </row>
    <row r="2562" spans="1:7" ht="10.050000000000001" customHeight="1">
      <c r="A2562" s="52" t="s">
        <v>421</v>
      </c>
      <c r="B2562" s="52" t="s">
        <v>308</v>
      </c>
      <c r="C2562" s="53">
        <v>2006</v>
      </c>
      <c r="D2562" s="52" t="s">
        <v>111</v>
      </c>
      <c r="E2562" s="54">
        <v>3</v>
      </c>
      <c r="F2562" s="55">
        <v>4489.7</v>
      </c>
      <c r="G2562" s="55">
        <v>1332.2</v>
      </c>
    </row>
    <row r="2563" spans="1:7" ht="10.050000000000001" customHeight="1">
      <c r="A2563" s="52" t="s">
        <v>421</v>
      </c>
      <c r="B2563" s="52" t="s">
        <v>308</v>
      </c>
      <c r="C2563" s="53">
        <v>2006</v>
      </c>
      <c r="D2563" s="52" t="s">
        <v>111</v>
      </c>
      <c r="E2563" s="54">
        <v>4</v>
      </c>
      <c r="F2563" s="55">
        <v>3728.2</v>
      </c>
      <c r="G2563" s="55">
        <v>1133.7</v>
      </c>
    </row>
    <row r="2564" spans="1:7" ht="10.050000000000001" customHeight="1">
      <c r="A2564" s="52" t="s">
        <v>421</v>
      </c>
      <c r="B2564" s="52" t="s">
        <v>308</v>
      </c>
      <c r="C2564" s="53">
        <v>2006</v>
      </c>
      <c r="D2564" s="52" t="s">
        <v>111</v>
      </c>
      <c r="E2564" s="54">
        <v>5</v>
      </c>
      <c r="F2564" s="55">
        <v>5407</v>
      </c>
      <c r="G2564" s="55">
        <v>1229.8</v>
      </c>
    </row>
    <row r="2565" spans="1:7" ht="10.050000000000001" customHeight="1">
      <c r="A2565" s="52" t="s">
        <v>421</v>
      </c>
      <c r="B2565" s="52" t="s">
        <v>308</v>
      </c>
      <c r="C2565" s="53">
        <v>2006</v>
      </c>
      <c r="D2565" s="52" t="s">
        <v>111</v>
      </c>
      <c r="E2565" s="54">
        <v>6</v>
      </c>
      <c r="F2565" s="55">
        <v>4387.8</v>
      </c>
      <c r="G2565" s="55">
        <v>1587.3</v>
      </c>
    </row>
    <row r="2566" spans="1:7" ht="10.050000000000001" customHeight="1">
      <c r="A2566" s="52" t="s">
        <v>421</v>
      </c>
      <c r="B2566" s="52" t="s">
        <v>308</v>
      </c>
      <c r="C2566" s="53">
        <v>2006</v>
      </c>
      <c r="D2566" s="52" t="s">
        <v>112</v>
      </c>
      <c r="E2566" s="54">
        <v>7</v>
      </c>
      <c r="F2566" s="55">
        <v>3235</v>
      </c>
      <c r="G2566" s="55">
        <v>1572.7</v>
      </c>
    </row>
    <row r="2567" spans="1:7" ht="10.050000000000001" customHeight="1">
      <c r="A2567" s="52" t="s">
        <v>421</v>
      </c>
      <c r="B2567" s="52" t="s">
        <v>308</v>
      </c>
      <c r="C2567" s="53">
        <v>2006</v>
      </c>
      <c r="D2567" s="52" t="s">
        <v>112</v>
      </c>
      <c r="E2567" s="54">
        <v>8</v>
      </c>
      <c r="F2567" s="55">
        <v>2977.9</v>
      </c>
      <c r="G2567" s="55">
        <v>984</v>
      </c>
    </row>
    <row r="2568" spans="1:7" ht="10.050000000000001" customHeight="1">
      <c r="A2568" s="52" t="s">
        <v>421</v>
      </c>
      <c r="B2568" s="52" t="s">
        <v>308</v>
      </c>
      <c r="C2568" s="53">
        <v>2006</v>
      </c>
      <c r="D2568" s="52" t="s">
        <v>112</v>
      </c>
      <c r="E2568" s="54">
        <v>9</v>
      </c>
      <c r="F2568" s="55">
        <v>2871</v>
      </c>
      <c r="G2568" s="55">
        <v>910.9</v>
      </c>
    </row>
    <row r="2569" spans="1:7" ht="10.050000000000001" customHeight="1">
      <c r="A2569" s="52" t="s">
        <v>421</v>
      </c>
      <c r="B2569" s="52" t="s">
        <v>308</v>
      </c>
      <c r="C2569" s="53">
        <v>2006</v>
      </c>
      <c r="D2569" s="52" t="s">
        <v>112</v>
      </c>
      <c r="E2569" s="54">
        <v>10</v>
      </c>
      <c r="F2569" s="55">
        <v>6428.6</v>
      </c>
      <c r="G2569" s="55">
        <v>2337.9</v>
      </c>
    </row>
    <row r="2570" spans="1:7" ht="10.050000000000001" customHeight="1">
      <c r="A2570" s="52" t="s">
        <v>421</v>
      </c>
      <c r="B2570" s="52" t="s">
        <v>308</v>
      </c>
      <c r="C2570" s="53">
        <v>2006</v>
      </c>
      <c r="D2570" s="52" t="s">
        <v>112</v>
      </c>
      <c r="E2570" s="54">
        <v>11</v>
      </c>
      <c r="F2570" s="55">
        <v>7812.1</v>
      </c>
      <c r="G2570" s="55">
        <v>2646.4</v>
      </c>
    </row>
    <row r="2571" spans="1:7" ht="10.050000000000001" customHeight="1">
      <c r="A2571" s="52" t="s">
        <v>421</v>
      </c>
      <c r="B2571" s="52" t="s">
        <v>308</v>
      </c>
      <c r="C2571" s="53">
        <v>2006</v>
      </c>
      <c r="D2571" s="52" t="s">
        <v>112</v>
      </c>
      <c r="E2571" s="54">
        <v>12</v>
      </c>
      <c r="F2571" s="55">
        <v>9964.7999999999993</v>
      </c>
      <c r="G2571" s="55">
        <v>2553.4</v>
      </c>
    </row>
    <row r="2572" spans="1:7" ht="10.050000000000001" customHeight="1">
      <c r="A2572" s="52" t="s">
        <v>421</v>
      </c>
      <c r="B2572" s="52" t="s">
        <v>308</v>
      </c>
      <c r="C2572" s="53">
        <v>2007</v>
      </c>
      <c r="D2572" s="52" t="s">
        <v>112</v>
      </c>
      <c r="E2572" s="54">
        <v>1</v>
      </c>
      <c r="F2572" s="55">
        <v>10520.2</v>
      </c>
      <c r="G2572" s="55">
        <v>3055.6</v>
      </c>
    </row>
    <row r="2573" spans="1:7" ht="10.050000000000001" customHeight="1">
      <c r="A2573" s="52" t="s">
        <v>421</v>
      </c>
      <c r="B2573" s="52" t="s">
        <v>308</v>
      </c>
      <c r="C2573" s="53">
        <v>2007</v>
      </c>
      <c r="D2573" s="52" t="s">
        <v>112</v>
      </c>
      <c r="E2573" s="54">
        <v>2</v>
      </c>
      <c r="F2573" s="55">
        <v>9859.6</v>
      </c>
      <c r="G2573" s="55">
        <v>3273.9</v>
      </c>
    </row>
    <row r="2574" spans="1:7" ht="10.050000000000001" customHeight="1">
      <c r="A2574" s="52" t="s">
        <v>421</v>
      </c>
      <c r="B2574" s="52" t="s">
        <v>308</v>
      </c>
      <c r="C2574" s="53">
        <v>2007</v>
      </c>
      <c r="D2574" s="52" t="s">
        <v>112</v>
      </c>
      <c r="E2574" s="54">
        <v>3</v>
      </c>
      <c r="F2574" s="55">
        <v>11245.8</v>
      </c>
      <c r="G2574" s="55">
        <v>3289.6</v>
      </c>
    </row>
    <row r="2575" spans="1:7" ht="10.050000000000001" customHeight="1">
      <c r="A2575" s="52" t="s">
        <v>421</v>
      </c>
      <c r="B2575" s="52" t="s">
        <v>308</v>
      </c>
      <c r="C2575" s="53">
        <v>2007</v>
      </c>
      <c r="D2575" s="52" t="s">
        <v>112</v>
      </c>
      <c r="E2575" s="54">
        <v>4</v>
      </c>
      <c r="F2575" s="55">
        <v>10071.9</v>
      </c>
      <c r="G2575" s="55">
        <v>2815.7</v>
      </c>
    </row>
    <row r="2576" spans="1:7" ht="10.050000000000001" customHeight="1">
      <c r="A2576" s="52" t="s">
        <v>421</v>
      </c>
      <c r="B2576" s="52" t="s">
        <v>308</v>
      </c>
      <c r="C2576" s="53">
        <v>2007</v>
      </c>
      <c r="D2576" s="52" t="s">
        <v>112</v>
      </c>
      <c r="E2576" s="54">
        <v>5</v>
      </c>
      <c r="F2576" s="55">
        <v>8064</v>
      </c>
      <c r="G2576" s="55">
        <v>2399.4</v>
      </c>
    </row>
    <row r="2577" spans="1:7" ht="10.050000000000001" customHeight="1">
      <c r="A2577" s="52" t="s">
        <v>421</v>
      </c>
      <c r="B2577" s="52" t="s">
        <v>308</v>
      </c>
      <c r="C2577" s="53">
        <v>2007</v>
      </c>
      <c r="D2577" s="52" t="s">
        <v>112</v>
      </c>
      <c r="E2577" s="54">
        <v>6</v>
      </c>
      <c r="F2577" s="55">
        <v>5727.7</v>
      </c>
      <c r="G2577" s="55">
        <v>1431.7</v>
      </c>
    </row>
    <row r="2578" spans="1:7" ht="10.050000000000001" customHeight="1">
      <c r="A2578" s="52" t="s">
        <v>421</v>
      </c>
      <c r="B2578" s="52" t="s">
        <v>308</v>
      </c>
      <c r="C2578" s="53">
        <v>2007</v>
      </c>
      <c r="D2578" s="52" t="s">
        <v>113</v>
      </c>
      <c r="E2578" s="54">
        <v>7</v>
      </c>
      <c r="F2578" s="55">
        <v>2644.9</v>
      </c>
      <c r="G2578" s="55">
        <v>936.7</v>
      </c>
    </row>
    <row r="2579" spans="1:7" ht="10.050000000000001" customHeight="1">
      <c r="A2579" s="52" t="s">
        <v>421</v>
      </c>
      <c r="B2579" s="52" t="s">
        <v>308</v>
      </c>
      <c r="C2579" s="53">
        <v>2007</v>
      </c>
      <c r="D2579" s="52" t="s">
        <v>113</v>
      </c>
      <c r="E2579" s="54">
        <v>8</v>
      </c>
      <c r="F2579" s="55">
        <v>1279.7</v>
      </c>
      <c r="G2579" s="55">
        <v>688.7</v>
      </c>
    </row>
    <row r="2580" spans="1:7" ht="10.050000000000001" customHeight="1">
      <c r="A2580" s="52" t="s">
        <v>421</v>
      </c>
      <c r="B2580" s="52" t="s">
        <v>308</v>
      </c>
      <c r="C2580" s="53">
        <v>2007</v>
      </c>
      <c r="D2580" s="52" t="s">
        <v>113</v>
      </c>
      <c r="E2580" s="54">
        <v>9</v>
      </c>
      <c r="F2580" s="55">
        <v>1413.6</v>
      </c>
      <c r="G2580" s="55">
        <v>632.9</v>
      </c>
    </row>
    <row r="2581" spans="1:7" ht="10.050000000000001" customHeight="1">
      <c r="A2581" s="52" t="s">
        <v>421</v>
      </c>
      <c r="B2581" s="52" t="s">
        <v>308</v>
      </c>
      <c r="C2581" s="53">
        <v>2007</v>
      </c>
      <c r="D2581" s="52" t="s">
        <v>113</v>
      </c>
      <c r="E2581" s="54">
        <v>10</v>
      </c>
      <c r="F2581" s="55">
        <v>20828.599999999999</v>
      </c>
      <c r="G2581" s="55">
        <v>33085.1</v>
      </c>
    </row>
    <row r="2582" spans="1:7" ht="10.050000000000001" customHeight="1">
      <c r="A2582" s="52" t="s">
        <v>421</v>
      </c>
      <c r="B2582" s="52" t="s">
        <v>308</v>
      </c>
      <c r="C2582" s="53">
        <v>2007</v>
      </c>
      <c r="D2582" s="52" t="s">
        <v>113</v>
      </c>
      <c r="E2582" s="54">
        <v>11</v>
      </c>
      <c r="F2582" s="55">
        <v>37936</v>
      </c>
      <c r="G2582" s="55">
        <v>27474.400000000001</v>
      </c>
    </row>
    <row r="2583" spans="1:7" ht="10.050000000000001" customHeight="1">
      <c r="A2583" s="52" t="s">
        <v>421</v>
      </c>
      <c r="B2583" s="52" t="s">
        <v>308</v>
      </c>
      <c r="C2583" s="53">
        <v>2007</v>
      </c>
      <c r="D2583" s="52" t="s">
        <v>113</v>
      </c>
      <c r="E2583" s="54">
        <v>12</v>
      </c>
      <c r="F2583" s="55">
        <v>54788.4</v>
      </c>
      <c r="G2583" s="55">
        <v>62867.1</v>
      </c>
    </row>
    <row r="2584" spans="1:7" ht="10.050000000000001" customHeight="1">
      <c r="A2584" s="52" t="s">
        <v>421</v>
      </c>
      <c r="B2584" s="52" t="s">
        <v>308</v>
      </c>
      <c r="C2584" s="53">
        <v>2008</v>
      </c>
      <c r="D2584" s="52" t="s">
        <v>113</v>
      </c>
      <c r="E2584" s="54">
        <v>1</v>
      </c>
      <c r="F2584" s="55">
        <v>82025.100000000006</v>
      </c>
      <c r="G2584" s="55">
        <v>71484.7</v>
      </c>
    </row>
    <row r="2585" spans="1:7" ht="10.050000000000001" customHeight="1">
      <c r="A2585" s="52" t="s">
        <v>421</v>
      </c>
      <c r="B2585" s="52" t="s">
        <v>308</v>
      </c>
      <c r="C2585" s="53">
        <v>2008</v>
      </c>
      <c r="D2585" s="52" t="s">
        <v>113</v>
      </c>
      <c r="E2585" s="54">
        <v>2</v>
      </c>
      <c r="F2585" s="55">
        <v>84659.8</v>
      </c>
      <c r="G2585" s="55">
        <v>90703</v>
      </c>
    </row>
    <row r="2586" spans="1:7" ht="10.050000000000001" customHeight="1">
      <c r="A2586" s="52" t="s">
        <v>421</v>
      </c>
      <c r="B2586" s="52" t="s">
        <v>308</v>
      </c>
      <c r="C2586" s="53">
        <v>2008</v>
      </c>
      <c r="D2586" s="52" t="s">
        <v>113</v>
      </c>
      <c r="E2586" s="54">
        <v>3</v>
      </c>
      <c r="F2586" s="55">
        <v>81346.399999999994</v>
      </c>
      <c r="G2586" s="55">
        <v>72074</v>
      </c>
    </row>
    <row r="2587" spans="1:7" ht="10.050000000000001" customHeight="1">
      <c r="A2587" s="52" t="s">
        <v>421</v>
      </c>
      <c r="B2587" s="52" t="s">
        <v>308</v>
      </c>
      <c r="C2587" s="53">
        <v>2008</v>
      </c>
      <c r="D2587" s="52" t="s">
        <v>113</v>
      </c>
      <c r="E2587" s="54">
        <v>4</v>
      </c>
      <c r="F2587" s="55">
        <v>82538.399999999994</v>
      </c>
      <c r="G2587" s="55">
        <v>78243.399999999994</v>
      </c>
    </row>
    <row r="2588" spans="1:7" ht="10.050000000000001" customHeight="1">
      <c r="A2588" s="52" t="s">
        <v>421</v>
      </c>
      <c r="B2588" s="52" t="s">
        <v>308</v>
      </c>
      <c r="C2588" s="53">
        <v>2008</v>
      </c>
      <c r="D2588" s="52" t="s">
        <v>113</v>
      </c>
      <c r="E2588" s="54">
        <v>5</v>
      </c>
      <c r="F2588" s="55">
        <v>69526.100000000006</v>
      </c>
      <c r="G2588" s="55">
        <v>52511.1</v>
      </c>
    </row>
    <row r="2589" spans="1:7" ht="10.050000000000001" customHeight="1">
      <c r="A2589" s="52" t="s">
        <v>421</v>
      </c>
      <c r="B2589" s="52" t="s">
        <v>308</v>
      </c>
      <c r="C2589" s="53">
        <v>2008</v>
      </c>
      <c r="D2589" s="52" t="s">
        <v>113</v>
      </c>
      <c r="E2589" s="54">
        <v>6</v>
      </c>
      <c r="F2589" s="55">
        <v>61168.2</v>
      </c>
      <c r="G2589" s="55">
        <v>24983</v>
      </c>
    </row>
    <row r="2590" spans="1:7" ht="10.050000000000001" customHeight="1">
      <c r="A2590" s="52" t="s">
        <v>421</v>
      </c>
      <c r="B2590" s="52" t="s">
        <v>308</v>
      </c>
      <c r="C2590" s="53">
        <v>2008</v>
      </c>
      <c r="D2590" s="52" t="s">
        <v>107</v>
      </c>
      <c r="E2590" s="54">
        <v>7</v>
      </c>
      <c r="F2590" s="55">
        <v>31256.6</v>
      </c>
      <c r="G2590" s="55">
        <v>5870.7</v>
      </c>
    </row>
    <row r="2591" spans="1:7" ht="10.050000000000001" customHeight="1">
      <c r="A2591" s="52" t="s">
        <v>421</v>
      </c>
      <c r="B2591" s="52" t="s">
        <v>308</v>
      </c>
      <c r="C2591" s="53">
        <v>2008</v>
      </c>
      <c r="D2591" s="52" t="s">
        <v>107</v>
      </c>
      <c r="E2591" s="54">
        <v>8</v>
      </c>
      <c r="F2591" s="55">
        <v>7728</v>
      </c>
      <c r="G2591" s="55">
        <v>3144.8</v>
      </c>
    </row>
    <row r="2592" spans="1:7" ht="10.050000000000001" customHeight="1">
      <c r="A2592" s="52" t="s">
        <v>421</v>
      </c>
      <c r="B2592" s="52" t="s">
        <v>308</v>
      </c>
      <c r="C2592" s="53">
        <v>2008</v>
      </c>
      <c r="D2592" s="52" t="s">
        <v>107</v>
      </c>
      <c r="E2592" s="54">
        <v>9</v>
      </c>
      <c r="F2592" s="55">
        <v>4723.8999999999996</v>
      </c>
      <c r="G2592" s="55">
        <v>2098.6</v>
      </c>
    </row>
    <row r="2593" spans="1:7" ht="10.050000000000001" customHeight="1">
      <c r="A2593" s="52" t="s">
        <v>421</v>
      </c>
      <c r="B2593" s="52" t="s">
        <v>308</v>
      </c>
      <c r="C2593" s="53">
        <v>2008</v>
      </c>
      <c r="D2593" s="52" t="s">
        <v>107</v>
      </c>
      <c r="E2593" s="54">
        <v>10</v>
      </c>
      <c r="F2593" s="55">
        <v>4433</v>
      </c>
      <c r="G2593" s="55">
        <v>1688.2</v>
      </c>
    </row>
    <row r="2594" spans="1:7" ht="10.050000000000001" customHeight="1">
      <c r="A2594" s="52" t="s">
        <v>421</v>
      </c>
      <c r="B2594" s="52" t="s">
        <v>308</v>
      </c>
      <c r="C2594" s="53">
        <v>2008</v>
      </c>
      <c r="D2594" s="52" t="s">
        <v>107</v>
      </c>
      <c r="E2594" s="54">
        <v>11</v>
      </c>
      <c r="F2594" s="55">
        <v>5820.9</v>
      </c>
      <c r="G2594" s="55">
        <v>1835.1</v>
      </c>
    </row>
    <row r="2595" spans="1:7" ht="10.050000000000001" customHeight="1">
      <c r="A2595" s="52" t="s">
        <v>421</v>
      </c>
      <c r="B2595" s="52" t="s">
        <v>308</v>
      </c>
      <c r="C2595" s="53">
        <v>2008</v>
      </c>
      <c r="D2595" s="52" t="s">
        <v>107</v>
      </c>
      <c r="E2595" s="54">
        <v>12</v>
      </c>
      <c r="F2595" s="55">
        <v>6935.4</v>
      </c>
      <c r="G2595" s="55">
        <v>1958.4</v>
      </c>
    </row>
    <row r="2596" spans="1:7" ht="10.050000000000001" customHeight="1">
      <c r="A2596" s="52" t="s">
        <v>421</v>
      </c>
      <c r="B2596" s="52" t="s">
        <v>308</v>
      </c>
      <c r="C2596" s="53">
        <v>2009</v>
      </c>
      <c r="D2596" s="52" t="s">
        <v>107</v>
      </c>
      <c r="E2596" s="54">
        <v>1</v>
      </c>
      <c r="F2596" s="55">
        <v>5421.6</v>
      </c>
      <c r="G2596" s="55">
        <v>1654.5</v>
      </c>
    </row>
    <row r="2597" spans="1:7" ht="10.050000000000001" customHeight="1">
      <c r="A2597" s="52" t="s">
        <v>421</v>
      </c>
      <c r="B2597" s="52" t="s">
        <v>308</v>
      </c>
      <c r="C2597" s="53">
        <v>2009</v>
      </c>
      <c r="D2597" s="52" t="s">
        <v>107</v>
      </c>
      <c r="E2597" s="54">
        <v>2</v>
      </c>
      <c r="F2597" s="55">
        <v>3430</v>
      </c>
      <c r="G2597" s="55">
        <v>1375</v>
      </c>
    </row>
    <row r="2598" spans="1:7" ht="10.050000000000001" customHeight="1">
      <c r="A2598" s="52" t="s">
        <v>421</v>
      </c>
      <c r="B2598" s="52" t="s">
        <v>308</v>
      </c>
      <c r="C2598" s="53">
        <v>2009</v>
      </c>
      <c r="D2598" s="52" t="s">
        <v>107</v>
      </c>
      <c r="E2598" s="54">
        <v>3</v>
      </c>
      <c r="F2598" s="55">
        <v>3514.1</v>
      </c>
      <c r="G2598" s="55">
        <v>1391.6</v>
      </c>
    </row>
    <row r="2599" spans="1:7" ht="10.050000000000001" customHeight="1">
      <c r="A2599" s="52" t="s">
        <v>421</v>
      </c>
      <c r="B2599" s="52" t="s">
        <v>308</v>
      </c>
      <c r="C2599" s="53">
        <v>2009</v>
      </c>
      <c r="D2599" s="52" t="s">
        <v>107</v>
      </c>
      <c r="E2599" s="54">
        <v>4</v>
      </c>
      <c r="F2599" s="55">
        <v>3159.6</v>
      </c>
      <c r="G2599" s="55">
        <v>1640.9</v>
      </c>
    </row>
    <row r="2600" spans="1:7" ht="10.050000000000001" customHeight="1">
      <c r="A2600" s="52" t="s">
        <v>421</v>
      </c>
      <c r="B2600" s="52" t="s">
        <v>308</v>
      </c>
      <c r="C2600" s="53">
        <v>2009</v>
      </c>
      <c r="D2600" s="52" t="s">
        <v>107</v>
      </c>
      <c r="E2600" s="54">
        <v>5</v>
      </c>
      <c r="F2600" s="55">
        <v>2908.1</v>
      </c>
      <c r="G2600" s="55">
        <v>1201.5999999999999</v>
      </c>
    </row>
    <row r="2601" spans="1:7" ht="10.050000000000001" customHeight="1">
      <c r="A2601" s="52" t="s">
        <v>421</v>
      </c>
      <c r="B2601" s="52" t="s">
        <v>308</v>
      </c>
      <c r="C2601" s="53">
        <v>2009</v>
      </c>
      <c r="D2601" s="52" t="s">
        <v>107</v>
      </c>
      <c r="E2601" s="54">
        <v>6</v>
      </c>
      <c r="F2601" s="55">
        <v>3408.6</v>
      </c>
      <c r="G2601" s="55">
        <v>1223.0999999999999</v>
      </c>
    </row>
    <row r="2602" spans="1:7" ht="10.050000000000001" customHeight="1">
      <c r="A2602" s="52" t="s">
        <v>421</v>
      </c>
      <c r="B2602" s="52" t="s">
        <v>308</v>
      </c>
      <c r="C2602" s="53">
        <v>2009</v>
      </c>
      <c r="D2602" s="52" t="s">
        <v>114</v>
      </c>
      <c r="E2602" s="54">
        <v>7</v>
      </c>
      <c r="F2602" s="55">
        <v>2783.6</v>
      </c>
      <c r="G2602" s="55">
        <v>953.3</v>
      </c>
    </row>
    <row r="2603" spans="1:7" ht="10.050000000000001" customHeight="1">
      <c r="A2603" s="52" t="s">
        <v>421</v>
      </c>
      <c r="B2603" s="52" t="s">
        <v>308</v>
      </c>
      <c r="C2603" s="53">
        <v>2009</v>
      </c>
      <c r="D2603" s="52" t="s">
        <v>114</v>
      </c>
      <c r="E2603" s="54">
        <v>8</v>
      </c>
      <c r="F2603" s="55">
        <v>1851.1</v>
      </c>
      <c r="G2603" s="55">
        <v>808</v>
      </c>
    </row>
    <row r="2604" spans="1:7" ht="10.050000000000001" customHeight="1">
      <c r="A2604" s="52" t="s">
        <v>421</v>
      </c>
      <c r="B2604" s="52" t="s">
        <v>308</v>
      </c>
      <c r="C2604" s="53">
        <v>2009</v>
      </c>
      <c r="D2604" s="52" t="s">
        <v>114</v>
      </c>
      <c r="E2604" s="54">
        <v>9</v>
      </c>
      <c r="F2604" s="55">
        <v>1845.4</v>
      </c>
      <c r="G2604" s="55">
        <v>1126.5999999999999</v>
      </c>
    </row>
    <row r="2605" spans="1:7" ht="10.050000000000001" customHeight="1">
      <c r="A2605" s="52" t="s">
        <v>421</v>
      </c>
      <c r="B2605" s="52" t="s">
        <v>308</v>
      </c>
      <c r="C2605" s="53">
        <v>2009</v>
      </c>
      <c r="D2605" s="52" t="s">
        <v>114</v>
      </c>
      <c r="E2605" s="54">
        <v>10</v>
      </c>
      <c r="F2605" s="55">
        <v>5494</v>
      </c>
      <c r="G2605" s="55">
        <v>1801.9</v>
      </c>
    </row>
    <row r="2606" spans="1:7" ht="10.050000000000001" customHeight="1">
      <c r="A2606" s="52" t="s">
        <v>421</v>
      </c>
      <c r="B2606" s="52" t="s">
        <v>308</v>
      </c>
      <c r="C2606" s="53">
        <v>2009</v>
      </c>
      <c r="D2606" s="52" t="s">
        <v>114</v>
      </c>
      <c r="E2606" s="54">
        <v>11</v>
      </c>
      <c r="F2606" s="55">
        <v>6186.7</v>
      </c>
      <c r="G2606" s="55">
        <v>2153.4</v>
      </c>
    </row>
    <row r="2607" spans="1:7" ht="10.050000000000001" customHeight="1">
      <c r="A2607" s="52" t="s">
        <v>421</v>
      </c>
      <c r="B2607" s="52" t="s">
        <v>308</v>
      </c>
      <c r="C2607" s="53">
        <v>2009</v>
      </c>
      <c r="D2607" s="52" t="s">
        <v>114</v>
      </c>
      <c r="E2607" s="54">
        <v>12</v>
      </c>
      <c r="F2607" s="55">
        <v>7897.5</v>
      </c>
      <c r="G2607" s="55">
        <v>1768.7</v>
      </c>
    </row>
    <row r="2608" spans="1:7" ht="10.050000000000001" customHeight="1">
      <c r="A2608" s="52" t="s">
        <v>421</v>
      </c>
      <c r="B2608" s="52" t="s">
        <v>308</v>
      </c>
      <c r="C2608" s="53">
        <v>2010</v>
      </c>
      <c r="D2608" s="52" t="s">
        <v>114</v>
      </c>
      <c r="E2608" s="54">
        <v>1</v>
      </c>
      <c r="F2608" s="55">
        <v>6265.6</v>
      </c>
      <c r="G2608" s="55">
        <v>2280.9</v>
      </c>
    </row>
    <row r="2609" spans="1:7" ht="10.050000000000001" customHeight="1">
      <c r="A2609" s="52" t="s">
        <v>421</v>
      </c>
      <c r="B2609" s="52" t="s">
        <v>308</v>
      </c>
      <c r="C2609" s="53">
        <v>2010</v>
      </c>
      <c r="D2609" s="52" t="s">
        <v>114</v>
      </c>
      <c r="E2609" s="54">
        <v>2</v>
      </c>
      <c r="F2609" s="55">
        <v>6154.6</v>
      </c>
      <c r="G2609" s="55">
        <v>1937.1</v>
      </c>
    </row>
    <row r="2610" spans="1:7" ht="10.050000000000001" customHeight="1">
      <c r="A2610" s="52" t="s">
        <v>421</v>
      </c>
      <c r="B2610" s="52" t="s">
        <v>308</v>
      </c>
      <c r="C2610" s="53">
        <v>2010</v>
      </c>
      <c r="D2610" s="52" t="s">
        <v>114</v>
      </c>
      <c r="E2610" s="54">
        <v>3</v>
      </c>
      <c r="F2610" s="55">
        <v>6567.6</v>
      </c>
      <c r="G2610" s="55">
        <v>1639.4</v>
      </c>
    </row>
    <row r="2611" spans="1:7" ht="10.050000000000001" customHeight="1">
      <c r="A2611" s="52" t="s">
        <v>421</v>
      </c>
      <c r="B2611" s="52" t="s">
        <v>308</v>
      </c>
      <c r="C2611" s="53">
        <v>2010</v>
      </c>
      <c r="D2611" s="52" t="s">
        <v>114</v>
      </c>
      <c r="E2611" s="54">
        <v>4</v>
      </c>
      <c r="F2611" s="55">
        <v>5248.9</v>
      </c>
      <c r="G2611" s="55">
        <v>1239.3</v>
      </c>
    </row>
    <row r="2612" spans="1:7" ht="10.050000000000001" customHeight="1">
      <c r="A2612" s="52" t="s">
        <v>421</v>
      </c>
      <c r="B2612" s="52" t="s">
        <v>308</v>
      </c>
      <c r="C2612" s="53">
        <v>2010</v>
      </c>
      <c r="D2612" s="52" t="s">
        <v>114</v>
      </c>
      <c r="E2612" s="54">
        <v>5</v>
      </c>
      <c r="F2612" s="55">
        <v>3877.8</v>
      </c>
      <c r="G2612" s="55">
        <v>1358.6</v>
      </c>
    </row>
    <row r="2613" spans="1:7" ht="10.050000000000001" customHeight="1">
      <c r="A2613" s="52" t="s">
        <v>421</v>
      </c>
      <c r="B2613" s="52" t="s">
        <v>308</v>
      </c>
      <c r="C2613" s="53">
        <v>2010</v>
      </c>
      <c r="D2613" s="52" t="s">
        <v>114</v>
      </c>
      <c r="E2613" s="54">
        <v>6</v>
      </c>
      <c r="F2613" s="55">
        <v>3986.5</v>
      </c>
      <c r="G2613" s="55">
        <v>1063.5</v>
      </c>
    </row>
    <row r="2614" spans="1:7" ht="10.050000000000001" customHeight="1">
      <c r="A2614" s="52" t="s">
        <v>421</v>
      </c>
      <c r="B2614" s="52" t="s">
        <v>308</v>
      </c>
      <c r="C2614" s="53">
        <v>2010</v>
      </c>
      <c r="D2614" s="52" t="s">
        <v>115</v>
      </c>
      <c r="E2614" s="54">
        <v>7</v>
      </c>
      <c r="F2614" s="55">
        <v>2626.7</v>
      </c>
      <c r="G2614" s="55">
        <v>872.6</v>
      </c>
    </row>
    <row r="2615" spans="1:7" ht="10.050000000000001" customHeight="1">
      <c r="A2615" s="52" t="s">
        <v>421</v>
      </c>
      <c r="B2615" s="52" t="s">
        <v>308</v>
      </c>
      <c r="C2615" s="53">
        <v>2010</v>
      </c>
      <c r="D2615" s="52" t="s">
        <v>115</v>
      </c>
      <c r="E2615" s="54">
        <v>8</v>
      </c>
      <c r="F2615" s="55">
        <v>1631.5</v>
      </c>
      <c r="G2615" s="55">
        <v>574</v>
      </c>
    </row>
    <row r="2616" spans="1:7" ht="10.050000000000001" customHeight="1">
      <c r="A2616" s="52" t="s">
        <v>421</v>
      </c>
      <c r="B2616" s="52" t="s">
        <v>308</v>
      </c>
      <c r="C2616" s="53">
        <v>2010</v>
      </c>
      <c r="D2616" s="52" t="s">
        <v>115</v>
      </c>
      <c r="E2616" s="54">
        <v>9</v>
      </c>
      <c r="F2616" s="55">
        <v>1101.5999999999999</v>
      </c>
      <c r="G2616" s="55">
        <v>439.4</v>
      </c>
    </row>
    <row r="2617" spans="1:7" ht="10.050000000000001" customHeight="1">
      <c r="A2617" s="52" t="s">
        <v>421</v>
      </c>
      <c r="B2617" s="52" t="s">
        <v>308</v>
      </c>
      <c r="C2617" s="53">
        <v>2010</v>
      </c>
      <c r="D2617" s="52" t="s">
        <v>115</v>
      </c>
      <c r="E2617" s="54">
        <v>10</v>
      </c>
      <c r="F2617" s="55">
        <v>2622.1</v>
      </c>
      <c r="G2617" s="55">
        <v>1686.1</v>
      </c>
    </row>
    <row r="2618" spans="1:7" ht="10.050000000000001" customHeight="1">
      <c r="A2618" s="52" t="s">
        <v>421</v>
      </c>
      <c r="B2618" s="52" t="s">
        <v>308</v>
      </c>
      <c r="C2618" s="53">
        <v>2010</v>
      </c>
      <c r="D2618" s="52" t="s">
        <v>115</v>
      </c>
      <c r="E2618" s="54">
        <v>11</v>
      </c>
      <c r="F2618" s="55">
        <v>5468.1</v>
      </c>
      <c r="G2618" s="55">
        <v>1297.7</v>
      </c>
    </row>
    <row r="2619" spans="1:7" ht="10.050000000000001" customHeight="1">
      <c r="A2619" s="52" t="s">
        <v>421</v>
      </c>
      <c r="B2619" s="52" t="s">
        <v>308</v>
      </c>
      <c r="C2619" s="53">
        <v>2010</v>
      </c>
      <c r="D2619" s="52" t="s">
        <v>115</v>
      </c>
      <c r="E2619" s="54">
        <v>12</v>
      </c>
      <c r="F2619" s="55">
        <v>7434.9790000000003</v>
      </c>
      <c r="G2619" s="55">
        <v>1407.223</v>
      </c>
    </row>
    <row r="2620" spans="1:7" ht="10.050000000000001" customHeight="1">
      <c r="A2620" s="52" t="s">
        <v>421</v>
      </c>
      <c r="B2620" s="52" t="s">
        <v>308</v>
      </c>
      <c r="C2620" s="53">
        <v>2011</v>
      </c>
      <c r="D2620" s="52" t="s">
        <v>115</v>
      </c>
      <c r="E2620" s="54">
        <v>1</v>
      </c>
      <c r="F2620" s="55">
        <v>6189.2</v>
      </c>
      <c r="G2620" s="55">
        <v>1452.223</v>
      </c>
    </row>
    <row r="2621" spans="1:7" ht="10.050000000000001" customHeight="1">
      <c r="A2621" s="52" t="s">
        <v>421</v>
      </c>
      <c r="B2621" s="52" t="s">
        <v>308</v>
      </c>
      <c r="C2621" s="53">
        <v>2011</v>
      </c>
      <c r="D2621" s="52" t="s">
        <v>115</v>
      </c>
      <c r="E2621" s="54">
        <v>2</v>
      </c>
      <c r="F2621" s="55">
        <v>10794.38</v>
      </c>
      <c r="G2621" s="55">
        <v>14189.223</v>
      </c>
    </row>
    <row r="2622" spans="1:7" ht="10.050000000000001" customHeight="1">
      <c r="A2622" s="52" t="s">
        <v>421</v>
      </c>
      <c r="B2622" s="52" t="s">
        <v>308</v>
      </c>
      <c r="C2622" s="53">
        <v>2011</v>
      </c>
      <c r="D2622" s="52" t="s">
        <v>115</v>
      </c>
      <c r="E2622" s="54">
        <v>3</v>
      </c>
      <c r="F2622" s="55">
        <v>21414.557000000001</v>
      </c>
      <c r="G2622" s="55">
        <v>14887.005999999999</v>
      </c>
    </row>
    <row r="2623" spans="1:7" ht="10.050000000000001" customHeight="1">
      <c r="A2623" s="52" t="s">
        <v>421</v>
      </c>
      <c r="B2623" s="52" t="s">
        <v>308</v>
      </c>
      <c r="C2623" s="53">
        <v>2011</v>
      </c>
      <c r="D2623" s="52" t="s">
        <v>115</v>
      </c>
      <c r="E2623" s="54">
        <v>4</v>
      </c>
      <c r="F2623" s="55">
        <v>21481.7</v>
      </c>
      <c r="G2623" s="55">
        <v>19821.405999999999</v>
      </c>
    </row>
    <row r="2624" spans="1:7" ht="10.050000000000001" customHeight="1">
      <c r="A2624" s="52" t="s">
        <v>421</v>
      </c>
      <c r="B2624" s="52" t="s">
        <v>308</v>
      </c>
      <c r="C2624" s="53">
        <v>2011</v>
      </c>
      <c r="D2624" s="52" t="s">
        <v>115</v>
      </c>
      <c r="E2624" s="54">
        <v>5</v>
      </c>
      <c r="F2624" s="55">
        <v>21382.601999999999</v>
      </c>
      <c r="G2624" s="55">
        <v>13538.304</v>
      </c>
    </row>
    <row r="2625" spans="1:7" ht="10.050000000000001" customHeight="1">
      <c r="A2625" s="52" t="s">
        <v>421</v>
      </c>
      <c r="B2625" s="52" t="s">
        <v>308</v>
      </c>
      <c r="C2625" s="53">
        <v>2011</v>
      </c>
      <c r="D2625" s="52" t="s">
        <v>115</v>
      </c>
      <c r="E2625" s="54">
        <v>6</v>
      </c>
      <c r="F2625" s="55">
        <v>15746.72</v>
      </c>
      <c r="G2625" s="55">
        <v>5636.3639999999996</v>
      </c>
    </row>
    <row r="2626" spans="1:7" ht="10.050000000000001" customHeight="1">
      <c r="A2626" s="52" t="s">
        <v>421</v>
      </c>
      <c r="B2626" s="52" t="s">
        <v>308</v>
      </c>
      <c r="C2626" s="53">
        <v>2011</v>
      </c>
      <c r="D2626" s="52" t="s">
        <v>116</v>
      </c>
      <c r="E2626" s="54">
        <v>7</v>
      </c>
      <c r="F2626" s="55">
        <v>8168.7240000000002</v>
      </c>
      <c r="G2626" s="55">
        <v>1251</v>
      </c>
    </row>
    <row r="2627" spans="1:7" ht="10.050000000000001" customHeight="1">
      <c r="A2627" s="52" t="s">
        <v>421</v>
      </c>
      <c r="B2627" s="52" t="s">
        <v>308</v>
      </c>
      <c r="C2627" s="53">
        <v>2011</v>
      </c>
      <c r="D2627" s="52" t="s">
        <v>116</v>
      </c>
      <c r="E2627" s="54">
        <v>8</v>
      </c>
      <c r="F2627" s="55">
        <v>2508.59</v>
      </c>
      <c r="G2627" s="55">
        <v>663.31</v>
      </c>
    </row>
    <row r="2628" spans="1:7" ht="10.050000000000001" customHeight="1">
      <c r="A2628" s="52" t="s">
        <v>421</v>
      </c>
      <c r="B2628" s="52" t="s">
        <v>308</v>
      </c>
      <c r="C2628" s="53">
        <v>2011</v>
      </c>
      <c r="D2628" s="52" t="s">
        <v>116</v>
      </c>
      <c r="E2628" s="54">
        <v>9</v>
      </c>
      <c r="F2628" s="55">
        <v>1700.95</v>
      </c>
      <c r="G2628" s="55">
        <v>645.96</v>
      </c>
    </row>
    <row r="2629" spans="1:7" ht="10.050000000000001" customHeight="1">
      <c r="A2629" s="52" t="s">
        <v>421</v>
      </c>
      <c r="B2629" s="52" t="s">
        <v>308</v>
      </c>
      <c r="C2629" s="53">
        <v>2011</v>
      </c>
      <c r="D2629" s="52" t="s">
        <v>116</v>
      </c>
      <c r="E2629" s="54">
        <v>10</v>
      </c>
      <c r="F2629" s="55">
        <v>2363.4899999999998</v>
      </c>
      <c r="G2629" s="55">
        <v>1124.6400000000001</v>
      </c>
    </row>
    <row r="2630" spans="1:7" ht="10.050000000000001" customHeight="1">
      <c r="A2630" s="52" t="s">
        <v>421</v>
      </c>
      <c r="B2630" s="52" t="s">
        <v>308</v>
      </c>
      <c r="C2630" s="53">
        <v>2011</v>
      </c>
      <c r="D2630" s="52" t="s">
        <v>116</v>
      </c>
      <c r="E2630" s="54">
        <v>11</v>
      </c>
      <c r="F2630" s="55">
        <v>4147.01</v>
      </c>
      <c r="G2630" s="55">
        <v>1314.43</v>
      </c>
    </row>
    <row r="2631" spans="1:7" ht="10.050000000000001" customHeight="1">
      <c r="A2631" s="52" t="s">
        <v>421</v>
      </c>
      <c r="B2631" s="52" t="s">
        <v>308</v>
      </c>
      <c r="C2631" s="53">
        <v>2011</v>
      </c>
      <c r="D2631" s="52" t="s">
        <v>116</v>
      </c>
      <c r="E2631" s="54">
        <v>12</v>
      </c>
      <c r="F2631" s="55">
        <v>4444.83</v>
      </c>
      <c r="G2631" s="55">
        <v>1253.74</v>
      </c>
    </row>
    <row r="2632" spans="1:7" ht="10.050000000000001" customHeight="1">
      <c r="A2632" s="52" t="s">
        <v>421</v>
      </c>
      <c r="B2632" s="52" t="s">
        <v>308</v>
      </c>
      <c r="C2632" s="53">
        <v>2012</v>
      </c>
      <c r="D2632" s="52" t="s">
        <v>116</v>
      </c>
      <c r="E2632" s="54">
        <v>1</v>
      </c>
      <c r="F2632" s="55">
        <v>4817.3999999999996</v>
      </c>
      <c r="G2632" s="55">
        <v>1273.26</v>
      </c>
    </row>
    <row r="2633" spans="1:7" ht="10.050000000000001" customHeight="1">
      <c r="A2633" s="52" t="s">
        <v>421</v>
      </c>
      <c r="B2633" s="52" t="s">
        <v>308</v>
      </c>
      <c r="C2633" s="53">
        <v>2012</v>
      </c>
      <c r="D2633" s="52" t="s">
        <v>116</v>
      </c>
      <c r="E2633" s="54">
        <v>2</v>
      </c>
      <c r="F2633" s="55">
        <v>5010.1899999999996</v>
      </c>
      <c r="G2633" s="55">
        <v>1008.49</v>
      </c>
    </row>
    <row r="2634" spans="1:7" ht="10.050000000000001" customHeight="1">
      <c r="A2634" s="52" t="s">
        <v>421</v>
      </c>
      <c r="B2634" s="52" t="s">
        <v>308</v>
      </c>
      <c r="C2634" s="53">
        <v>2012</v>
      </c>
      <c r="D2634" s="52" t="s">
        <v>116</v>
      </c>
      <c r="E2634" s="54">
        <v>3</v>
      </c>
      <c r="F2634" s="55">
        <v>5326.84</v>
      </c>
      <c r="G2634" s="55">
        <v>885.75</v>
      </c>
    </row>
    <row r="2635" spans="1:7" ht="10.050000000000001" customHeight="1">
      <c r="A2635" s="52" t="s">
        <v>421</v>
      </c>
      <c r="B2635" s="52" t="s">
        <v>308</v>
      </c>
      <c r="C2635" s="53">
        <v>2012</v>
      </c>
      <c r="D2635" s="52" t="s">
        <v>116</v>
      </c>
      <c r="E2635" s="54">
        <v>4</v>
      </c>
      <c r="F2635" s="55">
        <v>3714.46</v>
      </c>
      <c r="G2635" s="55">
        <v>1103.05</v>
      </c>
    </row>
    <row r="2636" spans="1:7" ht="10.050000000000001" customHeight="1">
      <c r="A2636" s="52" t="s">
        <v>421</v>
      </c>
      <c r="B2636" s="52" t="s">
        <v>308</v>
      </c>
      <c r="C2636" s="53">
        <v>2012</v>
      </c>
      <c r="D2636" s="52" t="s">
        <v>116</v>
      </c>
      <c r="E2636" s="54">
        <v>5</v>
      </c>
      <c r="F2636" s="55">
        <v>4161.55</v>
      </c>
      <c r="G2636" s="55">
        <v>634.24</v>
      </c>
    </row>
    <row r="2637" spans="1:7" ht="10.050000000000001" customHeight="1">
      <c r="A2637" s="52" t="s">
        <v>421</v>
      </c>
      <c r="B2637" s="52" t="s">
        <v>308</v>
      </c>
      <c r="C2637" s="53">
        <v>2012</v>
      </c>
      <c r="D2637" s="52" t="s">
        <v>116</v>
      </c>
      <c r="E2637" s="54">
        <v>6</v>
      </c>
      <c r="F2637" s="55">
        <v>2989.89</v>
      </c>
      <c r="G2637" s="55">
        <v>1080.6500000000001</v>
      </c>
    </row>
    <row r="2638" spans="1:7" ht="10.050000000000001" customHeight="1">
      <c r="A2638" s="52" t="s">
        <v>421</v>
      </c>
      <c r="B2638" s="52" t="s">
        <v>308</v>
      </c>
      <c r="C2638" s="53">
        <v>2012</v>
      </c>
      <c r="D2638" s="52" t="s">
        <v>117</v>
      </c>
      <c r="E2638" s="54">
        <v>7</v>
      </c>
      <c r="F2638" s="55">
        <v>1621.838</v>
      </c>
      <c r="G2638" s="55">
        <v>808.66200000000003</v>
      </c>
    </row>
    <row r="2639" spans="1:7" ht="10.050000000000001" customHeight="1">
      <c r="A2639" s="52" t="s">
        <v>421</v>
      </c>
      <c r="B2639" s="52" t="s">
        <v>308</v>
      </c>
      <c r="C2639" s="53">
        <v>2012</v>
      </c>
      <c r="D2639" s="52" t="s">
        <v>117</v>
      </c>
      <c r="E2639" s="54">
        <v>8</v>
      </c>
      <c r="F2639" s="55">
        <v>1784.82</v>
      </c>
      <c r="G2639" s="55">
        <v>703.84</v>
      </c>
    </row>
    <row r="2640" spans="1:7" ht="10.050000000000001" customHeight="1">
      <c r="A2640" s="52" t="s">
        <v>421</v>
      </c>
      <c r="B2640" s="52" t="s">
        <v>308</v>
      </c>
      <c r="C2640" s="53">
        <v>2012</v>
      </c>
      <c r="D2640" s="52" t="s">
        <v>117</v>
      </c>
      <c r="E2640" s="54">
        <v>9</v>
      </c>
      <c r="F2640" s="55">
        <v>1557.0989999999999</v>
      </c>
      <c r="G2640" s="55">
        <v>679.94600000000003</v>
      </c>
    </row>
    <row r="2641" spans="1:7" ht="10.050000000000001" customHeight="1">
      <c r="A2641" s="52" t="s">
        <v>421</v>
      </c>
      <c r="B2641" s="52" t="s">
        <v>308</v>
      </c>
      <c r="C2641" s="53">
        <v>2012</v>
      </c>
      <c r="D2641" s="52" t="s">
        <v>117</v>
      </c>
      <c r="E2641" s="54">
        <v>10</v>
      </c>
      <c r="F2641" s="55">
        <v>3590.5619999999999</v>
      </c>
      <c r="G2641" s="55">
        <v>1091.0740000000001</v>
      </c>
    </row>
    <row r="2642" spans="1:7" ht="10.050000000000001" customHeight="1">
      <c r="A2642" s="52" t="s">
        <v>421</v>
      </c>
      <c r="B2642" s="52" t="s">
        <v>308</v>
      </c>
      <c r="C2642" s="53">
        <v>2012</v>
      </c>
      <c r="D2642" s="52" t="s">
        <v>117</v>
      </c>
      <c r="E2642" s="54">
        <v>11</v>
      </c>
      <c r="F2642" s="55">
        <v>3833.701</v>
      </c>
      <c r="G2642" s="55">
        <v>695.44500000000005</v>
      </c>
    </row>
    <row r="2643" spans="1:7" ht="10.050000000000001" customHeight="1">
      <c r="A2643" s="52" t="s">
        <v>421</v>
      </c>
      <c r="B2643" s="52" t="s">
        <v>308</v>
      </c>
      <c r="C2643" s="53">
        <v>2012</v>
      </c>
      <c r="D2643" s="52" t="s">
        <v>117</v>
      </c>
      <c r="E2643" s="54">
        <v>12</v>
      </c>
      <c r="F2643" s="55">
        <v>5046.2439999999997</v>
      </c>
      <c r="G2643" s="55">
        <v>1237.2460000000001</v>
      </c>
    </row>
    <row r="2644" spans="1:7" ht="10.050000000000001" customHeight="1">
      <c r="A2644" s="52" t="s">
        <v>421</v>
      </c>
      <c r="B2644" s="52" t="s">
        <v>308</v>
      </c>
      <c r="C2644" s="53">
        <v>2013</v>
      </c>
      <c r="D2644" s="52" t="s">
        <v>117</v>
      </c>
      <c r="E2644" s="54">
        <v>1</v>
      </c>
      <c r="F2644" s="55">
        <v>4511.0990000000002</v>
      </c>
      <c r="G2644" s="55">
        <v>993.86099999999999</v>
      </c>
    </row>
    <row r="2645" spans="1:7" ht="10.050000000000001" customHeight="1">
      <c r="A2645" s="52" t="s">
        <v>421</v>
      </c>
      <c r="B2645" s="52" t="s">
        <v>308</v>
      </c>
      <c r="C2645" s="53">
        <v>2013</v>
      </c>
      <c r="D2645" s="52" t="s">
        <v>117</v>
      </c>
      <c r="E2645" s="54">
        <v>2</v>
      </c>
      <c r="F2645" s="55">
        <v>3589.5070000000001</v>
      </c>
      <c r="G2645" s="55">
        <v>879.09400000000005</v>
      </c>
    </row>
    <row r="2646" spans="1:7" ht="10.050000000000001" customHeight="1">
      <c r="A2646" s="52" t="s">
        <v>421</v>
      </c>
      <c r="B2646" s="52" t="s">
        <v>308</v>
      </c>
      <c r="C2646" s="53">
        <v>2013</v>
      </c>
      <c r="D2646" s="52" t="s">
        <v>117</v>
      </c>
      <c r="E2646" s="54">
        <v>3</v>
      </c>
      <c r="F2646" s="55">
        <v>2381.799</v>
      </c>
      <c r="G2646" s="55">
        <v>775.70500000000004</v>
      </c>
    </row>
    <row r="2647" spans="1:7" ht="10.050000000000001" customHeight="1">
      <c r="A2647" s="52" t="s">
        <v>421</v>
      </c>
      <c r="B2647" s="52" t="s">
        <v>308</v>
      </c>
      <c r="C2647" s="53">
        <v>2013</v>
      </c>
      <c r="D2647" s="52" t="s">
        <v>117</v>
      </c>
      <c r="E2647" s="54">
        <v>4</v>
      </c>
      <c r="F2647" s="55">
        <v>2233.35</v>
      </c>
      <c r="G2647" s="55">
        <v>713.13499999999999</v>
      </c>
    </row>
    <row r="2648" spans="1:7" ht="10.050000000000001" customHeight="1">
      <c r="A2648" s="52" t="s">
        <v>421</v>
      </c>
      <c r="B2648" s="52" t="s">
        <v>308</v>
      </c>
      <c r="C2648" s="53">
        <v>2013</v>
      </c>
      <c r="D2648" s="52" t="s">
        <v>117</v>
      </c>
      <c r="E2648" s="54">
        <v>5</v>
      </c>
      <c r="F2648" s="55">
        <v>1831.924</v>
      </c>
      <c r="G2648" s="55">
        <v>941.38599999999997</v>
      </c>
    </row>
    <row r="2649" spans="1:7" ht="10.050000000000001" customHeight="1">
      <c r="A2649" s="52" t="s">
        <v>421</v>
      </c>
      <c r="B2649" s="52" t="s">
        <v>308</v>
      </c>
      <c r="C2649" s="53">
        <v>2013</v>
      </c>
      <c r="D2649" s="52" t="s">
        <v>117</v>
      </c>
      <c r="E2649" s="54">
        <v>6</v>
      </c>
      <c r="F2649" s="55">
        <v>1600.799</v>
      </c>
      <c r="G2649" s="55">
        <v>781.80700000000002</v>
      </c>
    </row>
    <row r="2650" spans="1:7" ht="10.050000000000001" customHeight="1">
      <c r="A2650" s="52" t="s">
        <v>421</v>
      </c>
      <c r="B2650" s="52" t="s">
        <v>308</v>
      </c>
      <c r="C2650" s="53">
        <v>2013</v>
      </c>
      <c r="D2650" s="52" t="s">
        <v>118</v>
      </c>
      <c r="E2650" s="54">
        <v>7</v>
      </c>
      <c r="F2650" s="55">
        <v>633.90700000000004</v>
      </c>
      <c r="G2650" s="55">
        <v>740.2</v>
      </c>
    </row>
    <row r="2651" spans="1:7" ht="10.050000000000001" customHeight="1">
      <c r="A2651" s="52" t="s">
        <v>421</v>
      </c>
      <c r="B2651" s="52" t="s">
        <v>308</v>
      </c>
      <c r="C2651" s="53">
        <v>2013</v>
      </c>
      <c r="D2651" s="52" t="s">
        <v>118</v>
      </c>
      <c r="E2651" s="54">
        <v>8</v>
      </c>
      <c r="F2651" s="55">
        <v>285.60000000000002</v>
      </c>
      <c r="G2651" s="55">
        <v>525.20000000000005</v>
      </c>
    </row>
    <row r="2652" spans="1:7" ht="10.050000000000001" customHeight="1">
      <c r="A2652" s="52" t="s">
        <v>421</v>
      </c>
      <c r="B2652" s="52" t="s">
        <v>308</v>
      </c>
      <c r="C2652" s="53">
        <v>2013</v>
      </c>
      <c r="D2652" s="52" t="s">
        <v>118</v>
      </c>
      <c r="E2652" s="54">
        <v>9</v>
      </c>
      <c r="F2652" s="55">
        <v>389.71800000000002</v>
      </c>
      <c r="G2652" s="55">
        <v>545</v>
      </c>
    </row>
    <row r="2653" spans="1:7" ht="10.050000000000001" customHeight="1">
      <c r="A2653" s="52" t="s">
        <v>421</v>
      </c>
      <c r="B2653" s="52" t="s">
        <v>308</v>
      </c>
      <c r="C2653" s="53">
        <v>2013</v>
      </c>
      <c r="D2653" s="52" t="s">
        <v>118</v>
      </c>
      <c r="E2653" s="54">
        <v>10</v>
      </c>
      <c r="F2653" s="55">
        <v>699.7</v>
      </c>
      <c r="G2653" s="55">
        <v>680</v>
      </c>
    </row>
    <row r="2654" spans="1:7" ht="10.050000000000001" customHeight="1">
      <c r="A2654" s="52" t="s">
        <v>421</v>
      </c>
      <c r="B2654" s="52" t="s">
        <v>308</v>
      </c>
      <c r="C2654" s="53">
        <v>2013</v>
      </c>
      <c r="D2654" s="52" t="s">
        <v>118</v>
      </c>
      <c r="E2654" s="54">
        <v>11</v>
      </c>
      <c r="F2654" s="55">
        <v>1610.248</v>
      </c>
      <c r="G2654" s="55">
        <v>929.09199999999998</v>
      </c>
    </row>
    <row r="2655" spans="1:7" ht="10.050000000000001" customHeight="1">
      <c r="A2655" s="52" t="s">
        <v>421</v>
      </c>
      <c r="B2655" s="52" t="s">
        <v>308</v>
      </c>
      <c r="C2655" s="53">
        <v>2013</v>
      </c>
      <c r="D2655" s="52" t="s">
        <v>118</v>
      </c>
      <c r="E2655" s="54">
        <v>12</v>
      </c>
      <c r="F2655" s="55">
        <v>2879.92</v>
      </c>
      <c r="G2655" s="55">
        <v>516.572</v>
      </c>
    </row>
    <row r="2656" spans="1:7" ht="10.050000000000001" customHeight="1">
      <c r="A2656" s="52" t="s">
        <v>421</v>
      </c>
      <c r="B2656" s="52" t="s">
        <v>308</v>
      </c>
      <c r="C2656" s="53">
        <v>2014</v>
      </c>
      <c r="D2656" s="52" t="s">
        <v>118</v>
      </c>
      <c r="E2656" s="54">
        <v>1</v>
      </c>
      <c r="F2656" s="55">
        <v>3081.6019999999999</v>
      </c>
      <c r="G2656" s="55">
        <v>496.20600000000002</v>
      </c>
    </row>
    <row r="2657" spans="1:7" ht="10.050000000000001" customHeight="1">
      <c r="A2657" s="52" t="s">
        <v>421</v>
      </c>
      <c r="B2657" s="52" t="s">
        <v>308</v>
      </c>
      <c r="C2657" s="53">
        <v>2014</v>
      </c>
      <c r="D2657" s="52" t="s">
        <v>118</v>
      </c>
      <c r="E2657" s="54">
        <v>2</v>
      </c>
      <c r="F2657" s="55">
        <v>2636.2170000000001</v>
      </c>
      <c r="G2657" s="55">
        <v>653.44899999999996</v>
      </c>
    </row>
    <row r="2658" spans="1:7" ht="10.050000000000001" customHeight="1">
      <c r="A2658" s="52" t="s">
        <v>421</v>
      </c>
      <c r="B2658" s="52" t="s">
        <v>308</v>
      </c>
      <c r="C2658" s="53">
        <v>2014</v>
      </c>
      <c r="D2658" s="52" t="s">
        <v>118</v>
      </c>
      <c r="E2658" s="54">
        <v>3</v>
      </c>
      <c r="F2658" s="55">
        <v>5344.26</v>
      </c>
      <c r="G2658" s="55">
        <v>1061.509</v>
      </c>
    </row>
    <row r="2659" spans="1:7" ht="10.050000000000001" customHeight="1">
      <c r="A2659" s="52" t="s">
        <v>421</v>
      </c>
      <c r="B2659" s="52" t="s">
        <v>308</v>
      </c>
      <c r="C2659" s="53">
        <v>2014</v>
      </c>
      <c r="D2659" s="52" t="s">
        <v>118</v>
      </c>
      <c r="E2659" s="54">
        <v>4</v>
      </c>
      <c r="F2659" s="55">
        <v>4427.0360000000001</v>
      </c>
      <c r="G2659" s="55">
        <v>1025.433</v>
      </c>
    </row>
    <row r="2660" spans="1:7" ht="10.050000000000001" customHeight="1">
      <c r="A2660" s="52" t="s">
        <v>421</v>
      </c>
      <c r="B2660" s="52" t="s">
        <v>308</v>
      </c>
      <c r="C2660" s="53">
        <v>2014</v>
      </c>
      <c r="D2660" s="52" t="s">
        <v>118</v>
      </c>
      <c r="E2660" s="54">
        <v>5</v>
      </c>
      <c r="F2660" s="55">
        <v>3006.44</v>
      </c>
      <c r="G2660" s="55">
        <v>772.71299999999997</v>
      </c>
    </row>
    <row r="2661" spans="1:7" ht="10.050000000000001" customHeight="1">
      <c r="A2661" s="52" t="s">
        <v>421</v>
      </c>
      <c r="B2661" s="52" t="s">
        <v>308</v>
      </c>
      <c r="C2661" s="53">
        <v>2014</v>
      </c>
      <c r="D2661" s="52" t="s">
        <v>118</v>
      </c>
      <c r="E2661" s="54">
        <v>6</v>
      </c>
      <c r="F2661" s="55">
        <v>2179.0709999999999</v>
      </c>
      <c r="G2661" s="55">
        <v>759.08199999999999</v>
      </c>
    </row>
    <row r="2662" spans="1:7" ht="10.050000000000001" customHeight="1">
      <c r="A2662" s="52" t="s">
        <v>421</v>
      </c>
      <c r="B2662" s="52" t="s">
        <v>308</v>
      </c>
      <c r="C2662" s="53">
        <v>2014</v>
      </c>
      <c r="D2662" s="52" t="s">
        <v>119</v>
      </c>
      <c r="E2662" s="54">
        <v>7</v>
      </c>
      <c r="F2662" s="55">
        <v>1802.652</v>
      </c>
      <c r="G2662" s="55">
        <v>516.39</v>
      </c>
    </row>
    <row r="2663" spans="1:7" ht="10.050000000000001" customHeight="1">
      <c r="A2663" s="52" t="s">
        <v>421</v>
      </c>
      <c r="B2663" s="52" t="s">
        <v>308</v>
      </c>
      <c r="C2663" s="53">
        <v>2014</v>
      </c>
      <c r="D2663" s="52" t="s">
        <v>119</v>
      </c>
      <c r="E2663" s="54">
        <v>8</v>
      </c>
      <c r="F2663" s="55">
        <v>1040.877</v>
      </c>
      <c r="G2663" s="55">
        <v>457.4</v>
      </c>
    </row>
    <row r="2664" spans="1:7" ht="10.050000000000001" customHeight="1">
      <c r="A2664" s="52" t="s">
        <v>421</v>
      </c>
      <c r="B2664" s="52" t="s">
        <v>308</v>
      </c>
      <c r="C2664" s="53">
        <v>2014</v>
      </c>
      <c r="D2664" s="52" t="s">
        <v>119</v>
      </c>
      <c r="E2664" s="54">
        <v>9</v>
      </c>
      <c r="F2664" s="55">
        <v>1070.5999999999999</v>
      </c>
      <c r="G2664" s="55">
        <v>204.2</v>
      </c>
    </row>
    <row r="2665" spans="1:7" ht="10.050000000000001" customHeight="1">
      <c r="A2665" s="52" t="s">
        <v>421</v>
      </c>
      <c r="B2665" s="52" t="s">
        <v>308</v>
      </c>
      <c r="C2665" s="53">
        <v>2014</v>
      </c>
      <c r="D2665" s="52" t="s">
        <v>119</v>
      </c>
      <c r="E2665" s="54">
        <v>10</v>
      </c>
      <c r="F2665" s="55">
        <v>1845.5329999999999</v>
      </c>
      <c r="G2665" s="55">
        <v>451.62700000000001</v>
      </c>
    </row>
    <row r="2666" spans="1:7" ht="10.050000000000001" customHeight="1">
      <c r="A2666" s="52" t="s">
        <v>421</v>
      </c>
      <c r="B2666" s="52" t="s">
        <v>308</v>
      </c>
      <c r="C2666" s="53">
        <v>2014</v>
      </c>
      <c r="D2666" s="52" t="s">
        <v>119</v>
      </c>
      <c r="E2666" s="54">
        <v>11</v>
      </c>
      <c r="F2666" s="55">
        <v>5576.9989999999998</v>
      </c>
      <c r="G2666" s="55">
        <v>1117.0830000000001</v>
      </c>
    </row>
    <row r="2667" spans="1:7" ht="10.050000000000001" customHeight="1">
      <c r="A2667" s="52" t="s">
        <v>421</v>
      </c>
      <c r="B2667" s="52" t="s">
        <v>308</v>
      </c>
      <c r="C2667" s="53">
        <v>2014</v>
      </c>
      <c r="D2667" s="52" t="s">
        <v>119</v>
      </c>
      <c r="E2667" s="54">
        <v>12</v>
      </c>
      <c r="F2667" s="55">
        <v>6727.3810000000003</v>
      </c>
      <c r="G2667" s="55">
        <v>1715.973</v>
      </c>
    </row>
    <row r="2668" spans="1:7" ht="10.050000000000001" customHeight="1">
      <c r="A2668" s="52" t="s">
        <v>421</v>
      </c>
      <c r="B2668" s="52" t="s">
        <v>308</v>
      </c>
      <c r="C2668" s="53">
        <v>2015</v>
      </c>
      <c r="D2668" s="52" t="s">
        <v>119</v>
      </c>
      <c r="E2668" s="54">
        <v>1</v>
      </c>
      <c r="F2668" s="55">
        <v>6390.317</v>
      </c>
      <c r="G2668" s="55">
        <v>1323.1279999999999</v>
      </c>
    </row>
    <row r="2669" spans="1:7" ht="10.050000000000001" customHeight="1">
      <c r="A2669" s="52" t="s">
        <v>421</v>
      </c>
      <c r="B2669" s="52" t="s">
        <v>308</v>
      </c>
      <c r="C2669" s="53">
        <v>2015</v>
      </c>
      <c r="D2669" s="52" t="s">
        <v>119</v>
      </c>
      <c r="E2669" s="54">
        <v>2</v>
      </c>
      <c r="F2669" s="55">
        <v>7662.701</v>
      </c>
      <c r="G2669" s="55">
        <v>2023.4559999999999</v>
      </c>
    </row>
    <row r="2670" spans="1:7" ht="10.050000000000001" customHeight="1">
      <c r="A2670" s="52" t="s">
        <v>421</v>
      </c>
      <c r="B2670" s="52" t="s">
        <v>308</v>
      </c>
      <c r="C2670" s="53">
        <v>2015</v>
      </c>
      <c r="D2670" s="52" t="s">
        <v>119</v>
      </c>
      <c r="E2670" s="54">
        <v>3</v>
      </c>
      <c r="F2670" s="55">
        <v>9704.2350000000006</v>
      </c>
      <c r="G2670" s="55">
        <v>1890.6079999999999</v>
      </c>
    </row>
    <row r="2671" spans="1:7" ht="10.050000000000001" customHeight="1">
      <c r="A2671" s="52" t="s">
        <v>421</v>
      </c>
      <c r="B2671" s="52" t="s">
        <v>308</v>
      </c>
      <c r="C2671" s="53">
        <v>2015</v>
      </c>
      <c r="D2671" s="52" t="s">
        <v>119</v>
      </c>
      <c r="E2671" s="54">
        <v>4</v>
      </c>
      <c r="F2671" s="55">
        <v>9205.973</v>
      </c>
      <c r="G2671" s="55">
        <v>1977.675</v>
      </c>
    </row>
    <row r="2672" spans="1:7" ht="10.050000000000001" customHeight="1">
      <c r="A2672" s="52" t="s">
        <v>421</v>
      </c>
      <c r="B2672" s="52" t="s">
        <v>308</v>
      </c>
      <c r="C2672" s="53">
        <v>2015</v>
      </c>
      <c r="D2672" s="52" t="s">
        <v>119</v>
      </c>
      <c r="E2672" s="54">
        <v>5</v>
      </c>
      <c r="F2672" s="55">
        <v>6776.3090000000002</v>
      </c>
      <c r="G2672" s="55">
        <v>1179.277</v>
      </c>
    </row>
    <row r="2673" spans="1:7" ht="10.050000000000001" customHeight="1">
      <c r="A2673" s="52" t="s">
        <v>421</v>
      </c>
      <c r="B2673" s="52" t="s">
        <v>308</v>
      </c>
      <c r="C2673" s="53">
        <v>2015</v>
      </c>
      <c r="D2673" s="52" t="s">
        <v>119</v>
      </c>
      <c r="E2673" s="54">
        <v>6</v>
      </c>
      <c r="F2673" s="55">
        <v>5946.9780000000001</v>
      </c>
      <c r="G2673" s="55">
        <v>2008.076</v>
      </c>
    </row>
    <row r="2674" spans="1:7" ht="10.050000000000001" customHeight="1">
      <c r="A2674" s="52" t="s">
        <v>421</v>
      </c>
      <c r="B2674" s="52" t="s">
        <v>308</v>
      </c>
      <c r="C2674" s="53">
        <v>2015</v>
      </c>
      <c r="D2674" s="52" t="s">
        <v>120</v>
      </c>
      <c r="E2674" s="54">
        <v>7</v>
      </c>
      <c r="F2674" s="55">
        <v>3611.5729999999999</v>
      </c>
      <c r="G2674" s="55">
        <v>858.66200000000003</v>
      </c>
    </row>
    <row r="2675" spans="1:7" ht="10.050000000000001" customHeight="1">
      <c r="A2675" s="52" t="s">
        <v>421</v>
      </c>
      <c r="B2675" s="52" t="s">
        <v>308</v>
      </c>
      <c r="C2675" s="53">
        <v>2015</v>
      </c>
      <c r="D2675" s="52" t="s">
        <v>120</v>
      </c>
      <c r="E2675" s="54">
        <v>8</v>
      </c>
      <c r="F2675" s="55">
        <v>1589.885</v>
      </c>
      <c r="G2675" s="55">
        <v>556.67700000000002</v>
      </c>
    </row>
    <row r="2676" spans="1:7" ht="10.050000000000001" customHeight="1">
      <c r="A2676" s="52" t="s">
        <v>421</v>
      </c>
      <c r="B2676" s="52" t="s">
        <v>308</v>
      </c>
      <c r="C2676" s="53">
        <v>2015</v>
      </c>
      <c r="D2676" s="52" t="s">
        <v>120</v>
      </c>
      <c r="E2676" s="54">
        <v>9</v>
      </c>
      <c r="F2676" s="55">
        <v>1467.105</v>
      </c>
      <c r="G2676" s="55">
        <v>724.44200000000001</v>
      </c>
    </row>
    <row r="2677" spans="1:7" ht="10.050000000000001" customHeight="1">
      <c r="A2677" s="52" t="s">
        <v>421</v>
      </c>
      <c r="B2677" s="52" t="s">
        <v>308</v>
      </c>
      <c r="C2677" s="53">
        <v>2015</v>
      </c>
      <c r="D2677" s="52" t="s">
        <v>120</v>
      </c>
      <c r="E2677" s="54">
        <v>10</v>
      </c>
      <c r="F2677" s="55">
        <v>2502.89</v>
      </c>
      <c r="G2677" s="55">
        <v>1083.386</v>
      </c>
    </row>
    <row r="2678" spans="1:7" ht="10.050000000000001" customHeight="1">
      <c r="A2678" s="52" t="s">
        <v>421</v>
      </c>
      <c r="B2678" s="52" t="s">
        <v>308</v>
      </c>
      <c r="C2678" s="53">
        <v>2015</v>
      </c>
      <c r="D2678" s="52" t="s">
        <v>120</v>
      </c>
      <c r="E2678" s="54">
        <v>11</v>
      </c>
      <c r="F2678" s="55">
        <v>2113.652</v>
      </c>
      <c r="G2678" s="55">
        <v>1087.02</v>
      </c>
    </row>
    <row r="2679" spans="1:7" ht="10.050000000000001" customHeight="1">
      <c r="A2679" s="52" t="s">
        <v>421</v>
      </c>
      <c r="B2679" s="52" t="s">
        <v>308</v>
      </c>
      <c r="C2679" s="53">
        <v>2015</v>
      </c>
      <c r="D2679" s="52" t="s">
        <v>120</v>
      </c>
      <c r="E2679" s="54">
        <v>12</v>
      </c>
      <c r="F2679" s="55">
        <v>3115.3530000000001</v>
      </c>
      <c r="G2679" s="55">
        <v>693.75099999999998</v>
      </c>
    </row>
    <row r="2680" spans="1:7" ht="10.050000000000001" customHeight="1">
      <c r="A2680" s="52" t="s">
        <v>421</v>
      </c>
      <c r="B2680" s="52" t="s">
        <v>308</v>
      </c>
      <c r="C2680" s="53">
        <v>2016</v>
      </c>
      <c r="D2680" s="52" t="s">
        <v>120</v>
      </c>
      <c r="E2680" s="54">
        <v>1</v>
      </c>
      <c r="F2680" s="55">
        <v>2746.415</v>
      </c>
      <c r="G2680" s="55">
        <v>1126.931</v>
      </c>
    </row>
    <row r="2681" spans="1:7" ht="10.050000000000001" customHeight="1">
      <c r="A2681" s="52" t="s">
        <v>421</v>
      </c>
      <c r="B2681" s="52" t="s">
        <v>308</v>
      </c>
      <c r="C2681" s="53">
        <v>2016</v>
      </c>
      <c r="D2681" s="52" t="s">
        <v>120</v>
      </c>
      <c r="E2681" s="54">
        <v>2</v>
      </c>
      <c r="F2681" s="55">
        <v>2970.17</v>
      </c>
      <c r="G2681" s="55">
        <v>920.04100000000005</v>
      </c>
    </row>
    <row r="2682" spans="1:7" ht="10.050000000000001" customHeight="1">
      <c r="A2682" s="52" t="s">
        <v>421</v>
      </c>
      <c r="B2682" s="52" t="s">
        <v>308</v>
      </c>
      <c r="C2682" s="53">
        <v>2016</v>
      </c>
      <c r="D2682" s="52" t="s">
        <v>120</v>
      </c>
      <c r="E2682" s="54">
        <v>3</v>
      </c>
      <c r="F2682" s="55">
        <v>3632.2280000000001</v>
      </c>
      <c r="G2682" s="55">
        <v>1064.443</v>
      </c>
    </row>
    <row r="2683" spans="1:7" ht="10.050000000000001" customHeight="1">
      <c r="A2683" s="52" t="s">
        <v>421</v>
      </c>
      <c r="B2683" s="52" t="s">
        <v>308</v>
      </c>
      <c r="C2683" s="53">
        <v>2016</v>
      </c>
      <c r="D2683" s="52" t="s">
        <v>120</v>
      </c>
      <c r="E2683" s="54">
        <v>4</v>
      </c>
      <c r="F2683" s="55">
        <v>3432.076</v>
      </c>
      <c r="G2683" s="55">
        <v>1036.482</v>
      </c>
    </row>
    <row r="2684" spans="1:7" ht="10.050000000000001" customHeight="1">
      <c r="A2684" s="52" t="s">
        <v>421</v>
      </c>
      <c r="B2684" s="52" t="s">
        <v>308</v>
      </c>
      <c r="C2684" s="53">
        <v>2016</v>
      </c>
      <c r="D2684" s="52" t="s">
        <v>120</v>
      </c>
      <c r="E2684" s="54">
        <v>5</v>
      </c>
      <c r="F2684" s="55">
        <v>2604.9589999999998</v>
      </c>
      <c r="G2684" s="55">
        <v>702.553</v>
      </c>
    </row>
    <row r="2685" spans="1:7" ht="10.050000000000001" customHeight="1">
      <c r="A2685" s="52" t="s">
        <v>421</v>
      </c>
      <c r="B2685" s="52" t="s">
        <v>308</v>
      </c>
      <c r="C2685" s="53">
        <v>2016</v>
      </c>
      <c r="D2685" s="52" t="s">
        <v>120</v>
      </c>
      <c r="E2685" s="54">
        <v>6</v>
      </c>
      <c r="F2685" s="55">
        <v>2617.34</v>
      </c>
      <c r="G2685" s="55">
        <v>727.76599999999996</v>
      </c>
    </row>
    <row r="2686" spans="1:7" ht="10.050000000000001" customHeight="1">
      <c r="A2686" s="52" t="s">
        <v>421</v>
      </c>
      <c r="B2686" s="52" t="s">
        <v>308</v>
      </c>
      <c r="C2686" s="53">
        <v>2016</v>
      </c>
      <c r="D2686" s="52" t="s">
        <v>121</v>
      </c>
      <c r="E2686" s="54">
        <v>7</v>
      </c>
      <c r="F2686" s="55">
        <v>1868.5440000000001</v>
      </c>
      <c r="G2686" s="55">
        <v>422.34199999999998</v>
      </c>
    </row>
    <row r="2687" spans="1:7" ht="10.050000000000001" customHeight="1">
      <c r="A2687" s="52" t="s">
        <v>421</v>
      </c>
      <c r="B2687" s="52" t="s">
        <v>308</v>
      </c>
      <c r="C2687" s="53">
        <v>2016</v>
      </c>
      <c r="D2687" s="52" t="s">
        <v>121</v>
      </c>
      <c r="E2687" s="54">
        <v>8</v>
      </c>
      <c r="F2687" s="55">
        <v>1615.135</v>
      </c>
      <c r="G2687" s="55">
        <v>554.76700000000005</v>
      </c>
    </row>
    <row r="2688" spans="1:7" ht="10.050000000000001" customHeight="1">
      <c r="A2688" s="52" t="s">
        <v>421</v>
      </c>
      <c r="B2688" s="52" t="s">
        <v>308</v>
      </c>
      <c r="C2688" s="53">
        <v>2016</v>
      </c>
      <c r="D2688" s="52" t="s">
        <v>121</v>
      </c>
      <c r="E2688" s="54">
        <v>9</v>
      </c>
      <c r="F2688" s="55">
        <v>1457.6379999999999</v>
      </c>
      <c r="G2688" s="55">
        <v>483.38900000000001</v>
      </c>
    </row>
    <row r="2689" spans="1:7" ht="10.050000000000001" customHeight="1">
      <c r="A2689" s="52" t="s">
        <v>421</v>
      </c>
      <c r="B2689" s="52" t="s">
        <v>308</v>
      </c>
      <c r="C2689" s="53">
        <v>2016</v>
      </c>
      <c r="D2689" s="52" t="s">
        <v>121</v>
      </c>
      <c r="E2689" s="54">
        <v>10</v>
      </c>
      <c r="F2689" s="55">
        <v>1327.5360000000001</v>
      </c>
      <c r="G2689" s="55">
        <v>528.726</v>
      </c>
    </row>
    <row r="2690" spans="1:7" ht="10.050000000000001" customHeight="1">
      <c r="A2690" s="52" t="s">
        <v>421</v>
      </c>
      <c r="B2690" s="52" t="s">
        <v>308</v>
      </c>
      <c r="C2690" s="53">
        <v>2016</v>
      </c>
      <c r="D2690" s="52" t="s">
        <v>121</v>
      </c>
      <c r="E2690" s="54">
        <v>11</v>
      </c>
      <c r="F2690" s="55">
        <v>1453.8489999999999</v>
      </c>
      <c r="G2690" s="55">
        <v>471.89699999999999</v>
      </c>
    </row>
    <row r="2691" spans="1:7" ht="10.050000000000001" customHeight="1">
      <c r="A2691" s="52" t="s">
        <v>421</v>
      </c>
      <c r="B2691" s="52" t="s">
        <v>308</v>
      </c>
      <c r="C2691" s="53">
        <v>2016</v>
      </c>
      <c r="D2691" s="52" t="s">
        <v>121</v>
      </c>
      <c r="E2691" s="54">
        <v>12</v>
      </c>
      <c r="F2691" s="55">
        <v>1842.9970000000001</v>
      </c>
      <c r="G2691" s="55">
        <v>554.22</v>
      </c>
    </row>
    <row r="2692" spans="1:7" ht="10.050000000000001" customHeight="1">
      <c r="A2692" s="52" t="s">
        <v>421</v>
      </c>
      <c r="B2692" s="52" t="s">
        <v>308</v>
      </c>
      <c r="C2692" s="53">
        <v>2017</v>
      </c>
      <c r="D2692" s="52" t="s">
        <v>121</v>
      </c>
      <c r="E2692" s="54">
        <v>1</v>
      </c>
      <c r="F2692" s="55">
        <v>1926.7729999999999</v>
      </c>
      <c r="G2692" s="55">
        <v>577.72699999999998</v>
      </c>
    </row>
    <row r="2693" spans="1:7" ht="10.050000000000001" customHeight="1">
      <c r="A2693" s="52" t="s">
        <v>421</v>
      </c>
      <c r="B2693" s="52" t="s">
        <v>308</v>
      </c>
      <c r="C2693" s="53">
        <v>2017</v>
      </c>
      <c r="D2693" s="52" t="s">
        <v>121</v>
      </c>
      <c r="E2693" s="54">
        <v>2</v>
      </c>
      <c r="F2693" s="55">
        <v>1819.3040000000001</v>
      </c>
      <c r="G2693" s="55">
        <v>563.22299999999996</v>
      </c>
    </row>
    <row r="2694" spans="1:7" ht="10.050000000000001" customHeight="1">
      <c r="A2694" s="52" t="s">
        <v>421</v>
      </c>
      <c r="B2694" s="52" t="s">
        <v>308</v>
      </c>
      <c r="C2694" s="53">
        <v>2017</v>
      </c>
      <c r="D2694" s="52" t="s">
        <v>121</v>
      </c>
      <c r="E2694" s="54">
        <v>3</v>
      </c>
      <c r="F2694" s="55">
        <v>2104.1329999999998</v>
      </c>
      <c r="G2694" s="55">
        <v>559.27</v>
      </c>
    </row>
    <row r="2695" spans="1:7" ht="10.050000000000001" customHeight="1">
      <c r="A2695" s="52" t="s">
        <v>421</v>
      </c>
      <c r="B2695" s="52" t="s">
        <v>308</v>
      </c>
      <c r="C2695" s="53">
        <v>2017</v>
      </c>
      <c r="D2695" s="52" t="s">
        <v>121</v>
      </c>
      <c r="E2695" s="54">
        <v>4</v>
      </c>
      <c r="F2695" s="55">
        <v>1399.021</v>
      </c>
      <c r="G2695" s="55">
        <v>448.84899999999999</v>
      </c>
    </row>
    <row r="2696" spans="1:7" ht="10.050000000000001" customHeight="1">
      <c r="A2696" s="52" t="s">
        <v>421</v>
      </c>
      <c r="B2696" s="52" t="s">
        <v>308</v>
      </c>
      <c r="C2696" s="53">
        <v>2017</v>
      </c>
      <c r="D2696" s="52" t="s">
        <v>121</v>
      </c>
      <c r="E2696" s="54">
        <v>5</v>
      </c>
      <c r="F2696" s="55">
        <v>1532.0989999999999</v>
      </c>
      <c r="G2696" s="55">
        <v>598.57000000000005</v>
      </c>
    </row>
    <row r="2697" spans="1:7" ht="10.050000000000001" customHeight="1">
      <c r="A2697" s="52" t="s">
        <v>421</v>
      </c>
      <c r="B2697" s="52" t="s">
        <v>308</v>
      </c>
      <c r="C2697" s="53">
        <v>2017</v>
      </c>
      <c r="D2697" s="52" t="s">
        <v>121</v>
      </c>
      <c r="E2697" s="54">
        <v>6</v>
      </c>
      <c r="F2697" s="55">
        <v>1770.896</v>
      </c>
      <c r="G2697" s="55">
        <v>601.21400000000006</v>
      </c>
    </row>
    <row r="2698" spans="1:7" ht="10.050000000000001" customHeight="1">
      <c r="A2698" s="52" t="s">
        <v>421</v>
      </c>
      <c r="B2698" s="52" t="s">
        <v>308</v>
      </c>
      <c r="C2698" s="53">
        <v>2017</v>
      </c>
      <c r="D2698" s="52" t="s">
        <v>122</v>
      </c>
      <c r="E2698" s="54">
        <v>7</v>
      </c>
      <c r="F2698" s="55">
        <v>1720.328</v>
      </c>
      <c r="G2698" s="55">
        <v>614.18600000000004</v>
      </c>
    </row>
    <row r="2699" spans="1:7" ht="10.050000000000001" customHeight="1">
      <c r="A2699" s="52" t="s">
        <v>421</v>
      </c>
      <c r="B2699" s="52" t="s">
        <v>308</v>
      </c>
      <c r="C2699" s="53">
        <v>2017</v>
      </c>
      <c r="D2699" s="52" t="s">
        <v>122</v>
      </c>
      <c r="E2699" s="54">
        <v>8</v>
      </c>
      <c r="F2699" s="55">
        <v>1544.576</v>
      </c>
      <c r="G2699" s="55">
        <v>428.85</v>
      </c>
    </row>
    <row r="2700" spans="1:7" ht="10.050000000000001" customHeight="1">
      <c r="A2700" s="52" t="s">
        <v>421</v>
      </c>
      <c r="B2700" s="52" t="s">
        <v>308</v>
      </c>
      <c r="C2700" s="53">
        <v>2017</v>
      </c>
      <c r="D2700" s="52" t="s">
        <v>122</v>
      </c>
      <c r="E2700" s="54">
        <v>9</v>
      </c>
      <c r="F2700" s="55">
        <v>1129.3820000000001</v>
      </c>
      <c r="G2700" s="55">
        <v>430.85500000000002</v>
      </c>
    </row>
    <row r="2701" spans="1:7" ht="10.050000000000001" customHeight="1">
      <c r="A2701" s="52" t="s">
        <v>421</v>
      </c>
      <c r="B2701" s="52" t="s">
        <v>308</v>
      </c>
      <c r="C2701" s="53">
        <v>2017</v>
      </c>
      <c r="D2701" s="52" t="s">
        <v>122</v>
      </c>
      <c r="E2701" s="54">
        <v>10</v>
      </c>
      <c r="F2701" s="55">
        <v>1520.6189999999999</v>
      </c>
      <c r="G2701" s="55">
        <v>784.54300000000001</v>
      </c>
    </row>
    <row r="2702" spans="1:7" ht="10.050000000000001" customHeight="1">
      <c r="A2702" s="52" t="s">
        <v>421</v>
      </c>
      <c r="B2702" s="52" t="s">
        <v>308</v>
      </c>
      <c r="C2702" s="53">
        <v>2017</v>
      </c>
      <c r="D2702" s="52" t="s">
        <v>122</v>
      </c>
      <c r="E2702" s="54">
        <v>11</v>
      </c>
      <c r="F2702" s="55">
        <v>1467.0260000000001</v>
      </c>
      <c r="G2702" s="55">
        <v>824.22400000000005</v>
      </c>
    </row>
    <row r="2703" spans="1:7" ht="10.050000000000001" customHeight="1">
      <c r="A2703" s="52" t="s">
        <v>421</v>
      </c>
      <c r="B2703" s="52" t="s">
        <v>308</v>
      </c>
      <c r="C2703" s="53">
        <v>2017</v>
      </c>
      <c r="D2703" s="52" t="s">
        <v>122</v>
      </c>
      <c r="E2703" s="54">
        <v>12</v>
      </c>
      <c r="F2703" s="55">
        <v>1915.7449999999999</v>
      </c>
      <c r="G2703" s="55">
        <v>663.75900000000001</v>
      </c>
    </row>
    <row r="2704" spans="1:7" ht="10.050000000000001" customHeight="1">
      <c r="A2704" s="52" t="s">
        <v>421</v>
      </c>
      <c r="B2704" s="52" t="s">
        <v>308</v>
      </c>
      <c r="C2704" s="53">
        <v>2018</v>
      </c>
      <c r="D2704" s="52" t="s">
        <v>122</v>
      </c>
      <c r="E2704" s="54">
        <v>1</v>
      </c>
      <c r="F2704" s="55">
        <v>3507.3960000000002</v>
      </c>
      <c r="G2704" s="55">
        <v>1130.57</v>
      </c>
    </row>
    <row r="2705" spans="1:7" ht="10.050000000000001" customHeight="1">
      <c r="A2705" s="52" t="s">
        <v>421</v>
      </c>
      <c r="B2705" s="52" t="s">
        <v>308</v>
      </c>
      <c r="C2705" s="53">
        <v>2018</v>
      </c>
      <c r="D2705" s="52" t="s">
        <v>122</v>
      </c>
      <c r="E2705" s="54">
        <v>2</v>
      </c>
      <c r="F2705" s="55">
        <v>4541.5129999999999</v>
      </c>
      <c r="G2705" s="55">
        <v>1980.4449999999999</v>
      </c>
    </row>
    <row r="2706" spans="1:7" ht="10.050000000000001" customHeight="1">
      <c r="A2706" s="52" t="s">
        <v>421</v>
      </c>
      <c r="B2706" s="52" t="s">
        <v>308</v>
      </c>
      <c r="C2706" s="53">
        <v>2018</v>
      </c>
      <c r="D2706" s="52" t="s">
        <v>122</v>
      </c>
      <c r="E2706" s="54">
        <v>3</v>
      </c>
      <c r="F2706" s="55">
        <v>5049.1400000000003</v>
      </c>
      <c r="G2706" s="55">
        <v>1521.999</v>
      </c>
    </row>
    <row r="2707" spans="1:7" ht="10.050000000000001" customHeight="1">
      <c r="A2707" s="52" t="s">
        <v>421</v>
      </c>
      <c r="B2707" s="52" t="s">
        <v>308</v>
      </c>
      <c r="C2707" s="53">
        <v>2018</v>
      </c>
      <c r="D2707" s="52" t="s">
        <v>122</v>
      </c>
      <c r="E2707" s="54">
        <v>4</v>
      </c>
      <c r="F2707" s="55">
        <v>4789.3789999999999</v>
      </c>
      <c r="G2707" s="55">
        <v>1287.6610000000001</v>
      </c>
    </row>
    <row r="2708" spans="1:7" ht="10.050000000000001" customHeight="1">
      <c r="A2708" s="52" t="s">
        <v>421</v>
      </c>
      <c r="B2708" s="52" t="s">
        <v>308</v>
      </c>
      <c r="C2708" s="53">
        <v>2018</v>
      </c>
      <c r="D2708" s="52" t="s">
        <v>122</v>
      </c>
      <c r="E2708" s="54">
        <v>5</v>
      </c>
      <c r="F2708" s="55">
        <v>4427.3019999999997</v>
      </c>
      <c r="G2708" s="55">
        <v>1549.8489999999999</v>
      </c>
    </row>
    <row r="2709" spans="1:7" ht="10.050000000000001" customHeight="1">
      <c r="A2709" s="52" t="s">
        <v>421</v>
      </c>
      <c r="B2709" s="52" t="s">
        <v>308</v>
      </c>
      <c r="C2709" s="53">
        <v>2018</v>
      </c>
      <c r="D2709" s="52" t="s">
        <v>122</v>
      </c>
      <c r="E2709" s="54">
        <v>6</v>
      </c>
      <c r="F2709" s="55">
        <v>4141.8180000000002</v>
      </c>
      <c r="G2709" s="55">
        <v>1149.7170000000001</v>
      </c>
    </row>
    <row r="2710" spans="1:7" ht="10.050000000000001" customHeight="1">
      <c r="A2710" s="52" t="s">
        <v>421</v>
      </c>
      <c r="B2710" s="52" t="s">
        <v>308</v>
      </c>
      <c r="C2710" s="53">
        <v>2018</v>
      </c>
      <c r="D2710" s="52" t="s">
        <v>123</v>
      </c>
      <c r="E2710" s="54">
        <v>7</v>
      </c>
      <c r="F2710" s="55">
        <v>2885.2289999999998</v>
      </c>
      <c r="G2710" s="55">
        <v>723.13800000000003</v>
      </c>
    </row>
    <row r="2711" spans="1:7" ht="10.050000000000001" customHeight="1">
      <c r="A2711" s="52" t="s">
        <v>421</v>
      </c>
      <c r="B2711" s="52" t="s">
        <v>308</v>
      </c>
      <c r="C2711" s="53">
        <v>2018</v>
      </c>
      <c r="D2711" s="52" t="s">
        <v>123</v>
      </c>
      <c r="E2711" s="54">
        <v>8</v>
      </c>
      <c r="F2711" s="55">
        <v>1939.4169999999999</v>
      </c>
      <c r="G2711" s="55">
        <v>514.92700000000002</v>
      </c>
    </row>
    <row r="2712" spans="1:7" ht="10.050000000000001" customHeight="1">
      <c r="A2712" s="52" t="s">
        <v>421</v>
      </c>
      <c r="B2712" s="52" t="s">
        <v>308</v>
      </c>
      <c r="C2712" s="53">
        <v>2018</v>
      </c>
      <c r="D2712" s="52" t="s">
        <v>123</v>
      </c>
      <c r="E2712" s="54">
        <v>9</v>
      </c>
      <c r="F2712" s="55">
        <v>1427.643</v>
      </c>
      <c r="G2712" s="55">
        <v>428.077</v>
      </c>
    </row>
    <row r="2713" spans="1:7" ht="10.050000000000001" customHeight="1">
      <c r="A2713" s="52" t="s">
        <v>421</v>
      </c>
      <c r="B2713" s="52" t="s">
        <v>308</v>
      </c>
      <c r="C2713" s="53">
        <v>2018</v>
      </c>
      <c r="D2713" s="52" t="s">
        <v>123</v>
      </c>
      <c r="E2713" s="54">
        <v>10</v>
      </c>
      <c r="F2713" s="55">
        <v>1956.2149999999999</v>
      </c>
      <c r="G2713" s="55">
        <v>775.52099999999996</v>
      </c>
    </row>
    <row r="2714" spans="1:7" ht="10.050000000000001" customHeight="1">
      <c r="A2714" s="52" t="s">
        <v>421</v>
      </c>
      <c r="B2714" s="52" t="s">
        <v>308</v>
      </c>
      <c r="C2714" s="53">
        <v>2018</v>
      </c>
      <c r="D2714" s="52" t="s">
        <v>123</v>
      </c>
      <c r="E2714" s="54">
        <v>11</v>
      </c>
      <c r="F2714" s="55">
        <v>2556.7759999999998</v>
      </c>
      <c r="G2714" s="55">
        <v>661.54499999999996</v>
      </c>
    </row>
    <row r="2715" spans="1:7" ht="10.050000000000001" customHeight="1">
      <c r="A2715" s="52" t="s">
        <v>421</v>
      </c>
      <c r="B2715" s="52" t="s">
        <v>308</v>
      </c>
      <c r="C2715" s="53">
        <v>2018</v>
      </c>
      <c r="D2715" s="52" t="s">
        <v>123</v>
      </c>
      <c r="E2715" s="54">
        <v>12</v>
      </c>
      <c r="F2715" s="55">
        <v>2670.3130000000001</v>
      </c>
      <c r="G2715" s="55">
        <v>415.41699999999997</v>
      </c>
    </row>
    <row r="2716" spans="1:7" ht="10.050000000000001" customHeight="1">
      <c r="A2716" s="52" t="s">
        <v>421</v>
      </c>
      <c r="B2716" s="52" t="s">
        <v>308</v>
      </c>
      <c r="C2716" s="53">
        <v>2019</v>
      </c>
      <c r="D2716" s="52" t="s">
        <v>123</v>
      </c>
      <c r="E2716" s="54">
        <v>1</v>
      </c>
      <c r="F2716" s="55">
        <v>3759.2170000000001</v>
      </c>
      <c r="G2716" s="55">
        <v>898.53599999999994</v>
      </c>
    </row>
    <row r="2717" spans="1:7" ht="10.050000000000001" customHeight="1">
      <c r="A2717" s="52" t="s">
        <v>421</v>
      </c>
      <c r="B2717" s="52" t="s">
        <v>308</v>
      </c>
      <c r="C2717" s="53">
        <v>2019</v>
      </c>
      <c r="D2717" s="52" t="s">
        <v>123</v>
      </c>
      <c r="E2717" s="54">
        <v>2</v>
      </c>
      <c r="F2717" s="55">
        <v>3095.1669999999999</v>
      </c>
      <c r="G2717" s="55">
        <v>948.01700000000005</v>
      </c>
    </row>
    <row r="2718" spans="1:7" ht="10.050000000000001" customHeight="1">
      <c r="A2718" s="52" t="s">
        <v>421</v>
      </c>
      <c r="B2718" s="52" t="s">
        <v>308</v>
      </c>
      <c r="C2718" s="53">
        <v>2019</v>
      </c>
      <c r="D2718" s="52" t="s">
        <v>123</v>
      </c>
      <c r="E2718" s="54">
        <v>3</v>
      </c>
      <c r="F2718" s="55">
        <v>3946.7649999999999</v>
      </c>
      <c r="G2718" s="55">
        <v>920.57399999999996</v>
      </c>
    </row>
    <row r="2719" spans="1:7" ht="10.050000000000001" customHeight="1">
      <c r="A2719" s="52" t="s">
        <v>421</v>
      </c>
      <c r="B2719" s="52" t="s">
        <v>308</v>
      </c>
      <c r="C2719" s="53">
        <v>2019</v>
      </c>
      <c r="D2719" s="52" t="s">
        <v>123</v>
      </c>
      <c r="E2719" s="54">
        <v>4</v>
      </c>
      <c r="F2719" s="55">
        <v>3362.0810000000001</v>
      </c>
      <c r="G2719" s="55">
        <v>997.61699999999996</v>
      </c>
    </row>
    <row r="2720" spans="1:7" ht="10.050000000000001" customHeight="1">
      <c r="A2720" s="52" t="s">
        <v>421</v>
      </c>
      <c r="B2720" s="52" t="s">
        <v>308</v>
      </c>
      <c r="C2720" s="53">
        <v>2019</v>
      </c>
      <c r="D2720" s="52" t="s">
        <v>123</v>
      </c>
      <c r="E2720" s="54">
        <v>5</v>
      </c>
      <c r="F2720" s="55">
        <v>3738.4079999999999</v>
      </c>
      <c r="G2720" s="55">
        <v>1016.979</v>
      </c>
    </row>
    <row r="2721" spans="1:7" ht="10.050000000000001" customHeight="1">
      <c r="A2721" s="52" t="s">
        <v>421</v>
      </c>
      <c r="B2721" s="52" t="s">
        <v>308</v>
      </c>
      <c r="C2721" s="53">
        <v>2019</v>
      </c>
      <c r="D2721" s="52" t="s">
        <v>123</v>
      </c>
      <c r="E2721" s="54">
        <v>6</v>
      </c>
      <c r="F2721" s="55">
        <v>3795.9450000000002</v>
      </c>
      <c r="G2721" s="55">
        <v>1636.03</v>
      </c>
    </row>
    <row r="2722" spans="1:7" ht="10.050000000000001" customHeight="1">
      <c r="A2722" s="52" t="s">
        <v>421</v>
      </c>
      <c r="B2722" s="52" t="s">
        <v>308</v>
      </c>
      <c r="C2722" s="53">
        <v>2019</v>
      </c>
      <c r="D2722" s="52" t="s">
        <v>124</v>
      </c>
      <c r="E2722" s="54">
        <v>7</v>
      </c>
      <c r="F2722" s="55">
        <v>4244.5169999999998</v>
      </c>
      <c r="G2722" s="55">
        <v>1295.1130000000001</v>
      </c>
    </row>
    <row r="2723" spans="1:7" ht="10.050000000000001" customHeight="1">
      <c r="A2723" s="52" t="s">
        <v>421</v>
      </c>
      <c r="B2723" s="52" t="s">
        <v>308</v>
      </c>
      <c r="C2723" s="53">
        <v>2019</v>
      </c>
      <c r="D2723" s="52" t="s">
        <v>124</v>
      </c>
      <c r="E2723" s="54">
        <v>8</v>
      </c>
      <c r="F2723" s="55">
        <v>2846.4780000000001</v>
      </c>
      <c r="G2723" s="55">
        <v>869.33900000000006</v>
      </c>
    </row>
    <row r="2724" spans="1:7" ht="10.050000000000001" customHeight="1">
      <c r="A2724" s="52" t="s">
        <v>421</v>
      </c>
      <c r="B2724" s="52" t="s">
        <v>308</v>
      </c>
      <c r="C2724" s="53">
        <v>2019</v>
      </c>
      <c r="D2724" s="52" t="s">
        <v>124</v>
      </c>
      <c r="E2724" s="54">
        <v>9</v>
      </c>
      <c r="F2724" s="55">
        <v>2119.4090000000001</v>
      </c>
      <c r="G2724" s="55">
        <v>929.03399999999999</v>
      </c>
    </row>
    <row r="2725" spans="1:7" ht="10.050000000000001" customHeight="1">
      <c r="A2725" s="52" t="s">
        <v>421</v>
      </c>
      <c r="B2725" s="52" t="s">
        <v>308</v>
      </c>
      <c r="C2725" s="53">
        <v>2019</v>
      </c>
      <c r="D2725" s="52" t="s">
        <v>124</v>
      </c>
      <c r="E2725" s="54">
        <v>10</v>
      </c>
      <c r="F2725" s="55">
        <v>2325.1320000000001</v>
      </c>
      <c r="G2725" s="55">
        <v>721.62699999999995</v>
      </c>
    </row>
    <row r="2726" spans="1:7" ht="10.050000000000001" customHeight="1">
      <c r="A2726" s="52" t="s">
        <v>421</v>
      </c>
      <c r="B2726" s="52" t="s">
        <v>308</v>
      </c>
      <c r="C2726" s="53">
        <v>2019</v>
      </c>
      <c r="D2726" s="52" t="s">
        <v>124</v>
      </c>
      <c r="E2726" s="54">
        <v>11</v>
      </c>
      <c r="F2726" s="55">
        <v>2784.9160000000002</v>
      </c>
      <c r="G2726" s="55">
        <v>1911.1759999999999</v>
      </c>
    </row>
    <row r="2727" spans="1:7" ht="10.050000000000001" customHeight="1">
      <c r="A2727" s="52" t="s">
        <v>421</v>
      </c>
      <c r="B2727" s="52" t="s">
        <v>308</v>
      </c>
      <c r="C2727" s="53">
        <v>2019</v>
      </c>
      <c r="D2727" s="52" t="s">
        <v>124</v>
      </c>
      <c r="E2727" s="54">
        <v>12</v>
      </c>
      <c r="F2727" s="55">
        <v>4546.7169999999996</v>
      </c>
      <c r="G2727" s="55">
        <v>2564.3589999999999</v>
      </c>
    </row>
    <row r="2728" spans="1:7" ht="10.050000000000001" customHeight="1">
      <c r="A2728" s="52" t="s">
        <v>421</v>
      </c>
      <c r="B2728" s="52" t="s">
        <v>308</v>
      </c>
      <c r="C2728" s="53">
        <v>2020</v>
      </c>
      <c r="D2728" s="52" t="s">
        <v>124</v>
      </c>
      <c r="E2728" s="54">
        <v>1</v>
      </c>
      <c r="F2728" s="55">
        <v>5101.4960000000001</v>
      </c>
      <c r="G2728" s="55">
        <v>2182.489</v>
      </c>
    </row>
    <row r="2729" spans="1:7" ht="10.050000000000001" customHeight="1">
      <c r="A2729" s="52" t="s">
        <v>421</v>
      </c>
      <c r="B2729" s="52" t="s">
        <v>308</v>
      </c>
      <c r="C2729" s="53">
        <v>2020</v>
      </c>
      <c r="D2729" s="52" t="s">
        <v>124</v>
      </c>
      <c r="E2729" s="54">
        <v>2</v>
      </c>
      <c r="F2729" s="55">
        <v>3825.797</v>
      </c>
      <c r="G2729" s="55">
        <v>1370.182</v>
      </c>
    </row>
    <row r="2730" spans="1:7" ht="10.050000000000001" customHeight="1">
      <c r="A2730" s="52" t="s">
        <v>421</v>
      </c>
      <c r="B2730" s="52" t="s">
        <v>308</v>
      </c>
      <c r="C2730" s="53">
        <v>2020</v>
      </c>
      <c r="D2730" s="52" t="s">
        <v>124</v>
      </c>
      <c r="E2730" s="54">
        <v>3</v>
      </c>
      <c r="F2730" s="55">
        <v>4837.3959999999997</v>
      </c>
      <c r="G2730" s="55">
        <v>1657.1510000000001</v>
      </c>
    </row>
    <row r="2731" spans="1:7" ht="10.050000000000001" customHeight="1">
      <c r="A2731" s="52" t="s">
        <v>421</v>
      </c>
      <c r="B2731" s="52" t="s">
        <v>308</v>
      </c>
      <c r="C2731" s="53">
        <v>2020</v>
      </c>
      <c r="D2731" s="52" t="s">
        <v>124</v>
      </c>
      <c r="E2731" s="54">
        <v>4</v>
      </c>
      <c r="F2731" s="55">
        <v>4289.0339999999997</v>
      </c>
      <c r="G2731" s="55">
        <v>1044.8510000000001</v>
      </c>
    </row>
    <row r="2732" spans="1:7" ht="10.050000000000001" customHeight="1">
      <c r="A2732" s="52" t="s">
        <v>421</v>
      </c>
      <c r="B2732" s="52" t="s">
        <v>308</v>
      </c>
      <c r="C2732" s="53">
        <v>2020</v>
      </c>
      <c r="D2732" s="52" t="s">
        <v>124</v>
      </c>
      <c r="E2732" s="54">
        <v>5</v>
      </c>
      <c r="F2732" s="55">
        <v>3682.1329999999998</v>
      </c>
      <c r="G2732" s="55">
        <v>923.84100000000001</v>
      </c>
    </row>
    <row r="2733" spans="1:7" ht="10.050000000000001" customHeight="1">
      <c r="A2733" s="52" t="s">
        <v>421</v>
      </c>
      <c r="B2733" s="52" t="s">
        <v>308</v>
      </c>
      <c r="C2733" s="53">
        <v>2020</v>
      </c>
      <c r="D2733" s="52" t="s">
        <v>124</v>
      </c>
      <c r="E2733" s="54">
        <v>6</v>
      </c>
      <c r="F2733" s="55">
        <v>3202.8629999999998</v>
      </c>
      <c r="G2733" s="55">
        <v>1508.92</v>
      </c>
    </row>
    <row r="2734" spans="1:7" ht="10.050000000000001" customHeight="1">
      <c r="A2734" s="52" t="s">
        <v>421</v>
      </c>
      <c r="B2734" s="52" t="s">
        <v>308</v>
      </c>
      <c r="C2734" s="53">
        <v>2020</v>
      </c>
      <c r="D2734" s="52" t="s">
        <v>125</v>
      </c>
      <c r="E2734" s="54">
        <v>7</v>
      </c>
      <c r="F2734" s="55">
        <v>2644.4119999999998</v>
      </c>
      <c r="G2734" s="55">
        <v>1458.0429999999999</v>
      </c>
    </row>
    <row r="2735" spans="1:7" ht="10.050000000000001" customHeight="1">
      <c r="A2735" s="52" t="s">
        <v>421</v>
      </c>
      <c r="B2735" s="52" t="s">
        <v>308</v>
      </c>
      <c r="C2735" s="53">
        <v>2020</v>
      </c>
      <c r="D2735" s="52" t="s">
        <v>125</v>
      </c>
      <c r="E2735" s="54">
        <v>8</v>
      </c>
      <c r="F2735" s="55">
        <v>2265.6930000000002</v>
      </c>
      <c r="G2735" s="55">
        <v>948.93600000000004</v>
      </c>
    </row>
    <row r="2736" spans="1:7" ht="10.050000000000001" customHeight="1">
      <c r="A2736" s="52" t="s">
        <v>421</v>
      </c>
      <c r="B2736" s="52" t="s">
        <v>308</v>
      </c>
      <c r="C2736" s="53">
        <v>2020</v>
      </c>
      <c r="D2736" s="52" t="s">
        <v>125</v>
      </c>
      <c r="E2736" s="54">
        <v>9</v>
      </c>
      <c r="F2736" s="55">
        <v>2546.66</v>
      </c>
      <c r="G2736" s="55">
        <v>311.173</v>
      </c>
    </row>
    <row r="2737" spans="1:7" ht="10.050000000000001" customHeight="1">
      <c r="A2737" s="52" t="s">
        <v>421</v>
      </c>
      <c r="B2737" s="52" t="s">
        <v>308</v>
      </c>
      <c r="C2737" s="53">
        <v>2020</v>
      </c>
      <c r="D2737" s="52" t="s">
        <v>125</v>
      </c>
      <c r="E2737" s="54">
        <v>10</v>
      </c>
      <c r="F2737" s="55">
        <v>3024.5929999999998</v>
      </c>
      <c r="G2737" s="55">
        <v>925.39599999999996</v>
      </c>
    </row>
    <row r="2738" spans="1:7" ht="10.050000000000001" customHeight="1">
      <c r="A2738" s="52" t="s">
        <v>421</v>
      </c>
      <c r="B2738" s="52" t="s">
        <v>308</v>
      </c>
      <c r="C2738" s="53">
        <v>2020</v>
      </c>
      <c r="D2738" s="52" t="s">
        <v>125</v>
      </c>
      <c r="E2738" s="54">
        <v>11</v>
      </c>
      <c r="F2738" s="55">
        <v>4240.4669999999996</v>
      </c>
      <c r="G2738" s="55">
        <v>973.33900000000006</v>
      </c>
    </row>
    <row r="2739" spans="1:7" ht="10.050000000000001" customHeight="1">
      <c r="A2739" s="52" t="s">
        <v>421</v>
      </c>
      <c r="B2739" s="52" t="s">
        <v>308</v>
      </c>
      <c r="C2739" s="53">
        <v>2020</v>
      </c>
      <c r="D2739" s="52" t="s">
        <v>125</v>
      </c>
      <c r="E2739" s="54">
        <v>12</v>
      </c>
      <c r="F2739" s="55">
        <v>4762.6480000000001</v>
      </c>
      <c r="G2739" s="55">
        <v>1052.57</v>
      </c>
    </row>
    <row r="2740" spans="1:7" ht="10.050000000000001" customHeight="1">
      <c r="A2740" s="52" t="s">
        <v>421</v>
      </c>
      <c r="B2740" s="52" t="s">
        <v>308</v>
      </c>
      <c r="C2740" s="53">
        <v>2021</v>
      </c>
      <c r="D2740" s="52" t="s">
        <v>125</v>
      </c>
      <c r="E2740" s="54">
        <v>1</v>
      </c>
      <c r="F2740" s="55">
        <v>5039.2839999999997</v>
      </c>
      <c r="G2740" s="55">
        <v>2085.1419999999998</v>
      </c>
    </row>
    <row r="2741" spans="1:7" ht="10.050000000000001" customHeight="1">
      <c r="A2741" s="52" t="s">
        <v>421</v>
      </c>
      <c r="B2741" s="52" t="s">
        <v>308</v>
      </c>
      <c r="C2741" s="53">
        <v>2021</v>
      </c>
      <c r="D2741" s="52" t="s">
        <v>125</v>
      </c>
      <c r="E2741" s="54">
        <v>2</v>
      </c>
      <c r="F2741" s="55">
        <v>5467.1310000000003</v>
      </c>
      <c r="G2741" s="55">
        <v>1126.615</v>
      </c>
    </row>
    <row r="2742" spans="1:7" ht="10.050000000000001" customHeight="1">
      <c r="A2742" s="52" t="s">
        <v>421</v>
      </c>
      <c r="B2742" s="52" t="s">
        <v>308</v>
      </c>
      <c r="C2742" s="53">
        <v>2021</v>
      </c>
      <c r="D2742" s="52" t="s">
        <v>125</v>
      </c>
      <c r="E2742" s="54">
        <v>3</v>
      </c>
      <c r="F2742" s="55">
        <v>6070.1660000000002</v>
      </c>
      <c r="G2742" s="55">
        <v>2226.87</v>
      </c>
    </row>
    <row r="2743" spans="1:7" ht="10.050000000000001" customHeight="1">
      <c r="A2743" s="52" t="s">
        <v>421</v>
      </c>
      <c r="B2743" s="52" t="s">
        <v>308</v>
      </c>
      <c r="C2743" s="53">
        <v>2021</v>
      </c>
      <c r="D2743" s="52" t="s">
        <v>125</v>
      </c>
      <c r="E2743" s="54">
        <v>4</v>
      </c>
      <c r="F2743" s="55">
        <v>7439.8630000000003</v>
      </c>
      <c r="G2743" s="55">
        <v>3548.7370000000001</v>
      </c>
    </row>
    <row r="2744" spans="1:7" ht="10.050000000000001" customHeight="1">
      <c r="A2744" s="52" t="s">
        <v>421</v>
      </c>
      <c r="B2744" s="52" t="s">
        <v>308</v>
      </c>
      <c r="C2744" s="53">
        <v>2021</v>
      </c>
      <c r="D2744" s="52" t="s">
        <v>125</v>
      </c>
      <c r="E2744" s="54">
        <v>5</v>
      </c>
      <c r="F2744" s="55">
        <v>7368.857</v>
      </c>
      <c r="G2744" s="55">
        <v>2287.1869999999999</v>
      </c>
    </row>
    <row r="2745" spans="1:7" ht="10.050000000000001" customHeight="1">
      <c r="A2745" s="52" t="s">
        <v>421</v>
      </c>
      <c r="B2745" s="52" t="s">
        <v>308</v>
      </c>
      <c r="C2745" s="53">
        <v>2021</v>
      </c>
      <c r="D2745" s="52" t="s">
        <v>125</v>
      </c>
      <c r="E2745" s="54">
        <v>6</v>
      </c>
      <c r="F2745" s="55">
        <v>7120.17</v>
      </c>
      <c r="G2745" s="55">
        <v>1693.0350000000001</v>
      </c>
    </row>
    <row r="2746" spans="1:7" ht="10.050000000000001" customHeight="1">
      <c r="A2746" s="52" t="s">
        <v>421</v>
      </c>
      <c r="B2746" s="52" t="s">
        <v>308</v>
      </c>
      <c r="C2746" s="53">
        <v>2021</v>
      </c>
      <c r="D2746" s="52" t="s">
        <v>126</v>
      </c>
      <c r="E2746" s="54">
        <v>7</v>
      </c>
      <c r="F2746" s="55">
        <v>3812.3040000000001</v>
      </c>
      <c r="G2746" s="55">
        <v>1080.327</v>
      </c>
    </row>
    <row r="2747" spans="1:7" ht="10.050000000000001" customHeight="1">
      <c r="A2747" s="52" t="s">
        <v>421</v>
      </c>
      <c r="B2747" s="52" t="s">
        <v>308</v>
      </c>
      <c r="C2747" s="53">
        <v>2021</v>
      </c>
      <c r="D2747" s="52" t="s">
        <v>126</v>
      </c>
      <c r="E2747" s="54">
        <v>8</v>
      </c>
      <c r="F2747" s="55">
        <v>2456.1579999999999</v>
      </c>
      <c r="G2747" s="55">
        <v>764.54700000000003</v>
      </c>
    </row>
    <row r="2748" spans="1:7" ht="10.050000000000001" customHeight="1">
      <c r="A2748" s="52" t="s">
        <v>421</v>
      </c>
      <c r="B2748" s="52" t="s">
        <v>308</v>
      </c>
      <c r="C2748" s="53">
        <v>2021</v>
      </c>
      <c r="D2748" s="52" t="s">
        <v>126</v>
      </c>
      <c r="E2748" s="54">
        <v>9</v>
      </c>
      <c r="F2748" s="55">
        <v>1311.4110000000001</v>
      </c>
      <c r="G2748" s="55">
        <v>845.76199999999994</v>
      </c>
    </row>
    <row r="2749" spans="1:7" ht="10.050000000000001" customHeight="1">
      <c r="A2749" s="52" t="s">
        <v>421</v>
      </c>
      <c r="B2749" s="52" t="s">
        <v>308</v>
      </c>
      <c r="C2749" s="53">
        <v>2021</v>
      </c>
      <c r="D2749" s="52" t="s">
        <v>126</v>
      </c>
      <c r="E2749" s="54">
        <v>10</v>
      </c>
      <c r="F2749" s="55">
        <v>1616.7339999999999</v>
      </c>
      <c r="G2749" s="55">
        <v>912.86800000000005</v>
      </c>
    </row>
    <row r="2750" spans="1:7" ht="10.050000000000001" customHeight="1">
      <c r="A2750" s="52" t="s">
        <v>421</v>
      </c>
      <c r="B2750" s="52" t="s">
        <v>308</v>
      </c>
      <c r="C2750" s="53">
        <v>2021</v>
      </c>
      <c r="D2750" s="52" t="s">
        <v>126</v>
      </c>
      <c r="E2750" s="54">
        <v>11</v>
      </c>
      <c r="F2750" s="55">
        <v>2703.3739999999998</v>
      </c>
      <c r="G2750" s="55">
        <v>1080.8699999999999</v>
      </c>
    </row>
    <row r="2751" spans="1:7" ht="10.050000000000001" customHeight="1">
      <c r="A2751" s="52" t="s">
        <v>421</v>
      </c>
      <c r="B2751" s="52" t="s">
        <v>308</v>
      </c>
      <c r="C2751" s="53">
        <v>2021</v>
      </c>
      <c r="D2751" s="52" t="s">
        <v>126</v>
      </c>
      <c r="E2751" s="54">
        <v>12</v>
      </c>
      <c r="F2751" s="55">
        <v>4737.7740000000003</v>
      </c>
      <c r="G2751" s="55">
        <v>889.75</v>
      </c>
    </row>
    <row r="2752" spans="1:7" ht="10.050000000000001" customHeight="1">
      <c r="A2752" s="52" t="s">
        <v>421</v>
      </c>
      <c r="B2752" s="52" t="s">
        <v>308</v>
      </c>
      <c r="C2752" s="53">
        <v>2022</v>
      </c>
      <c r="D2752" s="52" t="s">
        <v>126</v>
      </c>
      <c r="E2752" s="54">
        <v>1</v>
      </c>
      <c r="F2752" s="55">
        <v>5843.2209999999995</v>
      </c>
      <c r="G2752" s="55">
        <v>1493.953</v>
      </c>
    </row>
    <row r="2753" spans="1:7" ht="10.050000000000001" customHeight="1">
      <c r="A2753" s="52" t="s">
        <v>421</v>
      </c>
      <c r="B2753" s="52" t="s">
        <v>308</v>
      </c>
      <c r="C2753" s="53">
        <v>2022</v>
      </c>
      <c r="D2753" s="52" t="s">
        <v>126</v>
      </c>
      <c r="E2753" s="54">
        <v>2</v>
      </c>
      <c r="F2753" s="55">
        <v>5782.0020000000004</v>
      </c>
      <c r="G2753" s="55">
        <v>1226.115</v>
      </c>
    </row>
    <row r="2754" spans="1:7" ht="10.050000000000001" customHeight="1">
      <c r="A2754" s="52" t="s">
        <v>421</v>
      </c>
      <c r="B2754" s="52" t="s">
        <v>308</v>
      </c>
      <c r="C2754" s="53">
        <v>2022</v>
      </c>
      <c r="D2754" s="52" t="s">
        <v>126</v>
      </c>
      <c r="E2754" s="54">
        <v>3</v>
      </c>
      <c r="F2754" s="55">
        <v>5714.4049999999997</v>
      </c>
      <c r="G2754" s="55">
        <v>1188.385</v>
      </c>
    </row>
    <row r="2755" spans="1:7" ht="10.050000000000001" customHeight="1">
      <c r="A2755" s="52" t="s">
        <v>421</v>
      </c>
      <c r="B2755" s="52" t="s">
        <v>308</v>
      </c>
      <c r="C2755" s="53">
        <v>2022</v>
      </c>
      <c r="D2755" s="52" t="s">
        <v>126</v>
      </c>
      <c r="E2755" s="54">
        <v>4</v>
      </c>
      <c r="F2755" s="55">
        <v>5050.8860000000004</v>
      </c>
      <c r="G2755" s="55">
        <v>1232.2339999999999</v>
      </c>
    </row>
    <row r="2756" spans="1:7" ht="10.050000000000001" customHeight="1">
      <c r="A2756" s="52" t="s">
        <v>421</v>
      </c>
      <c r="B2756" s="52" t="s">
        <v>308</v>
      </c>
      <c r="C2756" s="53">
        <v>2022</v>
      </c>
      <c r="D2756" s="52" t="s">
        <v>126</v>
      </c>
      <c r="E2756" s="54">
        <v>5</v>
      </c>
      <c r="F2756" s="55">
        <v>5146.4970000000003</v>
      </c>
      <c r="G2756" s="55">
        <v>1337.704</v>
      </c>
    </row>
    <row r="2757" spans="1:7" ht="10.050000000000001" customHeight="1">
      <c r="A2757" s="52" t="s">
        <v>421</v>
      </c>
      <c r="B2757" s="52" t="s">
        <v>308</v>
      </c>
      <c r="C2757" s="53">
        <v>2022</v>
      </c>
      <c r="D2757" s="52" t="s">
        <v>126</v>
      </c>
      <c r="E2757" s="54">
        <v>6</v>
      </c>
      <c r="F2757" s="55">
        <v>4684.4210000000003</v>
      </c>
      <c r="G2757" s="55">
        <v>1489.6420000000001</v>
      </c>
    </row>
    <row r="2758" spans="1:7" ht="10.050000000000001" customHeight="1">
      <c r="A2758" s="52" t="s">
        <v>421</v>
      </c>
      <c r="B2758" s="52" t="s">
        <v>308</v>
      </c>
      <c r="C2758" s="53">
        <v>2022</v>
      </c>
      <c r="D2758" s="52" t="s">
        <v>127</v>
      </c>
      <c r="E2758" s="54">
        <v>7</v>
      </c>
      <c r="F2758" s="55">
        <v>3253.4209999999998</v>
      </c>
      <c r="G2758" s="55">
        <v>1378.9</v>
      </c>
    </row>
    <row r="2759" spans="1:7" ht="10.050000000000001" customHeight="1">
      <c r="A2759" s="52" t="s">
        <v>421</v>
      </c>
      <c r="B2759" s="52" t="s">
        <v>308</v>
      </c>
      <c r="C2759" s="53">
        <v>2022</v>
      </c>
      <c r="D2759" s="52" t="s">
        <v>127</v>
      </c>
      <c r="E2759" s="54">
        <v>8</v>
      </c>
      <c r="F2759" s="55">
        <v>2087.623</v>
      </c>
      <c r="G2759" s="55">
        <v>981.63</v>
      </c>
    </row>
    <row r="2760" spans="1:7" ht="10.050000000000001" customHeight="1">
      <c r="A2760" s="52" t="s">
        <v>421</v>
      </c>
      <c r="B2760" s="52" t="s">
        <v>308</v>
      </c>
      <c r="C2760" s="53">
        <v>2022</v>
      </c>
      <c r="D2760" s="52" t="s">
        <v>127</v>
      </c>
      <c r="E2760" s="54">
        <v>9</v>
      </c>
      <c r="F2760" s="55">
        <v>1866.04</v>
      </c>
      <c r="G2760" s="55">
        <v>919.55399999999997</v>
      </c>
    </row>
    <row r="2761" spans="1:7" ht="10.050000000000001" customHeight="1">
      <c r="A2761" s="52" t="s">
        <v>421</v>
      </c>
      <c r="B2761" s="52" t="s">
        <v>308</v>
      </c>
      <c r="C2761" s="53">
        <v>2022</v>
      </c>
      <c r="D2761" s="52" t="s">
        <v>127</v>
      </c>
      <c r="E2761" s="54">
        <v>10</v>
      </c>
      <c r="F2761" s="55">
        <v>2284.913</v>
      </c>
      <c r="G2761" s="55">
        <v>703.21100000000001</v>
      </c>
    </row>
    <row r="2762" spans="1:7" ht="10.050000000000001" customHeight="1">
      <c r="A2762" s="52" t="s">
        <v>421</v>
      </c>
      <c r="B2762" s="52" t="s">
        <v>308</v>
      </c>
      <c r="C2762" s="53">
        <v>2022</v>
      </c>
      <c r="D2762" s="52" t="s">
        <v>127</v>
      </c>
      <c r="E2762" s="54">
        <v>11</v>
      </c>
      <c r="F2762" s="55">
        <v>3057.9160000000002</v>
      </c>
      <c r="G2762" s="55">
        <v>873.52599999999995</v>
      </c>
    </row>
    <row r="2763" spans="1:7" ht="10.050000000000001" customHeight="1">
      <c r="A2763" s="52" t="s">
        <v>421</v>
      </c>
      <c r="B2763" s="52" t="s">
        <v>308</v>
      </c>
      <c r="C2763" s="53">
        <v>2022</v>
      </c>
      <c r="D2763" s="52" t="s">
        <v>127</v>
      </c>
      <c r="E2763" s="54">
        <v>12</v>
      </c>
      <c r="F2763" s="55">
        <v>3294.3220000000001</v>
      </c>
      <c r="G2763" s="55">
        <v>715.17399999999998</v>
      </c>
    </row>
    <row r="2764" spans="1:7" ht="10.050000000000001" customHeight="1">
      <c r="A2764" s="52" t="s">
        <v>421</v>
      </c>
      <c r="B2764" s="52" t="s">
        <v>308</v>
      </c>
      <c r="C2764" s="53">
        <v>2023</v>
      </c>
      <c r="D2764" s="52" t="s">
        <v>127</v>
      </c>
      <c r="E2764" s="54">
        <v>1</v>
      </c>
      <c r="F2764" s="55">
        <v>3596.5230000000001</v>
      </c>
      <c r="G2764" s="55">
        <v>840.30100000000004</v>
      </c>
    </row>
    <row r="2765" spans="1:7" ht="10.050000000000001" customHeight="1">
      <c r="A2765" s="52" t="s">
        <v>421</v>
      </c>
      <c r="B2765" s="52" t="s">
        <v>308</v>
      </c>
      <c r="C2765" s="53">
        <v>2023</v>
      </c>
      <c r="D2765" s="52" t="s">
        <v>127</v>
      </c>
      <c r="E2765" s="54">
        <v>2</v>
      </c>
      <c r="F2765" s="55">
        <v>3272.8319999999999</v>
      </c>
      <c r="G2765" s="55">
        <v>971.95500000000004</v>
      </c>
    </row>
    <row r="2766" spans="1:7" ht="10.050000000000001" customHeight="1">
      <c r="A2766" s="52" t="s">
        <v>421</v>
      </c>
      <c r="B2766" s="52" t="s">
        <v>308</v>
      </c>
      <c r="C2766" s="53">
        <v>2023</v>
      </c>
      <c r="D2766" s="52" t="s">
        <v>127</v>
      </c>
      <c r="E2766" s="54">
        <v>3</v>
      </c>
      <c r="F2766" s="55">
        <v>3551.2489999999998</v>
      </c>
      <c r="G2766" s="55">
        <v>969.04200000000003</v>
      </c>
    </row>
    <row r="2767" spans="1:7" ht="10.050000000000001" customHeight="1">
      <c r="A2767" s="52" t="s">
        <v>421</v>
      </c>
      <c r="B2767" s="52" t="s">
        <v>308</v>
      </c>
      <c r="C2767" s="53">
        <v>2023</v>
      </c>
      <c r="D2767" s="52" t="s">
        <v>127</v>
      </c>
      <c r="E2767" s="54">
        <v>4</v>
      </c>
      <c r="F2767" s="55">
        <v>2938.4290000000001</v>
      </c>
      <c r="G2767" s="55">
        <v>821.54700000000003</v>
      </c>
    </row>
    <row r="2768" spans="1:7" ht="10.050000000000001" customHeight="1">
      <c r="A2768" s="52" t="s">
        <v>421</v>
      </c>
      <c r="B2768" s="52" t="s">
        <v>308</v>
      </c>
      <c r="C2768" s="53">
        <v>2023</v>
      </c>
      <c r="D2768" s="52" t="s">
        <v>127</v>
      </c>
      <c r="E2768" s="54">
        <v>5</v>
      </c>
      <c r="F2768" s="55">
        <v>2809.174</v>
      </c>
      <c r="G2768" s="55">
        <v>628.98400000000004</v>
      </c>
    </row>
    <row r="2769" spans="1:7" ht="10.050000000000001" customHeight="1">
      <c r="A2769" s="52" t="s">
        <v>421</v>
      </c>
      <c r="B2769" s="52" t="s">
        <v>308</v>
      </c>
      <c r="C2769" s="53">
        <v>2023</v>
      </c>
      <c r="D2769" s="52" t="s">
        <v>127</v>
      </c>
      <c r="E2769" s="54">
        <v>6</v>
      </c>
      <c r="F2769" s="55">
        <v>1994.1990000000001</v>
      </c>
      <c r="G2769" s="55">
        <v>582.97900000000004</v>
      </c>
    </row>
    <row r="2770" spans="1:7" ht="10.050000000000001" customHeight="1">
      <c r="A2770" s="52" t="s">
        <v>421</v>
      </c>
      <c r="B2770" s="52" t="s">
        <v>308</v>
      </c>
      <c r="C2770" s="53">
        <v>2023</v>
      </c>
      <c r="D2770" s="52" t="s">
        <v>128</v>
      </c>
      <c r="E2770" s="54">
        <v>7</v>
      </c>
      <c r="F2770" s="55">
        <v>1141.298</v>
      </c>
      <c r="G2770" s="55">
        <v>438.41699999999997</v>
      </c>
    </row>
    <row r="2771" spans="1:7" ht="10.050000000000001" customHeight="1">
      <c r="A2771" s="52" t="s">
        <v>421</v>
      </c>
      <c r="B2771" s="52" t="s">
        <v>308</v>
      </c>
      <c r="C2771" s="53">
        <v>2023</v>
      </c>
      <c r="D2771" s="52" t="s">
        <v>128</v>
      </c>
      <c r="E2771" s="54">
        <v>8</v>
      </c>
      <c r="F2771" s="55">
        <v>1144.374</v>
      </c>
      <c r="G2771" s="55">
        <v>384.18900000000002</v>
      </c>
    </row>
    <row r="2772" spans="1:7" ht="10.050000000000001" customHeight="1">
      <c r="A2772" s="52" t="s">
        <v>421</v>
      </c>
      <c r="B2772" s="52" t="s">
        <v>308</v>
      </c>
      <c r="C2772" s="53">
        <v>2023</v>
      </c>
      <c r="D2772" s="52" t="s">
        <v>128</v>
      </c>
      <c r="E2772" s="54">
        <v>9</v>
      </c>
      <c r="F2772" s="55">
        <v>1282.405</v>
      </c>
      <c r="G2772" s="55">
        <v>629.26499999999999</v>
      </c>
    </row>
    <row r="2773" spans="1:7" ht="10.050000000000001" customHeight="1">
      <c r="A2773" s="52" t="s">
        <v>421</v>
      </c>
      <c r="B2773" s="52" t="s">
        <v>308</v>
      </c>
      <c r="C2773" s="53">
        <v>2023</v>
      </c>
      <c r="D2773" s="52" t="s">
        <v>128</v>
      </c>
      <c r="E2773" s="54">
        <v>10</v>
      </c>
      <c r="F2773" s="55">
        <v>2455.547</v>
      </c>
      <c r="G2773" s="55">
        <v>629.11400000000003</v>
      </c>
    </row>
    <row r="2774" spans="1:7" ht="10.050000000000001" customHeight="1">
      <c r="A2774" s="52" t="s">
        <v>421</v>
      </c>
      <c r="B2774" s="52" t="s">
        <v>308</v>
      </c>
      <c r="C2774" s="53">
        <v>2023</v>
      </c>
      <c r="D2774" s="52" t="s">
        <v>128</v>
      </c>
      <c r="E2774" s="54">
        <v>11</v>
      </c>
      <c r="F2774" s="55">
        <v>3715.0790000000002</v>
      </c>
      <c r="G2774" s="55">
        <v>746.08600000000001</v>
      </c>
    </row>
    <row r="2775" spans="1:7" ht="10.050000000000001" customHeight="1">
      <c r="A2775" s="52" t="s">
        <v>421</v>
      </c>
      <c r="B2775" s="52" t="s">
        <v>308</v>
      </c>
      <c r="C2775" s="53">
        <v>2023</v>
      </c>
      <c r="D2775" s="52" t="s">
        <v>128</v>
      </c>
      <c r="E2775" s="54">
        <v>12</v>
      </c>
      <c r="F2775" s="55">
        <v>4016.7640000000001</v>
      </c>
      <c r="G2775" s="55">
        <v>805.77499999999998</v>
      </c>
    </row>
    <row r="2776" spans="1:7" ht="10.050000000000001" customHeight="1">
      <c r="A2776" s="52" t="s">
        <v>421</v>
      </c>
      <c r="B2776" s="52" t="s">
        <v>308</v>
      </c>
      <c r="C2776" s="53">
        <v>2024</v>
      </c>
      <c r="D2776" s="52" t="s">
        <v>128</v>
      </c>
      <c r="E2776" s="54">
        <v>1</v>
      </c>
      <c r="F2776" s="55">
        <v>4569.67</v>
      </c>
      <c r="G2776" s="55">
        <v>720.91099999999994</v>
      </c>
    </row>
    <row r="2777" spans="1:7" ht="10.050000000000001" customHeight="1">
      <c r="A2777" s="52" t="s">
        <v>421</v>
      </c>
      <c r="B2777" s="52" t="s">
        <v>308</v>
      </c>
      <c r="C2777" s="53">
        <v>2024</v>
      </c>
      <c r="D2777" s="52" t="s">
        <v>128</v>
      </c>
      <c r="E2777" s="54">
        <v>2</v>
      </c>
      <c r="F2777" s="55">
        <v>4319.692</v>
      </c>
      <c r="G2777" s="55">
        <v>892.76400000000001</v>
      </c>
    </row>
    <row r="2778" spans="1:7" ht="10.050000000000001" customHeight="1">
      <c r="A2778" s="52" t="s">
        <v>421</v>
      </c>
      <c r="B2778" s="52" t="s">
        <v>308</v>
      </c>
      <c r="C2778" s="53">
        <v>2024</v>
      </c>
      <c r="D2778" s="52" t="s">
        <v>128</v>
      </c>
      <c r="E2778" s="54">
        <v>3</v>
      </c>
      <c r="F2778" s="55">
        <v>4125.6149999999998</v>
      </c>
      <c r="G2778" s="55">
        <v>876.76599999999996</v>
      </c>
    </row>
    <row r="2779" spans="1:7" ht="10.050000000000001" customHeight="1">
      <c r="A2779" s="52" t="s">
        <v>421</v>
      </c>
      <c r="B2779" s="52" t="s">
        <v>308</v>
      </c>
      <c r="C2779" s="53">
        <v>2024</v>
      </c>
      <c r="D2779" s="52" t="s">
        <v>128</v>
      </c>
      <c r="E2779" s="54">
        <v>4</v>
      </c>
      <c r="F2779" s="55">
        <v>3618.1570000000002</v>
      </c>
      <c r="G2779" s="55">
        <v>1086.432</v>
      </c>
    </row>
    <row r="2780" spans="1:7" ht="10.050000000000001" customHeight="1">
      <c r="A2780" s="52" t="s">
        <v>421</v>
      </c>
      <c r="B2780" s="52" t="s">
        <v>308</v>
      </c>
      <c r="C2780" s="53">
        <v>2024</v>
      </c>
      <c r="D2780" s="52" t="s">
        <v>128</v>
      </c>
      <c r="E2780" s="54">
        <v>5</v>
      </c>
      <c r="F2780" s="55">
        <v>3626.5140000000001</v>
      </c>
      <c r="G2780" s="55">
        <v>1024.9079999999999</v>
      </c>
    </row>
    <row r="2781" spans="1:7" ht="10.050000000000001" customHeight="1">
      <c r="A2781" s="52" t="s">
        <v>421</v>
      </c>
      <c r="B2781" s="52" t="s">
        <v>308</v>
      </c>
      <c r="C2781" s="53">
        <v>2024</v>
      </c>
      <c r="D2781" s="52" t="s">
        <v>128</v>
      </c>
      <c r="E2781" s="54">
        <v>6</v>
      </c>
      <c r="F2781" s="55">
        <v>2991.1849999999999</v>
      </c>
      <c r="G2781" s="55">
        <v>853.51900000000001</v>
      </c>
    </row>
    <row r="2782" spans="1:7" ht="10.050000000000001" customHeight="1">
      <c r="A2782" s="52" t="s">
        <v>421</v>
      </c>
      <c r="B2782" s="52" t="s">
        <v>308</v>
      </c>
      <c r="C2782" s="53">
        <v>2024</v>
      </c>
      <c r="D2782" s="52" t="s">
        <v>129</v>
      </c>
      <c r="E2782" s="54">
        <v>7</v>
      </c>
      <c r="F2782" s="55">
        <v>2522.8560000000002</v>
      </c>
      <c r="G2782" s="55">
        <v>507.31099999999998</v>
      </c>
    </row>
    <row r="2783" spans="1:7" ht="10.050000000000001" customHeight="1">
      <c r="A2783" s="52" t="s">
        <v>421</v>
      </c>
      <c r="B2783" s="52" t="s">
        <v>308</v>
      </c>
      <c r="C2783" s="53">
        <v>2024</v>
      </c>
      <c r="D2783" s="52" t="s">
        <v>129</v>
      </c>
      <c r="E2783" s="54">
        <v>8</v>
      </c>
      <c r="F2783" s="55">
        <v>1616.8520000000001</v>
      </c>
      <c r="G2783" s="55">
        <v>512.87699999999995</v>
      </c>
    </row>
    <row r="2784" spans="1:7" ht="10.050000000000001" customHeight="1">
      <c r="A2784" s="52" t="s">
        <v>421</v>
      </c>
      <c r="B2784" s="52" t="s">
        <v>308</v>
      </c>
      <c r="C2784" s="53">
        <v>2024</v>
      </c>
      <c r="D2784" s="52" t="s">
        <v>129</v>
      </c>
      <c r="E2784" s="54">
        <v>9</v>
      </c>
      <c r="F2784" s="55">
        <v>1057.5150000000001</v>
      </c>
      <c r="G2784" s="55">
        <v>500.79399999999998</v>
      </c>
    </row>
    <row r="2785" spans="1:7" ht="10.050000000000001" customHeight="1">
      <c r="A2785" s="52" t="s">
        <v>421</v>
      </c>
      <c r="B2785" s="52" t="s">
        <v>308</v>
      </c>
      <c r="C2785" s="53">
        <v>2024</v>
      </c>
      <c r="D2785" s="52" t="s">
        <v>129</v>
      </c>
      <c r="E2785" s="54">
        <v>10</v>
      </c>
      <c r="F2785" s="55">
        <v>2770.8310000000001</v>
      </c>
      <c r="G2785" s="55">
        <v>937.89400000000001</v>
      </c>
    </row>
    <row r="2786" spans="1:7" ht="10.050000000000001" customHeight="1">
      <c r="A2786" s="52" t="s">
        <v>421</v>
      </c>
      <c r="B2786" s="52" t="s">
        <v>308</v>
      </c>
      <c r="C2786" s="53">
        <v>2024</v>
      </c>
      <c r="D2786" s="52" t="s">
        <v>129</v>
      </c>
      <c r="E2786" s="54">
        <v>11</v>
      </c>
      <c r="F2786" s="55">
        <v>5052.8680000000004</v>
      </c>
      <c r="G2786" s="55">
        <v>1338.4469999999999</v>
      </c>
    </row>
    <row r="2787" spans="1:7" ht="10.050000000000001" customHeight="1">
      <c r="A2787" s="52" t="s">
        <v>421</v>
      </c>
      <c r="B2787" s="52" t="s">
        <v>308</v>
      </c>
      <c r="C2787" s="53">
        <v>2024</v>
      </c>
      <c r="D2787" s="52" t="s">
        <v>129</v>
      </c>
      <c r="E2787" s="54">
        <v>12</v>
      </c>
      <c r="F2787" s="55">
        <v>5929.5420000000004</v>
      </c>
      <c r="G2787" s="55">
        <v>1223.163</v>
      </c>
    </row>
    <row r="2788" spans="1:7" ht="10.050000000000001" customHeight="1">
      <c r="A2788" s="52" t="s">
        <v>421</v>
      </c>
      <c r="B2788" s="52" t="s">
        <v>174</v>
      </c>
      <c r="C2788" s="53">
        <v>2000</v>
      </c>
      <c r="D2788" s="52" t="s">
        <v>105</v>
      </c>
      <c r="E2788" s="54">
        <v>7</v>
      </c>
      <c r="F2788" s="55">
        <v>4509.1000000000004</v>
      </c>
      <c r="G2788" s="55">
        <v>8359.5</v>
      </c>
    </row>
    <row r="2789" spans="1:7" ht="10.050000000000001" customHeight="1">
      <c r="A2789" s="52" t="s">
        <v>421</v>
      </c>
      <c r="B2789" s="52" t="s">
        <v>174</v>
      </c>
      <c r="C2789" s="53">
        <v>2000</v>
      </c>
      <c r="D2789" s="52" t="s">
        <v>105</v>
      </c>
      <c r="E2789" s="54">
        <v>8</v>
      </c>
      <c r="F2789" s="55">
        <v>32652.7</v>
      </c>
      <c r="G2789" s="55">
        <v>51042.9</v>
      </c>
    </row>
    <row r="2790" spans="1:7" ht="10.050000000000001" customHeight="1">
      <c r="A2790" s="52" t="s">
        <v>421</v>
      </c>
      <c r="B2790" s="52" t="s">
        <v>174</v>
      </c>
      <c r="C2790" s="53">
        <v>2000</v>
      </c>
      <c r="D2790" s="52" t="s">
        <v>105</v>
      </c>
      <c r="E2790" s="54">
        <v>9</v>
      </c>
      <c r="F2790" s="55">
        <v>38855.800000000003</v>
      </c>
      <c r="G2790" s="55">
        <v>49302.6</v>
      </c>
    </row>
    <row r="2791" spans="1:7" ht="10.050000000000001" customHeight="1">
      <c r="A2791" s="52" t="s">
        <v>421</v>
      </c>
      <c r="B2791" s="52" t="s">
        <v>174</v>
      </c>
      <c r="C2791" s="53">
        <v>2000</v>
      </c>
      <c r="D2791" s="52" t="s">
        <v>105</v>
      </c>
      <c r="E2791" s="54">
        <v>10</v>
      </c>
      <c r="F2791" s="55">
        <v>41361.300000000003</v>
      </c>
      <c r="G2791" s="55">
        <v>39086</v>
      </c>
    </row>
    <row r="2792" spans="1:7" ht="10.050000000000001" customHeight="1">
      <c r="A2792" s="52" t="s">
        <v>421</v>
      </c>
      <c r="B2792" s="52" t="s">
        <v>174</v>
      </c>
      <c r="C2792" s="53">
        <v>2000</v>
      </c>
      <c r="D2792" s="52" t="s">
        <v>105</v>
      </c>
      <c r="E2792" s="54">
        <v>11</v>
      </c>
      <c r="F2792" s="55">
        <v>30682.5</v>
      </c>
      <c r="G2792" s="55">
        <v>30621.8</v>
      </c>
    </row>
    <row r="2793" spans="1:7" ht="10.050000000000001" customHeight="1">
      <c r="A2793" s="52" t="s">
        <v>421</v>
      </c>
      <c r="B2793" s="52" t="s">
        <v>174</v>
      </c>
      <c r="C2793" s="53">
        <v>2000</v>
      </c>
      <c r="D2793" s="52" t="s">
        <v>105</v>
      </c>
      <c r="E2793" s="54">
        <v>12</v>
      </c>
      <c r="F2793" s="55">
        <v>28627.200000000001</v>
      </c>
      <c r="G2793" s="55">
        <v>21009.8</v>
      </c>
    </row>
    <row r="2794" spans="1:7" ht="10.050000000000001" customHeight="1">
      <c r="A2794" s="52" t="s">
        <v>421</v>
      </c>
      <c r="B2794" s="52" t="s">
        <v>174</v>
      </c>
      <c r="C2794" s="53">
        <v>2001</v>
      </c>
      <c r="D2794" s="52" t="s">
        <v>105</v>
      </c>
      <c r="E2794" s="54">
        <v>1</v>
      </c>
      <c r="F2794" s="55">
        <v>23705.9</v>
      </c>
      <c r="G2794" s="55">
        <v>18038.099999999999</v>
      </c>
    </row>
    <row r="2795" spans="1:7" ht="10.050000000000001" customHeight="1">
      <c r="A2795" s="52" t="s">
        <v>421</v>
      </c>
      <c r="B2795" s="52" t="s">
        <v>174</v>
      </c>
      <c r="C2795" s="53">
        <v>2001</v>
      </c>
      <c r="D2795" s="52" t="s">
        <v>105</v>
      </c>
      <c r="E2795" s="54">
        <v>2</v>
      </c>
      <c r="F2795" s="55">
        <v>21320.9</v>
      </c>
      <c r="G2795" s="55">
        <v>13652.4</v>
      </c>
    </row>
    <row r="2796" spans="1:7" ht="10.050000000000001" customHeight="1">
      <c r="A2796" s="52" t="s">
        <v>421</v>
      </c>
      <c r="B2796" s="52" t="s">
        <v>174</v>
      </c>
      <c r="C2796" s="53">
        <v>2001</v>
      </c>
      <c r="D2796" s="52" t="s">
        <v>105</v>
      </c>
      <c r="E2796" s="54">
        <v>3</v>
      </c>
      <c r="F2796" s="55">
        <v>18748.5</v>
      </c>
      <c r="G2796" s="55">
        <v>10995.7</v>
      </c>
    </row>
    <row r="2797" spans="1:7" ht="10.050000000000001" customHeight="1">
      <c r="A2797" s="52" t="s">
        <v>421</v>
      </c>
      <c r="B2797" s="52" t="s">
        <v>174</v>
      </c>
      <c r="C2797" s="53">
        <v>2001</v>
      </c>
      <c r="D2797" s="52" t="s">
        <v>105</v>
      </c>
      <c r="E2797" s="54">
        <v>4</v>
      </c>
      <c r="F2797" s="55">
        <v>13925.1</v>
      </c>
      <c r="G2797" s="55">
        <v>6346.7</v>
      </c>
    </row>
    <row r="2798" spans="1:7" ht="10.050000000000001" customHeight="1">
      <c r="A2798" s="52" t="s">
        <v>421</v>
      </c>
      <c r="B2798" s="52" t="s">
        <v>174</v>
      </c>
      <c r="C2798" s="53">
        <v>2001</v>
      </c>
      <c r="D2798" s="52" t="s">
        <v>105</v>
      </c>
      <c r="E2798" s="54">
        <v>5</v>
      </c>
      <c r="F2798" s="55">
        <v>12090.4</v>
      </c>
      <c r="G2798" s="55">
        <v>3990</v>
      </c>
    </row>
    <row r="2799" spans="1:7" ht="10.050000000000001" customHeight="1">
      <c r="A2799" s="52" t="s">
        <v>421</v>
      </c>
      <c r="B2799" s="52" t="s">
        <v>174</v>
      </c>
      <c r="C2799" s="53">
        <v>2001</v>
      </c>
      <c r="D2799" s="52" t="s">
        <v>105</v>
      </c>
      <c r="E2799" s="54">
        <v>6</v>
      </c>
      <c r="F2799" s="55">
        <v>9846.4</v>
      </c>
      <c r="G2799" s="55">
        <v>3429.3</v>
      </c>
    </row>
    <row r="2800" spans="1:7" ht="10.050000000000001" customHeight="1">
      <c r="A2800" s="52" t="s">
        <v>421</v>
      </c>
      <c r="B2800" s="52" t="s">
        <v>174</v>
      </c>
      <c r="C2800" s="53">
        <v>2001</v>
      </c>
      <c r="D2800" s="52" t="s">
        <v>108</v>
      </c>
      <c r="E2800" s="54">
        <v>7</v>
      </c>
      <c r="F2800" s="55">
        <v>8755.9</v>
      </c>
      <c r="G2800" s="55">
        <v>10558.1</v>
      </c>
    </row>
    <row r="2801" spans="1:7" ht="10.050000000000001" customHeight="1">
      <c r="A2801" s="52" t="s">
        <v>421</v>
      </c>
      <c r="B2801" s="52" t="s">
        <v>174</v>
      </c>
      <c r="C2801" s="53">
        <v>2001</v>
      </c>
      <c r="D2801" s="52" t="s">
        <v>108</v>
      </c>
      <c r="E2801" s="54">
        <v>8</v>
      </c>
      <c r="F2801" s="55">
        <v>25908.1</v>
      </c>
      <c r="G2801" s="55">
        <v>43322.400000000001</v>
      </c>
    </row>
    <row r="2802" spans="1:7" ht="10.050000000000001" customHeight="1">
      <c r="A2802" s="52" t="s">
        <v>421</v>
      </c>
      <c r="B2802" s="52" t="s">
        <v>174</v>
      </c>
      <c r="C2802" s="53">
        <v>2001</v>
      </c>
      <c r="D2802" s="52" t="s">
        <v>108</v>
      </c>
      <c r="E2802" s="54">
        <v>9</v>
      </c>
      <c r="F2802" s="55">
        <v>29179.5</v>
      </c>
      <c r="G2802" s="55">
        <v>38931.800000000003</v>
      </c>
    </row>
    <row r="2803" spans="1:7" ht="10.050000000000001" customHeight="1">
      <c r="A2803" s="52" t="s">
        <v>421</v>
      </c>
      <c r="B2803" s="52" t="s">
        <v>174</v>
      </c>
      <c r="C2803" s="53">
        <v>2001</v>
      </c>
      <c r="D2803" s="52" t="s">
        <v>108</v>
      </c>
      <c r="E2803" s="54">
        <v>10</v>
      </c>
      <c r="F2803" s="55">
        <v>28527.7</v>
      </c>
      <c r="G2803" s="55">
        <v>28303.1</v>
      </c>
    </row>
    <row r="2804" spans="1:7" ht="10.050000000000001" customHeight="1">
      <c r="A2804" s="52" t="s">
        <v>421</v>
      </c>
      <c r="B2804" s="52" t="s">
        <v>174</v>
      </c>
      <c r="C2804" s="53">
        <v>2001</v>
      </c>
      <c r="D2804" s="52" t="s">
        <v>108</v>
      </c>
      <c r="E2804" s="54">
        <v>11</v>
      </c>
      <c r="F2804" s="55">
        <v>19120.099999999999</v>
      </c>
      <c r="G2804" s="55">
        <v>21323.4</v>
      </c>
    </row>
    <row r="2805" spans="1:7" ht="10.050000000000001" customHeight="1">
      <c r="A2805" s="52" t="s">
        <v>421</v>
      </c>
      <c r="B2805" s="52" t="s">
        <v>174</v>
      </c>
      <c r="C2805" s="53">
        <v>2001</v>
      </c>
      <c r="D2805" s="52" t="s">
        <v>108</v>
      </c>
      <c r="E2805" s="54">
        <v>12</v>
      </c>
      <c r="F2805" s="55">
        <v>17202.8</v>
      </c>
      <c r="G2805" s="55">
        <v>14127.4</v>
      </c>
    </row>
    <row r="2806" spans="1:7" ht="10.050000000000001" customHeight="1">
      <c r="A2806" s="52" t="s">
        <v>421</v>
      </c>
      <c r="B2806" s="52" t="s">
        <v>174</v>
      </c>
      <c r="C2806" s="53">
        <v>2002</v>
      </c>
      <c r="D2806" s="52" t="s">
        <v>108</v>
      </c>
      <c r="E2806" s="54">
        <v>1</v>
      </c>
      <c r="F2806" s="55">
        <v>16879.099999999999</v>
      </c>
      <c r="G2806" s="55">
        <v>12948.5</v>
      </c>
    </row>
    <row r="2807" spans="1:7" ht="10.050000000000001" customHeight="1">
      <c r="A2807" s="52" t="s">
        <v>421</v>
      </c>
      <c r="B2807" s="52" t="s">
        <v>174</v>
      </c>
      <c r="C2807" s="53">
        <v>2002</v>
      </c>
      <c r="D2807" s="52" t="s">
        <v>108</v>
      </c>
      <c r="E2807" s="54">
        <v>2</v>
      </c>
      <c r="F2807" s="55">
        <v>12818.1</v>
      </c>
      <c r="G2807" s="55">
        <v>8684.4</v>
      </c>
    </row>
    <row r="2808" spans="1:7" ht="10.050000000000001" customHeight="1">
      <c r="A2808" s="52" t="s">
        <v>421</v>
      </c>
      <c r="B2808" s="52" t="s">
        <v>174</v>
      </c>
      <c r="C2808" s="53">
        <v>2002</v>
      </c>
      <c r="D2808" s="52" t="s">
        <v>108</v>
      </c>
      <c r="E2808" s="54">
        <v>3</v>
      </c>
      <c r="F2808" s="55">
        <v>9276.2999999999993</v>
      </c>
      <c r="G2808" s="55">
        <v>5218.8</v>
      </c>
    </row>
    <row r="2809" spans="1:7" ht="10.050000000000001" customHeight="1">
      <c r="A2809" s="52" t="s">
        <v>421</v>
      </c>
      <c r="B2809" s="52" t="s">
        <v>174</v>
      </c>
      <c r="C2809" s="53">
        <v>2002</v>
      </c>
      <c r="D2809" s="52" t="s">
        <v>108</v>
      </c>
      <c r="E2809" s="54">
        <v>4</v>
      </c>
      <c r="F2809" s="55">
        <v>8438.4</v>
      </c>
      <c r="G2809" s="55">
        <v>3775.5</v>
      </c>
    </row>
    <row r="2810" spans="1:7" ht="10.050000000000001" customHeight="1">
      <c r="A2810" s="52" t="s">
        <v>421</v>
      </c>
      <c r="B2810" s="52" t="s">
        <v>174</v>
      </c>
      <c r="C2810" s="53">
        <v>2002</v>
      </c>
      <c r="D2810" s="52" t="s">
        <v>108</v>
      </c>
      <c r="E2810" s="54">
        <v>5</v>
      </c>
      <c r="F2810" s="55">
        <v>6892.2</v>
      </c>
      <c r="G2810" s="55">
        <v>1899.5</v>
      </c>
    </row>
    <row r="2811" spans="1:7" ht="10.050000000000001" customHeight="1">
      <c r="A2811" s="52" t="s">
        <v>421</v>
      </c>
      <c r="B2811" s="52" t="s">
        <v>174</v>
      </c>
      <c r="C2811" s="53">
        <v>2002</v>
      </c>
      <c r="D2811" s="52" t="s">
        <v>108</v>
      </c>
      <c r="E2811" s="54">
        <v>6</v>
      </c>
      <c r="F2811" s="55">
        <v>5989.2</v>
      </c>
      <c r="G2811" s="55">
        <v>1407.3</v>
      </c>
    </row>
    <row r="2812" spans="1:7" ht="10.050000000000001" customHeight="1">
      <c r="A2812" s="52" t="s">
        <v>421</v>
      </c>
      <c r="B2812" s="52" t="s">
        <v>174</v>
      </c>
      <c r="C2812" s="53">
        <v>2002</v>
      </c>
      <c r="D2812" s="52" t="s">
        <v>109</v>
      </c>
      <c r="E2812" s="54">
        <v>7</v>
      </c>
      <c r="F2812" s="55">
        <v>5950</v>
      </c>
      <c r="G2812" s="55">
        <v>18818</v>
      </c>
    </row>
    <row r="2813" spans="1:7" ht="10.050000000000001" customHeight="1">
      <c r="A2813" s="52" t="s">
        <v>421</v>
      </c>
      <c r="B2813" s="52" t="s">
        <v>174</v>
      </c>
      <c r="C2813" s="53">
        <v>2002</v>
      </c>
      <c r="D2813" s="52" t="s">
        <v>109</v>
      </c>
      <c r="E2813" s="54">
        <v>8</v>
      </c>
      <c r="F2813" s="55">
        <v>35778</v>
      </c>
      <c r="G2813" s="55">
        <v>58145.8</v>
      </c>
    </row>
    <row r="2814" spans="1:7" ht="10.050000000000001" customHeight="1">
      <c r="A2814" s="52" t="s">
        <v>421</v>
      </c>
      <c r="B2814" s="52" t="s">
        <v>174</v>
      </c>
      <c r="C2814" s="53">
        <v>2002</v>
      </c>
      <c r="D2814" s="52" t="s">
        <v>109</v>
      </c>
      <c r="E2814" s="54">
        <v>9</v>
      </c>
      <c r="F2814" s="55">
        <v>53650.8</v>
      </c>
      <c r="G2814" s="55">
        <v>52690.400000000001</v>
      </c>
    </row>
    <row r="2815" spans="1:7" ht="10.050000000000001" customHeight="1">
      <c r="A2815" s="52" t="s">
        <v>421</v>
      </c>
      <c r="B2815" s="52" t="s">
        <v>174</v>
      </c>
      <c r="C2815" s="53">
        <v>2002</v>
      </c>
      <c r="D2815" s="52" t="s">
        <v>109</v>
      </c>
      <c r="E2815" s="54">
        <v>10</v>
      </c>
      <c r="F2815" s="55">
        <v>58491.3</v>
      </c>
      <c r="G2815" s="55">
        <v>51111.9</v>
      </c>
    </row>
    <row r="2816" spans="1:7" ht="10.050000000000001" customHeight="1">
      <c r="A2816" s="52" t="s">
        <v>421</v>
      </c>
      <c r="B2816" s="52" t="s">
        <v>174</v>
      </c>
      <c r="C2816" s="53">
        <v>2002</v>
      </c>
      <c r="D2816" s="52" t="s">
        <v>109</v>
      </c>
      <c r="E2816" s="54">
        <v>11</v>
      </c>
      <c r="F2816" s="55">
        <v>42370.9</v>
      </c>
      <c r="G2816" s="55">
        <v>43735.199999999997</v>
      </c>
    </row>
    <row r="2817" spans="1:7" ht="10.050000000000001" customHeight="1">
      <c r="A2817" s="52" t="s">
        <v>421</v>
      </c>
      <c r="B2817" s="52" t="s">
        <v>174</v>
      </c>
      <c r="C2817" s="53">
        <v>2002</v>
      </c>
      <c r="D2817" s="52" t="s">
        <v>109</v>
      </c>
      <c r="E2817" s="54">
        <v>12</v>
      </c>
      <c r="F2817" s="55">
        <v>37252.9</v>
      </c>
      <c r="G2817" s="55">
        <v>33222.400000000001</v>
      </c>
    </row>
    <row r="2818" spans="1:7" ht="10.050000000000001" customHeight="1">
      <c r="A2818" s="52" t="s">
        <v>421</v>
      </c>
      <c r="B2818" s="52" t="s">
        <v>174</v>
      </c>
      <c r="C2818" s="53">
        <v>2003</v>
      </c>
      <c r="D2818" s="52" t="s">
        <v>109</v>
      </c>
      <c r="E2818" s="54">
        <v>1</v>
      </c>
      <c r="F2818" s="55">
        <v>34462</v>
      </c>
      <c r="G2818" s="55">
        <v>26482.1</v>
      </c>
    </row>
    <row r="2819" spans="1:7" ht="10.050000000000001" customHeight="1">
      <c r="A2819" s="52" t="s">
        <v>421</v>
      </c>
      <c r="B2819" s="52" t="s">
        <v>174</v>
      </c>
      <c r="C2819" s="53">
        <v>2003</v>
      </c>
      <c r="D2819" s="52" t="s">
        <v>109</v>
      </c>
      <c r="E2819" s="54">
        <v>2</v>
      </c>
      <c r="F2819" s="55">
        <v>23846.7</v>
      </c>
      <c r="G2819" s="55">
        <v>20248.400000000001</v>
      </c>
    </row>
    <row r="2820" spans="1:7" ht="10.050000000000001" customHeight="1">
      <c r="A2820" s="52" t="s">
        <v>421</v>
      </c>
      <c r="B2820" s="52" t="s">
        <v>174</v>
      </c>
      <c r="C2820" s="53">
        <v>2003</v>
      </c>
      <c r="D2820" s="52" t="s">
        <v>109</v>
      </c>
      <c r="E2820" s="54">
        <v>3</v>
      </c>
      <c r="F2820" s="55">
        <v>20971</v>
      </c>
      <c r="G2820" s="55">
        <v>16503.5</v>
      </c>
    </row>
    <row r="2821" spans="1:7" ht="10.050000000000001" customHeight="1">
      <c r="A2821" s="52" t="s">
        <v>421</v>
      </c>
      <c r="B2821" s="52" t="s">
        <v>174</v>
      </c>
      <c r="C2821" s="53">
        <v>2003</v>
      </c>
      <c r="D2821" s="52" t="s">
        <v>109</v>
      </c>
      <c r="E2821" s="54">
        <v>4</v>
      </c>
      <c r="F2821" s="55">
        <v>21229.3</v>
      </c>
      <c r="G2821" s="55">
        <v>12140</v>
      </c>
    </row>
    <row r="2822" spans="1:7" ht="10.050000000000001" customHeight="1">
      <c r="A2822" s="52" t="s">
        <v>421</v>
      </c>
      <c r="B2822" s="52" t="s">
        <v>174</v>
      </c>
      <c r="C2822" s="53">
        <v>2003</v>
      </c>
      <c r="D2822" s="52" t="s">
        <v>109</v>
      </c>
      <c r="E2822" s="54">
        <v>5</v>
      </c>
      <c r="F2822" s="55">
        <v>18075.8</v>
      </c>
      <c r="G2822" s="55">
        <v>8834.2000000000007</v>
      </c>
    </row>
    <row r="2823" spans="1:7" ht="10.050000000000001" customHeight="1">
      <c r="A2823" s="52" t="s">
        <v>421</v>
      </c>
      <c r="B2823" s="52" t="s">
        <v>174</v>
      </c>
      <c r="C2823" s="53">
        <v>2003</v>
      </c>
      <c r="D2823" s="52" t="s">
        <v>109</v>
      </c>
      <c r="E2823" s="54">
        <v>6</v>
      </c>
      <c r="F2823" s="55">
        <v>14919.7</v>
      </c>
      <c r="G2823" s="55">
        <v>5741.4</v>
      </c>
    </row>
    <row r="2824" spans="1:7" ht="10.050000000000001" customHeight="1">
      <c r="A2824" s="52" t="s">
        <v>421</v>
      </c>
      <c r="B2824" s="52" t="s">
        <v>174</v>
      </c>
      <c r="C2824" s="53">
        <v>2003</v>
      </c>
      <c r="D2824" s="52" t="s">
        <v>106</v>
      </c>
      <c r="E2824" s="54">
        <v>7</v>
      </c>
      <c r="F2824" s="55">
        <v>24334.400000000001</v>
      </c>
      <c r="G2824" s="55">
        <v>29314.7</v>
      </c>
    </row>
    <row r="2825" spans="1:7" ht="10.050000000000001" customHeight="1">
      <c r="A2825" s="52" t="s">
        <v>421</v>
      </c>
      <c r="B2825" s="52" t="s">
        <v>174</v>
      </c>
      <c r="C2825" s="53">
        <v>2003</v>
      </c>
      <c r="D2825" s="52" t="s">
        <v>106</v>
      </c>
      <c r="E2825" s="54">
        <v>8</v>
      </c>
      <c r="F2825" s="55">
        <v>51911.1</v>
      </c>
      <c r="G2825" s="55">
        <v>60797.599999999999</v>
      </c>
    </row>
    <row r="2826" spans="1:7" ht="10.050000000000001" customHeight="1">
      <c r="A2826" s="52" t="s">
        <v>421</v>
      </c>
      <c r="B2826" s="52" t="s">
        <v>174</v>
      </c>
      <c r="C2826" s="53">
        <v>2003</v>
      </c>
      <c r="D2826" s="52" t="s">
        <v>106</v>
      </c>
      <c r="E2826" s="54">
        <v>9</v>
      </c>
      <c r="F2826" s="55">
        <v>60490.8</v>
      </c>
      <c r="G2826" s="55">
        <v>47642.8</v>
      </c>
    </row>
    <row r="2827" spans="1:7" ht="10.050000000000001" customHeight="1">
      <c r="A2827" s="52" t="s">
        <v>421</v>
      </c>
      <c r="B2827" s="52" t="s">
        <v>174</v>
      </c>
      <c r="C2827" s="53">
        <v>2003</v>
      </c>
      <c r="D2827" s="52" t="s">
        <v>106</v>
      </c>
      <c r="E2827" s="54">
        <v>10</v>
      </c>
      <c r="F2827" s="55">
        <v>47690.1</v>
      </c>
      <c r="G2827" s="55">
        <v>35644.5</v>
      </c>
    </row>
    <row r="2828" spans="1:7" ht="10.050000000000001" customHeight="1">
      <c r="A2828" s="52" t="s">
        <v>421</v>
      </c>
      <c r="B2828" s="52" t="s">
        <v>174</v>
      </c>
      <c r="C2828" s="53">
        <v>2003</v>
      </c>
      <c r="D2828" s="52" t="s">
        <v>106</v>
      </c>
      <c r="E2828" s="54">
        <v>11</v>
      </c>
      <c r="F2828" s="55">
        <v>33539.199999999997</v>
      </c>
      <c r="G2828" s="55">
        <v>27960.5</v>
      </c>
    </row>
    <row r="2829" spans="1:7" ht="10.050000000000001" customHeight="1">
      <c r="A2829" s="52" t="s">
        <v>421</v>
      </c>
      <c r="B2829" s="52" t="s">
        <v>174</v>
      </c>
      <c r="C2829" s="53">
        <v>2003</v>
      </c>
      <c r="D2829" s="52" t="s">
        <v>106</v>
      </c>
      <c r="E2829" s="54">
        <v>12</v>
      </c>
      <c r="F2829" s="55">
        <v>28447.8</v>
      </c>
      <c r="G2829" s="55">
        <v>19896.099999999999</v>
      </c>
    </row>
    <row r="2830" spans="1:7" ht="10.050000000000001" customHeight="1">
      <c r="A2830" s="52" t="s">
        <v>421</v>
      </c>
      <c r="B2830" s="52" t="s">
        <v>174</v>
      </c>
      <c r="C2830" s="53">
        <v>2004</v>
      </c>
      <c r="D2830" s="52" t="s">
        <v>106</v>
      </c>
      <c r="E2830" s="54">
        <v>1</v>
      </c>
      <c r="F2830" s="55">
        <v>20596.3</v>
      </c>
      <c r="G2830" s="55">
        <v>16326</v>
      </c>
    </row>
    <row r="2831" spans="1:7" ht="10.050000000000001" customHeight="1">
      <c r="A2831" s="52" t="s">
        <v>421</v>
      </c>
      <c r="B2831" s="52" t="s">
        <v>174</v>
      </c>
      <c r="C2831" s="53">
        <v>2004</v>
      </c>
      <c r="D2831" s="52" t="s">
        <v>106</v>
      </c>
      <c r="E2831" s="54">
        <v>2</v>
      </c>
      <c r="F2831" s="55">
        <v>13140.6</v>
      </c>
      <c r="G2831" s="55">
        <v>12513.4</v>
      </c>
    </row>
    <row r="2832" spans="1:7" ht="10.050000000000001" customHeight="1">
      <c r="A2832" s="52" t="s">
        <v>421</v>
      </c>
      <c r="B2832" s="52" t="s">
        <v>174</v>
      </c>
      <c r="C2832" s="53">
        <v>2004</v>
      </c>
      <c r="D2832" s="52" t="s">
        <v>106</v>
      </c>
      <c r="E2832" s="54">
        <v>3</v>
      </c>
      <c r="F2832" s="55">
        <v>17971.900000000001</v>
      </c>
      <c r="G2832" s="55">
        <v>9893.7000000000007</v>
      </c>
    </row>
    <row r="2833" spans="1:7" ht="10.050000000000001" customHeight="1">
      <c r="A2833" s="52" t="s">
        <v>421</v>
      </c>
      <c r="B2833" s="52" t="s">
        <v>174</v>
      </c>
      <c r="C2833" s="53">
        <v>2004</v>
      </c>
      <c r="D2833" s="52" t="s">
        <v>106</v>
      </c>
      <c r="E2833" s="54">
        <v>4</v>
      </c>
      <c r="F2833" s="55">
        <v>14683.3</v>
      </c>
      <c r="G2833" s="55">
        <v>8180.4</v>
      </c>
    </row>
    <row r="2834" spans="1:7" ht="10.050000000000001" customHeight="1">
      <c r="A2834" s="52" t="s">
        <v>421</v>
      </c>
      <c r="B2834" s="52" t="s">
        <v>174</v>
      </c>
      <c r="C2834" s="53">
        <v>2004</v>
      </c>
      <c r="D2834" s="52" t="s">
        <v>106</v>
      </c>
      <c r="E2834" s="54">
        <v>5</v>
      </c>
      <c r="F2834" s="55">
        <v>10237.5</v>
      </c>
      <c r="G2834" s="55">
        <v>5867.9</v>
      </c>
    </row>
    <row r="2835" spans="1:7" ht="10.050000000000001" customHeight="1">
      <c r="A2835" s="52" t="s">
        <v>421</v>
      </c>
      <c r="B2835" s="52" t="s">
        <v>174</v>
      </c>
      <c r="C2835" s="53">
        <v>2004</v>
      </c>
      <c r="D2835" s="52" t="s">
        <v>106</v>
      </c>
      <c r="E2835" s="54">
        <v>6</v>
      </c>
      <c r="F2835" s="55">
        <v>9989</v>
      </c>
      <c r="G2835" s="55">
        <v>3794.5</v>
      </c>
    </row>
    <row r="2836" spans="1:7" ht="10.050000000000001" customHeight="1">
      <c r="A2836" s="52" t="s">
        <v>421</v>
      </c>
      <c r="B2836" s="52" t="s">
        <v>174</v>
      </c>
      <c r="C2836" s="53">
        <v>2004</v>
      </c>
      <c r="D2836" s="52" t="s">
        <v>110</v>
      </c>
      <c r="E2836" s="54">
        <v>7</v>
      </c>
      <c r="F2836" s="55">
        <v>13030.6</v>
      </c>
      <c r="G2836" s="55">
        <v>30095.200000000001</v>
      </c>
    </row>
    <row r="2837" spans="1:7" ht="10.050000000000001" customHeight="1">
      <c r="A2837" s="52" t="s">
        <v>421</v>
      </c>
      <c r="B2837" s="52" t="s">
        <v>174</v>
      </c>
      <c r="C2837" s="53">
        <v>2004</v>
      </c>
      <c r="D2837" s="52" t="s">
        <v>110</v>
      </c>
      <c r="E2837" s="54">
        <v>8</v>
      </c>
      <c r="F2837" s="55">
        <v>52900.7</v>
      </c>
      <c r="G2837" s="55">
        <v>61161</v>
      </c>
    </row>
    <row r="2838" spans="1:7" ht="10.050000000000001" customHeight="1">
      <c r="A2838" s="52" t="s">
        <v>421</v>
      </c>
      <c r="B2838" s="52" t="s">
        <v>174</v>
      </c>
      <c r="C2838" s="53">
        <v>2004</v>
      </c>
      <c r="D2838" s="52" t="s">
        <v>110</v>
      </c>
      <c r="E2838" s="54">
        <v>9</v>
      </c>
      <c r="F2838" s="55">
        <v>58282.8</v>
      </c>
      <c r="G2838" s="55">
        <v>61128.4</v>
      </c>
    </row>
    <row r="2839" spans="1:7" ht="10.050000000000001" customHeight="1">
      <c r="A2839" s="52" t="s">
        <v>421</v>
      </c>
      <c r="B2839" s="52" t="s">
        <v>174</v>
      </c>
      <c r="C2839" s="53">
        <v>2004</v>
      </c>
      <c r="D2839" s="52" t="s">
        <v>110</v>
      </c>
      <c r="E2839" s="54">
        <v>10</v>
      </c>
      <c r="F2839" s="55">
        <v>51948.2</v>
      </c>
      <c r="G2839" s="55">
        <v>58753.3</v>
      </c>
    </row>
    <row r="2840" spans="1:7" ht="10.050000000000001" customHeight="1">
      <c r="A2840" s="52" t="s">
        <v>421</v>
      </c>
      <c r="B2840" s="52" t="s">
        <v>174</v>
      </c>
      <c r="C2840" s="53">
        <v>2004</v>
      </c>
      <c r="D2840" s="52" t="s">
        <v>110</v>
      </c>
      <c r="E2840" s="54">
        <v>11</v>
      </c>
      <c r="F2840" s="55">
        <v>46696.9</v>
      </c>
      <c r="G2840" s="55">
        <v>46015.4</v>
      </c>
    </row>
    <row r="2841" spans="1:7" ht="10.050000000000001" customHeight="1">
      <c r="A2841" s="52" t="s">
        <v>421</v>
      </c>
      <c r="B2841" s="52" t="s">
        <v>174</v>
      </c>
      <c r="C2841" s="53">
        <v>2004</v>
      </c>
      <c r="D2841" s="52" t="s">
        <v>110</v>
      </c>
      <c r="E2841" s="54">
        <v>12</v>
      </c>
      <c r="F2841" s="55">
        <v>48504.5</v>
      </c>
      <c r="G2841" s="55">
        <v>39894</v>
      </c>
    </row>
    <row r="2842" spans="1:7" ht="10.050000000000001" customHeight="1">
      <c r="A2842" s="52" t="s">
        <v>421</v>
      </c>
      <c r="B2842" s="52" t="s">
        <v>174</v>
      </c>
      <c r="C2842" s="53">
        <v>2005</v>
      </c>
      <c r="D2842" s="52" t="s">
        <v>110</v>
      </c>
      <c r="E2842" s="54">
        <v>1</v>
      </c>
      <c r="F2842" s="55">
        <v>44864.2</v>
      </c>
      <c r="G2842" s="55">
        <v>28789.4</v>
      </c>
    </row>
    <row r="2843" spans="1:7" ht="10.050000000000001" customHeight="1">
      <c r="A2843" s="52" t="s">
        <v>421</v>
      </c>
      <c r="B2843" s="52" t="s">
        <v>174</v>
      </c>
      <c r="C2843" s="53">
        <v>2005</v>
      </c>
      <c r="D2843" s="52" t="s">
        <v>110</v>
      </c>
      <c r="E2843" s="54">
        <v>2</v>
      </c>
      <c r="F2843" s="55">
        <v>45790.8</v>
      </c>
      <c r="G2843" s="55">
        <v>21704.799999999999</v>
      </c>
    </row>
    <row r="2844" spans="1:7" ht="10.050000000000001" customHeight="1">
      <c r="A2844" s="52" t="s">
        <v>421</v>
      </c>
      <c r="B2844" s="52" t="s">
        <v>174</v>
      </c>
      <c r="C2844" s="53">
        <v>2005</v>
      </c>
      <c r="D2844" s="52" t="s">
        <v>110</v>
      </c>
      <c r="E2844" s="54">
        <v>3</v>
      </c>
      <c r="F2844" s="55">
        <v>45933.9</v>
      </c>
      <c r="G2844" s="55">
        <v>19558.5</v>
      </c>
    </row>
    <row r="2845" spans="1:7" ht="10.050000000000001" customHeight="1">
      <c r="A2845" s="52" t="s">
        <v>421</v>
      </c>
      <c r="B2845" s="52" t="s">
        <v>174</v>
      </c>
      <c r="C2845" s="53">
        <v>2005</v>
      </c>
      <c r="D2845" s="52" t="s">
        <v>110</v>
      </c>
      <c r="E2845" s="54">
        <v>4</v>
      </c>
      <c r="F2845" s="55">
        <v>34066.199999999997</v>
      </c>
      <c r="G2845" s="55">
        <v>11194.9</v>
      </c>
    </row>
    <row r="2846" spans="1:7" ht="10.050000000000001" customHeight="1">
      <c r="A2846" s="52" t="s">
        <v>421</v>
      </c>
      <c r="B2846" s="52" t="s">
        <v>174</v>
      </c>
      <c r="C2846" s="53">
        <v>2005</v>
      </c>
      <c r="D2846" s="52" t="s">
        <v>110</v>
      </c>
      <c r="E2846" s="54">
        <v>5</v>
      </c>
      <c r="F2846" s="55">
        <v>27452.7</v>
      </c>
      <c r="G2846" s="55">
        <v>7678.2</v>
      </c>
    </row>
    <row r="2847" spans="1:7" ht="10.050000000000001" customHeight="1">
      <c r="A2847" s="52" t="s">
        <v>421</v>
      </c>
      <c r="B2847" s="52" t="s">
        <v>174</v>
      </c>
      <c r="C2847" s="53">
        <v>2005</v>
      </c>
      <c r="D2847" s="52" t="s">
        <v>110</v>
      </c>
      <c r="E2847" s="54">
        <v>6</v>
      </c>
      <c r="F2847" s="55">
        <v>24097.5</v>
      </c>
      <c r="G2847" s="55">
        <v>6535.9</v>
      </c>
    </row>
    <row r="2848" spans="1:7" ht="10.050000000000001" customHeight="1">
      <c r="A2848" s="52" t="s">
        <v>421</v>
      </c>
      <c r="B2848" s="52" t="s">
        <v>174</v>
      </c>
      <c r="C2848" s="53">
        <v>2005</v>
      </c>
      <c r="D2848" s="52" t="s">
        <v>111</v>
      </c>
      <c r="E2848" s="54">
        <v>7</v>
      </c>
      <c r="F2848" s="55">
        <v>25386.7</v>
      </c>
      <c r="G2848" s="55">
        <v>31552.1</v>
      </c>
    </row>
    <row r="2849" spans="1:7" ht="10.050000000000001" customHeight="1">
      <c r="A2849" s="52" t="s">
        <v>421</v>
      </c>
      <c r="B2849" s="52" t="s">
        <v>174</v>
      </c>
      <c r="C2849" s="53">
        <v>2005</v>
      </c>
      <c r="D2849" s="52" t="s">
        <v>111</v>
      </c>
      <c r="E2849" s="54">
        <v>8</v>
      </c>
      <c r="F2849" s="55">
        <v>57975.6</v>
      </c>
      <c r="G2849" s="55">
        <v>72247.3</v>
      </c>
    </row>
    <row r="2850" spans="1:7" ht="10.050000000000001" customHeight="1">
      <c r="A2850" s="52" t="s">
        <v>421</v>
      </c>
      <c r="B2850" s="52" t="s">
        <v>174</v>
      </c>
      <c r="C2850" s="53">
        <v>2005</v>
      </c>
      <c r="D2850" s="52" t="s">
        <v>111</v>
      </c>
      <c r="E2850" s="54">
        <v>9</v>
      </c>
      <c r="F2850" s="55">
        <v>71670.8</v>
      </c>
      <c r="G2850" s="55">
        <v>66624.600000000006</v>
      </c>
    </row>
    <row r="2851" spans="1:7" ht="10.050000000000001" customHeight="1">
      <c r="A2851" s="52" t="s">
        <v>421</v>
      </c>
      <c r="B2851" s="52" t="s">
        <v>174</v>
      </c>
      <c r="C2851" s="53">
        <v>2005</v>
      </c>
      <c r="D2851" s="52" t="s">
        <v>111</v>
      </c>
      <c r="E2851" s="54">
        <v>10</v>
      </c>
      <c r="F2851" s="55">
        <v>67467.199999999997</v>
      </c>
      <c r="G2851" s="55">
        <v>54116.7</v>
      </c>
    </row>
    <row r="2852" spans="1:7" ht="10.050000000000001" customHeight="1">
      <c r="A2852" s="52" t="s">
        <v>421</v>
      </c>
      <c r="B2852" s="52" t="s">
        <v>174</v>
      </c>
      <c r="C2852" s="53">
        <v>2005</v>
      </c>
      <c r="D2852" s="52" t="s">
        <v>111</v>
      </c>
      <c r="E2852" s="54">
        <v>11</v>
      </c>
      <c r="F2852" s="55">
        <v>55948.7</v>
      </c>
      <c r="G2852" s="55">
        <v>44288</v>
      </c>
    </row>
    <row r="2853" spans="1:7" ht="10.050000000000001" customHeight="1">
      <c r="A2853" s="52" t="s">
        <v>421</v>
      </c>
      <c r="B2853" s="52" t="s">
        <v>174</v>
      </c>
      <c r="C2853" s="53">
        <v>2005</v>
      </c>
      <c r="D2853" s="52" t="s">
        <v>111</v>
      </c>
      <c r="E2853" s="54">
        <v>12</v>
      </c>
      <c r="F2853" s="55">
        <v>50916.3</v>
      </c>
      <c r="G2853" s="55">
        <v>35500.300000000003</v>
      </c>
    </row>
    <row r="2854" spans="1:7" ht="10.050000000000001" customHeight="1">
      <c r="A2854" s="52" t="s">
        <v>421</v>
      </c>
      <c r="B2854" s="52" t="s">
        <v>174</v>
      </c>
      <c r="C2854" s="53">
        <v>2006</v>
      </c>
      <c r="D2854" s="52" t="s">
        <v>111</v>
      </c>
      <c r="E2854" s="54">
        <v>1</v>
      </c>
      <c r="F2854" s="55">
        <v>45720.4</v>
      </c>
      <c r="G2854" s="55">
        <v>26740.9</v>
      </c>
    </row>
    <row r="2855" spans="1:7" ht="10.050000000000001" customHeight="1">
      <c r="A2855" s="52" t="s">
        <v>421</v>
      </c>
      <c r="B2855" s="52" t="s">
        <v>174</v>
      </c>
      <c r="C2855" s="53">
        <v>2006</v>
      </c>
      <c r="D2855" s="52" t="s">
        <v>111</v>
      </c>
      <c r="E2855" s="54">
        <v>2</v>
      </c>
      <c r="F2855" s="55">
        <v>38760.199999999997</v>
      </c>
      <c r="G2855" s="55">
        <v>20248.400000000001</v>
      </c>
    </row>
    <row r="2856" spans="1:7" ht="10.050000000000001" customHeight="1">
      <c r="A2856" s="52" t="s">
        <v>421</v>
      </c>
      <c r="B2856" s="52" t="s">
        <v>174</v>
      </c>
      <c r="C2856" s="53">
        <v>2006</v>
      </c>
      <c r="D2856" s="52" t="s">
        <v>111</v>
      </c>
      <c r="E2856" s="54">
        <v>3</v>
      </c>
      <c r="F2856" s="55">
        <v>38330.800000000003</v>
      </c>
      <c r="G2856" s="55">
        <v>15508.7</v>
      </c>
    </row>
    <row r="2857" spans="1:7" ht="10.050000000000001" customHeight="1">
      <c r="A2857" s="52" t="s">
        <v>421</v>
      </c>
      <c r="B2857" s="52" t="s">
        <v>174</v>
      </c>
      <c r="C2857" s="53">
        <v>2006</v>
      </c>
      <c r="D2857" s="52" t="s">
        <v>111</v>
      </c>
      <c r="E2857" s="54">
        <v>4</v>
      </c>
      <c r="F2857" s="55">
        <v>29290.2</v>
      </c>
      <c r="G2857" s="55">
        <v>11705.8</v>
      </c>
    </row>
    <row r="2858" spans="1:7" ht="10.050000000000001" customHeight="1">
      <c r="A2858" s="52" t="s">
        <v>421</v>
      </c>
      <c r="B2858" s="52" t="s">
        <v>174</v>
      </c>
      <c r="C2858" s="53">
        <v>2006</v>
      </c>
      <c r="D2858" s="52" t="s">
        <v>111</v>
      </c>
      <c r="E2858" s="54">
        <v>5</v>
      </c>
      <c r="F2858" s="55">
        <v>25255.1</v>
      </c>
      <c r="G2858" s="55">
        <v>7060.4</v>
      </c>
    </row>
    <row r="2859" spans="1:7" ht="10.050000000000001" customHeight="1">
      <c r="A2859" s="52" t="s">
        <v>421</v>
      </c>
      <c r="B2859" s="52" t="s">
        <v>174</v>
      </c>
      <c r="C2859" s="53">
        <v>2006</v>
      </c>
      <c r="D2859" s="52" t="s">
        <v>111</v>
      </c>
      <c r="E2859" s="54">
        <v>6</v>
      </c>
      <c r="F2859" s="55">
        <v>18512.900000000001</v>
      </c>
      <c r="G2859" s="55">
        <v>4930.5</v>
      </c>
    </row>
    <row r="2860" spans="1:7" ht="10.050000000000001" customHeight="1">
      <c r="A2860" s="52" t="s">
        <v>421</v>
      </c>
      <c r="B2860" s="52" t="s">
        <v>174</v>
      </c>
      <c r="C2860" s="53">
        <v>2006</v>
      </c>
      <c r="D2860" s="52" t="s">
        <v>112</v>
      </c>
      <c r="E2860" s="54">
        <v>7</v>
      </c>
      <c r="F2860" s="55">
        <v>20815.5</v>
      </c>
      <c r="G2860" s="55">
        <v>52836.7</v>
      </c>
    </row>
    <row r="2861" spans="1:7" ht="10.050000000000001" customHeight="1">
      <c r="A2861" s="52" t="s">
        <v>421</v>
      </c>
      <c r="B2861" s="52" t="s">
        <v>174</v>
      </c>
      <c r="C2861" s="53">
        <v>2006</v>
      </c>
      <c r="D2861" s="52" t="s">
        <v>112</v>
      </c>
      <c r="E2861" s="54">
        <v>8</v>
      </c>
      <c r="F2861" s="55">
        <v>58125.3</v>
      </c>
      <c r="G2861" s="55">
        <v>60525.4</v>
      </c>
    </row>
    <row r="2862" spans="1:7" ht="10.050000000000001" customHeight="1">
      <c r="A2862" s="52" t="s">
        <v>421</v>
      </c>
      <c r="B2862" s="52" t="s">
        <v>174</v>
      </c>
      <c r="C2862" s="53">
        <v>2006</v>
      </c>
      <c r="D2862" s="52" t="s">
        <v>112</v>
      </c>
      <c r="E2862" s="54">
        <v>9</v>
      </c>
      <c r="F2862" s="55">
        <v>62814.7</v>
      </c>
      <c r="G2862" s="55">
        <v>54693.8</v>
      </c>
    </row>
    <row r="2863" spans="1:7" ht="10.050000000000001" customHeight="1">
      <c r="A2863" s="52" t="s">
        <v>421</v>
      </c>
      <c r="B2863" s="52" t="s">
        <v>174</v>
      </c>
      <c r="C2863" s="53">
        <v>2006</v>
      </c>
      <c r="D2863" s="52" t="s">
        <v>112</v>
      </c>
      <c r="E2863" s="54">
        <v>10</v>
      </c>
      <c r="F2863" s="55">
        <v>56952.9</v>
      </c>
      <c r="G2863" s="55">
        <v>43937.1</v>
      </c>
    </row>
    <row r="2864" spans="1:7" ht="10.050000000000001" customHeight="1">
      <c r="A2864" s="52" t="s">
        <v>421</v>
      </c>
      <c r="B2864" s="52" t="s">
        <v>174</v>
      </c>
      <c r="C2864" s="53">
        <v>2006</v>
      </c>
      <c r="D2864" s="52" t="s">
        <v>112</v>
      </c>
      <c r="E2864" s="54">
        <v>11</v>
      </c>
      <c r="F2864" s="55">
        <v>45117.8</v>
      </c>
      <c r="G2864" s="55">
        <v>37864.1</v>
      </c>
    </row>
    <row r="2865" spans="1:7" ht="10.050000000000001" customHeight="1">
      <c r="A2865" s="52" t="s">
        <v>421</v>
      </c>
      <c r="B2865" s="52" t="s">
        <v>174</v>
      </c>
      <c r="C2865" s="53">
        <v>2006</v>
      </c>
      <c r="D2865" s="52" t="s">
        <v>112</v>
      </c>
      <c r="E2865" s="54">
        <v>12</v>
      </c>
      <c r="F2865" s="55">
        <v>41671.300000000003</v>
      </c>
      <c r="G2865" s="55">
        <v>29204.6</v>
      </c>
    </row>
    <row r="2866" spans="1:7" ht="10.050000000000001" customHeight="1">
      <c r="A2866" s="52" t="s">
        <v>421</v>
      </c>
      <c r="B2866" s="52" t="s">
        <v>174</v>
      </c>
      <c r="C2866" s="53">
        <v>2007</v>
      </c>
      <c r="D2866" s="52" t="s">
        <v>112</v>
      </c>
      <c r="E2866" s="54">
        <v>1</v>
      </c>
      <c r="F2866" s="55">
        <v>39376.9</v>
      </c>
      <c r="G2866" s="55">
        <v>21010.2</v>
      </c>
    </row>
    <row r="2867" spans="1:7" ht="10.050000000000001" customHeight="1">
      <c r="A2867" s="52" t="s">
        <v>421</v>
      </c>
      <c r="B2867" s="52" t="s">
        <v>174</v>
      </c>
      <c r="C2867" s="53">
        <v>2007</v>
      </c>
      <c r="D2867" s="52" t="s">
        <v>112</v>
      </c>
      <c r="E2867" s="54">
        <v>2</v>
      </c>
      <c r="F2867" s="55">
        <v>33509.5</v>
      </c>
      <c r="G2867" s="55">
        <v>15600.8</v>
      </c>
    </row>
    <row r="2868" spans="1:7" ht="10.050000000000001" customHeight="1">
      <c r="A2868" s="52" t="s">
        <v>421</v>
      </c>
      <c r="B2868" s="52" t="s">
        <v>174</v>
      </c>
      <c r="C2868" s="53">
        <v>2007</v>
      </c>
      <c r="D2868" s="52" t="s">
        <v>112</v>
      </c>
      <c r="E2868" s="54">
        <v>3</v>
      </c>
      <c r="F2868" s="55">
        <v>29140.400000000001</v>
      </c>
      <c r="G2868" s="55">
        <v>11127</v>
      </c>
    </row>
    <row r="2869" spans="1:7" ht="10.050000000000001" customHeight="1">
      <c r="A2869" s="52" t="s">
        <v>421</v>
      </c>
      <c r="B2869" s="52" t="s">
        <v>174</v>
      </c>
      <c r="C2869" s="53">
        <v>2007</v>
      </c>
      <c r="D2869" s="52" t="s">
        <v>112</v>
      </c>
      <c r="E2869" s="54">
        <v>4</v>
      </c>
      <c r="F2869" s="55">
        <v>22186.2</v>
      </c>
      <c r="G2869" s="55">
        <v>8247.6</v>
      </c>
    </row>
    <row r="2870" spans="1:7" ht="10.050000000000001" customHeight="1">
      <c r="A2870" s="52" t="s">
        <v>421</v>
      </c>
      <c r="B2870" s="52" t="s">
        <v>174</v>
      </c>
      <c r="C2870" s="53">
        <v>2007</v>
      </c>
      <c r="D2870" s="52" t="s">
        <v>112</v>
      </c>
      <c r="E2870" s="54">
        <v>5</v>
      </c>
      <c r="F2870" s="55">
        <v>20885.3</v>
      </c>
      <c r="G2870" s="55">
        <v>6870</v>
      </c>
    </row>
    <row r="2871" spans="1:7" ht="10.050000000000001" customHeight="1">
      <c r="A2871" s="52" t="s">
        <v>421</v>
      </c>
      <c r="B2871" s="52" t="s">
        <v>174</v>
      </c>
      <c r="C2871" s="53">
        <v>2007</v>
      </c>
      <c r="D2871" s="52" t="s">
        <v>112</v>
      </c>
      <c r="E2871" s="54">
        <v>6</v>
      </c>
      <c r="F2871" s="55">
        <v>21676.799999999999</v>
      </c>
      <c r="G2871" s="55">
        <v>5478.6</v>
      </c>
    </row>
    <row r="2872" spans="1:7" ht="10.050000000000001" customHeight="1">
      <c r="A2872" s="52" t="s">
        <v>421</v>
      </c>
      <c r="B2872" s="52" t="s">
        <v>174</v>
      </c>
      <c r="C2872" s="53">
        <v>2007</v>
      </c>
      <c r="D2872" s="52" t="s">
        <v>113</v>
      </c>
      <c r="E2872" s="54">
        <v>7</v>
      </c>
      <c r="F2872" s="55">
        <v>11104.6</v>
      </c>
      <c r="G2872" s="55">
        <v>11729.7</v>
      </c>
    </row>
    <row r="2873" spans="1:7" ht="10.050000000000001" customHeight="1">
      <c r="A2873" s="52" t="s">
        <v>421</v>
      </c>
      <c r="B2873" s="52" t="s">
        <v>174</v>
      </c>
      <c r="C2873" s="53">
        <v>2007</v>
      </c>
      <c r="D2873" s="52" t="s">
        <v>113</v>
      </c>
      <c r="E2873" s="54">
        <v>8</v>
      </c>
      <c r="F2873" s="55">
        <v>35444.800000000003</v>
      </c>
      <c r="G2873" s="55">
        <v>50539.8</v>
      </c>
    </row>
    <row r="2874" spans="1:7" ht="10.050000000000001" customHeight="1">
      <c r="A2874" s="52" t="s">
        <v>421</v>
      </c>
      <c r="B2874" s="52" t="s">
        <v>174</v>
      </c>
      <c r="C2874" s="53">
        <v>2007</v>
      </c>
      <c r="D2874" s="52" t="s">
        <v>113</v>
      </c>
      <c r="E2874" s="54">
        <v>9</v>
      </c>
      <c r="F2874" s="55">
        <v>36136.9</v>
      </c>
      <c r="G2874" s="55">
        <v>45149.9</v>
      </c>
    </row>
    <row r="2875" spans="1:7" ht="10.050000000000001" customHeight="1">
      <c r="A2875" s="52" t="s">
        <v>421</v>
      </c>
      <c r="B2875" s="52" t="s">
        <v>174</v>
      </c>
      <c r="C2875" s="53">
        <v>2007</v>
      </c>
      <c r="D2875" s="52" t="s">
        <v>113</v>
      </c>
      <c r="E2875" s="54">
        <v>10</v>
      </c>
      <c r="F2875" s="55">
        <v>36030.800000000003</v>
      </c>
      <c r="G2875" s="55">
        <v>38005.599999999999</v>
      </c>
    </row>
    <row r="2876" spans="1:7" ht="10.050000000000001" customHeight="1">
      <c r="A2876" s="52" t="s">
        <v>421</v>
      </c>
      <c r="B2876" s="52" t="s">
        <v>174</v>
      </c>
      <c r="C2876" s="53">
        <v>2007</v>
      </c>
      <c r="D2876" s="52" t="s">
        <v>113</v>
      </c>
      <c r="E2876" s="54">
        <v>11</v>
      </c>
      <c r="F2876" s="55">
        <v>27361.1</v>
      </c>
      <c r="G2876" s="55">
        <v>29584.1</v>
      </c>
    </row>
    <row r="2877" spans="1:7" ht="10.050000000000001" customHeight="1">
      <c r="A2877" s="52" t="s">
        <v>421</v>
      </c>
      <c r="B2877" s="52" t="s">
        <v>174</v>
      </c>
      <c r="C2877" s="53">
        <v>2007</v>
      </c>
      <c r="D2877" s="52" t="s">
        <v>113</v>
      </c>
      <c r="E2877" s="54">
        <v>12</v>
      </c>
      <c r="F2877" s="55">
        <v>21410.6</v>
      </c>
      <c r="G2877" s="55">
        <v>23281.599999999999</v>
      </c>
    </row>
    <row r="2878" spans="1:7" ht="10.050000000000001" customHeight="1">
      <c r="A2878" s="52" t="s">
        <v>421</v>
      </c>
      <c r="B2878" s="52" t="s">
        <v>174</v>
      </c>
      <c r="C2878" s="53">
        <v>2008</v>
      </c>
      <c r="D2878" s="52" t="s">
        <v>113</v>
      </c>
      <c r="E2878" s="54">
        <v>1</v>
      </c>
      <c r="F2878" s="55">
        <v>19770.400000000001</v>
      </c>
      <c r="G2878" s="55">
        <v>19148.400000000001</v>
      </c>
    </row>
    <row r="2879" spans="1:7" ht="10.050000000000001" customHeight="1">
      <c r="A2879" s="52" t="s">
        <v>421</v>
      </c>
      <c r="B2879" s="52" t="s">
        <v>174</v>
      </c>
      <c r="C2879" s="53">
        <v>2008</v>
      </c>
      <c r="D2879" s="52" t="s">
        <v>113</v>
      </c>
      <c r="E2879" s="54">
        <v>2</v>
      </c>
      <c r="F2879" s="55">
        <v>19089.7</v>
      </c>
      <c r="G2879" s="55">
        <v>15334.7</v>
      </c>
    </row>
    <row r="2880" spans="1:7" ht="10.050000000000001" customHeight="1">
      <c r="A2880" s="52" t="s">
        <v>421</v>
      </c>
      <c r="B2880" s="52" t="s">
        <v>174</v>
      </c>
      <c r="C2880" s="53">
        <v>2008</v>
      </c>
      <c r="D2880" s="52" t="s">
        <v>113</v>
      </c>
      <c r="E2880" s="54">
        <v>3</v>
      </c>
      <c r="F2880" s="55">
        <v>17951.2</v>
      </c>
      <c r="G2880" s="55">
        <v>11368.6</v>
      </c>
    </row>
    <row r="2881" spans="1:7" ht="10.050000000000001" customHeight="1">
      <c r="A2881" s="52" t="s">
        <v>421</v>
      </c>
      <c r="B2881" s="52" t="s">
        <v>174</v>
      </c>
      <c r="C2881" s="53">
        <v>2008</v>
      </c>
      <c r="D2881" s="52" t="s">
        <v>113</v>
      </c>
      <c r="E2881" s="54">
        <v>4</v>
      </c>
      <c r="F2881" s="55">
        <v>21521.5</v>
      </c>
      <c r="G2881" s="55">
        <v>9922.9</v>
      </c>
    </row>
    <row r="2882" spans="1:7" ht="10.050000000000001" customHeight="1">
      <c r="A2882" s="52" t="s">
        <v>421</v>
      </c>
      <c r="B2882" s="52" t="s">
        <v>174</v>
      </c>
      <c r="C2882" s="53">
        <v>2008</v>
      </c>
      <c r="D2882" s="52" t="s">
        <v>113</v>
      </c>
      <c r="E2882" s="54">
        <v>5</v>
      </c>
      <c r="F2882" s="55">
        <v>21475.7</v>
      </c>
      <c r="G2882" s="55">
        <v>7721.3</v>
      </c>
    </row>
    <row r="2883" spans="1:7" ht="10.050000000000001" customHeight="1">
      <c r="A2883" s="52" t="s">
        <v>421</v>
      </c>
      <c r="B2883" s="52" t="s">
        <v>174</v>
      </c>
      <c r="C2883" s="53">
        <v>2008</v>
      </c>
      <c r="D2883" s="52" t="s">
        <v>113</v>
      </c>
      <c r="E2883" s="54">
        <v>6</v>
      </c>
      <c r="F2883" s="55">
        <v>22345.3</v>
      </c>
      <c r="G2883" s="55">
        <v>6329.6</v>
      </c>
    </row>
    <row r="2884" spans="1:7" ht="10.050000000000001" customHeight="1">
      <c r="A2884" s="52" t="s">
        <v>421</v>
      </c>
      <c r="B2884" s="52" t="s">
        <v>174</v>
      </c>
      <c r="C2884" s="53">
        <v>2008</v>
      </c>
      <c r="D2884" s="52" t="s">
        <v>107</v>
      </c>
      <c r="E2884" s="54">
        <v>7</v>
      </c>
      <c r="F2884" s="55">
        <v>19915.599999999999</v>
      </c>
      <c r="G2884" s="55">
        <v>18504.400000000001</v>
      </c>
    </row>
    <row r="2885" spans="1:7" ht="10.050000000000001" customHeight="1">
      <c r="A2885" s="52" t="s">
        <v>421</v>
      </c>
      <c r="B2885" s="52" t="s">
        <v>174</v>
      </c>
      <c r="C2885" s="53">
        <v>2008</v>
      </c>
      <c r="D2885" s="52" t="s">
        <v>107</v>
      </c>
      <c r="E2885" s="54">
        <v>8</v>
      </c>
      <c r="F2885" s="55">
        <v>43965.7</v>
      </c>
      <c r="G2885" s="55">
        <v>66060.100000000006</v>
      </c>
    </row>
    <row r="2886" spans="1:7" ht="10.050000000000001" customHeight="1">
      <c r="A2886" s="52" t="s">
        <v>421</v>
      </c>
      <c r="B2886" s="52" t="s">
        <v>174</v>
      </c>
      <c r="C2886" s="53">
        <v>2008</v>
      </c>
      <c r="D2886" s="52" t="s">
        <v>107</v>
      </c>
      <c r="E2886" s="54">
        <v>9</v>
      </c>
      <c r="F2886" s="55">
        <v>53546.7</v>
      </c>
      <c r="G2886" s="55">
        <v>64676.5</v>
      </c>
    </row>
    <row r="2887" spans="1:7" ht="10.050000000000001" customHeight="1">
      <c r="A2887" s="52" t="s">
        <v>421</v>
      </c>
      <c r="B2887" s="52" t="s">
        <v>174</v>
      </c>
      <c r="C2887" s="53">
        <v>2008</v>
      </c>
      <c r="D2887" s="52" t="s">
        <v>107</v>
      </c>
      <c r="E2887" s="54">
        <v>10</v>
      </c>
      <c r="F2887" s="55">
        <v>53432.3</v>
      </c>
      <c r="G2887" s="55">
        <v>56272.9</v>
      </c>
    </row>
    <row r="2888" spans="1:7" ht="10.050000000000001" customHeight="1">
      <c r="A2888" s="52" t="s">
        <v>421</v>
      </c>
      <c r="B2888" s="52" t="s">
        <v>174</v>
      </c>
      <c r="C2888" s="53">
        <v>2008</v>
      </c>
      <c r="D2888" s="52" t="s">
        <v>107</v>
      </c>
      <c r="E2888" s="54">
        <v>11</v>
      </c>
      <c r="F2888" s="55">
        <v>43592.9</v>
      </c>
      <c r="G2888" s="55">
        <v>46238.400000000001</v>
      </c>
    </row>
    <row r="2889" spans="1:7" ht="10.050000000000001" customHeight="1">
      <c r="A2889" s="52" t="s">
        <v>421</v>
      </c>
      <c r="B2889" s="52" t="s">
        <v>174</v>
      </c>
      <c r="C2889" s="53">
        <v>2008</v>
      </c>
      <c r="D2889" s="52" t="s">
        <v>107</v>
      </c>
      <c r="E2889" s="54">
        <v>12</v>
      </c>
      <c r="F2889" s="55">
        <v>42281.5</v>
      </c>
      <c r="G2889" s="55">
        <v>38280.1</v>
      </c>
    </row>
    <row r="2890" spans="1:7" ht="10.050000000000001" customHeight="1">
      <c r="A2890" s="52" t="s">
        <v>421</v>
      </c>
      <c r="B2890" s="52" t="s">
        <v>174</v>
      </c>
      <c r="C2890" s="53">
        <v>2009</v>
      </c>
      <c r="D2890" s="52" t="s">
        <v>107</v>
      </c>
      <c r="E2890" s="54">
        <v>1</v>
      </c>
      <c r="F2890" s="55">
        <v>40091.800000000003</v>
      </c>
      <c r="G2890" s="55">
        <v>34647.5</v>
      </c>
    </row>
    <row r="2891" spans="1:7" ht="10.050000000000001" customHeight="1">
      <c r="A2891" s="52" t="s">
        <v>421</v>
      </c>
      <c r="B2891" s="52" t="s">
        <v>174</v>
      </c>
      <c r="C2891" s="53">
        <v>2009</v>
      </c>
      <c r="D2891" s="52" t="s">
        <v>107</v>
      </c>
      <c r="E2891" s="54">
        <v>2</v>
      </c>
      <c r="F2891" s="55">
        <v>35355</v>
      </c>
      <c r="G2891" s="55">
        <v>29161.599999999999</v>
      </c>
    </row>
    <row r="2892" spans="1:7" ht="10.050000000000001" customHeight="1">
      <c r="A2892" s="52" t="s">
        <v>421</v>
      </c>
      <c r="B2892" s="52" t="s">
        <v>174</v>
      </c>
      <c r="C2892" s="53">
        <v>2009</v>
      </c>
      <c r="D2892" s="52" t="s">
        <v>107</v>
      </c>
      <c r="E2892" s="54">
        <v>3</v>
      </c>
      <c r="F2892" s="55">
        <v>42548.6</v>
      </c>
      <c r="G2892" s="55">
        <v>24568.3</v>
      </c>
    </row>
    <row r="2893" spans="1:7" ht="10.050000000000001" customHeight="1">
      <c r="A2893" s="52" t="s">
        <v>421</v>
      </c>
      <c r="B2893" s="52" t="s">
        <v>174</v>
      </c>
      <c r="C2893" s="53">
        <v>2009</v>
      </c>
      <c r="D2893" s="52" t="s">
        <v>107</v>
      </c>
      <c r="E2893" s="54">
        <v>4</v>
      </c>
      <c r="F2893" s="55">
        <v>46468.9</v>
      </c>
      <c r="G2893" s="55">
        <v>19641</v>
      </c>
    </row>
    <row r="2894" spans="1:7" ht="10.050000000000001" customHeight="1">
      <c r="A2894" s="52" t="s">
        <v>421</v>
      </c>
      <c r="B2894" s="52" t="s">
        <v>174</v>
      </c>
      <c r="C2894" s="53">
        <v>2009</v>
      </c>
      <c r="D2894" s="52" t="s">
        <v>107</v>
      </c>
      <c r="E2894" s="54">
        <v>5</v>
      </c>
      <c r="F2894" s="55">
        <v>41907.4</v>
      </c>
      <c r="G2894" s="55">
        <v>14305.2</v>
      </c>
    </row>
    <row r="2895" spans="1:7" ht="10.050000000000001" customHeight="1">
      <c r="A2895" s="52" t="s">
        <v>421</v>
      </c>
      <c r="B2895" s="52" t="s">
        <v>174</v>
      </c>
      <c r="C2895" s="53">
        <v>2009</v>
      </c>
      <c r="D2895" s="52" t="s">
        <v>107</v>
      </c>
      <c r="E2895" s="54">
        <v>6</v>
      </c>
      <c r="F2895" s="55">
        <v>38250.300000000003</v>
      </c>
      <c r="G2895" s="55">
        <v>11579.3</v>
      </c>
    </row>
    <row r="2896" spans="1:7" ht="10.050000000000001" customHeight="1">
      <c r="A2896" s="52" t="s">
        <v>421</v>
      </c>
      <c r="B2896" s="52" t="s">
        <v>174</v>
      </c>
      <c r="C2896" s="53">
        <v>2009</v>
      </c>
      <c r="D2896" s="52" t="s">
        <v>114</v>
      </c>
      <c r="E2896" s="54">
        <v>7</v>
      </c>
      <c r="F2896" s="55">
        <v>31523.1</v>
      </c>
      <c r="G2896" s="55">
        <v>24872.5</v>
      </c>
    </row>
    <row r="2897" spans="1:7" ht="10.050000000000001" customHeight="1">
      <c r="A2897" s="52" t="s">
        <v>421</v>
      </c>
      <c r="B2897" s="52" t="s">
        <v>174</v>
      </c>
      <c r="C2897" s="53">
        <v>2009</v>
      </c>
      <c r="D2897" s="52" t="s">
        <v>114</v>
      </c>
      <c r="E2897" s="54">
        <v>8</v>
      </c>
      <c r="F2897" s="55">
        <v>51663.7</v>
      </c>
      <c r="G2897" s="55">
        <v>61697.8</v>
      </c>
    </row>
    <row r="2898" spans="1:7" ht="10.050000000000001" customHeight="1">
      <c r="A2898" s="52" t="s">
        <v>421</v>
      </c>
      <c r="B2898" s="52" t="s">
        <v>174</v>
      </c>
      <c r="C2898" s="53">
        <v>2009</v>
      </c>
      <c r="D2898" s="52" t="s">
        <v>114</v>
      </c>
      <c r="E2898" s="54">
        <v>9</v>
      </c>
      <c r="F2898" s="55">
        <v>67451.5</v>
      </c>
      <c r="G2898" s="55">
        <v>50745.9</v>
      </c>
    </row>
    <row r="2899" spans="1:7" ht="10.050000000000001" customHeight="1">
      <c r="A2899" s="52" t="s">
        <v>421</v>
      </c>
      <c r="B2899" s="52" t="s">
        <v>174</v>
      </c>
      <c r="C2899" s="53">
        <v>2009</v>
      </c>
      <c r="D2899" s="52" t="s">
        <v>114</v>
      </c>
      <c r="E2899" s="54">
        <v>10</v>
      </c>
      <c r="F2899" s="55">
        <v>71912.399999999994</v>
      </c>
      <c r="G2899" s="55">
        <v>42518.1</v>
      </c>
    </row>
    <row r="2900" spans="1:7" ht="10.050000000000001" customHeight="1">
      <c r="A2900" s="52" t="s">
        <v>421</v>
      </c>
      <c r="B2900" s="52" t="s">
        <v>174</v>
      </c>
      <c r="C2900" s="53">
        <v>2009</v>
      </c>
      <c r="D2900" s="52" t="s">
        <v>114</v>
      </c>
      <c r="E2900" s="54">
        <v>11</v>
      </c>
      <c r="F2900" s="55">
        <v>59755.199999999997</v>
      </c>
      <c r="G2900" s="55">
        <v>36494.9</v>
      </c>
    </row>
    <row r="2901" spans="1:7" ht="10.050000000000001" customHeight="1">
      <c r="A2901" s="52" t="s">
        <v>421</v>
      </c>
      <c r="B2901" s="52" t="s">
        <v>174</v>
      </c>
      <c r="C2901" s="53">
        <v>2009</v>
      </c>
      <c r="D2901" s="52" t="s">
        <v>114</v>
      </c>
      <c r="E2901" s="54">
        <v>12</v>
      </c>
      <c r="F2901" s="55">
        <v>62565.9</v>
      </c>
      <c r="G2901" s="55">
        <v>30788.6</v>
      </c>
    </row>
    <row r="2902" spans="1:7" ht="10.050000000000001" customHeight="1">
      <c r="A2902" s="52" t="s">
        <v>421</v>
      </c>
      <c r="B2902" s="52" t="s">
        <v>174</v>
      </c>
      <c r="C2902" s="53">
        <v>2010</v>
      </c>
      <c r="D2902" s="52" t="s">
        <v>114</v>
      </c>
      <c r="E2902" s="54">
        <v>1</v>
      </c>
      <c r="F2902" s="55">
        <v>58133.599999999999</v>
      </c>
      <c r="G2902" s="55">
        <v>30634.2</v>
      </c>
    </row>
    <row r="2903" spans="1:7" ht="10.050000000000001" customHeight="1">
      <c r="A2903" s="52" t="s">
        <v>421</v>
      </c>
      <c r="B2903" s="52" t="s">
        <v>174</v>
      </c>
      <c r="C2903" s="53">
        <v>2010</v>
      </c>
      <c r="D2903" s="52" t="s">
        <v>114</v>
      </c>
      <c r="E2903" s="54">
        <v>2</v>
      </c>
      <c r="F2903" s="55">
        <v>46257.7</v>
      </c>
      <c r="G2903" s="55">
        <v>25573.4</v>
      </c>
    </row>
    <row r="2904" spans="1:7" ht="10.050000000000001" customHeight="1">
      <c r="A2904" s="52" t="s">
        <v>421</v>
      </c>
      <c r="B2904" s="52" t="s">
        <v>174</v>
      </c>
      <c r="C2904" s="53">
        <v>2010</v>
      </c>
      <c r="D2904" s="52" t="s">
        <v>114</v>
      </c>
      <c r="E2904" s="54">
        <v>3</v>
      </c>
      <c r="F2904" s="55">
        <v>47678</v>
      </c>
      <c r="G2904" s="55">
        <v>22075.1</v>
      </c>
    </row>
    <row r="2905" spans="1:7" ht="10.050000000000001" customHeight="1">
      <c r="A2905" s="52" t="s">
        <v>421</v>
      </c>
      <c r="B2905" s="52" t="s">
        <v>174</v>
      </c>
      <c r="C2905" s="53">
        <v>2010</v>
      </c>
      <c r="D2905" s="52" t="s">
        <v>114</v>
      </c>
      <c r="E2905" s="54">
        <v>4</v>
      </c>
      <c r="F2905" s="55">
        <v>42015.5</v>
      </c>
      <c r="G2905" s="55">
        <v>17276.2</v>
      </c>
    </row>
    <row r="2906" spans="1:7" ht="10.050000000000001" customHeight="1">
      <c r="A2906" s="52" t="s">
        <v>421</v>
      </c>
      <c r="B2906" s="52" t="s">
        <v>174</v>
      </c>
      <c r="C2906" s="53">
        <v>2010</v>
      </c>
      <c r="D2906" s="52" t="s">
        <v>114</v>
      </c>
      <c r="E2906" s="54">
        <v>5</v>
      </c>
      <c r="F2906" s="55">
        <v>37329</v>
      </c>
      <c r="G2906" s="55">
        <v>12157.8</v>
      </c>
    </row>
    <row r="2907" spans="1:7" ht="10.050000000000001" customHeight="1">
      <c r="A2907" s="52" t="s">
        <v>421</v>
      </c>
      <c r="B2907" s="52" t="s">
        <v>174</v>
      </c>
      <c r="C2907" s="53">
        <v>2010</v>
      </c>
      <c r="D2907" s="52" t="s">
        <v>114</v>
      </c>
      <c r="E2907" s="54">
        <v>6</v>
      </c>
      <c r="F2907" s="55">
        <v>31377.200000000001</v>
      </c>
      <c r="G2907" s="55">
        <v>10216.6</v>
      </c>
    </row>
    <row r="2908" spans="1:7" ht="10.050000000000001" customHeight="1">
      <c r="A2908" s="52" t="s">
        <v>421</v>
      </c>
      <c r="B2908" s="52" t="s">
        <v>174</v>
      </c>
      <c r="C2908" s="53">
        <v>2010</v>
      </c>
      <c r="D2908" s="52" t="s">
        <v>115</v>
      </c>
      <c r="E2908" s="54">
        <v>7</v>
      </c>
      <c r="F2908" s="55">
        <v>29215.09</v>
      </c>
      <c r="G2908" s="55">
        <v>30586.29</v>
      </c>
    </row>
    <row r="2909" spans="1:7" ht="10.050000000000001" customHeight="1">
      <c r="A2909" s="52" t="s">
        <v>421</v>
      </c>
      <c r="B2909" s="52" t="s">
        <v>174</v>
      </c>
      <c r="C2909" s="53">
        <v>2010</v>
      </c>
      <c r="D2909" s="52" t="s">
        <v>115</v>
      </c>
      <c r="E2909" s="54">
        <v>8</v>
      </c>
      <c r="F2909" s="55">
        <v>60779.404999999999</v>
      </c>
      <c r="G2909" s="55">
        <v>43099.75</v>
      </c>
    </row>
    <row r="2910" spans="1:7" ht="10.050000000000001" customHeight="1">
      <c r="A2910" s="52" t="s">
        <v>421</v>
      </c>
      <c r="B2910" s="52" t="s">
        <v>174</v>
      </c>
      <c r="C2910" s="53">
        <v>2010</v>
      </c>
      <c r="D2910" s="52" t="s">
        <v>115</v>
      </c>
      <c r="E2910" s="54">
        <v>9</v>
      </c>
      <c r="F2910" s="55">
        <v>67292.226999999999</v>
      </c>
      <c r="G2910" s="55">
        <v>34907.449999999997</v>
      </c>
    </row>
    <row r="2911" spans="1:7" ht="10.050000000000001" customHeight="1">
      <c r="A2911" s="52" t="s">
        <v>421</v>
      </c>
      <c r="B2911" s="52" t="s">
        <v>174</v>
      </c>
      <c r="C2911" s="53">
        <v>2010</v>
      </c>
      <c r="D2911" s="52" t="s">
        <v>115</v>
      </c>
      <c r="E2911" s="54">
        <v>10</v>
      </c>
      <c r="F2911" s="55">
        <v>57944.339</v>
      </c>
      <c r="G2911" s="55">
        <v>29028.58</v>
      </c>
    </row>
    <row r="2912" spans="1:7" ht="10.050000000000001" customHeight="1">
      <c r="A2912" s="52" t="s">
        <v>421</v>
      </c>
      <c r="B2912" s="52" t="s">
        <v>174</v>
      </c>
      <c r="C2912" s="53">
        <v>2010</v>
      </c>
      <c r="D2912" s="52" t="s">
        <v>115</v>
      </c>
      <c r="E2912" s="54">
        <v>11</v>
      </c>
      <c r="F2912" s="55">
        <v>53367.5</v>
      </c>
      <c r="G2912" s="55">
        <v>24414.26</v>
      </c>
    </row>
    <row r="2913" spans="1:7" ht="10.050000000000001" customHeight="1">
      <c r="A2913" s="52" t="s">
        <v>421</v>
      </c>
      <c r="B2913" s="52" t="s">
        <v>174</v>
      </c>
      <c r="C2913" s="53">
        <v>2010</v>
      </c>
      <c r="D2913" s="52" t="s">
        <v>115</v>
      </c>
      <c r="E2913" s="54">
        <v>12</v>
      </c>
      <c r="F2913" s="55">
        <v>44658.305</v>
      </c>
      <c r="G2913" s="55">
        <v>20842</v>
      </c>
    </row>
    <row r="2914" spans="1:7" ht="10.050000000000001" customHeight="1">
      <c r="A2914" s="52" t="s">
        <v>421</v>
      </c>
      <c r="B2914" s="52" t="s">
        <v>174</v>
      </c>
      <c r="C2914" s="53">
        <v>2011</v>
      </c>
      <c r="D2914" s="52" t="s">
        <v>115</v>
      </c>
      <c r="E2914" s="54">
        <v>1</v>
      </c>
      <c r="F2914" s="55">
        <v>38181.112999999998</v>
      </c>
      <c r="G2914" s="55">
        <v>19959.560000000001</v>
      </c>
    </row>
    <row r="2915" spans="1:7" ht="10.050000000000001" customHeight="1">
      <c r="A2915" s="52" t="s">
        <v>421</v>
      </c>
      <c r="B2915" s="52" t="s">
        <v>174</v>
      </c>
      <c r="C2915" s="53">
        <v>2011</v>
      </c>
      <c r="D2915" s="52" t="s">
        <v>115</v>
      </c>
      <c r="E2915" s="54">
        <v>2</v>
      </c>
      <c r="F2915" s="55">
        <v>35388.173000000003</v>
      </c>
      <c r="G2915" s="55">
        <v>16830.77</v>
      </c>
    </row>
    <row r="2916" spans="1:7" ht="10.050000000000001" customHeight="1">
      <c r="A2916" s="52" t="s">
        <v>421</v>
      </c>
      <c r="B2916" s="52" t="s">
        <v>174</v>
      </c>
      <c r="C2916" s="53">
        <v>2011</v>
      </c>
      <c r="D2916" s="52" t="s">
        <v>115</v>
      </c>
      <c r="E2916" s="54">
        <v>3</v>
      </c>
      <c r="F2916" s="55">
        <v>39690.497000000003</v>
      </c>
      <c r="G2916" s="55">
        <v>14805.16</v>
      </c>
    </row>
    <row r="2917" spans="1:7" ht="10.050000000000001" customHeight="1">
      <c r="A2917" s="52" t="s">
        <v>421</v>
      </c>
      <c r="B2917" s="52" t="s">
        <v>174</v>
      </c>
      <c r="C2917" s="53">
        <v>2011</v>
      </c>
      <c r="D2917" s="52" t="s">
        <v>115</v>
      </c>
      <c r="E2917" s="54">
        <v>4</v>
      </c>
      <c r="F2917" s="55">
        <v>32751.554</v>
      </c>
      <c r="G2917" s="55">
        <v>14244.183999999999</v>
      </c>
    </row>
    <row r="2918" spans="1:7" ht="10.050000000000001" customHeight="1">
      <c r="A2918" s="52" t="s">
        <v>421</v>
      </c>
      <c r="B2918" s="52" t="s">
        <v>174</v>
      </c>
      <c r="C2918" s="53">
        <v>2011</v>
      </c>
      <c r="D2918" s="52" t="s">
        <v>115</v>
      </c>
      <c r="E2918" s="54">
        <v>5</v>
      </c>
      <c r="F2918" s="55">
        <v>37443.947999999997</v>
      </c>
      <c r="G2918" s="55">
        <v>15079.245000000001</v>
      </c>
    </row>
    <row r="2919" spans="1:7" ht="10.050000000000001" customHeight="1">
      <c r="A2919" s="52" t="s">
        <v>421</v>
      </c>
      <c r="B2919" s="52" t="s">
        <v>174</v>
      </c>
      <c r="C2919" s="53">
        <v>2011</v>
      </c>
      <c r="D2919" s="52" t="s">
        <v>115</v>
      </c>
      <c r="E2919" s="54">
        <v>6</v>
      </c>
      <c r="F2919" s="55">
        <v>42412.506999999998</v>
      </c>
      <c r="G2919" s="55">
        <v>12518.066999999999</v>
      </c>
    </row>
    <row r="2920" spans="1:7" ht="10.050000000000001" customHeight="1">
      <c r="A2920" s="52" t="s">
        <v>421</v>
      </c>
      <c r="B2920" s="52" t="s">
        <v>174</v>
      </c>
      <c r="C2920" s="53">
        <v>2011</v>
      </c>
      <c r="D2920" s="52" t="s">
        <v>116</v>
      </c>
      <c r="E2920" s="54">
        <v>7</v>
      </c>
      <c r="F2920" s="55">
        <v>34555.425000000003</v>
      </c>
      <c r="G2920" s="55">
        <v>23573.308000000001</v>
      </c>
    </row>
    <row r="2921" spans="1:7" ht="10.050000000000001" customHeight="1">
      <c r="A2921" s="52" t="s">
        <v>421</v>
      </c>
      <c r="B2921" s="52" t="s">
        <v>174</v>
      </c>
      <c r="C2921" s="53">
        <v>2011</v>
      </c>
      <c r="D2921" s="52" t="s">
        <v>116</v>
      </c>
      <c r="E2921" s="54">
        <v>8</v>
      </c>
      <c r="F2921" s="55">
        <v>64130.063000000002</v>
      </c>
      <c r="G2921" s="55">
        <v>42491.692999999999</v>
      </c>
    </row>
    <row r="2922" spans="1:7" ht="10.050000000000001" customHeight="1">
      <c r="A2922" s="52" t="s">
        <v>421</v>
      </c>
      <c r="B2922" s="52" t="s">
        <v>174</v>
      </c>
      <c r="C2922" s="53">
        <v>2011</v>
      </c>
      <c r="D2922" s="52" t="s">
        <v>116</v>
      </c>
      <c r="E2922" s="54">
        <v>9</v>
      </c>
      <c r="F2922" s="55">
        <v>70338.86</v>
      </c>
      <c r="G2922" s="55">
        <v>35465.906999999999</v>
      </c>
    </row>
    <row r="2923" spans="1:7" ht="10.050000000000001" customHeight="1">
      <c r="A2923" s="52" t="s">
        <v>421</v>
      </c>
      <c r="B2923" s="52" t="s">
        <v>174</v>
      </c>
      <c r="C2923" s="53">
        <v>2011</v>
      </c>
      <c r="D2923" s="52" t="s">
        <v>116</v>
      </c>
      <c r="E2923" s="54">
        <v>10</v>
      </c>
      <c r="F2923" s="55">
        <v>59633.637999999999</v>
      </c>
      <c r="G2923" s="55">
        <v>29894.133000000002</v>
      </c>
    </row>
    <row r="2924" spans="1:7" ht="10.050000000000001" customHeight="1">
      <c r="A2924" s="52" t="s">
        <v>421</v>
      </c>
      <c r="B2924" s="52" t="s">
        <v>174</v>
      </c>
      <c r="C2924" s="53">
        <v>2011</v>
      </c>
      <c r="D2924" s="52" t="s">
        <v>116</v>
      </c>
      <c r="E2924" s="54">
        <v>11</v>
      </c>
      <c r="F2924" s="55">
        <v>50343.667999999998</v>
      </c>
      <c r="G2924" s="55">
        <v>27043.525000000001</v>
      </c>
    </row>
    <row r="2925" spans="1:7" ht="10.050000000000001" customHeight="1">
      <c r="A2925" s="52" t="s">
        <v>421</v>
      </c>
      <c r="B2925" s="52" t="s">
        <v>174</v>
      </c>
      <c r="C2925" s="53">
        <v>2011</v>
      </c>
      <c r="D2925" s="52" t="s">
        <v>116</v>
      </c>
      <c r="E2925" s="54">
        <v>12</v>
      </c>
      <c r="F2925" s="55">
        <v>48639.839999999997</v>
      </c>
      <c r="G2925" s="55">
        <v>22038.144</v>
      </c>
    </row>
    <row r="2926" spans="1:7" ht="10.050000000000001" customHeight="1">
      <c r="A2926" s="52" t="s">
        <v>421</v>
      </c>
      <c r="B2926" s="52" t="s">
        <v>174</v>
      </c>
      <c r="C2926" s="53">
        <v>2012</v>
      </c>
      <c r="D2926" s="52" t="s">
        <v>116</v>
      </c>
      <c r="E2926" s="54">
        <v>1</v>
      </c>
      <c r="F2926" s="55">
        <v>45802.042999999998</v>
      </c>
      <c r="G2926" s="55">
        <v>19692.822</v>
      </c>
    </row>
    <row r="2927" spans="1:7" ht="10.050000000000001" customHeight="1">
      <c r="A2927" s="52" t="s">
        <v>421</v>
      </c>
      <c r="B2927" s="52" t="s">
        <v>174</v>
      </c>
      <c r="C2927" s="53">
        <v>2012</v>
      </c>
      <c r="D2927" s="52" t="s">
        <v>116</v>
      </c>
      <c r="E2927" s="54">
        <v>2</v>
      </c>
      <c r="F2927" s="55">
        <v>40189.724999999999</v>
      </c>
      <c r="G2927" s="55">
        <v>16871.321</v>
      </c>
    </row>
    <row r="2928" spans="1:7" ht="10.050000000000001" customHeight="1">
      <c r="A2928" s="52" t="s">
        <v>421</v>
      </c>
      <c r="B2928" s="52" t="s">
        <v>174</v>
      </c>
      <c r="C2928" s="53">
        <v>2012</v>
      </c>
      <c r="D2928" s="52" t="s">
        <v>116</v>
      </c>
      <c r="E2928" s="54">
        <v>3</v>
      </c>
      <c r="F2928" s="55">
        <v>44981.925000000003</v>
      </c>
      <c r="G2928" s="55">
        <v>15895.626</v>
      </c>
    </row>
    <row r="2929" spans="1:7" ht="10.050000000000001" customHeight="1">
      <c r="A2929" s="52" t="s">
        <v>421</v>
      </c>
      <c r="B2929" s="52" t="s">
        <v>174</v>
      </c>
      <c r="C2929" s="53">
        <v>2012</v>
      </c>
      <c r="D2929" s="52" t="s">
        <v>116</v>
      </c>
      <c r="E2929" s="54">
        <v>4</v>
      </c>
      <c r="F2929" s="55">
        <v>42878.192999999999</v>
      </c>
      <c r="G2929" s="55">
        <v>15012.545</v>
      </c>
    </row>
    <row r="2930" spans="1:7" ht="10.050000000000001" customHeight="1">
      <c r="A2930" s="52" t="s">
        <v>421</v>
      </c>
      <c r="B2930" s="52" t="s">
        <v>174</v>
      </c>
      <c r="C2930" s="53">
        <v>2012</v>
      </c>
      <c r="D2930" s="52" t="s">
        <v>116</v>
      </c>
      <c r="E2930" s="54">
        <v>5</v>
      </c>
      <c r="F2930" s="55">
        <v>42246.739000000001</v>
      </c>
      <c r="G2930" s="55">
        <v>12942.652</v>
      </c>
    </row>
    <row r="2931" spans="1:7" ht="10.050000000000001" customHeight="1">
      <c r="A2931" s="52" t="s">
        <v>421</v>
      </c>
      <c r="B2931" s="52" t="s">
        <v>174</v>
      </c>
      <c r="C2931" s="53">
        <v>2012</v>
      </c>
      <c r="D2931" s="52" t="s">
        <v>116</v>
      </c>
      <c r="E2931" s="54">
        <v>6</v>
      </c>
      <c r="F2931" s="55">
        <v>34842.720999999998</v>
      </c>
      <c r="G2931" s="55">
        <v>11203.754000000001</v>
      </c>
    </row>
    <row r="2932" spans="1:7" ht="10.050000000000001" customHeight="1">
      <c r="A2932" s="52" t="s">
        <v>421</v>
      </c>
      <c r="B2932" s="52" t="s">
        <v>174</v>
      </c>
      <c r="C2932" s="53">
        <v>2012</v>
      </c>
      <c r="D2932" s="52" t="s">
        <v>117</v>
      </c>
      <c r="E2932" s="54">
        <v>7</v>
      </c>
      <c r="F2932" s="55">
        <v>29632.175999999999</v>
      </c>
      <c r="G2932" s="55">
        <v>26302.547999999999</v>
      </c>
    </row>
    <row r="2933" spans="1:7" ht="10.050000000000001" customHeight="1">
      <c r="A2933" s="52" t="s">
        <v>421</v>
      </c>
      <c r="B2933" s="52" t="s">
        <v>174</v>
      </c>
      <c r="C2933" s="53">
        <v>2012</v>
      </c>
      <c r="D2933" s="52" t="s">
        <v>117</v>
      </c>
      <c r="E2933" s="54">
        <v>8</v>
      </c>
      <c r="F2933" s="55">
        <v>64316.995999999999</v>
      </c>
      <c r="G2933" s="55">
        <v>57860.057999999997</v>
      </c>
    </row>
    <row r="2934" spans="1:7" ht="10.050000000000001" customHeight="1">
      <c r="A2934" s="52" t="s">
        <v>421</v>
      </c>
      <c r="B2934" s="52" t="s">
        <v>174</v>
      </c>
      <c r="C2934" s="53">
        <v>2012</v>
      </c>
      <c r="D2934" s="52" t="s">
        <v>117</v>
      </c>
      <c r="E2934" s="54">
        <v>9</v>
      </c>
      <c r="F2934" s="55">
        <v>71052.701000000001</v>
      </c>
      <c r="G2934" s="55">
        <v>52463.839999999997</v>
      </c>
    </row>
    <row r="2935" spans="1:7" ht="10.050000000000001" customHeight="1">
      <c r="A2935" s="52" t="s">
        <v>421</v>
      </c>
      <c r="B2935" s="52" t="s">
        <v>174</v>
      </c>
      <c r="C2935" s="53">
        <v>2012</v>
      </c>
      <c r="D2935" s="52" t="s">
        <v>117</v>
      </c>
      <c r="E2935" s="54">
        <v>10</v>
      </c>
      <c r="F2935" s="55">
        <v>83991.085999999996</v>
      </c>
      <c r="G2935" s="55">
        <v>39413.625999999997</v>
      </c>
    </row>
    <row r="2936" spans="1:7" ht="10.050000000000001" customHeight="1">
      <c r="A2936" s="52" t="s">
        <v>421</v>
      </c>
      <c r="B2936" s="52" t="s">
        <v>174</v>
      </c>
      <c r="C2936" s="53">
        <v>2012</v>
      </c>
      <c r="D2936" s="52" t="s">
        <v>117</v>
      </c>
      <c r="E2936" s="54">
        <v>11</v>
      </c>
      <c r="F2936" s="55">
        <v>69764.823000000004</v>
      </c>
      <c r="G2936" s="55">
        <v>33014.79</v>
      </c>
    </row>
    <row r="2937" spans="1:7" ht="10.050000000000001" customHeight="1">
      <c r="A2937" s="52" t="s">
        <v>421</v>
      </c>
      <c r="B2937" s="52" t="s">
        <v>174</v>
      </c>
      <c r="C2937" s="53">
        <v>2012</v>
      </c>
      <c r="D2937" s="52" t="s">
        <v>117</v>
      </c>
      <c r="E2937" s="54">
        <v>12</v>
      </c>
      <c r="F2937" s="55">
        <v>58509.620999999999</v>
      </c>
      <c r="G2937" s="55">
        <v>29760.121999999999</v>
      </c>
    </row>
    <row r="2938" spans="1:7" ht="10.050000000000001" customHeight="1">
      <c r="A2938" s="52" t="s">
        <v>421</v>
      </c>
      <c r="B2938" s="52" t="s">
        <v>174</v>
      </c>
      <c r="C2938" s="53">
        <v>2013</v>
      </c>
      <c r="D2938" s="52" t="s">
        <v>117</v>
      </c>
      <c r="E2938" s="54">
        <v>1</v>
      </c>
      <c r="F2938" s="55">
        <v>71709.486000000004</v>
      </c>
      <c r="G2938" s="55">
        <v>25507.642</v>
      </c>
    </row>
    <row r="2939" spans="1:7" ht="10.050000000000001" customHeight="1">
      <c r="A2939" s="52" t="s">
        <v>421</v>
      </c>
      <c r="B2939" s="52" t="s">
        <v>174</v>
      </c>
      <c r="C2939" s="53">
        <v>2013</v>
      </c>
      <c r="D2939" s="52" t="s">
        <v>117</v>
      </c>
      <c r="E2939" s="54">
        <v>2</v>
      </c>
      <c r="F2939" s="55">
        <v>59551.614000000001</v>
      </c>
      <c r="G2939" s="55">
        <v>20964.998</v>
      </c>
    </row>
    <row r="2940" spans="1:7" ht="10.050000000000001" customHeight="1">
      <c r="A2940" s="52" t="s">
        <v>421</v>
      </c>
      <c r="B2940" s="52" t="s">
        <v>174</v>
      </c>
      <c r="C2940" s="53">
        <v>2013</v>
      </c>
      <c r="D2940" s="52" t="s">
        <v>117</v>
      </c>
      <c r="E2940" s="54">
        <v>3</v>
      </c>
      <c r="F2940" s="55">
        <v>58595.968999999997</v>
      </c>
      <c r="G2940" s="55">
        <v>22062.581999999999</v>
      </c>
    </row>
    <row r="2941" spans="1:7" ht="10.050000000000001" customHeight="1">
      <c r="A2941" s="52" t="s">
        <v>421</v>
      </c>
      <c r="B2941" s="52" t="s">
        <v>174</v>
      </c>
      <c r="C2941" s="53">
        <v>2013</v>
      </c>
      <c r="D2941" s="52" t="s">
        <v>117</v>
      </c>
      <c r="E2941" s="54">
        <v>4</v>
      </c>
      <c r="F2941" s="55">
        <v>56246.447</v>
      </c>
      <c r="G2941" s="55">
        <v>19675.929</v>
      </c>
    </row>
    <row r="2942" spans="1:7" ht="10.050000000000001" customHeight="1">
      <c r="A2942" s="52" t="s">
        <v>421</v>
      </c>
      <c r="B2942" s="52" t="s">
        <v>174</v>
      </c>
      <c r="C2942" s="53">
        <v>2013</v>
      </c>
      <c r="D2942" s="52" t="s">
        <v>117</v>
      </c>
      <c r="E2942" s="54">
        <v>5</v>
      </c>
      <c r="F2942" s="55">
        <v>53787.798999999999</v>
      </c>
      <c r="G2942" s="55">
        <v>17339.912</v>
      </c>
    </row>
    <row r="2943" spans="1:7" ht="10.050000000000001" customHeight="1">
      <c r="A2943" s="52" t="s">
        <v>421</v>
      </c>
      <c r="B2943" s="52" t="s">
        <v>174</v>
      </c>
      <c r="C2943" s="53">
        <v>2013</v>
      </c>
      <c r="D2943" s="52" t="s">
        <v>117</v>
      </c>
      <c r="E2943" s="54">
        <v>6</v>
      </c>
      <c r="F2943" s="55">
        <v>46958.892999999996</v>
      </c>
      <c r="G2943" s="55">
        <v>16192.346</v>
      </c>
    </row>
    <row r="2944" spans="1:7" ht="10.050000000000001" customHeight="1">
      <c r="A2944" s="52" t="s">
        <v>421</v>
      </c>
      <c r="B2944" s="52" t="s">
        <v>174</v>
      </c>
      <c r="C2944" s="53">
        <v>2013</v>
      </c>
      <c r="D2944" s="52" t="s">
        <v>118</v>
      </c>
      <c r="E2944" s="54">
        <v>7</v>
      </c>
      <c r="F2944" s="55">
        <v>46574.512000000002</v>
      </c>
      <c r="G2944" s="55">
        <v>14043.929</v>
      </c>
    </row>
    <row r="2945" spans="1:7" ht="10.050000000000001" customHeight="1">
      <c r="A2945" s="52" t="s">
        <v>421</v>
      </c>
      <c r="B2945" s="52" t="s">
        <v>174</v>
      </c>
      <c r="C2945" s="53">
        <v>2013</v>
      </c>
      <c r="D2945" s="52" t="s">
        <v>118</v>
      </c>
      <c r="E2945" s="54">
        <v>8</v>
      </c>
      <c r="F2945" s="55">
        <v>60156.688999999998</v>
      </c>
      <c r="G2945" s="55">
        <v>49799.758999999998</v>
      </c>
    </row>
    <row r="2946" spans="1:7" ht="10.050000000000001" customHeight="1">
      <c r="A2946" s="52" t="s">
        <v>421</v>
      </c>
      <c r="B2946" s="52" t="s">
        <v>174</v>
      </c>
      <c r="C2946" s="53">
        <v>2013</v>
      </c>
      <c r="D2946" s="52" t="s">
        <v>118</v>
      </c>
      <c r="E2946" s="54">
        <v>9</v>
      </c>
      <c r="F2946" s="55">
        <v>61579.275999999998</v>
      </c>
      <c r="G2946" s="55">
        <v>44874.7</v>
      </c>
    </row>
    <row r="2947" spans="1:7" ht="10.050000000000001" customHeight="1">
      <c r="A2947" s="52" t="s">
        <v>421</v>
      </c>
      <c r="B2947" s="52" t="s">
        <v>174</v>
      </c>
      <c r="C2947" s="53">
        <v>2013</v>
      </c>
      <c r="D2947" s="52" t="s">
        <v>118</v>
      </c>
      <c r="E2947" s="54">
        <v>10</v>
      </c>
      <c r="F2947" s="55">
        <v>70662.042000000001</v>
      </c>
      <c r="G2947" s="55">
        <v>37859.737000000001</v>
      </c>
    </row>
    <row r="2948" spans="1:7" ht="10.050000000000001" customHeight="1">
      <c r="A2948" s="52" t="s">
        <v>421</v>
      </c>
      <c r="B2948" s="52" t="s">
        <v>174</v>
      </c>
      <c r="C2948" s="53">
        <v>2013</v>
      </c>
      <c r="D2948" s="52" t="s">
        <v>118</v>
      </c>
      <c r="E2948" s="54">
        <v>11</v>
      </c>
      <c r="F2948" s="55">
        <v>55152.262999999999</v>
      </c>
      <c r="G2948" s="55">
        <v>36812.690999999999</v>
      </c>
    </row>
    <row r="2949" spans="1:7" ht="10.050000000000001" customHeight="1">
      <c r="A2949" s="52" t="s">
        <v>421</v>
      </c>
      <c r="B2949" s="52" t="s">
        <v>174</v>
      </c>
      <c r="C2949" s="53">
        <v>2013</v>
      </c>
      <c r="D2949" s="52" t="s">
        <v>118</v>
      </c>
      <c r="E2949" s="54">
        <v>12</v>
      </c>
      <c r="F2949" s="55">
        <v>50822.243000000002</v>
      </c>
      <c r="G2949" s="55">
        <v>32255.905999999999</v>
      </c>
    </row>
    <row r="2950" spans="1:7" ht="10.050000000000001" customHeight="1">
      <c r="A2950" s="52" t="s">
        <v>421</v>
      </c>
      <c r="B2950" s="52" t="s">
        <v>174</v>
      </c>
      <c r="C2950" s="53">
        <v>2014</v>
      </c>
      <c r="D2950" s="52" t="s">
        <v>118</v>
      </c>
      <c r="E2950" s="54">
        <v>1</v>
      </c>
      <c r="F2950" s="55">
        <v>48184.341</v>
      </c>
      <c r="G2950" s="55">
        <v>29604.363000000001</v>
      </c>
    </row>
    <row r="2951" spans="1:7" ht="10.050000000000001" customHeight="1">
      <c r="A2951" s="52" t="s">
        <v>421</v>
      </c>
      <c r="B2951" s="52" t="s">
        <v>174</v>
      </c>
      <c r="C2951" s="53">
        <v>2014</v>
      </c>
      <c r="D2951" s="52" t="s">
        <v>118</v>
      </c>
      <c r="E2951" s="54">
        <v>2</v>
      </c>
      <c r="F2951" s="55">
        <v>38770.724999999999</v>
      </c>
      <c r="G2951" s="55">
        <v>24344.409</v>
      </c>
    </row>
    <row r="2952" spans="1:7" ht="10.050000000000001" customHeight="1">
      <c r="A2952" s="52" t="s">
        <v>421</v>
      </c>
      <c r="B2952" s="52" t="s">
        <v>174</v>
      </c>
      <c r="C2952" s="53">
        <v>2014</v>
      </c>
      <c r="D2952" s="52" t="s">
        <v>118</v>
      </c>
      <c r="E2952" s="54">
        <v>3</v>
      </c>
      <c r="F2952" s="55">
        <v>39523.406999999999</v>
      </c>
      <c r="G2952" s="55">
        <v>19751.012999999999</v>
      </c>
    </row>
    <row r="2953" spans="1:7" ht="10.050000000000001" customHeight="1">
      <c r="A2953" s="52" t="s">
        <v>421</v>
      </c>
      <c r="B2953" s="52" t="s">
        <v>174</v>
      </c>
      <c r="C2953" s="53">
        <v>2014</v>
      </c>
      <c r="D2953" s="52" t="s">
        <v>118</v>
      </c>
      <c r="E2953" s="54">
        <v>4</v>
      </c>
      <c r="F2953" s="55">
        <v>39991.629999999997</v>
      </c>
      <c r="G2953" s="55">
        <v>17000.454000000002</v>
      </c>
    </row>
    <row r="2954" spans="1:7" ht="10.050000000000001" customHeight="1">
      <c r="A2954" s="52" t="s">
        <v>421</v>
      </c>
      <c r="B2954" s="52" t="s">
        <v>174</v>
      </c>
      <c r="C2954" s="53">
        <v>2014</v>
      </c>
      <c r="D2954" s="52" t="s">
        <v>118</v>
      </c>
      <c r="E2954" s="54">
        <v>5</v>
      </c>
      <c r="F2954" s="55">
        <v>36639.623</v>
      </c>
      <c r="G2954" s="55">
        <v>15646.188</v>
      </c>
    </row>
    <row r="2955" spans="1:7" ht="10.050000000000001" customHeight="1">
      <c r="A2955" s="52" t="s">
        <v>421</v>
      </c>
      <c r="B2955" s="52" t="s">
        <v>174</v>
      </c>
      <c r="C2955" s="53">
        <v>2014</v>
      </c>
      <c r="D2955" s="52" t="s">
        <v>118</v>
      </c>
      <c r="E2955" s="54">
        <v>6</v>
      </c>
      <c r="F2955" s="55">
        <v>40870.908000000003</v>
      </c>
      <c r="G2955" s="55">
        <v>13002.98</v>
      </c>
    </row>
    <row r="2956" spans="1:7" ht="10.050000000000001" customHeight="1">
      <c r="A2956" s="52" t="s">
        <v>421</v>
      </c>
      <c r="B2956" s="52" t="s">
        <v>174</v>
      </c>
      <c r="C2956" s="53">
        <v>2014</v>
      </c>
      <c r="D2956" s="52" t="s">
        <v>119</v>
      </c>
      <c r="E2956" s="54">
        <v>7</v>
      </c>
      <c r="F2956" s="55">
        <v>36097.235000000001</v>
      </c>
      <c r="G2956" s="55">
        <v>25533.574000000001</v>
      </c>
    </row>
    <row r="2957" spans="1:7" ht="10.050000000000001" customHeight="1">
      <c r="A2957" s="52" t="s">
        <v>421</v>
      </c>
      <c r="B2957" s="52" t="s">
        <v>174</v>
      </c>
      <c r="C2957" s="53">
        <v>2014</v>
      </c>
      <c r="D2957" s="52" t="s">
        <v>119</v>
      </c>
      <c r="E2957" s="54">
        <v>8</v>
      </c>
      <c r="F2957" s="55">
        <v>52732.154000000002</v>
      </c>
      <c r="G2957" s="55">
        <v>50888.432000000001</v>
      </c>
    </row>
    <row r="2958" spans="1:7" ht="10.050000000000001" customHeight="1">
      <c r="A2958" s="52" t="s">
        <v>421</v>
      </c>
      <c r="B2958" s="52" t="s">
        <v>174</v>
      </c>
      <c r="C2958" s="53">
        <v>2014</v>
      </c>
      <c r="D2958" s="52" t="s">
        <v>119</v>
      </c>
      <c r="E2958" s="54">
        <v>9</v>
      </c>
      <c r="F2958" s="55">
        <v>57439.067000000003</v>
      </c>
      <c r="G2958" s="55">
        <v>49546.144999999997</v>
      </c>
    </row>
    <row r="2959" spans="1:7" ht="10.050000000000001" customHeight="1">
      <c r="A2959" s="52" t="s">
        <v>421</v>
      </c>
      <c r="B2959" s="52" t="s">
        <v>174</v>
      </c>
      <c r="C2959" s="53">
        <v>2014</v>
      </c>
      <c r="D2959" s="52" t="s">
        <v>119</v>
      </c>
      <c r="E2959" s="54">
        <v>10</v>
      </c>
      <c r="F2959" s="55">
        <v>61527.485999999997</v>
      </c>
      <c r="G2959" s="55">
        <v>46019.423999999999</v>
      </c>
    </row>
    <row r="2960" spans="1:7" ht="10.050000000000001" customHeight="1">
      <c r="A2960" s="52" t="s">
        <v>421</v>
      </c>
      <c r="B2960" s="52" t="s">
        <v>174</v>
      </c>
      <c r="C2960" s="53">
        <v>2014</v>
      </c>
      <c r="D2960" s="52" t="s">
        <v>119</v>
      </c>
      <c r="E2960" s="54">
        <v>11</v>
      </c>
      <c r="F2960" s="55">
        <v>49167.063999999998</v>
      </c>
      <c r="G2960" s="55">
        <v>41622.408000000003</v>
      </c>
    </row>
    <row r="2961" spans="1:7" ht="10.050000000000001" customHeight="1">
      <c r="A2961" s="52" t="s">
        <v>421</v>
      </c>
      <c r="B2961" s="52" t="s">
        <v>174</v>
      </c>
      <c r="C2961" s="53">
        <v>2014</v>
      </c>
      <c r="D2961" s="52" t="s">
        <v>119</v>
      </c>
      <c r="E2961" s="54">
        <v>12</v>
      </c>
      <c r="F2961" s="55">
        <v>51168.548000000003</v>
      </c>
      <c r="G2961" s="55">
        <v>36230.697999999997</v>
      </c>
    </row>
    <row r="2962" spans="1:7" ht="10.050000000000001" customHeight="1">
      <c r="A2962" s="52" t="s">
        <v>421</v>
      </c>
      <c r="B2962" s="52" t="s">
        <v>174</v>
      </c>
      <c r="C2962" s="53">
        <v>2015</v>
      </c>
      <c r="D2962" s="52" t="s">
        <v>119</v>
      </c>
      <c r="E2962" s="54">
        <v>1</v>
      </c>
      <c r="F2962" s="55">
        <v>51480.521000000001</v>
      </c>
      <c r="G2962" s="55">
        <v>32688.737000000001</v>
      </c>
    </row>
    <row r="2963" spans="1:7" ht="10.050000000000001" customHeight="1">
      <c r="A2963" s="52" t="s">
        <v>421</v>
      </c>
      <c r="B2963" s="52" t="s">
        <v>174</v>
      </c>
      <c r="C2963" s="53">
        <v>2015</v>
      </c>
      <c r="D2963" s="52" t="s">
        <v>119</v>
      </c>
      <c r="E2963" s="54">
        <v>2</v>
      </c>
      <c r="F2963" s="55">
        <v>49527.845000000001</v>
      </c>
      <c r="G2963" s="55">
        <v>30385.94</v>
      </c>
    </row>
    <row r="2964" spans="1:7" ht="10.050000000000001" customHeight="1">
      <c r="A2964" s="52" t="s">
        <v>421</v>
      </c>
      <c r="B2964" s="52" t="s">
        <v>174</v>
      </c>
      <c r="C2964" s="53">
        <v>2015</v>
      </c>
      <c r="D2964" s="52" t="s">
        <v>119</v>
      </c>
      <c r="E2964" s="54">
        <v>3</v>
      </c>
      <c r="F2964" s="55">
        <v>55440.137000000002</v>
      </c>
      <c r="G2964" s="55">
        <v>24370.152999999998</v>
      </c>
    </row>
    <row r="2965" spans="1:7" ht="10.050000000000001" customHeight="1">
      <c r="A2965" s="52" t="s">
        <v>421</v>
      </c>
      <c r="B2965" s="52" t="s">
        <v>174</v>
      </c>
      <c r="C2965" s="53">
        <v>2015</v>
      </c>
      <c r="D2965" s="52" t="s">
        <v>119</v>
      </c>
      <c r="E2965" s="54">
        <v>4</v>
      </c>
      <c r="F2965" s="55">
        <v>53796.58</v>
      </c>
      <c r="G2965" s="55">
        <v>22251.937999999998</v>
      </c>
    </row>
    <row r="2966" spans="1:7" ht="10.050000000000001" customHeight="1">
      <c r="A2966" s="52" t="s">
        <v>421</v>
      </c>
      <c r="B2966" s="52" t="s">
        <v>174</v>
      </c>
      <c r="C2966" s="53">
        <v>2015</v>
      </c>
      <c r="D2966" s="52" t="s">
        <v>119</v>
      </c>
      <c r="E2966" s="54">
        <v>5</v>
      </c>
      <c r="F2966" s="55">
        <v>48681.966</v>
      </c>
      <c r="G2966" s="55">
        <v>18762.227999999999</v>
      </c>
    </row>
    <row r="2967" spans="1:7" ht="10.050000000000001" customHeight="1">
      <c r="A2967" s="52" t="s">
        <v>421</v>
      </c>
      <c r="B2967" s="52" t="s">
        <v>174</v>
      </c>
      <c r="C2967" s="53">
        <v>2015</v>
      </c>
      <c r="D2967" s="52" t="s">
        <v>119</v>
      </c>
      <c r="E2967" s="54">
        <v>6</v>
      </c>
      <c r="F2967" s="55">
        <v>52975.02</v>
      </c>
      <c r="G2967" s="55">
        <v>17870.911</v>
      </c>
    </row>
    <row r="2968" spans="1:7" ht="10.050000000000001" customHeight="1">
      <c r="A2968" s="52" t="s">
        <v>421</v>
      </c>
      <c r="B2968" s="52" t="s">
        <v>174</v>
      </c>
      <c r="C2968" s="53">
        <v>2015</v>
      </c>
      <c r="D2968" s="52" t="s">
        <v>120</v>
      </c>
      <c r="E2968" s="54">
        <v>7</v>
      </c>
      <c r="F2968" s="55">
        <v>53503.874000000003</v>
      </c>
      <c r="G2968" s="55">
        <v>36628.555</v>
      </c>
    </row>
    <row r="2969" spans="1:7" ht="10.050000000000001" customHeight="1">
      <c r="A2969" s="52" t="s">
        <v>421</v>
      </c>
      <c r="B2969" s="52" t="s">
        <v>174</v>
      </c>
      <c r="C2969" s="53">
        <v>2015</v>
      </c>
      <c r="D2969" s="52" t="s">
        <v>120</v>
      </c>
      <c r="E2969" s="54">
        <v>8</v>
      </c>
      <c r="F2969" s="55">
        <v>58785.415999999997</v>
      </c>
      <c r="G2969" s="55">
        <v>50472.79</v>
      </c>
    </row>
    <row r="2970" spans="1:7" ht="10.050000000000001" customHeight="1">
      <c r="A2970" s="52" t="s">
        <v>421</v>
      </c>
      <c r="B2970" s="52" t="s">
        <v>174</v>
      </c>
      <c r="C2970" s="53">
        <v>2015</v>
      </c>
      <c r="D2970" s="52" t="s">
        <v>120</v>
      </c>
      <c r="E2970" s="54">
        <v>9</v>
      </c>
      <c r="F2970" s="55">
        <v>61750.707999999999</v>
      </c>
      <c r="G2970" s="55">
        <v>45357.283000000003</v>
      </c>
    </row>
    <row r="2971" spans="1:7" ht="10.050000000000001" customHeight="1">
      <c r="A2971" s="52" t="s">
        <v>421</v>
      </c>
      <c r="B2971" s="52" t="s">
        <v>174</v>
      </c>
      <c r="C2971" s="53">
        <v>2015</v>
      </c>
      <c r="D2971" s="52" t="s">
        <v>120</v>
      </c>
      <c r="E2971" s="54">
        <v>10</v>
      </c>
      <c r="F2971" s="55">
        <v>64168.394999999997</v>
      </c>
      <c r="G2971" s="55">
        <v>40921.83</v>
      </c>
    </row>
    <row r="2972" spans="1:7" ht="10.050000000000001" customHeight="1">
      <c r="A2972" s="52" t="s">
        <v>421</v>
      </c>
      <c r="B2972" s="52" t="s">
        <v>174</v>
      </c>
      <c r="C2972" s="53">
        <v>2015</v>
      </c>
      <c r="D2972" s="52" t="s">
        <v>120</v>
      </c>
      <c r="E2972" s="54">
        <v>11</v>
      </c>
      <c r="F2972" s="55">
        <v>55218.48</v>
      </c>
      <c r="G2972" s="55">
        <v>38385.550000000003</v>
      </c>
    </row>
    <row r="2973" spans="1:7" ht="10.050000000000001" customHeight="1">
      <c r="A2973" s="52" t="s">
        <v>421</v>
      </c>
      <c r="B2973" s="52" t="s">
        <v>174</v>
      </c>
      <c r="C2973" s="53">
        <v>2015</v>
      </c>
      <c r="D2973" s="52" t="s">
        <v>120</v>
      </c>
      <c r="E2973" s="54">
        <v>12</v>
      </c>
      <c r="F2973" s="55">
        <v>58643.305999999997</v>
      </c>
      <c r="G2973" s="55">
        <v>33524.642999999996</v>
      </c>
    </row>
    <row r="2974" spans="1:7" ht="10.050000000000001" customHeight="1">
      <c r="A2974" s="52" t="s">
        <v>421</v>
      </c>
      <c r="B2974" s="52" t="s">
        <v>174</v>
      </c>
      <c r="C2974" s="53">
        <v>2016</v>
      </c>
      <c r="D2974" s="52" t="s">
        <v>120</v>
      </c>
      <c r="E2974" s="54">
        <v>1</v>
      </c>
      <c r="F2974" s="55">
        <v>49703.027000000002</v>
      </c>
      <c r="G2974" s="55">
        <v>28166.842000000001</v>
      </c>
    </row>
    <row r="2975" spans="1:7" ht="10.050000000000001" customHeight="1">
      <c r="A2975" s="52" t="s">
        <v>421</v>
      </c>
      <c r="B2975" s="52" t="s">
        <v>174</v>
      </c>
      <c r="C2975" s="53">
        <v>2016</v>
      </c>
      <c r="D2975" s="52" t="s">
        <v>120</v>
      </c>
      <c r="E2975" s="54">
        <v>2</v>
      </c>
      <c r="F2975" s="55">
        <v>44302.718000000001</v>
      </c>
      <c r="G2975" s="55">
        <v>25191.023000000001</v>
      </c>
    </row>
    <row r="2976" spans="1:7" ht="10.050000000000001" customHeight="1">
      <c r="A2976" s="52" t="s">
        <v>421</v>
      </c>
      <c r="B2976" s="52" t="s">
        <v>174</v>
      </c>
      <c r="C2976" s="53">
        <v>2016</v>
      </c>
      <c r="D2976" s="52" t="s">
        <v>120</v>
      </c>
      <c r="E2976" s="54">
        <v>3</v>
      </c>
      <c r="F2976" s="55">
        <v>43891.402000000002</v>
      </c>
      <c r="G2976" s="55">
        <v>21903.573</v>
      </c>
    </row>
    <row r="2977" spans="1:7" ht="10.050000000000001" customHeight="1">
      <c r="A2977" s="52" t="s">
        <v>421</v>
      </c>
      <c r="B2977" s="52" t="s">
        <v>174</v>
      </c>
      <c r="C2977" s="53">
        <v>2016</v>
      </c>
      <c r="D2977" s="52" t="s">
        <v>120</v>
      </c>
      <c r="E2977" s="54">
        <v>4</v>
      </c>
      <c r="F2977" s="55">
        <v>34836.639000000003</v>
      </c>
      <c r="G2977" s="55">
        <v>19255.364000000001</v>
      </c>
    </row>
    <row r="2978" spans="1:7" ht="10.050000000000001" customHeight="1">
      <c r="A2978" s="52" t="s">
        <v>421</v>
      </c>
      <c r="B2978" s="52" t="s">
        <v>174</v>
      </c>
      <c r="C2978" s="53">
        <v>2016</v>
      </c>
      <c r="D2978" s="52" t="s">
        <v>120</v>
      </c>
      <c r="E2978" s="54">
        <v>5</v>
      </c>
      <c r="F2978" s="55">
        <v>33664.159</v>
      </c>
      <c r="G2978" s="55">
        <v>18715.496999999999</v>
      </c>
    </row>
    <row r="2979" spans="1:7" ht="10.050000000000001" customHeight="1">
      <c r="A2979" s="52" t="s">
        <v>421</v>
      </c>
      <c r="B2979" s="52" t="s">
        <v>174</v>
      </c>
      <c r="C2979" s="53">
        <v>2016</v>
      </c>
      <c r="D2979" s="52" t="s">
        <v>120</v>
      </c>
      <c r="E2979" s="54">
        <v>6</v>
      </c>
      <c r="F2979" s="55">
        <v>32687.519</v>
      </c>
      <c r="G2979" s="55">
        <v>17540.998</v>
      </c>
    </row>
    <row r="2980" spans="1:7" ht="10.050000000000001" customHeight="1">
      <c r="A2980" s="52" t="s">
        <v>421</v>
      </c>
      <c r="B2980" s="52" t="s">
        <v>174</v>
      </c>
      <c r="C2980" s="53">
        <v>2016</v>
      </c>
      <c r="D2980" s="52" t="s">
        <v>121</v>
      </c>
      <c r="E2980" s="54">
        <v>7</v>
      </c>
      <c r="F2980" s="55">
        <v>30874.797999999999</v>
      </c>
      <c r="G2980" s="55">
        <v>17492.666000000001</v>
      </c>
    </row>
    <row r="2981" spans="1:7" ht="10.050000000000001" customHeight="1">
      <c r="A2981" s="52" t="s">
        <v>421</v>
      </c>
      <c r="B2981" s="52" t="s">
        <v>174</v>
      </c>
      <c r="C2981" s="53">
        <v>2016</v>
      </c>
      <c r="D2981" s="52" t="s">
        <v>121</v>
      </c>
      <c r="E2981" s="54">
        <v>8</v>
      </c>
      <c r="F2981" s="55">
        <v>43371.533000000003</v>
      </c>
      <c r="G2981" s="55">
        <v>41999.326000000001</v>
      </c>
    </row>
    <row r="2982" spans="1:7" ht="10.050000000000001" customHeight="1">
      <c r="A2982" s="52" t="s">
        <v>421</v>
      </c>
      <c r="B2982" s="52" t="s">
        <v>174</v>
      </c>
      <c r="C2982" s="53">
        <v>2016</v>
      </c>
      <c r="D2982" s="52" t="s">
        <v>121</v>
      </c>
      <c r="E2982" s="54">
        <v>9</v>
      </c>
      <c r="F2982" s="55">
        <v>44089.463000000003</v>
      </c>
      <c r="G2982" s="55">
        <v>39241.699000000001</v>
      </c>
    </row>
    <row r="2983" spans="1:7" ht="10.050000000000001" customHeight="1">
      <c r="A2983" s="52" t="s">
        <v>421</v>
      </c>
      <c r="B2983" s="52" t="s">
        <v>174</v>
      </c>
      <c r="C2983" s="53">
        <v>2016</v>
      </c>
      <c r="D2983" s="52" t="s">
        <v>121</v>
      </c>
      <c r="E2983" s="54">
        <v>10</v>
      </c>
      <c r="F2983" s="55">
        <v>39516.580999999998</v>
      </c>
      <c r="G2983" s="55">
        <v>32458.692999999999</v>
      </c>
    </row>
    <row r="2984" spans="1:7" ht="10.050000000000001" customHeight="1">
      <c r="A2984" s="52" t="s">
        <v>421</v>
      </c>
      <c r="B2984" s="52" t="s">
        <v>174</v>
      </c>
      <c r="C2984" s="53">
        <v>2016</v>
      </c>
      <c r="D2984" s="52" t="s">
        <v>121</v>
      </c>
      <c r="E2984" s="54">
        <v>11</v>
      </c>
      <c r="F2984" s="55">
        <v>35949.767</v>
      </c>
      <c r="G2984" s="55">
        <v>28218.571</v>
      </c>
    </row>
    <row r="2985" spans="1:7" ht="10.050000000000001" customHeight="1">
      <c r="A2985" s="52" t="s">
        <v>421</v>
      </c>
      <c r="B2985" s="52" t="s">
        <v>174</v>
      </c>
      <c r="C2985" s="53">
        <v>2016</v>
      </c>
      <c r="D2985" s="52" t="s">
        <v>121</v>
      </c>
      <c r="E2985" s="54">
        <v>12</v>
      </c>
      <c r="F2985" s="55">
        <v>33621.692000000003</v>
      </c>
      <c r="G2985" s="55">
        <v>23805.794999999998</v>
      </c>
    </row>
    <row r="2986" spans="1:7" ht="10.050000000000001" customHeight="1">
      <c r="A2986" s="52" t="s">
        <v>421</v>
      </c>
      <c r="B2986" s="52" t="s">
        <v>174</v>
      </c>
      <c r="C2986" s="53">
        <v>2017</v>
      </c>
      <c r="D2986" s="52" t="s">
        <v>121</v>
      </c>
      <c r="E2986" s="54">
        <v>1</v>
      </c>
      <c r="F2986" s="55">
        <v>30370.069</v>
      </c>
      <c r="G2986" s="55">
        <v>24745.983</v>
      </c>
    </row>
    <row r="2987" spans="1:7" ht="10.050000000000001" customHeight="1">
      <c r="A2987" s="52" t="s">
        <v>421</v>
      </c>
      <c r="B2987" s="52" t="s">
        <v>174</v>
      </c>
      <c r="C2987" s="53">
        <v>2017</v>
      </c>
      <c r="D2987" s="52" t="s">
        <v>121</v>
      </c>
      <c r="E2987" s="54">
        <v>2</v>
      </c>
      <c r="F2987" s="55">
        <v>25197.274000000001</v>
      </c>
      <c r="G2987" s="55">
        <v>21429.646000000001</v>
      </c>
    </row>
    <row r="2988" spans="1:7" ht="10.050000000000001" customHeight="1">
      <c r="A2988" s="52" t="s">
        <v>421</v>
      </c>
      <c r="B2988" s="52" t="s">
        <v>174</v>
      </c>
      <c r="C2988" s="53">
        <v>2017</v>
      </c>
      <c r="D2988" s="52" t="s">
        <v>121</v>
      </c>
      <c r="E2988" s="54">
        <v>3</v>
      </c>
      <c r="F2988" s="55">
        <v>26409.892</v>
      </c>
      <c r="G2988" s="55">
        <v>18985.330999999998</v>
      </c>
    </row>
    <row r="2989" spans="1:7" ht="10.050000000000001" customHeight="1">
      <c r="A2989" s="52" t="s">
        <v>421</v>
      </c>
      <c r="B2989" s="52" t="s">
        <v>174</v>
      </c>
      <c r="C2989" s="53">
        <v>2017</v>
      </c>
      <c r="D2989" s="52" t="s">
        <v>121</v>
      </c>
      <c r="E2989" s="54">
        <v>4</v>
      </c>
      <c r="F2989" s="55">
        <v>22347.895</v>
      </c>
      <c r="G2989" s="55">
        <v>15523.572</v>
      </c>
    </row>
    <row r="2990" spans="1:7" ht="10.050000000000001" customHeight="1">
      <c r="A2990" s="52" t="s">
        <v>421</v>
      </c>
      <c r="B2990" s="52" t="s">
        <v>174</v>
      </c>
      <c r="C2990" s="53">
        <v>2017</v>
      </c>
      <c r="D2990" s="52" t="s">
        <v>121</v>
      </c>
      <c r="E2990" s="54">
        <v>5</v>
      </c>
      <c r="F2990" s="55">
        <v>20724.694</v>
      </c>
      <c r="G2990" s="55">
        <v>13054.424999999999</v>
      </c>
    </row>
    <row r="2991" spans="1:7" ht="10.050000000000001" customHeight="1">
      <c r="A2991" s="52" t="s">
        <v>421</v>
      </c>
      <c r="B2991" s="52" t="s">
        <v>174</v>
      </c>
      <c r="C2991" s="53">
        <v>2017</v>
      </c>
      <c r="D2991" s="52" t="s">
        <v>121</v>
      </c>
      <c r="E2991" s="54">
        <v>6</v>
      </c>
      <c r="F2991" s="55">
        <v>18772.195</v>
      </c>
      <c r="G2991" s="55">
        <v>12488.401</v>
      </c>
    </row>
    <row r="2992" spans="1:7" ht="10.050000000000001" customHeight="1">
      <c r="A2992" s="52" t="s">
        <v>421</v>
      </c>
      <c r="B2992" s="52" t="s">
        <v>174</v>
      </c>
      <c r="C2992" s="53">
        <v>2017</v>
      </c>
      <c r="D2992" s="52" t="s">
        <v>122</v>
      </c>
      <c r="E2992" s="54">
        <v>7</v>
      </c>
      <c r="F2992" s="55">
        <v>22161.495999999999</v>
      </c>
      <c r="G2992" s="55">
        <v>25658.562999999998</v>
      </c>
    </row>
    <row r="2993" spans="1:7" ht="10.050000000000001" customHeight="1">
      <c r="A2993" s="52" t="s">
        <v>421</v>
      </c>
      <c r="B2993" s="52" t="s">
        <v>174</v>
      </c>
      <c r="C2993" s="53">
        <v>2017</v>
      </c>
      <c r="D2993" s="52" t="s">
        <v>122</v>
      </c>
      <c r="E2993" s="54">
        <v>8</v>
      </c>
      <c r="F2993" s="55">
        <v>42556.964</v>
      </c>
      <c r="G2993" s="55">
        <v>50158.902999999998</v>
      </c>
    </row>
    <row r="2994" spans="1:7" ht="10.050000000000001" customHeight="1">
      <c r="A2994" s="52" t="s">
        <v>421</v>
      </c>
      <c r="B2994" s="52" t="s">
        <v>174</v>
      </c>
      <c r="C2994" s="53">
        <v>2017</v>
      </c>
      <c r="D2994" s="52" t="s">
        <v>122</v>
      </c>
      <c r="E2994" s="54">
        <v>9</v>
      </c>
      <c r="F2994" s="55">
        <v>49995.688999999998</v>
      </c>
      <c r="G2994" s="55">
        <v>44778.184999999998</v>
      </c>
    </row>
    <row r="2995" spans="1:7" ht="10.050000000000001" customHeight="1">
      <c r="A2995" s="52" t="s">
        <v>421</v>
      </c>
      <c r="B2995" s="52" t="s">
        <v>174</v>
      </c>
      <c r="C2995" s="53">
        <v>2017</v>
      </c>
      <c r="D2995" s="52" t="s">
        <v>122</v>
      </c>
      <c r="E2995" s="54">
        <v>10</v>
      </c>
      <c r="F2995" s="55">
        <v>52238.909</v>
      </c>
      <c r="G2995" s="55">
        <v>39954.536</v>
      </c>
    </row>
    <row r="2996" spans="1:7" ht="10.050000000000001" customHeight="1">
      <c r="A2996" s="52" t="s">
        <v>421</v>
      </c>
      <c r="B2996" s="52" t="s">
        <v>174</v>
      </c>
      <c r="C2996" s="53">
        <v>2017</v>
      </c>
      <c r="D2996" s="52" t="s">
        <v>122</v>
      </c>
      <c r="E2996" s="54">
        <v>11</v>
      </c>
      <c r="F2996" s="55">
        <v>47895.811000000002</v>
      </c>
      <c r="G2996" s="55">
        <v>31815.623</v>
      </c>
    </row>
    <row r="2997" spans="1:7" ht="10.050000000000001" customHeight="1">
      <c r="A2997" s="52" t="s">
        <v>421</v>
      </c>
      <c r="B2997" s="52" t="s">
        <v>174</v>
      </c>
      <c r="C2997" s="53">
        <v>2017</v>
      </c>
      <c r="D2997" s="52" t="s">
        <v>122</v>
      </c>
      <c r="E2997" s="54">
        <v>12</v>
      </c>
      <c r="F2997" s="55">
        <v>41163.281999999999</v>
      </c>
      <c r="G2997" s="55">
        <v>26256.125</v>
      </c>
    </row>
    <row r="2998" spans="1:7" ht="10.050000000000001" customHeight="1">
      <c r="A2998" s="52" t="s">
        <v>421</v>
      </c>
      <c r="B2998" s="52" t="s">
        <v>174</v>
      </c>
      <c r="C2998" s="53">
        <v>2018</v>
      </c>
      <c r="D2998" s="52" t="s">
        <v>122</v>
      </c>
      <c r="E2998" s="54">
        <v>1</v>
      </c>
      <c r="F2998" s="55">
        <v>39348.034</v>
      </c>
      <c r="G2998" s="55">
        <v>23319.846000000001</v>
      </c>
    </row>
    <row r="2999" spans="1:7" ht="10.050000000000001" customHeight="1">
      <c r="A2999" s="52" t="s">
        <v>421</v>
      </c>
      <c r="B2999" s="52" t="s">
        <v>174</v>
      </c>
      <c r="C2999" s="53">
        <v>2018</v>
      </c>
      <c r="D2999" s="52" t="s">
        <v>122</v>
      </c>
      <c r="E2999" s="54">
        <v>2</v>
      </c>
      <c r="F2999" s="55">
        <v>32408.566999999999</v>
      </c>
      <c r="G2999" s="55">
        <v>21533.653999999999</v>
      </c>
    </row>
    <row r="3000" spans="1:7" ht="10.050000000000001" customHeight="1">
      <c r="A3000" s="52" t="s">
        <v>421</v>
      </c>
      <c r="B3000" s="52" t="s">
        <v>174</v>
      </c>
      <c r="C3000" s="53">
        <v>2018</v>
      </c>
      <c r="D3000" s="52" t="s">
        <v>122</v>
      </c>
      <c r="E3000" s="54">
        <v>3</v>
      </c>
      <c r="F3000" s="55">
        <v>35427.362999999998</v>
      </c>
      <c r="G3000" s="55">
        <v>18542.243999999999</v>
      </c>
    </row>
    <row r="3001" spans="1:7" ht="10.050000000000001" customHeight="1">
      <c r="A3001" s="52" t="s">
        <v>421</v>
      </c>
      <c r="B3001" s="52" t="s">
        <v>174</v>
      </c>
      <c r="C3001" s="53">
        <v>2018</v>
      </c>
      <c r="D3001" s="52" t="s">
        <v>122</v>
      </c>
      <c r="E3001" s="54">
        <v>4</v>
      </c>
      <c r="F3001" s="55">
        <v>28547.763999999999</v>
      </c>
      <c r="G3001" s="55">
        <v>16386.202000000001</v>
      </c>
    </row>
    <row r="3002" spans="1:7" ht="10.050000000000001" customHeight="1">
      <c r="A3002" s="52" t="s">
        <v>421</v>
      </c>
      <c r="B3002" s="52" t="s">
        <v>174</v>
      </c>
      <c r="C3002" s="53">
        <v>2018</v>
      </c>
      <c r="D3002" s="52" t="s">
        <v>122</v>
      </c>
      <c r="E3002" s="54">
        <v>5</v>
      </c>
      <c r="F3002" s="55">
        <v>27397.272000000001</v>
      </c>
      <c r="G3002" s="55">
        <v>14507.494000000001</v>
      </c>
    </row>
    <row r="3003" spans="1:7" ht="10.050000000000001" customHeight="1">
      <c r="A3003" s="52" t="s">
        <v>421</v>
      </c>
      <c r="B3003" s="52" t="s">
        <v>174</v>
      </c>
      <c r="C3003" s="53">
        <v>2018</v>
      </c>
      <c r="D3003" s="52" t="s">
        <v>122</v>
      </c>
      <c r="E3003" s="54">
        <v>6</v>
      </c>
      <c r="F3003" s="55">
        <v>25445.323</v>
      </c>
      <c r="G3003" s="55">
        <v>13180.343999999999</v>
      </c>
    </row>
    <row r="3004" spans="1:7" ht="10.050000000000001" customHeight="1">
      <c r="A3004" s="52" t="s">
        <v>421</v>
      </c>
      <c r="B3004" s="52" t="s">
        <v>174</v>
      </c>
      <c r="C3004" s="53">
        <v>2018</v>
      </c>
      <c r="D3004" s="52" t="s">
        <v>123</v>
      </c>
      <c r="E3004" s="54">
        <v>7</v>
      </c>
      <c r="F3004" s="55">
        <v>25921.623</v>
      </c>
      <c r="G3004" s="55">
        <v>30205.319</v>
      </c>
    </row>
    <row r="3005" spans="1:7" ht="10.050000000000001" customHeight="1">
      <c r="A3005" s="52" t="s">
        <v>421</v>
      </c>
      <c r="B3005" s="52" t="s">
        <v>174</v>
      </c>
      <c r="C3005" s="53">
        <v>2018</v>
      </c>
      <c r="D3005" s="52" t="s">
        <v>123</v>
      </c>
      <c r="E3005" s="54">
        <v>8</v>
      </c>
      <c r="F3005" s="55">
        <v>38540.748</v>
      </c>
      <c r="G3005" s="55">
        <v>36100.898000000001</v>
      </c>
    </row>
    <row r="3006" spans="1:7" ht="10.050000000000001" customHeight="1">
      <c r="A3006" s="52" t="s">
        <v>421</v>
      </c>
      <c r="B3006" s="52" t="s">
        <v>174</v>
      </c>
      <c r="C3006" s="53">
        <v>2018</v>
      </c>
      <c r="D3006" s="52" t="s">
        <v>123</v>
      </c>
      <c r="E3006" s="54">
        <v>9</v>
      </c>
      <c r="F3006" s="55">
        <v>35913.976000000002</v>
      </c>
      <c r="G3006" s="55">
        <v>32724.919000000002</v>
      </c>
    </row>
    <row r="3007" spans="1:7" ht="10.050000000000001" customHeight="1">
      <c r="A3007" s="52" t="s">
        <v>421</v>
      </c>
      <c r="B3007" s="52" t="s">
        <v>174</v>
      </c>
      <c r="C3007" s="53">
        <v>2018</v>
      </c>
      <c r="D3007" s="52" t="s">
        <v>123</v>
      </c>
      <c r="E3007" s="54">
        <v>10</v>
      </c>
      <c r="F3007" s="55">
        <v>36182.711000000003</v>
      </c>
      <c r="G3007" s="55">
        <v>26846.243999999999</v>
      </c>
    </row>
    <row r="3008" spans="1:7" ht="10.050000000000001" customHeight="1">
      <c r="A3008" s="52" t="s">
        <v>421</v>
      </c>
      <c r="B3008" s="52" t="s">
        <v>174</v>
      </c>
      <c r="C3008" s="53">
        <v>2018</v>
      </c>
      <c r="D3008" s="52" t="s">
        <v>123</v>
      </c>
      <c r="E3008" s="54">
        <v>11</v>
      </c>
      <c r="F3008" s="55">
        <v>29970.954000000002</v>
      </c>
      <c r="G3008" s="55">
        <v>24776.701000000001</v>
      </c>
    </row>
    <row r="3009" spans="1:7" ht="10.050000000000001" customHeight="1">
      <c r="A3009" s="52" t="s">
        <v>421</v>
      </c>
      <c r="B3009" s="52" t="s">
        <v>174</v>
      </c>
      <c r="C3009" s="53">
        <v>2018</v>
      </c>
      <c r="D3009" s="52" t="s">
        <v>123</v>
      </c>
      <c r="E3009" s="54">
        <v>12</v>
      </c>
      <c r="F3009" s="55">
        <v>29090.777999999998</v>
      </c>
      <c r="G3009" s="55">
        <v>25792.27</v>
      </c>
    </row>
    <row r="3010" spans="1:7" ht="10.050000000000001" customHeight="1">
      <c r="A3010" s="52" t="s">
        <v>421</v>
      </c>
      <c r="B3010" s="52" t="s">
        <v>174</v>
      </c>
      <c r="C3010" s="53">
        <v>2019</v>
      </c>
      <c r="D3010" s="52" t="s">
        <v>123</v>
      </c>
      <c r="E3010" s="54">
        <v>1</v>
      </c>
      <c r="F3010" s="55">
        <v>29559.035</v>
      </c>
      <c r="G3010" s="55">
        <v>20890.292000000001</v>
      </c>
    </row>
    <row r="3011" spans="1:7" ht="10.050000000000001" customHeight="1">
      <c r="A3011" s="52" t="s">
        <v>421</v>
      </c>
      <c r="B3011" s="52" t="s">
        <v>174</v>
      </c>
      <c r="C3011" s="53">
        <v>2019</v>
      </c>
      <c r="D3011" s="52" t="s">
        <v>123</v>
      </c>
      <c r="E3011" s="54">
        <v>2</v>
      </c>
      <c r="F3011" s="55">
        <v>26034.267</v>
      </c>
      <c r="G3011" s="55">
        <v>19605.276000000002</v>
      </c>
    </row>
    <row r="3012" spans="1:7" ht="10.050000000000001" customHeight="1">
      <c r="A3012" s="52" t="s">
        <v>421</v>
      </c>
      <c r="B3012" s="52" t="s">
        <v>174</v>
      </c>
      <c r="C3012" s="53">
        <v>2019</v>
      </c>
      <c r="D3012" s="52" t="s">
        <v>123</v>
      </c>
      <c r="E3012" s="54">
        <v>3</v>
      </c>
      <c r="F3012" s="55">
        <v>26747.29</v>
      </c>
      <c r="G3012" s="55">
        <v>15737.866</v>
      </c>
    </row>
    <row r="3013" spans="1:7" ht="10.050000000000001" customHeight="1">
      <c r="A3013" s="52" t="s">
        <v>421</v>
      </c>
      <c r="B3013" s="52" t="s">
        <v>174</v>
      </c>
      <c r="C3013" s="53">
        <v>2019</v>
      </c>
      <c r="D3013" s="52" t="s">
        <v>123</v>
      </c>
      <c r="E3013" s="54">
        <v>4</v>
      </c>
      <c r="F3013" s="55">
        <v>29146.092000000001</v>
      </c>
      <c r="G3013" s="55">
        <v>13875.904</v>
      </c>
    </row>
    <row r="3014" spans="1:7" ht="10.050000000000001" customHeight="1">
      <c r="A3014" s="52" t="s">
        <v>421</v>
      </c>
      <c r="B3014" s="52" t="s">
        <v>174</v>
      </c>
      <c r="C3014" s="53">
        <v>2019</v>
      </c>
      <c r="D3014" s="52" t="s">
        <v>123</v>
      </c>
      <c r="E3014" s="54">
        <v>5</v>
      </c>
      <c r="F3014" s="55">
        <v>27872.66</v>
      </c>
      <c r="G3014" s="55">
        <v>12467.481</v>
      </c>
    </row>
    <row r="3015" spans="1:7" ht="10.050000000000001" customHeight="1">
      <c r="A3015" s="52" t="s">
        <v>421</v>
      </c>
      <c r="B3015" s="52" t="s">
        <v>174</v>
      </c>
      <c r="C3015" s="53">
        <v>2019</v>
      </c>
      <c r="D3015" s="52" t="s">
        <v>123</v>
      </c>
      <c r="E3015" s="54">
        <v>6</v>
      </c>
      <c r="F3015" s="55">
        <v>24070.11</v>
      </c>
      <c r="G3015" s="55">
        <v>11870.395</v>
      </c>
    </row>
    <row r="3016" spans="1:7" ht="10.050000000000001" customHeight="1">
      <c r="A3016" s="52" t="s">
        <v>421</v>
      </c>
      <c r="B3016" s="52" t="s">
        <v>174</v>
      </c>
      <c r="C3016" s="53">
        <v>2019</v>
      </c>
      <c r="D3016" s="52" t="s">
        <v>124</v>
      </c>
      <c r="E3016" s="54">
        <v>7</v>
      </c>
      <c r="F3016" s="55">
        <v>27402.671999999999</v>
      </c>
      <c r="G3016" s="55">
        <v>29256.794999999998</v>
      </c>
    </row>
    <row r="3017" spans="1:7" ht="10.050000000000001" customHeight="1">
      <c r="A3017" s="52" t="s">
        <v>421</v>
      </c>
      <c r="B3017" s="52" t="s">
        <v>174</v>
      </c>
      <c r="C3017" s="53">
        <v>2019</v>
      </c>
      <c r="D3017" s="52" t="s">
        <v>124</v>
      </c>
      <c r="E3017" s="54">
        <v>8</v>
      </c>
      <c r="F3017" s="55">
        <v>42836.222999999998</v>
      </c>
      <c r="G3017" s="55">
        <v>44161.712</v>
      </c>
    </row>
    <row r="3018" spans="1:7" ht="10.050000000000001" customHeight="1">
      <c r="A3018" s="52" t="s">
        <v>421</v>
      </c>
      <c r="B3018" s="52" t="s">
        <v>174</v>
      </c>
      <c r="C3018" s="53">
        <v>2019</v>
      </c>
      <c r="D3018" s="52" t="s">
        <v>124</v>
      </c>
      <c r="E3018" s="54">
        <v>9</v>
      </c>
      <c r="F3018" s="55">
        <v>44011.097000000002</v>
      </c>
      <c r="G3018" s="55">
        <v>42756.86</v>
      </c>
    </row>
    <row r="3019" spans="1:7" ht="10.050000000000001" customHeight="1">
      <c r="A3019" s="52" t="s">
        <v>421</v>
      </c>
      <c r="B3019" s="52" t="s">
        <v>174</v>
      </c>
      <c r="C3019" s="53">
        <v>2019</v>
      </c>
      <c r="D3019" s="52" t="s">
        <v>124</v>
      </c>
      <c r="E3019" s="54">
        <v>10</v>
      </c>
      <c r="F3019" s="55">
        <v>51482.92</v>
      </c>
      <c r="G3019" s="55">
        <v>38002.417999999998</v>
      </c>
    </row>
    <row r="3020" spans="1:7" ht="10.050000000000001" customHeight="1">
      <c r="A3020" s="52" t="s">
        <v>421</v>
      </c>
      <c r="B3020" s="52" t="s">
        <v>174</v>
      </c>
      <c r="C3020" s="53">
        <v>2019</v>
      </c>
      <c r="D3020" s="52" t="s">
        <v>124</v>
      </c>
      <c r="E3020" s="54">
        <v>11</v>
      </c>
      <c r="F3020" s="55">
        <v>41170.853000000003</v>
      </c>
      <c r="G3020" s="55">
        <v>34568.353000000003</v>
      </c>
    </row>
    <row r="3021" spans="1:7" ht="10.050000000000001" customHeight="1">
      <c r="A3021" s="52" t="s">
        <v>421</v>
      </c>
      <c r="B3021" s="52" t="s">
        <v>174</v>
      </c>
      <c r="C3021" s="53">
        <v>2019</v>
      </c>
      <c r="D3021" s="52" t="s">
        <v>124</v>
      </c>
      <c r="E3021" s="54">
        <v>12</v>
      </c>
      <c r="F3021" s="55">
        <v>39662.220999999998</v>
      </c>
      <c r="G3021" s="55">
        <v>31340.489000000001</v>
      </c>
    </row>
    <row r="3022" spans="1:7" ht="10.050000000000001" customHeight="1">
      <c r="A3022" s="52" t="s">
        <v>421</v>
      </c>
      <c r="B3022" s="52" t="s">
        <v>174</v>
      </c>
      <c r="C3022" s="53">
        <v>2020</v>
      </c>
      <c r="D3022" s="52" t="s">
        <v>124</v>
      </c>
      <c r="E3022" s="54">
        <v>1</v>
      </c>
      <c r="F3022" s="55">
        <v>39335.667999999998</v>
      </c>
      <c r="G3022" s="55">
        <v>28276.558000000001</v>
      </c>
    </row>
    <row r="3023" spans="1:7" ht="10.050000000000001" customHeight="1">
      <c r="A3023" s="52" t="s">
        <v>421</v>
      </c>
      <c r="B3023" s="52" t="s">
        <v>174</v>
      </c>
      <c r="C3023" s="53">
        <v>2020</v>
      </c>
      <c r="D3023" s="52" t="s">
        <v>124</v>
      </c>
      <c r="E3023" s="54">
        <v>2</v>
      </c>
      <c r="F3023" s="55">
        <v>33272.616999999998</v>
      </c>
      <c r="G3023" s="55">
        <v>26582.627</v>
      </c>
    </row>
    <row r="3024" spans="1:7" ht="10.050000000000001" customHeight="1">
      <c r="A3024" s="52" t="s">
        <v>421</v>
      </c>
      <c r="B3024" s="52" t="s">
        <v>174</v>
      </c>
      <c r="C3024" s="53">
        <v>2020</v>
      </c>
      <c r="D3024" s="52" t="s">
        <v>124</v>
      </c>
      <c r="E3024" s="54">
        <v>3</v>
      </c>
      <c r="F3024" s="55">
        <v>36051.167999999998</v>
      </c>
      <c r="G3024" s="55">
        <v>23514.223999999998</v>
      </c>
    </row>
    <row r="3025" spans="1:7" ht="10.050000000000001" customHeight="1">
      <c r="A3025" s="52" t="s">
        <v>421</v>
      </c>
      <c r="B3025" s="52" t="s">
        <v>174</v>
      </c>
      <c r="C3025" s="53">
        <v>2020</v>
      </c>
      <c r="D3025" s="52" t="s">
        <v>124</v>
      </c>
      <c r="E3025" s="54">
        <v>4</v>
      </c>
      <c r="F3025" s="55">
        <v>38050.423999999999</v>
      </c>
      <c r="G3025" s="55">
        <v>21080.717000000001</v>
      </c>
    </row>
    <row r="3026" spans="1:7" ht="10.050000000000001" customHeight="1">
      <c r="A3026" s="52" t="s">
        <v>421</v>
      </c>
      <c r="B3026" s="52" t="s">
        <v>174</v>
      </c>
      <c r="C3026" s="53">
        <v>2020</v>
      </c>
      <c r="D3026" s="52" t="s">
        <v>124</v>
      </c>
      <c r="E3026" s="54">
        <v>5</v>
      </c>
      <c r="F3026" s="55">
        <v>34351.474999999999</v>
      </c>
      <c r="G3026" s="55">
        <v>19162.05</v>
      </c>
    </row>
    <row r="3027" spans="1:7" ht="10.050000000000001" customHeight="1">
      <c r="A3027" s="52" t="s">
        <v>421</v>
      </c>
      <c r="B3027" s="52" t="s">
        <v>174</v>
      </c>
      <c r="C3027" s="53">
        <v>2020</v>
      </c>
      <c r="D3027" s="52" t="s">
        <v>124</v>
      </c>
      <c r="E3027" s="54">
        <v>6</v>
      </c>
      <c r="F3027" s="55">
        <v>36827.726000000002</v>
      </c>
      <c r="G3027" s="55">
        <v>19037.12</v>
      </c>
    </row>
    <row r="3028" spans="1:7" ht="10.050000000000001" customHeight="1">
      <c r="A3028" s="52" t="s">
        <v>421</v>
      </c>
      <c r="B3028" s="52" t="s">
        <v>174</v>
      </c>
      <c r="C3028" s="53">
        <v>2020</v>
      </c>
      <c r="D3028" s="52" t="s">
        <v>125</v>
      </c>
      <c r="E3028" s="54">
        <v>7</v>
      </c>
      <c r="F3028" s="55">
        <v>37073.620999999999</v>
      </c>
      <c r="G3028" s="55">
        <v>33302.735999999997</v>
      </c>
    </row>
    <row r="3029" spans="1:7" ht="10.050000000000001" customHeight="1">
      <c r="A3029" s="52" t="s">
        <v>421</v>
      </c>
      <c r="B3029" s="52" t="s">
        <v>174</v>
      </c>
      <c r="C3029" s="53">
        <v>2020</v>
      </c>
      <c r="D3029" s="52" t="s">
        <v>125</v>
      </c>
      <c r="E3029" s="54">
        <v>8</v>
      </c>
      <c r="F3029" s="55">
        <v>40002.911999999997</v>
      </c>
      <c r="G3029" s="55">
        <v>41534.148000000001</v>
      </c>
    </row>
    <row r="3030" spans="1:7" ht="10.050000000000001" customHeight="1">
      <c r="A3030" s="52" t="s">
        <v>421</v>
      </c>
      <c r="B3030" s="52" t="s">
        <v>174</v>
      </c>
      <c r="C3030" s="53">
        <v>2020</v>
      </c>
      <c r="D3030" s="52" t="s">
        <v>125</v>
      </c>
      <c r="E3030" s="54">
        <v>9</v>
      </c>
      <c r="F3030" s="55">
        <v>37869.760999999999</v>
      </c>
      <c r="G3030" s="55">
        <v>39029.597000000002</v>
      </c>
    </row>
    <row r="3031" spans="1:7" ht="10.050000000000001" customHeight="1">
      <c r="A3031" s="52" t="s">
        <v>421</v>
      </c>
      <c r="B3031" s="52" t="s">
        <v>174</v>
      </c>
      <c r="C3031" s="53">
        <v>2020</v>
      </c>
      <c r="D3031" s="52" t="s">
        <v>125</v>
      </c>
      <c r="E3031" s="54">
        <v>10</v>
      </c>
      <c r="F3031" s="55">
        <v>36735.275999999998</v>
      </c>
      <c r="G3031" s="55">
        <v>31065.387999999999</v>
      </c>
    </row>
    <row r="3032" spans="1:7" ht="10.050000000000001" customHeight="1">
      <c r="A3032" s="52" t="s">
        <v>421</v>
      </c>
      <c r="B3032" s="52" t="s">
        <v>174</v>
      </c>
      <c r="C3032" s="53">
        <v>2020</v>
      </c>
      <c r="D3032" s="52" t="s">
        <v>125</v>
      </c>
      <c r="E3032" s="54">
        <v>11</v>
      </c>
      <c r="F3032" s="55">
        <v>29620.95</v>
      </c>
      <c r="G3032" s="55">
        <v>27610.564999999999</v>
      </c>
    </row>
    <row r="3033" spans="1:7" ht="10.050000000000001" customHeight="1">
      <c r="A3033" s="52" t="s">
        <v>421</v>
      </c>
      <c r="B3033" s="52" t="s">
        <v>174</v>
      </c>
      <c r="C3033" s="53">
        <v>2020</v>
      </c>
      <c r="D3033" s="52" t="s">
        <v>125</v>
      </c>
      <c r="E3033" s="54">
        <v>12</v>
      </c>
      <c r="F3033" s="55">
        <v>32884.366000000002</v>
      </c>
      <c r="G3033" s="55">
        <v>24506.046999999999</v>
      </c>
    </row>
    <row r="3034" spans="1:7" ht="10.050000000000001" customHeight="1">
      <c r="A3034" s="52" t="s">
        <v>421</v>
      </c>
      <c r="B3034" s="52" t="s">
        <v>174</v>
      </c>
      <c r="C3034" s="53">
        <v>2021</v>
      </c>
      <c r="D3034" s="52" t="s">
        <v>125</v>
      </c>
      <c r="E3034" s="54">
        <v>1</v>
      </c>
      <c r="F3034" s="55">
        <v>30078.449000000001</v>
      </c>
      <c r="G3034" s="55">
        <v>20019.793000000001</v>
      </c>
    </row>
    <row r="3035" spans="1:7" ht="10.050000000000001" customHeight="1">
      <c r="A3035" s="52" t="s">
        <v>421</v>
      </c>
      <c r="B3035" s="52" t="s">
        <v>174</v>
      </c>
      <c r="C3035" s="53">
        <v>2021</v>
      </c>
      <c r="D3035" s="52" t="s">
        <v>125</v>
      </c>
      <c r="E3035" s="54">
        <v>2</v>
      </c>
      <c r="F3035" s="55">
        <v>27465.052</v>
      </c>
      <c r="G3035" s="55">
        <v>17838.939999999999</v>
      </c>
    </row>
    <row r="3036" spans="1:7" ht="10.050000000000001" customHeight="1">
      <c r="A3036" s="52" t="s">
        <v>421</v>
      </c>
      <c r="B3036" s="52" t="s">
        <v>174</v>
      </c>
      <c r="C3036" s="53">
        <v>2021</v>
      </c>
      <c r="D3036" s="52" t="s">
        <v>125</v>
      </c>
      <c r="E3036" s="54">
        <v>3</v>
      </c>
      <c r="F3036" s="55">
        <v>29968.986000000001</v>
      </c>
      <c r="G3036" s="55">
        <v>17349.164000000001</v>
      </c>
    </row>
    <row r="3037" spans="1:7" ht="10.050000000000001" customHeight="1">
      <c r="A3037" s="52" t="s">
        <v>421</v>
      </c>
      <c r="B3037" s="52" t="s">
        <v>174</v>
      </c>
      <c r="C3037" s="53">
        <v>2021</v>
      </c>
      <c r="D3037" s="52" t="s">
        <v>125</v>
      </c>
      <c r="E3037" s="54">
        <v>4</v>
      </c>
      <c r="F3037" s="55">
        <v>26884.286</v>
      </c>
      <c r="G3037" s="55">
        <v>14445.998</v>
      </c>
    </row>
    <row r="3038" spans="1:7" ht="10.050000000000001" customHeight="1">
      <c r="A3038" s="52" t="s">
        <v>421</v>
      </c>
      <c r="B3038" s="52" t="s">
        <v>174</v>
      </c>
      <c r="C3038" s="53">
        <v>2021</v>
      </c>
      <c r="D3038" s="52" t="s">
        <v>125</v>
      </c>
      <c r="E3038" s="54">
        <v>5</v>
      </c>
      <c r="F3038" s="55">
        <v>22851.241999999998</v>
      </c>
      <c r="G3038" s="55">
        <v>11172.837</v>
      </c>
    </row>
    <row r="3039" spans="1:7" ht="10.050000000000001" customHeight="1">
      <c r="A3039" s="52" t="s">
        <v>421</v>
      </c>
      <c r="B3039" s="52" t="s">
        <v>174</v>
      </c>
      <c r="C3039" s="53">
        <v>2021</v>
      </c>
      <c r="D3039" s="52" t="s">
        <v>125</v>
      </c>
      <c r="E3039" s="54">
        <v>6</v>
      </c>
      <c r="F3039" s="55">
        <v>22312.884999999998</v>
      </c>
      <c r="G3039" s="55">
        <v>11771.56</v>
      </c>
    </row>
    <row r="3040" spans="1:7" ht="10.050000000000001" customHeight="1">
      <c r="A3040" s="52" t="s">
        <v>421</v>
      </c>
      <c r="B3040" s="52" t="s">
        <v>174</v>
      </c>
      <c r="C3040" s="53">
        <v>2021</v>
      </c>
      <c r="D3040" s="52" t="s">
        <v>126</v>
      </c>
      <c r="E3040" s="54">
        <v>7</v>
      </c>
      <c r="F3040" s="55">
        <v>20311.962</v>
      </c>
      <c r="G3040" s="55">
        <v>16862.14</v>
      </c>
    </row>
    <row r="3041" spans="1:7" ht="10.050000000000001" customHeight="1">
      <c r="A3041" s="52" t="s">
        <v>421</v>
      </c>
      <c r="B3041" s="52" t="s">
        <v>174</v>
      </c>
      <c r="C3041" s="53">
        <v>2021</v>
      </c>
      <c r="D3041" s="52" t="s">
        <v>126</v>
      </c>
      <c r="E3041" s="54">
        <v>8</v>
      </c>
      <c r="F3041" s="55">
        <v>32270.734</v>
      </c>
      <c r="G3041" s="55">
        <v>45740.160000000003</v>
      </c>
    </row>
    <row r="3042" spans="1:7" ht="10.050000000000001" customHeight="1">
      <c r="A3042" s="52" t="s">
        <v>421</v>
      </c>
      <c r="B3042" s="52" t="s">
        <v>174</v>
      </c>
      <c r="C3042" s="53">
        <v>2021</v>
      </c>
      <c r="D3042" s="52" t="s">
        <v>126</v>
      </c>
      <c r="E3042" s="54">
        <v>9</v>
      </c>
      <c r="F3042" s="55">
        <v>43799.55</v>
      </c>
      <c r="G3042" s="55">
        <v>47753.642999999996</v>
      </c>
    </row>
    <row r="3043" spans="1:7" ht="10.050000000000001" customHeight="1">
      <c r="A3043" s="52" t="s">
        <v>421</v>
      </c>
      <c r="B3043" s="52" t="s">
        <v>174</v>
      </c>
      <c r="C3043" s="53">
        <v>2021</v>
      </c>
      <c r="D3043" s="52" t="s">
        <v>126</v>
      </c>
      <c r="E3043" s="54">
        <v>10</v>
      </c>
      <c r="F3043" s="55">
        <v>44383.004000000001</v>
      </c>
      <c r="G3043" s="55">
        <v>42922.065999999999</v>
      </c>
    </row>
    <row r="3044" spans="1:7" ht="10.050000000000001" customHeight="1">
      <c r="A3044" s="52" t="s">
        <v>421</v>
      </c>
      <c r="B3044" s="52" t="s">
        <v>174</v>
      </c>
      <c r="C3044" s="53">
        <v>2021</v>
      </c>
      <c r="D3044" s="52" t="s">
        <v>126</v>
      </c>
      <c r="E3044" s="54">
        <v>11</v>
      </c>
      <c r="F3044" s="55">
        <v>41281.911</v>
      </c>
      <c r="G3044" s="55">
        <v>40218.425000000003</v>
      </c>
    </row>
    <row r="3045" spans="1:7" ht="10.050000000000001" customHeight="1">
      <c r="A3045" s="52" t="s">
        <v>421</v>
      </c>
      <c r="B3045" s="52" t="s">
        <v>174</v>
      </c>
      <c r="C3045" s="53">
        <v>2021</v>
      </c>
      <c r="D3045" s="52" t="s">
        <v>126</v>
      </c>
      <c r="E3045" s="54">
        <v>12</v>
      </c>
      <c r="F3045" s="55">
        <v>38081.781999999999</v>
      </c>
      <c r="G3045" s="55">
        <v>37125.976999999999</v>
      </c>
    </row>
    <row r="3046" spans="1:7" ht="10.050000000000001" customHeight="1">
      <c r="A3046" s="52" t="s">
        <v>421</v>
      </c>
      <c r="B3046" s="52" t="s">
        <v>174</v>
      </c>
      <c r="C3046" s="53">
        <v>2022</v>
      </c>
      <c r="D3046" s="52" t="s">
        <v>126</v>
      </c>
      <c r="E3046" s="54">
        <v>1</v>
      </c>
      <c r="F3046" s="55">
        <v>37427.483999999997</v>
      </c>
      <c r="G3046" s="55">
        <v>34668.881000000001</v>
      </c>
    </row>
    <row r="3047" spans="1:7" ht="10.050000000000001" customHeight="1">
      <c r="A3047" s="52" t="s">
        <v>421</v>
      </c>
      <c r="B3047" s="52" t="s">
        <v>174</v>
      </c>
      <c r="C3047" s="53">
        <v>2022</v>
      </c>
      <c r="D3047" s="52" t="s">
        <v>126</v>
      </c>
      <c r="E3047" s="54">
        <v>2</v>
      </c>
      <c r="F3047" s="55">
        <v>36908.207000000002</v>
      </c>
      <c r="G3047" s="55">
        <v>31074.332999999999</v>
      </c>
    </row>
    <row r="3048" spans="1:7" ht="10.050000000000001" customHeight="1">
      <c r="A3048" s="52" t="s">
        <v>421</v>
      </c>
      <c r="B3048" s="52" t="s">
        <v>174</v>
      </c>
      <c r="C3048" s="53">
        <v>2022</v>
      </c>
      <c r="D3048" s="52" t="s">
        <v>126</v>
      </c>
      <c r="E3048" s="54">
        <v>3</v>
      </c>
      <c r="F3048" s="55">
        <v>43152.612000000001</v>
      </c>
      <c r="G3048" s="55">
        <v>25909.407999999999</v>
      </c>
    </row>
    <row r="3049" spans="1:7" ht="10.050000000000001" customHeight="1">
      <c r="A3049" s="52" t="s">
        <v>421</v>
      </c>
      <c r="B3049" s="52" t="s">
        <v>174</v>
      </c>
      <c r="C3049" s="53">
        <v>2022</v>
      </c>
      <c r="D3049" s="52" t="s">
        <v>126</v>
      </c>
      <c r="E3049" s="54">
        <v>4</v>
      </c>
      <c r="F3049" s="55">
        <v>37719.228999999999</v>
      </c>
      <c r="G3049" s="55">
        <v>22754.2</v>
      </c>
    </row>
    <row r="3050" spans="1:7" ht="10.050000000000001" customHeight="1">
      <c r="A3050" s="52" t="s">
        <v>421</v>
      </c>
      <c r="B3050" s="52" t="s">
        <v>174</v>
      </c>
      <c r="C3050" s="53">
        <v>2022</v>
      </c>
      <c r="D3050" s="52" t="s">
        <v>126</v>
      </c>
      <c r="E3050" s="54">
        <v>5</v>
      </c>
      <c r="F3050" s="55">
        <v>35820.771000000001</v>
      </c>
      <c r="G3050" s="55">
        <v>19777.789000000001</v>
      </c>
    </row>
    <row r="3051" spans="1:7" ht="10.050000000000001" customHeight="1">
      <c r="A3051" s="52" t="s">
        <v>421</v>
      </c>
      <c r="B3051" s="52" t="s">
        <v>174</v>
      </c>
      <c r="C3051" s="53">
        <v>2022</v>
      </c>
      <c r="D3051" s="52" t="s">
        <v>126</v>
      </c>
      <c r="E3051" s="54">
        <v>6</v>
      </c>
      <c r="F3051" s="55">
        <v>34916.548000000003</v>
      </c>
      <c r="G3051" s="55">
        <v>18522.664000000001</v>
      </c>
    </row>
    <row r="3052" spans="1:7" ht="10.050000000000001" customHeight="1">
      <c r="A3052" s="52" t="s">
        <v>421</v>
      </c>
      <c r="B3052" s="52" t="s">
        <v>174</v>
      </c>
      <c r="C3052" s="53">
        <v>2022</v>
      </c>
      <c r="D3052" s="52" t="s">
        <v>127</v>
      </c>
      <c r="E3052" s="54">
        <v>7</v>
      </c>
      <c r="F3052" s="55">
        <v>34591.044000000002</v>
      </c>
      <c r="G3052" s="55">
        <v>46117.961000000003</v>
      </c>
    </row>
    <row r="3053" spans="1:7" ht="10.050000000000001" customHeight="1">
      <c r="A3053" s="52" t="s">
        <v>421</v>
      </c>
      <c r="B3053" s="52" t="s">
        <v>174</v>
      </c>
      <c r="C3053" s="53">
        <v>2022</v>
      </c>
      <c r="D3053" s="52" t="s">
        <v>127</v>
      </c>
      <c r="E3053" s="54">
        <v>8</v>
      </c>
      <c r="F3053" s="55">
        <v>48980.076999999997</v>
      </c>
      <c r="G3053" s="55">
        <v>52476.311000000002</v>
      </c>
    </row>
    <row r="3054" spans="1:7" ht="10.050000000000001" customHeight="1">
      <c r="A3054" s="52" t="s">
        <v>421</v>
      </c>
      <c r="B3054" s="52" t="s">
        <v>174</v>
      </c>
      <c r="C3054" s="53">
        <v>2022</v>
      </c>
      <c r="D3054" s="52" t="s">
        <v>127</v>
      </c>
      <c r="E3054" s="54">
        <v>9</v>
      </c>
      <c r="F3054" s="55">
        <v>57714.983</v>
      </c>
      <c r="G3054" s="55">
        <v>48798.938000000002</v>
      </c>
    </row>
    <row r="3055" spans="1:7" ht="10.050000000000001" customHeight="1">
      <c r="A3055" s="52" t="s">
        <v>421</v>
      </c>
      <c r="B3055" s="52" t="s">
        <v>174</v>
      </c>
      <c r="C3055" s="53">
        <v>2022</v>
      </c>
      <c r="D3055" s="52" t="s">
        <v>127</v>
      </c>
      <c r="E3055" s="54">
        <v>10</v>
      </c>
      <c r="F3055" s="55">
        <v>56542.629000000001</v>
      </c>
      <c r="G3055" s="55">
        <v>42923.294000000002</v>
      </c>
    </row>
    <row r="3056" spans="1:7" ht="10.050000000000001" customHeight="1">
      <c r="A3056" s="52" t="s">
        <v>421</v>
      </c>
      <c r="B3056" s="52" t="s">
        <v>174</v>
      </c>
      <c r="C3056" s="53">
        <v>2022</v>
      </c>
      <c r="D3056" s="52" t="s">
        <v>127</v>
      </c>
      <c r="E3056" s="54">
        <v>11</v>
      </c>
      <c r="F3056" s="55">
        <v>52033.36</v>
      </c>
      <c r="G3056" s="55">
        <v>42320.673999999999</v>
      </c>
    </row>
    <row r="3057" spans="1:7" ht="10.050000000000001" customHeight="1">
      <c r="A3057" s="52" t="s">
        <v>421</v>
      </c>
      <c r="B3057" s="52" t="s">
        <v>174</v>
      </c>
      <c r="C3057" s="53">
        <v>2022</v>
      </c>
      <c r="D3057" s="52" t="s">
        <v>127</v>
      </c>
      <c r="E3057" s="54">
        <v>12</v>
      </c>
      <c r="F3057" s="55">
        <v>53009.623</v>
      </c>
      <c r="G3057" s="55">
        <v>38573.620000000003</v>
      </c>
    </row>
    <row r="3058" spans="1:7" ht="10.050000000000001" customHeight="1">
      <c r="A3058" s="52" t="s">
        <v>421</v>
      </c>
      <c r="B3058" s="52" t="s">
        <v>174</v>
      </c>
      <c r="C3058" s="53">
        <v>2023</v>
      </c>
      <c r="D3058" s="52" t="s">
        <v>127</v>
      </c>
      <c r="E3058" s="54">
        <v>1</v>
      </c>
      <c r="F3058" s="55">
        <v>43377.368000000002</v>
      </c>
      <c r="G3058" s="55">
        <v>35960.319000000003</v>
      </c>
    </row>
    <row r="3059" spans="1:7" ht="10.050000000000001" customHeight="1">
      <c r="A3059" s="52" t="s">
        <v>421</v>
      </c>
      <c r="B3059" s="52" t="s">
        <v>174</v>
      </c>
      <c r="C3059" s="53">
        <v>2023</v>
      </c>
      <c r="D3059" s="52" t="s">
        <v>127</v>
      </c>
      <c r="E3059" s="54">
        <v>2</v>
      </c>
      <c r="F3059" s="55">
        <v>37526.644999999997</v>
      </c>
      <c r="G3059" s="55">
        <v>30315.273000000001</v>
      </c>
    </row>
    <row r="3060" spans="1:7" ht="10.050000000000001" customHeight="1">
      <c r="A3060" s="52" t="s">
        <v>421</v>
      </c>
      <c r="B3060" s="52" t="s">
        <v>174</v>
      </c>
      <c r="C3060" s="53">
        <v>2023</v>
      </c>
      <c r="D3060" s="52" t="s">
        <v>127</v>
      </c>
      <c r="E3060" s="54">
        <v>3</v>
      </c>
      <c r="F3060" s="55">
        <v>40253.606</v>
      </c>
      <c r="G3060" s="55">
        <v>26742.132000000001</v>
      </c>
    </row>
    <row r="3061" spans="1:7" ht="10.050000000000001" customHeight="1">
      <c r="A3061" s="52" t="s">
        <v>421</v>
      </c>
      <c r="B3061" s="52" t="s">
        <v>174</v>
      </c>
      <c r="C3061" s="53">
        <v>2023</v>
      </c>
      <c r="D3061" s="52" t="s">
        <v>127</v>
      </c>
      <c r="E3061" s="54">
        <v>4</v>
      </c>
      <c r="F3061" s="55">
        <v>34177.898000000001</v>
      </c>
      <c r="G3061" s="55">
        <v>22433.041000000001</v>
      </c>
    </row>
    <row r="3062" spans="1:7" ht="10.050000000000001" customHeight="1">
      <c r="A3062" s="52" t="s">
        <v>421</v>
      </c>
      <c r="B3062" s="52" t="s">
        <v>174</v>
      </c>
      <c r="C3062" s="53">
        <v>2023</v>
      </c>
      <c r="D3062" s="52" t="s">
        <v>127</v>
      </c>
      <c r="E3062" s="54">
        <v>5</v>
      </c>
      <c r="F3062" s="55">
        <v>35492.6</v>
      </c>
      <c r="G3062" s="55">
        <v>19806.780999999999</v>
      </c>
    </row>
    <row r="3063" spans="1:7" ht="10.050000000000001" customHeight="1">
      <c r="A3063" s="52" t="s">
        <v>421</v>
      </c>
      <c r="B3063" s="52" t="s">
        <v>174</v>
      </c>
      <c r="C3063" s="53">
        <v>2023</v>
      </c>
      <c r="D3063" s="52" t="s">
        <v>127</v>
      </c>
      <c r="E3063" s="54">
        <v>6</v>
      </c>
      <c r="F3063" s="55">
        <v>35879.258999999998</v>
      </c>
      <c r="G3063" s="55">
        <v>15303.367</v>
      </c>
    </row>
    <row r="3064" spans="1:7" ht="10.050000000000001" customHeight="1">
      <c r="A3064" s="52" t="s">
        <v>421</v>
      </c>
      <c r="B3064" s="52" t="s">
        <v>174</v>
      </c>
      <c r="C3064" s="53">
        <v>2023</v>
      </c>
      <c r="D3064" s="52" t="s">
        <v>128</v>
      </c>
      <c r="E3064" s="54">
        <v>7</v>
      </c>
      <c r="F3064" s="55">
        <v>30413.468000000001</v>
      </c>
      <c r="G3064" s="55">
        <v>36047.504999999997</v>
      </c>
    </row>
    <row r="3065" spans="1:7" ht="10.050000000000001" customHeight="1">
      <c r="A3065" s="52" t="s">
        <v>421</v>
      </c>
      <c r="B3065" s="52" t="s">
        <v>174</v>
      </c>
      <c r="C3065" s="53">
        <v>2023</v>
      </c>
      <c r="D3065" s="52" t="s">
        <v>128</v>
      </c>
      <c r="E3065" s="54">
        <v>8</v>
      </c>
      <c r="F3065" s="55">
        <v>46891.614999999998</v>
      </c>
      <c r="G3065" s="55">
        <v>55517.125</v>
      </c>
    </row>
    <row r="3066" spans="1:7" ht="10.050000000000001" customHeight="1">
      <c r="A3066" s="52" t="s">
        <v>421</v>
      </c>
      <c r="B3066" s="52" t="s">
        <v>174</v>
      </c>
      <c r="C3066" s="53">
        <v>2023</v>
      </c>
      <c r="D3066" s="52" t="s">
        <v>128</v>
      </c>
      <c r="E3066" s="54">
        <v>9</v>
      </c>
      <c r="F3066" s="55">
        <v>44753.66</v>
      </c>
      <c r="G3066" s="55">
        <v>53254.078000000001</v>
      </c>
    </row>
    <row r="3067" spans="1:7" ht="10.050000000000001" customHeight="1">
      <c r="A3067" s="52" t="s">
        <v>421</v>
      </c>
      <c r="B3067" s="52" t="s">
        <v>174</v>
      </c>
      <c r="C3067" s="53">
        <v>2023</v>
      </c>
      <c r="D3067" s="52" t="s">
        <v>128</v>
      </c>
      <c r="E3067" s="54">
        <v>10</v>
      </c>
      <c r="F3067" s="55">
        <v>50421.110999999997</v>
      </c>
      <c r="G3067" s="55">
        <v>48178.249000000003</v>
      </c>
    </row>
    <row r="3068" spans="1:7" ht="10.050000000000001" customHeight="1">
      <c r="A3068" s="52" t="s">
        <v>421</v>
      </c>
      <c r="B3068" s="52" t="s">
        <v>174</v>
      </c>
      <c r="C3068" s="53">
        <v>2023</v>
      </c>
      <c r="D3068" s="52" t="s">
        <v>128</v>
      </c>
      <c r="E3068" s="54">
        <v>11</v>
      </c>
      <c r="F3068" s="55">
        <v>48107.061000000002</v>
      </c>
      <c r="G3068" s="55">
        <v>40760.381000000001</v>
      </c>
    </row>
    <row r="3069" spans="1:7" ht="10.050000000000001" customHeight="1">
      <c r="A3069" s="52" t="s">
        <v>421</v>
      </c>
      <c r="B3069" s="52" t="s">
        <v>174</v>
      </c>
      <c r="C3069" s="53">
        <v>2023</v>
      </c>
      <c r="D3069" s="52" t="s">
        <v>128</v>
      </c>
      <c r="E3069" s="54">
        <v>12</v>
      </c>
      <c r="F3069" s="55">
        <v>43449.396000000001</v>
      </c>
      <c r="G3069" s="55">
        <v>34097.665000000001</v>
      </c>
    </row>
    <row r="3070" spans="1:7" ht="10.050000000000001" customHeight="1">
      <c r="A3070" s="52" t="s">
        <v>421</v>
      </c>
      <c r="B3070" s="52" t="s">
        <v>174</v>
      </c>
      <c r="C3070" s="53">
        <v>2024</v>
      </c>
      <c r="D3070" s="52" t="s">
        <v>128</v>
      </c>
      <c r="E3070" s="54">
        <v>1</v>
      </c>
      <c r="F3070" s="55">
        <v>40968.599000000002</v>
      </c>
      <c r="G3070" s="55">
        <v>28626.616000000002</v>
      </c>
    </row>
    <row r="3071" spans="1:7" ht="10.050000000000001" customHeight="1">
      <c r="A3071" s="52" t="s">
        <v>421</v>
      </c>
      <c r="B3071" s="52" t="s">
        <v>174</v>
      </c>
      <c r="C3071" s="53">
        <v>2024</v>
      </c>
      <c r="D3071" s="52" t="s">
        <v>128</v>
      </c>
      <c r="E3071" s="54">
        <v>2</v>
      </c>
      <c r="F3071" s="55">
        <v>39826.067999999999</v>
      </c>
      <c r="G3071" s="55">
        <v>25118.634999999998</v>
      </c>
    </row>
    <row r="3072" spans="1:7" ht="10.050000000000001" customHeight="1">
      <c r="A3072" s="52" t="s">
        <v>421</v>
      </c>
      <c r="B3072" s="52" t="s">
        <v>174</v>
      </c>
      <c r="C3072" s="53">
        <v>2024</v>
      </c>
      <c r="D3072" s="52" t="s">
        <v>128</v>
      </c>
      <c r="E3072" s="54">
        <v>3</v>
      </c>
      <c r="F3072" s="55">
        <v>42246.559999999998</v>
      </c>
      <c r="G3072" s="55">
        <v>22212.32</v>
      </c>
    </row>
    <row r="3073" spans="1:7" ht="10.050000000000001" customHeight="1">
      <c r="A3073" s="52" t="s">
        <v>421</v>
      </c>
      <c r="B3073" s="52" t="s">
        <v>174</v>
      </c>
      <c r="C3073" s="53">
        <v>2024</v>
      </c>
      <c r="D3073" s="52" t="s">
        <v>128</v>
      </c>
      <c r="E3073" s="54">
        <v>4</v>
      </c>
      <c r="F3073" s="55">
        <v>42661.616000000002</v>
      </c>
      <c r="G3073" s="55">
        <v>22088.233</v>
      </c>
    </row>
    <row r="3074" spans="1:7" ht="10.050000000000001" customHeight="1">
      <c r="A3074" s="52" t="s">
        <v>421</v>
      </c>
      <c r="B3074" s="52" t="s">
        <v>174</v>
      </c>
      <c r="C3074" s="53">
        <v>2024</v>
      </c>
      <c r="D3074" s="52" t="s">
        <v>128</v>
      </c>
      <c r="E3074" s="54">
        <v>5</v>
      </c>
      <c r="F3074" s="55">
        <v>43400.4</v>
      </c>
      <c r="G3074" s="55">
        <v>20835.37</v>
      </c>
    </row>
    <row r="3075" spans="1:7" ht="10.050000000000001" customHeight="1">
      <c r="A3075" s="52" t="s">
        <v>421</v>
      </c>
      <c r="B3075" s="52" t="s">
        <v>174</v>
      </c>
      <c r="C3075" s="53">
        <v>2024</v>
      </c>
      <c r="D3075" s="52" t="s">
        <v>128</v>
      </c>
      <c r="E3075" s="54">
        <v>6</v>
      </c>
      <c r="F3075" s="55">
        <v>34681.572</v>
      </c>
      <c r="G3075" s="55">
        <v>21091.742999999999</v>
      </c>
    </row>
    <row r="3076" spans="1:7" ht="10.050000000000001" customHeight="1">
      <c r="A3076" s="52" t="s">
        <v>421</v>
      </c>
      <c r="B3076" s="52" t="s">
        <v>174</v>
      </c>
      <c r="C3076" s="53">
        <v>2024</v>
      </c>
      <c r="D3076" s="52" t="s">
        <v>129</v>
      </c>
      <c r="E3076" s="54">
        <v>7</v>
      </c>
      <c r="F3076" s="55">
        <v>34942.262999999999</v>
      </c>
      <c r="G3076" s="55">
        <v>25866.098000000002</v>
      </c>
    </row>
    <row r="3077" spans="1:7" ht="10.050000000000001" customHeight="1">
      <c r="A3077" s="52" t="s">
        <v>421</v>
      </c>
      <c r="B3077" s="52" t="s">
        <v>174</v>
      </c>
      <c r="C3077" s="53">
        <v>2024</v>
      </c>
      <c r="D3077" s="52" t="s">
        <v>129</v>
      </c>
      <c r="E3077" s="54">
        <v>8</v>
      </c>
      <c r="F3077" s="55">
        <v>37981.205999999998</v>
      </c>
      <c r="G3077" s="55">
        <v>42405.159</v>
      </c>
    </row>
    <row r="3078" spans="1:7" ht="10.050000000000001" customHeight="1">
      <c r="A3078" s="52" t="s">
        <v>421</v>
      </c>
      <c r="B3078" s="52" t="s">
        <v>174</v>
      </c>
      <c r="C3078" s="53">
        <v>2024</v>
      </c>
      <c r="D3078" s="52" t="s">
        <v>129</v>
      </c>
      <c r="E3078" s="54">
        <v>9</v>
      </c>
      <c r="F3078" s="55">
        <v>38836.076000000001</v>
      </c>
      <c r="G3078" s="55">
        <v>38772.184000000001</v>
      </c>
    </row>
    <row r="3079" spans="1:7" ht="10.050000000000001" customHeight="1">
      <c r="A3079" s="52" t="s">
        <v>421</v>
      </c>
      <c r="B3079" s="52" t="s">
        <v>174</v>
      </c>
      <c r="C3079" s="53">
        <v>2024</v>
      </c>
      <c r="D3079" s="52" t="s">
        <v>129</v>
      </c>
      <c r="E3079" s="54">
        <v>10</v>
      </c>
      <c r="F3079" s="55">
        <v>41839.148000000001</v>
      </c>
      <c r="G3079" s="55">
        <v>33776.29</v>
      </c>
    </row>
    <row r="3080" spans="1:7" ht="10.050000000000001" customHeight="1">
      <c r="A3080" s="52" t="s">
        <v>421</v>
      </c>
      <c r="B3080" s="52" t="s">
        <v>174</v>
      </c>
      <c r="C3080" s="53">
        <v>2024</v>
      </c>
      <c r="D3080" s="52" t="s">
        <v>129</v>
      </c>
      <c r="E3080" s="54">
        <v>11</v>
      </c>
      <c r="F3080" s="55">
        <v>35189.652999999998</v>
      </c>
      <c r="G3080" s="55">
        <v>29124.863000000001</v>
      </c>
    </row>
    <row r="3081" spans="1:7" ht="10.050000000000001" customHeight="1">
      <c r="A3081" s="52" t="s">
        <v>421</v>
      </c>
      <c r="B3081" s="52" t="s">
        <v>174</v>
      </c>
      <c r="C3081" s="53">
        <v>2024</v>
      </c>
      <c r="D3081" s="52" t="s">
        <v>129</v>
      </c>
      <c r="E3081" s="54">
        <v>12</v>
      </c>
      <c r="F3081" s="55">
        <v>32448.347000000002</v>
      </c>
      <c r="G3081" s="55">
        <v>23831.116000000002</v>
      </c>
    </row>
    <row r="3083" spans="1:7" ht="12" customHeight="1">
      <c r="A3083" s="776" t="s">
        <v>146</v>
      </c>
      <c r="B3083" s="776"/>
      <c r="C3083" s="776"/>
      <c r="D3083" s="776"/>
      <c r="E3083" s="776"/>
      <c r="F3083" s="776"/>
      <c r="G3083" s="776"/>
    </row>
    <row r="3084" spans="1:7" ht="12" customHeight="1">
      <c r="A3084" s="776" t="s">
        <v>147</v>
      </c>
      <c r="B3084" s="776"/>
      <c r="C3084" s="776"/>
      <c r="D3084" s="776"/>
      <c r="E3084" s="776"/>
      <c r="F3084" s="776"/>
      <c r="G3084" s="776"/>
    </row>
    <row r="3085" spans="1:7" ht="12" customHeight="1">
      <c r="A3085" s="776" t="s">
        <v>148</v>
      </c>
      <c r="B3085" s="776"/>
      <c r="C3085" s="776"/>
      <c r="D3085" s="776"/>
      <c r="E3085" s="776"/>
      <c r="F3085" s="776"/>
      <c r="G3085" s="776"/>
    </row>
  </sheetData>
  <autoFilter ref="A5:E3081" xr:uid="{00000000-0009-0000-0000-000000000000}"/>
  <mergeCells count="6">
    <mergeCell ref="A3085:G3085"/>
    <mergeCell ref="A1:G1"/>
    <mergeCell ref="A2:G2"/>
    <mergeCell ref="A3:G3"/>
    <mergeCell ref="A3083:G3083"/>
    <mergeCell ref="A3084:G3084"/>
  </mergeCells>
  <printOptions horizontalCentered="1" verticalCentered="1"/>
  <pageMargins left="0.2" right="0.2" top="0.2" bottom="0.2" header="0" footer="0"/>
  <pageSetup paperSize="9" scale="60" orientation="portrait"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86A5-B457-413F-9BCB-346D86A735CB}">
  <dimension ref="A1:I44"/>
  <sheetViews>
    <sheetView topLeftCell="A3" workbookViewId="0">
      <selection activeCell="L33" sqref="L33"/>
    </sheetView>
  </sheetViews>
  <sheetFormatPr baseColWidth="10" defaultRowHeight="13.2"/>
  <cols>
    <col min="1" max="1" width="11.5546875" style="118"/>
    <col min="2" max="2" width="50.21875" style="118" bestFit="1" customWidth="1"/>
    <col min="3" max="3" width="38.77734375" style="119" customWidth="1"/>
    <col min="4" max="5" width="15.77734375" style="119" customWidth="1"/>
    <col min="6" max="16384" width="11.5546875" style="119"/>
  </cols>
  <sheetData>
    <row r="1" spans="1:9" s="118" customFormat="1" ht="15" thickBot="1">
      <c r="A1" s="741" t="s">
        <v>149</v>
      </c>
      <c r="B1" s="741"/>
    </row>
    <row r="2" spans="1:9" s="118" customFormat="1" ht="14.4">
      <c r="A2" s="58" t="s">
        <v>150</v>
      </c>
      <c r="B2" s="59" t="s">
        <v>422</v>
      </c>
    </row>
    <row r="3" spans="1:9" s="118" customFormat="1" ht="14.4">
      <c r="A3" s="60" t="s">
        <v>152</v>
      </c>
      <c r="B3" s="61" t="s">
        <v>423</v>
      </c>
    </row>
    <row r="4" spans="1:9" s="118" customFormat="1" ht="14.4">
      <c r="A4" s="60" t="s">
        <v>153</v>
      </c>
      <c r="B4" s="61" t="s">
        <v>154</v>
      </c>
    </row>
    <row r="5" spans="1:9" s="118" customFormat="1" ht="14.4">
      <c r="A5" s="60" t="s">
        <v>17</v>
      </c>
      <c r="B5" s="61" t="s">
        <v>21</v>
      </c>
    </row>
    <row r="6" spans="1:9" s="118" customFormat="1" ht="14.4">
      <c r="A6" s="60" t="s">
        <v>19</v>
      </c>
      <c r="B6" s="61" t="s">
        <v>424</v>
      </c>
    </row>
    <row r="7" spans="1:9" s="118" customFormat="1" ht="15" thickBot="1">
      <c r="A7" s="62" t="s">
        <v>156</v>
      </c>
      <c r="B7" s="63" t="s">
        <v>157</v>
      </c>
    </row>
    <row r="8" spans="1:9" ht="15" customHeight="1">
      <c r="C8" s="784" t="s">
        <v>425</v>
      </c>
      <c r="D8" s="783"/>
      <c r="E8" s="783"/>
      <c r="G8" s="785" t="str">
        <f>HYPERLINK("#'sommaire'!A1", "Retour sommaire")</f>
        <v>Retour sommaire</v>
      </c>
      <c r="H8" s="783"/>
      <c r="I8" s="783"/>
    </row>
    <row r="9" spans="1:9">
      <c r="G9" s="783"/>
      <c r="H9" s="783"/>
      <c r="I9" s="783"/>
    </row>
    <row r="10" spans="1:9" ht="15.75" customHeight="1">
      <c r="C10" s="786" t="s">
        <v>426</v>
      </c>
      <c r="D10" s="786"/>
      <c r="E10" s="786"/>
    </row>
    <row r="11" spans="1:9" ht="13.8">
      <c r="C11" s="120"/>
      <c r="D11" s="120">
        <v>2020</v>
      </c>
      <c r="E11" s="120">
        <v>2015</v>
      </c>
    </row>
    <row r="12" spans="1:9" ht="13.8">
      <c r="C12" s="120" t="s">
        <v>427</v>
      </c>
      <c r="D12" s="120" t="s">
        <v>428</v>
      </c>
      <c r="E12" s="120" t="s">
        <v>428</v>
      </c>
    </row>
    <row r="13" spans="1:9" ht="27.6">
      <c r="C13" s="121"/>
      <c r="D13" s="121" t="s">
        <v>429</v>
      </c>
      <c r="E13" s="121" t="s">
        <v>429</v>
      </c>
    </row>
    <row r="14" spans="1:9" ht="13.8">
      <c r="C14" s="122" t="s">
        <v>430</v>
      </c>
      <c r="D14" s="123">
        <v>10362.9</v>
      </c>
      <c r="E14" s="123">
        <v>10257.4</v>
      </c>
    </row>
    <row r="15" spans="1:9">
      <c r="C15" s="124" t="s">
        <v>171</v>
      </c>
      <c r="D15" s="125">
        <v>4638.2</v>
      </c>
      <c r="E15" s="125">
        <v>4618.6000000000004</v>
      </c>
    </row>
    <row r="16" spans="1:9">
      <c r="C16" s="124" t="s">
        <v>173</v>
      </c>
      <c r="D16" s="125">
        <v>1614.6</v>
      </c>
      <c r="E16" s="125">
        <v>987.4</v>
      </c>
    </row>
    <row r="17" spans="3:5">
      <c r="C17" s="124" t="s">
        <v>307</v>
      </c>
      <c r="D17" s="125">
        <v>3366.2</v>
      </c>
      <c r="E17" s="125">
        <v>3706.2</v>
      </c>
    </row>
    <row r="18" spans="3:5">
      <c r="C18" s="124" t="s">
        <v>306</v>
      </c>
      <c r="D18" s="125">
        <v>81.400000000000006</v>
      </c>
      <c r="E18" s="125">
        <v>87.4</v>
      </c>
    </row>
    <row r="19" spans="3:5">
      <c r="C19" s="124" t="s">
        <v>308</v>
      </c>
      <c r="D19" s="125">
        <v>48.2</v>
      </c>
      <c r="E19" s="125">
        <v>61.6</v>
      </c>
    </row>
    <row r="20" spans="3:5">
      <c r="C20" s="124" t="s">
        <v>174</v>
      </c>
      <c r="D20" s="125">
        <v>451.5</v>
      </c>
      <c r="E20" s="125">
        <v>670.6</v>
      </c>
    </row>
    <row r="21" spans="3:5">
      <c r="C21" s="124" t="s">
        <v>431</v>
      </c>
      <c r="D21" s="126">
        <v>162.80000000000001</v>
      </c>
      <c r="E21" s="126">
        <v>125.6</v>
      </c>
    </row>
    <row r="22" spans="3:5" ht="13.8">
      <c r="C22" s="122" t="s">
        <v>432</v>
      </c>
      <c r="D22" s="123"/>
      <c r="E22" s="123"/>
    </row>
    <row r="23" spans="3:5">
      <c r="C23" s="124" t="s">
        <v>433</v>
      </c>
      <c r="D23" s="125">
        <v>723.7</v>
      </c>
      <c r="E23" s="125">
        <v>798.8</v>
      </c>
    </row>
    <row r="24" spans="3:5">
      <c r="C24" s="124" t="s">
        <v>434</v>
      </c>
      <c r="D24" s="125">
        <v>167.2</v>
      </c>
      <c r="E24" s="125">
        <v>207</v>
      </c>
    </row>
    <row r="25" spans="3:5">
      <c r="C25" s="124" t="s">
        <v>435</v>
      </c>
      <c r="D25" s="126">
        <v>207.6</v>
      </c>
      <c r="E25" s="126">
        <v>157.1</v>
      </c>
    </row>
    <row r="26" spans="3:5">
      <c r="C26" s="124" t="s">
        <v>436</v>
      </c>
      <c r="D26" s="125">
        <v>78.5</v>
      </c>
      <c r="E26" s="125">
        <v>86.6</v>
      </c>
    </row>
    <row r="27" spans="3:5">
      <c r="C27" s="124" t="s">
        <v>437</v>
      </c>
      <c r="D27" s="125">
        <v>370.8</v>
      </c>
      <c r="E27" s="125">
        <v>354.3</v>
      </c>
    </row>
    <row r="28" spans="3:5" ht="26.4">
      <c r="C28" s="127" t="s">
        <v>438</v>
      </c>
      <c r="D28" s="126">
        <v>176.4</v>
      </c>
      <c r="E28" s="126" t="s">
        <v>439</v>
      </c>
    </row>
    <row r="29" spans="3:5">
      <c r="C29" s="124" t="s">
        <v>440</v>
      </c>
      <c r="D29" s="125">
        <v>53.1</v>
      </c>
      <c r="E29" s="125">
        <v>38.6</v>
      </c>
    </row>
    <row r="30" spans="3:5">
      <c r="C30" s="124" t="s">
        <v>441</v>
      </c>
      <c r="D30" s="125">
        <v>328.5</v>
      </c>
      <c r="E30" s="125">
        <v>323.39999999999998</v>
      </c>
    </row>
    <row r="31" spans="3:5">
      <c r="C31" s="124" t="s">
        <v>442</v>
      </c>
      <c r="D31" s="126">
        <v>130.19999999999999</v>
      </c>
      <c r="E31" s="126">
        <v>169.5</v>
      </c>
    </row>
    <row r="32" spans="3:5">
      <c r="C32" s="124" t="s">
        <v>443</v>
      </c>
      <c r="D32" s="126">
        <v>46.2</v>
      </c>
      <c r="E32" s="126">
        <v>45.9</v>
      </c>
    </row>
    <row r="33" spans="3:9">
      <c r="C33" s="124" t="s">
        <v>431</v>
      </c>
      <c r="D33" s="126">
        <v>111.1</v>
      </c>
      <c r="E33" s="126">
        <v>245</v>
      </c>
    </row>
    <row r="34" spans="3:9" ht="27.6">
      <c r="C34" s="122" t="s">
        <v>444</v>
      </c>
      <c r="D34" s="123"/>
      <c r="E34" s="123"/>
    </row>
    <row r="35" spans="3:9">
      <c r="C35" s="124" t="s">
        <v>445</v>
      </c>
      <c r="D35" s="125">
        <v>29.9</v>
      </c>
      <c r="E35" s="125">
        <v>46.1</v>
      </c>
    </row>
    <row r="36" spans="3:9" ht="13.8">
      <c r="C36" s="128" t="s">
        <v>446</v>
      </c>
      <c r="D36" s="129"/>
      <c r="E36" s="129"/>
      <c r="F36" s="130"/>
      <c r="G36" s="129"/>
      <c r="H36" s="129"/>
      <c r="I36" s="130"/>
    </row>
    <row r="37" spans="3:9" ht="28.8">
      <c r="C37" s="131" t="s">
        <v>447</v>
      </c>
      <c r="D37" s="132">
        <v>3.5</v>
      </c>
      <c r="E37" s="132">
        <v>2.9</v>
      </c>
      <c r="F37" s="133"/>
      <c r="H37" s="132"/>
      <c r="I37" s="133"/>
    </row>
    <row r="38" spans="3:9" ht="60" customHeight="1">
      <c r="C38" s="787" t="s">
        <v>448</v>
      </c>
      <c r="D38" s="787"/>
      <c r="E38" s="787"/>
    </row>
    <row r="39" spans="3:9">
      <c r="C39" s="782" t="s">
        <v>449</v>
      </c>
      <c r="D39" s="783"/>
      <c r="E39" s="783"/>
    </row>
    <row r="41" spans="3:9" ht="14.4">
      <c r="C41" s="87" t="s">
        <v>19</v>
      </c>
      <c r="D41" s="87" t="s">
        <v>338</v>
      </c>
      <c r="E41" s="87" t="s">
        <v>20</v>
      </c>
      <c r="F41"/>
    </row>
    <row r="42" spans="3:9" ht="14.4">
      <c r="C42" s="87"/>
      <c r="D42" s="87" t="s">
        <v>340</v>
      </c>
      <c r="E42" s="87" t="s">
        <v>450</v>
      </c>
      <c r="F42"/>
    </row>
    <row r="43" spans="3:9" ht="14.4">
      <c r="C43" s="87"/>
      <c r="D43" s="87" t="s">
        <v>342</v>
      </c>
      <c r="E43" s="87" t="s">
        <v>451</v>
      </c>
      <c r="F43"/>
    </row>
    <row r="44" spans="3:9" ht="14.4">
      <c r="C44" s="87"/>
      <c r="D44" s="87" t="s">
        <v>344</v>
      </c>
      <c r="E44" s="134" t="s">
        <v>452</v>
      </c>
      <c r="F44"/>
    </row>
  </sheetData>
  <mergeCells count="6">
    <mergeCell ref="C39:E39"/>
    <mergeCell ref="A1:B1"/>
    <mergeCell ref="C8:E8"/>
    <mergeCell ref="G8:I9"/>
    <mergeCell ref="C10:E10"/>
    <mergeCell ref="C38:E38"/>
  </mergeCells>
  <pageMargins left="0.6" right="0.79" top="0.79" bottom="1.06" header="0.3" footer="0.3"/>
  <pageSetup paperSize="9" fitToWidth="0" fitToHeight="0"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05F9-CE17-41AE-8AD6-301C77BEB23E}">
  <dimension ref="A1:O47"/>
  <sheetViews>
    <sheetView workbookViewId="0">
      <selection activeCell="L33" sqref="L33"/>
    </sheetView>
  </sheetViews>
  <sheetFormatPr baseColWidth="10" defaultRowHeight="14.4"/>
  <cols>
    <col min="1" max="1" width="11.5546875" style="57"/>
    <col min="2" max="2" width="38.77734375" style="57" customWidth="1"/>
  </cols>
  <sheetData>
    <row r="1" spans="1:15" s="57" customFormat="1" ht="15" thickBot="1">
      <c r="A1" s="788" t="s">
        <v>149</v>
      </c>
      <c r="B1" s="789"/>
    </row>
    <row r="2" spans="1:15" s="57" customFormat="1">
      <c r="A2" s="58" t="s">
        <v>150</v>
      </c>
      <c r="B2" s="59" t="s">
        <v>151</v>
      </c>
    </row>
    <row r="3" spans="1:15" s="57" customFormat="1">
      <c r="A3" s="60" t="s">
        <v>152</v>
      </c>
      <c r="B3" s="61"/>
    </row>
    <row r="4" spans="1:15" s="57" customFormat="1">
      <c r="A4" s="60" t="s">
        <v>153</v>
      </c>
      <c r="B4" s="61" t="s">
        <v>154</v>
      </c>
    </row>
    <row r="5" spans="1:15" s="57" customFormat="1">
      <c r="A5" s="60" t="s">
        <v>17</v>
      </c>
      <c r="B5" s="61"/>
    </row>
    <row r="6" spans="1:15" s="57" customFormat="1">
      <c r="A6" s="60" t="s">
        <v>19</v>
      </c>
      <c r="B6" s="61" t="s">
        <v>155</v>
      </c>
    </row>
    <row r="7" spans="1:15" s="57" customFormat="1" ht="15" thickBot="1">
      <c r="A7" s="62" t="s">
        <v>156</v>
      </c>
      <c r="B7" s="63" t="s">
        <v>157</v>
      </c>
    </row>
    <row r="8" spans="1:15">
      <c r="C8" s="11" t="s">
        <v>19</v>
      </c>
      <c r="D8" s="11" t="s">
        <v>158</v>
      </c>
    </row>
    <row r="10" spans="1:15">
      <c r="O10" s="11" t="s">
        <v>159</v>
      </c>
    </row>
    <row r="11" spans="1:15">
      <c r="N11" s="11" t="s">
        <v>160</v>
      </c>
      <c r="O11" s="64">
        <v>1.4999999999999999E-2</v>
      </c>
    </row>
    <row r="23" spans="3:4">
      <c r="C23" s="11" t="s">
        <v>19</v>
      </c>
      <c r="D23" s="11" t="s">
        <v>161</v>
      </c>
    </row>
    <row r="47" spans="3:3">
      <c r="C47" t="s">
        <v>162</v>
      </c>
    </row>
  </sheetData>
  <mergeCells count="1">
    <mergeCell ref="A1:B1"/>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AA144-214B-4F3C-8B96-39EC699F62D1}">
  <dimension ref="A1"/>
  <sheetViews>
    <sheetView workbookViewId="0">
      <selection activeCell="L33" sqref="L33"/>
    </sheetView>
  </sheetViews>
  <sheetFormatPr baseColWidth="10" defaultRowHeight="14.4"/>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5411D-AC5E-4AA1-9826-12C7729B70CD}">
  <dimension ref="A1:E66"/>
  <sheetViews>
    <sheetView workbookViewId="0">
      <pane xSplit="2" ySplit="10" topLeftCell="C14" activePane="bottomRight" state="frozen"/>
      <selection activeCell="L33" sqref="L33"/>
      <selection pane="topRight" activeCell="L33" sqref="L33"/>
      <selection pane="bottomLeft" activeCell="L33" sqref="L33"/>
      <selection pane="bottomRight" activeCell="L33" sqref="L33"/>
    </sheetView>
  </sheetViews>
  <sheetFormatPr baseColWidth="10" defaultColWidth="8.88671875" defaultRowHeight="11.4" customHeight="1"/>
  <cols>
    <col min="1" max="1" width="14.88671875" style="73" customWidth="1"/>
    <col min="2" max="2" width="88.21875" style="73" customWidth="1"/>
    <col min="3" max="5" width="10" style="73" customWidth="1"/>
    <col min="6" max="16384" width="8.88671875" style="73"/>
  </cols>
  <sheetData>
    <row r="1" spans="1:5">
      <c r="A1" s="72" t="s">
        <v>835</v>
      </c>
    </row>
    <row r="2" spans="1:5">
      <c r="A2" s="72" t="s">
        <v>181</v>
      </c>
      <c r="B2" s="74" t="s">
        <v>836</v>
      </c>
    </row>
    <row r="3" spans="1:5">
      <c r="A3" s="72" t="s">
        <v>182</v>
      </c>
      <c r="B3" s="72" t="s">
        <v>183</v>
      </c>
    </row>
    <row r="4" spans="1:5"/>
    <row r="5" spans="1:5">
      <c r="A5" s="74" t="s">
        <v>184</v>
      </c>
      <c r="C5" s="72" t="s">
        <v>185</v>
      </c>
    </row>
    <row r="6" spans="1:5">
      <c r="A6" s="74" t="s">
        <v>186</v>
      </c>
      <c r="C6" s="72" t="s">
        <v>154</v>
      </c>
    </row>
    <row r="7" spans="1:5">
      <c r="A7" s="74" t="s">
        <v>187</v>
      </c>
      <c r="C7" s="72" t="s">
        <v>188</v>
      </c>
    </row>
    <row r="8" spans="1:5"/>
    <row r="9" spans="1:5">
      <c r="A9" s="766" t="s">
        <v>189</v>
      </c>
      <c r="B9" s="766" t="s">
        <v>189</v>
      </c>
      <c r="C9" s="75" t="s">
        <v>190</v>
      </c>
      <c r="D9" s="75" t="s">
        <v>191</v>
      </c>
      <c r="E9" s="75" t="s">
        <v>192</v>
      </c>
    </row>
    <row r="10" spans="1:5">
      <c r="A10" s="76" t="s">
        <v>193</v>
      </c>
      <c r="B10" s="76" t="s">
        <v>194</v>
      </c>
      <c r="C10" s="77" t="s">
        <v>89</v>
      </c>
      <c r="D10" s="77" t="s">
        <v>89</v>
      </c>
      <c r="E10" s="77" t="s">
        <v>89</v>
      </c>
    </row>
    <row r="11" spans="1:5">
      <c r="A11" s="78" t="s">
        <v>837</v>
      </c>
      <c r="B11" s="78" t="s">
        <v>838</v>
      </c>
      <c r="C11" s="79">
        <v>6130119</v>
      </c>
      <c r="D11" s="79" t="s">
        <v>195</v>
      </c>
      <c r="E11" s="79">
        <v>4164982</v>
      </c>
    </row>
    <row r="12" spans="1:5">
      <c r="A12" s="78" t="s">
        <v>839</v>
      </c>
      <c r="B12" s="78" t="s">
        <v>840</v>
      </c>
      <c r="C12" s="80">
        <v>141970861</v>
      </c>
      <c r="D12" s="80">
        <v>132756000</v>
      </c>
      <c r="E12" s="80">
        <v>128632568</v>
      </c>
    </row>
    <row r="13" spans="1:5">
      <c r="A13" s="78" t="s">
        <v>841</v>
      </c>
      <c r="B13" s="78" t="s">
        <v>589</v>
      </c>
      <c r="C13" s="79">
        <v>25051696</v>
      </c>
      <c r="D13" s="79" t="s">
        <v>195</v>
      </c>
      <c r="E13" s="79">
        <v>9308058</v>
      </c>
    </row>
    <row r="14" spans="1:5">
      <c r="A14" s="78" t="s">
        <v>842</v>
      </c>
      <c r="B14" s="78" t="s">
        <v>843</v>
      </c>
      <c r="C14" s="80">
        <v>4391434609</v>
      </c>
      <c r="D14" s="80">
        <v>3956532000</v>
      </c>
      <c r="E14" s="80">
        <v>3712847733</v>
      </c>
    </row>
    <row r="15" spans="1:5">
      <c r="A15" s="78" t="s">
        <v>844</v>
      </c>
      <c r="B15" s="78" t="s">
        <v>845</v>
      </c>
      <c r="C15" s="79">
        <v>98763996</v>
      </c>
      <c r="D15" s="79">
        <v>129733000</v>
      </c>
      <c r="E15" s="79">
        <v>178224532</v>
      </c>
    </row>
    <row r="16" spans="1:5">
      <c r="A16" s="78" t="s">
        <v>846</v>
      </c>
      <c r="B16" s="78" t="s">
        <v>847</v>
      </c>
      <c r="C16" s="80">
        <v>143967085</v>
      </c>
      <c r="D16" s="80">
        <v>151009000</v>
      </c>
      <c r="E16" s="80">
        <v>226343027</v>
      </c>
    </row>
    <row r="17" spans="1:5">
      <c r="A17" s="78" t="s">
        <v>848</v>
      </c>
      <c r="B17" s="78" t="s">
        <v>849</v>
      </c>
      <c r="C17" s="79">
        <v>234125316</v>
      </c>
      <c r="D17" s="79">
        <v>149331000</v>
      </c>
      <c r="E17" s="79">
        <v>150456890</v>
      </c>
    </row>
    <row r="18" spans="1:5">
      <c r="A18" s="78" t="s">
        <v>850</v>
      </c>
      <c r="B18" s="78" t="s">
        <v>851</v>
      </c>
      <c r="C18" s="80">
        <v>1075748</v>
      </c>
      <c r="D18" s="80" t="s">
        <v>195</v>
      </c>
      <c r="E18" s="80">
        <v>2631285</v>
      </c>
    </row>
    <row r="19" spans="1:5">
      <c r="A19" s="78" t="s">
        <v>852</v>
      </c>
      <c r="B19" s="78" t="s">
        <v>853</v>
      </c>
      <c r="C19" s="79">
        <v>163055499</v>
      </c>
      <c r="D19" s="79">
        <v>112559000</v>
      </c>
      <c r="E19" s="79">
        <v>121158932</v>
      </c>
    </row>
    <row r="20" spans="1:5">
      <c r="A20" s="78" t="s">
        <v>854</v>
      </c>
      <c r="B20" s="78" t="s">
        <v>855</v>
      </c>
      <c r="C20" s="80" t="s">
        <v>195</v>
      </c>
      <c r="D20" s="80" t="s">
        <v>195</v>
      </c>
      <c r="E20" s="80" t="s">
        <v>195</v>
      </c>
    </row>
    <row r="21" spans="1:5">
      <c r="A21" s="78" t="s">
        <v>856</v>
      </c>
      <c r="B21" s="78" t="s">
        <v>857</v>
      </c>
      <c r="C21" s="79" t="s">
        <v>195</v>
      </c>
      <c r="D21" s="79" t="s">
        <v>195</v>
      </c>
      <c r="E21" s="79" t="s">
        <v>195</v>
      </c>
    </row>
    <row r="22" spans="1:5">
      <c r="A22" s="78" t="s">
        <v>858</v>
      </c>
      <c r="B22" s="78" t="s">
        <v>859</v>
      </c>
      <c r="C22" s="80">
        <v>6570504</v>
      </c>
      <c r="D22" s="80">
        <v>12358000</v>
      </c>
      <c r="E22" s="80">
        <v>30423789</v>
      </c>
    </row>
    <row r="23" spans="1:5">
      <c r="A23" s="78" t="s">
        <v>860</v>
      </c>
      <c r="B23" s="78" t="s">
        <v>861</v>
      </c>
      <c r="C23" s="79">
        <v>5233043</v>
      </c>
      <c r="D23" s="79">
        <v>12103000</v>
      </c>
      <c r="E23" s="79">
        <v>14258586</v>
      </c>
    </row>
    <row r="24" spans="1:5">
      <c r="A24" s="78" t="s">
        <v>862</v>
      </c>
      <c r="B24" s="78" t="s">
        <v>863</v>
      </c>
      <c r="C24" s="80">
        <v>2263039</v>
      </c>
      <c r="D24" s="80" t="s">
        <v>195</v>
      </c>
      <c r="E24" s="80">
        <v>3800184</v>
      </c>
    </row>
    <row r="25" spans="1:5">
      <c r="A25" s="78" t="s">
        <v>864</v>
      </c>
      <c r="B25" s="78" t="s">
        <v>865</v>
      </c>
      <c r="C25" s="79">
        <v>223766721</v>
      </c>
      <c r="D25" s="79">
        <v>224827000</v>
      </c>
      <c r="E25" s="79">
        <v>316211525</v>
      </c>
    </row>
    <row r="26" spans="1:5">
      <c r="A26" s="78" t="s">
        <v>866</v>
      </c>
      <c r="B26" s="78" t="s">
        <v>867</v>
      </c>
      <c r="C26" s="80">
        <v>16727004</v>
      </c>
      <c r="D26" s="80" t="s">
        <v>195</v>
      </c>
      <c r="E26" s="80" t="s">
        <v>195</v>
      </c>
    </row>
    <row r="27" spans="1:5">
      <c r="A27" s="78" t="s">
        <v>868</v>
      </c>
      <c r="B27" s="78" t="s">
        <v>869</v>
      </c>
      <c r="C27" s="79" t="s">
        <v>195</v>
      </c>
      <c r="D27" s="79" t="s">
        <v>195</v>
      </c>
      <c r="E27" s="79">
        <v>32863421</v>
      </c>
    </row>
    <row r="28" spans="1:5">
      <c r="A28" s="78" t="s">
        <v>870</v>
      </c>
      <c r="B28" s="78" t="s">
        <v>871</v>
      </c>
      <c r="C28" s="80">
        <v>147962043</v>
      </c>
      <c r="D28" s="80">
        <v>71745000</v>
      </c>
      <c r="E28" s="80">
        <v>69115568</v>
      </c>
    </row>
    <row r="29" spans="1:5">
      <c r="A29" s="78" t="s">
        <v>872</v>
      </c>
      <c r="B29" s="78" t="s">
        <v>873</v>
      </c>
      <c r="C29" s="79" t="s">
        <v>195</v>
      </c>
      <c r="D29" s="79">
        <v>10596000</v>
      </c>
      <c r="E29" s="79" t="s">
        <v>195</v>
      </c>
    </row>
    <row r="30" spans="1:5">
      <c r="A30" s="78" t="s">
        <v>874</v>
      </c>
      <c r="B30" s="78" t="s">
        <v>875</v>
      </c>
      <c r="C30" s="80">
        <v>1252910138</v>
      </c>
      <c r="D30" s="80">
        <v>1130693000</v>
      </c>
      <c r="E30" s="80">
        <v>1056683014</v>
      </c>
    </row>
    <row r="31" spans="1:5">
      <c r="A31" s="78" t="s">
        <v>876</v>
      </c>
      <c r="B31" s="78" t="s">
        <v>877</v>
      </c>
      <c r="C31" s="79">
        <v>2481036</v>
      </c>
      <c r="D31" s="79">
        <v>3443000</v>
      </c>
      <c r="E31" s="79" t="s">
        <v>195</v>
      </c>
    </row>
    <row r="32" spans="1:5">
      <c r="A32" s="78" t="s">
        <v>878</v>
      </c>
      <c r="B32" s="78" t="s">
        <v>879</v>
      </c>
      <c r="C32" s="80" t="s">
        <v>195</v>
      </c>
      <c r="D32" s="80" t="s">
        <v>195</v>
      </c>
      <c r="E32" s="80" t="s">
        <v>195</v>
      </c>
    </row>
    <row r="33" spans="1:5">
      <c r="A33" s="78" t="s">
        <v>880</v>
      </c>
      <c r="B33" s="78" t="s">
        <v>745</v>
      </c>
      <c r="C33" s="79">
        <v>187843000</v>
      </c>
      <c r="D33" s="79">
        <v>232108000</v>
      </c>
      <c r="E33" s="79">
        <v>178169586</v>
      </c>
    </row>
    <row r="34" spans="1:5">
      <c r="A34" s="78" t="s">
        <v>196</v>
      </c>
      <c r="B34" s="78" t="s">
        <v>197</v>
      </c>
      <c r="C34" s="80" t="s">
        <v>195</v>
      </c>
      <c r="D34" s="80" t="s">
        <v>195</v>
      </c>
      <c r="E34" s="80" t="s">
        <v>195</v>
      </c>
    </row>
    <row r="35" spans="1:5">
      <c r="A35" s="78" t="s">
        <v>881</v>
      </c>
      <c r="B35" s="78" t="s">
        <v>882</v>
      </c>
      <c r="C35" s="79">
        <v>209624000</v>
      </c>
      <c r="D35" s="79">
        <v>265198000</v>
      </c>
      <c r="E35" s="79">
        <v>197456588</v>
      </c>
    </row>
    <row r="36" spans="1:5">
      <c r="A36" s="78" t="s">
        <v>883</v>
      </c>
      <c r="B36" s="78" t="s">
        <v>884</v>
      </c>
      <c r="C36" s="80" t="s">
        <v>195</v>
      </c>
      <c r="D36" s="80" t="s">
        <v>195</v>
      </c>
      <c r="E36" s="80" t="s">
        <v>195</v>
      </c>
    </row>
    <row r="37" spans="1:5">
      <c r="A37" s="78" t="s">
        <v>885</v>
      </c>
      <c r="B37" s="78" t="s">
        <v>886</v>
      </c>
      <c r="C37" s="79" t="s">
        <v>195</v>
      </c>
      <c r="D37" s="79" t="s">
        <v>195</v>
      </c>
      <c r="E37" s="79" t="s">
        <v>195</v>
      </c>
    </row>
    <row r="38" spans="1:5">
      <c r="A38" s="78" t="s">
        <v>198</v>
      </c>
      <c r="B38" s="78" t="s">
        <v>199</v>
      </c>
      <c r="C38" s="80">
        <v>2896427000</v>
      </c>
      <c r="D38" s="80">
        <v>2571047000</v>
      </c>
      <c r="E38" s="80">
        <v>1968423120</v>
      </c>
    </row>
    <row r="39" spans="1:5">
      <c r="A39" s="78" t="s">
        <v>887</v>
      </c>
      <c r="B39" s="78" t="s">
        <v>888</v>
      </c>
      <c r="C39" s="79">
        <v>1172874252</v>
      </c>
      <c r="D39" s="79">
        <v>1252528000</v>
      </c>
      <c r="E39" s="79">
        <v>1149058761</v>
      </c>
    </row>
    <row r="40" spans="1:5">
      <c r="A40" s="78" t="s">
        <v>889</v>
      </c>
      <c r="B40" s="78" t="s">
        <v>890</v>
      </c>
      <c r="C40" s="80">
        <v>1237995980</v>
      </c>
      <c r="D40" s="80">
        <v>1364206257</v>
      </c>
      <c r="E40" s="80">
        <v>1440070257</v>
      </c>
    </row>
    <row r="41" spans="1:5">
      <c r="A41" s="78" t="s">
        <v>891</v>
      </c>
      <c r="B41" s="78" t="s">
        <v>892</v>
      </c>
      <c r="C41" s="79">
        <v>0</v>
      </c>
      <c r="D41" s="79">
        <v>0</v>
      </c>
      <c r="E41" s="79">
        <v>0</v>
      </c>
    </row>
    <row r="42" spans="1:5">
      <c r="A42" s="78" t="s">
        <v>893</v>
      </c>
      <c r="B42" s="78" t="s">
        <v>894</v>
      </c>
      <c r="C42" s="80">
        <v>75420800</v>
      </c>
      <c r="D42" s="80">
        <v>56149000</v>
      </c>
      <c r="E42" s="80">
        <v>105591185</v>
      </c>
    </row>
    <row r="43" spans="1:5">
      <c r="A43" s="78" t="s">
        <v>895</v>
      </c>
      <c r="B43" s="78" t="s">
        <v>896</v>
      </c>
      <c r="C43" s="79">
        <v>2454300</v>
      </c>
      <c r="D43" s="79">
        <v>2101000</v>
      </c>
      <c r="E43" s="79">
        <v>3334101</v>
      </c>
    </row>
    <row r="44" spans="1:5">
      <c r="A44" s="78" t="s">
        <v>897</v>
      </c>
      <c r="B44" s="78" t="s">
        <v>898</v>
      </c>
      <c r="C44" s="80">
        <v>83145732</v>
      </c>
      <c r="D44" s="80">
        <v>76532000</v>
      </c>
      <c r="E44" s="80">
        <v>41389534</v>
      </c>
    </row>
    <row r="45" spans="1:5">
      <c r="A45" s="78" t="s">
        <v>899</v>
      </c>
      <c r="B45" s="78" t="s">
        <v>900</v>
      </c>
      <c r="C45" s="79">
        <v>210130634</v>
      </c>
      <c r="D45" s="79">
        <v>279346000</v>
      </c>
      <c r="E45" s="79">
        <v>217698175</v>
      </c>
    </row>
    <row r="46" spans="1:5">
      <c r="A46" s="78" t="s">
        <v>901</v>
      </c>
      <c r="B46" s="78" t="s">
        <v>902</v>
      </c>
      <c r="C46" s="80" t="s">
        <v>195</v>
      </c>
      <c r="D46" s="80" t="s">
        <v>195</v>
      </c>
      <c r="E46" s="80" t="s">
        <v>195</v>
      </c>
    </row>
    <row r="47" spans="1:5">
      <c r="A47" s="78" t="s">
        <v>903</v>
      </c>
      <c r="B47" s="78" t="s">
        <v>904</v>
      </c>
      <c r="C47" s="79">
        <v>12323642</v>
      </c>
      <c r="D47" s="79">
        <v>28461000</v>
      </c>
      <c r="E47" s="79">
        <v>15691584</v>
      </c>
    </row>
    <row r="48" spans="1:5">
      <c r="A48" s="78" t="s">
        <v>905</v>
      </c>
      <c r="B48" s="78" t="s">
        <v>906</v>
      </c>
      <c r="C48" s="80">
        <v>2376350</v>
      </c>
      <c r="D48" s="80">
        <v>2014000</v>
      </c>
      <c r="E48" s="80" t="s">
        <v>195</v>
      </c>
    </row>
    <row r="49" spans="1:5">
      <c r="A49" s="78" t="s">
        <v>907</v>
      </c>
      <c r="B49" s="78" t="s">
        <v>908</v>
      </c>
      <c r="C49" s="79">
        <v>0</v>
      </c>
      <c r="D49" s="79">
        <v>0</v>
      </c>
      <c r="E49" s="79">
        <v>0</v>
      </c>
    </row>
    <row r="50" spans="1:5">
      <c r="A50" s="78" t="s">
        <v>909</v>
      </c>
      <c r="B50" s="78" t="s">
        <v>910</v>
      </c>
      <c r="C50" s="80">
        <v>34215095</v>
      </c>
      <c r="D50" s="80">
        <v>57285000</v>
      </c>
      <c r="E50" s="80">
        <v>60631495</v>
      </c>
    </row>
    <row r="51" spans="1:5">
      <c r="A51" s="78" t="s">
        <v>911</v>
      </c>
      <c r="B51" s="78" t="s">
        <v>912</v>
      </c>
      <c r="C51" s="79">
        <v>32918270</v>
      </c>
      <c r="D51" s="79">
        <v>38759000</v>
      </c>
      <c r="E51" s="79">
        <v>42203954</v>
      </c>
    </row>
    <row r="52" spans="1:5">
      <c r="A52" s="78" t="s">
        <v>913</v>
      </c>
      <c r="B52" s="78" t="s">
        <v>914</v>
      </c>
      <c r="C52" s="80">
        <v>164621399</v>
      </c>
      <c r="D52" s="80">
        <v>197046000</v>
      </c>
      <c r="E52" s="80">
        <v>245753177</v>
      </c>
    </row>
    <row r="53" spans="1:5">
      <c r="A53" s="78" t="s">
        <v>915</v>
      </c>
      <c r="B53" s="78" t="s">
        <v>916</v>
      </c>
      <c r="C53" s="79">
        <v>61855359</v>
      </c>
      <c r="D53" s="79">
        <v>45253000</v>
      </c>
      <c r="E53" s="79">
        <v>42980509</v>
      </c>
    </row>
    <row r="54" spans="1:5">
      <c r="A54" s="78" t="s">
        <v>917</v>
      </c>
      <c r="B54" s="78" t="s">
        <v>918</v>
      </c>
      <c r="C54" s="80" t="s">
        <v>195</v>
      </c>
      <c r="D54" s="80">
        <v>201274000</v>
      </c>
      <c r="E54" s="80">
        <v>216649465</v>
      </c>
    </row>
    <row r="55" spans="1:5">
      <c r="A55" s="78" t="s">
        <v>919</v>
      </c>
      <c r="B55" s="78" t="s">
        <v>920</v>
      </c>
      <c r="C55" s="79">
        <v>138338384</v>
      </c>
      <c r="D55" s="79">
        <v>133095000</v>
      </c>
      <c r="E55" s="79">
        <v>119816056</v>
      </c>
    </row>
    <row r="56" spans="1:5">
      <c r="A56" s="78" t="s">
        <v>921</v>
      </c>
      <c r="B56" s="78" t="s">
        <v>922</v>
      </c>
      <c r="C56" s="80">
        <v>0</v>
      </c>
      <c r="D56" s="80">
        <v>0</v>
      </c>
      <c r="E56" s="80">
        <v>0</v>
      </c>
    </row>
    <row r="57" spans="1:5">
      <c r="A57" s="78" t="s">
        <v>923</v>
      </c>
      <c r="B57" s="78" t="s">
        <v>924</v>
      </c>
      <c r="C57" s="79">
        <v>67857600</v>
      </c>
      <c r="D57" s="79">
        <v>66784000</v>
      </c>
      <c r="E57" s="79" t="s">
        <v>195</v>
      </c>
    </row>
    <row r="58" spans="1:5">
      <c r="A58" s="78" t="s">
        <v>925</v>
      </c>
      <c r="B58" s="78" t="s">
        <v>926</v>
      </c>
      <c r="C58" s="80" t="s">
        <v>195</v>
      </c>
      <c r="D58" s="80" t="s">
        <v>195</v>
      </c>
      <c r="E58" s="80">
        <v>71877448</v>
      </c>
    </row>
    <row r="59" spans="1:5">
      <c r="A59" s="78" t="s">
        <v>927</v>
      </c>
      <c r="B59" s="78" t="s">
        <v>928</v>
      </c>
      <c r="C59" s="79">
        <v>1902546200</v>
      </c>
      <c r="D59" s="79">
        <v>2068599800</v>
      </c>
      <c r="E59" s="79">
        <v>1987290000</v>
      </c>
    </row>
    <row r="60" spans="1:5">
      <c r="A60" s="78" t="s">
        <v>929</v>
      </c>
      <c r="B60" s="78" t="s">
        <v>930</v>
      </c>
      <c r="C60" s="80">
        <v>0</v>
      </c>
      <c r="D60" s="80">
        <v>81012800</v>
      </c>
      <c r="E60" s="80">
        <v>161796900</v>
      </c>
    </row>
    <row r="61" spans="1:5">
      <c r="A61" s="78" t="s">
        <v>931</v>
      </c>
      <c r="B61" s="78" t="s">
        <v>932</v>
      </c>
      <c r="C61" s="79">
        <v>273757000</v>
      </c>
      <c r="D61" s="79">
        <v>280934000</v>
      </c>
      <c r="E61" s="79">
        <v>291559302</v>
      </c>
    </row>
    <row r="62" spans="1:5">
      <c r="A62" s="78" t="s">
        <v>933</v>
      </c>
      <c r="B62" s="78" t="s">
        <v>934</v>
      </c>
      <c r="C62" s="80">
        <v>1446959000</v>
      </c>
      <c r="D62" s="80">
        <v>1352950000</v>
      </c>
      <c r="E62" s="80" t="s">
        <v>195</v>
      </c>
    </row>
    <row r="63" spans="1:5">
      <c r="A63" s="78" t="s">
        <v>935</v>
      </c>
      <c r="B63" s="78" t="s">
        <v>936</v>
      </c>
      <c r="C63" s="79" t="s">
        <v>195</v>
      </c>
      <c r="D63" s="79" t="s">
        <v>195</v>
      </c>
      <c r="E63" s="79" t="s">
        <v>195</v>
      </c>
    </row>
    <row r="65" spans="1:2">
      <c r="A65" s="74" t="s">
        <v>200</v>
      </c>
    </row>
    <row r="66" spans="1:2">
      <c r="A66" s="74" t="s">
        <v>195</v>
      </c>
      <c r="B66" s="72" t="s">
        <v>201</v>
      </c>
    </row>
  </sheetData>
  <mergeCells count="1">
    <mergeCell ref="A9:B9"/>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D47EE-B464-4055-82C4-122F1251DD1F}">
  <dimension ref="A1:I23"/>
  <sheetViews>
    <sheetView workbookViewId="0">
      <selection activeCell="L33" sqref="L33"/>
    </sheetView>
  </sheetViews>
  <sheetFormatPr baseColWidth="10" defaultRowHeight="14.4"/>
  <cols>
    <col min="1" max="1" width="24.21875" bestFit="1" customWidth="1"/>
    <col min="2" max="2" width="26.44140625" bestFit="1" customWidth="1"/>
    <col min="3" max="3" width="19.88671875" bestFit="1" customWidth="1"/>
    <col min="4" max="4" width="19.21875" bestFit="1" customWidth="1"/>
    <col min="5" max="5" width="23.5546875" bestFit="1" customWidth="1"/>
    <col min="7" max="7" width="20.6640625" bestFit="1" customWidth="1"/>
    <col min="8" max="8" width="19.88671875" bestFit="1" customWidth="1"/>
    <col min="9" max="9" width="23.21875" bestFit="1" customWidth="1"/>
  </cols>
  <sheetData>
    <row r="1" spans="1:9">
      <c r="A1" s="116"/>
      <c r="B1" s="116"/>
      <c r="D1" s="116"/>
      <c r="G1" s="790" t="s">
        <v>417</v>
      </c>
      <c r="H1" s="790"/>
      <c r="I1" s="790"/>
    </row>
    <row r="2" spans="1:9">
      <c r="A2" s="117" t="s">
        <v>411</v>
      </c>
      <c r="B2" s="117" t="s">
        <v>954</v>
      </c>
      <c r="C2" s="116" t="s">
        <v>955</v>
      </c>
      <c r="D2" s="116" t="s">
        <v>416</v>
      </c>
      <c r="E2" s="116" t="s">
        <v>412</v>
      </c>
      <c r="G2" t="s">
        <v>8</v>
      </c>
      <c r="H2" s="10" t="s">
        <v>42</v>
      </c>
      <c r="I2" t="s">
        <v>418</v>
      </c>
    </row>
    <row r="3" spans="1:9">
      <c r="A3" s="10" t="s">
        <v>171</v>
      </c>
      <c r="B3" s="693" t="s">
        <v>413</v>
      </c>
      <c r="C3" s="18" t="s">
        <v>953</v>
      </c>
      <c r="D3" s="10" t="s">
        <v>171</v>
      </c>
      <c r="E3" s="10" t="s">
        <v>171</v>
      </c>
      <c r="G3" s="10" t="s">
        <v>419</v>
      </c>
      <c r="H3" s="10" t="s">
        <v>419</v>
      </c>
    </row>
    <row r="4" spans="1:9">
      <c r="A4" s="10" t="s">
        <v>300</v>
      </c>
      <c r="B4" s="693"/>
      <c r="C4" s="18" t="s">
        <v>300</v>
      </c>
      <c r="D4" s="10" t="s">
        <v>300</v>
      </c>
      <c r="G4" s="10" t="s">
        <v>419</v>
      </c>
    </row>
    <row r="5" spans="1:9">
      <c r="A5" s="10" t="s">
        <v>172</v>
      </c>
      <c r="B5" s="10" t="s">
        <v>172</v>
      </c>
      <c r="C5" s="18" t="s">
        <v>172</v>
      </c>
      <c r="D5" s="10" t="s">
        <v>172</v>
      </c>
      <c r="E5" s="10" t="s">
        <v>172</v>
      </c>
      <c r="G5" s="10" t="s">
        <v>419</v>
      </c>
      <c r="H5" s="10" t="s">
        <v>419</v>
      </c>
    </row>
    <row r="6" spans="1:9">
      <c r="A6" s="10" t="s">
        <v>310</v>
      </c>
      <c r="B6" s="693" t="s">
        <v>415</v>
      </c>
      <c r="C6" s="18" t="s">
        <v>310</v>
      </c>
      <c r="D6" s="10" t="s">
        <v>310</v>
      </c>
      <c r="E6" s="10" t="s">
        <v>310</v>
      </c>
      <c r="G6" s="10" t="s">
        <v>419</v>
      </c>
      <c r="H6" s="10" t="s">
        <v>419</v>
      </c>
    </row>
    <row r="7" spans="1:9">
      <c r="A7" s="10" t="s">
        <v>311</v>
      </c>
      <c r="B7" s="693"/>
      <c r="C7" s="18" t="s">
        <v>953</v>
      </c>
      <c r="D7" s="10" t="s">
        <v>311</v>
      </c>
      <c r="G7" s="10"/>
      <c r="H7" s="10" t="s">
        <v>419</v>
      </c>
    </row>
    <row r="8" spans="1:9">
      <c r="A8" s="10" t="s">
        <v>173</v>
      </c>
      <c r="B8" s="10" t="s">
        <v>173</v>
      </c>
      <c r="C8" s="18" t="s">
        <v>173</v>
      </c>
      <c r="D8" s="10" t="s">
        <v>173</v>
      </c>
      <c r="E8" s="10" t="s">
        <v>173</v>
      </c>
      <c r="G8" s="10" t="s">
        <v>419</v>
      </c>
      <c r="H8" s="10" t="s">
        <v>419</v>
      </c>
    </row>
    <row r="9" spans="1:9">
      <c r="A9" s="10" t="s">
        <v>306</v>
      </c>
      <c r="B9" s="10" t="s">
        <v>306</v>
      </c>
      <c r="C9" s="18" t="s">
        <v>306</v>
      </c>
      <c r="D9" s="10" t="s">
        <v>306</v>
      </c>
      <c r="E9" s="10" t="s">
        <v>306</v>
      </c>
      <c r="G9" s="10" t="s">
        <v>419</v>
      </c>
      <c r="H9" s="10" t="s">
        <v>419</v>
      </c>
    </row>
    <row r="10" spans="1:9">
      <c r="A10" s="10" t="s">
        <v>307</v>
      </c>
      <c r="B10" s="10" t="s">
        <v>307</v>
      </c>
      <c r="C10" s="18" t="s">
        <v>307</v>
      </c>
      <c r="D10" s="10" t="s">
        <v>307</v>
      </c>
      <c r="E10" s="10" t="s">
        <v>307</v>
      </c>
      <c r="G10" s="10" t="s">
        <v>419</v>
      </c>
      <c r="H10" s="10" t="s">
        <v>419</v>
      </c>
    </row>
    <row r="11" spans="1:9">
      <c r="A11" s="10" t="s">
        <v>308</v>
      </c>
      <c r="B11" s="10" t="s">
        <v>308</v>
      </c>
      <c r="C11" s="18" t="s">
        <v>308</v>
      </c>
      <c r="D11" s="10" t="s">
        <v>308</v>
      </c>
      <c r="E11" s="10" t="s">
        <v>308</v>
      </c>
      <c r="G11" s="10"/>
      <c r="H11" s="10" t="s">
        <v>419</v>
      </c>
    </row>
    <row r="12" spans="1:9">
      <c r="A12" s="10" t="s">
        <v>174</v>
      </c>
      <c r="B12" s="10" t="s">
        <v>174</v>
      </c>
      <c r="C12" s="18" t="s">
        <v>174</v>
      </c>
      <c r="D12" s="10" t="s">
        <v>174</v>
      </c>
      <c r="E12" s="10" t="s">
        <v>174</v>
      </c>
      <c r="G12" s="10"/>
      <c r="H12" s="10" t="s">
        <v>419</v>
      </c>
    </row>
    <row r="13" spans="1:9">
      <c r="A13" s="10" t="s">
        <v>314</v>
      </c>
      <c r="B13" s="693" t="s">
        <v>331</v>
      </c>
      <c r="C13" s="18" t="s">
        <v>314</v>
      </c>
      <c r="D13" s="10" t="s">
        <v>314</v>
      </c>
      <c r="H13" s="10" t="s">
        <v>420</v>
      </c>
    </row>
    <row r="14" spans="1:9">
      <c r="A14" s="10" t="s">
        <v>315</v>
      </c>
      <c r="B14" s="693"/>
      <c r="C14" s="18" t="s">
        <v>315</v>
      </c>
      <c r="D14" s="10" t="s">
        <v>315</v>
      </c>
      <c r="G14" s="10"/>
      <c r="H14" s="10" t="s">
        <v>420</v>
      </c>
    </row>
    <row r="15" spans="1:9">
      <c r="A15" s="10" t="s">
        <v>316</v>
      </c>
      <c r="B15" s="693"/>
      <c r="C15" s="18" t="s">
        <v>316</v>
      </c>
      <c r="D15" s="10" t="s">
        <v>316</v>
      </c>
      <c r="E15" s="10" t="s">
        <v>316</v>
      </c>
      <c r="G15" s="10" t="s">
        <v>419</v>
      </c>
    </row>
    <row r="16" spans="1:9">
      <c r="A16" s="10" t="s">
        <v>320</v>
      </c>
      <c r="B16" s="693"/>
      <c r="C16" s="18" t="s">
        <v>320</v>
      </c>
      <c r="G16" s="10" t="s">
        <v>419</v>
      </c>
    </row>
    <row r="17" spans="1:7">
      <c r="A17" s="10" t="s">
        <v>321</v>
      </c>
      <c r="B17" s="693"/>
      <c r="C17" s="748" t="s">
        <v>305</v>
      </c>
      <c r="G17" s="10" t="s">
        <v>419</v>
      </c>
    </row>
    <row r="18" spans="1:7">
      <c r="A18" s="10" t="s">
        <v>322</v>
      </c>
      <c r="B18" s="693"/>
      <c r="C18" s="748"/>
      <c r="G18" s="10" t="s">
        <v>419</v>
      </c>
    </row>
    <row r="19" spans="1:7">
      <c r="A19" s="10" t="s">
        <v>323</v>
      </c>
      <c r="B19" s="693"/>
      <c r="C19" s="748"/>
      <c r="G19" s="10" t="s">
        <v>419</v>
      </c>
    </row>
    <row r="20" spans="1:7">
      <c r="A20" s="10" t="s">
        <v>414</v>
      </c>
      <c r="B20" s="693"/>
      <c r="C20" s="748"/>
    </row>
    <row r="21" spans="1:7">
      <c r="A21" s="10" t="s">
        <v>313</v>
      </c>
      <c r="B21" s="10" t="s">
        <v>313</v>
      </c>
      <c r="C21" s="18"/>
    </row>
    <row r="22" spans="1:7">
      <c r="A22" s="10" t="s">
        <v>309</v>
      </c>
      <c r="B22" s="10" t="s">
        <v>309</v>
      </c>
      <c r="C22" s="18" t="s">
        <v>309</v>
      </c>
      <c r="D22" s="10" t="s">
        <v>309</v>
      </c>
      <c r="G22" s="10" t="s">
        <v>419</v>
      </c>
    </row>
    <row r="23" spans="1:7">
      <c r="C23" s="18" t="s">
        <v>952</v>
      </c>
    </row>
  </sheetData>
  <mergeCells count="5">
    <mergeCell ref="B3:B4"/>
    <mergeCell ref="B6:B7"/>
    <mergeCell ref="B13:B20"/>
    <mergeCell ref="G1:I1"/>
    <mergeCell ref="C17:C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0D1EAF-6C58-4955-BE3A-24792460DB9D}">
  <ds:schemaRef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21da35c6-efe3-499f-bfdd-69ff62f566e5"/>
    <ds:schemaRef ds:uri="253d9861-5057-4c6b-aa55-c1bece854d8d"/>
    <ds:schemaRef ds:uri="http://www.w3.org/XML/1998/namespace"/>
  </ds:schemaRefs>
</ds:datastoreItem>
</file>

<file path=customXml/itemProps2.xml><?xml version="1.0" encoding="utf-8"?>
<ds:datastoreItem xmlns:ds="http://schemas.openxmlformats.org/officeDocument/2006/customXml" ds:itemID="{47077A28-376C-45E1-9A1C-1D5C87609AF0}">
  <ds:schemaRefs>
    <ds:schemaRef ds:uri="http://schemas.microsoft.com/sharepoint/v3/contenttype/forms"/>
  </ds:schemaRefs>
</ds:datastoreItem>
</file>

<file path=customXml/itemProps3.xml><?xml version="1.0" encoding="utf-8"?>
<ds:datastoreItem xmlns:ds="http://schemas.openxmlformats.org/officeDocument/2006/customXml" ds:itemID="{D8B167DF-42BE-40DC-A328-B8A27FCA9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96</vt:i4>
      </vt:variant>
    </vt:vector>
  </HeadingPairs>
  <TitlesOfParts>
    <vt:vector size="96" baseType="lpstr">
      <vt:lpstr>Informations générales</vt:lpstr>
      <vt:lpstr>SOMMAIRE</vt:lpstr>
      <vt:lpstr>Lecture du fichier</vt:lpstr>
      <vt:lpstr>Etiquettes</vt:lpstr>
      <vt:lpstr>Produits</vt:lpstr>
      <vt:lpstr>Secteurs</vt:lpstr>
      <vt:lpstr>Structure des flux</vt:lpstr>
      <vt:lpstr> Données </vt:lpstr>
      <vt:lpstr>Données</vt:lpstr>
      <vt:lpstr>Prétraitement bilans</vt:lpstr>
      <vt:lpstr>Bilans Blé tendre - FAM</vt:lpstr>
      <vt:lpstr>Bilans Maïs - FAM</vt:lpstr>
      <vt:lpstr>Bilans Orge - FAM</vt:lpstr>
      <vt:lpstr>Bilans Blé dur - FAM</vt:lpstr>
      <vt:lpstr>Bilans Triticale - FAM</vt:lpstr>
      <vt:lpstr>Bilans Sorgho - FAM</vt:lpstr>
      <vt:lpstr>Bilans Avoine - FAM</vt:lpstr>
      <vt:lpstr>Bilans Seigle - FAM</vt:lpstr>
      <vt:lpstr>Bilans Sarrasin - FAM</vt:lpstr>
      <vt:lpstr>Epeautre et Millet - Ceresco</vt:lpstr>
      <vt:lpstr>Contraintes</vt:lpstr>
      <vt:lpstr> Données</vt:lpstr>
      <vt:lpstr>Prétraitement issues</vt:lpstr>
      <vt:lpstr>Issues céréales - ONRB</vt:lpstr>
      <vt:lpstr>Issues maïs - ONRB</vt:lpstr>
      <vt:lpstr>Issues riz - ONRB</vt:lpstr>
      <vt:lpstr>Contraintes </vt:lpstr>
      <vt:lpstr>  Données</vt:lpstr>
      <vt:lpstr>Pertes à la ferme</vt:lpstr>
      <vt:lpstr>Contraintes  </vt:lpstr>
      <vt:lpstr>   Données</vt:lpstr>
      <vt:lpstr>Prétraitement semences fermière</vt:lpstr>
      <vt:lpstr>Semences fermières - AGRESTE</vt:lpstr>
      <vt:lpstr>Données      </vt:lpstr>
      <vt:lpstr>Prétraitement prod farine</vt:lpstr>
      <vt:lpstr>Fabrication de farine - FAM</vt:lpstr>
      <vt:lpstr>Données       </vt:lpstr>
      <vt:lpstr>Débouchés farine de blé - FAM</vt:lpstr>
      <vt:lpstr>Contraintes   </vt:lpstr>
      <vt:lpstr>    Données</vt:lpstr>
      <vt:lpstr>Coproduits meunerie - Réséda</vt:lpstr>
      <vt:lpstr>Coproduits meunerie - ONRB</vt:lpstr>
      <vt:lpstr>Contraintes    </vt:lpstr>
      <vt:lpstr>     Données</vt:lpstr>
      <vt:lpstr>Amidonnerie - Diverses</vt:lpstr>
      <vt:lpstr>Contraintes     </vt:lpstr>
      <vt:lpstr>      Données</vt:lpstr>
      <vt:lpstr>Semoulerie maïs- Diverses</vt:lpstr>
      <vt:lpstr>Contraintes      </vt:lpstr>
      <vt:lpstr>       Données</vt:lpstr>
      <vt:lpstr>Semoulerie blé dur - CFSI</vt:lpstr>
      <vt:lpstr>Contraintes       </vt:lpstr>
      <vt:lpstr>        Données</vt:lpstr>
      <vt:lpstr>Coproduits Semoulerie blé -ONRB</vt:lpstr>
      <vt:lpstr>Contraintes        </vt:lpstr>
      <vt:lpstr>         Données</vt:lpstr>
      <vt:lpstr>Indus. pâtes - SIFPAF</vt:lpstr>
      <vt:lpstr>Contraintes         </vt:lpstr>
      <vt:lpstr>          Données</vt:lpstr>
      <vt:lpstr>Coproduits Indus. - Réséda</vt:lpstr>
      <vt:lpstr>Contraintes          </vt:lpstr>
      <vt:lpstr>           Données</vt:lpstr>
      <vt:lpstr>Distillerie - Agreste</vt:lpstr>
      <vt:lpstr>Données </vt:lpstr>
      <vt:lpstr>Contraintes           </vt:lpstr>
      <vt:lpstr>            Données</vt:lpstr>
      <vt:lpstr>Malterie - ONRB</vt:lpstr>
      <vt:lpstr>Contraintes            </vt:lpstr>
      <vt:lpstr>             Données</vt:lpstr>
      <vt:lpstr>Brasserie - Diverses</vt:lpstr>
      <vt:lpstr>Données  </vt:lpstr>
      <vt:lpstr>Popcorn - Intercéréales</vt:lpstr>
      <vt:lpstr>Données   </vt:lpstr>
      <vt:lpstr>Prétraitement échanges</vt:lpstr>
      <vt:lpstr>Comext annuel - EUROSTAT</vt:lpstr>
      <vt:lpstr>Comext mensuel - EUROSTAT</vt:lpstr>
      <vt:lpstr>Données    </vt:lpstr>
      <vt:lpstr>Contraintes             </vt:lpstr>
      <vt:lpstr>              Données</vt:lpstr>
      <vt:lpstr>Riz - Diverses</vt:lpstr>
      <vt:lpstr>Données     </vt:lpstr>
      <vt:lpstr>Données        </vt:lpstr>
      <vt:lpstr>               Données</vt:lpstr>
      <vt:lpstr>Prétraitement récoltes</vt:lpstr>
      <vt:lpstr>Récoltes - AGRESTE</vt:lpstr>
      <vt:lpstr>Récoltes - Intercéréales</vt:lpstr>
      <vt:lpstr>Récoltes - FNPSMS</vt:lpstr>
      <vt:lpstr>Prétraitement collectes, stocks</vt:lpstr>
      <vt:lpstr>Collectes, stocks - FAM</vt:lpstr>
      <vt:lpstr>Prétraitement FAB</vt:lpstr>
      <vt:lpstr>FAB grains - FAM</vt:lpstr>
      <vt:lpstr>FAB produits, coproduits - FAB</vt:lpstr>
      <vt:lpstr>Pertes - Diverses</vt:lpstr>
      <vt:lpstr>Prétraitement fabrications</vt:lpstr>
      <vt:lpstr>Fabrications - PRODCOM</vt:lpstr>
      <vt:lpstr>Comparaison périmètres matières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cp:lastPrinted>2025-04-05T06:33:38Z</cp:lastPrinted>
  <dcterms:created xsi:type="dcterms:W3CDTF">2025-02-05T18:47:16Z</dcterms:created>
  <dcterms:modified xsi:type="dcterms:W3CDTF">2026-05-15T09:58:48Z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